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X:\1130 Corporate Reporting\7 Travel &amp; Hospitality Proactive Disclosure\2023 Reporting\"/>
    </mc:Choice>
  </mc:AlternateContent>
  <xr:revisionPtr revIDLastSave="0" documentId="13_ncr:1_{8D750C0B-4DF0-4441-9F55-F465B3BB6AF0}" xr6:coauthVersionLast="47" xr6:coauthVersionMax="47" xr10:uidLastSave="{00000000-0000-0000-0000-000000000000}"/>
  <bookViews>
    <workbookView xWindow="66120" yWindow="-120" windowWidth="19440" windowHeight="15000" xr2:uid="{00000000-000D-0000-FFFF-FFFF00000000}"/>
  </bookViews>
  <sheets>
    <sheet name="hospitalityq" sheetId="1" r:id="rId1"/>
    <sheet name="hospitalityq-nil" sheetId="2" r:id="rId2"/>
    <sheet name="reference" sheetId="3" r:id="rId3"/>
    <sheet name="e1" sheetId="4" state="hidden" r:id="rId4"/>
    <sheet name="r1" sheetId="5" state="hidden" r:id="rId5"/>
    <sheet name="e2" sheetId="6" state="hidden" r:id="rId6"/>
    <sheet name="r2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5" i="7" l="1"/>
  <c r="D2005" i="7" s="1"/>
  <c r="B2004" i="7"/>
  <c r="D2004" i="7" s="1"/>
  <c r="B2003" i="7"/>
  <c r="B2002" i="7"/>
  <c r="B2001" i="7"/>
  <c r="B2000" i="7"/>
  <c r="B1999" i="7"/>
  <c r="B1998" i="7"/>
  <c r="B1997" i="7"/>
  <c r="B1996" i="7"/>
  <c r="B1995" i="7"/>
  <c r="B1994" i="7"/>
  <c r="B1993" i="7"/>
  <c r="B1992" i="7"/>
  <c r="B1991" i="7"/>
  <c r="B1990" i="7"/>
  <c r="B1989" i="7"/>
  <c r="B1988" i="7"/>
  <c r="B1987" i="7"/>
  <c r="B1986" i="7"/>
  <c r="B1985" i="7"/>
  <c r="B1984" i="7"/>
  <c r="B1983" i="7"/>
  <c r="B1982" i="7"/>
  <c r="B1981" i="7"/>
  <c r="B1980" i="7"/>
  <c r="B1979" i="7"/>
  <c r="B1978" i="7"/>
  <c r="B1977" i="7"/>
  <c r="B1976" i="7"/>
  <c r="B1975" i="7"/>
  <c r="B1974" i="7"/>
  <c r="B1973" i="7"/>
  <c r="B1972" i="7"/>
  <c r="B1971" i="7"/>
  <c r="B1970" i="7"/>
  <c r="B1969" i="7"/>
  <c r="B1968" i="7"/>
  <c r="B1967" i="7"/>
  <c r="B1966" i="7"/>
  <c r="B1965" i="7"/>
  <c r="B1964" i="7"/>
  <c r="B1963" i="7"/>
  <c r="B1962" i="7"/>
  <c r="B1961" i="7"/>
  <c r="B1960" i="7"/>
  <c r="B1959" i="7"/>
  <c r="B1958" i="7"/>
  <c r="B1957" i="7"/>
  <c r="B1956" i="7"/>
  <c r="B1955" i="7"/>
  <c r="B1954" i="7"/>
  <c r="B1953" i="7"/>
  <c r="B1952" i="7"/>
  <c r="B1951" i="7"/>
  <c r="B1950" i="7"/>
  <c r="B1949" i="7"/>
  <c r="B1948" i="7"/>
  <c r="B1947" i="7"/>
  <c r="B1946" i="7"/>
  <c r="B1945" i="7"/>
  <c r="B1944" i="7"/>
  <c r="B1943" i="7"/>
  <c r="B1942" i="7"/>
  <c r="B1941" i="7"/>
  <c r="B1940" i="7"/>
  <c r="B1939" i="7"/>
  <c r="B1938" i="7"/>
  <c r="B1937" i="7"/>
  <c r="B1936" i="7"/>
  <c r="B1935" i="7"/>
  <c r="B1934" i="7"/>
  <c r="B1933" i="7"/>
  <c r="B1932" i="7"/>
  <c r="B1931" i="7"/>
  <c r="B1930" i="7"/>
  <c r="B1929" i="7"/>
  <c r="B1928" i="7"/>
  <c r="B1927" i="7"/>
  <c r="B1926" i="7"/>
  <c r="B1925" i="7"/>
  <c r="B1924" i="7"/>
  <c r="B1923" i="7"/>
  <c r="B1922" i="7"/>
  <c r="B1921" i="7"/>
  <c r="B1920" i="7"/>
  <c r="B1919" i="7"/>
  <c r="B1918" i="7"/>
  <c r="B1917" i="7"/>
  <c r="B1916" i="7"/>
  <c r="B1915" i="7"/>
  <c r="B1914" i="7"/>
  <c r="B1913" i="7"/>
  <c r="B1912" i="7"/>
  <c r="B1911" i="7"/>
  <c r="B1910" i="7"/>
  <c r="B1909" i="7"/>
  <c r="B1908" i="7"/>
  <c r="B1907" i="7"/>
  <c r="B1906" i="7"/>
  <c r="B1905" i="7"/>
  <c r="B1904" i="7"/>
  <c r="B1903" i="7"/>
  <c r="B1902" i="7"/>
  <c r="B1901" i="7"/>
  <c r="B1900" i="7"/>
  <c r="B1899" i="7"/>
  <c r="B1898" i="7"/>
  <c r="B1897" i="7"/>
  <c r="B1896" i="7"/>
  <c r="B1895" i="7"/>
  <c r="B1894" i="7"/>
  <c r="B1893" i="7"/>
  <c r="B1892" i="7"/>
  <c r="B1891" i="7"/>
  <c r="B1890" i="7"/>
  <c r="B1889" i="7"/>
  <c r="B1888" i="7"/>
  <c r="B1887" i="7"/>
  <c r="B1886" i="7"/>
  <c r="B1885" i="7"/>
  <c r="B1884" i="7"/>
  <c r="B1883" i="7"/>
  <c r="B1882" i="7"/>
  <c r="B1881" i="7"/>
  <c r="B1880" i="7"/>
  <c r="B1879" i="7"/>
  <c r="B1878" i="7"/>
  <c r="B1877" i="7"/>
  <c r="B1876" i="7"/>
  <c r="B1875" i="7"/>
  <c r="B1874" i="7"/>
  <c r="B1873" i="7"/>
  <c r="B1872" i="7"/>
  <c r="B1871" i="7"/>
  <c r="B1870" i="7"/>
  <c r="B1869" i="7"/>
  <c r="B1868" i="7"/>
  <c r="B1867" i="7"/>
  <c r="B1866" i="7"/>
  <c r="B1865" i="7"/>
  <c r="B1864" i="7"/>
  <c r="B1863" i="7"/>
  <c r="B1862" i="7"/>
  <c r="B1861" i="7"/>
  <c r="B1860" i="7"/>
  <c r="B1859" i="7"/>
  <c r="B1858" i="7"/>
  <c r="B1857" i="7"/>
  <c r="B1856" i="7"/>
  <c r="B1855" i="7"/>
  <c r="B1854" i="7"/>
  <c r="B1853" i="7"/>
  <c r="B1852" i="7"/>
  <c r="B1851" i="7"/>
  <c r="B1850" i="7"/>
  <c r="B1849" i="7"/>
  <c r="B1848" i="7"/>
  <c r="B1847" i="7"/>
  <c r="B1846" i="7"/>
  <c r="B1845" i="7"/>
  <c r="B1844" i="7"/>
  <c r="B1843" i="7"/>
  <c r="B1842" i="7"/>
  <c r="B1841" i="7"/>
  <c r="B1840" i="7"/>
  <c r="B1839" i="7"/>
  <c r="C1838" i="7"/>
  <c r="B1838" i="7"/>
  <c r="D1838" i="7" s="1"/>
  <c r="A1838" i="7"/>
  <c r="B1837" i="7"/>
  <c r="B1836" i="7"/>
  <c r="D1835" i="7"/>
  <c r="B1835" i="7"/>
  <c r="C1835" i="7" s="1"/>
  <c r="A1835" i="7" s="1"/>
  <c r="B1834" i="7"/>
  <c r="C1834" i="7" s="1"/>
  <c r="B1833" i="7"/>
  <c r="C1833" i="7" s="1"/>
  <c r="D1832" i="7"/>
  <c r="B1832" i="7"/>
  <c r="C1832" i="7" s="1"/>
  <c r="B1831" i="7"/>
  <c r="C1831" i="7" s="1"/>
  <c r="B1830" i="7"/>
  <c r="C1830" i="7" s="1"/>
  <c r="D1829" i="7"/>
  <c r="B1829" i="7"/>
  <c r="C1829" i="7" s="1"/>
  <c r="A1829" i="7"/>
  <c r="B1828" i="7"/>
  <c r="C1828" i="7" s="1"/>
  <c r="D1827" i="7"/>
  <c r="A1827" i="7" s="1"/>
  <c r="B1827" i="7"/>
  <c r="C1827" i="7" s="1"/>
  <c r="D1826" i="7"/>
  <c r="B1826" i="7"/>
  <c r="C1826" i="7" s="1"/>
  <c r="D1825" i="7"/>
  <c r="A1825" i="7" s="1"/>
  <c r="B1825" i="7"/>
  <c r="C1825" i="7" s="1"/>
  <c r="D1824" i="7"/>
  <c r="B1824" i="7"/>
  <c r="C1824" i="7" s="1"/>
  <c r="B1823" i="7"/>
  <c r="C1823" i="7" s="1"/>
  <c r="D1822" i="7"/>
  <c r="B1822" i="7"/>
  <c r="C1822" i="7" s="1"/>
  <c r="B1821" i="7"/>
  <c r="C1821" i="7" s="1"/>
  <c r="B1820" i="7"/>
  <c r="C1820" i="7" s="1"/>
  <c r="B1819" i="7"/>
  <c r="B1818" i="7"/>
  <c r="C1818" i="7" s="1"/>
  <c r="B1817" i="7"/>
  <c r="C1817" i="7" s="1"/>
  <c r="B1816" i="7"/>
  <c r="D1815" i="7"/>
  <c r="B1815" i="7"/>
  <c r="C1815" i="7" s="1"/>
  <c r="A1815" i="7"/>
  <c r="B1814" i="7"/>
  <c r="C1814" i="7" s="1"/>
  <c r="D1813" i="7"/>
  <c r="B1813" i="7"/>
  <c r="C1813" i="7" s="1"/>
  <c r="A1813" i="7"/>
  <c r="D1812" i="7"/>
  <c r="B1812" i="7"/>
  <c r="C1812" i="7" s="1"/>
  <c r="D1811" i="7"/>
  <c r="A1811" i="7" s="1"/>
  <c r="B1811" i="7"/>
  <c r="C1811" i="7" s="1"/>
  <c r="D1810" i="7"/>
  <c r="B1810" i="7"/>
  <c r="C1810" i="7" s="1"/>
  <c r="D1809" i="7"/>
  <c r="B1809" i="7"/>
  <c r="C1809" i="7" s="1"/>
  <c r="A1809" i="7" s="1"/>
  <c r="D1808" i="7"/>
  <c r="B1808" i="7"/>
  <c r="C1808" i="7" s="1"/>
  <c r="D1807" i="7"/>
  <c r="B1807" i="7"/>
  <c r="C1807" i="7" s="1"/>
  <c r="A1807" i="7" s="1"/>
  <c r="D1806" i="7"/>
  <c r="B1806" i="7"/>
  <c r="C1806" i="7" s="1"/>
  <c r="B1805" i="7"/>
  <c r="C1805" i="7" s="1"/>
  <c r="B1804" i="7"/>
  <c r="C1804" i="7" s="1"/>
  <c r="B1803" i="7"/>
  <c r="B1802" i="7"/>
  <c r="C1802" i="7" s="1"/>
  <c r="B1801" i="7"/>
  <c r="C1801" i="7" s="1"/>
  <c r="B1800" i="7"/>
  <c r="D1799" i="7"/>
  <c r="B1799" i="7"/>
  <c r="C1799" i="7" s="1"/>
  <c r="A1799" i="7"/>
  <c r="B1798" i="7"/>
  <c r="C1798" i="7" s="1"/>
  <c r="D1797" i="7"/>
  <c r="B1797" i="7"/>
  <c r="C1797" i="7" s="1"/>
  <c r="A1797" i="7"/>
  <c r="D1796" i="7"/>
  <c r="B1796" i="7"/>
  <c r="C1796" i="7" s="1"/>
  <c r="D1795" i="7"/>
  <c r="A1795" i="7" s="1"/>
  <c r="B1795" i="7"/>
  <c r="C1795" i="7" s="1"/>
  <c r="D1794" i="7"/>
  <c r="B1794" i="7"/>
  <c r="C1794" i="7" s="1"/>
  <c r="D1793" i="7"/>
  <c r="B1793" i="7"/>
  <c r="C1793" i="7" s="1"/>
  <c r="A1793" i="7" s="1"/>
  <c r="D1792" i="7"/>
  <c r="B1792" i="7"/>
  <c r="C1792" i="7" s="1"/>
  <c r="D1791" i="7"/>
  <c r="B1791" i="7"/>
  <c r="C1791" i="7" s="1"/>
  <c r="A1791" i="7" s="1"/>
  <c r="D1790" i="7"/>
  <c r="B1790" i="7"/>
  <c r="C1790" i="7" s="1"/>
  <c r="B1789" i="7"/>
  <c r="C1789" i="7" s="1"/>
  <c r="D1788" i="7"/>
  <c r="B1788" i="7"/>
  <c r="C1788" i="7" s="1"/>
  <c r="B1787" i="7"/>
  <c r="B1786" i="7"/>
  <c r="C1786" i="7" s="1"/>
  <c r="B1785" i="7"/>
  <c r="C1785" i="7" s="1"/>
  <c r="B1784" i="7"/>
  <c r="D1783" i="7"/>
  <c r="B1783" i="7"/>
  <c r="C1783" i="7" s="1"/>
  <c r="A1783" i="7"/>
  <c r="B1782" i="7"/>
  <c r="C1782" i="7" s="1"/>
  <c r="D1781" i="7"/>
  <c r="B1781" i="7"/>
  <c r="C1781" i="7" s="1"/>
  <c r="A1781" i="7"/>
  <c r="D1780" i="7"/>
  <c r="B1780" i="7"/>
  <c r="C1780" i="7" s="1"/>
  <c r="D1779" i="7"/>
  <c r="A1779" i="7" s="1"/>
  <c r="B1779" i="7"/>
  <c r="C1779" i="7" s="1"/>
  <c r="D1778" i="7"/>
  <c r="B1778" i="7"/>
  <c r="C1778" i="7" s="1"/>
  <c r="D1777" i="7"/>
  <c r="B1777" i="7"/>
  <c r="C1777" i="7" s="1"/>
  <c r="D1776" i="7"/>
  <c r="B1776" i="7"/>
  <c r="C1776" i="7" s="1"/>
  <c r="D1775" i="7"/>
  <c r="B1775" i="7"/>
  <c r="C1775" i="7" s="1"/>
  <c r="A1775" i="7" s="1"/>
  <c r="D1774" i="7"/>
  <c r="B1774" i="7"/>
  <c r="C1774" i="7" s="1"/>
  <c r="C1773" i="7"/>
  <c r="B1773" i="7"/>
  <c r="D1773" i="7" s="1"/>
  <c r="D1772" i="7"/>
  <c r="B1772" i="7"/>
  <c r="C1772" i="7" s="1"/>
  <c r="D1771" i="7"/>
  <c r="A1771" i="7" s="1"/>
  <c r="C1771" i="7"/>
  <c r="B1771" i="7"/>
  <c r="B1770" i="7"/>
  <c r="C1770" i="7" s="1"/>
  <c r="B1769" i="7"/>
  <c r="B1768" i="7"/>
  <c r="C1768" i="7" s="1"/>
  <c r="C1767" i="7"/>
  <c r="A1767" i="7" s="1"/>
  <c r="B1767" i="7"/>
  <c r="D1767" i="7" s="1"/>
  <c r="D1766" i="7"/>
  <c r="B1766" i="7"/>
  <c r="C1766" i="7" s="1"/>
  <c r="C1765" i="7"/>
  <c r="A1765" i="7" s="1"/>
  <c r="B1765" i="7"/>
  <c r="D1765" i="7" s="1"/>
  <c r="D1764" i="7"/>
  <c r="B1764" i="7"/>
  <c r="C1764" i="7" s="1"/>
  <c r="D1763" i="7"/>
  <c r="A1763" i="7" s="1"/>
  <c r="C1763" i="7"/>
  <c r="B1763" i="7"/>
  <c r="B1762" i="7"/>
  <c r="C1762" i="7" s="1"/>
  <c r="B1761" i="7"/>
  <c r="B1760" i="7"/>
  <c r="C1760" i="7" s="1"/>
  <c r="C1759" i="7"/>
  <c r="A1759" i="7" s="1"/>
  <c r="B1759" i="7"/>
  <c r="D1759" i="7" s="1"/>
  <c r="D1758" i="7"/>
  <c r="B1758" i="7"/>
  <c r="C1758" i="7" s="1"/>
  <c r="C1757" i="7"/>
  <c r="B1757" i="7"/>
  <c r="D1757" i="7" s="1"/>
  <c r="D1756" i="7"/>
  <c r="B1756" i="7"/>
  <c r="C1756" i="7" s="1"/>
  <c r="D1755" i="7"/>
  <c r="A1755" i="7" s="1"/>
  <c r="C1755" i="7"/>
  <c r="B1755" i="7"/>
  <c r="B1754" i="7"/>
  <c r="C1754" i="7" s="1"/>
  <c r="B1753" i="7"/>
  <c r="B1752" i="7"/>
  <c r="C1752" i="7" s="1"/>
  <c r="C1751" i="7"/>
  <c r="A1751" i="7" s="1"/>
  <c r="B1751" i="7"/>
  <c r="D1751" i="7" s="1"/>
  <c r="D1750" i="7"/>
  <c r="B1750" i="7"/>
  <c r="C1750" i="7" s="1"/>
  <c r="D1749" i="7"/>
  <c r="B1749" i="7"/>
  <c r="C1749" i="7" s="1"/>
  <c r="B1748" i="7"/>
  <c r="C1747" i="7"/>
  <c r="A1747" i="7" s="1"/>
  <c r="B1747" i="7"/>
  <c r="D1747" i="7" s="1"/>
  <c r="D1746" i="7"/>
  <c r="B1746" i="7"/>
  <c r="C1746" i="7" s="1"/>
  <c r="A1746" i="7"/>
  <c r="B1745" i="7"/>
  <c r="D1744" i="7"/>
  <c r="B1744" i="7"/>
  <c r="C1744" i="7" s="1"/>
  <c r="A1744" i="7" s="1"/>
  <c r="D1743" i="7"/>
  <c r="C1743" i="7"/>
  <c r="B1743" i="7"/>
  <c r="A1743" i="7"/>
  <c r="B1742" i="7"/>
  <c r="C1742" i="7" s="1"/>
  <c r="C1741" i="7"/>
  <c r="A1741" i="7" s="1"/>
  <c r="B1741" i="7"/>
  <c r="D1741" i="7" s="1"/>
  <c r="D1740" i="7"/>
  <c r="A1740" i="7" s="1"/>
  <c r="B1740" i="7"/>
  <c r="C1740" i="7" s="1"/>
  <c r="B1739" i="7"/>
  <c r="B1738" i="7"/>
  <c r="D1737" i="7"/>
  <c r="C1737" i="7"/>
  <c r="B1737" i="7"/>
  <c r="A1737" i="7"/>
  <c r="D1736" i="7"/>
  <c r="B1736" i="7"/>
  <c r="C1736" i="7" s="1"/>
  <c r="A1736" i="7"/>
  <c r="C1735" i="7"/>
  <c r="B1735" i="7"/>
  <c r="D1735" i="7" s="1"/>
  <c r="D1734" i="7"/>
  <c r="B1734" i="7"/>
  <c r="C1734" i="7" s="1"/>
  <c r="A1734" i="7" s="1"/>
  <c r="D1733" i="7"/>
  <c r="B1733" i="7"/>
  <c r="C1733" i="7" s="1"/>
  <c r="A1733" i="7" s="1"/>
  <c r="B1732" i="7"/>
  <c r="C1731" i="7"/>
  <c r="A1731" i="7" s="1"/>
  <c r="B1731" i="7"/>
  <c r="D1731" i="7" s="1"/>
  <c r="D1730" i="7"/>
  <c r="B1730" i="7"/>
  <c r="C1730" i="7" s="1"/>
  <c r="A1730" i="7"/>
  <c r="B1729" i="7"/>
  <c r="D1728" i="7"/>
  <c r="B1728" i="7"/>
  <c r="C1728" i="7" s="1"/>
  <c r="A1728" i="7" s="1"/>
  <c r="D1727" i="7"/>
  <c r="A1727" i="7" s="1"/>
  <c r="C1727" i="7"/>
  <c r="B1727" i="7"/>
  <c r="B1726" i="7"/>
  <c r="C1726" i="7" s="1"/>
  <c r="C1725" i="7"/>
  <c r="B1725" i="7"/>
  <c r="D1725" i="7" s="1"/>
  <c r="D1724" i="7"/>
  <c r="A1724" i="7" s="1"/>
  <c r="B1724" i="7"/>
  <c r="C1724" i="7" s="1"/>
  <c r="B1723" i="7"/>
  <c r="B1722" i="7"/>
  <c r="D1721" i="7"/>
  <c r="C1721" i="7"/>
  <c r="B1721" i="7"/>
  <c r="A1721" i="7"/>
  <c r="D1720" i="7"/>
  <c r="B1720" i="7"/>
  <c r="C1720" i="7" s="1"/>
  <c r="A1720" i="7"/>
  <c r="C1719" i="7"/>
  <c r="A1719" i="7" s="1"/>
  <c r="B1719" i="7"/>
  <c r="D1719" i="7" s="1"/>
  <c r="D1718" i="7"/>
  <c r="B1718" i="7"/>
  <c r="C1718" i="7" s="1"/>
  <c r="D1717" i="7"/>
  <c r="B1717" i="7"/>
  <c r="C1717" i="7" s="1"/>
  <c r="A1717" i="7" s="1"/>
  <c r="B1716" i="7"/>
  <c r="C1715" i="7"/>
  <c r="B1715" i="7"/>
  <c r="D1715" i="7" s="1"/>
  <c r="D1714" i="7"/>
  <c r="B1714" i="7"/>
  <c r="C1714" i="7" s="1"/>
  <c r="A1714" i="7"/>
  <c r="B1713" i="7"/>
  <c r="D1712" i="7"/>
  <c r="B1712" i="7"/>
  <c r="C1712" i="7" s="1"/>
  <c r="A1712" i="7" s="1"/>
  <c r="D1711" i="7"/>
  <c r="C1711" i="7"/>
  <c r="B1711" i="7"/>
  <c r="A1711" i="7"/>
  <c r="B1710" i="7"/>
  <c r="C1710" i="7" s="1"/>
  <c r="C1709" i="7"/>
  <c r="B1709" i="7"/>
  <c r="D1709" i="7" s="1"/>
  <c r="D1708" i="7"/>
  <c r="B1708" i="7"/>
  <c r="C1708" i="7" s="1"/>
  <c r="A1708" i="7"/>
  <c r="B1707" i="7"/>
  <c r="B1706" i="7"/>
  <c r="D1705" i="7"/>
  <c r="C1705" i="7"/>
  <c r="B1705" i="7"/>
  <c r="A1705" i="7"/>
  <c r="D1704" i="7"/>
  <c r="B1704" i="7"/>
  <c r="C1704" i="7" s="1"/>
  <c r="A1704" i="7"/>
  <c r="C1703" i="7"/>
  <c r="A1703" i="7" s="1"/>
  <c r="B1703" i="7"/>
  <c r="D1703" i="7" s="1"/>
  <c r="D1702" i="7"/>
  <c r="B1702" i="7"/>
  <c r="C1702" i="7" s="1"/>
  <c r="A1702" i="7" s="1"/>
  <c r="D1701" i="7"/>
  <c r="B1701" i="7"/>
  <c r="C1701" i="7" s="1"/>
  <c r="B1700" i="7"/>
  <c r="C1699" i="7"/>
  <c r="A1699" i="7" s="1"/>
  <c r="B1699" i="7"/>
  <c r="D1699" i="7" s="1"/>
  <c r="D1698" i="7"/>
  <c r="B1698" i="7"/>
  <c r="C1698" i="7" s="1"/>
  <c r="A1698" i="7"/>
  <c r="D1697" i="7"/>
  <c r="B1697" i="7"/>
  <c r="C1697" i="7" s="1"/>
  <c r="D1696" i="7"/>
  <c r="B1696" i="7"/>
  <c r="C1696" i="7" s="1"/>
  <c r="D1695" i="7"/>
  <c r="C1695" i="7"/>
  <c r="A1695" i="7" s="1"/>
  <c r="B1695" i="7"/>
  <c r="B1694" i="7"/>
  <c r="B1693" i="7"/>
  <c r="B1692" i="7"/>
  <c r="C1692" i="7" s="1"/>
  <c r="B1691" i="7"/>
  <c r="D1691" i="7" s="1"/>
  <c r="B1690" i="7"/>
  <c r="C1690" i="7" s="1"/>
  <c r="B1689" i="7"/>
  <c r="B1688" i="7"/>
  <c r="C1688" i="7" s="1"/>
  <c r="B1687" i="7"/>
  <c r="D1687" i="7" s="1"/>
  <c r="B1686" i="7"/>
  <c r="C1686" i="7" s="1"/>
  <c r="B1685" i="7"/>
  <c r="B1684" i="7"/>
  <c r="C1684" i="7" s="1"/>
  <c r="B1683" i="7"/>
  <c r="D1683" i="7" s="1"/>
  <c r="B1682" i="7"/>
  <c r="C1682" i="7" s="1"/>
  <c r="B1681" i="7"/>
  <c r="B1680" i="7"/>
  <c r="C1680" i="7" s="1"/>
  <c r="B1679" i="7"/>
  <c r="D1679" i="7" s="1"/>
  <c r="B1678" i="7"/>
  <c r="C1678" i="7" s="1"/>
  <c r="B1677" i="7"/>
  <c r="B1676" i="7"/>
  <c r="C1676" i="7" s="1"/>
  <c r="B1675" i="7"/>
  <c r="D1675" i="7" s="1"/>
  <c r="B1674" i="7"/>
  <c r="C1674" i="7" s="1"/>
  <c r="B1673" i="7"/>
  <c r="B1672" i="7"/>
  <c r="C1672" i="7" s="1"/>
  <c r="B1671" i="7"/>
  <c r="D1671" i="7" s="1"/>
  <c r="B1670" i="7"/>
  <c r="C1670" i="7" s="1"/>
  <c r="B1669" i="7"/>
  <c r="B1668" i="7"/>
  <c r="C1668" i="7" s="1"/>
  <c r="B1667" i="7"/>
  <c r="D1667" i="7" s="1"/>
  <c r="B1666" i="7"/>
  <c r="C1666" i="7" s="1"/>
  <c r="B1665" i="7"/>
  <c r="B1664" i="7"/>
  <c r="C1664" i="7" s="1"/>
  <c r="B1663" i="7"/>
  <c r="D1663" i="7" s="1"/>
  <c r="B1662" i="7"/>
  <c r="C1662" i="7" s="1"/>
  <c r="B1661" i="7"/>
  <c r="B1660" i="7"/>
  <c r="C1660" i="7" s="1"/>
  <c r="B1659" i="7"/>
  <c r="D1659" i="7" s="1"/>
  <c r="B1658" i="7"/>
  <c r="C1658" i="7" s="1"/>
  <c r="B1657" i="7"/>
  <c r="B1656" i="7"/>
  <c r="C1656" i="7" s="1"/>
  <c r="C1655" i="7"/>
  <c r="A1655" i="7" s="1"/>
  <c r="B1655" i="7"/>
  <c r="D1655" i="7" s="1"/>
  <c r="D1654" i="7"/>
  <c r="B1654" i="7"/>
  <c r="C1654" i="7" s="1"/>
  <c r="A1654" i="7"/>
  <c r="B1653" i="7"/>
  <c r="D1653" i="7" s="1"/>
  <c r="B1652" i="7"/>
  <c r="C1652" i="7" s="1"/>
  <c r="C1651" i="7"/>
  <c r="A1651" i="7" s="1"/>
  <c r="B1651" i="7"/>
  <c r="D1651" i="7" s="1"/>
  <c r="D1650" i="7"/>
  <c r="A1650" i="7" s="1"/>
  <c r="B1650" i="7"/>
  <c r="C1650" i="7" s="1"/>
  <c r="B1649" i="7"/>
  <c r="D1649" i="7" s="1"/>
  <c r="B1648" i="7"/>
  <c r="C1648" i="7" s="1"/>
  <c r="C1647" i="7"/>
  <c r="A1647" i="7" s="1"/>
  <c r="B1647" i="7"/>
  <c r="D1647" i="7" s="1"/>
  <c r="D1646" i="7"/>
  <c r="A1646" i="7" s="1"/>
  <c r="B1646" i="7"/>
  <c r="C1646" i="7" s="1"/>
  <c r="B1645" i="7"/>
  <c r="B1644" i="7"/>
  <c r="C1643" i="7"/>
  <c r="A1643" i="7" s="1"/>
  <c r="B1643" i="7"/>
  <c r="D1643" i="7" s="1"/>
  <c r="D1642" i="7"/>
  <c r="B1642" i="7"/>
  <c r="C1642" i="7" s="1"/>
  <c r="A1642" i="7"/>
  <c r="B1641" i="7"/>
  <c r="B1640" i="7"/>
  <c r="C1639" i="7"/>
  <c r="A1639" i="7" s="1"/>
  <c r="B1639" i="7"/>
  <c r="D1639" i="7" s="1"/>
  <c r="D1638" i="7"/>
  <c r="B1638" i="7"/>
  <c r="C1638" i="7" s="1"/>
  <c r="A1638" i="7"/>
  <c r="B1637" i="7"/>
  <c r="B1636" i="7"/>
  <c r="C1636" i="7" s="1"/>
  <c r="C1635" i="7"/>
  <c r="A1635" i="7" s="1"/>
  <c r="B1635" i="7"/>
  <c r="D1635" i="7" s="1"/>
  <c r="D1634" i="7"/>
  <c r="B1634" i="7"/>
  <c r="C1634" i="7" s="1"/>
  <c r="A1634" i="7"/>
  <c r="B1633" i="7"/>
  <c r="D1633" i="7" s="1"/>
  <c r="B1632" i="7"/>
  <c r="C1631" i="7"/>
  <c r="A1631" i="7" s="1"/>
  <c r="B1631" i="7"/>
  <c r="D1631" i="7" s="1"/>
  <c r="D1630" i="7"/>
  <c r="A1630" i="7" s="1"/>
  <c r="B1630" i="7"/>
  <c r="C1630" i="7" s="1"/>
  <c r="B1629" i="7"/>
  <c r="B1628" i="7"/>
  <c r="C1627" i="7"/>
  <c r="A1627" i="7" s="1"/>
  <c r="B1627" i="7"/>
  <c r="D1627" i="7" s="1"/>
  <c r="D1626" i="7"/>
  <c r="B1626" i="7"/>
  <c r="C1626" i="7" s="1"/>
  <c r="A1626" i="7"/>
  <c r="B1625" i="7"/>
  <c r="B1624" i="7"/>
  <c r="C1623" i="7"/>
  <c r="A1623" i="7" s="1"/>
  <c r="B1623" i="7"/>
  <c r="D1623" i="7" s="1"/>
  <c r="D1622" i="7"/>
  <c r="A1622" i="7" s="1"/>
  <c r="B1622" i="7"/>
  <c r="C1622" i="7" s="1"/>
  <c r="B1621" i="7"/>
  <c r="D1620" i="7"/>
  <c r="B1620" i="7"/>
  <c r="C1620" i="7" s="1"/>
  <c r="A1620" i="7"/>
  <c r="D1619" i="7"/>
  <c r="C1619" i="7"/>
  <c r="A1619" i="7" s="1"/>
  <c r="B1619" i="7"/>
  <c r="B1618" i="7"/>
  <c r="B1617" i="7"/>
  <c r="C1617" i="7" s="1"/>
  <c r="D1616" i="7"/>
  <c r="B1616" i="7"/>
  <c r="C1616" i="7" s="1"/>
  <c r="A1616" i="7"/>
  <c r="C1615" i="7"/>
  <c r="B1615" i="7"/>
  <c r="D1615" i="7" s="1"/>
  <c r="A1615" i="7"/>
  <c r="B1614" i="7"/>
  <c r="B1613" i="7"/>
  <c r="C1613" i="7" s="1"/>
  <c r="D1612" i="7"/>
  <c r="A1612" i="7" s="1"/>
  <c r="B1612" i="7"/>
  <c r="C1612" i="7" s="1"/>
  <c r="C1611" i="7"/>
  <c r="A1611" i="7" s="1"/>
  <c r="B1611" i="7"/>
  <c r="D1611" i="7" s="1"/>
  <c r="B1610" i="7"/>
  <c r="B1609" i="7"/>
  <c r="C1609" i="7" s="1"/>
  <c r="D1608" i="7"/>
  <c r="A1608" i="7" s="1"/>
  <c r="B1608" i="7"/>
  <c r="C1608" i="7" s="1"/>
  <c r="C1607" i="7"/>
  <c r="B1607" i="7"/>
  <c r="D1607" i="7" s="1"/>
  <c r="A1607" i="7"/>
  <c r="B1606" i="7"/>
  <c r="B1605" i="7"/>
  <c r="C1605" i="7" s="1"/>
  <c r="D1604" i="7"/>
  <c r="B1604" i="7"/>
  <c r="C1604" i="7" s="1"/>
  <c r="A1604" i="7"/>
  <c r="D1603" i="7"/>
  <c r="C1603" i="7"/>
  <c r="B1603" i="7"/>
  <c r="A1603" i="7"/>
  <c r="C1602" i="7"/>
  <c r="A1602" i="7" s="1"/>
  <c r="B1602" i="7"/>
  <c r="D1602" i="7" s="1"/>
  <c r="D1601" i="7"/>
  <c r="C1601" i="7"/>
  <c r="B1601" i="7"/>
  <c r="A1601" i="7"/>
  <c r="C1600" i="7"/>
  <c r="A1600" i="7" s="1"/>
  <c r="B1600" i="7"/>
  <c r="D1600" i="7" s="1"/>
  <c r="D1599" i="7"/>
  <c r="C1599" i="7"/>
  <c r="B1599" i="7"/>
  <c r="A1599" i="7"/>
  <c r="C1598" i="7"/>
  <c r="B1598" i="7"/>
  <c r="D1598" i="7" s="1"/>
  <c r="A1598" i="7"/>
  <c r="D1597" i="7"/>
  <c r="C1597" i="7"/>
  <c r="A1597" i="7" s="1"/>
  <c r="B1597" i="7"/>
  <c r="C1596" i="7"/>
  <c r="B1596" i="7"/>
  <c r="D1596" i="7" s="1"/>
  <c r="A1596" i="7"/>
  <c r="D1595" i="7"/>
  <c r="C1595" i="7"/>
  <c r="B1595" i="7"/>
  <c r="A1595" i="7"/>
  <c r="C1594" i="7"/>
  <c r="B1594" i="7"/>
  <c r="D1594" i="7" s="1"/>
  <c r="A1594" i="7"/>
  <c r="D1593" i="7"/>
  <c r="C1593" i="7"/>
  <c r="A1593" i="7" s="1"/>
  <c r="B1593" i="7"/>
  <c r="C1592" i="7"/>
  <c r="B1592" i="7"/>
  <c r="D1592" i="7" s="1"/>
  <c r="A1592" i="7"/>
  <c r="D1591" i="7"/>
  <c r="C1591" i="7"/>
  <c r="A1591" i="7" s="1"/>
  <c r="B1591" i="7"/>
  <c r="C1590" i="7"/>
  <c r="A1590" i="7" s="1"/>
  <c r="B1590" i="7"/>
  <c r="D1590" i="7" s="1"/>
  <c r="D1589" i="7"/>
  <c r="C1589" i="7"/>
  <c r="B1589" i="7"/>
  <c r="A1589" i="7"/>
  <c r="C1588" i="7"/>
  <c r="B1588" i="7"/>
  <c r="D1588" i="7" s="1"/>
  <c r="A1588" i="7"/>
  <c r="D1587" i="7"/>
  <c r="C1587" i="7"/>
  <c r="B1587" i="7"/>
  <c r="A1587" i="7"/>
  <c r="C1586" i="7"/>
  <c r="A1586" i="7" s="1"/>
  <c r="B1586" i="7"/>
  <c r="D1586" i="7" s="1"/>
  <c r="D1585" i="7"/>
  <c r="C1585" i="7"/>
  <c r="B1585" i="7"/>
  <c r="A1585" i="7"/>
  <c r="C1584" i="7"/>
  <c r="A1584" i="7" s="1"/>
  <c r="B1584" i="7"/>
  <c r="D1584" i="7" s="1"/>
  <c r="D1583" i="7"/>
  <c r="C1583" i="7"/>
  <c r="B1583" i="7"/>
  <c r="A1583" i="7"/>
  <c r="C1582" i="7"/>
  <c r="B1582" i="7"/>
  <c r="D1582" i="7" s="1"/>
  <c r="A1582" i="7"/>
  <c r="C1581" i="7"/>
  <c r="B1581" i="7"/>
  <c r="D1581" i="7" s="1"/>
  <c r="A1581" i="7"/>
  <c r="C1580" i="7"/>
  <c r="B1580" i="7"/>
  <c r="D1580" i="7" s="1"/>
  <c r="A1580" i="7"/>
  <c r="C1579" i="7"/>
  <c r="A1579" i="7" s="1"/>
  <c r="B1579" i="7"/>
  <c r="D1579" i="7" s="1"/>
  <c r="B1578" i="7"/>
  <c r="D1578" i="7" s="1"/>
  <c r="C1577" i="7"/>
  <c r="B1577" i="7"/>
  <c r="D1577" i="7" s="1"/>
  <c r="A1577" i="7"/>
  <c r="C1576" i="7"/>
  <c r="A1576" i="7" s="1"/>
  <c r="B1576" i="7"/>
  <c r="D1576" i="7" s="1"/>
  <c r="C1575" i="7"/>
  <c r="B1575" i="7"/>
  <c r="D1575" i="7" s="1"/>
  <c r="A1575" i="7"/>
  <c r="B1574" i="7"/>
  <c r="D1574" i="7" s="1"/>
  <c r="C1573" i="7"/>
  <c r="B1573" i="7"/>
  <c r="D1573" i="7" s="1"/>
  <c r="A1573" i="7"/>
  <c r="B1572" i="7"/>
  <c r="D1572" i="7" s="1"/>
  <c r="C1571" i="7"/>
  <c r="A1571" i="7" s="1"/>
  <c r="B1571" i="7"/>
  <c r="D1571" i="7" s="1"/>
  <c r="B1570" i="7"/>
  <c r="D1570" i="7" s="1"/>
  <c r="C1569" i="7"/>
  <c r="B1569" i="7"/>
  <c r="D1569" i="7" s="1"/>
  <c r="A1569" i="7"/>
  <c r="C1568" i="7"/>
  <c r="A1568" i="7" s="1"/>
  <c r="B1568" i="7"/>
  <c r="D1568" i="7" s="1"/>
  <c r="C1567" i="7"/>
  <c r="A1567" i="7" s="1"/>
  <c r="B1567" i="7"/>
  <c r="D1567" i="7" s="1"/>
  <c r="B1566" i="7"/>
  <c r="D1566" i="7" s="1"/>
  <c r="C1565" i="7"/>
  <c r="B1565" i="7"/>
  <c r="D1565" i="7" s="1"/>
  <c r="A1565" i="7"/>
  <c r="B1564" i="7"/>
  <c r="D1564" i="7" s="1"/>
  <c r="B1563" i="7"/>
  <c r="D1563" i="7" s="1"/>
  <c r="B1562" i="7"/>
  <c r="D1562" i="7" s="1"/>
  <c r="B1561" i="7"/>
  <c r="D1561" i="7" s="1"/>
  <c r="C1560" i="7"/>
  <c r="A1560" i="7" s="1"/>
  <c r="B1560" i="7"/>
  <c r="D1560" i="7" s="1"/>
  <c r="C1559" i="7"/>
  <c r="A1559" i="7" s="1"/>
  <c r="B1559" i="7"/>
  <c r="D1559" i="7" s="1"/>
  <c r="B1558" i="7"/>
  <c r="D1558" i="7" s="1"/>
  <c r="B1557" i="7"/>
  <c r="D1557" i="7" s="1"/>
  <c r="B1556" i="7"/>
  <c r="D1556" i="7" s="1"/>
  <c r="B1555" i="7"/>
  <c r="D1555" i="7" s="1"/>
  <c r="B1554" i="7"/>
  <c r="D1554" i="7" s="1"/>
  <c r="B1553" i="7"/>
  <c r="D1553" i="7" s="1"/>
  <c r="C1552" i="7"/>
  <c r="A1552" i="7" s="1"/>
  <c r="B1552" i="7"/>
  <c r="D1552" i="7" s="1"/>
  <c r="C1551" i="7"/>
  <c r="A1551" i="7" s="1"/>
  <c r="B1551" i="7"/>
  <c r="D1551" i="7" s="1"/>
  <c r="B1550" i="7"/>
  <c r="D1550" i="7" s="1"/>
  <c r="B1549" i="7"/>
  <c r="D1549" i="7" s="1"/>
  <c r="B1548" i="7"/>
  <c r="D1548" i="7" s="1"/>
  <c r="B1547" i="7"/>
  <c r="D1547" i="7" s="1"/>
  <c r="B1546" i="7"/>
  <c r="D1546" i="7" s="1"/>
  <c r="B1545" i="7"/>
  <c r="D1545" i="7" s="1"/>
  <c r="C1544" i="7"/>
  <c r="A1544" i="7" s="1"/>
  <c r="B1544" i="7"/>
  <c r="D1544" i="7" s="1"/>
  <c r="C1543" i="7"/>
  <c r="A1543" i="7" s="1"/>
  <c r="B1543" i="7"/>
  <c r="D1543" i="7" s="1"/>
  <c r="B1542" i="7"/>
  <c r="D1542" i="7" s="1"/>
  <c r="B1541" i="7"/>
  <c r="D1541" i="7" s="1"/>
  <c r="B1540" i="7"/>
  <c r="D1540" i="7" s="1"/>
  <c r="B1539" i="7"/>
  <c r="D1539" i="7" s="1"/>
  <c r="B1538" i="7"/>
  <c r="D1538" i="7" s="1"/>
  <c r="B1537" i="7"/>
  <c r="D1537" i="7" s="1"/>
  <c r="C1536" i="7"/>
  <c r="A1536" i="7" s="1"/>
  <c r="B1536" i="7"/>
  <c r="D1536" i="7" s="1"/>
  <c r="C1535" i="7"/>
  <c r="A1535" i="7" s="1"/>
  <c r="B1535" i="7"/>
  <c r="D1535" i="7" s="1"/>
  <c r="B1534" i="7"/>
  <c r="D1534" i="7" s="1"/>
  <c r="B1533" i="7"/>
  <c r="D1533" i="7" s="1"/>
  <c r="B1532" i="7"/>
  <c r="D1532" i="7" s="1"/>
  <c r="B1531" i="7"/>
  <c r="D1531" i="7" s="1"/>
  <c r="B1530" i="7"/>
  <c r="D1530" i="7" s="1"/>
  <c r="B1529" i="7"/>
  <c r="D1529" i="7" s="1"/>
  <c r="C1528" i="7"/>
  <c r="A1528" i="7" s="1"/>
  <c r="B1528" i="7"/>
  <c r="D1528" i="7" s="1"/>
  <c r="C1527" i="7"/>
  <c r="A1527" i="7" s="1"/>
  <c r="B1527" i="7"/>
  <c r="D1527" i="7" s="1"/>
  <c r="B1526" i="7"/>
  <c r="D1526" i="7" s="1"/>
  <c r="B1525" i="7"/>
  <c r="D1525" i="7" s="1"/>
  <c r="B1524" i="7"/>
  <c r="D1524" i="7" s="1"/>
  <c r="B1523" i="7"/>
  <c r="D1523" i="7" s="1"/>
  <c r="B1522" i="7"/>
  <c r="D1522" i="7" s="1"/>
  <c r="B1521" i="7"/>
  <c r="D1521" i="7" s="1"/>
  <c r="C1520" i="7"/>
  <c r="A1520" i="7" s="1"/>
  <c r="B1520" i="7"/>
  <c r="D1520" i="7" s="1"/>
  <c r="C1519" i="7"/>
  <c r="A1519" i="7" s="1"/>
  <c r="B1519" i="7"/>
  <c r="D1519" i="7" s="1"/>
  <c r="B1518" i="7"/>
  <c r="D1518" i="7" s="1"/>
  <c r="B1517" i="7"/>
  <c r="D1517" i="7" s="1"/>
  <c r="B1516" i="7"/>
  <c r="D1516" i="7" s="1"/>
  <c r="B1515" i="7"/>
  <c r="B1514" i="7"/>
  <c r="D1514" i="7" s="1"/>
  <c r="B1513" i="7"/>
  <c r="D1513" i="7" s="1"/>
  <c r="C1512" i="7"/>
  <c r="A1512" i="7" s="1"/>
  <c r="B1512" i="7"/>
  <c r="D1512" i="7" s="1"/>
  <c r="C1511" i="7"/>
  <c r="A1511" i="7" s="1"/>
  <c r="B1511" i="7"/>
  <c r="D1511" i="7" s="1"/>
  <c r="B1510" i="7"/>
  <c r="D1510" i="7" s="1"/>
  <c r="B1509" i="7"/>
  <c r="D1509" i="7" s="1"/>
  <c r="B1508" i="7"/>
  <c r="D1508" i="7" s="1"/>
  <c r="B1507" i="7"/>
  <c r="B1506" i="7"/>
  <c r="D1506" i="7" s="1"/>
  <c r="B1505" i="7"/>
  <c r="D1505" i="7" s="1"/>
  <c r="C1504" i="7"/>
  <c r="A1504" i="7" s="1"/>
  <c r="B1504" i="7"/>
  <c r="D1504" i="7" s="1"/>
  <c r="C1503" i="7"/>
  <c r="A1503" i="7" s="1"/>
  <c r="B1503" i="7"/>
  <c r="D1503" i="7" s="1"/>
  <c r="B1502" i="7"/>
  <c r="D1502" i="7" s="1"/>
  <c r="B1501" i="7"/>
  <c r="D1501" i="7" s="1"/>
  <c r="B1500" i="7"/>
  <c r="D1500" i="7" s="1"/>
  <c r="B1499" i="7"/>
  <c r="B1498" i="7"/>
  <c r="D1498" i="7" s="1"/>
  <c r="B1497" i="7"/>
  <c r="D1497" i="7" s="1"/>
  <c r="B1496" i="7"/>
  <c r="D1496" i="7" s="1"/>
  <c r="B1495" i="7"/>
  <c r="D1495" i="7" s="1"/>
  <c r="C1494" i="7"/>
  <c r="A1494" i="7" s="1"/>
  <c r="B1494" i="7"/>
  <c r="D1494" i="7" s="1"/>
  <c r="D1493" i="7"/>
  <c r="B1493" i="7"/>
  <c r="C1493" i="7" s="1"/>
  <c r="A1493" i="7" s="1"/>
  <c r="B1492" i="7"/>
  <c r="D1491" i="7"/>
  <c r="C1491" i="7"/>
  <c r="A1491" i="7" s="1"/>
  <c r="B1491" i="7"/>
  <c r="B1490" i="7"/>
  <c r="D1490" i="7" s="1"/>
  <c r="B1489" i="7"/>
  <c r="D1489" i="7" s="1"/>
  <c r="B1488" i="7"/>
  <c r="D1488" i="7" s="1"/>
  <c r="D1487" i="7"/>
  <c r="B1487" i="7"/>
  <c r="C1487" i="7" s="1"/>
  <c r="B1486" i="7"/>
  <c r="D1486" i="7" s="1"/>
  <c r="D1485" i="7"/>
  <c r="C1485" i="7"/>
  <c r="A1485" i="7" s="1"/>
  <c r="B1485" i="7"/>
  <c r="C1484" i="7"/>
  <c r="A1484" i="7" s="1"/>
  <c r="B1484" i="7"/>
  <c r="D1484" i="7" s="1"/>
  <c r="B1483" i="7"/>
  <c r="B1482" i="7"/>
  <c r="D1482" i="7" s="1"/>
  <c r="B1481" i="7"/>
  <c r="D1481" i="7" s="1"/>
  <c r="B1480" i="7"/>
  <c r="D1480" i="7" s="1"/>
  <c r="B1479" i="7"/>
  <c r="D1479" i="7" s="1"/>
  <c r="B1478" i="7"/>
  <c r="D1478" i="7" s="1"/>
  <c r="B1477" i="7"/>
  <c r="B1476" i="7"/>
  <c r="D1476" i="7" s="1"/>
  <c r="B1475" i="7"/>
  <c r="B1474" i="7"/>
  <c r="D1474" i="7" s="1"/>
  <c r="B1473" i="7"/>
  <c r="B1472" i="7"/>
  <c r="D1472" i="7" s="1"/>
  <c r="B1471" i="7"/>
  <c r="B1470" i="7"/>
  <c r="D1470" i="7" s="1"/>
  <c r="B1469" i="7"/>
  <c r="B1468" i="7"/>
  <c r="B1467" i="7"/>
  <c r="B1466" i="7"/>
  <c r="B1465" i="7"/>
  <c r="B1464" i="7"/>
  <c r="B1463" i="7"/>
  <c r="B1462" i="7"/>
  <c r="B1461" i="7"/>
  <c r="B1460" i="7"/>
  <c r="B1459" i="7"/>
  <c r="B1458" i="7"/>
  <c r="B1457" i="7"/>
  <c r="B1456" i="7"/>
  <c r="B1455" i="7"/>
  <c r="B1454" i="7"/>
  <c r="B1453" i="7"/>
  <c r="B1452" i="7"/>
  <c r="B1451" i="7"/>
  <c r="B1450" i="7"/>
  <c r="B1449" i="7"/>
  <c r="B1448" i="7"/>
  <c r="B1447" i="7"/>
  <c r="B1446" i="7"/>
  <c r="B1445" i="7"/>
  <c r="B1444" i="7"/>
  <c r="B1443" i="7"/>
  <c r="B1442" i="7"/>
  <c r="B1441" i="7"/>
  <c r="B1440" i="7"/>
  <c r="B1439" i="7"/>
  <c r="B1438" i="7"/>
  <c r="B1437" i="7"/>
  <c r="B1436" i="7"/>
  <c r="B1435" i="7"/>
  <c r="B1434" i="7"/>
  <c r="B1433" i="7"/>
  <c r="B1432" i="7"/>
  <c r="B1431" i="7"/>
  <c r="B1430" i="7"/>
  <c r="B1429" i="7"/>
  <c r="B1428" i="7"/>
  <c r="B1427" i="7"/>
  <c r="B1426" i="7"/>
  <c r="B1425" i="7"/>
  <c r="B1424" i="7"/>
  <c r="B1423" i="7"/>
  <c r="B1422" i="7"/>
  <c r="B1421" i="7"/>
  <c r="B1420" i="7"/>
  <c r="B1419" i="7"/>
  <c r="B1418" i="7"/>
  <c r="B1417" i="7"/>
  <c r="B1416" i="7"/>
  <c r="B1415" i="7"/>
  <c r="B1414" i="7"/>
  <c r="B1413" i="7"/>
  <c r="B1412" i="7"/>
  <c r="B1411" i="7"/>
  <c r="B1410" i="7"/>
  <c r="B1409" i="7"/>
  <c r="B1408" i="7"/>
  <c r="B1407" i="7"/>
  <c r="B1406" i="7"/>
  <c r="B1405" i="7"/>
  <c r="B1404" i="7"/>
  <c r="B1403" i="7"/>
  <c r="B1402" i="7"/>
  <c r="B1401" i="7"/>
  <c r="B1400" i="7"/>
  <c r="B1399" i="7"/>
  <c r="B1398" i="7"/>
  <c r="B1397" i="7"/>
  <c r="B1396" i="7"/>
  <c r="B1395" i="7"/>
  <c r="B1394" i="7"/>
  <c r="B1393" i="7"/>
  <c r="B1392" i="7"/>
  <c r="B1391" i="7"/>
  <c r="B1390" i="7"/>
  <c r="B1389" i="7"/>
  <c r="B1388" i="7"/>
  <c r="B1387" i="7"/>
  <c r="B1386" i="7"/>
  <c r="B1385" i="7"/>
  <c r="B1384" i="7"/>
  <c r="B1383" i="7"/>
  <c r="B1382" i="7"/>
  <c r="B1381" i="7"/>
  <c r="B1380" i="7"/>
  <c r="B1379" i="7"/>
  <c r="B1378" i="7"/>
  <c r="B1377" i="7"/>
  <c r="B1376" i="7"/>
  <c r="B1375" i="7"/>
  <c r="B1374" i="7"/>
  <c r="B1373" i="7"/>
  <c r="B1372" i="7"/>
  <c r="B1371" i="7"/>
  <c r="B1370" i="7"/>
  <c r="B1369" i="7"/>
  <c r="B1368" i="7"/>
  <c r="B1367" i="7"/>
  <c r="D1367" i="7" s="1"/>
  <c r="B1366" i="7"/>
  <c r="C1365" i="7"/>
  <c r="B1365" i="7"/>
  <c r="D1365" i="7" s="1"/>
  <c r="A1365" i="7"/>
  <c r="B1364" i="7"/>
  <c r="B1363" i="7"/>
  <c r="D1363" i="7" s="1"/>
  <c r="B1362" i="7"/>
  <c r="C1361" i="7"/>
  <c r="B1361" i="7"/>
  <c r="D1361" i="7" s="1"/>
  <c r="A1361" i="7"/>
  <c r="B1360" i="7"/>
  <c r="B1359" i="7"/>
  <c r="D1359" i="7" s="1"/>
  <c r="B1358" i="7"/>
  <c r="C1357" i="7"/>
  <c r="B1357" i="7"/>
  <c r="D1357" i="7" s="1"/>
  <c r="A1357" i="7"/>
  <c r="B1356" i="7"/>
  <c r="B1355" i="7"/>
  <c r="D1355" i="7" s="1"/>
  <c r="B1354" i="7"/>
  <c r="B1353" i="7"/>
  <c r="D1353" i="7" s="1"/>
  <c r="B1352" i="7"/>
  <c r="B1351" i="7"/>
  <c r="D1351" i="7" s="1"/>
  <c r="B1350" i="7"/>
  <c r="B1349" i="7"/>
  <c r="D1349" i="7" s="1"/>
  <c r="B1348" i="7"/>
  <c r="B1347" i="7"/>
  <c r="D1347" i="7" s="1"/>
  <c r="B1346" i="7"/>
  <c r="B1345" i="7"/>
  <c r="D1345" i="7" s="1"/>
  <c r="B1344" i="7"/>
  <c r="B1343" i="7"/>
  <c r="D1343" i="7" s="1"/>
  <c r="B1342" i="7"/>
  <c r="B1341" i="7"/>
  <c r="D1341" i="7" s="1"/>
  <c r="B1340" i="7"/>
  <c r="B1339" i="7"/>
  <c r="D1339" i="7" s="1"/>
  <c r="B1338" i="7"/>
  <c r="B1337" i="7"/>
  <c r="D1337" i="7" s="1"/>
  <c r="B1336" i="7"/>
  <c r="B1335" i="7"/>
  <c r="D1335" i="7" s="1"/>
  <c r="B1334" i="7"/>
  <c r="B1333" i="7"/>
  <c r="D1333" i="7" s="1"/>
  <c r="B1332" i="7"/>
  <c r="B1331" i="7"/>
  <c r="D1331" i="7" s="1"/>
  <c r="B1330" i="7"/>
  <c r="B1329" i="7"/>
  <c r="D1329" i="7" s="1"/>
  <c r="B1328" i="7"/>
  <c r="B1327" i="7"/>
  <c r="D1327" i="7" s="1"/>
  <c r="B1326" i="7"/>
  <c r="B1325" i="7"/>
  <c r="D1325" i="7" s="1"/>
  <c r="B1324" i="7"/>
  <c r="C1323" i="7"/>
  <c r="A1323" i="7" s="1"/>
  <c r="B1323" i="7"/>
  <c r="D1323" i="7" s="1"/>
  <c r="B1322" i="7"/>
  <c r="C1321" i="7"/>
  <c r="B1321" i="7"/>
  <c r="D1321" i="7" s="1"/>
  <c r="B1320" i="7"/>
  <c r="D1319" i="7"/>
  <c r="A1319" i="7" s="1"/>
  <c r="C1319" i="7"/>
  <c r="B1319" i="7"/>
  <c r="B1318" i="7"/>
  <c r="B1317" i="7"/>
  <c r="D1317" i="7" s="1"/>
  <c r="B1316" i="7"/>
  <c r="B1315" i="7"/>
  <c r="D1315" i="7" s="1"/>
  <c r="B1314" i="7"/>
  <c r="D1313" i="7"/>
  <c r="B1313" i="7"/>
  <c r="C1313" i="7" s="1"/>
  <c r="A1313" i="7" s="1"/>
  <c r="B1312" i="7"/>
  <c r="D1311" i="7"/>
  <c r="A1311" i="7" s="1"/>
  <c r="C1311" i="7"/>
  <c r="B1311" i="7"/>
  <c r="B1310" i="7"/>
  <c r="B1309" i="7"/>
  <c r="D1309" i="7" s="1"/>
  <c r="B1308" i="7"/>
  <c r="C1307" i="7"/>
  <c r="B1307" i="7"/>
  <c r="D1307" i="7" s="1"/>
  <c r="B1306" i="7"/>
  <c r="D1305" i="7"/>
  <c r="C1305" i="7"/>
  <c r="B1305" i="7"/>
  <c r="A1305" i="7"/>
  <c r="B1304" i="7"/>
  <c r="B1303" i="7"/>
  <c r="D1303" i="7" s="1"/>
  <c r="B1302" i="7"/>
  <c r="D1301" i="7"/>
  <c r="A1301" i="7" s="1"/>
  <c r="C1301" i="7"/>
  <c r="B1301" i="7"/>
  <c r="B1300" i="7"/>
  <c r="C1299" i="7"/>
  <c r="A1299" i="7" s="1"/>
  <c r="B1299" i="7"/>
  <c r="D1299" i="7" s="1"/>
  <c r="B1298" i="7"/>
  <c r="D1297" i="7"/>
  <c r="C1297" i="7"/>
  <c r="B1297" i="7"/>
  <c r="A1297" i="7"/>
  <c r="C1296" i="7"/>
  <c r="A1296" i="7" s="1"/>
  <c r="B1296" i="7"/>
  <c r="D1296" i="7" s="1"/>
  <c r="C1295" i="7"/>
  <c r="A1295" i="7" s="1"/>
  <c r="B1295" i="7"/>
  <c r="D1295" i="7" s="1"/>
  <c r="C1294" i="7"/>
  <c r="A1294" i="7" s="1"/>
  <c r="B1294" i="7"/>
  <c r="D1294" i="7" s="1"/>
  <c r="B1293" i="7"/>
  <c r="D1293" i="7" s="1"/>
  <c r="B1292" i="7"/>
  <c r="D1292" i="7" s="1"/>
  <c r="B1291" i="7"/>
  <c r="D1291" i="7" s="1"/>
  <c r="C1290" i="7"/>
  <c r="B1290" i="7"/>
  <c r="D1290" i="7" s="1"/>
  <c r="A1290" i="7"/>
  <c r="D1289" i="7"/>
  <c r="A1289" i="7" s="1"/>
  <c r="C1289" i="7"/>
  <c r="B1289" i="7"/>
  <c r="C1288" i="7"/>
  <c r="A1288" i="7" s="1"/>
  <c r="B1288" i="7"/>
  <c r="D1288" i="7" s="1"/>
  <c r="D1287" i="7"/>
  <c r="C1287" i="7"/>
  <c r="A1287" i="7" s="1"/>
  <c r="B1287" i="7"/>
  <c r="B1286" i="7"/>
  <c r="D1286" i="7" s="1"/>
  <c r="C1285" i="7"/>
  <c r="A1285" i="7" s="1"/>
  <c r="B1285" i="7"/>
  <c r="D1285" i="7" s="1"/>
  <c r="B1284" i="7"/>
  <c r="D1284" i="7" s="1"/>
  <c r="B1283" i="7"/>
  <c r="D1283" i="7" s="1"/>
  <c r="C1282" i="7"/>
  <c r="B1282" i="7"/>
  <c r="D1282" i="7" s="1"/>
  <c r="A1282" i="7"/>
  <c r="D1281" i="7"/>
  <c r="C1281" i="7"/>
  <c r="B1281" i="7"/>
  <c r="A1281" i="7"/>
  <c r="C1280" i="7"/>
  <c r="A1280" i="7" s="1"/>
  <c r="B1280" i="7"/>
  <c r="D1280" i="7" s="1"/>
  <c r="C1279" i="7"/>
  <c r="A1279" i="7" s="1"/>
  <c r="B1279" i="7"/>
  <c r="D1279" i="7" s="1"/>
  <c r="C1278" i="7"/>
  <c r="A1278" i="7" s="1"/>
  <c r="B1278" i="7"/>
  <c r="D1278" i="7" s="1"/>
  <c r="B1277" i="7"/>
  <c r="D1277" i="7" s="1"/>
  <c r="B1276" i="7"/>
  <c r="D1276" i="7" s="1"/>
  <c r="B1275" i="7"/>
  <c r="D1275" i="7" s="1"/>
  <c r="C1274" i="7"/>
  <c r="B1274" i="7"/>
  <c r="D1274" i="7" s="1"/>
  <c r="A1274" i="7"/>
  <c r="D1273" i="7"/>
  <c r="A1273" i="7" s="1"/>
  <c r="C1273" i="7"/>
  <c r="B1273" i="7"/>
  <c r="C1272" i="7"/>
  <c r="A1272" i="7" s="1"/>
  <c r="B1272" i="7"/>
  <c r="D1272" i="7" s="1"/>
  <c r="D1271" i="7"/>
  <c r="C1271" i="7"/>
  <c r="A1271" i="7" s="1"/>
  <c r="B1271" i="7"/>
  <c r="B1270" i="7"/>
  <c r="D1270" i="7" s="1"/>
  <c r="C1269" i="7"/>
  <c r="A1269" i="7" s="1"/>
  <c r="B1269" i="7"/>
  <c r="D1269" i="7" s="1"/>
  <c r="B1268" i="7"/>
  <c r="D1268" i="7" s="1"/>
  <c r="B1267" i="7"/>
  <c r="D1267" i="7" s="1"/>
  <c r="C1266" i="7"/>
  <c r="B1266" i="7"/>
  <c r="D1266" i="7" s="1"/>
  <c r="A1266" i="7"/>
  <c r="D1265" i="7"/>
  <c r="C1265" i="7"/>
  <c r="B1265" i="7"/>
  <c r="A1265" i="7"/>
  <c r="C1264" i="7"/>
  <c r="A1264" i="7" s="1"/>
  <c r="B1264" i="7"/>
  <c r="D1264" i="7" s="1"/>
  <c r="D1263" i="7"/>
  <c r="C1263" i="7"/>
  <c r="A1263" i="7" s="1"/>
  <c r="B1263" i="7"/>
  <c r="C1262" i="7"/>
  <c r="A1262" i="7" s="1"/>
  <c r="B1262" i="7"/>
  <c r="D1262" i="7" s="1"/>
  <c r="B1261" i="7"/>
  <c r="D1261" i="7" s="1"/>
  <c r="B1260" i="7"/>
  <c r="D1260" i="7" s="1"/>
  <c r="B1259" i="7"/>
  <c r="D1259" i="7" s="1"/>
  <c r="C1258" i="7"/>
  <c r="B1258" i="7"/>
  <c r="D1258" i="7" s="1"/>
  <c r="A1258" i="7"/>
  <c r="D1257" i="7"/>
  <c r="A1257" i="7" s="1"/>
  <c r="C1257" i="7"/>
  <c r="B1257" i="7"/>
  <c r="C1256" i="7"/>
  <c r="A1256" i="7" s="1"/>
  <c r="B1256" i="7"/>
  <c r="D1256" i="7" s="1"/>
  <c r="D1255" i="7"/>
  <c r="C1255" i="7"/>
  <c r="A1255" i="7" s="1"/>
  <c r="B1255" i="7"/>
  <c r="B1254" i="7"/>
  <c r="D1254" i="7" s="1"/>
  <c r="C1253" i="7"/>
  <c r="B1253" i="7"/>
  <c r="D1253" i="7" s="1"/>
  <c r="B1252" i="7"/>
  <c r="D1252" i="7" s="1"/>
  <c r="B1251" i="7"/>
  <c r="D1251" i="7" s="1"/>
  <c r="C1250" i="7"/>
  <c r="B1250" i="7"/>
  <c r="D1250" i="7" s="1"/>
  <c r="A1250" i="7"/>
  <c r="D1249" i="7"/>
  <c r="C1249" i="7"/>
  <c r="B1249" i="7"/>
  <c r="A1249" i="7"/>
  <c r="C1248" i="7"/>
  <c r="A1248" i="7" s="1"/>
  <c r="B1248" i="7"/>
  <c r="D1248" i="7" s="1"/>
  <c r="D1247" i="7"/>
  <c r="C1247" i="7"/>
  <c r="A1247" i="7" s="1"/>
  <c r="B1247" i="7"/>
  <c r="C1246" i="7"/>
  <c r="A1246" i="7" s="1"/>
  <c r="B1246" i="7"/>
  <c r="D1246" i="7" s="1"/>
  <c r="B1245" i="7"/>
  <c r="D1245" i="7" s="1"/>
  <c r="B1244" i="7"/>
  <c r="D1244" i="7" s="1"/>
  <c r="B1243" i="7"/>
  <c r="D1243" i="7" s="1"/>
  <c r="C1242" i="7"/>
  <c r="B1242" i="7"/>
  <c r="D1242" i="7" s="1"/>
  <c r="A1242" i="7"/>
  <c r="D1241" i="7"/>
  <c r="C1241" i="7"/>
  <c r="B1241" i="7"/>
  <c r="A1241" i="7"/>
  <c r="C1240" i="7"/>
  <c r="A1240" i="7" s="1"/>
  <c r="B1240" i="7"/>
  <c r="D1240" i="7" s="1"/>
  <c r="D1239" i="7"/>
  <c r="C1239" i="7"/>
  <c r="A1239" i="7" s="1"/>
  <c r="B1239" i="7"/>
  <c r="B1238" i="7"/>
  <c r="D1238" i="7" s="1"/>
  <c r="C1237" i="7"/>
  <c r="B1237" i="7"/>
  <c r="D1237" i="7" s="1"/>
  <c r="B1236" i="7"/>
  <c r="D1236" i="7" s="1"/>
  <c r="B1235" i="7"/>
  <c r="D1235" i="7" s="1"/>
  <c r="C1234" i="7"/>
  <c r="B1234" i="7"/>
  <c r="D1234" i="7" s="1"/>
  <c r="A1234" i="7"/>
  <c r="D1233" i="7"/>
  <c r="C1233" i="7"/>
  <c r="B1233" i="7"/>
  <c r="A1233" i="7"/>
  <c r="C1232" i="7"/>
  <c r="A1232" i="7" s="1"/>
  <c r="B1232" i="7"/>
  <c r="D1232" i="7" s="1"/>
  <c r="D1231" i="7"/>
  <c r="C1231" i="7"/>
  <c r="A1231" i="7" s="1"/>
  <c r="B1231" i="7"/>
  <c r="C1230" i="7"/>
  <c r="A1230" i="7" s="1"/>
  <c r="B1230" i="7"/>
  <c r="D1230" i="7" s="1"/>
  <c r="B1229" i="7"/>
  <c r="D1229" i="7" s="1"/>
  <c r="B1228" i="7"/>
  <c r="D1228" i="7" s="1"/>
  <c r="B1227" i="7"/>
  <c r="D1227" i="7" s="1"/>
  <c r="C1226" i="7"/>
  <c r="B1226" i="7"/>
  <c r="D1226" i="7" s="1"/>
  <c r="A1226" i="7"/>
  <c r="D1225" i="7"/>
  <c r="C1225" i="7"/>
  <c r="B1225" i="7"/>
  <c r="A1225" i="7"/>
  <c r="C1224" i="7"/>
  <c r="A1224" i="7" s="1"/>
  <c r="B1224" i="7"/>
  <c r="D1224" i="7" s="1"/>
  <c r="D1223" i="7"/>
  <c r="C1223" i="7"/>
  <c r="A1223" i="7" s="1"/>
  <c r="B1223" i="7"/>
  <c r="B1222" i="7"/>
  <c r="D1222" i="7" s="1"/>
  <c r="C1221" i="7"/>
  <c r="A1221" i="7" s="1"/>
  <c r="B1221" i="7"/>
  <c r="D1221" i="7" s="1"/>
  <c r="B1220" i="7"/>
  <c r="D1220" i="7" s="1"/>
  <c r="B1219" i="7"/>
  <c r="D1219" i="7" s="1"/>
  <c r="C1218" i="7"/>
  <c r="B1218" i="7"/>
  <c r="D1218" i="7" s="1"/>
  <c r="A1218" i="7"/>
  <c r="D1217" i="7"/>
  <c r="C1217" i="7"/>
  <c r="B1217" i="7"/>
  <c r="A1217" i="7"/>
  <c r="C1216" i="7"/>
  <c r="A1216" i="7" s="1"/>
  <c r="B1216" i="7"/>
  <c r="D1216" i="7" s="1"/>
  <c r="D1215" i="7"/>
  <c r="C1215" i="7"/>
  <c r="A1215" i="7" s="1"/>
  <c r="B1215" i="7"/>
  <c r="C1214" i="7"/>
  <c r="A1214" i="7" s="1"/>
  <c r="B1214" i="7"/>
  <c r="D1214" i="7" s="1"/>
  <c r="B1213" i="7"/>
  <c r="D1213" i="7" s="1"/>
  <c r="B1212" i="7"/>
  <c r="D1212" i="7" s="1"/>
  <c r="B1211" i="7"/>
  <c r="D1211" i="7" s="1"/>
  <c r="C1210" i="7"/>
  <c r="B1210" i="7"/>
  <c r="D1210" i="7" s="1"/>
  <c r="A1210" i="7"/>
  <c r="D1209" i="7"/>
  <c r="C1209" i="7"/>
  <c r="B1209" i="7"/>
  <c r="A1209" i="7"/>
  <c r="C1208" i="7"/>
  <c r="A1208" i="7" s="1"/>
  <c r="B1208" i="7"/>
  <c r="D1208" i="7" s="1"/>
  <c r="D1207" i="7"/>
  <c r="C1207" i="7"/>
  <c r="A1207" i="7" s="1"/>
  <c r="B1207" i="7"/>
  <c r="B1206" i="7"/>
  <c r="D1206" i="7" s="1"/>
  <c r="C1205" i="7"/>
  <c r="A1205" i="7" s="1"/>
  <c r="B1205" i="7"/>
  <c r="D1205" i="7" s="1"/>
  <c r="B1204" i="7"/>
  <c r="D1204" i="7" s="1"/>
  <c r="B1203" i="7"/>
  <c r="C1202" i="7"/>
  <c r="B1202" i="7"/>
  <c r="D1202" i="7" s="1"/>
  <c r="A1202" i="7"/>
  <c r="D1201" i="7"/>
  <c r="C1201" i="7"/>
  <c r="B1201" i="7"/>
  <c r="A1201" i="7"/>
  <c r="D1200" i="7"/>
  <c r="C1200" i="7"/>
  <c r="B1200" i="7"/>
  <c r="A1200" i="7"/>
  <c r="D1199" i="7"/>
  <c r="C1199" i="7"/>
  <c r="B1199" i="7"/>
  <c r="A1199" i="7"/>
  <c r="D1198" i="7"/>
  <c r="C1198" i="7"/>
  <c r="B1198" i="7"/>
  <c r="A1198" i="7"/>
  <c r="D1197" i="7"/>
  <c r="C1197" i="7"/>
  <c r="B1197" i="7"/>
  <c r="A1197" i="7"/>
  <c r="D1196" i="7"/>
  <c r="C1196" i="7"/>
  <c r="B1196" i="7"/>
  <c r="A1196" i="7"/>
  <c r="D1195" i="7"/>
  <c r="C1195" i="7"/>
  <c r="B1195" i="7"/>
  <c r="A1195" i="7"/>
  <c r="D1194" i="7"/>
  <c r="C1194" i="7"/>
  <c r="B1194" i="7"/>
  <c r="A1194" i="7"/>
  <c r="D1193" i="7"/>
  <c r="C1193" i="7"/>
  <c r="B1193" i="7"/>
  <c r="A1193" i="7"/>
  <c r="D1192" i="7"/>
  <c r="C1192" i="7"/>
  <c r="B1192" i="7"/>
  <c r="A1192" i="7"/>
  <c r="D1191" i="7"/>
  <c r="C1191" i="7"/>
  <c r="B1191" i="7"/>
  <c r="A1191" i="7"/>
  <c r="D1190" i="7"/>
  <c r="C1190" i="7"/>
  <c r="B1190" i="7"/>
  <c r="A1190" i="7"/>
  <c r="D1189" i="7"/>
  <c r="C1189" i="7"/>
  <c r="B1189" i="7"/>
  <c r="A1189" i="7"/>
  <c r="D1188" i="7"/>
  <c r="C1188" i="7"/>
  <c r="B1188" i="7"/>
  <c r="A1188" i="7"/>
  <c r="D1187" i="7"/>
  <c r="C1187" i="7"/>
  <c r="B1187" i="7"/>
  <c r="A1187" i="7"/>
  <c r="D1186" i="7"/>
  <c r="C1186" i="7"/>
  <c r="B1186" i="7"/>
  <c r="A1186" i="7"/>
  <c r="D1185" i="7"/>
  <c r="C1185" i="7"/>
  <c r="B1185" i="7"/>
  <c r="A1185" i="7"/>
  <c r="D1184" i="7"/>
  <c r="C1184" i="7"/>
  <c r="B1184" i="7"/>
  <c r="A1184" i="7"/>
  <c r="D1183" i="7"/>
  <c r="C1183" i="7"/>
  <c r="B1183" i="7"/>
  <c r="A1183" i="7"/>
  <c r="D1182" i="7"/>
  <c r="C1182" i="7"/>
  <c r="B1182" i="7"/>
  <c r="A1182" i="7"/>
  <c r="D1181" i="7"/>
  <c r="C1181" i="7"/>
  <c r="B1181" i="7"/>
  <c r="A1181" i="7"/>
  <c r="D1180" i="7"/>
  <c r="C1180" i="7"/>
  <c r="B1180" i="7"/>
  <c r="A1180" i="7"/>
  <c r="D1179" i="7"/>
  <c r="C1179" i="7"/>
  <c r="B1179" i="7"/>
  <c r="A1179" i="7"/>
  <c r="D1178" i="7"/>
  <c r="C1178" i="7"/>
  <c r="B1178" i="7"/>
  <c r="A1178" i="7"/>
  <c r="D1177" i="7"/>
  <c r="C1177" i="7"/>
  <c r="B1177" i="7"/>
  <c r="A1177" i="7"/>
  <c r="D1176" i="7"/>
  <c r="C1176" i="7"/>
  <c r="B1176" i="7"/>
  <c r="A1176" i="7"/>
  <c r="D1175" i="7"/>
  <c r="C1175" i="7"/>
  <c r="B1175" i="7"/>
  <c r="A1175" i="7"/>
  <c r="D1174" i="7"/>
  <c r="B1174" i="7"/>
  <c r="C1174" i="7" s="1"/>
  <c r="A1174" i="7"/>
  <c r="D1173" i="7"/>
  <c r="A1173" i="7" s="1"/>
  <c r="C1173" i="7"/>
  <c r="B1173" i="7"/>
  <c r="D1172" i="7"/>
  <c r="B1172" i="7"/>
  <c r="C1172" i="7" s="1"/>
  <c r="A1172" i="7"/>
  <c r="D1171" i="7"/>
  <c r="A1171" i="7" s="1"/>
  <c r="C1171" i="7"/>
  <c r="B1171" i="7"/>
  <c r="D1170" i="7"/>
  <c r="B1170" i="7"/>
  <c r="C1170" i="7" s="1"/>
  <c r="A1170" i="7" s="1"/>
  <c r="D1169" i="7"/>
  <c r="A1169" i="7" s="1"/>
  <c r="C1169" i="7"/>
  <c r="B1169" i="7"/>
  <c r="D1168" i="7"/>
  <c r="B1168" i="7"/>
  <c r="C1168" i="7" s="1"/>
  <c r="A1168" i="7"/>
  <c r="D1167" i="7"/>
  <c r="C1167" i="7"/>
  <c r="B1167" i="7"/>
  <c r="A1167" i="7"/>
  <c r="B1166" i="7"/>
  <c r="C1166" i="7" s="1"/>
  <c r="D1165" i="7"/>
  <c r="B1165" i="7"/>
  <c r="C1165" i="7" s="1"/>
  <c r="A1165" i="7" s="1"/>
  <c r="B1164" i="7"/>
  <c r="C1164" i="7" s="1"/>
  <c r="D1163" i="7"/>
  <c r="A1163" i="7" s="1"/>
  <c r="B1163" i="7"/>
  <c r="C1163" i="7" s="1"/>
  <c r="B1162" i="7"/>
  <c r="C1162" i="7" s="1"/>
  <c r="D1161" i="7"/>
  <c r="B1161" i="7"/>
  <c r="C1161" i="7" s="1"/>
  <c r="A1161" i="7"/>
  <c r="B1160" i="7"/>
  <c r="C1160" i="7" s="1"/>
  <c r="D1159" i="7"/>
  <c r="A1159" i="7" s="1"/>
  <c r="B1159" i="7"/>
  <c r="C1159" i="7" s="1"/>
  <c r="B1158" i="7"/>
  <c r="C1158" i="7" s="1"/>
  <c r="D1157" i="7"/>
  <c r="B1157" i="7"/>
  <c r="C1157" i="7" s="1"/>
  <c r="A1157" i="7" s="1"/>
  <c r="B1156" i="7"/>
  <c r="C1156" i="7" s="1"/>
  <c r="D1155" i="7"/>
  <c r="A1155" i="7" s="1"/>
  <c r="B1155" i="7"/>
  <c r="C1155" i="7" s="1"/>
  <c r="B1154" i="7"/>
  <c r="C1154" i="7" s="1"/>
  <c r="B1153" i="7"/>
  <c r="C1153" i="7" s="1"/>
  <c r="B1152" i="7"/>
  <c r="B1151" i="7"/>
  <c r="B1150" i="7"/>
  <c r="B1149" i="7"/>
  <c r="C1149" i="7" s="1"/>
  <c r="B1148" i="7"/>
  <c r="D1147" i="7"/>
  <c r="A1147" i="7" s="1"/>
  <c r="B1147" i="7"/>
  <c r="C1147" i="7" s="1"/>
  <c r="B1146" i="7"/>
  <c r="B1145" i="7"/>
  <c r="C1145" i="7" s="1"/>
  <c r="B1144" i="7"/>
  <c r="D1143" i="7"/>
  <c r="A1143" i="7" s="1"/>
  <c r="B1143" i="7"/>
  <c r="C1143" i="7" s="1"/>
  <c r="B1142" i="7"/>
  <c r="D1141" i="7"/>
  <c r="B1141" i="7"/>
  <c r="C1141" i="7" s="1"/>
  <c r="B1140" i="7"/>
  <c r="D1139" i="7"/>
  <c r="A1139" i="7" s="1"/>
  <c r="B1139" i="7"/>
  <c r="C1139" i="7" s="1"/>
  <c r="B1138" i="7"/>
  <c r="B1137" i="7"/>
  <c r="C1137" i="7" s="1"/>
  <c r="B1136" i="7"/>
  <c r="B1135" i="7"/>
  <c r="B1134" i="7"/>
  <c r="B1133" i="7"/>
  <c r="C1133" i="7" s="1"/>
  <c r="B1132" i="7"/>
  <c r="D1131" i="7"/>
  <c r="A1131" i="7" s="1"/>
  <c r="B1131" i="7"/>
  <c r="C1131" i="7" s="1"/>
  <c r="B1130" i="7"/>
  <c r="B1129" i="7"/>
  <c r="C1129" i="7" s="1"/>
  <c r="B1128" i="7"/>
  <c r="D1127" i="7"/>
  <c r="A1127" i="7" s="1"/>
  <c r="B1127" i="7"/>
  <c r="C1127" i="7" s="1"/>
  <c r="B1126" i="7"/>
  <c r="D1125" i="7"/>
  <c r="B1125" i="7"/>
  <c r="C1125" i="7" s="1"/>
  <c r="A1125" i="7" s="1"/>
  <c r="B1124" i="7"/>
  <c r="D1123" i="7"/>
  <c r="A1123" i="7" s="1"/>
  <c r="B1123" i="7"/>
  <c r="C1123" i="7" s="1"/>
  <c r="B1122" i="7"/>
  <c r="B1121" i="7"/>
  <c r="C1121" i="7" s="1"/>
  <c r="B1120" i="7"/>
  <c r="B1119" i="7"/>
  <c r="B1118" i="7"/>
  <c r="B1117" i="7"/>
  <c r="C1117" i="7" s="1"/>
  <c r="B1116" i="7"/>
  <c r="D1115" i="7"/>
  <c r="A1115" i="7" s="1"/>
  <c r="B1115" i="7"/>
  <c r="C1115" i="7" s="1"/>
  <c r="B1114" i="7"/>
  <c r="B1113" i="7"/>
  <c r="C1113" i="7" s="1"/>
  <c r="B1112" i="7"/>
  <c r="D1111" i="7"/>
  <c r="A1111" i="7" s="1"/>
  <c r="B1111" i="7"/>
  <c r="C1111" i="7" s="1"/>
  <c r="B1110" i="7"/>
  <c r="D1109" i="7"/>
  <c r="B1109" i="7"/>
  <c r="C1109" i="7" s="1"/>
  <c r="B1108" i="7"/>
  <c r="D1107" i="7"/>
  <c r="A1107" i="7" s="1"/>
  <c r="B1107" i="7"/>
  <c r="C1107" i="7" s="1"/>
  <c r="B1106" i="7"/>
  <c r="B1105" i="7"/>
  <c r="C1105" i="7" s="1"/>
  <c r="B1104" i="7"/>
  <c r="B1103" i="7"/>
  <c r="B1102" i="7"/>
  <c r="B1101" i="7"/>
  <c r="C1101" i="7" s="1"/>
  <c r="B1100" i="7"/>
  <c r="D1099" i="7"/>
  <c r="B1099" i="7"/>
  <c r="C1099" i="7" s="1"/>
  <c r="A1099" i="7"/>
  <c r="B1098" i="7"/>
  <c r="B1097" i="7"/>
  <c r="B1096" i="7"/>
  <c r="D1095" i="7"/>
  <c r="C1095" i="7"/>
  <c r="A1095" i="7" s="1"/>
  <c r="B1095" i="7"/>
  <c r="B1094" i="7"/>
  <c r="C1093" i="7"/>
  <c r="B1093" i="7"/>
  <c r="D1093" i="7" s="1"/>
  <c r="B1092" i="7"/>
  <c r="D1091" i="7"/>
  <c r="A1091" i="7" s="1"/>
  <c r="C1091" i="7"/>
  <c r="B1091" i="7"/>
  <c r="B1090" i="7"/>
  <c r="B1089" i="7"/>
  <c r="B1088" i="7"/>
  <c r="D1087" i="7"/>
  <c r="C1087" i="7"/>
  <c r="A1087" i="7" s="1"/>
  <c r="B1087" i="7"/>
  <c r="B1086" i="7"/>
  <c r="C1085" i="7"/>
  <c r="B1085" i="7"/>
  <c r="D1085" i="7" s="1"/>
  <c r="B1084" i="7"/>
  <c r="D1083" i="7"/>
  <c r="A1083" i="7" s="1"/>
  <c r="C1083" i="7"/>
  <c r="B1083" i="7"/>
  <c r="B1082" i="7"/>
  <c r="B1081" i="7"/>
  <c r="B1080" i="7"/>
  <c r="D1079" i="7"/>
  <c r="C1079" i="7"/>
  <c r="A1079" i="7" s="1"/>
  <c r="B1079" i="7"/>
  <c r="B1078" i="7"/>
  <c r="C1077" i="7"/>
  <c r="B1077" i="7"/>
  <c r="D1077" i="7" s="1"/>
  <c r="B1076" i="7"/>
  <c r="D1075" i="7"/>
  <c r="C1075" i="7"/>
  <c r="A1075" i="7" s="1"/>
  <c r="B1075" i="7"/>
  <c r="B1074" i="7"/>
  <c r="B1073" i="7"/>
  <c r="B1072" i="7"/>
  <c r="D1071" i="7"/>
  <c r="C1071" i="7"/>
  <c r="A1071" i="7" s="1"/>
  <c r="B1071" i="7"/>
  <c r="D1070" i="7"/>
  <c r="B1070" i="7"/>
  <c r="C1070" i="7" s="1"/>
  <c r="D1069" i="7"/>
  <c r="B1069" i="7"/>
  <c r="C1069" i="7" s="1"/>
  <c r="B1068" i="7"/>
  <c r="C1067" i="7"/>
  <c r="B1067" i="7"/>
  <c r="D1067" i="7" s="1"/>
  <c r="B1066" i="7"/>
  <c r="C1066" i="7" s="1"/>
  <c r="B1065" i="7"/>
  <c r="C1065" i="7" s="1"/>
  <c r="D1064" i="7"/>
  <c r="A1064" i="7" s="1"/>
  <c r="B1064" i="7"/>
  <c r="C1064" i="7" s="1"/>
  <c r="D1063" i="7"/>
  <c r="C1063" i="7"/>
  <c r="A1063" i="7" s="1"/>
  <c r="B1063" i="7"/>
  <c r="B1062" i="7"/>
  <c r="C1062" i="7" s="1"/>
  <c r="B1061" i="7"/>
  <c r="D1061" i="7" s="1"/>
  <c r="D1060" i="7"/>
  <c r="A1060" i="7" s="1"/>
  <c r="B1060" i="7"/>
  <c r="C1060" i="7" s="1"/>
  <c r="B1059" i="7"/>
  <c r="B1058" i="7"/>
  <c r="D1057" i="7"/>
  <c r="B1057" i="7"/>
  <c r="C1057" i="7" s="1"/>
  <c r="A1057" i="7"/>
  <c r="D1056" i="7"/>
  <c r="A1056" i="7" s="1"/>
  <c r="B1056" i="7"/>
  <c r="C1056" i="7" s="1"/>
  <c r="D1055" i="7"/>
  <c r="C1055" i="7"/>
  <c r="A1055" i="7" s="1"/>
  <c r="B1055" i="7"/>
  <c r="D1054" i="7"/>
  <c r="C1054" i="7"/>
  <c r="B1054" i="7"/>
  <c r="A1054" i="7"/>
  <c r="D1053" i="7"/>
  <c r="C1053" i="7"/>
  <c r="A1053" i="7" s="1"/>
  <c r="B1053" i="7"/>
  <c r="D1052" i="7"/>
  <c r="C1052" i="7"/>
  <c r="B1052" i="7"/>
  <c r="A1052" i="7"/>
  <c r="D1051" i="7"/>
  <c r="C1051" i="7"/>
  <c r="A1051" i="7" s="1"/>
  <c r="B1051" i="7"/>
  <c r="D1050" i="7"/>
  <c r="C1050" i="7"/>
  <c r="B1050" i="7"/>
  <c r="A1050" i="7"/>
  <c r="D1049" i="7"/>
  <c r="C1049" i="7"/>
  <c r="A1049" i="7" s="1"/>
  <c r="B1049" i="7"/>
  <c r="D1048" i="7"/>
  <c r="C1048" i="7"/>
  <c r="A1048" i="7" s="1"/>
  <c r="B1048" i="7"/>
  <c r="C1047" i="7"/>
  <c r="B1047" i="7"/>
  <c r="D1047" i="7" s="1"/>
  <c r="D1046" i="7"/>
  <c r="C1046" i="7"/>
  <c r="A1046" i="7" s="1"/>
  <c r="B1046" i="7"/>
  <c r="C1045" i="7"/>
  <c r="B1045" i="7"/>
  <c r="D1045" i="7" s="1"/>
  <c r="D1044" i="7"/>
  <c r="C1044" i="7"/>
  <c r="A1044" i="7" s="1"/>
  <c r="B1044" i="7"/>
  <c r="C1043" i="7"/>
  <c r="A1043" i="7" s="1"/>
  <c r="B1043" i="7"/>
  <c r="D1043" i="7" s="1"/>
  <c r="D1042" i="7"/>
  <c r="C1042" i="7"/>
  <c r="B1042" i="7"/>
  <c r="A1042" i="7"/>
  <c r="C1041" i="7"/>
  <c r="B1041" i="7"/>
  <c r="D1041" i="7" s="1"/>
  <c r="D1040" i="7"/>
  <c r="C1040" i="7"/>
  <c r="A1040" i="7" s="1"/>
  <c r="B1040" i="7"/>
  <c r="C1039" i="7"/>
  <c r="B1039" i="7"/>
  <c r="D1039" i="7" s="1"/>
  <c r="D1038" i="7"/>
  <c r="C1038" i="7"/>
  <c r="A1038" i="7" s="1"/>
  <c r="B1038" i="7"/>
  <c r="C1037" i="7"/>
  <c r="A1037" i="7" s="1"/>
  <c r="B1037" i="7"/>
  <c r="D1037" i="7" s="1"/>
  <c r="D1036" i="7"/>
  <c r="C1036" i="7"/>
  <c r="A1036" i="7" s="1"/>
  <c r="B1036" i="7"/>
  <c r="C1035" i="7"/>
  <c r="A1035" i="7" s="1"/>
  <c r="B1035" i="7"/>
  <c r="D1035" i="7" s="1"/>
  <c r="D1034" i="7"/>
  <c r="C1034" i="7"/>
  <c r="B1034" i="7"/>
  <c r="A1034" i="7"/>
  <c r="C1033" i="7"/>
  <c r="B1033" i="7"/>
  <c r="D1033" i="7" s="1"/>
  <c r="D1032" i="7"/>
  <c r="C1032" i="7"/>
  <c r="A1032" i="7" s="1"/>
  <c r="B1032" i="7"/>
  <c r="C1031" i="7"/>
  <c r="B1031" i="7"/>
  <c r="D1031" i="7" s="1"/>
  <c r="D1030" i="7"/>
  <c r="C1030" i="7"/>
  <c r="A1030" i="7" s="1"/>
  <c r="B1030" i="7"/>
  <c r="C1029" i="7"/>
  <c r="A1029" i="7" s="1"/>
  <c r="B1029" i="7"/>
  <c r="D1029" i="7" s="1"/>
  <c r="D1028" i="7"/>
  <c r="C1028" i="7"/>
  <c r="A1028" i="7" s="1"/>
  <c r="B1028" i="7"/>
  <c r="C1027" i="7"/>
  <c r="A1027" i="7" s="1"/>
  <c r="B1027" i="7"/>
  <c r="D1027" i="7" s="1"/>
  <c r="D1026" i="7"/>
  <c r="C1026" i="7"/>
  <c r="B1026" i="7"/>
  <c r="A1026" i="7"/>
  <c r="C1025" i="7"/>
  <c r="B1025" i="7"/>
  <c r="D1025" i="7" s="1"/>
  <c r="D1024" i="7"/>
  <c r="C1024" i="7"/>
  <c r="A1024" i="7" s="1"/>
  <c r="B1024" i="7"/>
  <c r="C1023" i="7"/>
  <c r="B1023" i="7"/>
  <c r="D1023" i="7" s="1"/>
  <c r="D1022" i="7"/>
  <c r="C1022" i="7"/>
  <c r="A1022" i="7" s="1"/>
  <c r="B1022" i="7"/>
  <c r="C1021" i="7"/>
  <c r="A1021" i="7" s="1"/>
  <c r="B1021" i="7"/>
  <c r="D1021" i="7" s="1"/>
  <c r="D1020" i="7"/>
  <c r="C1020" i="7"/>
  <c r="A1020" i="7" s="1"/>
  <c r="B1020" i="7"/>
  <c r="C1019" i="7"/>
  <c r="A1019" i="7" s="1"/>
  <c r="B1019" i="7"/>
  <c r="D1019" i="7" s="1"/>
  <c r="D1018" i="7"/>
  <c r="C1018" i="7"/>
  <c r="B1018" i="7"/>
  <c r="A1018" i="7"/>
  <c r="C1017" i="7"/>
  <c r="B1017" i="7"/>
  <c r="D1017" i="7" s="1"/>
  <c r="D1016" i="7"/>
  <c r="C1016" i="7"/>
  <c r="A1016" i="7" s="1"/>
  <c r="B1016" i="7"/>
  <c r="C1015" i="7"/>
  <c r="B1015" i="7"/>
  <c r="D1015" i="7" s="1"/>
  <c r="D1014" i="7"/>
  <c r="C1014" i="7"/>
  <c r="A1014" i="7" s="1"/>
  <c r="B1014" i="7"/>
  <c r="C1013" i="7"/>
  <c r="A1013" i="7" s="1"/>
  <c r="B1013" i="7"/>
  <c r="D1013" i="7" s="1"/>
  <c r="D1012" i="7"/>
  <c r="C1012" i="7"/>
  <c r="A1012" i="7" s="1"/>
  <c r="B1012" i="7"/>
  <c r="C1011" i="7"/>
  <c r="A1011" i="7" s="1"/>
  <c r="B1011" i="7"/>
  <c r="D1011" i="7" s="1"/>
  <c r="D1010" i="7"/>
  <c r="C1010" i="7"/>
  <c r="B1010" i="7"/>
  <c r="A1010" i="7"/>
  <c r="C1009" i="7"/>
  <c r="B1009" i="7"/>
  <c r="D1009" i="7" s="1"/>
  <c r="D1008" i="7"/>
  <c r="C1008" i="7"/>
  <c r="A1008" i="7" s="1"/>
  <c r="B1008" i="7"/>
  <c r="C1007" i="7"/>
  <c r="B1007" i="7"/>
  <c r="D1007" i="7" s="1"/>
  <c r="D1006" i="7"/>
  <c r="C1006" i="7"/>
  <c r="A1006" i="7" s="1"/>
  <c r="B1006" i="7"/>
  <c r="C1005" i="7"/>
  <c r="A1005" i="7" s="1"/>
  <c r="B1005" i="7"/>
  <c r="D1005" i="7" s="1"/>
  <c r="D1004" i="7"/>
  <c r="C1004" i="7"/>
  <c r="A1004" i="7" s="1"/>
  <c r="B1004" i="7"/>
  <c r="C1003" i="7"/>
  <c r="A1003" i="7" s="1"/>
  <c r="B1003" i="7"/>
  <c r="D1003" i="7" s="1"/>
  <c r="D1002" i="7"/>
  <c r="C1002" i="7"/>
  <c r="B1002" i="7"/>
  <c r="A1002" i="7"/>
  <c r="B1001" i="7"/>
  <c r="D1001" i="7" s="1"/>
  <c r="D1000" i="7"/>
  <c r="C1000" i="7"/>
  <c r="A1000" i="7" s="1"/>
  <c r="B1000" i="7"/>
  <c r="B999" i="7"/>
  <c r="D999" i="7" s="1"/>
  <c r="D998" i="7"/>
  <c r="C998" i="7"/>
  <c r="A998" i="7" s="1"/>
  <c r="B998" i="7"/>
  <c r="B997" i="7"/>
  <c r="D997" i="7" s="1"/>
  <c r="D996" i="7"/>
  <c r="C996" i="7"/>
  <c r="B996" i="7"/>
  <c r="A996" i="7"/>
  <c r="B995" i="7"/>
  <c r="D995" i="7" s="1"/>
  <c r="D994" i="7"/>
  <c r="C994" i="7"/>
  <c r="A994" i="7" s="1"/>
  <c r="B994" i="7"/>
  <c r="B993" i="7"/>
  <c r="D993" i="7" s="1"/>
  <c r="D992" i="7"/>
  <c r="C992" i="7"/>
  <c r="B992" i="7"/>
  <c r="A992" i="7"/>
  <c r="B991" i="7"/>
  <c r="D991" i="7" s="1"/>
  <c r="D990" i="7"/>
  <c r="C990" i="7"/>
  <c r="A990" i="7" s="1"/>
  <c r="B990" i="7"/>
  <c r="B989" i="7"/>
  <c r="D989" i="7" s="1"/>
  <c r="D988" i="7"/>
  <c r="A988" i="7" s="1"/>
  <c r="C988" i="7"/>
  <c r="B988" i="7"/>
  <c r="B987" i="7"/>
  <c r="D987" i="7" s="1"/>
  <c r="B986" i="7"/>
  <c r="D986" i="7" s="1"/>
  <c r="B985" i="7"/>
  <c r="D984" i="7"/>
  <c r="C984" i="7"/>
  <c r="A984" i="7" s="1"/>
  <c r="B984" i="7"/>
  <c r="B983" i="7"/>
  <c r="C982" i="7"/>
  <c r="B982" i="7"/>
  <c r="D982" i="7" s="1"/>
  <c r="B981" i="7"/>
  <c r="D980" i="7"/>
  <c r="C980" i="7"/>
  <c r="B980" i="7"/>
  <c r="A980" i="7"/>
  <c r="B979" i="7"/>
  <c r="C978" i="7"/>
  <c r="B978" i="7"/>
  <c r="D978" i="7" s="1"/>
  <c r="B977" i="7"/>
  <c r="B976" i="7"/>
  <c r="B975" i="7"/>
  <c r="D974" i="7"/>
  <c r="C974" i="7"/>
  <c r="A974" i="7" s="1"/>
  <c r="B974" i="7"/>
  <c r="B973" i="7"/>
  <c r="D972" i="7"/>
  <c r="B972" i="7"/>
  <c r="C972" i="7" s="1"/>
  <c r="B971" i="7"/>
  <c r="B970" i="7"/>
  <c r="D970" i="7" s="1"/>
  <c r="B969" i="7"/>
  <c r="D968" i="7"/>
  <c r="C968" i="7"/>
  <c r="A968" i="7" s="1"/>
  <c r="B968" i="7"/>
  <c r="B967" i="7"/>
  <c r="C966" i="7"/>
  <c r="B966" i="7"/>
  <c r="D966" i="7" s="1"/>
  <c r="B965" i="7"/>
  <c r="D964" i="7"/>
  <c r="C964" i="7"/>
  <c r="B964" i="7"/>
  <c r="A964" i="7"/>
  <c r="B963" i="7"/>
  <c r="C962" i="7"/>
  <c r="B962" i="7"/>
  <c r="D962" i="7" s="1"/>
  <c r="B961" i="7"/>
  <c r="B960" i="7"/>
  <c r="B959" i="7"/>
  <c r="D958" i="7"/>
  <c r="C958" i="7"/>
  <c r="A958" i="7" s="1"/>
  <c r="B958" i="7"/>
  <c r="B957" i="7"/>
  <c r="D956" i="7"/>
  <c r="B956" i="7"/>
  <c r="C956" i="7" s="1"/>
  <c r="A956" i="7" s="1"/>
  <c r="B955" i="7"/>
  <c r="B954" i="7"/>
  <c r="D954" i="7" s="1"/>
  <c r="B953" i="7"/>
  <c r="D952" i="7"/>
  <c r="C952" i="7"/>
  <c r="A952" i="7" s="1"/>
  <c r="B952" i="7"/>
  <c r="B951" i="7"/>
  <c r="C950" i="7"/>
  <c r="A950" i="7" s="1"/>
  <c r="B950" i="7"/>
  <c r="D950" i="7" s="1"/>
  <c r="B949" i="7"/>
  <c r="D948" i="7"/>
  <c r="C948" i="7"/>
  <c r="B948" i="7"/>
  <c r="A948" i="7"/>
  <c r="B947" i="7"/>
  <c r="C946" i="7"/>
  <c r="A946" i="7" s="1"/>
  <c r="B946" i="7"/>
  <c r="D946" i="7" s="1"/>
  <c r="B945" i="7"/>
  <c r="B944" i="7"/>
  <c r="B943" i="7"/>
  <c r="D942" i="7"/>
  <c r="C942" i="7"/>
  <c r="A942" i="7" s="1"/>
  <c r="B942" i="7"/>
  <c r="B941" i="7"/>
  <c r="D940" i="7"/>
  <c r="B940" i="7"/>
  <c r="C940" i="7" s="1"/>
  <c r="A940" i="7" s="1"/>
  <c r="B939" i="7"/>
  <c r="B938" i="7"/>
  <c r="D938" i="7" s="1"/>
  <c r="B937" i="7"/>
  <c r="D936" i="7"/>
  <c r="C936" i="7"/>
  <c r="A936" i="7" s="1"/>
  <c r="B936" i="7"/>
  <c r="B935" i="7"/>
  <c r="C934" i="7"/>
  <c r="A934" i="7" s="1"/>
  <c r="B934" i="7"/>
  <c r="D934" i="7" s="1"/>
  <c r="B933" i="7"/>
  <c r="D932" i="7"/>
  <c r="C932" i="7"/>
  <c r="B932" i="7"/>
  <c r="A932" i="7"/>
  <c r="B931" i="7"/>
  <c r="C930" i="7"/>
  <c r="A930" i="7" s="1"/>
  <c r="B930" i="7"/>
  <c r="D930" i="7" s="1"/>
  <c r="B929" i="7"/>
  <c r="B928" i="7"/>
  <c r="B927" i="7"/>
  <c r="D926" i="7"/>
  <c r="C926" i="7"/>
  <c r="A926" i="7" s="1"/>
  <c r="B926" i="7"/>
  <c r="B925" i="7"/>
  <c r="D924" i="7"/>
  <c r="B924" i="7"/>
  <c r="C924" i="7" s="1"/>
  <c r="A924" i="7" s="1"/>
  <c r="B923" i="7"/>
  <c r="B922" i="7"/>
  <c r="D922" i="7" s="1"/>
  <c r="B921" i="7"/>
  <c r="D920" i="7"/>
  <c r="C920" i="7"/>
  <c r="A920" i="7" s="1"/>
  <c r="B920" i="7"/>
  <c r="B919" i="7"/>
  <c r="C918" i="7"/>
  <c r="B918" i="7"/>
  <c r="D918" i="7" s="1"/>
  <c r="B917" i="7"/>
  <c r="D916" i="7"/>
  <c r="C916" i="7"/>
  <c r="B916" i="7"/>
  <c r="A916" i="7"/>
  <c r="B915" i="7"/>
  <c r="C914" i="7"/>
  <c r="B914" i="7"/>
  <c r="D914" i="7" s="1"/>
  <c r="B913" i="7"/>
  <c r="B912" i="7"/>
  <c r="B911" i="7"/>
  <c r="D910" i="7"/>
  <c r="C910" i="7"/>
  <c r="A910" i="7" s="1"/>
  <c r="B910" i="7"/>
  <c r="B909" i="7"/>
  <c r="C908" i="7"/>
  <c r="A908" i="7" s="1"/>
  <c r="B908" i="7"/>
  <c r="D908" i="7" s="1"/>
  <c r="C907" i="7"/>
  <c r="A907" i="7" s="1"/>
  <c r="B907" i="7"/>
  <c r="D907" i="7" s="1"/>
  <c r="C906" i="7"/>
  <c r="A906" i="7" s="1"/>
  <c r="B906" i="7"/>
  <c r="D906" i="7" s="1"/>
  <c r="C905" i="7"/>
  <c r="A905" i="7" s="1"/>
  <c r="B905" i="7"/>
  <c r="D905" i="7" s="1"/>
  <c r="B904" i="7"/>
  <c r="D904" i="7" s="1"/>
  <c r="B903" i="7"/>
  <c r="D903" i="7" s="1"/>
  <c r="D902" i="7"/>
  <c r="C902" i="7"/>
  <c r="A902" i="7" s="1"/>
  <c r="B902" i="7"/>
  <c r="B901" i="7"/>
  <c r="C900" i="7"/>
  <c r="B900" i="7"/>
  <c r="D900" i="7" s="1"/>
  <c r="C899" i="7"/>
  <c r="A899" i="7" s="1"/>
  <c r="B899" i="7"/>
  <c r="D899" i="7" s="1"/>
  <c r="C898" i="7"/>
  <c r="B898" i="7"/>
  <c r="D898" i="7" s="1"/>
  <c r="C897" i="7"/>
  <c r="A897" i="7" s="1"/>
  <c r="B897" i="7"/>
  <c r="D897" i="7" s="1"/>
  <c r="B896" i="7"/>
  <c r="D896" i="7" s="1"/>
  <c r="B895" i="7"/>
  <c r="D895" i="7" s="1"/>
  <c r="D894" i="7"/>
  <c r="B894" i="7"/>
  <c r="C894" i="7" s="1"/>
  <c r="A894" i="7" s="1"/>
  <c r="B893" i="7"/>
  <c r="C892" i="7"/>
  <c r="B892" i="7"/>
  <c r="D892" i="7" s="1"/>
  <c r="C891" i="7"/>
  <c r="A891" i="7" s="1"/>
  <c r="B891" i="7"/>
  <c r="D891" i="7" s="1"/>
  <c r="C890" i="7"/>
  <c r="A890" i="7" s="1"/>
  <c r="B890" i="7"/>
  <c r="D890" i="7" s="1"/>
  <c r="C889" i="7"/>
  <c r="A889" i="7" s="1"/>
  <c r="B889" i="7"/>
  <c r="D889" i="7" s="1"/>
  <c r="B888" i="7"/>
  <c r="D888" i="7" s="1"/>
  <c r="B887" i="7"/>
  <c r="D887" i="7" s="1"/>
  <c r="D886" i="7"/>
  <c r="B886" i="7"/>
  <c r="C886" i="7" s="1"/>
  <c r="A886" i="7" s="1"/>
  <c r="B885" i="7"/>
  <c r="B884" i="7"/>
  <c r="C884" i="7" s="1"/>
  <c r="C883" i="7"/>
  <c r="A883" i="7" s="1"/>
  <c r="B883" i="7"/>
  <c r="D883" i="7" s="1"/>
  <c r="C882" i="7"/>
  <c r="A882" i="7" s="1"/>
  <c r="B882" i="7"/>
  <c r="D882" i="7" s="1"/>
  <c r="C881" i="7"/>
  <c r="A881" i="7" s="1"/>
  <c r="B881" i="7"/>
  <c r="D881" i="7" s="1"/>
  <c r="B880" i="7"/>
  <c r="D880" i="7" s="1"/>
  <c r="B879" i="7"/>
  <c r="D879" i="7" s="1"/>
  <c r="D878" i="7"/>
  <c r="B878" i="7"/>
  <c r="C878" i="7" s="1"/>
  <c r="A878" i="7" s="1"/>
  <c r="B877" i="7"/>
  <c r="B876" i="7"/>
  <c r="C876" i="7" s="1"/>
  <c r="C875" i="7"/>
  <c r="A875" i="7" s="1"/>
  <c r="B875" i="7"/>
  <c r="D875" i="7" s="1"/>
  <c r="C874" i="7"/>
  <c r="B874" i="7"/>
  <c r="D874" i="7" s="1"/>
  <c r="C873" i="7"/>
  <c r="A873" i="7" s="1"/>
  <c r="B873" i="7"/>
  <c r="D873" i="7" s="1"/>
  <c r="B872" i="7"/>
  <c r="D872" i="7" s="1"/>
  <c r="B871" i="7"/>
  <c r="D871" i="7" s="1"/>
  <c r="D870" i="7"/>
  <c r="B870" i="7"/>
  <c r="C870" i="7" s="1"/>
  <c r="A870" i="7" s="1"/>
  <c r="B869" i="7"/>
  <c r="B868" i="7"/>
  <c r="C868" i="7" s="1"/>
  <c r="C867" i="7"/>
  <c r="A867" i="7" s="1"/>
  <c r="B867" i="7"/>
  <c r="D867" i="7" s="1"/>
  <c r="C866" i="7"/>
  <c r="A866" i="7" s="1"/>
  <c r="B866" i="7"/>
  <c r="D866" i="7" s="1"/>
  <c r="C865" i="7"/>
  <c r="A865" i="7" s="1"/>
  <c r="B865" i="7"/>
  <c r="D865" i="7" s="1"/>
  <c r="B864" i="7"/>
  <c r="B863" i="7"/>
  <c r="D862" i="7"/>
  <c r="B862" i="7"/>
  <c r="C862" i="7" s="1"/>
  <c r="A862" i="7"/>
  <c r="B861" i="7"/>
  <c r="D861" i="7" s="1"/>
  <c r="D860" i="7"/>
  <c r="C860" i="7"/>
  <c r="A860" i="7" s="1"/>
  <c r="B860" i="7"/>
  <c r="C859" i="7"/>
  <c r="A859" i="7" s="1"/>
  <c r="B859" i="7"/>
  <c r="D859" i="7" s="1"/>
  <c r="D858" i="7"/>
  <c r="B858" i="7"/>
  <c r="C858" i="7" s="1"/>
  <c r="B857" i="7"/>
  <c r="D856" i="7"/>
  <c r="C856" i="7"/>
  <c r="A856" i="7" s="1"/>
  <c r="B856" i="7"/>
  <c r="B855" i="7"/>
  <c r="D855" i="7" s="1"/>
  <c r="C854" i="7"/>
  <c r="A854" i="7" s="1"/>
  <c r="B854" i="7"/>
  <c r="D854" i="7" s="1"/>
  <c r="C853" i="7"/>
  <c r="A853" i="7" s="1"/>
  <c r="B853" i="7"/>
  <c r="D853" i="7" s="1"/>
  <c r="D852" i="7"/>
  <c r="B852" i="7"/>
  <c r="C852" i="7" s="1"/>
  <c r="A852" i="7"/>
  <c r="B851" i="7"/>
  <c r="D851" i="7" s="1"/>
  <c r="D850" i="7"/>
  <c r="C850" i="7"/>
  <c r="A850" i="7" s="1"/>
  <c r="B850" i="7"/>
  <c r="C849" i="7"/>
  <c r="A849" i="7" s="1"/>
  <c r="B849" i="7"/>
  <c r="D849" i="7" s="1"/>
  <c r="B848" i="7"/>
  <c r="B847" i="7"/>
  <c r="D847" i="7" s="1"/>
  <c r="D846" i="7"/>
  <c r="B846" i="7"/>
  <c r="C846" i="7" s="1"/>
  <c r="A846" i="7"/>
  <c r="B845" i="7"/>
  <c r="D844" i="7"/>
  <c r="C844" i="7"/>
  <c r="A844" i="7" s="1"/>
  <c r="B844" i="7"/>
  <c r="C843" i="7"/>
  <c r="A843" i="7" s="1"/>
  <c r="B843" i="7"/>
  <c r="D843" i="7" s="1"/>
  <c r="D842" i="7"/>
  <c r="B842" i="7"/>
  <c r="C842" i="7" s="1"/>
  <c r="B841" i="7"/>
  <c r="D840" i="7"/>
  <c r="C840" i="7"/>
  <c r="A840" i="7" s="1"/>
  <c r="B840" i="7"/>
  <c r="B839" i="7"/>
  <c r="D839" i="7" s="1"/>
  <c r="C838" i="7"/>
  <c r="A838" i="7" s="1"/>
  <c r="B838" i="7"/>
  <c r="D838" i="7" s="1"/>
  <c r="C837" i="7"/>
  <c r="A837" i="7" s="1"/>
  <c r="B837" i="7"/>
  <c r="D837" i="7" s="1"/>
  <c r="D836" i="7"/>
  <c r="B836" i="7"/>
  <c r="C836" i="7" s="1"/>
  <c r="A836" i="7" s="1"/>
  <c r="B835" i="7"/>
  <c r="D835" i="7" s="1"/>
  <c r="D834" i="7"/>
  <c r="C834" i="7"/>
  <c r="B834" i="7"/>
  <c r="A834" i="7"/>
  <c r="C833" i="7"/>
  <c r="A833" i="7" s="1"/>
  <c r="B833" i="7"/>
  <c r="D833" i="7" s="1"/>
  <c r="B832" i="7"/>
  <c r="B831" i="7"/>
  <c r="D831" i="7" s="1"/>
  <c r="D830" i="7"/>
  <c r="B830" i="7"/>
  <c r="C830" i="7" s="1"/>
  <c r="A830" i="7" s="1"/>
  <c r="B829" i="7"/>
  <c r="D828" i="7"/>
  <c r="C828" i="7"/>
  <c r="A828" i="7" s="1"/>
  <c r="B828" i="7"/>
  <c r="C827" i="7"/>
  <c r="B827" i="7"/>
  <c r="D827" i="7" s="1"/>
  <c r="A827" i="7"/>
  <c r="D826" i="7"/>
  <c r="B826" i="7"/>
  <c r="C826" i="7" s="1"/>
  <c r="B825" i="7"/>
  <c r="D824" i="7"/>
  <c r="C824" i="7"/>
  <c r="A824" i="7" s="1"/>
  <c r="B824" i="7"/>
  <c r="B823" i="7"/>
  <c r="D823" i="7" s="1"/>
  <c r="C822" i="7"/>
  <c r="A822" i="7" s="1"/>
  <c r="B822" i="7"/>
  <c r="D822" i="7" s="1"/>
  <c r="C821" i="7"/>
  <c r="A821" i="7" s="1"/>
  <c r="B821" i="7"/>
  <c r="D821" i="7" s="1"/>
  <c r="D820" i="7"/>
  <c r="B820" i="7"/>
  <c r="C820" i="7" s="1"/>
  <c r="A820" i="7"/>
  <c r="B819" i="7"/>
  <c r="D819" i="7" s="1"/>
  <c r="D818" i="7"/>
  <c r="C818" i="7"/>
  <c r="A818" i="7" s="1"/>
  <c r="B818" i="7"/>
  <c r="C817" i="7"/>
  <c r="A817" i="7" s="1"/>
  <c r="B817" i="7"/>
  <c r="D817" i="7" s="1"/>
  <c r="B816" i="7"/>
  <c r="B815" i="7"/>
  <c r="D815" i="7" s="1"/>
  <c r="D814" i="7"/>
  <c r="B814" i="7"/>
  <c r="C814" i="7" s="1"/>
  <c r="A814" i="7"/>
  <c r="B813" i="7"/>
  <c r="D812" i="7"/>
  <c r="C812" i="7"/>
  <c r="A812" i="7" s="1"/>
  <c r="B812" i="7"/>
  <c r="C811" i="7"/>
  <c r="A811" i="7" s="1"/>
  <c r="B811" i="7"/>
  <c r="D811" i="7" s="1"/>
  <c r="D810" i="7"/>
  <c r="B810" i="7"/>
  <c r="C810" i="7" s="1"/>
  <c r="B809" i="7"/>
  <c r="D808" i="7"/>
  <c r="C808" i="7"/>
  <c r="A808" i="7" s="1"/>
  <c r="B808" i="7"/>
  <c r="B807" i="7"/>
  <c r="D807" i="7" s="1"/>
  <c r="C806" i="7"/>
  <c r="A806" i="7" s="1"/>
  <c r="B806" i="7"/>
  <c r="D806" i="7" s="1"/>
  <c r="C805" i="7"/>
  <c r="B805" i="7"/>
  <c r="D805" i="7" s="1"/>
  <c r="A805" i="7"/>
  <c r="D804" i="7"/>
  <c r="A804" i="7" s="1"/>
  <c r="B804" i="7"/>
  <c r="C804" i="7" s="1"/>
  <c r="B803" i="7"/>
  <c r="D803" i="7" s="1"/>
  <c r="D802" i="7"/>
  <c r="C802" i="7"/>
  <c r="A802" i="7" s="1"/>
  <c r="B802" i="7"/>
  <c r="C801" i="7"/>
  <c r="A801" i="7" s="1"/>
  <c r="B801" i="7"/>
  <c r="D801" i="7" s="1"/>
  <c r="B800" i="7"/>
  <c r="C799" i="7"/>
  <c r="A799" i="7" s="1"/>
  <c r="B799" i="7"/>
  <c r="D799" i="7" s="1"/>
  <c r="B798" i="7"/>
  <c r="D798" i="7" s="1"/>
  <c r="B797" i="7"/>
  <c r="D796" i="7"/>
  <c r="C796" i="7"/>
  <c r="B796" i="7"/>
  <c r="A796" i="7"/>
  <c r="C795" i="7"/>
  <c r="A795" i="7" s="1"/>
  <c r="B795" i="7"/>
  <c r="D795" i="7" s="1"/>
  <c r="D794" i="7"/>
  <c r="B794" i="7"/>
  <c r="C794" i="7" s="1"/>
  <c r="B793" i="7"/>
  <c r="D792" i="7"/>
  <c r="C792" i="7"/>
  <c r="B792" i="7"/>
  <c r="B791" i="7"/>
  <c r="D791" i="7" s="1"/>
  <c r="C790" i="7"/>
  <c r="A790" i="7" s="1"/>
  <c r="B790" i="7"/>
  <c r="D790" i="7" s="1"/>
  <c r="C789" i="7"/>
  <c r="B789" i="7"/>
  <c r="D789" i="7" s="1"/>
  <c r="A789" i="7"/>
  <c r="D788" i="7"/>
  <c r="A788" i="7" s="1"/>
  <c r="B788" i="7"/>
  <c r="C788" i="7" s="1"/>
  <c r="B787" i="7"/>
  <c r="D787" i="7" s="1"/>
  <c r="D786" i="7"/>
  <c r="C786" i="7"/>
  <c r="A786" i="7" s="1"/>
  <c r="B786" i="7"/>
  <c r="C785" i="7"/>
  <c r="A785" i="7" s="1"/>
  <c r="B785" i="7"/>
  <c r="D785" i="7" s="1"/>
  <c r="B784" i="7"/>
  <c r="C783" i="7"/>
  <c r="A783" i="7" s="1"/>
  <c r="B783" i="7"/>
  <c r="D783" i="7" s="1"/>
  <c r="B782" i="7"/>
  <c r="D782" i="7" s="1"/>
  <c r="B781" i="7"/>
  <c r="D780" i="7"/>
  <c r="C780" i="7"/>
  <c r="B780" i="7"/>
  <c r="A780" i="7"/>
  <c r="C779" i="7"/>
  <c r="A779" i="7" s="1"/>
  <c r="B779" i="7"/>
  <c r="D779" i="7" s="1"/>
  <c r="D778" i="7"/>
  <c r="B778" i="7"/>
  <c r="C778" i="7" s="1"/>
  <c r="B777" i="7"/>
  <c r="D776" i="7"/>
  <c r="C776" i="7"/>
  <c r="B776" i="7"/>
  <c r="B775" i="7"/>
  <c r="D775" i="7" s="1"/>
  <c r="C774" i="7"/>
  <c r="A774" i="7" s="1"/>
  <c r="B774" i="7"/>
  <c r="D774" i="7" s="1"/>
  <c r="C773" i="7"/>
  <c r="B773" i="7"/>
  <c r="D773" i="7" s="1"/>
  <c r="A773" i="7"/>
  <c r="B772" i="7"/>
  <c r="C772" i="7" s="1"/>
  <c r="B771" i="7"/>
  <c r="D771" i="7" s="1"/>
  <c r="D770" i="7"/>
  <c r="C770" i="7"/>
  <c r="A770" i="7" s="1"/>
  <c r="B770" i="7"/>
  <c r="C769" i="7"/>
  <c r="A769" i="7" s="1"/>
  <c r="B769" i="7"/>
  <c r="D769" i="7" s="1"/>
  <c r="B768" i="7"/>
  <c r="C767" i="7"/>
  <c r="A767" i="7" s="1"/>
  <c r="B767" i="7"/>
  <c r="D767" i="7" s="1"/>
  <c r="B766" i="7"/>
  <c r="D766" i="7" s="1"/>
  <c r="B765" i="7"/>
  <c r="D764" i="7"/>
  <c r="C764" i="7"/>
  <c r="B764" i="7"/>
  <c r="A764" i="7"/>
  <c r="C763" i="7"/>
  <c r="A763" i="7" s="1"/>
  <c r="B763" i="7"/>
  <c r="D763" i="7" s="1"/>
  <c r="D762" i="7"/>
  <c r="B762" i="7"/>
  <c r="C762" i="7" s="1"/>
  <c r="A762" i="7" s="1"/>
  <c r="B761" i="7"/>
  <c r="D760" i="7"/>
  <c r="C760" i="7"/>
  <c r="B760" i="7"/>
  <c r="B759" i="7"/>
  <c r="D759" i="7" s="1"/>
  <c r="B758" i="7"/>
  <c r="D758" i="7" s="1"/>
  <c r="C757" i="7"/>
  <c r="B757" i="7"/>
  <c r="D757" i="7" s="1"/>
  <c r="A757" i="7"/>
  <c r="D756" i="7"/>
  <c r="B756" i="7"/>
  <c r="C756" i="7" s="1"/>
  <c r="A756" i="7" s="1"/>
  <c r="B755" i="7"/>
  <c r="D755" i="7" s="1"/>
  <c r="D754" i="7"/>
  <c r="C754" i="7"/>
  <c r="B754" i="7"/>
  <c r="A754" i="7"/>
  <c r="C753" i="7"/>
  <c r="A753" i="7" s="1"/>
  <c r="B753" i="7"/>
  <c r="D753" i="7" s="1"/>
  <c r="B752" i="7"/>
  <c r="B751" i="7"/>
  <c r="D751" i="7" s="1"/>
  <c r="B750" i="7"/>
  <c r="D750" i="7" s="1"/>
  <c r="B749" i="7"/>
  <c r="D748" i="7"/>
  <c r="C748" i="7"/>
  <c r="B748" i="7"/>
  <c r="A748" i="7"/>
  <c r="C747" i="7"/>
  <c r="B747" i="7"/>
  <c r="D747" i="7" s="1"/>
  <c r="A747" i="7"/>
  <c r="D746" i="7"/>
  <c r="B746" i="7"/>
  <c r="C746" i="7" s="1"/>
  <c r="D745" i="7"/>
  <c r="C745" i="7"/>
  <c r="A745" i="7" s="1"/>
  <c r="B745" i="7"/>
  <c r="D744" i="7"/>
  <c r="B744" i="7"/>
  <c r="C744" i="7" s="1"/>
  <c r="D743" i="7"/>
  <c r="C743" i="7"/>
  <c r="A743" i="7" s="1"/>
  <c r="B743" i="7"/>
  <c r="D742" i="7"/>
  <c r="B742" i="7"/>
  <c r="C742" i="7" s="1"/>
  <c r="D741" i="7"/>
  <c r="C741" i="7"/>
  <c r="B741" i="7"/>
  <c r="A741" i="7"/>
  <c r="D740" i="7"/>
  <c r="B740" i="7"/>
  <c r="C740" i="7" s="1"/>
  <c r="A740" i="7" s="1"/>
  <c r="D739" i="7"/>
  <c r="C739" i="7"/>
  <c r="B739" i="7"/>
  <c r="A739" i="7"/>
  <c r="D738" i="7"/>
  <c r="B738" i="7"/>
  <c r="C738" i="7" s="1"/>
  <c r="D737" i="7"/>
  <c r="C737" i="7"/>
  <c r="A737" i="7" s="1"/>
  <c r="B737" i="7"/>
  <c r="D736" i="7"/>
  <c r="B736" i="7"/>
  <c r="C736" i="7" s="1"/>
  <c r="D735" i="7"/>
  <c r="C735" i="7"/>
  <c r="A735" i="7" s="1"/>
  <c r="B735" i="7"/>
  <c r="D734" i="7"/>
  <c r="B734" i="7"/>
  <c r="C734" i="7" s="1"/>
  <c r="D733" i="7"/>
  <c r="C733" i="7"/>
  <c r="B733" i="7"/>
  <c r="A733" i="7"/>
  <c r="D732" i="7"/>
  <c r="B732" i="7"/>
  <c r="C732" i="7" s="1"/>
  <c r="A732" i="7" s="1"/>
  <c r="D731" i="7"/>
  <c r="C731" i="7"/>
  <c r="B731" i="7"/>
  <c r="A731" i="7"/>
  <c r="D730" i="7"/>
  <c r="B730" i="7"/>
  <c r="C730" i="7" s="1"/>
  <c r="D729" i="7"/>
  <c r="C729" i="7"/>
  <c r="A729" i="7" s="1"/>
  <c r="B729" i="7"/>
  <c r="D728" i="7"/>
  <c r="B728" i="7"/>
  <c r="C728" i="7" s="1"/>
  <c r="D727" i="7"/>
  <c r="C727" i="7"/>
  <c r="A727" i="7" s="1"/>
  <c r="B727" i="7"/>
  <c r="D726" i="7"/>
  <c r="B726" i="7"/>
  <c r="C726" i="7" s="1"/>
  <c r="D725" i="7"/>
  <c r="C725" i="7"/>
  <c r="B725" i="7"/>
  <c r="A725" i="7"/>
  <c r="D724" i="7"/>
  <c r="B724" i="7"/>
  <c r="C724" i="7" s="1"/>
  <c r="A724" i="7" s="1"/>
  <c r="C723" i="7"/>
  <c r="B723" i="7"/>
  <c r="D723" i="7" s="1"/>
  <c r="A723" i="7"/>
  <c r="B722" i="7"/>
  <c r="C722" i="7" s="1"/>
  <c r="C721" i="7"/>
  <c r="A721" i="7" s="1"/>
  <c r="B721" i="7"/>
  <c r="D721" i="7" s="1"/>
  <c r="D720" i="7"/>
  <c r="B720" i="7"/>
  <c r="C720" i="7" s="1"/>
  <c r="C719" i="7"/>
  <c r="A719" i="7" s="1"/>
  <c r="B719" i="7"/>
  <c r="D719" i="7" s="1"/>
  <c r="D718" i="7"/>
  <c r="B718" i="7"/>
  <c r="C718" i="7" s="1"/>
  <c r="C717" i="7"/>
  <c r="A717" i="7" s="1"/>
  <c r="B717" i="7"/>
  <c r="D717" i="7" s="1"/>
  <c r="D716" i="7"/>
  <c r="B716" i="7"/>
  <c r="C716" i="7" s="1"/>
  <c r="C715" i="7"/>
  <c r="A715" i="7" s="1"/>
  <c r="B715" i="7"/>
  <c r="D715" i="7" s="1"/>
  <c r="B714" i="7"/>
  <c r="C714" i="7" s="1"/>
  <c r="B713" i="7"/>
  <c r="D712" i="7"/>
  <c r="B712" i="7"/>
  <c r="C712" i="7" s="1"/>
  <c r="B711" i="7"/>
  <c r="D711" i="7" s="1"/>
  <c r="B710" i="7"/>
  <c r="B709" i="7"/>
  <c r="D709" i="7" s="1"/>
  <c r="B708" i="7"/>
  <c r="C708" i="7" s="1"/>
  <c r="C707" i="7"/>
  <c r="B707" i="7"/>
  <c r="D707" i="7" s="1"/>
  <c r="A707" i="7"/>
  <c r="B706" i="7"/>
  <c r="C706" i="7" s="1"/>
  <c r="C705" i="7"/>
  <c r="A705" i="7" s="1"/>
  <c r="B705" i="7"/>
  <c r="D705" i="7" s="1"/>
  <c r="D704" i="7"/>
  <c r="B704" i="7"/>
  <c r="C704" i="7" s="1"/>
  <c r="C703" i="7"/>
  <c r="A703" i="7" s="1"/>
  <c r="B703" i="7"/>
  <c r="D703" i="7" s="1"/>
  <c r="D702" i="7"/>
  <c r="B702" i="7"/>
  <c r="C702" i="7" s="1"/>
  <c r="B701" i="7"/>
  <c r="D701" i="7" s="1"/>
  <c r="D700" i="7"/>
  <c r="B700" i="7"/>
  <c r="C700" i="7" s="1"/>
  <c r="C699" i="7"/>
  <c r="A699" i="7" s="1"/>
  <c r="B699" i="7"/>
  <c r="D699" i="7" s="1"/>
  <c r="B698" i="7"/>
  <c r="C698" i="7" s="1"/>
  <c r="B697" i="7"/>
  <c r="D696" i="7"/>
  <c r="B696" i="7"/>
  <c r="C696" i="7" s="1"/>
  <c r="B695" i="7"/>
  <c r="D695" i="7" s="1"/>
  <c r="B694" i="7"/>
  <c r="B693" i="7"/>
  <c r="D693" i="7" s="1"/>
  <c r="B692" i="7"/>
  <c r="C692" i="7" s="1"/>
  <c r="C691" i="7"/>
  <c r="B691" i="7"/>
  <c r="D691" i="7" s="1"/>
  <c r="A691" i="7"/>
  <c r="B690" i="7"/>
  <c r="C690" i="7" s="1"/>
  <c r="C689" i="7"/>
  <c r="A689" i="7" s="1"/>
  <c r="B689" i="7"/>
  <c r="D689" i="7" s="1"/>
  <c r="D688" i="7"/>
  <c r="B688" i="7"/>
  <c r="C688" i="7" s="1"/>
  <c r="C687" i="7"/>
  <c r="A687" i="7" s="1"/>
  <c r="B687" i="7"/>
  <c r="D687" i="7" s="1"/>
  <c r="D686" i="7"/>
  <c r="B686" i="7"/>
  <c r="C686" i="7" s="1"/>
  <c r="B685" i="7"/>
  <c r="D685" i="7" s="1"/>
  <c r="D684" i="7"/>
  <c r="B684" i="7"/>
  <c r="C684" i="7" s="1"/>
  <c r="D683" i="7"/>
  <c r="C683" i="7"/>
  <c r="A683" i="7" s="1"/>
  <c r="B683" i="7"/>
  <c r="D682" i="7"/>
  <c r="B682" i="7"/>
  <c r="C682" i="7" s="1"/>
  <c r="D681" i="7"/>
  <c r="B681" i="7"/>
  <c r="C681" i="7" s="1"/>
  <c r="B680" i="7"/>
  <c r="C680" i="7" s="1"/>
  <c r="B679" i="7"/>
  <c r="D678" i="7"/>
  <c r="B678" i="7"/>
  <c r="C678" i="7" s="1"/>
  <c r="B677" i="7"/>
  <c r="D677" i="7" s="1"/>
  <c r="D676" i="7"/>
  <c r="B676" i="7"/>
  <c r="C676" i="7" s="1"/>
  <c r="D675" i="7"/>
  <c r="C675" i="7"/>
  <c r="A675" i="7" s="1"/>
  <c r="B675" i="7"/>
  <c r="D674" i="7"/>
  <c r="B674" i="7"/>
  <c r="C674" i="7" s="1"/>
  <c r="D673" i="7"/>
  <c r="B673" i="7"/>
  <c r="C673" i="7" s="1"/>
  <c r="A673" i="7" s="1"/>
  <c r="B672" i="7"/>
  <c r="C672" i="7" s="1"/>
  <c r="B671" i="7"/>
  <c r="D670" i="7"/>
  <c r="B670" i="7"/>
  <c r="C670" i="7" s="1"/>
  <c r="C669" i="7"/>
  <c r="B669" i="7"/>
  <c r="D669" i="7" s="1"/>
  <c r="D668" i="7"/>
  <c r="B668" i="7"/>
  <c r="C668" i="7" s="1"/>
  <c r="D667" i="7"/>
  <c r="C667" i="7"/>
  <c r="A667" i="7" s="1"/>
  <c r="B667" i="7"/>
  <c r="D666" i="7"/>
  <c r="B666" i="7"/>
  <c r="C666" i="7" s="1"/>
  <c r="D665" i="7"/>
  <c r="B665" i="7"/>
  <c r="C665" i="7" s="1"/>
  <c r="B664" i="7"/>
  <c r="C664" i="7" s="1"/>
  <c r="B663" i="7"/>
  <c r="D662" i="7"/>
  <c r="B662" i="7"/>
  <c r="C662" i="7" s="1"/>
  <c r="C661" i="7"/>
  <c r="B661" i="7"/>
  <c r="D661" i="7" s="1"/>
  <c r="D660" i="7"/>
  <c r="B660" i="7"/>
  <c r="C660" i="7" s="1"/>
  <c r="D659" i="7"/>
  <c r="C659" i="7"/>
  <c r="A659" i="7" s="1"/>
  <c r="B659" i="7"/>
  <c r="D658" i="7"/>
  <c r="B658" i="7"/>
  <c r="C658" i="7" s="1"/>
  <c r="D657" i="7"/>
  <c r="B657" i="7"/>
  <c r="C657" i="7" s="1"/>
  <c r="A657" i="7" s="1"/>
  <c r="B656" i="7"/>
  <c r="C656" i="7" s="1"/>
  <c r="B655" i="7"/>
  <c r="D654" i="7"/>
  <c r="B654" i="7"/>
  <c r="C654" i="7" s="1"/>
  <c r="C653" i="7"/>
  <c r="B653" i="7"/>
  <c r="D653" i="7" s="1"/>
  <c r="D652" i="7"/>
  <c r="B652" i="7"/>
  <c r="C652" i="7" s="1"/>
  <c r="D651" i="7"/>
  <c r="C651" i="7"/>
  <c r="A651" i="7" s="1"/>
  <c r="B651" i="7"/>
  <c r="D650" i="7"/>
  <c r="B650" i="7"/>
  <c r="C650" i="7" s="1"/>
  <c r="B649" i="7"/>
  <c r="C649" i="7" s="1"/>
  <c r="B648" i="7"/>
  <c r="C648" i="7" s="1"/>
  <c r="B647" i="7"/>
  <c r="D646" i="7"/>
  <c r="B646" i="7"/>
  <c r="C646" i="7" s="1"/>
  <c r="C645" i="7"/>
  <c r="A645" i="7" s="1"/>
  <c r="B645" i="7"/>
  <c r="D645" i="7" s="1"/>
  <c r="D644" i="7"/>
  <c r="B644" i="7"/>
  <c r="C644" i="7" s="1"/>
  <c r="D643" i="7"/>
  <c r="C643" i="7"/>
  <c r="B643" i="7"/>
  <c r="D642" i="7"/>
  <c r="B642" i="7"/>
  <c r="C642" i="7" s="1"/>
  <c r="B641" i="7"/>
  <c r="C641" i="7" s="1"/>
  <c r="B640" i="7"/>
  <c r="C640" i="7" s="1"/>
  <c r="B639" i="7"/>
  <c r="D638" i="7"/>
  <c r="B638" i="7"/>
  <c r="C638" i="7" s="1"/>
  <c r="C637" i="7"/>
  <c r="A637" i="7" s="1"/>
  <c r="B637" i="7"/>
  <c r="D637" i="7" s="1"/>
  <c r="D636" i="7"/>
  <c r="B636" i="7"/>
  <c r="C636" i="7" s="1"/>
  <c r="D635" i="7"/>
  <c r="C635" i="7"/>
  <c r="A635" i="7" s="1"/>
  <c r="B635" i="7"/>
  <c r="D634" i="7"/>
  <c r="B634" i="7"/>
  <c r="C634" i="7" s="1"/>
  <c r="A634" i="7" s="1"/>
  <c r="D633" i="7"/>
  <c r="B633" i="7"/>
  <c r="C633" i="7" s="1"/>
  <c r="B632" i="7"/>
  <c r="C632" i="7" s="1"/>
  <c r="B631" i="7"/>
  <c r="D630" i="7"/>
  <c r="B630" i="7"/>
  <c r="C630" i="7" s="1"/>
  <c r="C629" i="7"/>
  <c r="B629" i="7"/>
  <c r="D629" i="7" s="1"/>
  <c r="D628" i="7"/>
  <c r="B628" i="7"/>
  <c r="C628" i="7" s="1"/>
  <c r="D627" i="7"/>
  <c r="C627" i="7"/>
  <c r="A627" i="7" s="1"/>
  <c r="B627" i="7"/>
  <c r="B626" i="7"/>
  <c r="C626" i="7" s="1"/>
  <c r="B625" i="7"/>
  <c r="B624" i="7"/>
  <c r="C624" i="7" s="1"/>
  <c r="B623" i="7"/>
  <c r="B622" i="7"/>
  <c r="C621" i="7"/>
  <c r="B621" i="7"/>
  <c r="D621" i="7" s="1"/>
  <c r="D620" i="7"/>
  <c r="B620" i="7"/>
  <c r="C620" i="7" s="1"/>
  <c r="D619" i="7"/>
  <c r="C619" i="7"/>
  <c r="A619" i="7" s="1"/>
  <c r="B619" i="7"/>
  <c r="B618" i="7"/>
  <c r="C618" i="7" s="1"/>
  <c r="B617" i="7"/>
  <c r="C617" i="7" s="1"/>
  <c r="B616" i="7"/>
  <c r="C616" i="7" s="1"/>
  <c r="B615" i="7"/>
  <c r="B614" i="7"/>
  <c r="C614" i="7" s="1"/>
  <c r="C613" i="7"/>
  <c r="A613" i="7" s="1"/>
  <c r="B613" i="7"/>
  <c r="D613" i="7" s="1"/>
  <c r="D612" i="7"/>
  <c r="B612" i="7"/>
  <c r="C612" i="7" s="1"/>
  <c r="D611" i="7"/>
  <c r="C611" i="7"/>
  <c r="B611" i="7"/>
  <c r="B610" i="7"/>
  <c r="C610" i="7" s="1"/>
  <c r="D609" i="7"/>
  <c r="A609" i="7" s="1"/>
  <c r="B609" i="7"/>
  <c r="C609" i="7" s="1"/>
  <c r="B608" i="7"/>
  <c r="C608" i="7" s="1"/>
  <c r="B607" i="7"/>
  <c r="B606" i="7"/>
  <c r="C606" i="7" s="1"/>
  <c r="C605" i="7"/>
  <c r="B605" i="7"/>
  <c r="D605" i="7" s="1"/>
  <c r="D604" i="7"/>
  <c r="B604" i="7"/>
  <c r="C604" i="7" s="1"/>
  <c r="D603" i="7"/>
  <c r="C603" i="7"/>
  <c r="B603" i="7"/>
  <c r="B602" i="7"/>
  <c r="C602" i="7" s="1"/>
  <c r="B601" i="7"/>
  <c r="B600" i="7"/>
  <c r="C600" i="7" s="1"/>
  <c r="B599" i="7"/>
  <c r="D598" i="7"/>
  <c r="B598" i="7"/>
  <c r="C598" i="7" s="1"/>
  <c r="C597" i="7"/>
  <c r="B597" i="7"/>
  <c r="D597" i="7" s="1"/>
  <c r="D596" i="7"/>
  <c r="B596" i="7"/>
  <c r="C596" i="7" s="1"/>
  <c r="D595" i="7"/>
  <c r="C595" i="7"/>
  <c r="A595" i="7" s="1"/>
  <c r="B595" i="7"/>
  <c r="B594" i="7"/>
  <c r="C594" i="7" s="1"/>
  <c r="B593" i="7"/>
  <c r="C593" i="7" s="1"/>
  <c r="B592" i="7"/>
  <c r="C592" i="7" s="1"/>
  <c r="B591" i="7"/>
  <c r="D590" i="7"/>
  <c r="B590" i="7"/>
  <c r="C590" i="7" s="1"/>
  <c r="C589" i="7"/>
  <c r="B589" i="7"/>
  <c r="D589" i="7" s="1"/>
  <c r="D588" i="7"/>
  <c r="B588" i="7"/>
  <c r="C588" i="7" s="1"/>
  <c r="D587" i="7"/>
  <c r="C587" i="7"/>
  <c r="A587" i="7" s="1"/>
  <c r="B587" i="7"/>
  <c r="B586" i="7"/>
  <c r="C586" i="7" s="1"/>
  <c r="B585" i="7"/>
  <c r="C585" i="7" s="1"/>
  <c r="B584" i="7"/>
  <c r="C584" i="7" s="1"/>
  <c r="B583" i="7"/>
  <c r="B582" i="7"/>
  <c r="C581" i="7"/>
  <c r="A581" i="7" s="1"/>
  <c r="B581" i="7"/>
  <c r="D581" i="7" s="1"/>
  <c r="D580" i="7"/>
  <c r="B580" i="7"/>
  <c r="C580" i="7" s="1"/>
  <c r="D579" i="7"/>
  <c r="C579" i="7"/>
  <c r="B579" i="7"/>
  <c r="B578" i="7"/>
  <c r="C578" i="7" s="1"/>
  <c r="D577" i="7"/>
  <c r="B577" i="7"/>
  <c r="C577" i="7" s="1"/>
  <c r="A577" i="7"/>
  <c r="B576" i="7"/>
  <c r="C576" i="7" s="1"/>
  <c r="B575" i="7"/>
  <c r="B574" i="7"/>
  <c r="C574" i="7" s="1"/>
  <c r="C573" i="7"/>
  <c r="A573" i="7" s="1"/>
  <c r="B573" i="7"/>
  <c r="D573" i="7" s="1"/>
  <c r="D572" i="7"/>
  <c r="B572" i="7"/>
  <c r="C572" i="7" s="1"/>
  <c r="D571" i="7"/>
  <c r="C571" i="7"/>
  <c r="A571" i="7" s="1"/>
  <c r="B571" i="7"/>
  <c r="B570" i="7"/>
  <c r="C570" i="7" s="1"/>
  <c r="D569" i="7"/>
  <c r="B569" i="7"/>
  <c r="C569" i="7" s="1"/>
  <c r="B568" i="7"/>
  <c r="C568" i="7" s="1"/>
  <c r="B567" i="7"/>
  <c r="D566" i="7"/>
  <c r="B566" i="7"/>
  <c r="C566" i="7" s="1"/>
  <c r="C565" i="7"/>
  <c r="B565" i="7"/>
  <c r="D565" i="7" s="1"/>
  <c r="D564" i="7"/>
  <c r="B564" i="7"/>
  <c r="C564" i="7" s="1"/>
  <c r="D563" i="7"/>
  <c r="C563" i="7"/>
  <c r="A563" i="7" s="1"/>
  <c r="B563" i="7"/>
  <c r="B562" i="7"/>
  <c r="C562" i="7" s="1"/>
  <c r="B561" i="7"/>
  <c r="B560" i="7"/>
  <c r="C560" i="7" s="1"/>
  <c r="C559" i="7"/>
  <c r="B559" i="7"/>
  <c r="D559" i="7" s="1"/>
  <c r="A559" i="7"/>
  <c r="D558" i="7"/>
  <c r="B558" i="7"/>
  <c r="C558" i="7" s="1"/>
  <c r="A558" i="7"/>
  <c r="B557" i="7"/>
  <c r="B556" i="7"/>
  <c r="C556" i="7" s="1"/>
  <c r="D555" i="7"/>
  <c r="B555" i="7"/>
  <c r="C555" i="7" s="1"/>
  <c r="A555" i="7" s="1"/>
  <c r="B554" i="7"/>
  <c r="D553" i="7"/>
  <c r="B553" i="7"/>
  <c r="C553" i="7" s="1"/>
  <c r="A553" i="7"/>
  <c r="B552" i="7"/>
  <c r="D551" i="7"/>
  <c r="B551" i="7"/>
  <c r="C551" i="7" s="1"/>
  <c r="A551" i="7"/>
  <c r="C550" i="7"/>
  <c r="A550" i="7" s="1"/>
  <c r="B550" i="7"/>
  <c r="D550" i="7" s="1"/>
  <c r="D549" i="7"/>
  <c r="B549" i="7"/>
  <c r="C549" i="7" s="1"/>
  <c r="A549" i="7"/>
  <c r="B548" i="7"/>
  <c r="D548" i="7" s="1"/>
  <c r="D547" i="7"/>
  <c r="B547" i="7"/>
  <c r="C547" i="7" s="1"/>
  <c r="B546" i="7"/>
  <c r="D546" i="7" s="1"/>
  <c r="D545" i="7"/>
  <c r="A545" i="7" s="1"/>
  <c r="B545" i="7"/>
  <c r="C545" i="7" s="1"/>
  <c r="C544" i="7"/>
  <c r="A544" i="7" s="1"/>
  <c r="B544" i="7"/>
  <c r="D544" i="7" s="1"/>
  <c r="D543" i="7"/>
  <c r="B543" i="7"/>
  <c r="C543" i="7" s="1"/>
  <c r="A543" i="7"/>
  <c r="C542" i="7"/>
  <c r="A542" i="7" s="1"/>
  <c r="B542" i="7"/>
  <c r="D542" i="7" s="1"/>
  <c r="D541" i="7"/>
  <c r="B541" i="7"/>
  <c r="C541" i="7" s="1"/>
  <c r="A541" i="7" s="1"/>
  <c r="B540" i="7"/>
  <c r="D540" i="7" s="1"/>
  <c r="D539" i="7"/>
  <c r="B539" i="7"/>
  <c r="C539" i="7" s="1"/>
  <c r="A539" i="7" s="1"/>
  <c r="B538" i="7"/>
  <c r="D537" i="7"/>
  <c r="A537" i="7" s="1"/>
  <c r="B537" i="7"/>
  <c r="C537" i="7" s="1"/>
  <c r="B536" i="7"/>
  <c r="D535" i="7"/>
  <c r="B535" i="7"/>
  <c r="C535" i="7" s="1"/>
  <c r="A535" i="7"/>
  <c r="C534" i="7"/>
  <c r="A534" i="7" s="1"/>
  <c r="B534" i="7"/>
  <c r="D534" i="7" s="1"/>
  <c r="D533" i="7"/>
  <c r="B533" i="7"/>
  <c r="C533" i="7" s="1"/>
  <c r="A533" i="7"/>
  <c r="B532" i="7"/>
  <c r="D532" i="7" s="1"/>
  <c r="D531" i="7"/>
  <c r="B531" i="7"/>
  <c r="C531" i="7" s="1"/>
  <c r="A531" i="7" s="1"/>
  <c r="B530" i="7"/>
  <c r="D530" i="7" s="1"/>
  <c r="D529" i="7"/>
  <c r="A529" i="7" s="1"/>
  <c r="B529" i="7"/>
  <c r="C529" i="7" s="1"/>
  <c r="C528" i="7"/>
  <c r="A528" i="7" s="1"/>
  <c r="B528" i="7"/>
  <c r="D528" i="7" s="1"/>
  <c r="D527" i="7"/>
  <c r="B527" i="7"/>
  <c r="C527" i="7" s="1"/>
  <c r="A527" i="7"/>
  <c r="D526" i="7"/>
  <c r="B526" i="7"/>
  <c r="C526" i="7" s="1"/>
  <c r="D525" i="7"/>
  <c r="B525" i="7"/>
  <c r="C525" i="7" s="1"/>
  <c r="B524" i="7"/>
  <c r="B523" i="7"/>
  <c r="C523" i="7" s="1"/>
  <c r="D522" i="7"/>
  <c r="B522" i="7"/>
  <c r="C522" i="7" s="1"/>
  <c r="A522" i="7" s="1"/>
  <c r="B521" i="7"/>
  <c r="D520" i="7"/>
  <c r="C520" i="7"/>
  <c r="A520" i="7" s="1"/>
  <c r="B520" i="7"/>
  <c r="B519" i="7"/>
  <c r="C519" i="7" s="1"/>
  <c r="D518" i="7"/>
  <c r="B518" i="7"/>
  <c r="C518" i="7" s="1"/>
  <c r="A518" i="7" s="1"/>
  <c r="D517" i="7"/>
  <c r="B517" i="7"/>
  <c r="C517" i="7" s="1"/>
  <c r="A517" i="7" s="1"/>
  <c r="B516" i="7"/>
  <c r="B515" i="7"/>
  <c r="C515" i="7" s="1"/>
  <c r="D514" i="7"/>
  <c r="B514" i="7"/>
  <c r="C514" i="7" s="1"/>
  <c r="A514" i="7" s="1"/>
  <c r="B513" i="7"/>
  <c r="D512" i="7"/>
  <c r="C512" i="7"/>
  <c r="A512" i="7" s="1"/>
  <c r="B512" i="7"/>
  <c r="B511" i="7"/>
  <c r="C511" i="7" s="1"/>
  <c r="D510" i="7"/>
  <c r="B510" i="7"/>
  <c r="C510" i="7" s="1"/>
  <c r="A510" i="7" s="1"/>
  <c r="D509" i="7"/>
  <c r="B509" i="7"/>
  <c r="C509" i="7" s="1"/>
  <c r="A509" i="7" s="1"/>
  <c r="B508" i="7"/>
  <c r="B507" i="7"/>
  <c r="C507" i="7" s="1"/>
  <c r="D506" i="7"/>
  <c r="B506" i="7"/>
  <c r="C506" i="7" s="1"/>
  <c r="A506" i="7" s="1"/>
  <c r="B505" i="7"/>
  <c r="D504" i="7"/>
  <c r="C504" i="7"/>
  <c r="A504" i="7" s="1"/>
  <c r="B504" i="7"/>
  <c r="B503" i="7"/>
  <c r="C503" i="7" s="1"/>
  <c r="D502" i="7"/>
  <c r="B502" i="7"/>
  <c r="C502" i="7" s="1"/>
  <c r="D501" i="7"/>
  <c r="B501" i="7"/>
  <c r="C501" i="7" s="1"/>
  <c r="A501" i="7" s="1"/>
  <c r="B500" i="7"/>
  <c r="B499" i="7"/>
  <c r="C499" i="7" s="1"/>
  <c r="D498" i="7"/>
  <c r="B498" i="7"/>
  <c r="C498" i="7" s="1"/>
  <c r="A498" i="7" s="1"/>
  <c r="B497" i="7"/>
  <c r="D496" i="7"/>
  <c r="C496" i="7"/>
  <c r="A496" i="7" s="1"/>
  <c r="B496" i="7"/>
  <c r="B495" i="7"/>
  <c r="C495" i="7" s="1"/>
  <c r="D494" i="7"/>
  <c r="B494" i="7"/>
  <c r="C494" i="7" s="1"/>
  <c r="A494" i="7" s="1"/>
  <c r="D493" i="7"/>
  <c r="B493" i="7"/>
  <c r="C493" i="7" s="1"/>
  <c r="B492" i="7"/>
  <c r="B491" i="7"/>
  <c r="C491" i="7" s="1"/>
  <c r="D490" i="7"/>
  <c r="B490" i="7"/>
  <c r="C490" i="7" s="1"/>
  <c r="A490" i="7" s="1"/>
  <c r="B489" i="7"/>
  <c r="D488" i="7"/>
  <c r="C488" i="7"/>
  <c r="A488" i="7" s="1"/>
  <c r="B488" i="7"/>
  <c r="B487" i="7"/>
  <c r="C487" i="7" s="1"/>
  <c r="D486" i="7"/>
  <c r="B486" i="7"/>
  <c r="C486" i="7" s="1"/>
  <c r="A486" i="7" s="1"/>
  <c r="D485" i="7"/>
  <c r="B485" i="7"/>
  <c r="C485" i="7" s="1"/>
  <c r="A485" i="7" s="1"/>
  <c r="B484" i="7"/>
  <c r="B483" i="7"/>
  <c r="C483" i="7" s="1"/>
  <c r="D482" i="7"/>
  <c r="B482" i="7"/>
  <c r="C482" i="7" s="1"/>
  <c r="A482" i="7" s="1"/>
  <c r="B481" i="7"/>
  <c r="D480" i="7"/>
  <c r="C480" i="7"/>
  <c r="A480" i="7" s="1"/>
  <c r="B480" i="7"/>
  <c r="B479" i="7"/>
  <c r="C479" i="7" s="1"/>
  <c r="D478" i="7"/>
  <c r="B478" i="7"/>
  <c r="C478" i="7" s="1"/>
  <c r="A478" i="7" s="1"/>
  <c r="D477" i="7"/>
  <c r="B477" i="7"/>
  <c r="C477" i="7" s="1"/>
  <c r="A477" i="7" s="1"/>
  <c r="B476" i="7"/>
  <c r="B475" i="7"/>
  <c r="C475" i="7" s="1"/>
  <c r="D474" i="7"/>
  <c r="B474" i="7"/>
  <c r="C474" i="7" s="1"/>
  <c r="A474" i="7" s="1"/>
  <c r="B473" i="7"/>
  <c r="D472" i="7"/>
  <c r="C472" i="7"/>
  <c r="A472" i="7" s="1"/>
  <c r="B472" i="7"/>
  <c r="B471" i="7"/>
  <c r="C471" i="7" s="1"/>
  <c r="D470" i="7"/>
  <c r="B470" i="7"/>
  <c r="C470" i="7" s="1"/>
  <c r="D469" i="7"/>
  <c r="B469" i="7"/>
  <c r="C469" i="7" s="1"/>
  <c r="A469" i="7" s="1"/>
  <c r="B468" i="7"/>
  <c r="B467" i="7"/>
  <c r="C467" i="7" s="1"/>
  <c r="D466" i="7"/>
  <c r="B466" i="7"/>
  <c r="C466" i="7" s="1"/>
  <c r="A466" i="7" s="1"/>
  <c r="B465" i="7"/>
  <c r="D464" i="7"/>
  <c r="C464" i="7"/>
  <c r="A464" i="7" s="1"/>
  <c r="B464" i="7"/>
  <c r="B463" i="7"/>
  <c r="C463" i="7" s="1"/>
  <c r="D462" i="7"/>
  <c r="B462" i="7"/>
  <c r="C462" i="7" s="1"/>
  <c r="A462" i="7" s="1"/>
  <c r="D461" i="7"/>
  <c r="B461" i="7"/>
  <c r="C461" i="7" s="1"/>
  <c r="B460" i="7"/>
  <c r="B459" i="7"/>
  <c r="C459" i="7" s="1"/>
  <c r="D458" i="7"/>
  <c r="B458" i="7"/>
  <c r="C458" i="7" s="1"/>
  <c r="A458" i="7" s="1"/>
  <c r="B457" i="7"/>
  <c r="D456" i="7"/>
  <c r="C456" i="7"/>
  <c r="A456" i="7" s="1"/>
  <c r="B456" i="7"/>
  <c r="B455" i="7"/>
  <c r="C455" i="7" s="1"/>
  <c r="D454" i="7"/>
  <c r="B454" i="7"/>
  <c r="C454" i="7" s="1"/>
  <c r="A454" i="7" s="1"/>
  <c r="D453" i="7"/>
  <c r="B453" i="7"/>
  <c r="C453" i="7" s="1"/>
  <c r="A453" i="7" s="1"/>
  <c r="B452" i="7"/>
  <c r="B451" i="7"/>
  <c r="C451" i="7" s="1"/>
  <c r="D450" i="7"/>
  <c r="B450" i="7"/>
  <c r="C450" i="7" s="1"/>
  <c r="A450" i="7" s="1"/>
  <c r="B449" i="7"/>
  <c r="D448" i="7"/>
  <c r="C448" i="7"/>
  <c r="A448" i="7" s="1"/>
  <c r="B448" i="7"/>
  <c r="B447" i="7"/>
  <c r="C447" i="7" s="1"/>
  <c r="D446" i="7"/>
  <c r="B446" i="7"/>
  <c r="C446" i="7" s="1"/>
  <c r="A446" i="7" s="1"/>
  <c r="D445" i="7"/>
  <c r="B445" i="7"/>
  <c r="C445" i="7" s="1"/>
  <c r="A445" i="7" s="1"/>
  <c r="B444" i="7"/>
  <c r="B443" i="7"/>
  <c r="D442" i="7"/>
  <c r="B442" i="7"/>
  <c r="C442" i="7" s="1"/>
  <c r="A442" i="7" s="1"/>
  <c r="B441" i="7"/>
  <c r="D440" i="7"/>
  <c r="C440" i="7"/>
  <c r="A440" i="7" s="1"/>
  <c r="B440" i="7"/>
  <c r="B439" i="7"/>
  <c r="C439" i="7" s="1"/>
  <c r="D438" i="7"/>
  <c r="B438" i="7"/>
  <c r="C438" i="7" s="1"/>
  <c r="B437" i="7"/>
  <c r="C437" i="7" s="1"/>
  <c r="B436" i="7"/>
  <c r="B435" i="7"/>
  <c r="D434" i="7"/>
  <c r="B434" i="7"/>
  <c r="C434" i="7" s="1"/>
  <c r="A434" i="7" s="1"/>
  <c r="B433" i="7"/>
  <c r="C432" i="7"/>
  <c r="B432" i="7"/>
  <c r="D432" i="7" s="1"/>
  <c r="B431" i="7"/>
  <c r="C431" i="7" s="1"/>
  <c r="B430" i="7"/>
  <c r="C430" i="7" s="1"/>
  <c r="D429" i="7"/>
  <c r="B429" i="7"/>
  <c r="C429" i="7" s="1"/>
  <c r="B428" i="7"/>
  <c r="B427" i="7"/>
  <c r="D426" i="7"/>
  <c r="B426" i="7"/>
  <c r="C426" i="7" s="1"/>
  <c r="B425" i="7"/>
  <c r="D424" i="7"/>
  <c r="C424" i="7"/>
  <c r="B424" i="7"/>
  <c r="B423" i="7"/>
  <c r="C423" i="7" s="1"/>
  <c r="B422" i="7"/>
  <c r="C422" i="7" s="1"/>
  <c r="B421" i="7"/>
  <c r="C421" i="7" s="1"/>
  <c r="B420" i="7"/>
  <c r="B419" i="7"/>
  <c r="D418" i="7"/>
  <c r="B418" i="7"/>
  <c r="C418" i="7" s="1"/>
  <c r="B417" i="7"/>
  <c r="B416" i="7"/>
  <c r="D416" i="7" s="1"/>
  <c r="B415" i="7"/>
  <c r="B414" i="7"/>
  <c r="C414" i="7" s="1"/>
  <c r="B413" i="7"/>
  <c r="C413" i="7" s="1"/>
  <c r="B412" i="7"/>
  <c r="C412" i="7" s="1"/>
  <c r="B411" i="7"/>
  <c r="B410" i="7"/>
  <c r="C410" i="7" s="1"/>
  <c r="B409" i="7"/>
  <c r="D408" i="7"/>
  <c r="B408" i="7"/>
  <c r="C408" i="7" s="1"/>
  <c r="A408" i="7" s="1"/>
  <c r="B407" i="7"/>
  <c r="D406" i="7"/>
  <c r="B406" i="7"/>
  <c r="C406" i="7" s="1"/>
  <c r="D405" i="7"/>
  <c r="B405" i="7"/>
  <c r="C405" i="7" s="1"/>
  <c r="D404" i="7"/>
  <c r="B404" i="7"/>
  <c r="C404" i="7" s="1"/>
  <c r="B403" i="7"/>
  <c r="D402" i="7"/>
  <c r="B402" i="7"/>
  <c r="C402" i="7" s="1"/>
  <c r="B401" i="7"/>
  <c r="C400" i="7"/>
  <c r="B400" i="7"/>
  <c r="D400" i="7" s="1"/>
  <c r="B399" i="7"/>
  <c r="D398" i="7"/>
  <c r="B398" i="7"/>
  <c r="C398" i="7" s="1"/>
  <c r="B397" i="7"/>
  <c r="C397" i="7" s="1"/>
  <c r="B396" i="7"/>
  <c r="C396" i="7" s="1"/>
  <c r="B395" i="7"/>
  <c r="D394" i="7"/>
  <c r="B394" i="7"/>
  <c r="C394" i="7" s="1"/>
  <c r="B393" i="7"/>
  <c r="B392" i="7"/>
  <c r="D392" i="7" s="1"/>
  <c r="B391" i="7"/>
  <c r="B390" i="7"/>
  <c r="C390" i="7" s="1"/>
  <c r="D389" i="7"/>
  <c r="B389" i="7"/>
  <c r="C389" i="7" s="1"/>
  <c r="D388" i="7"/>
  <c r="B388" i="7"/>
  <c r="C388" i="7" s="1"/>
  <c r="B387" i="7"/>
  <c r="B386" i="7"/>
  <c r="C386" i="7" s="1"/>
  <c r="B385" i="7"/>
  <c r="C384" i="7"/>
  <c r="B384" i="7"/>
  <c r="D384" i="7" s="1"/>
  <c r="B383" i="7"/>
  <c r="B382" i="7"/>
  <c r="C382" i="7" s="1"/>
  <c r="D381" i="7"/>
  <c r="B381" i="7"/>
  <c r="C381" i="7" s="1"/>
  <c r="B380" i="7"/>
  <c r="C380" i="7" s="1"/>
  <c r="B379" i="7"/>
  <c r="B378" i="7"/>
  <c r="C378" i="7" s="1"/>
  <c r="B377" i="7"/>
  <c r="B376" i="7"/>
  <c r="D376" i="7" s="1"/>
  <c r="B375" i="7"/>
  <c r="D374" i="7"/>
  <c r="B374" i="7"/>
  <c r="C374" i="7" s="1"/>
  <c r="B373" i="7"/>
  <c r="C373" i="7" s="1"/>
  <c r="D372" i="7"/>
  <c r="B372" i="7"/>
  <c r="C372" i="7" s="1"/>
  <c r="B371" i="7"/>
  <c r="D370" i="7"/>
  <c r="B370" i="7"/>
  <c r="C370" i="7" s="1"/>
  <c r="B369" i="7"/>
  <c r="D368" i="7"/>
  <c r="C368" i="7"/>
  <c r="B368" i="7"/>
  <c r="B367" i="7"/>
  <c r="B366" i="7"/>
  <c r="C366" i="7" s="1"/>
  <c r="B365" i="7"/>
  <c r="C365" i="7" s="1"/>
  <c r="D364" i="7"/>
  <c r="B364" i="7"/>
  <c r="C364" i="7" s="1"/>
  <c r="B363" i="7"/>
  <c r="B362" i="7"/>
  <c r="C362" i="7" s="1"/>
  <c r="B361" i="7"/>
  <c r="C360" i="7"/>
  <c r="B360" i="7"/>
  <c r="D360" i="7" s="1"/>
  <c r="B359" i="7"/>
  <c r="D358" i="7"/>
  <c r="B358" i="7"/>
  <c r="C358" i="7" s="1"/>
  <c r="D357" i="7"/>
  <c r="B357" i="7"/>
  <c r="C357" i="7" s="1"/>
  <c r="B356" i="7"/>
  <c r="C356" i="7" s="1"/>
  <c r="B355" i="7"/>
  <c r="D354" i="7"/>
  <c r="B354" i="7"/>
  <c r="C354" i="7" s="1"/>
  <c r="B353" i="7"/>
  <c r="B352" i="7"/>
  <c r="D352" i="7" s="1"/>
  <c r="B351" i="7"/>
  <c r="B350" i="7"/>
  <c r="C350" i="7" s="1"/>
  <c r="B349" i="7"/>
  <c r="C349" i="7" s="1"/>
  <c r="B348" i="7"/>
  <c r="C348" i="7" s="1"/>
  <c r="B347" i="7"/>
  <c r="B346" i="7"/>
  <c r="C346" i="7" s="1"/>
  <c r="B345" i="7"/>
  <c r="D344" i="7"/>
  <c r="B344" i="7"/>
  <c r="C344" i="7" s="1"/>
  <c r="A344" i="7" s="1"/>
  <c r="B343" i="7"/>
  <c r="D342" i="7"/>
  <c r="B342" i="7"/>
  <c r="C342" i="7" s="1"/>
  <c r="D341" i="7"/>
  <c r="B341" i="7"/>
  <c r="C341" i="7" s="1"/>
  <c r="D340" i="7"/>
  <c r="B340" i="7"/>
  <c r="C340" i="7" s="1"/>
  <c r="B339" i="7"/>
  <c r="D338" i="7"/>
  <c r="B338" i="7"/>
  <c r="C338" i="7" s="1"/>
  <c r="B337" i="7"/>
  <c r="C336" i="7"/>
  <c r="B336" i="7"/>
  <c r="D336" i="7" s="1"/>
  <c r="B335" i="7"/>
  <c r="D334" i="7"/>
  <c r="B334" i="7"/>
  <c r="C334" i="7" s="1"/>
  <c r="B333" i="7"/>
  <c r="C333" i="7" s="1"/>
  <c r="B332" i="7"/>
  <c r="C332" i="7" s="1"/>
  <c r="B331" i="7"/>
  <c r="D330" i="7"/>
  <c r="B330" i="7"/>
  <c r="C330" i="7" s="1"/>
  <c r="B329" i="7"/>
  <c r="B328" i="7"/>
  <c r="D328" i="7" s="1"/>
  <c r="B327" i="7"/>
  <c r="B326" i="7"/>
  <c r="C326" i="7" s="1"/>
  <c r="D325" i="7"/>
  <c r="B325" i="7"/>
  <c r="C325" i="7" s="1"/>
  <c r="B324" i="7"/>
  <c r="D324" i="7" s="1"/>
  <c r="B323" i="7"/>
  <c r="D322" i="7"/>
  <c r="B322" i="7"/>
  <c r="C322" i="7" s="1"/>
  <c r="B321" i="7"/>
  <c r="C321" i="7" s="1"/>
  <c r="C320" i="7"/>
  <c r="B320" i="7"/>
  <c r="D320" i="7" s="1"/>
  <c r="B319" i="7"/>
  <c r="D318" i="7"/>
  <c r="B318" i="7"/>
  <c r="C318" i="7" s="1"/>
  <c r="A318" i="7"/>
  <c r="D317" i="7"/>
  <c r="B317" i="7"/>
  <c r="C317" i="7" s="1"/>
  <c r="A317" i="7"/>
  <c r="D316" i="7"/>
  <c r="C316" i="7"/>
  <c r="A316" i="7" s="1"/>
  <c r="B316" i="7"/>
  <c r="D315" i="7"/>
  <c r="B315" i="7"/>
  <c r="C315" i="7" s="1"/>
  <c r="D314" i="7"/>
  <c r="B314" i="7"/>
  <c r="C314" i="7" s="1"/>
  <c r="A314" i="7" s="1"/>
  <c r="D313" i="7"/>
  <c r="B313" i="7"/>
  <c r="C313" i="7" s="1"/>
  <c r="A313" i="7" s="1"/>
  <c r="C312" i="7"/>
  <c r="B312" i="7"/>
  <c r="D312" i="7" s="1"/>
  <c r="A312" i="7"/>
  <c r="B311" i="7"/>
  <c r="D310" i="7"/>
  <c r="B310" i="7"/>
  <c r="C310" i="7" s="1"/>
  <c r="A310" i="7" s="1"/>
  <c r="D309" i="7"/>
  <c r="B309" i="7"/>
  <c r="C309" i="7" s="1"/>
  <c r="A309" i="7"/>
  <c r="B308" i="7"/>
  <c r="C308" i="7" s="1"/>
  <c r="D307" i="7"/>
  <c r="B307" i="7"/>
  <c r="C307" i="7" s="1"/>
  <c r="A307" i="7"/>
  <c r="B306" i="7"/>
  <c r="C306" i="7" s="1"/>
  <c r="B305" i="7"/>
  <c r="C305" i="7" s="1"/>
  <c r="B304" i="7"/>
  <c r="C304" i="7" s="1"/>
  <c r="D303" i="7"/>
  <c r="A303" i="7" s="1"/>
  <c r="B303" i="7"/>
  <c r="C303" i="7" s="1"/>
  <c r="D302" i="7"/>
  <c r="B302" i="7"/>
  <c r="C302" i="7" s="1"/>
  <c r="A302" i="7" s="1"/>
  <c r="D301" i="7"/>
  <c r="B301" i="7"/>
  <c r="C301" i="7" s="1"/>
  <c r="A301" i="7"/>
  <c r="B300" i="7"/>
  <c r="C300" i="7" s="1"/>
  <c r="D299" i="7"/>
  <c r="B299" i="7"/>
  <c r="C299" i="7" s="1"/>
  <c r="A299" i="7"/>
  <c r="B298" i="7"/>
  <c r="C298" i="7" s="1"/>
  <c r="B297" i="7"/>
  <c r="C297" i="7" s="1"/>
  <c r="B296" i="7"/>
  <c r="C296" i="7" s="1"/>
  <c r="D295" i="7"/>
  <c r="A295" i="7" s="1"/>
  <c r="B295" i="7"/>
  <c r="C295" i="7" s="1"/>
  <c r="D294" i="7"/>
  <c r="B294" i="7"/>
  <c r="C294" i="7" s="1"/>
  <c r="A294" i="7" s="1"/>
  <c r="D293" i="7"/>
  <c r="B293" i="7"/>
  <c r="C293" i="7" s="1"/>
  <c r="A293" i="7"/>
  <c r="B292" i="7"/>
  <c r="C292" i="7" s="1"/>
  <c r="D291" i="7"/>
  <c r="B291" i="7"/>
  <c r="C291" i="7" s="1"/>
  <c r="A291" i="7"/>
  <c r="B290" i="7"/>
  <c r="C290" i="7" s="1"/>
  <c r="B289" i="7"/>
  <c r="C289" i="7" s="1"/>
  <c r="B288" i="7"/>
  <c r="C288" i="7" s="1"/>
  <c r="D287" i="7"/>
  <c r="A287" i="7" s="1"/>
  <c r="B287" i="7"/>
  <c r="C287" i="7" s="1"/>
  <c r="D286" i="7"/>
  <c r="B286" i="7"/>
  <c r="C286" i="7" s="1"/>
  <c r="A286" i="7" s="1"/>
  <c r="D285" i="7"/>
  <c r="B285" i="7"/>
  <c r="C285" i="7" s="1"/>
  <c r="A285" i="7"/>
  <c r="B284" i="7"/>
  <c r="C284" i="7" s="1"/>
  <c r="D283" i="7"/>
  <c r="B283" i="7"/>
  <c r="C283" i="7" s="1"/>
  <c r="A283" i="7"/>
  <c r="B282" i="7"/>
  <c r="C282" i="7" s="1"/>
  <c r="B281" i="7"/>
  <c r="C281" i="7" s="1"/>
  <c r="B280" i="7"/>
  <c r="C280" i="7" s="1"/>
  <c r="D279" i="7"/>
  <c r="A279" i="7" s="1"/>
  <c r="B279" i="7"/>
  <c r="C279" i="7" s="1"/>
  <c r="D278" i="7"/>
  <c r="B278" i="7"/>
  <c r="C278" i="7" s="1"/>
  <c r="A278" i="7" s="1"/>
  <c r="D277" i="7"/>
  <c r="B277" i="7"/>
  <c r="C277" i="7" s="1"/>
  <c r="A277" i="7"/>
  <c r="B276" i="7"/>
  <c r="C276" i="7" s="1"/>
  <c r="D275" i="7"/>
  <c r="B275" i="7"/>
  <c r="C275" i="7" s="1"/>
  <c r="A275" i="7"/>
  <c r="B274" i="7"/>
  <c r="C274" i="7" s="1"/>
  <c r="B273" i="7"/>
  <c r="C273" i="7" s="1"/>
  <c r="B272" i="7"/>
  <c r="C272" i="7" s="1"/>
  <c r="D271" i="7"/>
  <c r="A271" i="7" s="1"/>
  <c r="B271" i="7"/>
  <c r="C271" i="7" s="1"/>
  <c r="D270" i="7"/>
  <c r="B270" i="7"/>
  <c r="C270" i="7" s="1"/>
  <c r="A270" i="7" s="1"/>
  <c r="D269" i="7"/>
  <c r="B269" i="7"/>
  <c r="C269" i="7" s="1"/>
  <c r="A269" i="7"/>
  <c r="B268" i="7"/>
  <c r="C268" i="7" s="1"/>
  <c r="D267" i="7"/>
  <c r="B267" i="7"/>
  <c r="C267" i="7" s="1"/>
  <c r="A267" i="7"/>
  <c r="B266" i="7"/>
  <c r="C266" i="7" s="1"/>
  <c r="B265" i="7"/>
  <c r="C265" i="7" s="1"/>
  <c r="B264" i="7"/>
  <c r="C264" i="7" s="1"/>
  <c r="D263" i="7"/>
  <c r="A263" i="7" s="1"/>
  <c r="B263" i="7"/>
  <c r="C263" i="7" s="1"/>
  <c r="D262" i="7"/>
  <c r="B262" i="7"/>
  <c r="C262" i="7" s="1"/>
  <c r="A262" i="7" s="1"/>
  <c r="D261" i="7"/>
  <c r="B261" i="7"/>
  <c r="C261" i="7" s="1"/>
  <c r="A261" i="7"/>
  <c r="B260" i="7"/>
  <c r="C260" i="7" s="1"/>
  <c r="D259" i="7"/>
  <c r="B259" i="7"/>
  <c r="C259" i="7" s="1"/>
  <c r="A259" i="7"/>
  <c r="B258" i="7"/>
  <c r="C258" i="7" s="1"/>
  <c r="B257" i="7"/>
  <c r="C257" i="7" s="1"/>
  <c r="B256" i="7"/>
  <c r="C256" i="7" s="1"/>
  <c r="D255" i="7"/>
  <c r="A255" i="7" s="1"/>
  <c r="B255" i="7"/>
  <c r="C255" i="7" s="1"/>
  <c r="D254" i="7"/>
  <c r="B254" i="7"/>
  <c r="C254" i="7" s="1"/>
  <c r="A254" i="7" s="1"/>
  <c r="D253" i="7"/>
  <c r="B253" i="7"/>
  <c r="C253" i="7" s="1"/>
  <c r="A253" i="7"/>
  <c r="B252" i="7"/>
  <c r="C252" i="7" s="1"/>
  <c r="D251" i="7"/>
  <c r="B251" i="7"/>
  <c r="C251" i="7" s="1"/>
  <c r="A251" i="7"/>
  <c r="B250" i="7"/>
  <c r="C250" i="7" s="1"/>
  <c r="B249" i="7"/>
  <c r="C249" i="7" s="1"/>
  <c r="B248" i="7"/>
  <c r="C248" i="7" s="1"/>
  <c r="D247" i="7"/>
  <c r="A247" i="7" s="1"/>
  <c r="B247" i="7"/>
  <c r="C247" i="7" s="1"/>
  <c r="D246" i="7"/>
  <c r="B246" i="7"/>
  <c r="C246" i="7" s="1"/>
  <c r="A246" i="7" s="1"/>
  <c r="D245" i="7"/>
  <c r="B245" i="7"/>
  <c r="C245" i="7" s="1"/>
  <c r="A245" i="7"/>
  <c r="B244" i="7"/>
  <c r="C244" i="7" s="1"/>
  <c r="D243" i="7"/>
  <c r="B243" i="7"/>
  <c r="C243" i="7" s="1"/>
  <c r="A243" i="7"/>
  <c r="B242" i="7"/>
  <c r="C242" i="7" s="1"/>
  <c r="B241" i="7"/>
  <c r="C241" i="7" s="1"/>
  <c r="B240" i="7"/>
  <c r="C240" i="7" s="1"/>
  <c r="D239" i="7"/>
  <c r="A239" i="7" s="1"/>
  <c r="B239" i="7"/>
  <c r="C239" i="7" s="1"/>
  <c r="D238" i="7"/>
  <c r="B238" i="7"/>
  <c r="C238" i="7" s="1"/>
  <c r="A238" i="7" s="1"/>
  <c r="D237" i="7"/>
  <c r="B237" i="7"/>
  <c r="C237" i="7" s="1"/>
  <c r="A237" i="7"/>
  <c r="B236" i="7"/>
  <c r="C236" i="7" s="1"/>
  <c r="D235" i="7"/>
  <c r="B235" i="7"/>
  <c r="C235" i="7" s="1"/>
  <c r="A235" i="7"/>
  <c r="B234" i="7"/>
  <c r="C234" i="7" s="1"/>
  <c r="B233" i="7"/>
  <c r="C233" i="7" s="1"/>
  <c r="B232" i="7"/>
  <c r="C232" i="7" s="1"/>
  <c r="D231" i="7"/>
  <c r="A231" i="7" s="1"/>
  <c r="B231" i="7"/>
  <c r="C231" i="7" s="1"/>
  <c r="D230" i="7"/>
  <c r="B230" i="7"/>
  <c r="C230" i="7" s="1"/>
  <c r="A230" i="7" s="1"/>
  <c r="D229" i="7"/>
  <c r="B229" i="7"/>
  <c r="C229" i="7" s="1"/>
  <c r="A229" i="7"/>
  <c r="B228" i="7"/>
  <c r="C228" i="7" s="1"/>
  <c r="D227" i="7"/>
  <c r="B227" i="7"/>
  <c r="C227" i="7" s="1"/>
  <c r="A227" i="7"/>
  <c r="B226" i="7"/>
  <c r="C226" i="7" s="1"/>
  <c r="B225" i="7"/>
  <c r="C225" i="7" s="1"/>
  <c r="B224" i="7"/>
  <c r="C224" i="7" s="1"/>
  <c r="D223" i="7"/>
  <c r="A223" i="7" s="1"/>
  <c r="B223" i="7"/>
  <c r="C223" i="7" s="1"/>
  <c r="D222" i="7"/>
  <c r="B222" i="7"/>
  <c r="C222" i="7" s="1"/>
  <c r="A222" i="7" s="1"/>
  <c r="D221" i="7"/>
  <c r="B221" i="7"/>
  <c r="C221" i="7" s="1"/>
  <c r="A221" i="7"/>
  <c r="B220" i="7"/>
  <c r="C220" i="7" s="1"/>
  <c r="D219" i="7"/>
  <c r="B219" i="7"/>
  <c r="C219" i="7" s="1"/>
  <c r="A219" i="7"/>
  <c r="B218" i="7"/>
  <c r="C218" i="7" s="1"/>
  <c r="B217" i="7"/>
  <c r="C217" i="7" s="1"/>
  <c r="B216" i="7"/>
  <c r="C216" i="7" s="1"/>
  <c r="D215" i="7"/>
  <c r="A215" i="7" s="1"/>
  <c r="B215" i="7"/>
  <c r="C215" i="7" s="1"/>
  <c r="D214" i="7"/>
  <c r="B214" i="7"/>
  <c r="C214" i="7" s="1"/>
  <c r="A214" i="7" s="1"/>
  <c r="D213" i="7"/>
  <c r="B213" i="7"/>
  <c r="C213" i="7" s="1"/>
  <c r="A213" i="7"/>
  <c r="B212" i="7"/>
  <c r="C212" i="7" s="1"/>
  <c r="D211" i="7"/>
  <c r="B211" i="7"/>
  <c r="C211" i="7" s="1"/>
  <c r="A211" i="7"/>
  <c r="B210" i="7"/>
  <c r="C210" i="7" s="1"/>
  <c r="B209" i="7"/>
  <c r="C209" i="7" s="1"/>
  <c r="B208" i="7"/>
  <c r="C208" i="7" s="1"/>
  <c r="D207" i="7"/>
  <c r="A207" i="7" s="1"/>
  <c r="B207" i="7"/>
  <c r="C207" i="7" s="1"/>
  <c r="D206" i="7"/>
  <c r="B206" i="7"/>
  <c r="C206" i="7" s="1"/>
  <c r="A206" i="7" s="1"/>
  <c r="D205" i="7"/>
  <c r="B205" i="7"/>
  <c r="C205" i="7" s="1"/>
  <c r="A205" i="7"/>
  <c r="B204" i="7"/>
  <c r="C204" i="7" s="1"/>
  <c r="D203" i="7"/>
  <c r="B203" i="7"/>
  <c r="C203" i="7" s="1"/>
  <c r="A203" i="7"/>
  <c r="B202" i="7"/>
  <c r="C202" i="7" s="1"/>
  <c r="B201" i="7"/>
  <c r="C201" i="7" s="1"/>
  <c r="B200" i="7"/>
  <c r="C200" i="7" s="1"/>
  <c r="D199" i="7"/>
  <c r="A199" i="7" s="1"/>
  <c r="B199" i="7"/>
  <c r="C199" i="7" s="1"/>
  <c r="D198" i="7"/>
  <c r="B198" i="7"/>
  <c r="C198" i="7" s="1"/>
  <c r="A198" i="7" s="1"/>
  <c r="D197" i="7"/>
  <c r="B197" i="7"/>
  <c r="C197" i="7" s="1"/>
  <c r="A197" i="7"/>
  <c r="B196" i="7"/>
  <c r="C196" i="7" s="1"/>
  <c r="D195" i="7"/>
  <c r="B195" i="7"/>
  <c r="C195" i="7" s="1"/>
  <c r="A195" i="7"/>
  <c r="B194" i="7"/>
  <c r="C194" i="7" s="1"/>
  <c r="B193" i="7"/>
  <c r="C193" i="7" s="1"/>
  <c r="B192" i="7"/>
  <c r="C192" i="7" s="1"/>
  <c r="D191" i="7"/>
  <c r="A191" i="7" s="1"/>
  <c r="B191" i="7"/>
  <c r="C191" i="7" s="1"/>
  <c r="D190" i="7"/>
  <c r="B190" i="7"/>
  <c r="C190" i="7" s="1"/>
  <c r="A190" i="7" s="1"/>
  <c r="D189" i="7"/>
  <c r="B189" i="7"/>
  <c r="C189" i="7" s="1"/>
  <c r="A189" i="7"/>
  <c r="B188" i="7"/>
  <c r="C188" i="7" s="1"/>
  <c r="D187" i="7"/>
  <c r="B187" i="7"/>
  <c r="C187" i="7" s="1"/>
  <c r="A187" i="7"/>
  <c r="B186" i="7"/>
  <c r="C186" i="7" s="1"/>
  <c r="B185" i="7"/>
  <c r="C185" i="7" s="1"/>
  <c r="B184" i="7"/>
  <c r="C184" i="7" s="1"/>
  <c r="D183" i="7"/>
  <c r="A183" i="7" s="1"/>
  <c r="B183" i="7"/>
  <c r="C183" i="7" s="1"/>
  <c r="D182" i="7"/>
  <c r="B182" i="7"/>
  <c r="C182" i="7" s="1"/>
  <c r="A182" i="7" s="1"/>
  <c r="D181" i="7"/>
  <c r="B181" i="7"/>
  <c r="C181" i="7" s="1"/>
  <c r="A181" i="7"/>
  <c r="B180" i="7"/>
  <c r="C180" i="7" s="1"/>
  <c r="D179" i="7"/>
  <c r="B179" i="7"/>
  <c r="C179" i="7" s="1"/>
  <c r="A179" i="7"/>
  <c r="B178" i="7"/>
  <c r="C178" i="7" s="1"/>
  <c r="B177" i="7"/>
  <c r="C177" i="7" s="1"/>
  <c r="B176" i="7"/>
  <c r="C176" i="7" s="1"/>
  <c r="D175" i="7"/>
  <c r="A175" i="7" s="1"/>
  <c r="B175" i="7"/>
  <c r="C175" i="7" s="1"/>
  <c r="D174" i="7"/>
  <c r="B174" i="7"/>
  <c r="C174" i="7" s="1"/>
  <c r="A174" i="7" s="1"/>
  <c r="D173" i="7"/>
  <c r="B173" i="7"/>
  <c r="C173" i="7" s="1"/>
  <c r="A173" i="7"/>
  <c r="B172" i="7"/>
  <c r="C172" i="7" s="1"/>
  <c r="B171" i="7"/>
  <c r="D171" i="7" s="1"/>
  <c r="D170" i="7"/>
  <c r="A170" i="7" s="1"/>
  <c r="B170" i="7"/>
  <c r="C170" i="7" s="1"/>
  <c r="D169" i="7"/>
  <c r="A169" i="7" s="1"/>
  <c r="C169" i="7"/>
  <c r="B169" i="7"/>
  <c r="B168" i="7"/>
  <c r="C168" i="7" s="1"/>
  <c r="C167" i="7"/>
  <c r="A167" i="7" s="1"/>
  <c r="B167" i="7"/>
  <c r="D167" i="7" s="1"/>
  <c r="D166" i="7"/>
  <c r="B166" i="7"/>
  <c r="C166" i="7" s="1"/>
  <c r="A166" i="7"/>
  <c r="B165" i="7"/>
  <c r="D165" i="7" s="1"/>
  <c r="B164" i="7"/>
  <c r="C164" i="7" s="1"/>
  <c r="D163" i="7"/>
  <c r="B163" i="7"/>
  <c r="C163" i="7" s="1"/>
  <c r="A163" i="7" s="1"/>
  <c r="D162" i="7"/>
  <c r="B162" i="7"/>
  <c r="C162" i="7" s="1"/>
  <c r="A162" i="7"/>
  <c r="C161" i="7"/>
  <c r="B161" i="7"/>
  <c r="D161" i="7" s="1"/>
  <c r="D160" i="7"/>
  <c r="A160" i="7" s="1"/>
  <c r="C160" i="7"/>
  <c r="B160" i="7"/>
  <c r="C159" i="7"/>
  <c r="B159" i="7"/>
  <c r="D159" i="7" s="1"/>
  <c r="D158" i="7"/>
  <c r="A158" i="7" s="1"/>
  <c r="C158" i="7"/>
  <c r="B158" i="7"/>
  <c r="C157" i="7"/>
  <c r="A157" i="7" s="1"/>
  <c r="B157" i="7"/>
  <c r="D157" i="7" s="1"/>
  <c r="D156" i="7"/>
  <c r="A156" i="7" s="1"/>
  <c r="C156" i="7"/>
  <c r="B156" i="7"/>
  <c r="C155" i="7"/>
  <c r="B155" i="7"/>
  <c r="D155" i="7" s="1"/>
  <c r="D154" i="7"/>
  <c r="A154" i="7" s="1"/>
  <c r="C154" i="7"/>
  <c r="B154" i="7"/>
  <c r="C153" i="7"/>
  <c r="A153" i="7" s="1"/>
  <c r="B153" i="7"/>
  <c r="D153" i="7" s="1"/>
  <c r="D152" i="7"/>
  <c r="A152" i="7" s="1"/>
  <c r="C152" i="7"/>
  <c r="B152" i="7"/>
  <c r="C151" i="7"/>
  <c r="A151" i="7" s="1"/>
  <c r="B151" i="7"/>
  <c r="D151" i="7" s="1"/>
  <c r="D150" i="7"/>
  <c r="A150" i="7" s="1"/>
  <c r="C150" i="7"/>
  <c r="B150" i="7"/>
  <c r="C149" i="7"/>
  <c r="A149" i="7" s="1"/>
  <c r="B149" i="7"/>
  <c r="D149" i="7" s="1"/>
  <c r="D148" i="7"/>
  <c r="A148" i="7" s="1"/>
  <c r="C148" i="7"/>
  <c r="B148" i="7"/>
  <c r="C147" i="7"/>
  <c r="B147" i="7"/>
  <c r="D147" i="7" s="1"/>
  <c r="D146" i="7"/>
  <c r="A146" i="7" s="1"/>
  <c r="C146" i="7"/>
  <c r="B146" i="7"/>
  <c r="C145" i="7"/>
  <c r="B145" i="7"/>
  <c r="D145" i="7" s="1"/>
  <c r="D144" i="7"/>
  <c r="A144" i="7" s="1"/>
  <c r="C144" i="7"/>
  <c r="B144" i="7"/>
  <c r="C143" i="7"/>
  <c r="B143" i="7"/>
  <c r="D143" i="7" s="1"/>
  <c r="D142" i="7"/>
  <c r="A142" i="7" s="1"/>
  <c r="C142" i="7"/>
  <c r="B142" i="7"/>
  <c r="C141" i="7"/>
  <c r="A141" i="7" s="1"/>
  <c r="B141" i="7"/>
  <c r="D141" i="7" s="1"/>
  <c r="D140" i="7"/>
  <c r="A140" i="7" s="1"/>
  <c r="C140" i="7"/>
  <c r="B140" i="7"/>
  <c r="C139" i="7"/>
  <c r="B139" i="7"/>
  <c r="D139" i="7" s="1"/>
  <c r="D138" i="7"/>
  <c r="A138" i="7" s="1"/>
  <c r="C138" i="7"/>
  <c r="B138" i="7"/>
  <c r="C137" i="7"/>
  <c r="A137" i="7" s="1"/>
  <c r="B137" i="7"/>
  <c r="D137" i="7" s="1"/>
  <c r="D136" i="7"/>
  <c r="A136" i="7" s="1"/>
  <c r="C136" i="7"/>
  <c r="B136" i="7"/>
  <c r="C135" i="7"/>
  <c r="A135" i="7" s="1"/>
  <c r="B135" i="7"/>
  <c r="D135" i="7" s="1"/>
  <c r="D134" i="7"/>
  <c r="A134" i="7" s="1"/>
  <c r="C134" i="7"/>
  <c r="B134" i="7"/>
  <c r="C133" i="7"/>
  <c r="A133" i="7" s="1"/>
  <c r="B133" i="7"/>
  <c r="D133" i="7" s="1"/>
  <c r="D132" i="7"/>
  <c r="A132" i="7" s="1"/>
  <c r="C132" i="7"/>
  <c r="B132" i="7"/>
  <c r="C131" i="7"/>
  <c r="B131" i="7"/>
  <c r="D131" i="7" s="1"/>
  <c r="D130" i="7"/>
  <c r="A130" i="7" s="1"/>
  <c r="C130" i="7"/>
  <c r="B130" i="7"/>
  <c r="C129" i="7"/>
  <c r="B129" i="7"/>
  <c r="D129" i="7" s="1"/>
  <c r="D128" i="7"/>
  <c r="A128" i="7" s="1"/>
  <c r="C128" i="7"/>
  <c r="B128" i="7"/>
  <c r="C127" i="7"/>
  <c r="B127" i="7"/>
  <c r="D127" i="7" s="1"/>
  <c r="D126" i="7"/>
  <c r="A126" i="7" s="1"/>
  <c r="C126" i="7"/>
  <c r="B126" i="7"/>
  <c r="C125" i="7"/>
  <c r="A125" i="7" s="1"/>
  <c r="B125" i="7"/>
  <c r="D125" i="7" s="1"/>
  <c r="D124" i="7"/>
  <c r="A124" i="7" s="1"/>
  <c r="C124" i="7"/>
  <c r="B124" i="7"/>
  <c r="C123" i="7"/>
  <c r="B123" i="7"/>
  <c r="D123" i="7" s="1"/>
  <c r="D122" i="7"/>
  <c r="A122" i="7" s="1"/>
  <c r="C122" i="7"/>
  <c r="B122" i="7"/>
  <c r="C121" i="7"/>
  <c r="A121" i="7" s="1"/>
  <c r="B121" i="7"/>
  <c r="D121" i="7" s="1"/>
  <c r="D120" i="7"/>
  <c r="A120" i="7" s="1"/>
  <c r="C120" i="7"/>
  <c r="B120" i="7"/>
  <c r="C119" i="7"/>
  <c r="A119" i="7" s="1"/>
  <c r="B119" i="7"/>
  <c r="D119" i="7" s="1"/>
  <c r="D118" i="7"/>
  <c r="A118" i="7" s="1"/>
  <c r="C118" i="7"/>
  <c r="B118" i="7"/>
  <c r="C117" i="7"/>
  <c r="A117" i="7" s="1"/>
  <c r="B117" i="7"/>
  <c r="D117" i="7" s="1"/>
  <c r="D116" i="7"/>
  <c r="A116" i="7" s="1"/>
  <c r="C116" i="7"/>
  <c r="B116" i="7"/>
  <c r="C115" i="7"/>
  <c r="B115" i="7"/>
  <c r="D115" i="7" s="1"/>
  <c r="D114" i="7"/>
  <c r="A114" i="7" s="1"/>
  <c r="C114" i="7"/>
  <c r="B114" i="7"/>
  <c r="C113" i="7"/>
  <c r="B113" i="7"/>
  <c r="D113" i="7" s="1"/>
  <c r="D112" i="7"/>
  <c r="A112" i="7" s="1"/>
  <c r="C112" i="7"/>
  <c r="B112" i="7"/>
  <c r="C111" i="7"/>
  <c r="B111" i="7"/>
  <c r="D111" i="7" s="1"/>
  <c r="D110" i="7"/>
  <c r="A110" i="7" s="1"/>
  <c r="C110" i="7"/>
  <c r="B110" i="7"/>
  <c r="C109" i="7"/>
  <c r="A109" i="7" s="1"/>
  <c r="B109" i="7"/>
  <c r="D109" i="7" s="1"/>
  <c r="D108" i="7"/>
  <c r="A108" i="7" s="1"/>
  <c r="C108" i="7"/>
  <c r="B108" i="7"/>
  <c r="C107" i="7"/>
  <c r="B107" i="7"/>
  <c r="D107" i="7" s="1"/>
  <c r="D106" i="7"/>
  <c r="A106" i="7" s="1"/>
  <c r="C106" i="7"/>
  <c r="B106" i="7"/>
  <c r="C105" i="7"/>
  <c r="A105" i="7" s="1"/>
  <c r="B105" i="7"/>
  <c r="D105" i="7" s="1"/>
  <c r="D104" i="7"/>
  <c r="A104" i="7" s="1"/>
  <c r="C104" i="7"/>
  <c r="B104" i="7"/>
  <c r="C103" i="7"/>
  <c r="A103" i="7" s="1"/>
  <c r="B103" i="7"/>
  <c r="D103" i="7" s="1"/>
  <c r="D102" i="7"/>
  <c r="A102" i="7" s="1"/>
  <c r="C102" i="7"/>
  <c r="B102" i="7"/>
  <c r="C101" i="7"/>
  <c r="A101" i="7" s="1"/>
  <c r="B101" i="7"/>
  <c r="D101" i="7" s="1"/>
  <c r="D100" i="7"/>
  <c r="A100" i="7" s="1"/>
  <c r="C100" i="7"/>
  <c r="B100" i="7"/>
  <c r="C99" i="7"/>
  <c r="B99" i="7"/>
  <c r="D99" i="7" s="1"/>
  <c r="D98" i="7"/>
  <c r="A98" i="7" s="1"/>
  <c r="C98" i="7"/>
  <c r="B98" i="7"/>
  <c r="C97" i="7"/>
  <c r="B97" i="7"/>
  <c r="D97" i="7" s="1"/>
  <c r="D96" i="7"/>
  <c r="A96" i="7" s="1"/>
  <c r="C96" i="7"/>
  <c r="B96" i="7"/>
  <c r="C95" i="7"/>
  <c r="B95" i="7"/>
  <c r="D95" i="7" s="1"/>
  <c r="D94" i="7"/>
  <c r="A94" i="7" s="1"/>
  <c r="C94" i="7"/>
  <c r="B94" i="7"/>
  <c r="C93" i="7"/>
  <c r="A93" i="7" s="1"/>
  <c r="B93" i="7"/>
  <c r="D93" i="7" s="1"/>
  <c r="D92" i="7"/>
  <c r="A92" i="7" s="1"/>
  <c r="C92" i="7"/>
  <c r="B92" i="7"/>
  <c r="C91" i="7"/>
  <c r="B91" i="7"/>
  <c r="D91" i="7" s="1"/>
  <c r="D90" i="7"/>
  <c r="A90" i="7" s="1"/>
  <c r="C90" i="7"/>
  <c r="B90" i="7"/>
  <c r="C89" i="7"/>
  <c r="A89" i="7" s="1"/>
  <c r="B89" i="7"/>
  <c r="D89" i="7" s="1"/>
  <c r="D88" i="7"/>
  <c r="A88" i="7" s="1"/>
  <c r="C88" i="7"/>
  <c r="B88" i="7"/>
  <c r="C87" i="7"/>
  <c r="A87" i="7" s="1"/>
  <c r="B87" i="7"/>
  <c r="D87" i="7" s="1"/>
  <c r="D86" i="7"/>
  <c r="A86" i="7" s="1"/>
  <c r="C86" i="7"/>
  <c r="B86" i="7"/>
  <c r="C85" i="7"/>
  <c r="A85" i="7" s="1"/>
  <c r="B85" i="7"/>
  <c r="D85" i="7" s="1"/>
  <c r="D84" i="7"/>
  <c r="A84" i="7" s="1"/>
  <c r="C84" i="7"/>
  <c r="B84" i="7"/>
  <c r="C83" i="7"/>
  <c r="B83" i="7"/>
  <c r="D83" i="7" s="1"/>
  <c r="D82" i="7"/>
  <c r="A82" i="7" s="1"/>
  <c r="C82" i="7"/>
  <c r="B82" i="7"/>
  <c r="C81" i="7"/>
  <c r="B81" i="7"/>
  <c r="D81" i="7" s="1"/>
  <c r="D80" i="7"/>
  <c r="A80" i="7" s="1"/>
  <c r="C80" i="7"/>
  <c r="B80" i="7"/>
  <c r="C79" i="7"/>
  <c r="B79" i="7"/>
  <c r="D79" i="7" s="1"/>
  <c r="D78" i="7"/>
  <c r="A78" i="7" s="1"/>
  <c r="C78" i="7"/>
  <c r="B78" i="7"/>
  <c r="C77" i="7"/>
  <c r="A77" i="7" s="1"/>
  <c r="B77" i="7"/>
  <c r="D77" i="7" s="1"/>
  <c r="D76" i="7"/>
  <c r="A76" i="7" s="1"/>
  <c r="C76" i="7"/>
  <c r="B76" i="7"/>
  <c r="C75" i="7"/>
  <c r="B75" i="7"/>
  <c r="D75" i="7" s="1"/>
  <c r="D74" i="7"/>
  <c r="A74" i="7" s="1"/>
  <c r="C74" i="7"/>
  <c r="B74" i="7"/>
  <c r="C73" i="7"/>
  <c r="A73" i="7" s="1"/>
  <c r="B73" i="7"/>
  <c r="D73" i="7" s="1"/>
  <c r="D72" i="7"/>
  <c r="A72" i="7" s="1"/>
  <c r="C72" i="7"/>
  <c r="B72" i="7"/>
  <c r="C71" i="7"/>
  <c r="A71" i="7" s="1"/>
  <c r="B71" i="7"/>
  <c r="D71" i="7" s="1"/>
  <c r="D70" i="7"/>
  <c r="A70" i="7" s="1"/>
  <c r="C70" i="7"/>
  <c r="B70" i="7"/>
  <c r="C69" i="7"/>
  <c r="A69" i="7" s="1"/>
  <c r="B69" i="7"/>
  <c r="D69" i="7" s="1"/>
  <c r="D68" i="7"/>
  <c r="A68" i="7" s="1"/>
  <c r="C68" i="7"/>
  <c r="B68" i="7"/>
  <c r="C67" i="7"/>
  <c r="B67" i="7"/>
  <c r="D67" i="7" s="1"/>
  <c r="D66" i="7"/>
  <c r="A66" i="7" s="1"/>
  <c r="C66" i="7"/>
  <c r="B66" i="7"/>
  <c r="C65" i="7"/>
  <c r="B65" i="7"/>
  <c r="D65" i="7" s="1"/>
  <c r="D64" i="7"/>
  <c r="A64" i="7" s="1"/>
  <c r="C64" i="7"/>
  <c r="B64" i="7"/>
  <c r="C63" i="7"/>
  <c r="B63" i="7"/>
  <c r="D63" i="7" s="1"/>
  <c r="D62" i="7"/>
  <c r="A62" i="7" s="1"/>
  <c r="C62" i="7"/>
  <c r="B62" i="7"/>
  <c r="C61" i="7"/>
  <c r="A61" i="7" s="1"/>
  <c r="B61" i="7"/>
  <c r="D61" i="7" s="1"/>
  <c r="D60" i="7"/>
  <c r="A60" i="7" s="1"/>
  <c r="C60" i="7"/>
  <c r="B60" i="7"/>
  <c r="C59" i="7"/>
  <c r="B59" i="7"/>
  <c r="D59" i="7" s="1"/>
  <c r="D58" i="7"/>
  <c r="A58" i="7" s="1"/>
  <c r="C58" i="7"/>
  <c r="B58" i="7"/>
  <c r="C57" i="7"/>
  <c r="A57" i="7" s="1"/>
  <c r="B57" i="7"/>
  <c r="D57" i="7" s="1"/>
  <c r="D56" i="7"/>
  <c r="A56" i="7" s="1"/>
  <c r="C56" i="7"/>
  <c r="B56" i="7"/>
  <c r="C55" i="7"/>
  <c r="A55" i="7" s="1"/>
  <c r="B55" i="7"/>
  <c r="D55" i="7" s="1"/>
  <c r="D54" i="7"/>
  <c r="A54" i="7" s="1"/>
  <c r="C54" i="7"/>
  <c r="B54" i="7"/>
  <c r="C53" i="7"/>
  <c r="A53" i="7" s="1"/>
  <c r="B53" i="7"/>
  <c r="D53" i="7" s="1"/>
  <c r="D52" i="7"/>
  <c r="A52" i="7" s="1"/>
  <c r="C52" i="7"/>
  <c r="B52" i="7"/>
  <c r="C51" i="7"/>
  <c r="B51" i="7"/>
  <c r="D51" i="7" s="1"/>
  <c r="D50" i="7"/>
  <c r="A50" i="7" s="1"/>
  <c r="C50" i="7"/>
  <c r="B50" i="7"/>
  <c r="C49" i="7"/>
  <c r="B49" i="7"/>
  <c r="D49" i="7" s="1"/>
  <c r="D48" i="7"/>
  <c r="A48" i="7" s="1"/>
  <c r="C48" i="7"/>
  <c r="B48" i="7"/>
  <c r="C47" i="7"/>
  <c r="B47" i="7"/>
  <c r="D47" i="7" s="1"/>
  <c r="D46" i="7"/>
  <c r="A46" i="7" s="1"/>
  <c r="C46" i="7"/>
  <c r="B46" i="7"/>
  <c r="C45" i="7"/>
  <c r="A45" i="7" s="1"/>
  <c r="B45" i="7"/>
  <c r="D45" i="7" s="1"/>
  <c r="D44" i="7"/>
  <c r="A44" i="7" s="1"/>
  <c r="C44" i="7"/>
  <c r="B44" i="7"/>
  <c r="C43" i="7"/>
  <c r="B43" i="7"/>
  <c r="D43" i="7" s="1"/>
  <c r="D42" i="7"/>
  <c r="A42" i="7" s="1"/>
  <c r="C42" i="7"/>
  <c r="B42" i="7"/>
  <c r="C41" i="7"/>
  <c r="A41" i="7" s="1"/>
  <c r="B41" i="7"/>
  <c r="D41" i="7" s="1"/>
  <c r="D40" i="7"/>
  <c r="A40" i="7" s="1"/>
  <c r="C40" i="7"/>
  <c r="B40" i="7"/>
  <c r="C39" i="7"/>
  <c r="A39" i="7" s="1"/>
  <c r="B39" i="7"/>
  <c r="D39" i="7" s="1"/>
  <c r="D38" i="7"/>
  <c r="A38" i="7" s="1"/>
  <c r="C38" i="7"/>
  <c r="B38" i="7"/>
  <c r="C37" i="7"/>
  <c r="A37" i="7" s="1"/>
  <c r="B37" i="7"/>
  <c r="D37" i="7" s="1"/>
  <c r="D36" i="7"/>
  <c r="A36" i="7" s="1"/>
  <c r="C36" i="7"/>
  <c r="B36" i="7"/>
  <c r="C35" i="7"/>
  <c r="B35" i="7"/>
  <c r="D35" i="7" s="1"/>
  <c r="D34" i="7"/>
  <c r="B34" i="7"/>
  <c r="C34" i="7" s="1"/>
  <c r="A34" i="7" s="1"/>
  <c r="C33" i="7"/>
  <c r="B33" i="7"/>
  <c r="D33" i="7" s="1"/>
  <c r="D32" i="7"/>
  <c r="B32" i="7"/>
  <c r="C32" i="7" s="1"/>
  <c r="A32" i="7" s="1"/>
  <c r="C31" i="7"/>
  <c r="B31" i="7"/>
  <c r="D31" i="7" s="1"/>
  <c r="D30" i="7"/>
  <c r="B30" i="7"/>
  <c r="C30" i="7" s="1"/>
  <c r="A30" i="7" s="1"/>
  <c r="C29" i="7"/>
  <c r="B29" i="7"/>
  <c r="D29" i="7" s="1"/>
  <c r="D28" i="7"/>
  <c r="B28" i="7"/>
  <c r="C28" i="7" s="1"/>
  <c r="A28" i="7" s="1"/>
  <c r="C27" i="7"/>
  <c r="B27" i="7"/>
  <c r="D27" i="7" s="1"/>
  <c r="D26" i="7"/>
  <c r="B26" i="7"/>
  <c r="C26" i="7" s="1"/>
  <c r="A26" i="7" s="1"/>
  <c r="C25" i="7"/>
  <c r="B25" i="7"/>
  <c r="D25" i="7" s="1"/>
  <c r="D24" i="7"/>
  <c r="B24" i="7"/>
  <c r="C24" i="7" s="1"/>
  <c r="A24" i="7" s="1"/>
  <c r="C23" i="7"/>
  <c r="B23" i="7"/>
  <c r="D23" i="7" s="1"/>
  <c r="D22" i="7"/>
  <c r="B22" i="7"/>
  <c r="C22" i="7" s="1"/>
  <c r="A22" i="7" s="1"/>
  <c r="C21" i="7"/>
  <c r="B21" i="7"/>
  <c r="D21" i="7" s="1"/>
  <c r="D20" i="7"/>
  <c r="B20" i="7"/>
  <c r="C20" i="7" s="1"/>
  <c r="A20" i="7" s="1"/>
  <c r="C19" i="7"/>
  <c r="B19" i="7"/>
  <c r="D19" i="7" s="1"/>
  <c r="D18" i="7"/>
  <c r="B18" i="7"/>
  <c r="C18" i="7" s="1"/>
  <c r="A18" i="7" s="1"/>
  <c r="C17" i="7"/>
  <c r="B17" i="7"/>
  <c r="D17" i="7" s="1"/>
  <c r="D16" i="7"/>
  <c r="B16" i="7"/>
  <c r="C16" i="7" s="1"/>
  <c r="A16" i="7" s="1"/>
  <c r="C15" i="7"/>
  <c r="B15" i="7"/>
  <c r="D15" i="7" s="1"/>
  <c r="D14" i="7"/>
  <c r="B14" i="7"/>
  <c r="C14" i="7" s="1"/>
  <c r="A14" i="7" s="1"/>
  <c r="C13" i="7"/>
  <c r="B13" i="7"/>
  <c r="D13" i="7" s="1"/>
  <c r="D12" i="7"/>
  <c r="B12" i="7"/>
  <c r="C12" i="7" s="1"/>
  <c r="A12" i="7" s="1"/>
  <c r="C11" i="7"/>
  <c r="B11" i="7"/>
  <c r="D11" i="7" s="1"/>
  <c r="D10" i="7"/>
  <c r="B10" i="7"/>
  <c r="C10" i="7" s="1"/>
  <c r="A10" i="7" s="1"/>
  <c r="C9" i="7"/>
  <c r="B9" i="7"/>
  <c r="D9" i="7" s="1"/>
  <c r="D8" i="7"/>
  <c r="B8" i="7"/>
  <c r="C8" i="7" s="1"/>
  <c r="A8" i="7" s="1"/>
  <c r="C7" i="7"/>
  <c r="B7" i="7"/>
  <c r="D7" i="7" s="1"/>
  <c r="D6" i="7"/>
  <c r="B6" i="7"/>
  <c r="C6" i="7" s="1"/>
  <c r="D2005" i="6"/>
  <c r="C2005" i="6"/>
  <c r="A2005" i="6"/>
  <c r="D2004" i="6"/>
  <c r="C2004" i="6"/>
  <c r="A2004" i="6" s="1"/>
  <c r="D2003" i="6"/>
  <c r="C2003" i="6"/>
  <c r="A2003" i="6" s="1"/>
  <c r="D2002" i="6"/>
  <c r="C2002" i="6"/>
  <c r="A2002" i="6"/>
  <c r="D2001" i="6"/>
  <c r="A2001" i="6" s="1"/>
  <c r="C2001" i="6"/>
  <c r="D2000" i="6"/>
  <c r="C2000" i="6"/>
  <c r="A2000" i="6" s="1"/>
  <c r="D1999" i="6"/>
  <c r="C1999" i="6"/>
  <c r="A1999" i="6" s="1"/>
  <c r="D1998" i="6"/>
  <c r="C1998" i="6"/>
  <c r="A1998" i="6"/>
  <c r="D1997" i="6"/>
  <c r="C1997" i="6"/>
  <c r="A1997" i="6"/>
  <c r="D1996" i="6"/>
  <c r="C1996" i="6"/>
  <c r="A1996" i="6" s="1"/>
  <c r="D1995" i="6"/>
  <c r="C1995" i="6"/>
  <c r="A1995" i="6" s="1"/>
  <c r="D1994" i="6"/>
  <c r="C1994" i="6"/>
  <c r="A1994" i="6"/>
  <c r="D1993" i="6"/>
  <c r="C1993" i="6"/>
  <c r="A1993" i="6" s="1"/>
  <c r="D1992" i="6"/>
  <c r="C1992" i="6"/>
  <c r="A1992" i="6" s="1"/>
  <c r="D1991" i="6"/>
  <c r="C1991" i="6"/>
  <c r="A1991" i="6" s="1"/>
  <c r="D1990" i="6"/>
  <c r="C1990" i="6"/>
  <c r="A1990" i="6"/>
  <c r="D1989" i="6"/>
  <c r="C1989" i="6"/>
  <c r="A1989" i="6"/>
  <c r="D1988" i="6"/>
  <c r="C1988" i="6"/>
  <c r="A1988" i="6" s="1"/>
  <c r="D1987" i="6"/>
  <c r="C1987" i="6"/>
  <c r="A1987" i="6" s="1"/>
  <c r="D1986" i="6"/>
  <c r="C1986" i="6"/>
  <c r="A1986" i="6"/>
  <c r="D1985" i="6"/>
  <c r="C1985" i="6"/>
  <c r="A1985" i="6" s="1"/>
  <c r="D1984" i="6"/>
  <c r="C1984" i="6"/>
  <c r="A1984" i="6" s="1"/>
  <c r="D1983" i="6"/>
  <c r="C1983" i="6"/>
  <c r="A1983" i="6" s="1"/>
  <c r="D1982" i="6"/>
  <c r="C1982" i="6"/>
  <c r="A1982" i="6"/>
  <c r="D1981" i="6"/>
  <c r="C1981" i="6"/>
  <c r="A1981" i="6"/>
  <c r="D1980" i="6"/>
  <c r="C1980" i="6"/>
  <c r="A1980" i="6" s="1"/>
  <c r="D1979" i="6"/>
  <c r="C1979" i="6"/>
  <c r="A1979" i="6" s="1"/>
  <c r="D1978" i="6"/>
  <c r="C1978" i="6"/>
  <c r="A1978" i="6"/>
  <c r="D1977" i="6"/>
  <c r="C1977" i="6"/>
  <c r="A1977" i="6" s="1"/>
  <c r="D1976" i="6"/>
  <c r="C1976" i="6"/>
  <c r="A1976" i="6" s="1"/>
  <c r="D1975" i="6"/>
  <c r="C1975" i="6"/>
  <c r="A1975" i="6" s="1"/>
  <c r="D1974" i="6"/>
  <c r="C1974" i="6"/>
  <c r="A1974" i="6"/>
  <c r="D1973" i="6"/>
  <c r="C1973" i="6"/>
  <c r="A1973" i="6"/>
  <c r="D1972" i="6"/>
  <c r="C1972" i="6"/>
  <c r="A1972" i="6" s="1"/>
  <c r="D1971" i="6"/>
  <c r="C1971" i="6"/>
  <c r="A1971" i="6" s="1"/>
  <c r="D1970" i="6"/>
  <c r="C1970" i="6"/>
  <c r="A1970" i="6"/>
  <c r="D1969" i="6"/>
  <c r="C1969" i="6"/>
  <c r="A1969" i="6" s="1"/>
  <c r="D1968" i="6"/>
  <c r="C1968" i="6"/>
  <c r="A1968" i="6" s="1"/>
  <c r="D1967" i="6"/>
  <c r="C1967" i="6"/>
  <c r="A1967" i="6" s="1"/>
  <c r="D1966" i="6"/>
  <c r="C1966" i="6"/>
  <c r="A1966" i="6"/>
  <c r="D1965" i="6"/>
  <c r="C1965" i="6"/>
  <c r="A1965" i="6"/>
  <c r="D1964" i="6"/>
  <c r="C1964" i="6"/>
  <c r="A1964" i="6" s="1"/>
  <c r="D1963" i="6"/>
  <c r="C1963" i="6"/>
  <c r="A1963" i="6" s="1"/>
  <c r="D1962" i="6"/>
  <c r="C1962" i="6"/>
  <c r="A1962" i="6"/>
  <c r="D1961" i="6"/>
  <c r="C1961" i="6"/>
  <c r="A1961" i="6" s="1"/>
  <c r="D1960" i="6"/>
  <c r="C1960" i="6"/>
  <c r="A1960" i="6" s="1"/>
  <c r="D1959" i="6"/>
  <c r="C1959" i="6"/>
  <c r="A1959" i="6" s="1"/>
  <c r="D1958" i="6"/>
  <c r="C1958" i="6"/>
  <c r="A1958" i="6"/>
  <c r="D1957" i="6"/>
  <c r="C1957" i="6"/>
  <c r="A1957" i="6"/>
  <c r="D1956" i="6"/>
  <c r="C1956" i="6"/>
  <c r="A1956" i="6" s="1"/>
  <c r="D1955" i="6"/>
  <c r="C1955" i="6"/>
  <c r="A1955" i="6" s="1"/>
  <c r="D1954" i="6"/>
  <c r="C1954" i="6"/>
  <c r="A1954" i="6"/>
  <c r="D1953" i="6"/>
  <c r="C1953" i="6"/>
  <c r="A1953" i="6" s="1"/>
  <c r="D1952" i="6"/>
  <c r="C1952" i="6"/>
  <c r="A1952" i="6" s="1"/>
  <c r="D1951" i="6"/>
  <c r="C1951" i="6"/>
  <c r="A1951" i="6" s="1"/>
  <c r="D1950" i="6"/>
  <c r="C1950" i="6"/>
  <c r="A1950" i="6"/>
  <c r="D1949" i="6"/>
  <c r="C1949" i="6"/>
  <c r="A1949" i="6"/>
  <c r="D1948" i="6"/>
  <c r="C1948" i="6"/>
  <c r="A1948" i="6" s="1"/>
  <c r="D1947" i="6"/>
  <c r="C1947" i="6"/>
  <c r="A1947" i="6" s="1"/>
  <c r="D1946" i="6"/>
  <c r="C1946" i="6"/>
  <c r="A1946" i="6"/>
  <c r="D1945" i="6"/>
  <c r="C1945" i="6"/>
  <c r="A1945" i="6" s="1"/>
  <c r="D1944" i="6"/>
  <c r="C1944" i="6"/>
  <c r="A1944" i="6" s="1"/>
  <c r="D1943" i="6"/>
  <c r="C1943" i="6"/>
  <c r="A1943" i="6" s="1"/>
  <c r="D1942" i="6"/>
  <c r="C1942" i="6"/>
  <c r="A1942" i="6"/>
  <c r="D1941" i="6"/>
  <c r="C1941" i="6"/>
  <c r="A1941" i="6"/>
  <c r="D1940" i="6"/>
  <c r="C1940" i="6"/>
  <c r="A1940" i="6" s="1"/>
  <c r="D1939" i="6"/>
  <c r="C1939" i="6"/>
  <c r="A1939" i="6" s="1"/>
  <c r="D1938" i="6"/>
  <c r="C1938" i="6"/>
  <c r="A1938" i="6"/>
  <c r="D1937" i="6"/>
  <c r="C1937" i="6"/>
  <c r="A1937" i="6" s="1"/>
  <c r="D1936" i="6"/>
  <c r="C1936" i="6"/>
  <c r="A1936" i="6" s="1"/>
  <c r="D1935" i="6"/>
  <c r="C1935" i="6"/>
  <c r="A1935" i="6" s="1"/>
  <c r="D1934" i="6"/>
  <c r="C1934" i="6"/>
  <c r="A1934" i="6"/>
  <c r="D1933" i="6"/>
  <c r="C1933" i="6"/>
  <c r="A1933" i="6"/>
  <c r="D1932" i="6"/>
  <c r="C1932" i="6"/>
  <c r="A1932" i="6" s="1"/>
  <c r="D1931" i="6"/>
  <c r="C1931" i="6"/>
  <c r="A1931" i="6" s="1"/>
  <c r="D1930" i="6"/>
  <c r="C1930" i="6"/>
  <c r="A1930" i="6"/>
  <c r="D1929" i="6"/>
  <c r="C1929" i="6"/>
  <c r="A1929" i="6" s="1"/>
  <c r="D1928" i="6"/>
  <c r="C1928" i="6"/>
  <c r="A1928" i="6" s="1"/>
  <c r="D1927" i="6"/>
  <c r="C1927" i="6"/>
  <c r="A1927" i="6" s="1"/>
  <c r="D1926" i="6"/>
  <c r="C1926" i="6"/>
  <c r="A1926" i="6"/>
  <c r="D1925" i="6"/>
  <c r="C1925" i="6"/>
  <c r="A1925" i="6"/>
  <c r="D1924" i="6"/>
  <c r="C1924" i="6"/>
  <c r="A1924" i="6" s="1"/>
  <c r="D1923" i="6"/>
  <c r="C1923" i="6"/>
  <c r="A1923" i="6" s="1"/>
  <c r="D1922" i="6"/>
  <c r="C1922" i="6"/>
  <c r="A1922" i="6"/>
  <c r="D1921" i="6"/>
  <c r="C1921" i="6"/>
  <c r="A1921" i="6" s="1"/>
  <c r="D1920" i="6"/>
  <c r="C1920" i="6"/>
  <c r="A1920" i="6" s="1"/>
  <c r="D1919" i="6"/>
  <c r="C1919" i="6"/>
  <c r="A1919" i="6" s="1"/>
  <c r="D1918" i="6"/>
  <c r="C1918" i="6"/>
  <c r="A1918" i="6"/>
  <c r="D1917" i="6"/>
  <c r="C1917" i="6"/>
  <c r="A1917" i="6"/>
  <c r="D1916" i="6"/>
  <c r="C1916" i="6"/>
  <c r="A1916" i="6" s="1"/>
  <c r="D1915" i="6"/>
  <c r="C1915" i="6"/>
  <c r="A1915" i="6" s="1"/>
  <c r="D1914" i="6"/>
  <c r="C1914" i="6"/>
  <c r="A1914" i="6"/>
  <c r="D1913" i="6"/>
  <c r="C1913" i="6"/>
  <c r="A1913" i="6" s="1"/>
  <c r="D1912" i="6"/>
  <c r="C1912" i="6"/>
  <c r="A1912" i="6" s="1"/>
  <c r="D1911" i="6"/>
  <c r="C1911" i="6"/>
  <c r="A1911" i="6" s="1"/>
  <c r="D1910" i="6"/>
  <c r="C1910" i="6"/>
  <c r="A1910" i="6"/>
  <c r="D1909" i="6"/>
  <c r="C1909" i="6"/>
  <c r="A1909" i="6"/>
  <c r="D1908" i="6"/>
  <c r="C1908" i="6"/>
  <c r="A1908" i="6" s="1"/>
  <c r="D1907" i="6"/>
  <c r="C1907" i="6"/>
  <c r="A1907" i="6" s="1"/>
  <c r="D1906" i="6"/>
  <c r="C1906" i="6"/>
  <c r="A1906" i="6"/>
  <c r="D1905" i="6"/>
  <c r="C1905" i="6"/>
  <c r="A1905" i="6" s="1"/>
  <c r="D1904" i="6"/>
  <c r="C1904" i="6"/>
  <c r="A1904" i="6" s="1"/>
  <c r="D1903" i="6"/>
  <c r="C1903" i="6"/>
  <c r="A1903" i="6" s="1"/>
  <c r="D1902" i="6"/>
  <c r="C1902" i="6"/>
  <c r="A1902" i="6"/>
  <c r="D1901" i="6"/>
  <c r="C1901" i="6"/>
  <c r="A1901" i="6"/>
  <c r="D1900" i="6"/>
  <c r="C1900" i="6"/>
  <c r="A1900" i="6" s="1"/>
  <c r="D1899" i="6"/>
  <c r="C1899" i="6"/>
  <c r="A1899" i="6" s="1"/>
  <c r="D1898" i="6"/>
  <c r="C1898" i="6"/>
  <c r="A1898" i="6"/>
  <c r="D1897" i="6"/>
  <c r="C1897" i="6"/>
  <c r="A1897" i="6" s="1"/>
  <c r="D1896" i="6"/>
  <c r="C1896" i="6"/>
  <c r="A1896" i="6" s="1"/>
  <c r="D1895" i="6"/>
  <c r="C1895" i="6"/>
  <c r="A1895" i="6" s="1"/>
  <c r="D1894" i="6"/>
  <c r="C1894" i="6"/>
  <c r="A1894" i="6"/>
  <c r="D1893" i="6"/>
  <c r="C1893" i="6"/>
  <c r="A1893" i="6"/>
  <c r="D1892" i="6"/>
  <c r="C1892" i="6"/>
  <c r="A1892" i="6" s="1"/>
  <c r="D1891" i="6"/>
  <c r="C1891" i="6"/>
  <c r="A1891" i="6" s="1"/>
  <c r="D1890" i="6"/>
  <c r="C1890" i="6"/>
  <c r="A1890" i="6"/>
  <c r="D1889" i="6"/>
  <c r="C1889" i="6"/>
  <c r="A1889" i="6" s="1"/>
  <c r="D1888" i="6"/>
  <c r="C1888" i="6"/>
  <c r="A1888" i="6" s="1"/>
  <c r="D1887" i="6"/>
  <c r="C1887" i="6"/>
  <c r="A1887" i="6" s="1"/>
  <c r="D1886" i="6"/>
  <c r="C1886" i="6"/>
  <c r="A1886" i="6"/>
  <c r="D1885" i="6"/>
  <c r="C1885" i="6"/>
  <c r="A1885" i="6"/>
  <c r="D1884" i="6"/>
  <c r="C1884" i="6"/>
  <c r="A1884" i="6" s="1"/>
  <c r="D1883" i="6"/>
  <c r="C1883" i="6"/>
  <c r="A1883" i="6" s="1"/>
  <c r="D1882" i="6"/>
  <c r="C1882" i="6"/>
  <c r="A1882" i="6"/>
  <c r="D1881" i="6"/>
  <c r="C1881" i="6"/>
  <c r="A1881" i="6" s="1"/>
  <c r="D1880" i="6"/>
  <c r="C1880" i="6"/>
  <c r="A1880" i="6" s="1"/>
  <c r="D1879" i="6"/>
  <c r="C1879" i="6"/>
  <c r="A1879" i="6" s="1"/>
  <c r="D1878" i="6"/>
  <c r="A1878" i="6" s="1"/>
  <c r="C1878" i="6"/>
  <c r="D1877" i="6"/>
  <c r="C1877" i="6"/>
  <c r="A1877" i="6"/>
  <c r="D1876" i="6"/>
  <c r="A1876" i="6" s="1"/>
  <c r="C1876" i="6"/>
  <c r="D1875" i="6"/>
  <c r="C1875" i="6"/>
  <c r="A1875" i="6" s="1"/>
  <c r="D1874" i="6"/>
  <c r="C1874" i="6"/>
  <c r="A1874" i="6"/>
  <c r="D1873" i="6"/>
  <c r="C1873" i="6"/>
  <c r="A1873" i="6" s="1"/>
  <c r="D1872" i="6"/>
  <c r="C1872" i="6"/>
  <c r="A1872" i="6" s="1"/>
  <c r="D1871" i="6"/>
  <c r="C1871" i="6"/>
  <c r="A1871" i="6" s="1"/>
  <c r="D1870" i="6"/>
  <c r="C1870" i="6"/>
  <c r="A1870" i="6"/>
  <c r="D1869" i="6"/>
  <c r="C1869" i="6"/>
  <c r="A1869" i="6"/>
  <c r="D1868" i="6"/>
  <c r="C1868" i="6"/>
  <c r="A1868" i="6" s="1"/>
  <c r="D1867" i="6"/>
  <c r="C1867" i="6"/>
  <c r="A1867" i="6" s="1"/>
  <c r="D1866" i="6"/>
  <c r="C1866" i="6"/>
  <c r="A1866" i="6"/>
  <c r="D1865" i="6"/>
  <c r="C1865" i="6"/>
  <c r="A1865" i="6"/>
  <c r="D1864" i="6"/>
  <c r="C1864" i="6"/>
  <c r="A1864" i="6" s="1"/>
  <c r="D1863" i="6"/>
  <c r="C1863" i="6"/>
  <c r="A1863" i="6" s="1"/>
  <c r="D1862" i="6"/>
  <c r="C1862" i="6"/>
  <c r="A1862" i="6"/>
  <c r="D1861" i="6"/>
  <c r="C1861" i="6"/>
  <c r="A1861" i="6"/>
  <c r="D1860" i="6"/>
  <c r="A1860" i="6" s="1"/>
  <c r="C1860" i="6"/>
  <c r="D1859" i="6"/>
  <c r="C1859" i="6"/>
  <c r="A1859" i="6" s="1"/>
  <c r="D1858" i="6"/>
  <c r="C1858" i="6"/>
  <c r="A1858" i="6"/>
  <c r="D1857" i="6"/>
  <c r="C1857" i="6"/>
  <c r="A1857" i="6"/>
  <c r="D1856" i="6"/>
  <c r="C1856" i="6"/>
  <c r="A1856" i="6" s="1"/>
  <c r="D1855" i="6"/>
  <c r="C1855" i="6"/>
  <c r="A1855" i="6" s="1"/>
  <c r="D1854" i="6"/>
  <c r="C1854" i="6"/>
  <c r="A1854" i="6"/>
  <c r="D1853" i="6"/>
  <c r="C1853" i="6"/>
  <c r="A1853" i="6"/>
  <c r="D1852" i="6"/>
  <c r="A1852" i="6" s="1"/>
  <c r="C1852" i="6"/>
  <c r="D1851" i="6"/>
  <c r="C1851" i="6"/>
  <c r="A1851" i="6" s="1"/>
  <c r="D1850" i="6"/>
  <c r="C1850" i="6"/>
  <c r="A1850" i="6" s="1"/>
  <c r="D1849" i="6"/>
  <c r="C1849" i="6"/>
  <c r="A1849" i="6"/>
  <c r="D1848" i="6"/>
  <c r="C1848" i="6"/>
  <c r="A1848" i="6" s="1"/>
  <c r="D1847" i="6"/>
  <c r="C1847" i="6"/>
  <c r="A1847" i="6" s="1"/>
  <c r="D1846" i="6"/>
  <c r="C1846" i="6"/>
  <c r="A1846" i="6"/>
  <c r="D1845" i="6"/>
  <c r="C1845" i="6"/>
  <c r="A1845" i="6"/>
  <c r="D1844" i="6"/>
  <c r="A1844" i="6" s="1"/>
  <c r="C1844" i="6"/>
  <c r="D1843" i="6"/>
  <c r="C1843" i="6"/>
  <c r="A1843" i="6" s="1"/>
  <c r="D1842" i="6"/>
  <c r="C1842" i="6"/>
  <c r="A1842" i="6" s="1"/>
  <c r="D1841" i="6"/>
  <c r="C1841" i="6"/>
  <c r="A1841" i="6"/>
  <c r="D1840" i="6"/>
  <c r="C1840" i="6"/>
  <c r="D1839" i="6"/>
  <c r="C1839" i="6"/>
  <c r="A1839" i="6" s="1"/>
  <c r="D1838" i="6"/>
  <c r="C1838" i="6"/>
  <c r="A1838" i="6"/>
  <c r="D1837" i="6"/>
  <c r="C1837" i="6"/>
  <c r="A1837" i="6"/>
  <c r="D1836" i="6"/>
  <c r="A1836" i="6" s="1"/>
  <c r="C1836" i="6"/>
  <c r="D1835" i="6"/>
  <c r="C1835" i="6"/>
  <c r="A1835" i="6" s="1"/>
  <c r="D1834" i="6"/>
  <c r="C1834" i="6"/>
  <c r="A1834" i="6" s="1"/>
  <c r="D1833" i="6"/>
  <c r="C1833" i="6"/>
  <c r="A1833" i="6"/>
  <c r="D1832" i="6"/>
  <c r="C1832" i="6"/>
  <c r="A1832" i="6" s="1"/>
  <c r="D1831" i="6"/>
  <c r="C1831" i="6"/>
  <c r="A1831" i="6" s="1"/>
  <c r="D1830" i="6"/>
  <c r="C1830" i="6"/>
  <c r="A1830" i="6"/>
  <c r="D1829" i="6"/>
  <c r="C1829" i="6"/>
  <c r="A1829" i="6"/>
  <c r="D1828" i="6"/>
  <c r="A1828" i="6" s="1"/>
  <c r="C1828" i="6"/>
  <c r="D1827" i="6"/>
  <c r="C1827" i="6"/>
  <c r="D1826" i="6"/>
  <c r="C1826" i="6"/>
  <c r="A1826" i="6" s="1"/>
  <c r="D1825" i="6"/>
  <c r="C1825" i="6"/>
  <c r="A1825" i="6"/>
  <c r="D1824" i="6"/>
  <c r="A1824" i="6" s="1"/>
  <c r="C1824" i="6"/>
  <c r="D1823" i="6"/>
  <c r="C1823" i="6"/>
  <c r="A1823" i="6" s="1"/>
  <c r="D1822" i="6"/>
  <c r="C1822" i="6"/>
  <c r="A1822" i="6"/>
  <c r="D1821" i="6"/>
  <c r="C1821" i="6"/>
  <c r="A1821" i="6"/>
  <c r="D1820" i="6"/>
  <c r="A1820" i="6" s="1"/>
  <c r="C1820" i="6"/>
  <c r="D1819" i="6"/>
  <c r="C1819" i="6"/>
  <c r="A1819" i="6" s="1"/>
  <c r="D1818" i="6"/>
  <c r="C1818" i="6"/>
  <c r="A1818" i="6" s="1"/>
  <c r="D1817" i="6"/>
  <c r="C1817" i="6"/>
  <c r="A1817" i="6"/>
  <c r="D1816" i="6"/>
  <c r="A1816" i="6" s="1"/>
  <c r="C1816" i="6"/>
  <c r="D1815" i="6"/>
  <c r="C1815" i="6"/>
  <c r="A1815" i="6" s="1"/>
  <c r="D1814" i="6"/>
  <c r="C1814" i="6"/>
  <c r="A1814" i="6"/>
  <c r="D1813" i="6"/>
  <c r="C1813" i="6"/>
  <c r="A1813" i="6"/>
  <c r="D1812" i="6"/>
  <c r="A1812" i="6" s="1"/>
  <c r="C1812" i="6"/>
  <c r="D1811" i="6"/>
  <c r="C1811" i="6"/>
  <c r="D1810" i="6"/>
  <c r="C1810" i="6"/>
  <c r="A1810" i="6" s="1"/>
  <c r="D1809" i="6"/>
  <c r="C1809" i="6"/>
  <c r="A1809" i="6"/>
  <c r="D1808" i="6"/>
  <c r="A1808" i="6" s="1"/>
  <c r="C1808" i="6"/>
  <c r="D1807" i="6"/>
  <c r="C1807" i="6"/>
  <c r="A1807" i="6" s="1"/>
  <c r="D1806" i="6"/>
  <c r="C1806" i="6"/>
  <c r="A1806" i="6"/>
  <c r="D1805" i="6"/>
  <c r="C1805" i="6"/>
  <c r="A1805" i="6"/>
  <c r="D1804" i="6"/>
  <c r="A1804" i="6" s="1"/>
  <c r="C1804" i="6"/>
  <c r="D1803" i="6"/>
  <c r="C1803" i="6"/>
  <c r="A1803" i="6" s="1"/>
  <c r="D1802" i="6"/>
  <c r="C1802" i="6"/>
  <c r="A1802" i="6" s="1"/>
  <c r="D1801" i="6"/>
  <c r="C1801" i="6"/>
  <c r="A1801" i="6" s="1"/>
  <c r="D1800" i="6"/>
  <c r="A1800" i="6" s="1"/>
  <c r="C1800" i="6"/>
  <c r="D1799" i="6"/>
  <c r="C1799" i="6"/>
  <c r="D1798" i="6"/>
  <c r="C1798" i="6"/>
  <c r="A1798" i="6"/>
  <c r="D1797" i="6"/>
  <c r="C1797" i="6"/>
  <c r="A1797" i="6"/>
  <c r="D1796" i="6"/>
  <c r="A1796" i="6" s="1"/>
  <c r="C1796" i="6"/>
  <c r="D1795" i="6"/>
  <c r="C1795" i="6"/>
  <c r="A1795" i="6" s="1"/>
  <c r="D1794" i="6"/>
  <c r="C1794" i="6"/>
  <c r="A1794" i="6"/>
  <c r="D1793" i="6"/>
  <c r="C1793" i="6"/>
  <c r="A1793" i="6" s="1"/>
  <c r="D1792" i="6"/>
  <c r="A1792" i="6" s="1"/>
  <c r="C1792" i="6"/>
  <c r="D1791" i="6"/>
  <c r="C1791" i="6"/>
  <c r="A1791" i="6" s="1"/>
  <c r="D1790" i="6"/>
  <c r="C1790" i="6"/>
  <c r="A1790" i="6" s="1"/>
  <c r="D1789" i="6"/>
  <c r="C1789" i="6"/>
  <c r="A1789" i="6" s="1"/>
  <c r="D1788" i="6"/>
  <c r="C1788" i="6"/>
  <c r="A1788" i="6"/>
  <c r="D1787" i="6"/>
  <c r="C1787" i="6"/>
  <c r="A1787" i="6" s="1"/>
  <c r="D1786" i="6"/>
  <c r="C1786" i="6"/>
  <c r="A1786" i="6" s="1"/>
  <c r="D1785" i="6"/>
  <c r="C1785" i="6"/>
  <c r="A1785" i="6"/>
  <c r="D1784" i="6"/>
  <c r="C1784" i="6"/>
  <c r="A1784" i="6"/>
  <c r="D1783" i="6"/>
  <c r="A1783" i="6" s="1"/>
  <c r="C1783" i="6"/>
  <c r="D1782" i="6"/>
  <c r="C1782" i="6"/>
  <c r="A1782" i="6" s="1"/>
  <c r="D1781" i="6"/>
  <c r="C1781" i="6"/>
  <c r="A1781" i="6" s="1"/>
  <c r="D1780" i="6"/>
  <c r="C1780" i="6"/>
  <c r="A1780" i="6"/>
  <c r="D1779" i="6"/>
  <c r="C1779" i="6"/>
  <c r="A1779" i="6" s="1"/>
  <c r="D1778" i="6"/>
  <c r="C1778" i="6"/>
  <c r="A1778" i="6" s="1"/>
  <c r="D1777" i="6"/>
  <c r="C1777" i="6"/>
  <c r="A1777" i="6"/>
  <c r="D1776" i="6"/>
  <c r="C1776" i="6"/>
  <c r="A1776" i="6"/>
  <c r="D1775" i="6"/>
  <c r="A1775" i="6" s="1"/>
  <c r="C1775" i="6"/>
  <c r="D1774" i="6"/>
  <c r="C1774" i="6"/>
  <c r="A1774" i="6" s="1"/>
  <c r="D1773" i="6"/>
  <c r="C1773" i="6"/>
  <c r="A1773" i="6" s="1"/>
  <c r="D1772" i="6"/>
  <c r="C1772" i="6"/>
  <c r="A1772" i="6"/>
  <c r="D1771" i="6"/>
  <c r="C1771" i="6"/>
  <c r="A1771" i="6" s="1"/>
  <c r="D1770" i="6"/>
  <c r="C1770" i="6"/>
  <c r="A1770" i="6" s="1"/>
  <c r="D1769" i="6"/>
  <c r="C1769" i="6"/>
  <c r="A1769" i="6"/>
  <c r="D1768" i="6"/>
  <c r="C1768" i="6"/>
  <c r="A1768" i="6"/>
  <c r="D1767" i="6"/>
  <c r="A1767" i="6" s="1"/>
  <c r="C1767" i="6"/>
  <c r="D1766" i="6"/>
  <c r="C1766" i="6"/>
  <c r="A1766" i="6" s="1"/>
  <c r="D1765" i="6"/>
  <c r="C1765" i="6"/>
  <c r="A1765" i="6" s="1"/>
  <c r="D1764" i="6"/>
  <c r="C1764" i="6"/>
  <c r="A1764" i="6"/>
  <c r="D1763" i="6"/>
  <c r="C1763" i="6"/>
  <c r="A1763" i="6" s="1"/>
  <c r="D1762" i="6"/>
  <c r="C1762" i="6"/>
  <c r="A1762" i="6" s="1"/>
  <c r="D1761" i="6"/>
  <c r="C1761" i="6"/>
  <c r="A1761" i="6"/>
  <c r="D1760" i="6"/>
  <c r="C1760" i="6"/>
  <c r="A1760" i="6"/>
  <c r="D1759" i="6"/>
  <c r="A1759" i="6" s="1"/>
  <c r="C1759" i="6"/>
  <c r="D1758" i="6"/>
  <c r="C1758" i="6"/>
  <c r="A1758" i="6" s="1"/>
  <c r="D1757" i="6"/>
  <c r="C1757" i="6"/>
  <c r="A1757" i="6" s="1"/>
  <c r="D1756" i="6"/>
  <c r="C1756" i="6"/>
  <c r="A1756" i="6"/>
  <c r="D1755" i="6"/>
  <c r="C1755" i="6"/>
  <c r="A1755" i="6" s="1"/>
  <c r="D1754" i="6"/>
  <c r="C1754" i="6"/>
  <c r="A1754" i="6" s="1"/>
  <c r="D1753" i="6"/>
  <c r="C1753" i="6"/>
  <c r="A1753" i="6"/>
  <c r="D1752" i="6"/>
  <c r="C1752" i="6"/>
  <c r="A1752" i="6"/>
  <c r="D1751" i="6"/>
  <c r="A1751" i="6" s="1"/>
  <c r="C1751" i="6"/>
  <c r="D1750" i="6"/>
  <c r="C1750" i="6"/>
  <c r="A1750" i="6" s="1"/>
  <c r="D1749" i="6"/>
  <c r="C1749" i="6"/>
  <c r="A1749" i="6" s="1"/>
  <c r="D1748" i="6"/>
  <c r="C1748" i="6"/>
  <c r="A1748" i="6"/>
  <c r="D1747" i="6"/>
  <c r="C1747" i="6"/>
  <c r="A1747" i="6" s="1"/>
  <c r="D1746" i="6"/>
  <c r="C1746" i="6"/>
  <c r="A1746" i="6" s="1"/>
  <c r="D1745" i="6"/>
  <c r="C1745" i="6"/>
  <c r="A1745" i="6"/>
  <c r="D1744" i="6"/>
  <c r="C1744" i="6"/>
  <c r="A1744" i="6"/>
  <c r="D1743" i="6"/>
  <c r="A1743" i="6" s="1"/>
  <c r="C1743" i="6"/>
  <c r="D1742" i="6"/>
  <c r="C1742" i="6"/>
  <c r="A1742" i="6" s="1"/>
  <c r="D1741" i="6"/>
  <c r="C1741" i="6"/>
  <c r="A1741" i="6" s="1"/>
  <c r="D1740" i="6"/>
  <c r="C1740" i="6"/>
  <c r="A1740" i="6"/>
  <c r="D1739" i="6"/>
  <c r="C1739" i="6"/>
  <c r="A1739" i="6" s="1"/>
  <c r="D1738" i="6"/>
  <c r="C1738" i="6"/>
  <c r="A1738" i="6" s="1"/>
  <c r="D1737" i="6"/>
  <c r="C1737" i="6"/>
  <c r="A1737" i="6"/>
  <c r="D1736" i="6"/>
  <c r="C1736" i="6"/>
  <c r="A1736" i="6"/>
  <c r="D1735" i="6"/>
  <c r="A1735" i="6" s="1"/>
  <c r="C1735" i="6"/>
  <c r="D1734" i="6"/>
  <c r="C1734" i="6"/>
  <c r="A1734" i="6" s="1"/>
  <c r="D1733" i="6"/>
  <c r="C1733" i="6"/>
  <c r="A1733" i="6" s="1"/>
  <c r="D1732" i="6"/>
  <c r="C1732" i="6"/>
  <c r="A1732" i="6"/>
  <c r="D1731" i="6"/>
  <c r="C1731" i="6"/>
  <c r="A1731" i="6" s="1"/>
  <c r="D1730" i="6"/>
  <c r="C1730" i="6"/>
  <c r="A1730" i="6" s="1"/>
  <c r="D1729" i="6"/>
  <c r="C1729" i="6"/>
  <c r="A1729" i="6"/>
  <c r="D1728" i="6"/>
  <c r="C1728" i="6"/>
  <c r="A1728" i="6"/>
  <c r="D1727" i="6"/>
  <c r="A1727" i="6" s="1"/>
  <c r="C1727" i="6"/>
  <c r="D1726" i="6"/>
  <c r="C1726" i="6"/>
  <c r="A1726" i="6" s="1"/>
  <c r="D1725" i="6"/>
  <c r="C1725" i="6"/>
  <c r="A1725" i="6" s="1"/>
  <c r="D1724" i="6"/>
  <c r="C1724" i="6"/>
  <c r="A1724" i="6"/>
  <c r="D1723" i="6"/>
  <c r="C1723" i="6"/>
  <c r="A1723" i="6" s="1"/>
  <c r="D1722" i="6"/>
  <c r="C1722" i="6"/>
  <c r="A1722" i="6" s="1"/>
  <c r="D1721" i="6"/>
  <c r="C1721" i="6"/>
  <c r="A1721" i="6"/>
  <c r="D1720" i="6"/>
  <c r="C1720" i="6"/>
  <c r="A1720" i="6"/>
  <c r="D1719" i="6"/>
  <c r="A1719" i="6" s="1"/>
  <c r="C1719" i="6"/>
  <c r="D1718" i="6"/>
  <c r="C1718" i="6"/>
  <c r="A1718" i="6" s="1"/>
  <c r="D1717" i="6"/>
  <c r="C1717" i="6"/>
  <c r="A1717" i="6" s="1"/>
  <c r="D1716" i="6"/>
  <c r="C1716" i="6"/>
  <c r="A1716" i="6"/>
  <c r="D1715" i="6"/>
  <c r="C1715" i="6"/>
  <c r="A1715" i="6" s="1"/>
  <c r="D1714" i="6"/>
  <c r="C1714" i="6"/>
  <c r="A1714" i="6" s="1"/>
  <c r="D1713" i="6"/>
  <c r="C1713" i="6"/>
  <c r="A1713" i="6"/>
  <c r="D1712" i="6"/>
  <c r="C1712" i="6"/>
  <c r="A1712" i="6"/>
  <c r="D1711" i="6"/>
  <c r="A1711" i="6" s="1"/>
  <c r="C1711" i="6"/>
  <c r="D1710" i="6"/>
  <c r="C1710" i="6"/>
  <c r="A1710" i="6" s="1"/>
  <c r="D1709" i="6"/>
  <c r="C1709" i="6"/>
  <c r="A1709" i="6" s="1"/>
  <c r="D1708" i="6"/>
  <c r="C1708" i="6"/>
  <c r="A1708" i="6"/>
  <c r="D1707" i="6"/>
  <c r="C1707" i="6"/>
  <c r="A1707" i="6" s="1"/>
  <c r="D1706" i="6"/>
  <c r="C1706" i="6"/>
  <c r="A1706" i="6" s="1"/>
  <c r="D1705" i="6"/>
  <c r="C1705" i="6"/>
  <c r="A1705" i="6"/>
  <c r="D1704" i="6"/>
  <c r="C1704" i="6"/>
  <c r="A1704" i="6"/>
  <c r="D1703" i="6"/>
  <c r="A1703" i="6" s="1"/>
  <c r="C1703" i="6"/>
  <c r="D1702" i="6"/>
  <c r="C1702" i="6"/>
  <c r="A1702" i="6" s="1"/>
  <c r="D1701" i="6"/>
  <c r="C1701" i="6"/>
  <c r="A1701" i="6" s="1"/>
  <c r="D1700" i="6"/>
  <c r="C1700" i="6"/>
  <c r="A1700" i="6"/>
  <c r="D1699" i="6"/>
  <c r="C1699" i="6"/>
  <c r="A1699" i="6" s="1"/>
  <c r="D1698" i="6"/>
  <c r="C1698" i="6"/>
  <c r="A1698" i="6" s="1"/>
  <c r="D1697" i="6"/>
  <c r="C1697" i="6"/>
  <c r="A1697" i="6"/>
  <c r="D1696" i="6"/>
  <c r="C1696" i="6"/>
  <c r="A1696" i="6"/>
  <c r="D1695" i="6"/>
  <c r="A1695" i="6" s="1"/>
  <c r="C1695" i="6"/>
  <c r="D1694" i="6"/>
  <c r="C1694" i="6"/>
  <c r="A1694" i="6" s="1"/>
  <c r="D1693" i="6"/>
  <c r="C1693" i="6"/>
  <c r="A1693" i="6" s="1"/>
  <c r="D1692" i="6"/>
  <c r="C1692" i="6"/>
  <c r="A1692" i="6"/>
  <c r="D1691" i="6"/>
  <c r="C1691" i="6"/>
  <c r="A1691" i="6" s="1"/>
  <c r="D1690" i="6"/>
  <c r="C1690" i="6"/>
  <c r="A1690" i="6" s="1"/>
  <c r="D1689" i="6"/>
  <c r="C1689" i="6"/>
  <c r="A1689" i="6"/>
  <c r="D1688" i="6"/>
  <c r="C1688" i="6"/>
  <c r="A1688" i="6"/>
  <c r="D1687" i="6"/>
  <c r="A1687" i="6" s="1"/>
  <c r="C1687" i="6"/>
  <c r="D1686" i="6"/>
  <c r="C1686" i="6"/>
  <c r="A1686" i="6" s="1"/>
  <c r="D1685" i="6"/>
  <c r="C1685" i="6"/>
  <c r="A1685" i="6" s="1"/>
  <c r="D1684" i="6"/>
  <c r="C1684" i="6"/>
  <c r="A1684" i="6"/>
  <c r="D1683" i="6"/>
  <c r="C1683" i="6"/>
  <c r="A1683" i="6" s="1"/>
  <c r="D1682" i="6"/>
  <c r="C1682" i="6"/>
  <c r="A1682" i="6" s="1"/>
  <c r="D1681" i="6"/>
  <c r="C1681" i="6"/>
  <c r="A1681" i="6"/>
  <c r="D1680" i="6"/>
  <c r="C1680" i="6"/>
  <c r="A1680" i="6"/>
  <c r="D1679" i="6"/>
  <c r="A1679" i="6" s="1"/>
  <c r="C1679" i="6"/>
  <c r="D1678" i="6"/>
  <c r="C1678" i="6"/>
  <c r="A1678" i="6" s="1"/>
  <c r="D1677" i="6"/>
  <c r="C1677" i="6"/>
  <c r="A1677" i="6" s="1"/>
  <c r="D1676" i="6"/>
  <c r="C1676" i="6"/>
  <c r="A1676" i="6"/>
  <c r="D1675" i="6"/>
  <c r="C1675" i="6"/>
  <c r="A1675" i="6" s="1"/>
  <c r="D1674" i="6"/>
  <c r="C1674" i="6"/>
  <c r="A1674" i="6" s="1"/>
  <c r="D1673" i="6"/>
  <c r="C1673" i="6"/>
  <c r="A1673" i="6"/>
  <c r="D1672" i="6"/>
  <c r="C1672" i="6"/>
  <c r="A1672" i="6"/>
  <c r="D1671" i="6"/>
  <c r="A1671" i="6" s="1"/>
  <c r="C1671" i="6"/>
  <c r="D1670" i="6"/>
  <c r="C1670" i="6"/>
  <c r="A1670" i="6" s="1"/>
  <c r="D1669" i="6"/>
  <c r="C1669" i="6"/>
  <c r="A1669" i="6" s="1"/>
  <c r="D1668" i="6"/>
  <c r="C1668" i="6"/>
  <c r="A1668" i="6"/>
  <c r="D1667" i="6"/>
  <c r="C1667" i="6"/>
  <c r="A1667" i="6" s="1"/>
  <c r="D1666" i="6"/>
  <c r="C1666" i="6"/>
  <c r="A1666" i="6" s="1"/>
  <c r="D1665" i="6"/>
  <c r="C1665" i="6"/>
  <c r="A1665" i="6"/>
  <c r="D1664" i="6"/>
  <c r="C1664" i="6"/>
  <c r="A1664" i="6"/>
  <c r="D1663" i="6"/>
  <c r="A1663" i="6" s="1"/>
  <c r="C1663" i="6"/>
  <c r="D1662" i="6"/>
  <c r="C1662" i="6"/>
  <c r="A1662" i="6" s="1"/>
  <c r="D1661" i="6"/>
  <c r="C1661" i="6"/>
  <c r="A1661" i="6" s="1"/>
  <c r="D1660" i="6"/>
  <c r="C1660" i="6"/>
  <c r="A1660" i="6"/>
  <c r="D1659" i="6"/>
  <c r="C1659" i="6"/>
  <c r="A1659" i="6" s="1"/>
  <c r="D1658" i="6"/>
  <c r="C1658" i="6"/>
  <c r="A1658" i="6" s="1"/>
  <c r="D1657" i="6"/>
  <c r="C1657" i="6"/>
  <c r="A1657" i="6"/>
  <c r="D1656" i="6"/>
  <c r="C1656" i="6"/>
  <c r="A1656" i="6"/>
  <c r="D1655" i="6"/>
  <c r="A1655" i="6" s="1"/>
  <c r="C1655" i="6"/>
  <c r="D1654" i="6"/>
  <c r="C1654" i="6"/>
  <c r="A1654" i="6" s="1"/>
  <c r="D1653" i="6"/>
  <c r="C1653" i="6"/>
  <c r="A1653" i="6" s="1"/>
  <c r="D1652" i="6"/>
  <c r="C1652" i="6"/>
  <c r="A1652" i="6"/>
  <c r="D1651" i="6"/>
  <c r="C1651" i="6"/>
  <c r="A1651" i="6" s="1"/>
  <c r="D1650" i="6"/>
  <c r="C1650" i="6"/>
  <c r="A1650" i="6" s="1"/>
  <c r="D1649" i="6"/>
  <c r="C1649" i="6"/>
  <c r="A1649" i="6"/>
  <c r="D1648" i="6"/>
  <c r="C1648" i="6"/>
  <c r="A1648" i="6"/>
  <c r="D1647" i="6"/>
  <c r="A1647" i="6" s="1"/>
  <c r="C1647" i="6"/>
  <c r="D1646" i="6"/>
  <c r="C1646" i="6"/>
  <c r="A1646" i="6" s="1"/>
  <c r="D1645" i="6"/>
  <c r="C1645" i="6"/>
  <c r="A1645" i="6" s="1"/>
  <c r="D1644" i="6"/>
  <c r="C1644" i="6"/>
  <c r="A1644" i="6"/>
  <c r="D1643" i="6"/>
  <c r="C1643" i="6"/>
  <c r="A1643" i="6" s="1"/>
  <c r="D1642" i="6"/>
  <c r="C1642" i="6"/>
  <c r="A1642" i="6" s="1"/>
  <c r="D1641" i="6"/>
  <c r="C1641" i="6"/>
  <c r="A1641" i="6"/>
  <c r="D1640" i="6"/>
  <c r="C1640" i="6"/>
  <c r="A1640" i="6"/>
  <c r="D1639" i="6"/>
  <c r="A1639" i="6" s="1"/>
  <c r="C1639" i="6"/>
  <c r="D1638" i="6"/>
  <c r="C1638" i="6"/>
  <c r="A1638" i="6" s="1"/>
  <c r="D1637" i="6"/>
  <c r="C1637" i="6"/>
  <c r="A1637" i="6" s="1"/>
  <c r="D1636" i="6"/>
  <c r="C1636" i="6"/>
  <c r="A1636" i="6"/>
  <c r="D1635" i="6"/>
  <c r="C1635" i="6"/>
  <c r="A1635" i="6" s="1"/>
  <c r="D1634" i="6"/>
  <c r="C1634" i="6"/>
  <c r="A1634" i="6" s="1"/>
  <c r="D1633" i="6"/>
  <c r="C1633" i="6"/>
  <c r="A1633" i="6"/>
  <c r="D1632" i="6"/>
  <c r="C1632" i="6"/>
  <c r="A1632" i="6"/>
  <c r="D1631" i="6"/>
  <c r="A1631" i="6" s="1"/>
  <c r="C1631" i="6"/>
  <c r="D1630" i="6"/>
  <c r="C1630" i="6"/>
  <c r="A1630" i="6" s="1"/>
  <c r="D1629" i="6"/>
  <c r="C1629" i="6"/>
  <c r="A1629" i="6" s="1"/>
  <c r="D1628" i="6"/>
  <c r="C1628" i="6"/>
  <c r="A1628" i="6"/>
  <c r="D1627" i="6"/>
  <c r="C1627" i="6"/>
  <c r="A1627" i="6" s="1"/>
  <c r="D1626" i="6"/>
  <c r="C1626" i="6"/>
  <c r="A1626" i="6" s="1"/>
  <c r="D1625" i="6"/>
  <c r="C1625" i="6"/>
  <c r="A1625" i="6"/>
  <c r="D1624" i="6"/>
  <c r="C1624" i="6"/>
  <c r="A1624" i="6"/>
  <c r="D1623" i="6"/>
  <c r="A1623" i="6" s="1"/>
  <c r="C1623" i="6"/>
  <c r="D1622" i="6"/>
  <c r="C1622" i="6"/>
  <c r="A1622" i="6" s="1"/>
  <c r="D1621" i="6"/>
  <c r="C1621" i="6"/>
  <c r="A1621" i="6" s="1"/>
  <c r="D1620" i="6"/>
  <c r="C1620" i="6"/>
  <c r="A1620" i="6"/>
  <c r="D1619" i="6"/>
  <c r="C1619" i="6"/>
  <c r="A1619" i="6" s="1"/>
  <c r="D1618" i="6"/>
  <c r="C1618" i="6"/>
  <c r="A1618" i="6" s="1"/>
  <c r="D1617" i="6"/>
  <c r="C1617" i="6"/>
  <c r="A1617" i="6"/>
  <c r="D1616" i="6"/>
  <c r="C1616" i="6"/>
  <c r="A1616" i="6"/>
  <c r="D1615" i="6"/>
  <c r="A1615" i="6" s="1"/>
  <c r="C1615" i="6"/>
  <c r="D1614" i="6"/>
  <c r="C1614" i="6"/>
  <c r="A1614" i="6" s="1"/>
  <c r="D1613" i="6"/>
  <c r="C1613" i="6"/>
  <c r="A1613" i="6" s="1"/>
  <c r="D1612" i="6"/>
  <c r="C1612" i="6"/>
  <c r="A1612" i="6"/>
  <c r="D1611" i="6"/>
  <c r="C1611" i="6"/>
  <c r="A1611" i="6" s="1"/>
  <c r="D1610" i="6"/>
  <c r="C1610" i="6"/>
  <c r="A1610" i="6" s="1"/>
  <c r="D1609" i="6"/>
  <c r="C1609" i="6"/>
  <c r="A1609" i="6"/>
  <c r="D1608" i="6"/>
  <c r="C1608" i="6"/>
  <c r="A1608" i="6"/>
  <c r="D1607" i="6"/>
  <c r="A1607" i="6" s="1"/>
  <c r="C1607" i="6"/>
  <c r="D1606" i="6"/>
  <c r="C1606" i="6"/>
  <c r="A1606" i="6" s="1"/>
  <c r="D1605" i="6"/>
  <c r="C1605" i="6"/>
  <c r="A1605" i="6" s="1"/>
  <c r="D1604" i="6"/>
  <c r="C1604" i="6"/>
  <c r="A1604" i="6"/>
  <c r="D1603" i="6"/>
  <c r="C1603" i="6"/>
  <c r="A1603" i="6" s="1"/>
  <c r="D1602" i="6"/>
  <c r="C1602" i="6"/>
  <c r="A1602" i="6" s="1"/>
  <c r="D1601" i="6"/>
  <c r="C1601" i="6"/>
  <c r="A1601" i="6"/>
  <c r="D1600" i="6"/>
  <c r="C1600" i="6"/>
  <c r="A1600" i="6"/>
  <c r="D1599" i="6"/>
  <c r="A1599" i="6" s="1"/>
  <c r="C1599" i="6"/>
  <c r="D1598" i="6"/>
  <c r="C1598" i="6"/>
  <c r="A1598" i="6" s="1"/>
  <c r="D1597" i="6"/>
  <c r="C1597" i="6"/>
  <c r="A1597" i="6" s="1"/>
  <c r="D1596" i="6"/>
  <c r="C1596" i="6"/>
  <c r="A1596" i="6"/>
  <c r="D1595" i="6"/>
  <c r="C1595" i="6"/>
  <c r="A1595" i="6" s="1"/>
  <c r="D1594" i="6"/>
  <c r="C1594" i="6"/>
  <c r="A1594" i="6" s="1"/>
  <c r="D1593" i="6"/>
  <c r="C1593" i="6"/>
  <c r="A1593" i="6"/>
  <c r="D1592" i="6"/>
  <c r="C1592" i="6"/>
  <c r="A1592" i="6"/>
  <c r="D1591" i="6"/>
  <c r="A1591" i="6" s="1"/>
  <c r="C1591" i="6"/>
  <c r="D1590" i="6"/>
  <c r="C1590" i="6"/>
  <c r="A1590" i="6" s="1"/>
  <c r="D1589" i="6"/>
  <c r="C1589" i="6"/>
  <c r="A1589" i="6" s="1"/>
  <c r="D1588" i="6"/>
  <c r="C1588" i="6"/>
  <c r="A1588" i="6"/>
  <c r="D1587" i="6"/>
  <c r="C1587" i="6"/>
  <c r="A1587" i="6" s="1"/>
  <c r="D1586" i="6"/>
  <c r="C1586" i="6"/>
  <c r="A1586" i="6" s="1"/>
  <c r="D1585" i="6"/>
  <c r="C1585" i="6"/>
  <c r="A1585" i="6"/>
  <c r="D1584" i="6"/>
  <c r="C1584" i="6"/>
  <c r="A1584" i="6"/>
  <c r="D1583" i="6"/>
  <c r="A1583" i="6" s="1"/>
  <c r="C1583" i="6"/>
  <c r="D1582" i="6"/>
  <c r="C1582" i="6"/>
  <c r="A1582" i="6" s="1"/>
  <c r="D1581" i="6"/>
  <c r="C1581" i="6"/>
  <c r="A1581" i="6" s="1"/>
  <c r="D1580" i="6"/>
  <c r="C1580" i="6"/>
  <c r="A1580" i="6"/>
  <c r="D1579" i="6"/>
  <c r="C1579" i="6"/>
  <c r="A1579" i="6" s="1"/>
  <c r="D1578" i="6"/>
  <c r="C1578" i="6"/>
  <c r="A1578" i="6" s="1"/>
  <c r="D1577" i="6"/>
  <c r="C1577" i="6"/>
  <c r="A1577" i="6"/>
  <c r="D1576" i="6"/>
  <c r="C1576" i="6"/>
  <c r="A1576" i="6"/>
  <c r="D1575" i="6"/>
  <c r="A1575" i="6" s="1"/>
  <c r="C1575" i="6"/>
  <c r="D1574" i="6"/>
  <c r="C1574" i="6"/>
  <c r="A1574" i="6" s="1"/>
  <c r="D1573" i="6"/>
  <c r="C1573" i="6"/>
  <c r="A1573" i="6" s="1"/>
  <c r="D1572" i="6"/>
  <c r="C1572" i="6"/>
  <c r="A1572" i="6"/>
  <c r="D1571" i="6"/>
  <c r="C1571" i="6"/>
  <c r="A1571" i="6" s="1"/>
  <c r="D1570" i="6"/>
  <c r="C1570" i="6"/>
  <c r="A1570" i="6" s="1"/>
  <c r="D1569" i="6"/>
  <c r="C1569" i="6"/>
  <c r="A1569" i="6"/>
  <c r="D1568" i="6"/>
  <c r="C1568" i="6"/>
  <c r="A1568" i="6"/>
  <c r="D1567" i="6"/>
  <c r="A1567" i="6" s="1"/>
  <c r="C1567" i="6"/>
  <c r="D1566" i="6"/>
  <c r="C1566" i="6"/>
  <c r="A1566" i="6" s="1"/>
  <c r="D1565" i="6"/>
  <c r="C1565" i="6"/>
  <c r="A1565" i="6" s="1"/>
  <c r="D1564" i="6"/>
  <c r="C1564" i="6"/>
  <c r="A1564" i="6"/>
  <c r="D1563" i="6"/>
  <c r="C1563" i="6"/>
  <c r="A1563" i="6" s="1"/>
  <c r="D1562" i="6"/>
  <c r="C1562" i="6"/>
  <c r="A1562" i="6" s="1"/>
  <c r="D1561" i="6"/>
  <c r="C1561" i="6"/>
  <c r="A1561" i="6"/>
  <c r="D1560" i="6"/>
  <c r="C1560" i="6"/>
  <c r="A1560" i="6"/>
  <c r="D1559" i="6"/>
  <c r="A1559" i="6" s="1"/>
  <c r="C1559" i="6"/>
  <c r="D1558" i="6"/>
  <c r="C1558" i="6"/>
  <c r="A1558" i="6" s="1"/>
  <c r="D1557" i="6"/>
  <c r="C1557" i="6"/>
  <c r="A1557" i="6" s="1"/>
  <c r="D1556" i="6"/>
  <c r="C1556" i="6"/>
  <c r="A1556" i="6"/>
  <c r="D1555" i="6"/>
  <c r="C1555" i="6"/>
  <c r="A1555" i="6" s="1"/>
  <c r="D1554" i="6"/>
  <c r="C1554" i="6"/>
  <c r="A1554" i="6" s="1"/>
  <c r="D1553" i="6"/>
  <c r="C1553" i="6"/>
  <c r="A1553" i="6"/>
  <c r="D1552" i="6"/>
  <c r="C1552" i="6"/>
  <c r="A1552" i="6"/>
  <c r="D1551" i="6"/>
  <c r="A1551" i="6" s="1"/>
  <c r="C1551" i="6"/>
  <c r="D1550" i="6"/>
  <c r="C1550" i="6"/>
  <c r="A1550" i="6" s="1"/>
  <c r="D1549" i="6"/>
  <c r="C1549" i="6"/>
  <c r="A1549" i="6" s="1"/>
  <c r="D1548" i="6"/>
  <c r="C1548" i="6"/>
  <c r="A1548" i="6"/>
  <c r="D1547" i="6"/>
  <c r="C1547" i="6"/>
  <c r="A1547" i="6" s="1"/>
  <c r="D1546" i="6"/>
  <c r="C1546" i="6"/>
  <c r="A1546" i="6" s="1"/>
  <c r="D1545" i="6"/>
  <c r="C1545" i="6"/>
  <c r="A1545" i="6"/>
  <c r="D1544" i="6"/>
  <c r="C1544" i="6"/>
  <c r="A1544" i="6"/>
  <c r="D1543" i="6"/>
  <c r="A1543" i="6" s="1"/>
  <c r="C1543" i="6"/>
  <c r="D1542" i="6"/>
  <c r="C1542" i="6"/>
  <c r="A1542" i="6" s="1"/>
  <c r="D1541" i="6"/>
  <c r="C1541" i="6"/>
  <c r="A1541" i="6" s="1"/>
  <c r="D1540" i="6"/>
  <c r="C1540" i="6"/>
  <c r="A1540" i="6"/>
  <c r="D1539" i="6"/>
  <c r="C1539" i="6"/>
  <c r="A1539" i="6" s="1"/>
  <c r="D1538" i="6"/>
  <c r="C1538" i="6"/>
  <c r="A1538" i="6" s="1"/>
  <c r="D1537" i="6"/>
  <c r="C1537" i="6"/>
  <c r="A1537" i="6"/>
  <c r="D1536" i="6"/>
  <c r="C1536" i="6"/>
  <c r="A1536" i="6"/>
  <c r="D1535" i="6"/>
  <c r="A1535" i="6" s="1"/>
  <c r="C1535" i="6"/>
  <c r="D1534" i="6"/>
  <c r="C1534" i="6"/>
  <c r="A1534" i="6" s="1"/>
  <c r="D1533" i="6"/>
  <c r="C1533" i="6"/>
  <c r="A1533" i="6" s="1"/>
  <c r="D1532" i="6"/>
  <c r="C1532" i="6"/>
  <c r="A1532" i="6"/>
  <c r="D1531" i="6"/>
  <c r="C1531" i="6"/>
  <c r="A1531" i="6" s="1"/>
  <c r="D1530" i="6"/>
  <c r="C1530" i="6"/>
  <c r="A1530" i="6" s="1"/>
  <c r="D1529" i="6"/>
  <c r="C1529" i="6"/>
  <c r="A1529" i="6"/>
  <c r="D1528" i="6"/>
  <c r="C1528" i="6"/>
  <c r="A1528" i="6"/>
  <c r="D1527" i="6"/>
  <c r="A1527" i="6" s="1"/>
  <c r="C1527" i="6"/>
  <c r="D1526" i="6"/>
  <c r="C1526" i="6"/>
  <c r="A1526" i="6" s="1"/>
  <c r="D1525" i="6"/>
  <c r="C1525" i="6"/>
  <c r="A1525" i="6" s="1"/>
  <c r="D1524" i="6"/>
  <c r="C1524" i="6"/>
  <c r="A1524" i="6"/>
  <c r="D1523" i="6"/>
  <c r="C1523" i="6"/>
  <c r="A1523" i="6" s="1"/>
  <c r="D1522" i="6"/>
  <c r="C1522" i="6"/>
  <c r="A1522" i="6" s="1"/>
  <c r="D1521" i="6"/>
  <c r="C1521" i="6"/>
  <c r="A1521" i="6"/>
  <c r="D1520" i="6"/>
  <c r="C1520" i="6"/>
  <c r="A1520" i="6"/>
  <c r="D1519" i="6"/>
  <c r="A1519" i="6" s="1"/>
  <c r="C1519" i="6"/>
  <c r="D1518" i="6"/>
  <c r="C1518" i="6"/>
  <c r="A1518" i="6" s="1"/>
  <c r="D1517" i="6"/>
  <c r="C1517" i="6"/>
  <c r="A1517" i="6" s="1"/>
  <c r="D1516" i="6"/>
  <c r="C1516" i="6"/>
  <c r="A1516" i="6"/>
  <c r="D1515" i="6"/>
  <c r="C1515" i="6"/>
  <c r="A1515" i="6" s="1"/>
  <c r="D1514" i="6"/>
  <c r="C1514" i="6"/>
  <c r="A1514" i="6" s="1"/>
  <c r="D1513" i="6"/>
  <c r="C1513" i="6"/>
  <c r="A1513" i="6"/>
  <c r="D1512" i="6"/>
  <c r="C1512" i="6"/>
  <c r="A1512" i="6"/>
  <c r="D1511" i="6"/>
  <c r="A1511" i="6" s="1"/>
  <c r="C1511" i="6"/>
  <c r="D1510" i="6"/>
  <c r="C1510" i="6"/>
  <c r="A1510" i="6" s="1"/>
  <c r="D1509" i="6"/>
  <c r="C1509" i="6"/>
  <c r="A1509" i="6" s="1"/>
  <c r="D1508" i="6"/>
  <c r="C1508" i="6"/>
  <c r="A1508" i="6"/>
  <c r="D1507" i="6"/>
  <c r="C1507" i="6"/>
  <c r="A1507" i="6" s="1"/>
  <c r="D1506" i="6"/>
  <c r="C1506" i="6"/>
  <c r="A1506" i="6" s="1"/>
  <c r="D1505" i="6"/>
  <c r="C1505" i="6"/>
  <c r="A1505" i="6"/>
  <c r="D1504" i="6"/>
  <c r="C1504" i="6"/>
  <c r="A1504" i="6"/>
  <c r="D1503" i="6"/>
  <c r="A1503" i="6" s="1"/>
  <c r="C1503" i="6"/>
  <c r="D1502" i="6"/>
  <c r="C1502" i="6"/>
  <c r="A1502" i="6" s="1"/>
  <c r="D1501" i="6"/>
  <c r="C1501" i="6"/>
  <c r="A1501" i="6" s="1"/>
  <c r="D1500" i="6"/>
  <c r="C1500" i="6"/>
  <c r="A1500" i="6"/>
  <c r="D1499" i="6"/>
  <c r="C1499" i="6"/>
  <c r="A1499" i="6" s="1"/>
  <c r="D1498" i="6"/>
  <c r="C1498" i="6"/>
  <c r="A1498" i="6" s="1"/>
  <c r="D1497" i="6"/>
  <c r="C1497" i="6"/>
  <c r="A1497" i="6"/>
  <c r="D1496" i="6"/>
  <c r="C1496" i="6"/>
  <c r="A1496" i="6"/>
  <c r="D1495" i="6"/>
  <c r="A1495" i="6" s="1"/>
  <c r="C1495" i="6"/>
  <c r="D1494" i="6"/>
  <c r="C1494" i="6"/>
  <c r="A1494" i="6" s="1"/>
  <c r="D1493" i="6"/>
  <c r="C1493" i="6"/>
  <c r="A1493" i="6" s="1"/>
  <c r="D1492" i="6"/>
  <c r="C1492" i="6"/>
  <c r="A1492" i="6"/>
  <c r="D1491" i="6"/>
  <c r="C1491" i="6"/>
  <c r="A1491" i="6" s="1"/>
  <c r="D1490" i="6"/>
  <c r="C1490" i="6"/>
  <c r="A1490" i="6" s="1"/>
  <c r="D1489" i="6"/>
  <c r="C1489" i="6"/>
  <c r="A1489" i="6"/>
  <c r="D1488" i="6"/>
  <c r="C1488" i="6"/>
  <c r="A1488" i="6"/>
  <c r="D1487" i="6"/>
  <c r="A1487" i="6" s="1"/>
  <c r="C1487" i="6"/>
  <c r="D1486" i="6"/>
  <c r="C1486" i="6"/>
  <c r="A1486" i="6" s="1"/>
  <c r="D1485" i="6"/>
  <c r="C1485" i="6"/>
  <c r="A1485" i="6" s="1"/>
  <c r="D1484" i="6"/>
  <c r="C1484" i="6"/>
  <c r="A1484" i="6"/>
  <c r="D1483" i="6"/>
  <c r="C1483" i="6"/>
  <c r="A1483" i="6" s="1"/>
  <c r="D1482" i="6"/>
  <c r="C1482" i="6"/>
  <c r="A1482" i="6" s="1"/>
  <c r="D1481" i="6"/>
  <c r="C1481" i="6"/>
  <c r="A1481" i="6"/>
  <c r="D1480" i="6"/>
  <c r="C1480" i="6"/>
  <c r="A1480" i="6"/>
  <c r="D1479" i="6"/>
  <c r="A1479" i="6" s="1"/>
  <c r="C1479" i="6"/>
  <c r="D1478" i="6"/>
  <c r="C1478" i="6"/>
  <c r="A1478" i="6" s="1"/>
  <c r="D1477" i="6"/>
  <c r="C1477" i="6"/>
  <c r="A1477" i="6" s="1"/>
  <c r="D1476" i="6"/>
  <c r="C1476" i="6"/>
  <c r="A1476" i="6"/>
  <c r="D1475" i="6"/>
  <c r="C1475" i="6"/>
  <c r="A1475" i="6" s="1"/>
  <c r="D1474" i="6"/>
  <c r="C1474" i="6"/>
  <c r="A1474" i="6" s="1"/>
  <c r="D1473" i="6"/>
  <c r="C1473" i="6"/>
  <c r="A1473" i="6"/>
  <c r="D1472" i="6"/>
  <c r="C1472" i="6"/>
  <c r="A1472" i="6"/>
  <c r="D1471" i="6"/>
  <c r="A1471" i="6" s="1"/>
  <c r="C1471" i="6"/>
  <c r="D1470" i="6"/>
  <c r="C1470" i="6"/>
  <c r="A1470" i="6" s="1"/>
  <c r="D1469" i="6"/>
  <c r="C1469" i="6"/>
  <c r="A1469" i="6" s="1"/>
  <c r="D1468" i="6"/>
  <c r="C1468" i="6"/>
  <c r="A1468" i="6"/>
  <c r="D1467" i="6"/>
  <c r="C1467" i="6"/>
  <c r="A1467" i="6" s="1"/>
  <c r="D1466" i="6"/>
  <c r="C1466" i="6"/>
  <c r="A1466" i="6" s="1"/>
  <c r="D1465" i="6"/>
  <c r="C1465" i="6"/>
  <c r="A1465" i="6"/>
  <c r="D1464" i="6"/>
  <c r="C1464" i="6"/>
  <c r="A1464" i="6"/>
  <c r="D1463" i="6"/>
  <c r="A1463" i="6" s="1"/>
  <c r="C1463" i="6"/>
  <c r="D1462" i="6"/>
  <c r="C1462" i="6"/>
  <c r="A1462" i="6" s="1"/>
  <c r="D1461" i="6"/>
  <c r="C1461" i="6"/>
  <c r="A1461" i="6" s="1"/>
  <c r="D1460" i="6"/>
  <c r="C1460" i="6"/>
  <c r="A1460" i="6"/>
  <c r="D1459" i="6"/>
  <c r="C1459" i="6"/>
  <c r="A1459" i="6" s="1"/>
  <c r="D1458" i="6"/>
  <c r="C1458" i="6"/>
  <c r="A1458" i="6" s="1"/>
  <c r="D1457" i="6"/>
  <c r="C1457" i="6"/>
  <c r="A1457" i="6"/>
  <c r="D1456" i="6"/>
  <c r="C1456" i="6"/>
  <c r="A1456" i="6"/>
  <c r="D1455" i="6"/>
  <c r="A1455" i="6" s="1"/>
  <c r="C1455" i="6"/>
  <c r="D1454" i="6"/>
  <c r="C1454" i="6"/>
  <c r="A1454" i="6" s="1"/>
  <c r="D1453" i="6"/>
  <c r="C1453" i="6"/>
  <c r="A1453" i="6" s="1"/>
  <c r="D1452" i="6"/>
  <c r="C1452" i="6"/>
  <c r="A1452" i="6"/>
  <c r="D1451" i="6"/>
  <c r="C1451" i="6"/>
  <c r="A1451" i="6" s="1"/>
  <c r="D1450" i="6"/>
  <c r="C1450" i="6"/>
  <c r="A1450" i="6" s="1"/>
  <c r="D1449" i="6"/>
  <c r="C1449" i="6"/>
  <c r="A1449" i="6"/>
  <c r="D1448" i="6"/>
  <c r="C1448" i="6"/>
  <c r="A1448" i="6"/>
  <c r="D1447" i="6"/>
  <c r="A1447" i="6" s="1"/>
  <c r="C1447" i="6"/>
  <c r="D1446" i="6"/>
  <c r="C1446" i="6"/>
  <c r="A1446" i="6" s="1"/>
  <c r="D1445" i="6"/>
  <c r="C1445" i="6"/>
  <c r="A1445" i="6" s="1"/>
  <c r="D1444" i="6"/>
  <c r="C1444" i="6"/>
  <c r="A1444" i="6"/>
  <c r="D1443" i="6"/>
  <c r="C1443" i="6"/>
  <c r="A1443" i="6" s="1"/>
  <c r="D1442" i="6"/>
  <c r="C1442" i="6"/>
  <c r="A1442" i="6" s="1"/>
  <c r="D1441" i="6"/>
  <c r="C1441" i="6"/>
  <c r="A1441" i="6"/>
  <c r="D1440" i="6"/>
  <c r="C1440" i="6"/>
  <c r="A1440" i="6"/>
  <c r="D1439" i="6"/>
  <c r="A1439" i="6" s="1"/>
  <c r="C1439" i="6"/>
  <c r="D1438" i="6"/>
  <c r="C1438" i="6"/>
  <c r="A1438" i="6" s="1"/>
  <c r="D1437" i="6"/>
  <c r="C1437" i="6"/>
  <c r="A1437" i="6" s="1"/>
  <c r="D1436" i="6"/>
  <c r="C1436" i="6"/>
  <c r="A1436" i="6"/>
  <c r="D1435" i="6"/>
  <c r="C1435" i="6"/>
  <c r="A1435" i="6" s="1"/>
  <c r="D1434" i="6"/>
  <c r="C1434" i="6"/>
  <c r="A1434" i="6" s="1"/>
  <c r="D1433" i="6"/>
  <c r="C1433" i="6"/>
  <c r="A1433" i="6"/>
  <c r="D1432" i="6"/>
  <c r="C1432" i="6"/>
  <c r="A1432" i="6"/>
  <c r="D1431" i="6"/>
  <c r="A1431" i="6" s="1"/>
  <c r="C1431" i="6"/>
  <c r="D1430" i="6"/>
  <c r="C1430" i="6"/>
  <c r="A1430" i="6" s="1"/>
  <c r="D1429" i="6"/>
  <c r="C1429" i="6"/>
  <c r="A1429" i="6" s="1"/>
  <c r="D1428" i="6"/>
  <c r="C1428" i="6"/>
  <c r="A1428" i="6"/>
  <c r="D1427" i="6"/>
  <c r="C1427" i="6"/>
  <c r="A1427" i="6" s="1"/>
  <c r="D1426" i="6"/>
  <c r="C1426" i="6"/>
  <c r="A1426" i="6" s="1"/>
  <c r="D1425" i="6"/>
  <c r="C1425" i="6"/>
  <c r="A1425" i="6"/>
  <c r="D1424" i="6"/>
  <c r="C1424" i="6"/>
  <c r="A1424" i="6"/>
  <c r="D1423" i="6"/>
  <c r="A1423" i="6" s="1"/>
  <c r="C1423" i="6"/>
  <c r="D1422" i="6"/>
  <c r="C1422" i="6"/>
  <c r="A1422" i="6" s="1"/>
  <c r="D1421" i="6"/>
  <c r="C1421" i="6"/>
  <c r="A1421" i="6" s="1"/>
  <c r="D1420" i="6"/>
  <c r="C1420" i="6"/>
  <c r="A1420" i="6"/>
  <c r="D1419" i="6"/>
  <c r="C1419" i="6"/>
  <c r="A1419" i="6" s="1"/>
  <c r="D1418" i="6"/>
  <c r="C1418" i="6"/>
  <c r="A1418" i="6" s="1"/>
  <c r="D1417" i="6"/>
  <c r="C1417" i="6"/>
  <c r="A1417" i="6"/>
  <c r="D1416" i="6"/>
  <c r="C1416" i="6"/>
  <c r="A1416" i="6"/>
  <c r="D1415" i="6"/>
  <c r="A1415" i="6" s="1"/>
  <c r="C1415" i="6"/>
  <c r="D1414" i="6"/>
  <c r="C1414" i="6"/>
  <c r="A1414" i="6" s="1"/>
  <c r="D1413" i="6"/>
  <c r="C1413" i="6"/>
  <c r="A1413" i="6" s="1"/>
  <c r="D1412" i="6"/>
  <c r="C1412" i="6"/>
  <c r="A1412" i="6"/>
  <c r="D1411" i="6"/>
  <c r="C1411" i="6"/>
  <c r="A1411" i="6" s="1"/>
  <c r="D1410" i="6"/>
  <c r="C1410" i="6"/>
  <c r="A1410" i="6" s="1"/>
  <c r="D1409" i="6"/>
  <c r="C1409" i="6"/>
  <c r="A1409" i="6"/>
  <c r="D1408" i="6"/>
  <c r="C1408" i="6"/>
  <c r="A1408" i="6"/>
  <c r="D1407" i="6"/>
  <c r="A1407" i="6" s="1"/>
  <c r="C1407" i="6"/>
  <c r="D1406" i="6"/>
  <c r="C1406" i="6"/>
  <c r="A1406" i="6" s="1"/>
  <c r="D1405" i="6"/>
  <c r="C1405" i="6"/>
  <c r="A1405" i="6" s="1"/>
  <c r="D1404" i="6"/>
  <c r="C1404" i="6"/>
  <c r="A1404" i="6"/>
  <c r="D1403" i="6"/>
  <c r="C1403" i="6"/>
  <c r="A1403" i="6" s="1"/>
  <c r="D1402" i="6"/>
  <c r="C1402" i="6"/>
  <c r="A1402" i="6" s="1"/>
  <c r="D1401" i="6"/>
  <c r="C1401" i="6"/>
  <c r="A1401" i="6"/>
  <c r="D1400" i="6"/>
  <c r="C1400" i="6"/>
  <c r="A1400" i="6"/>
  <c r="D1399" i="6"/>
  <c r="A1399" i="6" s="1"/>
  <c r="C1399" i="6"/>
  <c r="D1398" i="6"/>
  <c r="C1398" i="6"/>
  <c r="A1398" i="6" s="1"/>
  <c r="D1397" i="6"/>
  <c r="C1397" i="6"/>
  <c r="A1397" i="6" s="1"/>
  <c r="D1396" i="6"/>
  <c r="C1396" i="6"/>
  <c r="A1396" i="6"/>
  <c r="D1395" i="6"/>
  <c r="C1395" i="6"/>
  <c r="A1395" i="6" s="1"/>
  <c r="D1394" i="6"/>
  <c r="C1394" i="6"/>
  <c r="A1394" i="6" s="1"/>
  <c r="D1393" i="6"/>
  <c r="C1393" i="6"/>
  <c r="A1393" i="6"/>
  <c r="D1392" i="6"/>
  <c r="C1392" i="6"/>
  <c r="A1392" i="6"/>
  <c r="D1391" i="6"/>
  <c r="A1391" i="6" s="1"/>
  <c r="C1391" i="6"/>
  <c r="D1390" i="6"/>
  <c r="C1390" i="6"/>
  <c r="A1390" i="6" s="1"/>
  <c r="D1389" i="6"/>
  <c r="C1389" i="6"/>
  <c r="A1389" i="6" s="1"/>
  <c r="D1388" i="6"/>
  <c r="C1388" i="6"/>
  <c r="A1388" i="6"/>
  <c r="D1387" i="6"/>
  <c r="C1387" i="6"/>
  <c r="A1387" i="6" s="1"/>
  <c r="D1386" i="6"/>
  <c r="C1386" i="6"/>
  <c r="A1386" i="6" s="1"/>
  <c r="D1385" i="6"/>
  <c r="C1385" i="6"/>
  <c r="A1385" i="6"/>
  <c r="D1384" i="6"/>
  <c r="C1384" i="6"/>
  <c r="A1384" i="6"/>
  <c r="D1383" i="6"/>
  <c r="A1383" i="6" s="1"/>
  <c r="C1383" i="6"/>
  <c r="D1382" i="6"/>
  <c r="C1382" i="6"/>
  <c r="A1382" i="6" s="1"/>
  <c r="D1381" i="6"/>
  <c r="C1381" i="6"/>
  <c r="A1381" i="6" s="1"/>
  <c r="D1380" i="6"/>
  <c r="C1380" i="6"/>
  <c r="A1380" i="6"/>
  <c r="D1379" i="6"/>
  <c r="C1379" i="6"/>
  <c r="A1379" i="6" s="1"/>
  <c r="D1378" i="6"/>
  <c r="C1378" i="6"/>
  <c r="A1378" i="6" s="1"/>
  <c r="D1377" i="6"/>
  <c r="C1377" i="6"/>
  <c r="A1377" i="6"/>
  <c r="D1376" i="6"/>
  <c r="C1376" i="6"/>
  <c r="A1376" i="6"/>
  <c r="D1375" i="6"/>
  <c r="A1375" i="6" s="1"/>
  <c r="C1375" i="6"/>
  <c r="D1374" i="6"/>
  <c r="C1374" i="6"/>
  <c r="A1374" i="6" s="1"/>
  <c r="D1373" i="6"/>
  <c r="C1373" i="6"/>
  <c r="A1373" i="6" s="1"/>
  <c r="D1372" i="6"/>
  <c r="C1372" i="6"/>
  <c r="A1372" i="6"/>
  <c r="D1371" i="6"/>
  <c r="C1371" i="6"/>
  <c r="A1371" i="6" s="1"/>
  <c r="D1370" i="6"/>
  <c r="C1370" i="6"/>
  <c r="A1370" i="6" s="1"/>
  <c r="D1369" i="6"/>
  <c r="C1369" i="6"/>
  <c r="A1369" i="6"/>
  <c r="D1368" i="6"/>
  <c r="C1368" i="6"/>
  <c r="A1368" i="6"/>
  <c r="D1367" i="6"/>
  <c r="A1367" i="6" s="1"/>
  <c r="C1367" i="6"/>
  <c r="D1366" i="6"/>
  <c r="C1366" i="6"/>
  <c r="A1366" i="6" s="1"/>
  <c r="D1365" i="6"/>
  <c r="C1365" i="6"/>
  <c r="A1365" i="6" s="1"/>
  <c r="D1364" i="6"/>
  <c r="C1364" i="6"/>
  <c r="A1364" i="6"/>
  <c r="D1363" i="6"/>
  <c r="C1363" i="6"/>
  <c r="A1363" i="6" s="1"/>
  <c r="D1362" i="6"/>
  <c r="C1362" i="6"/>
  <c r="A1362" i="6" s="1"/>
  <c r="D1361" i="6"/>
  <c r="C1361" i="6"/>
  <c r="A1361" i="6"/>
  <c r="D1360" i="6"/>
  <c r="C1360" i="6"/>
  <c r="A1360" i="6"/>
  <c r="D1359" i="6"/>
  <c r="A1359" i="6" s="1"/>
  <c r="C1359" i="6"/>
  <c r="D1358" i="6"/>
  <c r="C1358" i="6"/>
  <c r="A1358" i="6" s="1"/>
  <c r="D1357" i="6"/>
  <c r="C1357" i="6"/>
  <c r="A1357" i="6" s="1"/>
  <c r="D1356" i="6"/>
  <c r="C1356" i="6"/>
  <c r="A1356" i="6"/>
  <c r="D1355" i="6"/>
  <c r="C1355" i="6"/>
  <c r="A1355" i="6" s="1"/>
  <c r="D1354" i="6"/>
  <c r="C1354" i="6"/>
  <c r="A1354" i="6" s="1"/>
  <c r="D1353" i="6"/>
  <c r="C1353" i="6"/>
  <c r="A1353" i="6"/>
  <c r="D1352" i="6"/>
  <c r="C1352" i="6"/>
  <c r="A1352" i="6"/>
  <c r="D1351" i="6"/>
  <c r="A1351" i="6" s="1"/>
  <c r="C1351" i="6"/>
  <c r="D1350" i="6"/>
  <c r="C1350" i="6"/>
  <c r="A1350" i="6" s="1"/>
  <c r="D1349" i="6"/>
  <c r="C1349" i="6"/>
  <c r="A1349" i="6" s="1"/>
  <c r="D1348" i="6"/>
  <c r="C1348" i="6"/>
  <c r="A1348" i="6"/>
  <c r="D1347" i="6"/>
  <c r="C1347" i="6"/>
  <c r="A1347" i="6" s="1"/>
  <c r="D1346" i="6"/>
  <c r="C1346" i="6"/>
  <c r="A1346" i="6" s="1"/>
  <c r="D1345" i="6"/>
  <c r="C1345" i="6"/>
  <c r="A1345" i="6"/>
  <c r="D1344" i="6"/>
  <c r="C1344" i="6"/>
  <c r="A1344" i="6"/>
  <c r="D1343" i="6"/>
  <c r="C1343" i="6"/>
  <c r="A1343" i="6"/>
  <c r="D1342" i="6"/>
  <c r="C1342" i="6"/>
  <c r="A1342" i="6" s="1"/>
  <c r="D1341" i="6"/>
  <c r="C1341" i="6"/>
  <c r="A1341" i="6" s="1"/>
  <c r="D1340" i="6"/>
  <c r="C1340" i="6"/>
  <c r="A1340" i="6"/>
  <c r="D1339" i="6"/>
  <c r="C1339" i="6"/>
  <c r="A1339" i="6" s="1"/>
  <c r="D1338" i="6"/>
  <c r="C1338" i="6"/>
  <c r="A1338" i="6" s="1"/>
  <c r="D1337" i="6"/>
  <c r="C1337" i="6"/>
  <c r="A1337" i="6"/>
  <c r="D1336" i="6"/>
  <c r="C1336" i="6"/>
  <c r="A1336" i="6"/>
  <c r="D1335" i="6"/>
  <c r="C1335" i="6"/>
  <c r="A1335" i="6"/>
  <c r="D1334" i="6"/>
  <c r="C1334" i="6"/>
  <c r="A1334" i="6" s="1"/>
  <c r="D1333" i="6"/>
  <c r="C1333" i="6"/>
  <c r="A1333" i="6" s="1"/>
  <c r="D1332" i="6"/>
  <c r="C1332" i="6"/>
  <c r="A1332" i="6"/>
  <c r="D1331" i="6"/>
  <c r="C1331" i="6"/>
  <c r="A1331" i="6" s="1"/>
  <c r="D1330" i="6"/>
  <c r="C1330" i="6"/>
  <c r="A1330" i="6" s="1"/>
  <c r="D1329" i="6"/>
  <c r="C1329" i="6"/>
  <c r="A1329" i="6"/>
  <c r="D1328" i="6"/>
  <c r="C1328" i="6"/>
  <c r="A1328" i="6"/>
  <c r="D1327" i="6"/>
  <c r="C1327" i="6"/>
  <c r="A1327" i="6"/>
  <c r="D1326" i="6"/>
  <c r="C1326" i="6"/>
  <c r="A1326" i="6" s="1"/>
  <c r="D1325" i="6"/>
  <c r="C1325" i="6"/>
  <c r="A1325" i="6" s="1"/>
  <c r="D1324" i="6"/>
  <c r="C1324" i="6"/>
  <c r="A1324" i="6"/>
  <c r="D1323" i="6"/>
  <c r="C1323" i="6"/>
  <c r="A1323" i="6" s="1"/>
  <c r="D1322" i="6"/>
  <c r="C1322" i="6"/>
  <c r="A1322" i="6" s="1"/>
  <c r="D1321" i="6"/>
  <c r="C1321" i="6"/>
  <c r="A1321" i="6"/>
  <c r="D1320" i="6"/>
  <c r="A1320" i="6" s="1"/>
  <c r="C1320" i="6"/>
  <c r="D1319" i="6"/>
  <c r="C1319" i="6"/>
  <c r="A1319" i="6"/>
  <c r="D1318" i="6"/>
  <c r="C1318" i="6"/>
  <c r="A1318" i="6" s="1"/>
  <c r="D1317" i="6"/>
  <c r="C1317" i="6"/>
  <c r="A1317" i="6" s="1"/>
  <c r="D1316" i="6"/>
  <c r="C1316" i="6"/>
  <c r="A1316" i="6"/>
  <c r="D1315" i="6"/>
  <c r="C1315" i="6"/>
  <c r="A1315" i="6" s="1"/>
  <c r="D1314" i="6"/>
  <c r="C1314" i="6"/>
  <c r="A1314" i="6" s="1"/>
  <c r="D1313" i="6"/>
  <c r="C1313" i="6"/>
  <c r="A1313" i="6"/>
  <c r="D1312" i="6"/>
  <c r="A1312" i="6" s="1"/>
  <c r="C1312" i="6"/>
  <c r="D1311" i="6"/>
  <c r="C1311" i="6"/>
  <c r="A1311" i="6"/>
  <c r="D1310" i="6"/>
  <c r="C1310" i="6"/>
  <c r="A1310" i="6" s="1"/>
  <c r="D1309" i="6"/>
  <c r="C1309" i="6"/>
  <c r="A1309" i="6" s="1"/>
  <c r="D1308" i="6"/>
  <c r="C1308" i="6"/>
  <c r="A1308" i="6"/>
  <c r="D1307" i="6"/>
  <c r="C1307" i="6"/>
  <c r="A1307" i="6" s="1"/>
  <c r="D1306" i="6"/>
  <c r="C1306" i="6"/>
  <c r="A1306" i="6" s="1"/>
  <c r="D1305" i="6"/>
  <c r="C1305" i="6"/>
  <c r="A1305" i="6"/>
  <c r="D1304" i="6"/>
  <c r="A1304" i="6" s="1"/>
  <c r="C1304" i="6"/>
  <c r="D1303" i="6"/>
  <c r="C1303" i="6"/>
  <c r="A1303" i="6"/>
  <c r="D1302" i="6"/>
  <c r="C1302" i="6"/>
  <c r="A1302" i="6" s="1"/>
  <c r="D1301" i="6"/>
  <c r="C1301" i="6"/>
  <c r="A1301" i="6" s="1"/>
  <c r="D1300" i="6"/>
  <c r="C1300" i="6"/>
  <c r="A1300" i="6"/>
  <c r="D1299" i="6"/>
  <c r="C1299" i="6"/>
  <c r="A1299" i="6" s="1"/>
  <c r="D1298" i="6"/>
  <c r="C1298" i="6"/>
  <c r="A1298" i="6" s="1"/>
  <c r="D1297" i="6"/>
  <c r="C1297" i="6"/>
  <c r="A1297" i="6"/>
  <c r="D1296" i="6"/>
  <c r="A1296" i="6" s="1"/>
  <c r="C1296" i="6"/>
  <c r="D1295" i="6"/>
  <c r="C1295" i="6"/>
  <c r="A1295" i="6"/>
  <c r="D1294" i="6"/>
  <c r="C1294" i="6"/>
  <c r="A1294" i="6" s="1"/>
  <c r="D1293" i="6"/>
  <c r="C1293" i="6"/>
  <c r="A1293" i="6" s="1"/>
  <c r="D1292" i="6"/>
  <c r="C1292" i="6"/>
  <c r="A1292" i="6"/>
  <c r="D1291" i="6"/>
  <c r="C1291" i="6"/>
  <c r="A1291" i="6" s="1"/>
  <c r="D1290" i="6"/>
  <c r="C1290" i="6"/>
  <c r="A1290" i="6" s="1"/>
  <c r="D1289" i="6"/>
  <c r="C1289" i="6"/>
  <c r="A1289" i="6"/>
  <c r="D1288" i="6"/>
  <c r="A1288" i="6" s="1"/>
  <c r="C1288" i="6"/>
  <c r="D1287" i="6"/>
  <c r="C1287" i="6"/>
  <c r="A1287" i="6"/>
  <c r="D1286" i="6"/>
  <c r="C1286" i="6"/>
  <c r="A1286" i="6" s="1"/>
  <c r="D1285" i="6"/>
  <c r="C1285" i="6"/>
  <c r="A1285" i="6" s="1"/>
  <c r="D1284" i="6"/>
  <c r="C1284" i="6"/>
  <c r="A1284" i="6"/>
  <c r="D1283" i="6"/>
  <c r="C1283" i="6"/>
  <c r="A1283" i="6" s="1"/>
  <c r="D1282" i="6"/>
  <c r="C1282" i="6"/>
  <c r="A1282" i="6" s="1"/>
  <c r="D1281" i="6"/>
  <c r="C1281" i="6"/>
  <c r="A1281" i="6"/>
  <c r="D1280" i="6"/>
  <c r="A1280" i="6" s="1"/>
  <c r="C1280" i="6"/>
  <c r="D1279" i="6"/>
  <c r="C1279" i="6"/>
  <c r="A1279" i="6"/>
  <c r="D1278" i="6"/>
  <c r="C1278" i="6"/>
  <c r="A1278" i="6" s="1"/>
  <c r="D1277" i="6"/>
  <c r="C1277" i="6"/>
  <c r="A1277" i="6" s="1"/>
  <c r="D1276" i="6"/>
  <c r="C1276" i="6"/>
  <c r="A1276" i="6"/>
  <c r="D1275" i="6"/>
  <c r="C1275" i="6"/>
  <c r="A1275" i="6" s="1"/>
  <c r="D1274" i="6"/>
  <c r="C1274" i="6"/>
  <c r="A1274" i="6" s="1"/>
  <c r="D1273" i="6"/>
  <c r="C1273" i="6"/>
  <c r="A1273" i="6"/>
  <c r="D1272" i="6"/>
  <c r="A1272" i="6" s="1"/>
  <c r="C1272" i="6"/>
  <c r="D1271" i="6"/>
  <c r="C1271" i="6"/>
  <c r="A1271" i="6"/>
  <c r="D1270" i="6"/>
  <c r="C1270" i="6"/>
  <c r="A1270" i="6" s="1"/>
  <c r="D1269" i="6"/>
  <c r="C1269" i="6"/>
  <c r="A1269" i="6" s="1"/>
  <c r="D1268" i="6"/>
  <c r="C1268" i="6"/>
  <c r="A1268" i="6"/>
  <c r="D1267" i="6"/>
  <c r="C1267" i="6"/>
  <c r="A1267" i="6" s="1"/>
  <c r="D1266" i="6"/>
  <c r="C1266" i="6"/>
  <c r="A1266" i="6" s="1"/>
  <c r="D1265" i="6"/>
  <c r="C1265" i="6"/>
  <c r="A1265" i="6"/>
  <c r="D1264" i="6"/>
  <c r="A1264" i="6" s="1"/>
  <c r="C1264" i="6"/>
  <c r="D1263" i="6"/>
  <c r="C1263" i="6"/>
  <c r="A1263" i="6"/>
  <c r="D1262" i="6"/>
  <c r="C1262" i="6"/>
  <c r="A1262" i="6" s="1"/>
  <c r="D1261" i="6"/>
  <c r="C1261" i="6"/>
  <c r="A1261" i="6" s="1"/>
  <c r="D1260" i="6"/>
  <c r="C1260" i="6"/>
  <c r="A1260" i="6"/>
  <c r="D1259" i="6"/>
  <c r="C1259" i="6"/>
  <c r="D1258" i="6"/>
  <c r="C1258" i="6"/>
  <c r="A1258" i="6" s="1"/>
  <c r="D1257" i="6"/>
  <c r="C1257" i="6"/>
  <c r="A1257" i="6"/>
  <c r="D1256" i="6"/>
  <c r="A1256" i="6" s="1"/>
  <c r="C1256" i="6"/>
  <c r="D1255" i="6"/>
  <c r="C1255" i="6"/>
  <c r="A1255" i="6"/>
  <c r="D1254" i="6"/>
  <c r="C1254" i="6"/>
  <c r="A1254" i="6" s="1"/>
  <c r="D1253" i="6"/>
  <c r="C1253" i="6"/>
  <c r="A1253" i="6" s="1"/>
  <c r="D1252" i="6"/>
  <c r="C1252" i="6"/>
  <c r="A1252" i="6"/>
  <c r="D1251" i="6"/>
  <c r="C1251" i="6"/>
  <c r="D1250" i="6"/>
  <c r="C1250" i="6"/>
  <c r="A1250" i="6" s="1"/>
  <c r="D1249" i="6"/>
  <c r="C1249" i="6"/>
  <c r="A1249" i="6"/>
  <c r="D1248" i="6"/>
  <c r="A1248" i="6" s="1"/>
  <c r="C1248" i="6"/>
  <c r="D1247" i="6"/>
  <c r="C1247" i="6"/>
  <c r="A1247" i="6"/>
  <c r="D1246" i="6"/>
  <c r="C1246" i="6"/>
  <c r="A1246" i="6" s="1"/>
  <c r="D1245" i="6"/>
  <c r="C1245" i="6"/>
  <c r="A1245" i="6" s="1"/>
  <c r="D1244" i="6"/>
  <c r="C1244" i="6"/>
  <c r="A1244" i="6"/>
  <c r="D1243" i="6"/>
  <c r="C1243" i="6"/>
  <c r="D1242" i="6"/>
  <c r="C1242" i="6"/>
  <c r="A1242" i="6" s="1"/>
  <c r="D1241" i="6"/>
  <c r="C1241" i="6"/>
  <c r="A1241" i="6"/>
  <c r="D1240" i="6"/>
  <c r="A1240" i="6" s="1"/>
  <c r="C1240" i="6"/>
  <c r="D1239" i="6"/>
  <c r="A1239" i="6" s="1"/>
  <c r="C1239" i="6"/>
  <c r="D1238" i="6"/>
  <c r="C1238" i="6"/>
  <c r="A1238" i="6" s="1"/>
  <c r="D1237" i="6"/>
  <c r="C1237" i="6"/>
  <c r="A1237" i="6" s="1"/>
  <c r="D1236" i="6"/>
  <c r="C1236" i="6"/>
  <c r="A1236" i="6"/>
  <c r="D1235" i="6"/>
  <c r="C1235" i="6"/>
  <c r="D1234" i="6"/>
  <c r="C1234" i="6"/>
  <c r="A1234" i="6" s="1"/>
  <c r="D1233" i="6"/>
  <c r="C1233" i="6"/>
  <c r="A1233" i="6"/>
  <c r="D1232" i="6"/>
  <c r="A1232" i="6" s="1"/>
  <c r="C1232" i="6"/>
  <c r="D1231" i="6"/>
  <c r="A1231" i="6" s="1"/>
  <c r="C1231" i="6"/>
  <c r="D1230" i="6"/>
  <c r="C1230" i="6"/>
  <c r="A1230" i="6" s="1"/>
  <c r="D1229" i="6"/>
  <c r="C1229" i="6"/>
  <c r="A1229" i="6" s="1"/>
  <c r="D1228" i="6"/>
  <c r="C1228" i="6"/>
  <c r="A1228" i="6"/>
  <c r="D1227" i="6"/>
  <c r="C1227" i="6"/>
  <c r="D1226" i="6"/>
  <c r="C1226" i="6"/>
  <c r="A1226" i="6" s="1"/>
  <c r="D1225" i="6"/>
  <c r="C1225" i="6"/>
  <c r="A1225" i="6"/>
  <c r="D1224" i="6"/>
  <c r="A1224" i="6" s="1"/>
  <c r="C1224" i="6"/>
  <c r="D1223" i="6"/>
  <c r="A1223" i="6" s="1"/>
  <c r="C1223" i="6"/>
  <c r="D1222" i="6"/>
  <c r="C1222" i="6"/>
  <c r="A1222" i="6" s="1"/>
  <c r="D1221" i="6"/>
  <c r="C1221" i="6"/>
  <c r="A1221" i="6" s="1"/>
  <c r="D1220" i="6"/>
  <c r="C1220" i="6"/>
  <c r="A1220" i="6"/>
  <c r="D1219" i="6"/>
  <c r="C1219" i="6"/>
  <c r="D1218" i="6"/>
  <c r="C1218" i="6"/>
  <c r="A1218" i="6" s="1"/>
  <c r="D1217" i="6"/>
  <c r="C1217" i="6"/>
  <c r="A1217" i="6"/>
  <c r="D1216" i="6"/>
  <c r="A1216" i="6" s="1"/>
  <c r="C1216" i="6"/>
  <c r="D1215" i="6"/>
  <c r="A1215" i="6" s="1"/>
  <c r="C1215" i="6"/>
  <c r="D1214" i="6"/>
  <c r="C1214" i="6"/>
  <c r="A1214" i="6" s="1"/>
  <c r="D1213" i="6"/>
  <c r="C1213" i="6"/>
  <c r="A1213" i="6" s="1"/>
  <c r="D1212" i="6"/>
  <c r="C1212" i="6"/>
  <c r="A1212" i="6"/>
  <c r="D1211" i="6"/>
  <c r="C1211" i="6"/>
  <c r="D1210" i="6"/>
  <c r="C1210" i="6"/>
  <c r="A1210" i="6" s="1"/>
  <c r="D1209" i="6"/>
  <c r="C1209" i="6"/>
  <c r="A1209" i="6"/>
  <c r="D1208" i="6"/>
  <c r="A1208" i="6" s="1"/>
  <c r="C1208" i="6"/>
  <c r="D1207" i="6"/>
  <c r="A1207" i="6" s="1"/>
  <c r="C1207" i="6"/>
  <c r="D1206" i="6"/>
  <c r="C1206" i="6"/>
  <c r="A1206" i="6" s="1"/>
  <c r="D1205" i="6"/>
  <c r="C1205" i="6"/>
  <c r="A1205" i="6" s="1"/>
  <c r="D1204" i="6"/>
  <c r="C1204" i="6"/>
  <c r="A1204" i="6"/>
  <c r="D1203" i="6"/>
  <c r="C1203" i="6"/>
  <c r="D1202" i="6"/>
  <c r="C1202" i="6"/>
  <c r="A1202" i="6" s="1"/>
  <c r="D1201" i="6"/>
  <c r="C1201" i="6"/>
  <c r="A1201" i="6"/>
  <c r="D1200" i="6"/>
  <c r="A1200" i="6" s="1"/>
  <c r="C1200" i="6"/>
  <c r="D1199" i="6"/>
  <c r="A1199" i="6" s="1"/>
  <c r="C1199" i="6"/>
  <c r="D1198" i="6"/>
  <c r="C1198" i="6"/>
  <c r="A1198" i="6" s="1"/>
  <c r="D1197" i="6"/>
  <c r="C1197" i="6"/>
  <c r="A1197" i="6" s="1"/>
  <c r="D1196" i="6"/>
  <c r="C1196" i="6"/>
  <c r="A1196" i="6"/>
  <c r="D1195" i="6"/>
  <c r="C1195" i="6"/>
  <c r="D1194" i="6"/>
  <c r="C1194" i="6"/>
  <c r="A1194" i="6" s="1"/>
  <c r="D1193" i="6"/>
  <c r="C1193" i="6"/>
  <c r="A1193" i="6"/>
  <c r="D1192" i="6"/>
  <c r="A1192" i="6" s="1"/>
  <c r="C1192" i="6"/>
  <c r="D1191" i="6"/>
  <c r="A1191" i="6" s="1"/>
  <c r="C1191" i="6"/>
  <c r="D1190" i="6"/>
  <c r="C1190" i="6"/>
  <c r="A1190" i="6" s="1"/>
  <c r="D1189" i="6"/>
  <c r="C1189" i="6"/>
  <c r="A1189" i="6" s="1"/>
  <c r="D1188" i="6"/>
  <c r="C1188" i="6"/>
  <c r="A1188" i="6"/>
  <c r="D1187" i="6"/>
  <c r="C1187" i="6"/>
  <c r="D1186" i="6"/>
  <c r="C1186" i="6"/>
  <c r="A1186" i="6" s="1"/>
  <c r="D1185" i="6"/>
  <c r="C1185" i="6"/>
  <c r="A1185" i="6"/>
  <c r="D1184" i="6"/>
  <c r="A1184" i="6" s="1"/>
  <c r="C1184" i="6"/>
  <c r="D1183" i="6"/>
  <c r="A1183" i="6" s="1"/>
  <c r="C1183" i="6"/>
  <c r="D1182" i="6"/>
  <c r="C1182" i="6"/>
  <c r="A1182" i="6" s="1"/>
  <c r="D1181" i="6"/>
  <c r="C1181" i="6"/>
  <c r="A1181" i="6" s="1"/>
  <c r="D1180" i="6"/>
  <c r="C1180" i="6"/>
  <c r="A1180" i="6"/>
  <c r="D1179" i="6"/>
  <c r="C1179" i="6"/>
  <c r="D1178" i="6"/>
  <c r="C1178" i="6"/>
  <c r="A1178" i="6" s="1"/>
  <c r="D1177" i="6"/>
  <c r="C1177" i="6"/>
  <c r="A1177" i="6"/>
  <c r="D1176" i="6"/>
  <c r="A1176" i="6" s="1"/>
  <c r="C1176" i="6"/>
  <c r="D1175" i="6"/>
  <c r="A1175" i="6" s="1"/>
  <c r="C1175" i="6"/>
  <c r="D1174" i="6"/>
  <c r="C1174" i="6"/>
  <c r="A1174" i="6" s="1"/>
  <c r="D1173" i="6"/>
  <c r="C1173" i="6"/>
  <c r="A1173" i="6" s="1"/>
  <c r="D1172" i="6"/>
  <c r="C1172" i="6"/>
  <c r="A1172" i="6"/>
  <c r="D1171" i="6"/>
  <c r="C1171" i="6"/>
  <c r="D1170" i="6"/>
  <c r="C1170" i="6"/>
  <c r="A1170" i="6" s="1"/>
  <c r="D1169" i="6"/>
  <c r="C1169" i="6"/>
  <c r="A1169" i="6"/>
  <c r="D1168" i="6"/>
  <c r="A1168" i="6" s="1"/>
  <c r="C1168" i="6"/>
  <c r="D1167" i="6"/>
  <c r="A1167" i="6" s="1"/>
  <c r="C1167" i="6"/>
  <c r="D1166" i="6"/>
  <c r="C1166" i="6"/>
  <c r="A1166" i="6" s="1"/>
  <c r="D1165" i="6"/>
  <c r="C1165" i="6"/>
  <c r="A1165" i="6" s="1"/>
  <c r="D1164" i="6"/>
  <c r="C1164" i="6"/>
  <c r="A1164" i="6"/>
  <c r="D1163" i="6"/>
  <c r="C1163" i="6"/>
  <c r="D1162" i="6"/>
  <c r="C1162" i="6"/>
  <c r="A1162" i="6" s="1"/>
  <c r="D1161" i="6"/>
  <c r="C1161" i="6"/>
  <c r="A1161" i="6"/>
  <c r="D1160" i="6"/>
  <c r="A1160" i="6" s="1"/>
  <c r="C1160" i="6"/>
  <c r="D1159" i="6"/>
  <c r="A1159" i="6" s="1"/>
  <c r="C1159" i="6"/>
  <c r="D1158" i="6"/>
  <c r="C1158" i="6"/>
  <c r="A1158" i="6" s="1"/>
  <c r="D1157" i="6"/>
  <c r="C1157" i="6"/>
  <c r="A1157" i="6" s="1"/>
  <c r="D1156" i="6"/>
  <c r="C1156" i="6"/>
  <c r="A1156" i="6"/>
  <c r="D1155" i="6"/>
  <c r="C1155" i="6"/>
  <c r="D1154" i="6"/>
  <c r="C1154" i="6"/>
  <c r="A1154" i="6" s="1"/>
  <c r="D1153" i="6"/>
  <c r="C1153" i="6"/>
  <c r="A1153" i="6"/>
  <c r="D1152" i="6"/>
  <c r="A1152" i="6" s="1"/>
  <c r="C1152" i="6"/>
  <c r="D1151" i="6"/>
  <c r="A1151" i="6" s="1"/>
  <c r="C1151" i="6"/>
  <c r="D1150" i="6"/>
  <c r="C1150" i="6"/>
  <c r="A1150" i="6" s="1"/>
  <c r="D1149" i="6"/>
  <c r="C1149" i="6"/>
  <c r="A1149" i="6" s="1"/>
  <c r="D1148" i="6"/>
  <c r="C1148" i="6"/>
  <c r="A1148" i="6"/>
  <c r="D1147" i="6"/>
  <c r="C1147" i="6"/>
  <c r="D1146" i="6"/>
  <c r="C1146" i="6"/>
  <c r="A1146" i="6" s="1"/>
  <c r="D1145" i="6"/>
  <c r="C1145" i="6"/>
  <c r="A1145" i="6"/>
  <c r="D1144" i="6"/>
  <c r="A1144" i="6" s="1"/>
  <c r="C1144" i="6"/>
  <c r="D1143" i="6"/>
  <c r="A1143" i="6" s="1"/>
  <c r="C1143" i="6"/>
  <c r="D1142" i="6"/>
  <c r="C1142" i="6"/>
  <c r="A1142" i="6" s="1"/>
  <c r="D1141" i="6"/>
  <c r="C1141" i="6"/>
  <c r="A1141" i="6" s="1"/>
  <c r="D1140" i="6"/>
  <c r="C1140" i="6"/>
  <c r="A1140" i="6"/>
  <c r="D1139" i="6"/>
  <c r="C1139" i="6"/>
  <c r="D1138" i="6"/>
  <c r="C1138" i="6"/>
  <c r="A1138" i="6" s="1"/>
  <c r="D1137" i="6"/>
  <c r="C1137" i="6"/>
  <c r="A1137" i="6"/>
  <c r="D1136" i="6"/>
  <c r="A1136" i="6" s="1"/>
  <c r="C1136" i="6"/>
  <c r="D1135" i="6"/>
  <c r="A1135" i="6" s="1"/>
  <c r="C1135" i="6"/>
  <c r="D1134" i="6"/>
  <c r="C1134" i="6"/>
  <c r="A1134" i="6" s="1"/>
  <c r="D1133" i="6"/>
  <c r="C1133" i="6"/>
  <c r="A1133" i="6" s="1"/>
  <c r="D1132" i="6"/>
  <c r="C1132" i="6"/>
  <c r="A1132" i="6"/>
  <c r="D1131" i="6"/>
  <c r="C1131" i="6"/>
  <c r="D1130" i="6"/>
  <c r="C1130" i="6"/>
  <c r="A1130" i="6" s="1"/>
  <c r="D1129" i="6"/>
  <c r="C1129" i="6"/>
  <c r="A1129" i="6"/>
  <c r="D1128" i="6"/>
  <c r="A1128" i="6" s="1"/>
  <c r="C1128" i="6"/>
  <c r="D1127" i="6"/>
  <c r="A1127" i="6" s="1"/>
  <c r="C1127" i="6"/>
  <c r="D1126" i="6"/>
  <c r="C1126" i="6"/>
  <c r="A1126" i="6" s="1"/>
  <c r="D1125" i="6"/>
  <c r="C1125" i="6"/>
  <c r="A1125" i="6" s="1"/>
  <c r="D1124" i="6"/>
  <c r="C1124" i="6"/>
  <c r="A1124" i="6"/>
  <c r="D1123" i="6"/>
  <c r="C1123" i="6"/>
  <c r="D1122" i="6"/>
  <c r="C1122" i="6"/>
  <c r="A1122" i="6" s="1"/>
  <c r="D1121" i="6"/>
  <c r="C1121" i="6"/>
  <c r="A1121" i="6"/>
  <c r="D1120" i="6"/>
  <c r="A1120" i="6" s="1"/>
  <c r="C1120" i="6"/>
  <c r="D1119" i="6"/>
  <c r="A1119" i="6" s="1"/>
  <c r="C1119" i="6"/>
  <c r="D1118" i="6"/>
  <c r="C1118" i="6"/>
  <c r="A1118" i="6" s="1"/>
  <c r="D1117" i="6"/>
  <c r="C1117" i="6"/>
  <c r="A1117" i="6" s="1"/>
  <c r="D1116" i="6"/>
  <c r="C1116" i="6"/>
  <c r="A1116" i="6"/>
  <c r="D1115" i="6"/>
  <c r="C1115" i="6"/>
  <c r="D1114" i="6"/>
  <c r="C1114" i="6"/>
  <c r="A1114" i="6" s="1"/>
  <c r="D1113" i="6"/>
  <c r="C1113" i="6"/>
  <c r="A1113" i="6"/>
  <c r="D1112" i="6"/>
  <c r="A1112" i="6" s="1"/>
  <c r="C1112" i="6"/>
  <c r="D1111" i="6"/>
  <c r="A1111" i="6" s="1"/>
  <c r="C1111" i="6"/>
  <c r="D1110" i="6"/>
  <c r="C1110" i="6"/>
  <c r="A1110" i="6" s="1"/>
  <c r="D1109" i="6"/>
  <c r="C1109" i="6"/>
  <c r="A1109" i="6" s="1"/>
  <c r="D1108" i="6"/>
  <c r="C1108" i="6"/>
  <c r="A1108" i="6"/>
  <c r="D1107" i="6"/>
  <c r="C1107" i="6"/>
  <c r="D1106" i="6"/>
  <c r="C1106" i="6"/>
  <c r="A1106" i="6" s="1"/>
  <c r="D1105" i="6"/>
  <c r="C1105" i="6"/>
  <c r="A1105" i="6"/>
  <c r="D1104" i="6"/>
  <c r="A1104" i="6" s="1"/>
  <c r="C1104" i="6"/>
  <c r="D1103" i="6"/>
  <c r="A1103" i="6" s="1"/>
  <c r="C1103" i="6"/>
  <c r="D1102" i="6"/>
  <c r="C1102" i="6"/>
  <c r="A1102" i="6" s="1"/>
  <c r="D1101" i="6"/>
  <c r="C1101" i="6"/>
  <c r="A1101" i="6" s="1"/>
  <c r="D1100" i="6"/>
  <c r="C1100" i="6"/>
  <c r="A1100" i="6"/>
  <c r="D1099" i="6"/>
  <c r="C1099" i="6"/>
  <c r="D1098" i="6"/>
  <c r="C1098" i="6"/>
  <c r="A1098" i="6" s="1"/>
  <c r="D1097" i="6"/>
  <c r="C1097" i="6"/>
  <c r="A1097" i="6"/>
  <c r="D1096" i="6"/>
  <c r="A1096" i="6" s="1"/>
  <c r="C1096" i="6"/>
  <c r="D1095" i="6"/>
  <c r="A1095" i="6" s="1"/>
  <c r="C1095" i="6"/>
  <c r="D1094" i="6"/>
  <c r="C1094" i="6"/>
  <c r="A1094" i="6" s="1"/>
  <c r="D1093" i="6"/>
  <c r="C1093" i="6"/>
  <c r="A1093" i="6" s="1"/>
  <c r="D1092" i="6"/>
  <c r="C1092" i="6"/>
  <c r="A1092" i="6"/>
  <c r="D1091" i="6"/>
  <c r="C1091" i="6"/>
  <c r="D1090" i="6"/>
  <c r="C1090" i="6"/>
  <c r="A1090" i="6" s="1"/>
  <c r="D1089" i="6"/>
  <c r="C1089" i="6"/>
  <c r="A1089" i="6"/>
  <c r="D1088" i="6"/>
  <c r="A1088" i="6" s="1"/>
  <c r="C1088" i="6"/>
  <c r="D1087" i="6"/>
  <c r="A1087" i="6" s="1"/>
  <c r="C1087" i="6"/>
  <c r="D1086" i="6"/>
  <c r="C1086" i="6"/>
  <c r="A1086" i="6" s="1"/>
  <c r="D1085" i="6"/>
  <c r="C1085" i="6"/>
  <c r="A1085" i="6" s="1"/>
  <c r="D1084" i="6"/>
  <c r="C1084" i="6"/>
  <c r="A1084" i="6"/>
  <c r="D1083" i="6"/>
  <c r="C1083" i="6"/>
  <c r="D1082" i="6"/>
  <c r="C1082" i="6"/>
  <c r="A1082" i="6" s="1"/>
  <c r="D1081" i="6"/>
  <c r="C1081" i="6"/>
  <c r="A1081" i="6"/>
  <c r="D1080" i="6"/>
  <c r="A1080" i="6" s="1"/>
  <c r="C1080" i="6"/>
  <c r="D1079" i="6"/>
  <c r="A1079" i="6" s="1"/>
  <c r="C1079" i="6"/>
  <c r="D1078" i="6"/>
  <c r="C1078" i="6"/>
  <c r="A1078" i="6" s="1"/>
  <c r="D1077" i="6"/>
  <c r="C1077" i="6"/>
  <c r="A1077" i="6" s="1"/>
  <c r="D1076" i="6"/>
  <c r="C1076" i="6"/>
  <c r="A1076" i="6"/>
  <c r="D1075" i="6"/>
  <c r="C1075" i="6"/>
  <c r="D1074" i="6"/>
  <c r="C1074" i="6"/>
  <c r="A1074" i="6" s="1"/>
  <c r="D1073" i="6"/>
  <c r="C1073" i="6"/>
  <c r="A1073" i="6"/>
  <c r="D1072" i="6"/>
  <c r="A1072" i="6" s="1"/>
  <c r="C1072" i="6"/>
  <c r="D1071" i="6"/>
  <c r="A1071" i="6" s="1"/>
  <c r="C1071" i="6"/>
  <c r="D1070" i="6"/>
  <c r="C1070" i="6"/>
  <c r="A1070" i="6" s="1"/>
  <c r="D1069" i="6"/>
  <c r="C1069" i="6"/>
  <c r="A1069" i="6" s="1"/>
  <c r="D1068" i="6"/>
  <c r="C1068" i="6"/>
  <c r="A1068" i="6"/>
  <c r="D1067" i="6"/>
  <c r="C1067" i="6"/>
  <c r="D1066" i="6"/>
  <c r="C1066" i="6"/>
  <c r="A1066" i="6" s="1"/>
  <c r="D1065" i="6"/>
  <c r="C1065" i="6"/>
  <c r="A1065" i="6"/>
  <c r="D1064" i="6"/>
  <c r="A1064" i="6" s="1"/>
  <c r="C1064" i="6"/>
  <c r="D1063" i="6"/>
  <c r="A1063" i="6" s="1"/>
  <c r="C1063" i="6"/>
  <c r="D1062" i="6"/>
  <c r="C1062" i="6"/>
  <c r="A1062" i="6" s="1"/>
  <c r="D1061" i="6"/>
  <c r="C1061" i="6"/>
  <c r="A1061" i="6" s="1"/>
  <c r="D1060" i="6"/>
  <c r="C1060" i="6"/>
  <c r="A1060" i="6"/>
  <c r="D1059" i="6"/>
  <c r="C1059" i="6"/>
  <c r="D1058" i="6"/>
  <c r="C1058" i="6"/>
  <c r="A1058" i="6" s="1"/>
  <c r="D1057" i="6"/>
  <c r="C1057" i="6"/>
  <c r="A1057" i="6"/>
  <c r="D1056" i="6"/>
  <c r="A1056" i="6" s="1"/>
  <c r="C1056" i="6"/>
  <c r="D1055" i="6"/>
  <c r="A1055" i="6" s="1"/>
  <c r="C1055" i="6"/>
  <c r="D1054" i="6"/>
  <c r="C1054" i="6"/>
  <c r="A1054" i="6" s="1"/>
  <c r="D1053" i="6"/>
  <c r="C1053" i="6"/>
  <c r="A1053" i="6" s="1"/>
  <c r="D1052" i="6"/>
  <c r="C1052" i="6"/>
  <c r="A1052" i="6"/>
  <c r="D1051" i="6"/>
  <c r="C1051" i="6"/>
  <c r="D1050" i="6"/>
  <c r="C1050" i="6"/>
  <c r="A1050" i="6" s="1"/>
  <c r="D1049" i="6"/>
  <c r="C1049" i="6"/>
  <c r="A1049" i="6"/>
  <c r="D1048" i="6"/>
  <c r="A1048" i="6" s="1"/>
  <c r="C1048" i="6"/>
  <c r="D1047" i="6"/>
  <c r="A1047" i="6" s="1"/>
  <c r="C1047" i="6"/>
  <c r="D1046" i="6"/>
  <c r="C1046" i="6"/>
  <c r="A1046" i="6" s="1"/>
  <c r="D1045" i="6"/>
  <c r="C1045" i="6"/>
  <c r="A1045" i="6" s="1"/>
  <c r="D1044" i="6"/>
  <c r="C1044" i="6"/>
  <c r="A1044" i="6"/>
  <c r="D1043" i="6"/>
  <c r="C1043" i="6"/>
  <c r="D1042" i="6"/>
  <c r="C1042" i="6"/>
  <c r="A1042" i="6" s="1"/>
  <c r="D1041" i="6"/>
  <c r="C1041" i="6"/>
  <c r="A1041" i="6"/>
  <c r="D1040" i="6"/>
  <c r="A1040" i="6" s="1"/>
  <c r="C1040" i="6"/>
  <c r="D1039" i="6"/>
  <c r="A1039" i="6" s="1"/>
  <c r="C1039" i="6"/>
  <c r="D1038" i="6"/>
  <c r="C1038" i="6"/>
  <c r="A1038" i="6" s="1"/>
  <c r="D1037" i="6"/>
  <c r="C1037" i="6"/>
  <c r="A1037" i="6" s="1"/>
  <c r="D1036" i="6"/>
  <c r="C1036" i="6"/>
  <c r="A1036" i="6"/>
  <c r="D1035" i="6"/>
  <c r="C1035" i="6"/>
  <c r="D1034" i="6"/>
  <c r="C1034" i="6"/>
  <c r="A1034" i="6" s="1"/>
  <c r="D1033" i="6"/>
  <c r="C1033" i="6"/>
  <c r="A1033" i="6"/>
  <c r="D1032" i="6"/>
  <c r="A1032" i="6" s="1"/>
  <c r="C1032" i="6"/>
  <c r="D1031" i="6"/>
  <c r="A1031" i="6" s="1"/>
  <c r="C1031" i="6"/>
  <c r="D1030" i="6"/>
  <c r="C1030" i="6"/>
  <c r="A1030" i="6" s="1"/>
  <c r="D1029" i="6"/>
  <c r="C1029" i="6"/>
  <c r="A1029" i="6" s="1"/>
  <c r="D1028" i="6"/>
  <c r="C1028" i="6"/>
  <c r="A1028" i="6"/>
  <c r="D1027" i="6"/>
  <c r="C1027" i="6"/>
  <c r="D1026" i="6"/>
  <c r="C1026" i="6"/>
  <c r="A1026" i="6" s="1"/>
  <c r="D1025" i="6"/>
  <c r="C1025" i="6"/>
  <c r="A1025" i="6"/>
  <c r="D1024" i="6"/>
  <c r="A1024" i="6" s="1"/>
  <c r="C1024" i="6"/>
  <c r="D1023" i="6"/>
  <c r="A1023" i="6" s="1"/>
  <c r="C1023" i="6"/>
  <c r="D1022" i="6"/>
  <c r="C1022" i="6"/>
  <c r="A1022" i="6" s="1"/>
  <c r="D1021" i="6"/>
  <c r="C1021" i="6"/>
  <c r="A1021" i="6" s="1"/>
  <c r="D1020" i="6"/>
  <c r="C1020" i="6"/>
  <c r="A1020" i="6"/>
  <c r="D1019" i="6"/>
  <c r="C1019" i="6"/>
  <c r="D1018" i="6"/>
  <c r="C1018" i="6"/>
  <c r="A1018" i="6" s="1"/>
  <c r="D1017" i="6"/>
  <c r="C1017" i="6"/>
  <c r="A1017" i="6"/>
  <c r="D1016" i="6"/>
  <c r="A1016" i="6" s="1"/>
  <c r="C1016" i="6"/>
  <c r="D1015" i="6"/>
  <c r="A1015" i="6" s="1"/>
  <c r="C1015" i="6"/>
  <c r="D1014" i="6"/>
  <c r="C1014" i="6"/>
  <c r="A1014" i="6" s="1"/>
  <c r="D1013" i="6"/>
  <c r="C1013" i="6"/>
  <c r="A1013" i="6" s="1"/>
  <c r="D1012" i="6"/>
  <c r="C1012" i="6"/>
  <c r="A1012" i="6"/>
  <c r="D1011" i="6"/>
  <c r="C1011" i="6"/>
  <c r="D1010" i="6"/>
  <c r="C1010" i="6"/>
  <c r="A1010" i="6" s="1"/>
  <c r="D1009" i="6"/>
  <c r="C1009" i="6"/>
  <c r="A1009" i="6"/>
  <c r="D1008" i="6"/>
  <c r="A1008" i="6" s="1"/>
  <c r="C1008" i="6"/>
  <c r="D1007" i="6"/>
  <c r="A1007" i="6" s="1"/>
  <c r="C1007" i="6"/>
  <c r="D1006" i="6"/>
  <c r="C1006" i="6"/>
  <c r="A1006" i="6" s="1"/>
  <c r="D1005" i="6"/>
  <c r="C1005" i="6"/>
  <c r="A1005" i="6" s="1"/>
  <c r="D1004" i="6"/>
  <c r="C1004" i="6"/>
  <c r="A1004" i="6"/>
  <c r="D1003" i="6"/>
  <c r="C1003" i="6"/>
  <c r="D1002" i="6"/>
  <c r="C1002" i="6"/>
  <c r="A1002" i="6" s="1"/>
  <c r="D1001" i="6"/>
  <c r="C1001" i="6"/>
  <c r="A1001" i="6"/>
  <c r="D1000" i="6"/>
  <c r="A1000" i="6" s="1"/>
  <c r="C1000" i="6"/>
  <c r="D999" i="6"/>
  <c r="A999" i="6" s="1"/>
  <c r="C999" i="6"/>
  <c r="D998" i="6"/>
  <c r="C998" i="6"/>
  <c r="A998" i="6" s="1"/>
  <c r="D997" i="6"/>
  <c r="C997" i="6"/>
  <c r="A997" i="6" s="1"/>
  <c r="D996" i="6"/>
  <c r="C996" i="6"/>
  <c r="A996" i="6"/>
  <c r="D995" i="6"/>
  <c r="C995" i="6"/>
  <c r="D994" i="6"/>
  <c r="C994" i="6"/>
  <c r="A994" i="6" s="1"/>
  <c r="D993" i="6"/>
  <c r="C993" i="6"/>
  <c r="A993" i="6"/>
  <c r="D992" i="6"/>
  <c r="A992" i="6" s="1"/>
  <c r="C992" i="6"/>
  <c r="D991" i="6"/>
  <c r="A991" i="6" s="1"/>
  <c r="C991" i="6"/>
  <c r="D990" i="6"/>
  <c r="C990" i="6"/>
  <c r="A990" i="6" s="1"/>
  <c r="D989" i="6"/>
  <c r="C989" i="6"/>
  <c r="A989" i="6" s="1"/>
  <c r="D988" i="6"/>
  <c r="C988" i="6"/>
  <c r="A988" i="6"/>
  <c r="D987" i="6"/>
  <c r="C987" i="6"/>
  <c r="D986" i="6"/>
  <c r="C986" i="6"/>
  <c r="A986" i="6" s="1"/>
  <c r="D985" i="6"/>
  <c r="C985" i="6"/>
  <c r="A985" i="6"/>
  <c r="D984" i="6"/>
  <c r="A984" i="6" s="1"/>
  <c r="C984" i="6"/>
  <c r="D983" i="6"/>
  <c r="A983" i="6" s="1"/>
  <c r="C983" i="6"/>
  <c r="D982" i="6"/>
  <c r="C982" i="6"/>
  <c r="A982" i="6" s="1"/>
  <c r="D981" i="6"/>
  <c r="C981" i="6"/>
  <c r="A981" i="6" s="1"/>
  <c r="D980" i="6"/>
  <c r="C980" i="6"/>
  <c r="A980" i="6"/>
  <c r="D979" i="6"/>
  <c r="C979" i="6"/>
  <c r="D978" i="6"/>
  <c r="C978" i="6"/>
  <c r="A978" i="6" s="1"/>
  <c r="D977" i="6"/>
  <c r="C977" i="6"/>
  <c r="A977" i="6"/>
  <c r="D976" i="6"/>
  <c r="A976" i="6" s="1"/>
  <c r="C976" i="6"/>
  <c r="D975" i="6"/>
  <c r="A975" i="6" s="1"/>
  <c r="C975" i="6"/>
  <c r="D974" i="6"/>
  <c r="C974" i="6"/>
  <c r="A974" i="6" s="1"/>
  <c r="D973" i="6"/>
  <c r="C973" i="6"/>
  <c r="A973" i="6" s="1"/>
  <c r="D972" i="6"/>
  <c r="C972" i="6"/>
  <c r="A972" i="6"/>
  <c r="D971" i="6"/>
  <c r="C971" i="6"/>
  <c r="D970" i="6"/>
  <c r="C970" i="6"/>
  <c r="A970" i="6" s="1"/>
  <c r="D969" i="6"/>
  <c r="C969" i="6"/>
  <c r="A969" i="6"/>
  <c r="D968" i="6"/>
  <c r="A968" i="6" s="1"/>
  <c r="C968" i="6"/>
  <c r="D967" i="6"/>
  <c r="A967" i="6" s="1"/>
  <c r="C967" i="6"/>
  <c r="D966" i="6"/>
  <c r="C966" i="6"/>
  <c r="A966" i="6" s="1"/>
  <c r="D965" i="6"/>
  <c r="C965" i="6"/>
  <c r="A965" i="6" s="1"/>
  <c r="D964" i="6"/>
  <c r="C964" i="6"/>
  <c r="A964" i="6"/>
  <c r="D963" i="6"/>
  <c r="C963" i="6"/>
  <c r="D962" i="6"/>
  <c r="C962" i="6"/>
  <c r="A962" i="6" s="1"/>
  <c r="D961" i="6"/>
  <c r="C961" i="6"/>
  <c r="A961" i="6"/>
  <c r="D960" i="6"/>
  <c r="A960" i="6" s="1"/>
  <c r="C960" i="6"/>
  <c r="D959" i="6"/>
  <c r="A959" i="6" s="1"/>
  <c r="C959" i="6"/>
  <c r="D958" i="6"/>
  <c r="C958" i="6"/>
  <c r="A958" i="6" s="1"/>
  <c r="D957" i="6"/>
  <c r="C957" i="6"/>
  <c r="A957" i="6" s="1"/>
  <c r="D956" i="6"/>
  <c r="C956" i="6"/>
  <c r="A956" i="6"/>
  <c r="D955" i="6"/>
  <c r="C955" i="6"/>
  <c r="D954" i="6"/>
  <c r="C954" i="6"/>
  <c r="A954" i="6" s="1"/>
  <c r="D953" i="6"/>
  <c r="C953" i="6"/>
  <c r="A953" i="6"/>
  <c r="D952" i="6"/>
  <c r="A952" i="6" s="1"/>
  <c r="C952" i="6"/>
  <c r="D951" i="6"/>
  <c r="A951" i="6" s="1"/>
  <c r="C951" i="6"/>
  <c r="D950" i="6"/>
  <c r="C950" i="6"/>
  <c r="A950" i="6" s="1"/>
  <c r="D949" i="6"/>
  <c r="C949" i="6"/>
  <c r="A949" i="6" s="1"/>
  <c r="D948" i="6"/>
  <c r="C948" i="6"/>
  <c r="A948" i="6"/>
  <c r="D947" i="6"/>
  <c r="C947" i="6"/>
  <c r="D946" i="6"/>
  <c r="C946" i="6"/>
  <c r="A946" i="6" s="1"/>
  <c r="D945" i="6"/>
  <c r="C945" i="6"/>
  <c r="A945" i="6"/>
  <c r="D944" i="6"/>
  <c r="A944" i="6" s="1"/>
  <c r="C944" i="6"/>
  <c r="D943" i="6"/>
  <c r="A943" i="6" s="1"/>
  <c r="C943" i="6"/>
  <c r="D942" i="6"/>
  <c r="C942" i="6"/>
  <c r="A942" i="6" s="1"/>
  <c r="D941" i="6"/>
  <c r="C941" i="6"/>
  <c r="A941" i="6" s="1"/>
  <c r="D940" i="6"/>
  <c r="C940" i="6"/>
  <c r="A940" i="6"/>
  <c r="D939" i="6"/>
  <c r="C939" i="6"/>
  <c r="D938" i="6"/>
  <c r="C938" i="6"/>
  <c r="A938" i="6" s="1"/>
  <c r="D937" i="6"/>
  <c r="C937" i="6"/>
  <c r="A937" i="6"/>
  <c r="D936" i="6"/>
  <c r="A936" i="6" s="1"/>
  <c r="C936" i="6"/>
  <c r="D935" i="6"/>
  <c r="A935" i="6" s="1"/>
  <c r="C935" i="6"/>
  <c r="D934" i="6"/>
  <c r="C934" i="6"/>
  <c r="A934" i="6" s="1"/>
  <c r="D933" i="6"/>
  <c r="C933" i="6"/>
  <c r="A933" i="6" s="1"/>
  <c r="D932" i="6"/>
  <c r="C932" i="6"/>
  <c r="A932" i="6"/>
  <c r="D931" i="6"/>
  <c r="C931" i="6"/>
  <c r="D930" i="6"/>
  <c r="C930" i="6"/>
  <c r="A930" i="6" s="1"/>
  <c r="D929" i="6"/>
  <c r="C929" i="6"/>
  <c r="A929" i="6"/>
  <c r="D928" i="6"/>
  <c r="A928" i="6" s="1"/>
  <c r="C928" i="6"/>
  <c r="D927" i="6"/>
  <c r="A927" i="6" s="1"/>
  <c r="C927" i="6"/>
  <c r="D926" i="6"/>
  <c r="C926" i="6"/>
  <c r="A926" i="6" s="1"/>
  <c r="D925" i="6"/>
  <c r="C925" i="6"/>
  <c r="A925" i="6" s="1"/>
  <c r="D924" i="6"/>
  <c r="C924" i="6"/>
  <c r="A924" i="6"/>
  <c r="D923" i="6"/>
  <c r="C923" i="6"/>
  <c r="D922" i="6"/>
  <c r="C922" i="6"/>
  <c r="A922" i="6" s="1"/>
  <c r="D921" i="6"/>
  <c r="C921" i="6"/>
  <c r="A921" i="6"/>
  <c r="D920" i="6"/>
  <c r="A920" i="6" s="1"/>
  <c r="C920" i="6"/>
  <c r="D919" i="6"/>
  <c r="A919" i="6" s="1"/>
  <c r="C919" i="6"/>
  <c r="D918" i="6"/>
  <c r="C918" i="6"/>
  <c r="A918" i="6" s="1"/>
  <c r="D917" i="6"/>
  <c r="C917" i="6"/>
  <c r="A917" i="6" s="1"/>
  <c r="D916" i="6"/>
  <c r="C916" i="6"/>
  <c r="A916" i="6"/>
  <c r="D915" i="6"/>
  <c r="C915" i="6"/>
  <c r="D914" i="6"/>
  <c r="C914" i="6"/>
  <c r="A914" i="6" s="1"/>
  <c r="D913" i="6"/>
  <c r="C913" i="6"/>
  <c r="A913" i="6"/>
  <c r="D912" i="6"/>
  <c r="A912" i="6" s="1"/>
  <c r="C912" i="6"/>
  <c r="D911" i="6"/>
  <c r="A911" i="6" s="1"/>
  <c r="C911" i="6"/>
  <c r="D910" i="6"/>
  <c r="C910" i="6"/>
  <c r="A910" i="6" s="1"/>
  <c r="D909" i="6"/>
  <c r="C909" i="6"/>
  <c r="A909" i="6" s="1"/>
  <c r="D908" i="6"/>
  <c r="C908" i="6"/>
  <c r="A908" i="6"/>
  <c r="D907" i="6"/>
  <c r="C907" i="6"/>
  <c r="D906" i="6"/>
  <c r="C906" i="6"/>
  <c r="A906" i="6" s="1"/>
  <c r="D905" i="6"/>
  <c r="C905" i="6"/>
  <c r="A905" i="6"/>
  <c r="D904" i="6"/>
  <c r="A904" i="6" s="1"/>
  <c r="C904" i="6"/>
  <c r="D903" i="6"/>
  <c r="A903" i="6" s="1"/>
  <c r="C903" i="6"/>
  <c r="D902" i="6"/>
  <c r="C902" i="6"/>
  <c r="A902" i="6" s="1"/>
  <c r="D901" i="6"/>
  <c r="C901" i="6"/>
  <c r="A901" i="6" s="1"/>
  <c r="D900" i="6"/>
  <c r="C900" i="6"/>
  <c r="A900" i="6"/>
  <c r="D899" i="6"/>
  <c r="C899" i="6"/>
  <c r="D898" i="6"/>
  <c r="C898" i="6"/>
  <c r="A898" i="6" s="1"/>
  <c r="D897" i="6"/>
  <c r="C897" i="6"/>
  <c r="A897" i="6"/>
  <c r="D896" i="6"/>
  <c r="A896" i="6" s="1"/>
  <c r="C896" i="6"/>
  <c r="D895" i="6"/>
  <c r="A895" i="6" s="1"/>
  <c r="C895" i="6"/>
  <c r="D894" i="6"/>
  <c r="C894" i="6"/>
  <c r="A894" i="6" s="1"/>
  <c r="D893" i="6"/>
  <c r="C893" i="6"/>
  <c r="A893" i="6" s="1"/>
  <c r="D892" i="6"/>
  <c r="C892" i="6"/>
  <c r="A892" i="6"/>
  <c r="D891" i="6"/>
  <c r="C891" i="6"/>
  <c r="D890" i="6"/>
  <c r="C890" i="6"/>
  <c r="A890" i="6" s="1"/>
  <c r="D889" i="6"/>
  <c r="C889" i="6"/>
  <c r="A889" i="6"/>
  <c r="D888" i="6"/>
  <c r="A888" i="6" s="1"/>
  <c r="C888" i="6"/>
  <c r="D887" i="6"/>
  <c r="A887" i="6" s="1"/>
  <c r="C887" i="6"/>
  <c r="D886" i="6"/>
  <c r="C886" i="6"/>
  <c r="A886" i="6" s="1"/>
  <c r="D885" i="6"/>
  <c r="C885" i="6"/>
  <c r="A885" i="6" s="1"/>
  <c r="D884" i="6"/>
  <c r="C884" i="6"/>
  <c r="A884" i="6"/>
  <c r="D883" i="6"/>
  <c r="C883" i="6"/>
  <c r="D882" i="6"/>
  <c r="C882" i="6"/>
  <c r="A882" i="6" s="1"/>
  <c r="D881" i="6"/>
  <c r="C881" i="6"/>
  <c r="A881" i="6"/>
  <c r="D880" i="6"/>
  <c r="A880" i="6" s="1"/>
  <c r="C880" i="6"/>
  <c r="D879" i="6"/>
  <c r="A879" i="6" s="1"/>
  <c r="C879" i="6"/>
  <c r="D878" i="6"/>
  <c r="C878" i="6"/>
  <c r="A878" i="6" s="1"/>
  <c r="D877" i="6"/>
  <c r="C877" i="6"/>
  <c r="A877" i="6"/>
  <c r="D876" i="6"/>
  <c r="C876" i="6"/>
  <c r="A876" i="6"/>
  <c r="D875" i="6"/>
  <c r="C875" i="6"/>
  <c r="A875" i="6" s="1"/>
  <c r="D874" i="6"/>
  <c r="C874" i="6"/>
  <c r="A874" i="6" s="1"/>
  <c r="D873" i="6"/>
  <c r="C873" i="6"/>
  <c r="A873" i="6"/>
  <c r="D872" i="6"/>
  <c r="A872" i="6" s="1"/>
  <c r="C872" i="6"/>
  <c r="D871" i="6"/>
  <c r="A871" i="6" s="1"/>
  <c r="C871" i="6"/>
  <c r="D870" i="6"/>
  <c r="C870" i="6"/>
  <c r="A870" i="6" s="1"/>
  <c r="D869" i="6"/>
  <c r="C869" i="6"/>
  <c r="A869" i="6"/>
  <c r="D868" i="6"/>
  <c r="C868" i="6"/>
  <c r="A868" i="6"/>
  <c r="D867" i="6"/>
  <c r="C867" i="6"/>
  <c r="D866" i="6"/>
  <c r="C866" i="6"/>
  <c r="A866" i="6" s="1"/>
  <c r="D865" i="6"/>
  <c r="C865" i="6"/>
  <c r="A865" i="6"/>
  <c r="D864" i="6"/>
  <c r="A864" i="6" s="1"/>
  <c r="C864" i="6"/>
  <c r="D863" i="6"/>
  <c r="A863" i="6" s="1"/>
  <c r="C863" i="6"/>
  <c r="D862" i="6"/>
  <c r="C862" i="6"/>
  <c r="A862" i="6" s="1"/>
  <c r="D861" i="6"/>
  <c r="C861" i="6"/>
  <c r="A861" i="6"/>
  <c r="D860" i="6"/>
  <c r="C860" i="6"/>
  <c r="A860" i="6"/>
  <c r="D859" i="6"/>
  <c r="C859" i="6"/>
  <c r="A859" i="6" s="1"/>
  <c r="D858" i="6"/>
  <c r="C858" i="6"/>
  <c r="A858" i="6" s="1"/>
  <c r="D857" i="6"/>
  <c r="C857" i="6"/>
  <c r="A857" i="6"/>
  <c r="D856" i="6"/>
  <c r="A856" i="6" s="1"/>
  <c r="C856" i="6"/>
  <c r="D855" i="6"/>
  <c r="A855" i="6" s="1"/>
  <c r="C855" i="6"/>
  <c r="D854" i="6"/>
  <c r="C854" i="6"/>
  <c r="A854" i="6" s="1"/>
  <c r="D853" i="6"/>
  <c r="C853" i="6"/>
  <c r="A853" i="6"/>
  <c r="D852" i="6"/>
  <c r="C852" i="6"/>
  <c r="A852" i="6"/>
  <c r="D851" i="6"/>
  <c r="C851" i="6"/>
  <c r="D850" i="6"/>
  <c r="C850" i="6"/>
  <c r="A850" i="6" s="1"/>
  <c r="D849" i="6"/>
  <c r="C849" i="6"/>
  <c r="A849" i="6"/>
  <c r="D848" i="6"/>
  <c r="A848" i="6" s="1"/>
  <c r="C848" i="6"/>
  <c r="D847" i="6"/>
  <c r="A847" i="6" s="1"/>
  <c r="C847" i="6"/>
  <c r="D846" i="6"/>
  <c r="C846" i="6"/>
  <c r="A846" i="6" s="1"/>
  <c r="D845" i="6"/>
  <c r="C845" i="6"/>
  <c r="A845" i="6"/>
  <c r="D844" i="6"/>
  <c r="C844" i="6"/>
  <c r="A844" i="6"/>
  <c r="D843" i="6"/>
  <c r="C843" i="6"/>
  <c r="A843" i="6" s="1"/>
  <c r="D842" i="6"/>
  <c r="C842" i="6"/>
  <c r="A842" i="6" s="1"/>
  <c r="D841" i="6"/>
  <c r="C841" i="6"/>
  <c r="A841" i="6"/>
  <c r="D840" i="6"/>
  <c r="A840" i="6" s="1"/>
  <c r="C840" i="6"/>
  <c r="D839" i="6"/>
  <c r="A839" i="6" s="1"/>
  <c r="C839" i="6"/>
  <c r="D838" i="6"/>
  <c r="C838" i="6"/>
  <c r="A838" i="6" s="1"/>
  <c r="D837" i="6"/>
  <c r="C837" i="6"/>
  <c r="A837" i="6"/>
  <c r="D836" i="6"/>
  <c r="C836" i="6"/>
  <c r="A836" i="6"/>
  <c r="D835" i="6"/>
  <c r="C835" i="6"/>
  <c r="D834" i="6"/>
  <c r="C834" i="6"/>
  <c r="A834" i="6" s="1"/>
  <c r="D833" i="6"/>
  <c r="C833" i="6"/>
  <c r="A833" i="6"/>
  <c r="D832" i="6"/>
  <c r="A832" i="6" s="1"/>
  <c r="C832" i="6"/>
  <c r="D831" i="6"/>
  <c r="A831" i="6" s="1"/>
  <c r="C831" i="6"/>
  <c r="D830" i="6"/>
  <c r="C830" i="6"/>
  <c r="A830" i="6" s="1"/>
  <c r="D829" i="6"/>
  <c r="C829" i="6"/>
  <c r="A829" i="6"/>
  <c r="D828" i="6"/>
  <c r="C828" i="6"/>
  <c r="A828" i="6"/>
  <c r="D827" i="6"/>
  <c r="C827" i="6"/>
  <c r="A827" i="6" s="1"/>
  <c r="D826" i="6"/>
  <c r="C826" i="6"/>
  <c r="A826" i="6" s="1"/>
  <c r="D825" i="6"/>
  <c r="C825" i="6"/>
  <c r="A825" i="6"/>
  <c r="D824" i="6"/>
  <c r="A824" i="6" s="1"/>
  <c r="C824" i="6"/>
  <c r="D823" i="6"/>
  <c r="A823" i="6" s="1"/>
  <c r="C823" i="6"/>
  <c r="D822" i="6"/>
  <c r="C822" i="6"/>
  <c r="A822" i="6" s="1"/>
  <c r="D821" i="6"/>
  <c r="C821" i="6"/>
  <c r="A821" i="6"/>
  <c r="D820" i="6"/>
  <c r="C820" i="6"/>
  <c r="A820" i="6"/>
  <c r="D819" i="6"/>
  <c r="C819" i="6"/>
  <c r="D818" i="6"/>
  <c r="C818" i="6"/>
  <c r="A818" i="6" s="1"/>
  <c r="D817" i="6"/>
  <c r="C817" i="6"/>
  <c r="A817" i="6"/>
  <c r="D816" i="6"/>
  <c r="A816" i="6" s="1"/>
  <c r="C816" i="6"/>
  <c r="D815" i="6"/>
  <c r="A815" i="6" s="1"/>
  <c r="C815" i="6"/>
  <c r="D814" i="6"/>
  <c r="C814" i="6"/>
  <c r="A814" i="6" s="1"/>
  <c r="D813" i="6"/>
  <c r="C813" i="6"/>
  <c r="A813" i="6"/>
  <c r="D812" i="6"/>
  <c r="C812" i="6"/>
  <c r="A812" i="6"/>
  <c r="D811" i="6"/>
  <c r="C811" i="6"/>
  <c r="A811" i="6" s="1"/>
  <c r="D810" i="6"/>
  <c r="C810" i="6"/>
  <c r="A810" i="6" s="1"/>
  <c r="D809" i="6"/>
  <c r="C809" i="6"/>
  <c r="A809" i="6"/>
  <c r="D808" i="6"/>
  <c r="A808" i="6" s="1"/>
  <c r="C808" i="6"/>
  <c r="D807" i="6"/>
  <c r="A807" i="6" s="1"/>
  <c r="C807" i="6"/>
  <c r="D806" i="6"/>
  <c r="C806" i="6"/>
  <c r="A806" i="6" s="1"/>
  <c r="D805" i="6"/>
  <c r="C805" i="6"/>
  <c r="A805" i="6"/>
  <c r="D804" i="6"/>
  <c r="C804" i="6"/>
  <c r="A804" i="6"/>
  <c r="D803" i="6"/>
  <c r="C803" i="6"/>
  <c r="D802" i="6"/>
  <c r="C802" i="6"/>
  <c r="A802" i="6" s="1"/>
  <c r="D801" i="6"/>
  <c r="C801" i="6"/>
  <c r="A801" i="6"/>
  <c r="D800" i="6"/>
  <c r="A800" i="6" s="1"/>
  <c r="C800" i="6"/>
  <c r="D799" i="6"/>
  <c r="A799" i="6" s="1"/>
  <c r="C799" i="6"/>
  <c r="D798" i="6"/>
  <c r="C798" i="6"/>
  <c r="A798" i="6" s="1"/>
  <c r="D797" i="6"/>
  <c r="C797" i="6"/>
  <c r="A797" i="6"/>
  <c r="D796" i="6"/>
  <c r="C796" i="6"/>
  <c r="A796" i="6"/>
  <c r="D795" i="6"/>
  <c r="C795" i="6"/>
  <c r="A795" i="6" s="1"/>
  <c r="D794" i="6"/>
  <c r="C794" i="6"/>
  <c r="A794" i="6" s="1"/>
  <c r="D793" i="6"/>
  <c r="C793" i="6"/>
  <c r="A793" i="6"/>
  <c r="D792" i="6"/>
  <c r="A792" i="6" s="1"/>
  <c r="C792" i="6"/>
  <c r="D791" i="6"/>
  <c r="A791" i="6" s="1"/>
  <c r="C791" i="6"/>
  <c r="D790" i="6"/>
  <c r="C790" i="6"/>
  <c r="A790" i="6" s="1"/>
  <c r="D789" i="6"/>
  <c r="C789" i="6"/>
  <c r="A789" i="6"/>
  <c r="D788" i="6"/>
  <c r="C788" i="6"/>
  <c r="A788" i="6"/>
  <c r="D787" i="6"/>
  <c r="C787" i="6"/>
  <c r="D786" i="6"/>
  <c r="C786" i="6"/>
  <c r="A786" i="6" s="1"/>
  <c r="D785" i="6"/>
  <c r="C785" i="6"/>
  <c r="A785" i="6"/>
  <c r="D784" i="6"/>
  <c r="A784" i="6" s="1"/>
  <c r="C784" i="6"/>
  <c r="D783" i="6"/>
  <c r="A783" i="6" s="1"/>
  <c r="C783" i="6"/>
  <c r="D782" i="6"/>
  <c r="C782" i="6"/>
  <c r="A782" i="6" s="1"/>
  <c r="D781" i="6"/>
  <c r="C781" i="6"/>
  <c r="A781" i="6"/>
  <c r="D780" i="6"/>
  <c r="C780" i="6"/>
  <c r="A780" i="6"/>
  <c r="D779" i="6"/>
  <c r="C779" i="6"/>
  <c r="A779" i="6" s="1"/>
  <c r="D778" i="6"/>
  <c r="C778" i="6"/>
  <c r="A778" i="6" s="1"/>
  <c r="D777" i="6"/>
  <c r="C777" i="6"/>
  <c r="A777" i="6"/>
  <c r="D776" i="6"/>
  <c r="A776" i="6" s="1"/>
  <c r="C776" i="6"/>
  <c r="D775" i="6"/>
  <c r="A775" i="6" s="1"/>
  <c r="C775" i="6"/>
  <c r="D774" i="6"/>
  <c r="C774" i="6"/>
  <c r="A774" i="6" s="1"/>
  <c r="D773" i="6"/>
  <c r="C773" i="6"/>
  <c r="A773" i="6"/>
  <c r="D772" i="6"/>
  <c r="C772" i="6"/>
  <c r="A772" i="6"/>
  <c r="D771" i="6"/>
  <c r="C771" i="6"/>
  <c r="D770" i="6"/>
  <c r="C770" i="6"/>
  <c r="A770" i="6" s="1"/>
  <c r="D769" i="6"/>
  <c r="C769" i="6"/>
  <c r="A769" i="6"/>
  <c r="D768" i="6"/>
  <c r="A768" i="6" s="1"/>
  <c r="C768" i="6"/>
  <c r="D767" i="6"/>
  <c r="A767" i="6" s="1"/>
  <c r="C767" i="6"/>
  <c r="D766" i="6"/>
  <c r="C766" i="6"/>
  <c r="A766" i="6" s="1"/>
  <c r="D765" i="6"/>
  <c r="C765" i="6"/>
  <c r="A765" i="6"/>
  <c r="D764" i="6"/>
  <c r="C764" i="6"/>
  <c r="A764" i="6"/>
  <c r="D763" i="6"/>
  <c r="C763" i="6"/>
  <c r="A763" i="6" s="1"/>
  <c r="D762" i="6"/>
  <c r="C762" i="6"/>
  <c r="A762" i="6" s="1"/>
  <c r="D761" i="6"/>
  <c r="C761" i="6"/>
  <c r="A761" i="6"/>
  <c r="D760" i="6"/>
  <c r="A760" i="6" s="1"/>
  <c r="C760" i="6"/>
  <c r="D759" i="6"/>
  <c r="A759" i="6" s="1"/>
  <c r="C759" i="6"/>
  <c r="D758" i="6"/>
  <c r="C758" i="6"/>
  <c r="A758" i="6" s="1"/>
  <c r="D757" i="6"/>
  <c r="C757" i="6"/>
  <c r="A757" i="6"/>
  <c r="D756" i="6"/>
  <c r="C756" i="6"/>
  <c r="A756" i="6"/>
  <c r="D755" i="6"/>
  <c r="C755" i="6"/>
  <c r="D754" i="6"/>
  <c r="C754" i="6"/>
  <c r="A754" i="6" s="1"/>
  <c r="D753" i="6"/>
  <c r="C753" i="6"/>
  <c r="A753" i="6"/>
  <c r="D752" i="6"/>
  <c r="A752" i="6" s="1"/>
  <c r="C752" i="6"/>
  <c r="D751" i="6"/>
  <c r="A751" i="6" s="1"/>
  <c r="C751" i="6"/>
  <c r="D750" i="6"/>
  <c r="C750" i="6"/>
  <c r="A750" i="6" s="1"/>
  <c r="D749" i="6"/>
  <c r="C749" i="6"/>
  <c r="A749" i="6"/>
  <c r="D748" i="6"/>
  <c r="C748" i="6"/>
  <c r="A748" i="6"/>
  <c r="D747" i="6"/>
  <c r="C747" i="6"/>
  <c r="A747" i="6" s="1"/>
  <c r="D746" i="6"/>
  <c r="C746" i="6"/>
  <c r="A746" i="6" s="1"/>
  <c r="D745" i="6"/>
  <c r="C745" i="6"/>
  <c r="A745" i="6"/>
  <c r="D744" i="6"/>
  <c r="A744" i="6" s="1"/>
  <c r="C744" i="6"/>
  <c r="D743" i="6"/>
  <c r="A743" i="6" s="1"/>
  <c r="C743" i="6"/>
  <c r="D742" i="6"/>
  <c r="C742" i="6"/>
  <c r="A742" i="6" s="1"/>
  <c r="D741" i="6"/>
  <c r="C741" i="6"/>
  <c r="A741" i="6"/>
  <c r="D740" i="6"/>
  <c r="C740" i="6"/>
  <c r="A740" i="6"/>
  <c r="D739" i="6"/>
  <c r="C739" i="6"/>
  <c r="D738" i="6"/>
  <c r="C738" i="6"/>
  <c r="A738" i="6" s="1"/>
  <c r="D737" i="6"/>
  <c r="C737" i="6"/>
  <c r="A737" i="6"/>
  <c r="D736" i="6"/>
  <c r="A736" i="6" s="1"/>
  <c r="C736" i="6"/>
  <c r="D735" i="6"/>
  <c r="A735" i="6" s="1"/>
  <c r="C735" i="6"/>
  <c r="D734" i="6"/>
  <c r="C734" i="6"/>
  <c r="A734" i="6" s="1"/>
  <c r="D733" i="6"/>
  <c r="C733" i="6"/>
  <c r="A733" i="6"/>
  <c r="D732" i="6"/>
  <c r="C732" i="6"/>
  <c r="A732" i="6"/>
  <c r="D731" i="6"/>
  <c r="C731" i="6"/>
  <c r="A731" i="6" s="1"/>
  <c r="D730" i="6"/>
  <c r="C730" i="6"/>
  <c r="A730" i="6" s="1"/>
  <c r="D729" i="6"/>
  <c r="C729" i="6"/>
  <c r="A729" i="6"/>
  <c r="D728" i="6"/>
  <c r="A728" i="6" s="1"/>
  <c r="C728" i="6"/>
  <c r="D727" i="6"/>
  <c r="A727" i="6" s="1"/>
  <c r="C727" i="6"/>
  <c r="D726" i="6"/>
  <c r="C726" i="6"/>
  <c r="A726" i="6" s="1"/>
  <c r="D725" i="6"/>
  <c r="C725" i="6"/>
  <c r="A725" i="6"/>
  <c r="D724" i="6"/>
  <c r="C724" i="6"/>
  <c r="A724" i="6"/>
  <c r="D723" i="6"/>
  <c r="C723" i="6"/>
  <c r="D722" i="6"/>
  <c r="C722" i="6"/>
  <c r="A722" i="6" s="1"/>
  <c r="D721" i="6"/>
  <c r="C721" i="6"/>
  <c r="A721" i="6"/>
  <c r="D720" i="6"/>
  <c r="A720" i="6" s="1"/>
  <c r="C720" i="6"/>
  <c r="D719" i="6"/>
  <c r="A719" i="6" s="1"/>
  <c r="C719" i="6"/>
  <c r="D718" i="6"/>
  <c r="C718" i="6"/>
  <c r="A718" i="6" s="1"/>
  <c r="D717" i="6"/>
  <c r="C717" i="6"/>
  <c r="A717" i="6"/>
  <c r="D716" i="6"/>
  <c r="C716" i="6"/>
  <c r="A716" i="6"/>
  <c r="D715" i="6"/>
  <c r="C715" i="6"/>
  <c r="A715" i="6" s="1"/>
  <c r="D714" i="6"/>
  <c r="C714" i="6"/>
  <c r="A714" i="6" s="1"/>
  <c r="D713" i="6"/>
  <c r="C713" i="6"/>
  <c r="A713" i="6"/>
  <c r="D712" i="6"/>
  <c r="A712" i="6" s="1"/>
  <c r="C712" i="6"/>
  <c r="D711" i="6"/>
  <c r="A711" i="6" s="1"/>
  <c r="C711" i="6"/>
  <c r="D710" i="6"/>
  <c r="C710" i="6"/>
  <c r="A710" i="6" s="1"/>
  <c r="D709" i="6"/>
  <c r="C709" i="6"/>
  <c r="A709" i="6"/>
  <c r="D708" i="6"/>
  <c r="C708" i="6"/>
  <c r="A708" i="6"/>
  <c r="D707" i="6"/>
  <c r="C707" i="6"/>
  <c r="D706" i="6"/>
  <c r="C706" i="6"/>
  <c r="A706" i="6" s="1"/>
  <c r="D705" i="6"/>
  <c r="C705" i="6"/>
  <c r="A705" i="6"/>
  <c r="D704" i="6"/>
  <c r="A704" i="6" s="1"/>
  <c r="C704" i="6"/>
  <c r="D703" i="6"/>
  <c r="A703" i="6" s="1"/>
  <c r="C703" i="6"/>
  <c r="D702" i="6"/>
  <c r="C702" i="6"/>
  <c r="A702" i="6" s="1"/>
  <c r="D701" i="6"/>
  <c r="C701" i="6"/>
  <c r="A701" i="6"/>
  <c r="D700" i="6"/>
  <c r="C700" i="6"/>
  <c r="A700" i="6"/>
  <c r="D699" i="6"/>
  <c r="C699" i="6"/>
  <c r="A699" i="6" s="1"/>
  <c r="D698" i="6"/>
  <c r="C698" i="6"/>
  <c r="A698" i="6" s="1"/>
  <c r="D697" i="6"/>
  <c r="C697" i="6"/>
  <c r="A697" i="6"/>
  <c r="D696" i="6"/>
  <c r="A696" i="6" s="1"/>
  <c r="C696" i="6"/>
  <c r="D695" i="6"/>
  <c r="A695" i="6" s="1"/>
  <c r="C695" i="6"/>
  <c r="D694" i="6"/>
  <c r="C694" i="6"/>
  <c r="A694" i="6" s="1"/>
  <c r="D693" i="6"/>
  <c r="C693" i="6"/>
  <c r="A693" i="6"/>
  <c r="D692" i="6"/>
  <c r="C692" i="6"/>
  <c r="A692" i="6"/>
  <c r="D691" i="6"/>
  <c r="C691" i="6"/>
  <c r="D690" i="6"/>
  <c r="C690" i="6"/>
  <c r="A690" i="6" s="1"/>
  <c r="D689" i="6"/>
  <c r="C689" i="6"/>
  <c r="A689" i="6"/>
  <c r="D688" i="6"/>
  <c r="A688" i="6" s="1"/>
  <c r="C688" i="6"/>
  <c r="D687" i="6"/>
  <c r="A687" i="6" s="1"/>
  <c r="C687" i="6"/>
  <c r="D686" i="6"/>
  <c r="C686" i="6"/>
  <c r="A686" i="6" s="1"/>
  <c r="D685" i="6"/>
  <c r="C685" i="6"/>
  <c r="A685" i="6"/>
  <c r="D684" i="6"/>
  <c r="C684" i="6"/>
  <c r="A684" i="6"/>
  <c r="D683" i="6"/>
  <c r="C683" i="6"/>
  <c r="A683" i="6" s="1"/>
  <c r="D682" i="6"/>
  <c r="C682" i="6"/>
  <c r="A682" i="6" s="1"/>
  <c r="D681" i="6"/>
  <c r="C681" i="6"/>
  <c r="A681" i="6"/>
  <c r="D680" i="6"/>
  <c r="A680" i="6" s="1"/>
  <c r="C680" i="6"/>
  <c r="D679" i="6"/>
  <c r="A679" i="6" s="1"/>
  <c r="C679" i="6"/>
  <c r="D678" i="6"/>
  <c r="C678" i="6"/>
  <c r="A678" i="6" s="1"/>
  <c r="D677" i="6"/>
  <c r="C677" i="6"/>
  <c r="A677" i="6"/>
  <c r="D676" i="6"/>
  <c r="C676" i="6"/>
  <c r="A676" i="6"/>
  <c r="D675" i="6"/>
  <c r="C675" i="6"/>
  <c r="D674" i="6"/>
  <c r="C674" i="6"/>
  <c r="A674" i="6" s="1"/>
  <c r="D673" i="6"/>
  <c r="C673" i="6"/>
  <c r="A673" i="6"/>
  <c r="D672" i="6"/>
  <c r="A672" i="6" s="1"/>
  <c r="C672" i="6"/>
  <c r="D671" i="6"/>
  <c r="A671" i="6" s="1"/>
  <c r="C671" i="6"/>
  <c r="D670" i="6"/>
  <c r="C670" i="6"/>
  <c r="A670" i="6" s="1"/>
  <c r="D669" i="6"/>
  <c r="C669" i="6"/>
  <c r="A669" i="6"/>
  <c r="D668" i="6"/>
  <c r="C668" i="6"/>
  <c r="A668" i="6"/>
  <c r="D667" i="6"/>
  <c r="C667" i="6"/>
  <c r="A667" i="6" s="1"/>
  <c r="D666" i="6"/>
  <c r="C666" i="6"/>
  <c r="A666" i="6" s="1"/>
  <c r="D665" i="6"/>
  <c r="C665" i="6"/>
  <c r="A665" i="6"/>
  <c r="D664" i="6"/>
  <c r="A664" i="6" s="1"/>
  <c r="C664" i="6"/>
  <c r="D663" i="6"/>
  <c r="A663" i="6" s="1"/>
  <c r="C663" i="6"/>
  <c r="D662" i="6"/>
  <c r="C662" i="6"/>
  <c r="A662" i="6" s="1"/>
  <c r="D661" i="6"/>
  <c r="C661" i="6"/>
  <c r="A661" i="6" s="1"/>
  <c r="D660" i="6"/>
  <c r="C660" i="6"/>
  <c r="A660" i="6"/>
  <c r="D659" i="6"/>
  <c r="C659" i="6"/>
  <c r="A659" i="6" s="1"/>
  <c r="D658" i="6"/>
  <c r="C658" i="6"/>
  <c r="A658" i="6" s="1"/>
  <c r="D657" i="6"/>
  <c r="C657" i="6"/>
  <c r="A657" i="6"/>
  <c r="D656" i="6"/>
  <c r="A656" i="6" s="1"/>
  <c r="C656" i="6"/>
  <c r="D655" i="6"/>
  <c r="A655" i="6" s="1"/>
  <c r="C655" i="6"/>
  <c r="D654" i="6"/>
  <c r="C654" i="6"/>
  <c r="A654" i="6" s="1"/>
  <c r="D653" i="6"/>
  <c r="C653" i="6"/>
  <c r="A653" i="6"/>
  <c r="D652" i="6"/>
  <c r="C652" i="6"/>
  <c r="A652" i="6"/>
  <c r="D651" i="6"/>
  <c r="C651" i="6"/>
  <c r="D650" i="6"/>
  <c r="C650" i="6"/>
  <c r="A650" i="6" s="1"/>
  <c r="D649" i="6"/>
  <c r="C649" i="6"/>
  <c r="A649" i="6"/>
  <c r="D648" i="6"/>
  <c r="A648" i="6" s="1"/>
  <c r="C648" i="6"/>
  <c r="D647" i="6"/>
  <c r="A647" i="6" s="1"/>
  <c r="C647" i="6"/>
  <c r="D646" i="6"/>
  <c r="C646" i="6"/>
  <c r="A646" i="6" s="1"/>
  <c r="D645" i="6"/>
  <c r="C645" i="6"/>
  <c r="A645" i="6"/>
  <c r="D644" i="6"/>
  <c r="C644" i="6"/>
  <c r="A644" i="6"/>
  <c r="D643" i="6"/>
  <c r="C643" i="6"/>
  <c r="A643" i="6" s="1"/>
  <c r="D642" i="6"/>
  <c r="C642" i="6"/>
  <c r="A642" i="6" s="1"/>
  <c r="D641" i="6"/>
  <c r="C641" i="6"/>
  <c r="A641" i="6"/>
  <c r="D640" i="6"/>
  <c r="A640" i="6" s="1"/>
  <c r="C640" i="6"/>
  <c r="D639" i="6"/>
  <c r="A639" i="6" s="1"/>
  <c r="C639" i="6"/>
  <c r="D638" i="6"/>
  <c r="C638" i="6"/>
  <c r="A638" i="6" s="1"/>
  <c r="D637" i="6"/>
  <c r="C637" i="6"/>
  <c r="A637" i="6"/>
  <c r="D636" i="6"/>
  <c r="C636" i="6"/>
  <c r="A636" i="6"/>
  <c r="D635" i="6"/>
  <c r="C635" i="6"/>
  <c r="D634" i="6"/>
  <c r="C634" i="6"/>
  <c r="A634" i="6" s="1"/>
  <c r="D633" i="6"/>
  <c r="C633" i="6"/>
  <c r="A633" i="6"/>
  <c r="D632" i="6"/>
  <c r="A632" i="6" s="1"/>
  <c r="C632" i="6"/>
  <c r="D631" i="6"/>
  <c r="A631" i="6" s="1"/>
  <c r="C631" i="6"/>
  <c r="D630" i="6"/>
  <c r="C630" i="6"/>
  <c r="A630" i="6" s="1"/>
  <c r="D629" i="6"/>
  <c r="C629" i="6"/>
  <c r="A629" i="6"/>
  <c r="D628" i="6"/>
  <c r="C628" i="6"/>
  <c r="A628" i="6"/>
  <c r="D627" i="6"/>
  <c r="C627" i="6"/>
  <c r="A627" i="6" s="1"/>
  <c r="D626" i="6"/>
  <c r="C626" i="6"/>
  <c r="A626" i="6" s="1"/>
  <c r="D625" i="6"/>
  <c r="C625" i="6"/>
  <c r="A625" i="6"/>
  <c r="D624" i="6"/>
  <c r="A624" i="6" s="1"/>
  <c r="C624" i="6"/>
  <c r="D623" i="6"/>
  <c r="A623" i="6" s="1"/>
  <c r="C623" i="6"/>
  <c r="D622" i="6"/>
  <c r="C622" i="6"/>
  <c r="A622" i="6" s="1"/>
  <c r="D621" i="6"/>
  <c r="C621" i="6"/>
  <c r="A621" i="6"/>
  <c r="D620" i="6"/>
  <c r="C620" i="6"/>
  <c r="A620" i="6"/>
  <c r="D619" i="6"/>
  <c r="C619" i="6"/>
  <c r="D618" i="6"/>
  <c r="C618" i="6"/>
  <c r="A618" i="6" s="1"/>
  <c r="D617" i="6"/>
  <c r="C617" i="6"/>
  <c r="A617" i="6"/>
  <c r="D616" i="6"/>
  <c r="A616" i="6" s="1"/>
  <c r="C616" i="6"/>
  <c r="D615" i="6"/>
  <c r="A615" i="6" s="1"/>
  <c r="C615" i="6"/>
  <c r="D614" i="6"/>
  <c r="C614" i="6"/>
  <c r="A614" i="6" s="1"/>
  <c r="D613" i="6"/>
  <c r="C613" i="6"/>
  <c r="A613" i="6"/>
  <c r="D612" i="6"/>
  <c r="C612" i="6"/>
  <c r="A612" i="6"/>
  <c r="D611" i="6"/>
  <c r="C611" i="6"/>
  <c r="A611" i="6" s="1"/>
  <c r="D610" i="6"/>
  <c r="C610" i="6"/>
  <c r="A610" i="6" s="1"/>
  <c r="D609" i="6"/>
  <c r="C609" i="6"/>
  <c r="A609" i="6"/>
  <c r="D608" i="6"/>
  <c r="A608" i="6" s="1"/>
  <c r="C608" i="6"/>
  <c r="D607" i="6"/>
  <c r="A607" i="6" s="1"/>
  <c r="C607" i="6"/>
  <c r="D606" i="6"/>
  <c r="C606" i="6"/>
  <c r="A606" i="6" s="1"/>
  <c r="D605" i="6"/>
  <c r="C605" i="6"/>
  <c r="A605" i="6"/>
  <c r="D604" i="6"/>
  <c r="C604" i="6"/>
  <c r="A604" i="6"/>
  <c r="D603" i="6"/>
  <c r="C603" i="6"/>
  <c r="D602" i="6"/>
  <c r="C602" i="6"/>
  <c r="A602" i="6" s="1"/>
  <c r="D601" i="6"/>
  <c r="C601" i="6"/>
  <c r="A601" i="6"/>
  <c r="D600" i="6"/>
  <c r="A600" i="6" s="1"/>
  <c r="C600" i="6"/>
  <c r="D599" i="6"/>
  <c r="A599" i="6" s="1"/>
  <c r="C599" i="6"/>
  <c r="D598" i="6"/>
  <c r="C598" i="6"/>
  <c r="A598" i="6" s="1"/>
  <c r="D597" i="6"/>
  <c r="C597" i="6"/>
  <c r="A597" i="6"/>
  <c r="D596" i="6"/>
  <c r="C596" i="6"/>
  <c r="A596" i="6"/>
  <c r="D595" i="6"/>
  <c r="C595" i="6"/>
  <c r="A595" i="6" s="1"/>
  <c r="D594" i="6"/>
  <c r="C594" i="6"/>
  <c r="A594" i="6" s="1"/>
  <c r="D593" i="6"/>
  <c r="C593" i="6"/>
  <c r="A593" i="6"/>
  <c r="D592" i="6"/>
  <c r="A592" i="6" s="1"/>
  <c r="C592" i="6"/>
  <c r="D591" i="6"/>
  <c r="A591" i="6" s="1"/>
  <c r="C591" i="6"/>
  <c r="D590" i="6"/>
  <c r="C590" i="6"/>
  <c r="A590" i="6" s="1"/>
  <c r="D589" i="6"/>
  <c r="C589" i="6"/>
  <c r="A589" i="6"/>
  <c r="D588" i="6"/>
  <c r="C588" i="6"/>
  <c r="A588" i="6"/>
  <c r="D587" i="6"/>
  <c r="C587" i="6"/>
  <c r="D586" i="6"/>
  <c r="C586" i="6"/>
  <c r="A586" i="6" s="1"/>
  <c r="D585" i="6"/>
  <c r="C585" i="6"/>
  <c r="A585" i="6"/>
  <c r="D584" i="6"/>
  <c r="A584" i="6" s="1"/>
  <c r="C584" i="6"/>
  <c r="D583" i="6"/>
  <c r="A583" i="6" s="1"/>
  <c r="C583" i="6"/>
  <c r="D582" i="6"/>
  <c r="C582" i="6"/>
  <c r="A582" i="6" s="1"/>
  <c r="D581" i="6"/>
  <c r="C581" i="6"/>
  <c r="A581" i="6"/>
  <c r="D580" i="6"/>
  <c r="C580" i="6"/>
  <c r="A580" i="6"/>
  <c r="D579" i="6"/>
  <c r="C579" i="6"/>
  <c r="A579" i="6" s="1"/>
  <c r="D578" i="6"/>
  <c r="C578" i="6"/>
  <c r="A578" i="6" s="1"/>
  <c r="D577" i="6"/>
  <c r="C577" i="6"/>
  <c r="A577" i="6"/>
  <c r="D576" i="6"/>
  <c r="A576" i="6" s="1"/>
  <c r="C576" i="6"/>
  <c r="D575" i="6"/>
  <c r="A575" i="6" s="1"/>
  <c r="C575" i="6"/>
  <c r="D574" i="6"/>
  <c r="C574" i="6"/>
  <c r="A574" i="6" s="1"/>
  <c r="D573" i="6"/>
  <c r="C573" i="6"/>
  <c r="A573" i="6"/>
  <c r="D572" i="6"/>
  <c r="C572" i="6"/>
  <c r="A572" i="6"/>
  <c r="D571" i="6"/>
  <c r="C571" i="6"/>
  <c r="D570" i="6"/>
  <c r="C570" i="6"/>
  <c r="A570" i="6" s="1"/>
  <c r="D569" i="6"/>
  <c r="C569" i="6"/>
  <c r="A569" i="6"/>
  <c r="D568" i="6"/>
  <c r="A568" i="6" s="1"/>
  <c r="C568" i="6"/>
  <c r="D567" i="6"/>
  <c r="A567" i="6" s="1"/>
  <c r="C567" i="6"/>
  <c r="D566" i="6"/>
  <c r="C566" i="6"/>
  <c r="A566" i="6" s="1"/>
  <c r="D565" i="6"/>
  <c r="C565" i="6"/>
  <c r="A565" i="6"/>
  <c r="D564" i="6"/>
  <c r="C564" i="6"/>
  <c r="A564" i="6"/>
  <c r="D563" i="6"/>
  <c r="C563" i="6"/>
  <c r="A563" i="6" s="1"/>
  <c r="D562" i="6"/>
  <c r="C562" i="6"/>
  <c r="A562" i="6" s="1"/>
  <c r="D561" i="6"/>
  <c r="C561" i="6"/>
  <c r="A561" i="6"/>
  <c r="D560" i="6"/>
  <c r="A560" i="6" s="1"/>
  <c r="C560" i="6"/>
  <c r="D559" i="6"/>
  <c r="A559" i="6" s="1"/>
  <c r="C559" i="6"/>
  <c r="D558" i="6"/>
  <c r="C558" i="6"/>
  <c r="A558" i="6" s="1"/>
  <c r="D557" i="6"/>
  <c r="C557" i="6"/>
  <c r="A557" i="6"/>
  <c r="D556" i="6"/>
  <c r="C556" i="6"/>
  <c r="A556" i="6"/>
  <c r="D555" i="6"/>
  <c r="C555" i="6"/>
  <c r="D554" i="6"/>
  <c r="C554" i="6"/>
  <c r="A554" i="6" s="1"/>
  <c r="D553" i="6"/>
  <c r="C553" i="6"/>
  <c r="A553" i="6"/>
  <c r="D552" i="6"/>
  <c r="A552" i="6" s="1"/>
  <c r="C552" i="6"/>
  <c r="D551" i="6"/>
  <c r="A551" i="6" s="1"/>
  <c r="C551" i="6"/>
  <c r="D550" i="6"/>
  <c r="C550" i="6"/>
  <c r="A550" i="6" s="1"/>
  <c r="D549" i="6"/>
  <c r="C549" i="6"/>
  <c r="A549" i="6"/>
  <c r="D548" i="6"/>
  <c r="C548" i="6"/>
  <c r="A548" i="6"/>
  <c r="D547" i="6"/>
  <c r="C547" i="6"/>
  <c r="A547" i="6" s="1"/>
  <c r="D546" i="6"/>
  <c r="C546" i="6"/>
  <c r="A546" i="6" s="1"/>
  <c r="D545" i="6"/>
  <c r="C545" i="6"/>
  <c r="A545" i="6"/>
  <c r="D544" i="6"/>
  <c r="A544" i="6" s="1"/>
  <c r="C544" i="6"/>
  <c r="D543" i="6"/>
  <c r="A543" i="6" s="1"/>
  <c r="C543" i="6"/>
  <c r="D542" i="6"/>
  <c r="C542" i="6"/>
  <c r="A542" i="6"/>
  <c r="D541" i="6"/>
  <c r="C541" i="6"/>
  <c r="A541" i="6"/>
  <c r="D540" i="6"/>
  <c r="C540" i="6"/>
  <c r="A540" i="6"/>
  <c r="D539" i="6"/>
  <c r="C539" i="6"/>
  <c r="A539" i="6" s="1"/>
  <c r="D538" i="6"/>
  <c r="C538" i="6"/>
  <c r="A538" i="6" s="1"/>
  <c r="D537" i="6"/>
  <c r="C537" i="6"/>
  <c r="A537" i="6"/>
  <c r="D536" i="6"/>
  <c r="A536" i="6" s="1"/>
  <c r="C536" i="6"/>
  <c r="D535" i="6"/>
  <c r="A535" i="6" s="1"/>
  <c r="C535" i="6"/>
  <c r="D534" i="6"/>
  <c r="C534" i="6"/>
  <c r="A534" i="6"/>
  <c r="D533" i="6"/>
  <c r="C533" i="6"/>
  <c r="A533" i="6"/>
  <c r="D532" i="6"/>
  <c r="C532" i="6"/>
  <c r="A532" i="6"/>
  <c r="D531" i="6"/>
  <c r="C531" i="6"/>
  <c r="A531" i="6" s="1"/>
  <c r="D530" i="6"/>
  <c r="C530" i="6"/>
  <c r="A530" i="6" s="1"/>
  <c r="D529" i="6"/>
  <c r="C529" i="6"/>
  <c r="A529" i="6"/>
  <c r="D528" i="6"/>
  <c r="A528" i="6" s="1"/>
  <c r="C528" i="6"/>
  <c r="D527" i="6"/>
  <c r="A527" i="6" s="1"/>
  <c r="C527" i="6"/>
  <c r="D526" i="6"/>
  <c r="C526" i="6"/>
  <c r="A526" i="6"/>
  <c r="D525" i="6"/>
  <c r="C525" i="6"/>
  <c r="A525" i="6"/>
  <c r="D524" i="6"/>
  <c r="C524" i="6"/>
  <c r="A524" i="6"/>
  <c r="D523" i="6"/>
  <c r="C523" i="6"/>
  <c r="A523" i="6" s="1"/>
  <c r="D522" i="6"/>
  <c r="C522" i="6"/>
  <c r="A522" i="6" s="1"/>
  <c r="D521" i="6"/>
  <c r="C521" i="6"/>
  <c r="A521" i="6"/>
  <c r="D520" i="6"/>
  <c r="A520" i="6" s="1"/>
  <c r="C520" i="6"/>
  <c r="D519" i="6"/>
  <c r="A519" i="6" s="1"/>
  <c r="C519" i="6"/>
  <c r="D518" i="6"/>
  <c r="C518" i="6"/>
  <c r="A518" i="6"/>
  <c r="D517" i="6"/>
  <c r="C517" i="6"/>
  <c r="A517" i="6"/>
  <c r="D516" i="6"/>
  <c r="C516" i="6"/>
  <c r="A516" i="6"/>
  <c r="D515" i="6"/>
  <c r="C515" i="6"/>
  <c r="A515" i="6" s="1"/>
  <c r="D514" i="6"/>
  <c r="C514" i="6"/>
  <c r="A514" i="6" s="1"/>
  <c r="D513" i="6"/>
  <c r="C513" i="6"/>
  <c r="A513" i="6"/>
  <c r="D512" i="6"/>
  <c r="A512" i="6" s="1"/>
  <c r="C512" i="6"/>
  <c r="D511" i="6"/>
  <c r="A511" i="6" s="1"/>
  <c r="C511" i="6"/>
  <c r="D510" i="6"/>
  <c r="C510" i="6"/>
  <c r="A510" i="6"/>
  <c r="D509" i="6"/>
  <c r="C509" i="6"/>
  <c r="A509" i="6"/>
  <c r="D508" i="6"/>
  <c r="C508" i="6"/>
  <c r="A508" i="6"/>
  <c r="D507" i="6"/>
  <c r="C507" i="6"/>
  <c r="A507" i="6" s="1"/>
  <c r="D506" i="6"/>
  <c r="C506" i="6"/>
  <c r="A506" i="6" s="1"/>
  <c r="D505" i="6"/>
  <c r="C505" i="6"/>
  <c r="A505" i="6"/>
  <c r="D504" i="6"/>
  <c r="A504" i="6" s="1"/>
  <c r="C504" i="6"/>
  <c r="D503" i="6"/>
  <c r="A503" i="6" s="1"/>
  <c r="C503" i="6"/>
  <c r="D502" i="6"/>
  <c r="C502" i="6"/>
  <c r="A502" i="6"/>
  <c r="D501" i="6"/>
  <c r="C501" i="6"/>
  <c r="A501" i="6"/>
  <c r="D500" i="6"/>
  <c r="C500" i="6"/>
  <c r="A500" i="6"/>
  <c r="D499" i="6"/>
  <c r="C499" i="6"/>
  <c r="A499" i="6" s="1"/>
  <c r="D498" i="6"/>
  <c r="C498" i="6"/>
  <c r="A498" i="6" s="1"/>
  <c r="D497" i="6"/>
  <c r="C497" i="6"/>
  <c r="A497" i="6"/>
  <c r="D496" i="6"/>
  <c r="A496" i="6" s="1"/>
  <c r="C496" i="6"/>
  <c r="D495" i="6"/>
  <c r="A495" i="6" s="1"/>
  <c r="C495" i="6"/>
  <c r="D494" i="6"/>
  <c r="C494" i="6"/>
  <c r="A494" i="6"/>
  <c r="D493" i="6"/>
  <c r="C493" i="6"/>
  <c r="A493" i="6"/>
  <c r="D492" i="6"/>
  <c r="C492" i="6"/>
  <c r="A492" i="6"/>
  <c r="D491" i="6"/>
  <c r="C491" i="6"/>
  <c r="A491" i="6" s="1"/>
  <c r="D490" i="6"/>
  <c r="C490" i="6"/>
  <c r="A490" i="6" s="1"/>
  <c r="D489" i="6"/>
  <c r="C489" i="6"/>
  <c r="A489" i="6"/>
  <c r="D488" i="6"/>
  <c r="A488" i="6" s="1"/>
  <c r="C488" i="6"/>
  <c r="D487" i="6"/>
  <c r="A487" i="6" s="1"/>
  <c r="C487" i="6"/>
  <c r="D486" i="6"/>
  <c r="C486" i="6"/>
  <c r="A486" i="6"/>
  <c r="D485" i="6"/>
  <c r="C485" i="6"/>
  <c r="A485" i="6"/>
  <c r="D484" i="6"/>
  <c r="C484" i="6"/>
  <c r="A484" i="6"/>
  <c r="D483" i="6"/>
  <c r="C483" i="6"/>
  <c r="A483" i="6" s="1"/>
  <c r="D482" i="6"/>
  <c r="C482" i="6"/>
  <c r="A482" i="6" s="1"/>
  <c r="D481" i="6"/>
  <c r="C481" i="6"/>
  <c r="A481" i="6"/>
  <c r="D480" i="6"/>
  <c r="A480" i="6" s="1"/>
  <c r="C480" i="6"/>
  <c r="D479" i="6"/>
  <c r="A479" i="6" s="1"/>
  <c r="C479" i="6"/>
  <c r="D478" i="6"/>
  <c r="C478" i="6"/>
  <c r="A478" i="6"/>
  <c r="D477" i="6"/>
  <c r="C477" i="6"/>
  <c r="A477" i="6"/>
  <c r="D476" i="6"/>
  <c r="C476" i="6"/>
  <c r="A476" i="6"/>
  <c r="D475" i="6"/>
  <c r="C475" i="6"/>
  <c r="A475" i="6" s="1"/>
  <c r="D474" i="6"/>
  <c r="C474" i="6"/>
  <c r="A474" i="6" s="1"/>
  <c r="D473" i="6"/>
  <c r="C473" i="6"/>
  <c r="A473" i="6"/>
  <c r="D472" i="6"/>
  <c r="A472" i="6" s="1"/>
  <c r="C472" i="6"/>
  <c r="D471" i="6"/>
  <c r="A471" i="6" s="1"/>
  <c r="C471" i="6"/>
  <c r="D470" i="6"/>
  <c r="C470" i="6"/>
  <c r="A470" i="6"/>
  <c r="D469" i="6"/>
  <c r="C469" i="6"/>
  <c r="A469" i="6"/>
  <c r="D468" i="6"/>
  <c r="C468" i="6"/>
  <c r="A468" i="6"/>
  <c r="D467" i="6"/>
  <c r="C467" i="6"/>
  <c r="A467" i="6" s="1"/>
  <c r="D466" i="6"/>
  <c r="C466" i="6"/>
  <c r="A466" i="6" s="1"/>
  <c r="D465" i="6"/>
  <c r="C465" i="6"/>
  <c r="A465" i="6"/>
  <c r="D464" i="6"/>
  <c r="A464" i="6" s="1"/>
  <c r="C464" i="6"/>
  <c r="D463" i="6"/>
  <c r="A463" i="6" s="1"/>
  <c r="C463" i="6"/>
  <c r="D462" i="6"/>
  <c r="C462" i="6"/>
  <c r="A462" i="6"/>
  <c r="D461" i="6"/>
  <c r="C461" i="6"/>
  <c r="A461" i="6"/>
  <c r="D460" i="6"/>
  <c r="C460" i="6"/>
  <c r="A460" i="6"/>
  <c r="D459" i="6"/>
  <c r="C459" i="6"/>
  <c r="A459" i="6" s="1"/>
  <c r="D458" i="6"/>
  <c r="C458" i="6"/>
  <c r="A458" i="6" s="1"/>
  <c r="D457" i="6"/>
  <c r="C457" i="6"/>
  <c r="A457" i="6"/>
  <c r="D456" i="6"/>
  <c r="A456" i="6" s="1"/>
  <c r="C456" i="6"/>
  <c r="D455" i="6"/>
  <c r="A455" i="6" s="1"/>
  <c r="C455" i="6"/>
  <c r="D454" i="6"/>
  <c r="C454" i="6"/>
  <c r="A454" i="6"/>
  <c r="D453" i="6"/>
  <c r="C453" i="6"/>
  <c r="A453" i="6"/>
  <c r="D452" i="6"/>
  <c r="C452" i="6"/>
  <c r="A452" i="6"/>
  <c r="D451" i="6"/>
  <c r="C451" i="6"/>
  <c r="A451" i="6" s="1"/>
  <c r="D450" i="6"/>
  <c r="C450" i="6"/>
  <c r="A450" i="6" s="1"/>
  <c r="D449" i="6"/>
  <c r="C449" i="6"/>
  <c r="A449" i="6"/>
  <c r="D448" i="6"/>
  <c r="A448" i="6" s="1"/>
  <c r="C448" i="6"/>
  <c r="D447" i="6"/>
  <c r="A447" i="6" s="1"/>
  <c r="C447" i="6"/>
  <c r="D446" i="6"/>
  <c r="C446" i="6"/>
  <c r="A446" i="6"/>
  <c r="D445" i="6"/>
  <c r="C445" i="6"/>
  <c r="A445" i="6"/>
  <c r="D444" i="6"/>
  <c r="C444" i="6"/>
  <c r="A444" i="6"/>
  <c r="D443" i="6"/>
  <c r="C443" i="6"/>
  <c r="A443" i="6" s="1"/>
  <c r="D442" i="6"/>
  <c r="C442" i="6"/>
  <c r="A442" i="6" s="1"/>
  <c r="D441" i="6"/>
  <c r="C441" i="6"/>
  <c r="A441" i="6"/>
  <c r="D440" i="6"/>
  <c r="A440" i="6" s="1"/>
  <c r="C440" i="6"/>
  <c r="D439" i="6"/>
  <c r="A439" i="6" s="1"/>
  <c r="C439" i="6"/>
  <c r="D438" i="6"/>
  <c r="C438" i="6"/>
  <c r="A438" i="6"/>
  <c r="D437" i="6"/>
  <c r="C437" i="6"/>
  <c r="A437" i="6"/>
  <c r="D436" i="6"/>
  <c r="C436" i="6"/>
  <c r="A436" i="6"/>
  <c r="D435" i="6"/>
  <c r="C435" i="6"/>
  <c r="A435" i="6" s="1"/>
  <c r="D434" i="6"/>
  <c r="C434" i="6"/>
  <c r="A434" i="6" s="1"/>
  <c r="D433" i="6"/>
  <c r="C433" i="6"/>
  <c r="A433" i="6"/>
  <c r="D432" i="6"/>
  <c r="A432" i="6" s="1"/>
  <c r="C432" i="6"/>
  <c r="D431" i="6"/>
  <c r="A431" i="6" s="1"/>
  <c r="C431" i="6"/>
  <c r="D430" i="6"/>
  <c r="C430" i="6"/>
  <c r="A430" i="6"/>
  <c r="D429" i="6"/>
  <c r="C429" i="6"/>
  <c r="A429" i="6"/>
  <c r="D428" i="6"/>
  <c r="C428" i="6"/>
  <c r="A428" i="6"/>
  <c r="D427" i="6"/>
  <c r="C427" i="6"/>
  <c r="A427" i="6" s="1"/>
  <c r="D426" i="6"/>
  <c r="C426" i="6"/>
  <c r="A426" i="6" s="1"/>
  <c r="D425" i="6"/>
  <c r="C425" i="6"/>
  <c r="A425" i="6"/>
  <c r="D424" i="6"/>
  <c r="A424" i="6" s="1"/>
  <c r="C424" i="6"/>
  <c r="D423" i="6"/>
  <c r="A423" i="6" s="1"/>
  <c r="C423" i="6"/>
  <c r="D422" i="6"/>
  <c r="C422" i="6"/>
  <c r="A422" i="6"/>
  <c r="D421" i="6"/>
  <c r="C421" i="6"/>
  <c r="A421" i="6"/>
  <c r="D420" i="6"/>
  <c r="C420" i="6"/>
  <c r="A420" i="6"/>
  <c r="D419" i="6"/>
  <c r="C419" i="6"/>
  <c r="A419" i="6" s="1"/>
  <c r="D418" i="6"/>
  <c r="C418" i="6"/>
  <c r="A418" i="6" s="1"/>
  <c r="D417" i="6"/>
  <c r="C417" i="6"/>
  <c r="A417" i="6"/>
  <c r="D416" i="6"/>
  <c r="A416" i="6" s="1"/>
  <c r="C416" i="6"/>
  <c r="D415" i="6"/>
  <c r="A415" i="6" s="1"/>
  <c r="C415" i="6"/>
  <c r="D414" i="6"/>
  <c r="C414" i="6"/>
  <c r="A414" i="6"/>
  <c r="D413" i="6"/>
  <c r="C413" i="6"/>
  <c r="A413" i="6"/>
  <c r="D412" i="6"/>
  <c r="C412" i="6"/>
  <c r="A412" i="6"/>
  <c r="D411" i="6"/>
  <c r="C411" i="6"/>
  <c r="A411" i="6" s="1"/>
  <c r="D410" i="6"/>
  <c r="C410" i="6"/>
  <c r="A410" i="6" s="1"/>
  <c r="D409" i="6"/>
  <c r="C409" i="6"/>
  <c r="A409" i="6"/>
  <c r="D408" i="6"/>
  <c r="C408" i="6"/>
  <c r="A408" i="6"/>
  <c r="D407" i="6"/>
  <c r="A407" i="6" s="1"/>
  <c r="C407" i="6"/>
  <c r="D406" i="6"/>
  <c r="C406" i="6"/>
  <c r="A406" i="6" s="1"/>
  <c r="D405" i="6"/>
  <c r="C405" i="6"/>
  <c r="A405" i="6"/>
  <c r="D404" i="6"/>
  <c r="C404" i="6"/>
  <c r="A404" i="6"/>
  <c r="D403" i="6"/>
  <c r="C403" i="6"/>
  <c r="D402" i="6"/>
  <c r="C402" i="6"/>
  <c r="D401" i="6"/>
  <c r="C401" i="6"/>
  <c r="A401" i="6"/>
  <c r="D400" i="6"/>
  <c r="A400" i="6" s="1"/>
  <c r="C400" i="6"/>
  <c r="D399" i="6"/>
  <c r="A399" i="6" s="1"/>
  <c r="C399" i="6"/>
  <c r="D398" i="6"/>
  <c r="C398" i="6"/>
  <c r="A398" i="6"/>
  <c r="D397" i="6"/>
  <c r="C397" i="6"/>
  <c r="A397" i="6" s="1"/>
  <c r="D396" i="6"/>
  <c r="C396" i="6"/>
  <c r="A396" i="6"/>
  <c r="D395" i="6"/>
  <c r="C395" i="6"/>
  <c r="A395" i="6" s="1"/>
  <c r="D394" i="6"/>
  <c r="C394" i="6"/>
  <c r="A394" i="6" s="1"/>
  <c r="D393" i="6"/>
  <c r="C393" i="6"/>
  <c r="A393" i="6"/>
  <c r="D392" i="6"/>
  <c r="A392" i="6" s="1"/>
  <c r="C392" i="6"/>
  <c r="D391" i="6"/>
  <c r="A391" i="6" s="1"/>
  <c r="C391" i="6"/>
  <c r="D390" i="6"/>
  <c r="C390" i="6"/>
  <c r="A390" i="6" s="1"/>
  <c r="D389" i="6"/>
  <c r="C389" i="6"/>
  <c r="A389" i="6"/>
  <c r="D388" i="6"/>
  <c r="C388" i="6"/>
  <c r="A388" i="6"/>
  <c r="D387" i="6"/>
  <c r="C387" i="6"/>
  <c r="D386" i="6"/>
  <c r="C386" i="6"/>
  <c r="D385" i="6"/>
  <c r="C385" i="6"/>
  <c r="A385" i="6"/>
  <c r="D384" i="6"/>
  <c r="C384" i="6"/>
  <c r="A384" i="6"/>
  <c r="D383" i="6"/>
  <c r="A383" i="6" s="1"/>
  <c r="C383" i="6"/>
  <c r="D382" i="6"/>
  <c r="A382" i="6" s="1"/>
  <c r="C382" i="6"/>
  <c r="D381" i="6"/>
  <c r="C381" i="6"/>
  <c r="A381" i="6" s="1"/>
  <c r="D380" i="6"/>
  <c r="C380" i="6"/>
  <c r="A380" i="6"/>
  <c r="D379" i="6"/>
  <c r="C379" i="6"/>
  <c r="A379" i="6" s="1"/>
  <c r="D378" i="6"/>
  <c r="C378" i="6"/>
  <c r="A378" i="6" s="1"/>
  <c r="D377" i="6"/>
  <c r="C377" i="6"/>
  <c r="A377" i="6" s="1"/>
  <c r="D376" i="6"/>
  <c r="A376" i="6" s="1"/>
  <c r="C376" i="6"/>
  <c r="D375" i="6"/>
  <c r="A375" i="6" s="1"/>
  <c r="C375" i="6"/>
  <c r="D374" i="6"/>
  <c r="C374" i="6"/>
  <c r="A374" i="6" s="1"/>
  <c r="D373" i="6"/>
  <c r="C373" i="6"/>
  <c r="A373" i="6"/>
  <c r="D372" i="6"/>
  <c r="C372" i="6"/>
  <c r="A372" i="6"/>
  <c r="D371" i="6"/>
  <c r="C371" i="6"/>
  <c r="D370" i="6"/>
  <c r="C370" i="6"/>
  <c r="D369" i="6"/>
  <c r="C369" i="6"/>
  <c r="A369" i="6"/>
  <c r="D368" i="6"/>
  <c r="A368" i="6" s="1"/>
  <c r="C368" i="6"/>
  <c r="D367" i="6"/>
  <c r="A367" i="6" s="1"/>
  <c r="C367" i="6"/>
  <c r="D366" i="6"/>
  <c r="A366" i="6" s="1"/>
  <c r="C366" i="6"/>
  <c r="D365" i="6"/>
  <c r="C365" i="6"/>
  <c r="A365" i="6" s="1"/>
  <c r="D364" i="6"/>
  <c r="C364" i="6"/>
  <c r="A364" i="6"/>
  <c r="D363" i="6"/>
  <c r="C363" i="6"/>
  <c r="A363" i="6" s="1"/>
  <c r="D362" i="6"/>
  <c r="C362" i="6"/>
  <c r="A362" i="6" s="1"/>
  <c r="D361" i="6"/>
  <c r="C361" i="6"/>
  <c r="A361" i="6" s="1"/>
  <c r="D360" i="6"/>
  <c r="A360" i="6" s="1"/>
  <c r="C360" i="6"/>
  <c r="D359" i="6"/>
  <c r="A359" i="6" s="1"/>
  <c r="C359" i="6"/>
  <c r="D358" i="6"/>
  <c r="C358" i="6"/>
  <c r="A358" i="6" s="1"/>
  <c r="D357" i="6"/>
  <c r="C357" i="6"/>
  <c r="A357" i="6"/>
  <c r="D356" i="6"/>
  <c r="C356" i="6"/>
  <c r="A356" i="6"/>
  <c r="D355" i="6"/>
  <c r="C355" i="6"/>
  <c r="D354" i="6"/>
  <c r="C354" i="6"/>
  <c r="D353" i="6"/>
  <c r="C353" i="6"/>
  <c r="A353" i="6"/>
  <c r="D352" i="6"/>
  <c r="C352" i="6"/>
  <c r="A352" i="6"/>
  <c r="D351" i="6"/>
  <c r="A351" i="6" s="1"/>
  <c r="C351" i="6"/>
  <c r="D350" i="6"/>
  <c r="A350" i="6" s="1"/>
  <c r="C350" i="6"/>
  <c r="D349" i="6"/>
  <c r="C349" i="6"/>
  <c r="A349" i="6" s="1"/>
  <c r="D348" i="6"/>
  <c r="C348" i="6"/>
  <c r="A348" i="6"/>
  <c r="D347" i="6"/>
  <c r="C347" i="6"/>
  <c r="A347" i="6" s="1"/>
  <c r="D346" i="6"/>
  <c r="C346" i="6"/>
  <c r="A346" i="6" s="1"/>
  <c r="D345" i="6"/>
  <c r="C345" i="6"/>
  <c r="A345" i="6" s="1"/>
  <c r="D344" i="6"/>
  <c r="A344" i="6" s="1"/>
  <c r="C344" i="6"/>
  <c r="D343" i="6"/>
  <c r="A343" i="6" s="1"/>
  <c r="C343" i="6"/>
  <c r="D342" i="6"/>
  <c r="C342" i="6"/>
  <c r="A342" i="6" s="1"/>
  <c r="D341" i="6"/>
  <c r="C341" i="6"/>
  <c r="A341" i="6"/>
  <c r="D340" i="6"/>
  <c r="C340" i="6"/>
  <c r="A340" i="6"/>
  <c r="D339" i="6"/>
  <c r="C339" i="6"/>
  <c r="D338" i="6"/>
  <c r="C338" i="6"/>
  <c r="D337" i="6"/>
  <c r="C337" i="6"/>
  <c r="A337" i="6"/>
  <c r="D336" i="6"/>
  <c r="A336" i="6" s="1"/>
  <c r="C336" i="6"/>
  <c r="D335" i="6"/>
  <c r="A335" i="6" s="1"/>
  <c r="C335" i="6"/>
  <c r="D334" i="6"/>
  <c r="A334" i="6" s="1"/>
  <c r="C334" i="6"/>
  <c r="D333" i="6"/>
  <c r="C333" i="6"/>
  <c r="A333" i="6" s="1"/>
  <c r="D332" i="6"/>
  <c r="C332" i="6"/>
  <c r="A332" i="6"/>
  <c r="D331" i="6"/>
  <c r="C331" i="6"/>
  <c r="A331" i="6" s="1"/>
  <c r="D330" i="6"/>
  <c r="C330" i="6"/>
  <c r="A330" i="6" s="1"/>
  <c r="D329" i="6"/>
  <c r="C329" i="6"/>
  <c r="A329" i="6" s="1"/>
  <c r="D328" i="6"/>
  <c r="C328" i="6"/>
  <c r="A328" i="6"/>
  <c r="D327" i="6"/>
  <c r="A327" i="6" s="1"/>
  <c r="C327" i="6"/>
  <c r="D326" i="6"/>
  <c r="C326" i="6"/>
  <c r="A326" i="6" s="1"/>
  <c r="D325" i="6"/>
  <c r="C325" i="6"/>
  <c r="A325" i="6"/>
  <c r="D324" i="6"/>
  <c r="C324" i="6"/>
  <c r="A324" i="6"/>
  <c r="D323" i="6"/>
  <c r="C323" i="6"/>
  <c r="D322" i="6"/>
  <c r="C322" i="6"/>
  <c r="D321" i="6"/>
  <c r="C321" i="6"/>
  <c r="A321" i="6"/>
  <c r="D320" i="6"/>
  <c r="C320" i="6"/>
  <c r="A320" i="6"/>
  <c r="D319" i="6"/>
  <c r="A319" i="6" s="1"/>
  <c r="C319" i="6"/>
  <c r="D318" i="6"/>
  <c r="A318" i="6" s="1"/>
  <c r="C318" i="6"/>
  <c r="D317" i="6"/>
  <c r="C317" i="6"/>
  <c r="A317" i="6" s="1"/>
  <c r="D316" i="6"/>
  <c r="C316" i="6"/>
  <c r="A316" i="6"/>
  <c r="D315" i="6"/>
  <c r="C315" i="6"/>
  <c r="A315" i="6" s="1"/>
  <c r="D314" i="6"/>
  <c r="C314" i="6"/>
  <c r="A314" i="6" s="1"/>
  <c r="D313" i="6"/>
  <c r="C313" i="6"/>
  <c r="A313" i="6" s="1"/>
  <c r="D312" i="6"/>
  <c r="A312" i="6" s="1"/>
  <c r="C312" i="6"/>
  <c r="D311" i="6"/>
  <c r="A311" i="6" s="1"/>
  <c r="C311" i="6"/>
  <c r="D310" i="6"/>
  <c r="C310" i="6"/>
  <c r="A310" i="6" s="1"/>
  <c r="D309" i="6"/>
  <c r="C309" i="6"/>
  <c r="A309" i="6"/>
  <c r="D308" i="6"/>
  <c r="C308" i="6"/>
  <c r="A308" i="6"/>
  <c r="D307" i="6"/>
  <c r="C307" i="6"/>
  <c r="D306" i="6"/>
  <c r="C306" i="6"/>
  <c r="D305" i="6"/>
  <c r="C305" i="6"/>
  <c r="A305" i="6"/>
  <c r="D304" i="6"/>
  <c r="A304" i="6" s="1"/>
  <c r="C304" i="6"/>
  <c r="D303" i="6"/>
  <c r="A303" i="6" s="1"/>
  <c r="C303" i="6"/>
  <c r="D302" i="6"/>
  <c r="A302" i="6" s="1"/>
  <c r="C302" i="6"/>
  <c r="D301" i="6"/>
  <c r="C301" i="6"/>
  <c r="A301" i="6" s="1"/>
  <c r="D300" i="6"/>
  <c r="C300" i="6"/>
  <c r="A300" i="6"/>
  <c r="D299" i="6"/>
  <c r="C299" i="6"/>
  <c r="A299" i="6" s="1"/>
  <c r="D298" i="6"/>
  <c r="C298" i="6"/>
  <c r="A298" i="6" s="1"/>
  <c r="D297" i="6"/>
  <c r="C297" i="6"/>
  <c r="A297" i="6" s="1"/>
  <c r="D296" i="6"/>
  <c r="A296" i="6" s="1"/>
  <c r="C296" i="6"/>
  <c r="D295" i="6"/>
  <c r="A295" i="6" s="1"/>
  <c r="C295" i="6"/>
  <c r="D294" i="6"/>
  <c r="C294" i="6"/>
  <c r="A294" i="6" s="1"/>
  <c r="D293" i="6"/>
  <c r="C293" i="6"/>
  <c r="A293" i="6"/>
  <c r="D292" i="6"/>
  <c r="C292" i="6"/>
  <c r="A292" i="6"/>
  <c r="D291" i="6"/>
  <c r="C291" i="6"/>
  <c r="D290" i="6"/>
  <c r="C290" i="6"/>
  <c r="D289" i="6"/>
  <c r="C289" i="6"/>
  <c r="A289" i="6"/>
  <c r="D288" i="6"/>
  <c r="C288" i="6"/>
  <c r="A288" i="6"/>
  <c r="D287" i="6"/>
  <c r="A287" i="6" s="1"/>
  <c r="C287" i="6"/>
  <c r="D286" i="6"/>
  <c r="C286" i="6"/>
  <c r="A286" i="6"/>
  <c r="D285" i="6"/>
  <c r="C285" i="6"/>
  <c r="A285" i="6" s="1"/>
  <c r="D284" i="6"/>
  <c r="C284" i="6"/>
  <c r="A284" i="6"/>
  <c r="D283" i="6"/>
  <c r="C283" i="6"/>
  <c r="A283" i="6" s="1"/>
  <c r="D282" i="6"/>
  <c r="C282" i="6"/>
  <c r="A282" i="6" s="1"/>
  <c r="D281" i="6"/>
  <c r="C281" i="6"/>
  <c r="A281" i="6" s="1"/>
  <c r="D280" i="6"/>
  <c r="A280" i="6" s="1"/>
  <c r="C280" i="6"/>
  <c r="D279" i="6"/>
  <c r="C279" i="6"/>
  <c r="A279" i="6"/>
  <c r="D278" i="6"/>
  <c r="A278" i="6" s="1"/>
  <c r="C278" i="6"/>
  <c r="D277" i="6"/>
  <c r="C277" i="6"/>
  <c r="A277" i="6" s="1"/>
  <c r="D276" i="6"/>
  <c r="C276" i="6"/>
  <c r="A276" i="6"/>
  <c r="D275" i="6"/>
  <c r="C275" i="6"/>
  <c r="A275" i="6" s="1"/>
  <c r="D274" i="6"/>
  <c r="C274" i="6"/>
  <c r="A274" i="6" s="1"/>
  <c r="D273" i="6"/>
  <c r="C273" i="6"/>
  <c r="A273" i="6" s="1"/>
  <c r="D272" i="6"/>
  <c r="C272" i="6"/>
  <c r="A272" i="6"/>
  <c r="D271" i="6"/>
  <c r="A271" i="6" s="1"/>
  <c r="C271" i="6"/>
  <c r="D270" i="6"/>
  <c r="C270" i="6"/>
  <c r="A270" i="6"/>
  <c r="D269" i="6"/>
  <c r="C269" i="6"/>
  <c r="A269" i="6" s="1"/>
  <c r="D268" i="6"/>
  <c r="C268" i="6"/>
  <c r="A268" i="6"/>
  <c r="D267" i="6"/>
  <c r="C267" i="6"/>
  <c r="A267" i="6" s="1"/>
  <c r="D266" i="6"/>
  <c r="C266" i="6"/>
  <c r="A266" i="6" s="1"/>
  <c r="D265" i="6"/>
  <c r="C265" i="6"/>
  <c r="A265" i="6" s="1"/>
  <c r="D264" i="6"/>
  <c r="A264" i="6" s="1"/>
  <c r="C264" i="6"/>
  <c r="D263" i="6"/>
  <c r="C263" i="6"/>
  <c r="A263" i="6"/>
  <c r="D262" i="6"/>
  <c r="A262" i="6" s="1"/>
  <c r="C262" i="6"/>
  <c r="D261" i="6"/>
  <c r="C261" i="6"/>
  <c r="A261" i="6" s="1"/>
  <c r="D260" i="6"/>
  <c r="C260" i="6"/>
  <c r="A260" i="6"/>
  <c r="D259" i="6"/>
  <c r="C259" i="6"/>
  <c r="A259" i="6" s="1"/>
  <c r="D258" i="6"/>
  <c r="C258" i="6"/>
  <c r="A258" i="6" s="1"/>
  <c r="D257" i="6"/>
  <c r="C257" i="6"/>
  <c r="A257" i="6" s="1"/>
  <c r="D256" i="6"/>
  <c r="A256" i="6" s="1"/>
  <c r="C256" i="6"/>
  <c r="D255" i="6"/>
  <c r="A255" i="6" s="1"/>
  <c r="C255" i="6"/>
  <c r="D254" i="6"/>
  <c r="A254" i="6" s="1"/>
  <c r="C254" i="6"/>
  <c r="D253" i="6"/>
  <c r="C253" i="6"/>
  <c r="A253" i="6"/>
  <c r="D252" i="6"/>
  <c r="C252" i="6"/>
  <c r="A252" i="6"/>
  <c r="D251" i="6"/>
  <c r="C251" i="6"/>
  <c r="A251" i="6" s="1"/>
  <c r="D250" i="6"/>
  <c r="C250" i="6"/>
  <c r="A250" i="6" s="1"/>
  <c r="D249" i="6"/>
  <c r="C249" i="6"/>
  <c r="D248" i="6"/>
  <c r="A248" i="6" s="1"/>
  <c r="C248" i="6"/>
  <c r="D247" i="6"/>
  <c r="C247" i="6"/>
  <c r="A247" i="6"/>
  <c r="D246" i="6"/>
  <c r="C246" i="6"/>
  <c r="A246" i="6"/>
  <c r="D245" i="6"/>
  <c r="C245" i="6"/>
  <c r="A245" i="6" s="1"/>
  <c r="D244" i="6"/>
  <c r="C244" i="6"/>
  <c r="A244" i="6" s="1"/>
  <c r="D243" i="6"/>
  <c r="C243" i="6"/>
  <c r="A243" i="6" s="1"/>
  <c r="D242" i="6"/>
  <c r="C242" i="6"/>
  <c r="A242" i="6" s="1"/>
  <c r="D241" i="6"/>
  <c r="C241" i="6"/>
  <c r="A241" i="6"/>
  <c r="D240" i="6"/>
  <c r="C240" i="6"/>
  <c r="A240" i="6"/>
  <c r="D239" i="6"/>
  <c r="A239" i="6" s="1"/>
  <c r="C239" i="6"/>
  <c r="D238" i="6"/>
  <c r="A238" i="6" s="1"/>
  <c r="C238" i="6"/>
  <c r="D237" i="6"/>
  <c r="C237" i="6"/>
  <c r="A237" i="6" s="1"/>
  <c r="D236" i="6"/>
  <c r="C236" i="6"/>
  <c r="A236" i="6"/>
  <c r="D235" i="6"/>
  <c r="C235" i="6"/>
  <c r="D234" i="6"/>
  <c r="C234" i="6"/>
  <c r="A234" i="6" s="1"/>
  <c r="D233" i="6"/>
  <c r="C233" i="6"/>
  <c r="A233" i="6" s="1"/>
  <c r="D232" i="6"/>
  <c r="A232" i="6" s="1"/>
  <c r="C232" i="6"/>
  <c r="D231" i="6"/>
  <c r="C231" i="6"/>
  <c r="A231" i="6"/>
  <c r="D230" i="6"/>
  <c r="C230" i="6"/>
  <c r="A230" i="6"/>
  <c r="D229" i="6"/>
  <c r="C229" i="6"/>
  <c r="A229" i="6" s="1"/>
  <c r="D228" i="6"/>
  <c r="C228" i="6"/>
  <c r="A228" i="6"/>
  <c r="D227" i="6"/>
  <c r="C227" i="6"/>
  <c r="A227" i="6" s="1"/>
  <c r="D226" i="6"/>
  <c r="C226" i="6"/>
  <c r="D225" i="6"/>
  <c r="C225" i="6"/>
  <c r="A225" i="6" s="1"/>
  <c r="D224" i="6"/>
  <c r="C224" i="6"/>
  <c r="A224" i="6"/>
  <c r="D223" i="6"/>
  <c r="A223" i="6" s="1"/>
  <c r="C223" i="6"/>
  <c r="D222" i="6"/>
  <c r="A222" i="6" s="1"/>
  <c r="C222" i="6"/>
  <c r="D221" i="6"/>
  <c r="C221" i="6"/>
  <c r="A221" i="6"/>
  <c r="D220" i="6"/>
  <c r="C220" i="6"/>
  <c r="A220" i="6"/>
  <c r="D219" i="6"/>
  <c r="C219" i="6"/>
  <c r="A219" i="6" s="1"/>
  <c r="D218" i="6"/>
  <c r="C218" i="6"/>
  <c r="A218" i="6" s="1"/>
  <c r="D217" i="6"/>
  <c r="C217" i="6"/>
  <c r="D216" i="6"/>
  <c r="A216" i="6" s="1"/>
  <c r="C216" i="6"/>
  <c r="D215" i="6"/>
  <c r="C215" i="6"/>
  <c r="A215" i="6"/>
  <c r="D214" i="6"/>
  <c r="C214" i="6"/>
  <c r="A214" i="6"/>
  <c r="D213" i="6"/>
  <c r="C213" i="6"/>
  <c r="A213" i="6" s="1"/>
  <c r="D212" i="6"/>
  <c r="C212" i="6"/>
  <c r="A212" i="6" s="1"/>
  <c r="D211" i="6"/>
  <c r="C211" i="6"/>
  <c r="A211" i="6" s="1"/>
  <c r="D210" i="6"/>
  <c r="C210" i="6"/>
  <c r="A210" i="6" s="1"/>
  <c r="D209" i="6"/>
  <c r="C209" i="6"/>
  <c r="A209" i="6"/>
  <c r="D208" i="6"/>
  <c r="C208" i="6"/>
  <c r="A208" i="6"/>
  <c r="D207" i="6"/>
  <c r="A207" i="6" s="1"/>
  <c r="C207" i="6"/>
  <c r="D206" i="6"/>
  <c r="A206" i="6" s="1"/>
  <c r="C206" i="6"/>
  <c r="D205" i="6"/>
  <c r="C205" i="6"/>
  <c r="A205" i="6" s="1"/>
  <c r="D204" i="6"/>
  <c r="C204" i="6"/>
  <c r="A204" i="6"/>
  <c r="D203" i="6"/>
  <c r="C203" i="6"/>
  <c r="D202" i="6"/>
  <c r="C202" i="6"/>
  <c r="A202" i="6" s="1"/>
  <c r="D201" i="6"/>
  <c r="C201" i="6"/>
  <c r="A201" i="6" s="1"/>
  <c r="D200" i="6"/>
  <c r="C200" i="6"/>
  <c r="A200" i="6"/>
  <c r="D199" i="6"/>
  <c r="C199" i="6"/>
  <c r="A199" i="6"/>
  <c r="D198" i="6"/>
  <c r="A198" i="6" s="1"/>
  <c r="C198" i="6"/>
  <c r="D197" i="6"/>
  <c r="C197" i="6"/>
  <c r="A197" i="6" s="1"/>
  <c r="D196" i="6"/>
  <c r="C196" i="6"/>
  <c r="A196" i="6"/>
  <c r="D195" i="6"/>
  <c r="C195" i="6"/>
  <c r="A195" i="6" s="1"/>
  <c r="D194" i="6"/>
  <c r="C194" i="6"/>
  <c r="D193" i="6"/>
  <c r="C193" i="6"/>
  <c r="A193" i="6" s="1"/>
  <c r="D192" i="6"/>
  <c r="A192" i="6" s="1"/>
  <c r="C192" i="6"/>
  <c r="D191" i="6"/>
  <c r="A191" i="6" s="1"/>
  <c r="C191" i="6"/>
  <c r="D190" i="6"/>
  <c r="A190" i="6" s="1"/>
  <c r="C190" i="6"/>
  <c r="D189" i="6"/>
  <c r="C189" i="6"/>
  <c r="A189" i="6"/>
  <c r="D188" i="6"/>
  <c r="C188" i="6"/>
  <c r="A188" i="6"/>
  <c r="D187" i="6"/>
  <c r="C187" i="6"/>
  <c r="A187" i="6" s="1"/>
  <c r="D186" i="6"/>
  <c r="C186" i="6"/>
  <c r="A186" i="6" s="1"/>
  <c r="D185" i="6"/>
  <c r="C185" i="6"/>
  <c r="D184" i="6"/>
  <c r="C184" i="6"/>
  <c r="A184" i="6"/>
  <c r="D183" i="6"/>
  <c r="C183" i="6"/>
  <c r="A183" i="6"/>
  <c r="D182" i="6"/>
  <c r="A182" i="6" s="1"/>
  <c r="C182" i="6"/>
  <c r="D181" i="6"/>
  <c r="C181" i="6"/>
  <c r="A181" i="6" s="1"/>
  <c r="D180" i="6"/>
  <c r="C180" i="6"/>
  <c r="A180" i="6" s="1"/>
  <c r="D179" i="6"/>
  <c r="C179" i="6"/>
  <c r="A179" i="6" s="1"/>
  <c r="D178" i="6"/>
  <c r="C178" i="6"/>
  <c r="A178" i="6" s="1"/>
  <c r="D177" i="6"/>
  <c r="C177" i="6"/>
  <c r="A177" i="6"/>
  <c r="D176" i="6"/>
  <c r="C176" i="6"/>
  <c r="A176" i="6"/>
  <c r="D175" i="6"/>
  <c r="A175" i="6" s="1"/>
  <c r="C175" i="6"/>
  <c r="D174" i="6"/>
  <c r="C174" i="6"/>
  <c r="A174" i="6"/>
  <c r="D173" i="6"/>
  <c r="C173" i="6"/>
  <c r="A173" i="6" s="1"/>
  <c r="D172" i="6"/>
  <c r="C172" i="6"/>
  <c r="A172" i="6"/>
  <c r="D171" i="6"/>
  <c r="C171" i="6"/>
  <c r="D170" i="6"/>
  <c r="C170" i="6"/>
  <c r="D169" i="6"/>
  <c r="A169" i="6" s="1"/>
  <c r="C169" i="6"/>
  <c r="D168" i="6"/>
  <c r="C168" i="6"/>
  <c r="A168" i="6" s="1"/>
  <c r="D167" i="6"/>
  <c r="A167" i="6" s="1"/>
  <c r="C167" i="6"/>
  <c r="D166" i="6"/>
  <c r="C166" i="6"/>
  <c r="A166" i="6"/>
  <c r="D165" i="6"/>
  <c r="C165" i="6"/>
  <c r="A165" i="6"/>
  <c r="D164" i="6"/>
  <c r="C164" i="6"/>
  <c r="A164" i="6" s="1"/>
  <c r="D163" i="6"/>
  <c r="A163" i="6" s="1"/>
  <c r="C163" i="6"/>
  <c r="D162" i="6"/>
  <c r="C162" i="6"/>
  <c r="A162" i="6" s="1"/>
  <c r="D161" i="6"/>
  <c r="A161" i="6" s="1"/>
  <c r="C161" i="6"/>
  <c r="D160" i="6"/>
  <c r="C160" i="6"/>
  <c r="D159" i="6"/>
  <c r="A159" i="6" s="1"/>
  <c r="C159" i="6"/>
  <c r="D158" i="6"/>
  <c r="C158" i="6"/>
  <c r="A158" i="6" s="1"/>
  <c r="D157" i="6"/>
  <c r="C157" i="6"/>
  <c r="A157" i="6"/>
  <c r="D156" i="6"/>
  <c r="C156" i="6"/>
  <c r="A156" i="6" s="1"/>
  <c r="D155" i="6"/>
  <c r="C155" i="6"/>
  <c r="A155" i="6" s="1"/>
  <c r="D154" i="6"/>
  <c r="C154" i="6"/>
  <c r="A154" i="6"/>
  <c r="D153" i="6"/>
  <c r="C153" i="6"/>
  <c r="A153" i="6"/>
  <c r="D152" i="6"/>
  <c r="C152" i="6"/>
  <c r="D151" i="6"/>
  <c r="A151" i="6" s="1"/>
  <c r="C151" i="6"/>
  <c r="D150" i="6"/>
  <c r="C150" i="6"/>
  <c r="A150" i="6" s="1"/>
  <c r="D149" i="6"/>
  <c r="A149" i="6" s="1"/>
  <c r="C149" i="6"/>
  <c r="D148" i="6"/>
  <c r="C148" i="6"/>
  <c r="A148" i="6" s="1"/>
  <c r="D147" i="6"/>
  <c r="C147" i="6"/>
  <c r="A147" i="6" s="1"/>
  <c r="D146" i="6"/>
  <c r="C146" i="6"/>
  <c r="A146" i="6"/>
  <c r="D145" i="6"/>
  <c r="A145" i="6" s="1"/>
  <c r="C145" i="6"/>
  <c r="D144" i="6"/>
  <c r="C144" i="6"/>
  <c r="D143" i="6"/>
  <c r="A143" i="6" s="1"/>
  <c r="C143" i="6"/>
  <c r="D142" i="6"/>
  <c r="C142" i="6"/>
  <c r="A142" i="6" s="1"/>
  <c r="D141" i="6"/>
  <c r="A141" i="6" s="1"/>
  <c r="C141" i="6"/>
  <c r="D140" i="6"/>
  <c r="C140" i="6"/>
  <c r="A140" i="6" s="1"/>
  <c r="D139" i="6"/>
  <c r="C139" i="6"/>
  <c r="A139" i="6" s="1"/>
  <c r="D138" i="6"/>
  <c r="C138" i="6"/>
  <c r="A138" i="6"/>
  <c r="D137" i="6"/>
  <c r="C137" i="6"/>
  <c r="A137" i="6"/>
  <c r="D136" i="6"/>
  <c r="C136" i="6"/>
  <c r="D135" i="6"/>
  <c r="C135" i="6"/>
  <c r="A135" i="6"/>
  <c r="D134" i="6"/>
  <c r="C134" i="6"/>
  <c r="A134" i="6" s="1"/>
  <c r="D133" i="6"/>
  <c r="C133" i="6"/>
  <c r="A133" i="6"/>
  <c r="D132" i="6"/>
  <c r="C132" i="6"/>
  <c r="A132" i="6" s="1"/>
  <c r="D131" i="6"/>
  <c r="C131" i="6"/>
  <c r="A131" i="6" s="1"/>
  <c r="D130" i="6"/>
  <c r="C130" i="6"/>
  <c r="A130" i="6"/>
  <c r="D129" i="6"/>
  <c r="A129" i="6" s="1"/>
  <c r="C129" i="6"/>
  <c r="D128" i="6"/>
  <c r="C128" i="6"/>
  <c r="D127" i="6"/>
  <c r="A127" i="6" s="1"/>
  <c r="C127" i="6"/>
  <c r="D126" i="6"/>
  <c r="C126" i="6"/>
  <c r="A126" i="6" s="1"/>
  <c r="D125" i="6"/>
  <c r="C125" i="6"/>
  <c r="A125" i="6"/>
  <c r="D124" i="6"/>
  <c r="C124" i="6"/>
  <c r="A124" i="6" s="1"/>
  <c r="D123" i="6"/>
  <c r="C123" i="6"/>
  <c r="A123" i="6" s="1"/>
  <c r="D122" i="6"/>
  <c r="C122" i="6"/>
  <c r="A122" i="6"/>
  <c r="D121" i="6"/>
  <c r="C121" i="6"/>
  <c r="A121" i="6"/>
  <c r="D120" i="6"/>
  <c r="C120" i="6"/>
  <c r="D119" i="6"/>
  <c r="A119" i="6" s="1"/>
  <c r="C119" i="6"/>
  <c r="D118" i="6"/>
  <c r="C118" i="6"/>
  <c r="A118" i="6" s="1"/>
  <c r="D117" i="6"/>
  <c r="A117" i="6" s="1"/>
  <c r="C117" i="6"/>
  <c r="D116" i="6"/>
  <c r="C116" i="6"/>
  <c r="A116" i="6" s="1"/>
  <c r="D115" i="6"/>
  <c r="C115" i="6"/>
  <c r="A115" i="6" s="1"/>
  <c r="D114" i="6"/>
  <c r="C114" i="6"/>
  <c r="A114" i="6"/>
  <c r="D113" i="6"/>
  <c r="A113" i="6" s="1"/>
  <c r="C113" i="6"/>
  <c r="D112" i="6"/>
  <c r="C112" i="6"/>
  <c r="D111" i="6"/>
  <c r="C111" i="6"/>
  <c r="A111" i="6"/>
  <c r="D110" i="6"/>
  <c r="C110" i="6"/>
  <c r="A110" i="6" s="1"/>
  <c r="D109" i="6"/>
  <c r="A109" i="6" s="1"/>
  <c r="C109" i="6"/>
  <c r="D108" i="6"/>
  <c r="C108" i="6"/>
  <c r="A108" i="6" s="1"/>
  <c r="D107" i="6"/>
  <c r="C107" i="6"/>
  <c r="A107" i="6" s="1"/>
  <c r="D106" i="6"/>
  <c r="C106" i="6"/>
  <c r="A106" i="6"/>
  <c r="D105" i="6"/>
  <c r="C105" i="6"/>
  <c r="A105" i="6"/>
  <c r="D104" i="6"/>
  <c r="C104" i="6"/>
  <c r="D103" i="6"/>
  <c r="C103" i="6"/>
  <c r="A103" i="6"/>
  <c r="D102" i="6"/>
  <c r="C102" i="6"/>
  <c r="A102" i="6"/>
  <c r="D101" i="6"/>
  <c r="A101" i="6" s="1"/>
  <c r="C101" i="6"/>
  <c r="D100" i="6"/>
  <c r="C100" i="6"/>
  <c r="A100" i="6" s="1"/>
  <c r="D99" i="6"/>
  <c r="C99" i="6"/>
  <c r="A99" i="6"/>
  <c r="D98" i="6"/>
  <c r="C98" i="6"/>
  <c r="A98" i="6"/>
  <c r="D97" i="6"/>
  <c r="A97" i="6" s="1"/>
  <c r="C97" i="6"/>
  <c r="D96" i="6"/>
  <c r="C96" i="6"/>
  <c r="D95" i="6"/>
  <c r="A95" i="6" s="1"/>
  <c r="C95" i="6"/>
  <c r="D94" i="6"/>
  <c r="C94" i="6"/>
  <c r="A94" i="6" s="1"/>
  <c r="D93" i="6"/>
  <c r="C93" i="6"/>
  <c r="A93" i="6"/>
  <c r="D92" i="6"/>
  <c r="C92" i="6"/>
  <c r="A92" i="6" s="1"/>
  <c r="D91" i="6"/>
  <c r="C91" i="6"/>
  <c r="A91" i="6" s="1"/>
  <c r="D90" i="6"/>
  <c r="C90" i="6"/>
  <c r="A90" i="6"/>
  <c r="D89" i="6"/>
  <c r="C89" i="6"/>
  <c r="A89" i="6"/>
  <c r="D88" i="6"/>
  <c r="C88" i="6"/>
  <c r="D87" i="6"/>
  <c r="C87" i="6"/>
  <c r="A87" i="6"/>
  <c r="D86" i="6"/>
  <c r="C86" i="6"/>
  <c r="A86" i="6" s="1"/>
  <c r="D85" i="6"/>
  <c r="A85" i="6" s="1"/>
  <c r="C85" i="6"/>
  <c r="D84" i="6"/>
  <c r="C84" i="6"/>
  <c r="D83" i="6"/>
  <c r="C83" i="6"/>
  <c r="A83" i="6" s="1"/>
  <c r="D82" i="6"/>
  <c r="C82" i="6"/>
  <c r="A82" i="6"/>
  <c r="D81" i="6"/>
  <c r="A81" i="6" s="1"/>
  <c r="C81" i="6"/>
  <c r="D80" i="6"/>
  <c r="C80" i="6"/>
  <c r="D79" i="6"/>
  <c r="C79" i="6"/>
  <c r="A79" i="6"/>
  <c r="D78" i="6"/>
  <c r="C78" i="6"/>
  <c r="A78" i="6" s="1"/>
  <c r="D77" i="6"/>
  <c r="C77" i="6"/>
  <c r="A77" i="6"/>
  <c r="D76" i="6"/>
  <c r="C76" i="6"/>
  <c r="A76" i="6" s="1"/>
  <c r="D75" i="6"/>
  <c r="C75" i="6"/>
  <c r="A75" i="6" s="1"/>
  <c r="D74" i="6"/>
  <c r="C74" i="6"/>
  <c r="A74" i="6"/>
  <c r="D73" i="6"/>
  <c r="C73" i="6"/>
  <c r="A73" i="6"/>
  <c r="D72" i="6"/>
  <c r="C72" i="6"/>
  <c r="D71" i="6"/>
  <c r="C71" i="6"/>
  <c r="A71" i="6" s="1"/>
  <c r="D70" i="6"/>
  <c r="C70" i="6"/>
  <c r="A70" i="6"/>
  <c r="D69" i="6"/>
  <c r="A69" i="6" s="1"/>
  <c r="C69" i="6"/>
  <c r="D68" i="6"/>
  <c r="C68" i="6"/>
  <c r="D67" i="6"/>
  <c r="C67" i="6"/>
  <c r="A67" i="6"/>
  <c r="D66" i="6"/>
  <c r="C66" i="6"/>
  <c r="A66" i="6"/>
  <c r="D65" i="6"/>
  <c r="A65" i="6" s="1"/>
  <c r="C65" i="6"/>
  <c r="D64" i="6"/>
  <c r="C64" i="6"/>
  <c r="D63" i="6"/>
  <c r="C63" i="6"/>
  <c r="A63" i="6"/>
  <c r="D62" i="6"/>
  <c r="C62" i="6"/>
  <c r="A62" i="6" s="1"/>
  <c r="D61" i="6"/>
  <c r="C61" i="6"/>
  <c r="A61" i="6"/>
  <c r="D60" i="6"/>
  <c r="C60" i="6"/>
  <c r="A60" i="6" s="1"/>
  <c r="D59" i="6"/>
  <c r="C59" i="6"/>
  <c r="D58" i="6"/>
  <c r="C58" i="6"/>
  <c r="A58" i="6"/>
  <c r="D57" i="6"/>
  <c r="C57" i="6"/>
  <c r="A57" i="6"/>
  <c r="D56" i="6"/>
  <c r="C56" i="6"/>
  <c r="D55" i="6"/>
  <c r="A55" i="6" s="1"/>
  <c r="C55" i="6"/>
  <c r="D54" i="6"/>
  <c r="C54" i="6"/>
  <c r="A54" i="6" s="1"/>
  <c r="D53" i="6"/>
  <c r="A53" i="6" s="1"/>
  <c r="C53" i="6"/>
  <c r="D52" i="6"/>
  <c r="C52" i="6"/>
  <c r="A52" i="6" s="1"/>
  <c r="D51" i="6"/>
  <c r="C51" i="6"/>
  <c r="A51" i="6"/>
  <c r="D50" i="6"/>
  <c r="C50" i="6"/>
  <c r="A50" i="6"/>
  <c r="D49" i="6"/>
  <c r="C49" i="6"/>
  <c r="A49" i="6"/>
  <c r="D48" i="6"/>
  <c r="C48" i="6"/>
  <c r="A48" i="6" s="1"/>
  <c r="D47" i="6"/>
  <c r="A47" i="6" s="1"/>
  <c r="C47" i="6"/>
  <c r="D46" i="6"/>
  <c r="C46" i="6"/>
  <c r="A46" i="6" s="1"/>
  <c r="D45" i="6"/>
  <c r="C45" i="6"/>
  <c r="A45" i="6"/>
  <c r="D44" i="6"/>
  <c r="C44" i="6"/>
  <c r="A44" i="6" s="1"/>
  <c r="D43" i="6"/>
  <c r="C43" i="6"/>
  <c r="A43" i="6" s="1"/>
  <c r="D42" i="6"/>
  <c r="C42" i="6"/>
  <c r="A42" i="6"/>
  <c r="D41" i="6"/>
  <c r="C41" i="6"/>
  <c r="A41" i="6"/>
  <c r="D40" i="6"/>
  <c r="C40" i="6"/>
  <c r="D39" i="6"/>
  <c r="C39" i="6"/>
  <c r="A39" i="6"/>
  <c r="D38" i="6"/>
  <c r="C38" i="6"/>
  <c r="A38" i="6" s="1"/>
  <c r="D37" i="6"/>
  <c r="A37" i="6" s="1"/>
  <c r="C37" i="6"/>
  <c r="D36" i="6"/>
  <c r="C36" i="6"/>
  <c r="A36" i="6" s="1"/>
  <c r="D35" i="6"/>
  <c r="C35" i="6"/>
  <c r="A35" i="6" s="1"/>
  <c r="D34" i="6"/>
  <c r="C34" i="6"/>
  <c r="A34" i="6"/>
  <c r="D33" i="6"/>
  <c r="A33" i="6" s="1"/>
  <c r="C33" i="6"/>
  <c r="D32" i="6"/>
  <c r="C32" i="6"/>
  <c r="A32" i="6" s="1"/>
  <c r="D31" i="6"/>
  <c r="C31" i="6"/>
  <c r="A31" i="6" s="1"/>
  <c r="D30" i="6"/>
  <c r="C30" i="6"/>
  <c r="A30" i="6" s="1"/>
  <c r="D29" i="6"/>
  <c r="C29" i="6"/>
  <c r="A29" i="6"/>
  <c r="D28" i="6"/>
  <c r="C28" i="6"/>
  <c r="A28" i="6" s="1"/>
  <c r="D27" i="6"/>
  <c r="C27" i="6"/>
  <c r="A27" i="6" s="1"/>
  <c r="D26" i="6"/>
  <c r="C26" i="6"/>
  <c r="A26" i="6" s="1"/>
  <c r="D25" i="6"/>
  <c r="C25" i="6"/>
  <c r="A25" i="6"/>
  <c r="D24" i="6"/>
  <c r="C24" i="6"/>
  <c r="D23" i="6"/>
  <c r="C23" i="6"/>
  <c r="D22" i="6"/>
  <c r="C22" i="6"/>
  <c r="A22" i="6"/>
  <c r="D21" i="6"/>
  <c r="A21" i="6" s="1"/>
  <c r="C21" i="6"/>
  <c r="D20" i="6"/>
  <c r="C20" i="6"/>
  <c r="D19" i="6"/>
  <c r="A19" i="6" s="1"/>
  <c r="C19" i="6"/>
  <c r="D18" i="6"/>
  <c r="C18" i="6"/>
  <c r="A18" i="6"/>
  <c r="D17" i="6"/>
  <c r="A17" i="6" s="1"/>
  <c r="C17" i="6"/>
  <c r="D16" i="6"/>
  <c r="C16" i="6"/>
  <c r="A16" i="6" s="1"/>
  <c r="D15" i="6"/>
  <c r="C15" i="6"/>
  <c r="A15" i="6"/>
  <c r="D14" i="6"/>
  <c r="C14" i="6"/>
  <c r="A14" i="6"/>
  <c r="D13" i="6"/>
  <c r="C13" i="6"/>
  <c r="A13" i="6"/>
  <c r="D12" i="6"/>
  <c r="C12" i="6"/>
  <c r="A12" i="6" s="1"/>
  <c r="D11" i="6"/>
  <c r="A11" i="6" s="1"/>
  <c r="C11" i="6"/>
  <c r="D10" i="6"/>
  <c r="C10" i="6"/>
  <c r="A10" i="6"/>
  <c r="D9" i="6"/>
  <c r="C9" i="6"/>
  <c r="A9" i="6"/>
  <c r="D8" i="6"/>
  <c r="C8" i="6"/>
  <c r="A8" i="6" s="1"/>
  <c r="D7" i="6"/>
  <c r="C7" i="6"/>
  <c r="A7" i="6"/>
  <c r="D6" i="6"/>
  <c r="C6" i="6"/>
  <c r="R2005" i="5"/>
  <c r="Q2005" i="5"/>
  <c r="P2005" i="5"/>
  <c r="O2005" i="5"/>
  <c r="N2005" i="5"/>
  <c r="M2005" i="5"/>
  <c r="L2005" i="5"/>
  <c r="J2005" i="5"/>
  <c r="I2005" i="5"/>
  <c r="H2005" i="5"/>
  <c r="G2005" i="5"/>
  <c r="F2005" i="5"/>
  <c r="E2005" i="5"/>
  <c r="C2005" i="5"/>
  <c r="B2005" i="5"/>
  <c r="K2005" i="5" s="1"/>
  <c r="I2004" i="5"/>
  <c r="F2004" i="5"/>
  <c r="B2004" i="5"/>
  <c r="G2003" i="5"/>
  <c r="F2003" i="5"/>
  <c r="C2003" i="5"/>
  <c r="B2003" i="5"/>
  <c r="P2003" i="5" s="1"/>
  <c r="I2002" i="5"/>
  <c r="H2002" i="5"/>
  <c r="G2002" i="5"/>
  <c r="B2002" i="5"/>
  <c r="P2002" i="5" s="1"/>
  <c r="R2001" i="5"/>
  <c r="Q2001" i="5"/>
  <c r="P2001" i="5"/>
  <c r="N2001" i="5"/>
  <c r="M2001" i="5"/>
  <c r="L2001" i="5"/>
  <c r="J2001" i="5"/>
  <c r="I2001" i="5"/>
  <c r="H2001" i="5"/>
  <c r="F2001" i="5"/>
  <c r="E2001" i="5"/>
  <c r="C2001" i="5"/>
  <c r="B2001" i="5"/>
  <c r="O2001" i="5" s="1"/>
  <c r="O2000" i="5"/>
  <c r="B2000" i="5"/>
  <c r="R1999" i="5"/>
  <c r="P1999" i="5"/>
  <c r="O1999" i="5"/>
  <c r="L1999" i="5"/>
  <c r="K1999" i="5"/>
  <c r="J1999" i="5"/>
  <c r="H1999" i="5"/>
  <c r="G1999" i="5"/>
  <c r="F1999" i="5"/>
  <c r="C1999" i="5"/>
  <c r="B1999" i="5"/>
  <c r="K1998" i="5"/>
  <c r="H1998" i="5"/>
  <c r="G1998" i="5"/>
  <c r="E1998" i="5"/>
  <c r="B1998" i="5"/>
  <c r="Q1998" i="5" s="1"/>
  <c r="R1997" i="5"/>
  <c r="Q1997" i="5"/>
  <c r="P1997" i="5"/>
  <c r="O1997" i="5"/>
  <c r="N1997" i="5"/>
  <c r="M1997" i="5"/>
  <c r="L1997" i="5"/>
  <c r="J1997" i="5"/>
  <c r="I1997" i="5"/>
  <c r="H1997" i="5"/>
  <c r="G1997" i="5"/>
  <c r="F1997" i="5"/>
  <c r="E1997" i="5"/>
  <c r="C1997" i="5"/>
  <c r="B1997" i="5"/>
  <c r="K1997" i="5" s="1"/>
  <c r="K1996" i="5"/>
  <c r="J1996" i="5"/>
  <c r="G1996" i="5"/>
  <c r="B1996" i="5"/>
  <c r="Q1996" i="5" s="1"/>
  <c r="P1995" i="5"/>
  <c r="L1995" i="5"/>
  <c r="H1995" i="5"/>
  <c r="G1995" i="5"/>
  <c r="F1995" i="5"/>
  <c r="C1995" i="5"/>
  <c r="B1995" i="5"/>
  <c r="O1995" i="5" s="1"/>
  <c r="P1994" i="5"/>
  <c r="M1994" i="5"/>
  <c r="L1994" i="5"/>
  <c r="K1994" i="5"/>
  <c r="I1994" i="5"/>
  <c r="H1994" i="5"/>
  <c r="C1994" i="5"/>
  <c r="B1994" i="5"/>
  <c r="R1993" i="5"/>
  <c r="Q1993" i="5"/>
  <c r="P1993" i="5"/>
  <c r="N1993" i="5"/>
  <c r="M1993" i="5"/>
  <c r="L1993" i="5"/>
  <c r="J1993" i="5"/>
  <c r="I1993" i="5"/>
  <c r="H1993" i="5"/>
  <c r="F1993" i="5"/>
  <c r="E1993" i="5"/>
  <c r="C1993" i="5"/>
  <c r="B1993" i="5"/>
  <c r="O1993" i="5" s="1"/>
  <c r="I1992" i="5"/>
  <c r="B1992" i="5"/>
  <c r="H1991" i="5"/>
  <c r="G1991" i="5"/>
  <c r="C1991" i="5"/>
  <c r="B1991" i="5"/>
  <c r="R1991" i="5" s="1"/>
  <c r="P1990" i="5"/>
  <c r="M1990" i="5"/>
  <c r="K1990" i="5"/>
  <c r="I1990" i="5"/>
  <c r="H1990" i="5"/>
  <c r="G1990" i="5"/>
  <c r="C1990" i="5"/>
  <c r="B1990" i="5"/>
  <c r="R1989" i="5"/>
  <c r="Q1989" i="5"/>
  <c r="P1989" i="5"/>
  <c r="O1989" i="5"/>
  <c r="N1989" i="5"/>
  <c r="M1989" i="5"/>
  <c r="L1989" i="5"/>
  <c r="J1989" i="5"/>
  <c r="I1989" i="5"/>
  <c r="H1989" i="5"/>
  <c r="G1989" i="5"/>
  <c r="F1989" i="5"/>
  <c r="E1989" i="5"/>
  <c r="C1989" i="5"/>
  <c r="B1989" i="5"/>
  <c r="K1989" i="5" s="1"/>
  <c r="K1988" i="5"/>
  <c r="I1988" i="5"/>
  <c r="E1988" i="5"/>
  <c r="B1988" i="5"/>
  <c r="Q1988" i="5" s="1"/>
  <c r="R1987" i="5"/>
  <c r="P1987" i="5"/>
  <c r="O1987" i="5"/>
  <c r="L1987" i="5"/>
  <c r="K1987" i="5"/>
  <c r="J1987" i="5"/>
  <c r="H1987" i="5"/>
  <c r="G1987" i="5"/>
  <c r="F1987" i="5"/>
  <c r="C1987" i="5"/>
  <c r="B1987" i="5"/>
  <c r="P1986" i="5"/>
  <c r="O1986" i="5"/>
  <c r="B1986" i="5"/>
  <c r="R1985" i="5"/>
  <c r="Q1985" i="5"/>
  <c r="P1985" i="5"/>
  <c r="N1985" i="5"/>
  <c r="M1985" i="5"/>
  <c r="L1985" i="5"/>
  <c r="J1985" i="5"/>
  <c r="I1985" i="5"/>
  <c r="H1985" i="5"/>
  <c r="F1985" i="5"/>
  <c r="E1985" i="5"/>
  <c r="C1985" i="5"/>
  <c r="B1985" i="5"/>
  <c r="O1985" i="5" s="1"/>
  <c r="O1984" i="5"/>
  <c r="N1984" i="5"/>
  <c r="K1984" i="5"/>
  <c r="I1984" i="5"/>
  <c r="F1984" i="5"/>
  <c r="B1984" i="5"/>
  <c r="Q1984" i="5" s="1"/>
  <c r="R1983" i="5"/>
  <c r="P1983" i="5"/>
  <c r="N1983" i="5"/>
  <c r="L1983" i="5"/>
  <c r="K1983" i="5"/>
  <c r="J1983" i="5"/>
  <c r="G1983" i="5"/>
  <c r="F1983" i="5"/>
  <c r="C1983" i="5"/>
  <c r="B1983" i="5"/>
  <c r="P1982" i="5"/>
  <c r="B1982" i="5"/>
  <c r="R1981" i="5"/>
  <c r="Q1981" i="5"/>
  <c r="P1981" i="5"/>
  <c r="O1981" i="5"/>
  <c r="N1981" i="5"/>
  <c r="M1981" i="5"/>
  <c r="L1981" i="5"/>
  <c r="J1981" i="5"/>
  <c r="I1981" i="5"/>
  <c r="H1981" i="5"/>
  <c r="G1981" i="5"/>
  <c r="F1981" i="5"/>
  <c r="E1981" i="5"/>
  <c r="C1981" i="5"/>
  <c r="B1981" i="5"/>
  <c r="K1981" i="5" s="1"/>
  <c r="A1981" i="5"/>
  <c r="B1980" i="5"/>
  <c r="B1979" i="5"/>
  <c r="Q1978" i="5"/>
  <c r="E1978" i="5"/>
  <c r="C1978" i="5"/>
  <c r="B1978" i="5"/>
  <c r="R1977" i="5"/>
  <c r="Q1977" i="5"/>
  <c r="P1977" i="5"/>
  <c r="N1977" i="5"/>
  <c r="M1977" i="5"/>
  <c r="L1977" i="5"/>
  <c r="J1977" i="5"/>
  <c r="I1977" i="5"/>
  <c r="H1977" i="5"/>
  <c r="F1977" i="5"/>
  <c r="E1977" i="5"/>
  <c r="C1977" i="5"/>
  <c r="B1977" i="5"/>
  <c r="O1977" i="5" s="1"/>
  <c r="B1976" i="5"/>
  <c r="R1975" i="5"/>
  <c r="F1975" i="5"/>
  <c r="B1975" i="5"/>
  <c r="P1974" i="5"/>
  <c r="C1974" i="5"/>
  <c r="B1974" i="5"/>
  <c r="R1973" i="5"/>
  <c r="Q1973" i="5"/>
  <c r="P1973" i="5"/>
  <c r="O1973" i="5"/>
  <c r="N1973" i="5"/>
  <c r="M1973" i="5"/>
  <c r="L1973" i="5"/>
  <c r="J1973" i="5"/>
  <c r="I1973" i="5"/>
  <c r="A1973" i="5" s="1"/>
  <c r="H1973" i="5"/>
  <c r="G1973" i="5"/>
  <c r="F1973" i="5"/>
  <c r="E1973" i="5"/>
  <c r="C1973" i="5"/>
  <c r="B1973" i="5"/>
  <c r="K1973" i="5" s="1"/>
  <c r="F1972" i="5"/>
  <c r="B1972" i="5"/>
  <c r="R1972" i="5" s="1"/>
  <c r="P1971" i="5"/>
  <c r="N1971" i="5"/>
  <c r="L1971" i="5"/>
  <c r="K1971" i="5"/>
  <c r="J1971" i="5"/>
  <c r="G1971" i="5"/>
  <c r="C1971" i="5"/>
  <c r="B1971" i="5"/>
  <c r="I1970" i="5"/>
  <c r="G1970" i="5"/>
  <c r="E1970" i="5"/>
  <c r="B1970" i="5"/>
  <c r="Q1970" i="5" s="1"/>
  <c r="R1969" i="5"/>
  <c r="Q1969" i="5"/>
  <c r="P1969" i="5"/>
  <c r="N1969" i="5"/>
  <c r="M1969" i="5"/>
  <c r="L1969" i="5"/>
  <c r="J1969" i="5"/>
  <c r="I1969" i="5"/>
  <c r="H1969" i="5"/>
  <c r="F1969" i="5"/>
  <c r="E1969" i="5"/>
  <c r="C1969" i="5"/>
  <c r="B1969" i="5"/>
  <c r="O1969" i="5" s="1"/>
  <c r="B1968" i="5"/>
  <c r="R1967" i="5"/>
  <c r="P1967" i="5"/>
  <c r="O1967" i="5"/>
  <c r="L1967" i="5"/>
  <c r="K1967" i="5"/>
  <c r="J1967" i="5"/>
  <c r="H1967" i="5"/>
  <c r="G1967" i="5"/>
  <c r="F1967" i="5"/>
  <c r="C1967" i="5"/>
  <c r="B1967" i="5"/>
  <c r="O1966" i="5"/>
  <c r="M1966" i="5"/>
  <c r="L1966" i="5"/>
  <c r="H1966" i="5"/>
  <c r="E1966" i="5"/>
  <c r="B1966" i="5"/>
  <c r="P1966" i="5" s="1"/>
  <c r="R1965" i="5"/>
  <c r="Q1965" i="5"/>
  <c r="P1965" i="5"/>
  <c r="O1965" i="5"/>
  <c r="N1965" i="5"/>
  <c r="M1965" i="5"/>
  <c r="L1965" i="5"/>
  <c r="J1965" i="5"/>
  <c r="I1965" i="5"/>
  <c r="H1965" i="5"/>
  <c r="G1965" i="5"/>
  <c r="F1965" i="5"/>
  <c r="E1965" i="5"/>
  <c r="C1965" i="5"/>
  <c r="A1965" i="5" s="1"/>
  <c r="B1965" i="5"/>
  <c r="K1965" i="5" s="1"/>
  <c r="Q1964" i="5"/>
  <c r="M1964" i="5"/>
  <c r="J1964" i="5"/>
  <c r="I1964" i="5"/>
  <c r="G1964" i="5"/>
  <c r="B1964" i="5"/>
  <c r="R1964" i="5" s="1"/>
  <c r="O1963" i="5"/>
  <c r="N1963" i="5"/>
  <c r="L1963" i="5"/>
  <c r="J1963" i="5"/>
  <c r="H1963" i="5"/>
  <c r="B1963" i="5"/>
  <c r="R1963" i="5" s="1"/>
  <c r="P1962" i="5"/>
  <c r="O1962" i="5"/>
  <c r="M1962" i="5"/>
  <c r="K1962" i="5"/>
  <c r="H1962" i="5"/>
  <c r="E1962" i="5"/>
  <c r="C1962" i="5"/>
  <c r="B1962" i="5"/>
  <c r="R1961" i="5"/>
  <c r="Q1961" i="5"/>
  <c r="P1961" i="5"/>
  <c r="N1961" i="5"/>
  <c r="M1961" i="5"/>
  <c r="L1961" i="5"/>
  <c r="J1961" i="5"/>
  <c r="I1961" i="5"/>
  <c r="H1961" i="5"/>
  <c r="F1961" i="5"/>
  <c r="E1961" i="5"/>
  <c r="C1961" i="5"/>
  <c r="B1961" i="5"/>
  <c r="O1961" i="5" s="1"/>
  <c r="O1960" i="5"/>
  <c r="M1960" i="5"/>
  <c r="I1960" i="5"/>
  <c r="G1960" i="5"/>
  <c r="F1960" i="5"/>
  <c r="B1960" i="5"/>
  <c r="Q1960" i="5" s="1"/>
  <c r="R1959" i="5"/>
  <c r="N1959" i="5"/>
  <c r="L1959" i="5"/>
  <c r="K1959" i="5"/>
  <c r="J1959" i="5"/>
  <c r="H1959" i="5"/>
  <c r="C1959" i="5"/>
  <c r="B1959" i="5"/>
  <c r="Q1958" i="5"/>
  <c r="P1958" i="5"/>
  <c r="O1958" i="5"/>
  <c r="B1958" i="5"/>
  <c r="R1957" i="5"/>
  <c r="Q1957" i="5"/>
  <c r="P1957" i="5"/>
  <c r="O1957" i="5"/>
  <c r="N1957" i="5"/>
  <c r="M1957" i="5"/>
  <c r="L1957" i="5"/>
  <c r="J1957" i="5"/>
  <c r="I1957" i="5"/>
  <c r="H1957" i="5"/>
  <c r="G1957" i="5"/>
  <c r="F1957" i="5"/>
  <c r="E1957" i="5"/>
  <c r="C1957" i="5"/>
  <c r="B1957" i="5"/>
  <c r="K1957" i="5" s="1"/>
  <c r="A1957" i="5"/>
  <c r="Q1956" i="5"/>
  <c r="N1956" i="5"/>
  <c r="M1956" i="5"/>
  <c r="K1956" i="5"/>
  <c r="J1956" i="5"/>
  <c r="I1956" i="5"/>
  <c r="F1956" i="5"/>
  <c r="E1956" i="5"/>
  <c r="B1956" i="5"/>
  <c r="R1955" i="5"/>
  <c r="P1955" i="5"/>
  <c r="O1955" i="5"/>
  <c r="L1955" i="5"/>
  <c r="K1955" i="5"/>
  <c r="J1955" i="5"/>
  <c r="H1955" i="5"/>
  <c r="G1955" i="5"/>
  <c r="F1955" i="5"/>
  <c r="C1955" i="5"/>
  <c r="B1955" i="5"/>
  <c r="Q1954" i="5"/>
  <c r="P1954" i="5"/>
  <c r="M1954" i="5"/>
  <c r="L1954" i="5"/>
  <c r="K1954" i="5"/>
  <c r="H1954" i="5"/>
  <c r="G1954" i="5"/>
  <c r="E1954" i="5"/>
  <c r="C1954" i="5"/>
  <c r="B1954" i="5"/>
  <c r="R1953" i="5"/>
  <c r="Q1953" i="5"/>
  <c r="P1953" i="5"/>
  <c r="N1953" i="5"/>
  <c r="M1953" i="5"/>
  <c r="L1953" i="5"/>
  <c r="J1953" i="5"/>
  <c r="I1953" i="5"/>
  <c r="H1953" i="5"/>
  <c r="F1953" i="5"/>
  <c r="E1953" i="5"/>
  <c r="C1953" i="5"/>
  <c r="B1953" i="5"/>
  <c r="O1953" i="5" s="1"/>
  <c r="O1952" i="5"/>
  <c r="K1952" i="5"/>
  <c r="J1952" i="5"/>
  <c r="I1952" i="5"/>
  <c r="G1952" i="5"/>
  <c r="B1952" i="5"/>
  <c r="R1952" i="5" s="1"/>
  <c r="O1951" i="5"/>
  <c r="N1951" i="5"/>
  <c r="L1951" i="5"/>
  <c r="K1951" i="5"/>
  <c r="G1951" i="5"/>
  <c r="B1951" i="5"/>
  <c r="P1951" i="5" s="1"/>
  <c r="Q1950" i="5"/>
  <c r="P1950" i="5"/>
  <c r="L1950" i="5"/>
  <c r="I1950" i="5"/>
  <c r="H1950" i="5"/>
  <c r="G1950" i="5"/>
  <c r="E1950" i="5"/>
  <c r="B1950" i="5"/>
  <c r="R1949" i="5"/>
  <c r="Q1949" i="5"/>
  <c r="P1949" i="5"/>
  <c r="O1949" i="5"/>
  <c r="N1949" i="5"/>
  <c r="M1949" i="5"/>
  <c r="L1949" i="5"/>
  <c r="J1949" i="5"/>
  <c r="I1949" i="5"/>
  <c r="H1949" i="5"/>
  <c r="G1949" i="5"/>
  <c r="F1949" i="5"/>
  <c r="E1949" i="5"/>
  <c r="C1949" i="5"/>
  <c r="A1949" i="5" s="1"/>
  <c r="B1949" i="5"/>
  <c r="K1949" i="5" s="1"/>
  <c r="Q1948" i="5"/>
  <c r="N1948" i="5"/>
  <c r="M1948" i="5"/>
  <c r="K1948" i="5"/>
  <c r="I1948" i="5"/>
  <c r="G1948" i="5"/>
  <c r="E1948" i="5"/>
  <c r="B1948" i="5"/>
  <c r="R1947" i="5"/>
  <c r="O1947" i="5"/>
  <c r="B1947" i="5"/>
  <c r="B1946" i="5"/>
  <c r="R1945" i="5"/>
  <c r="Q1945" i="5"/>
  <c r="P1945" i="5"/>
  <c r="N1945" i="5"/>
  <c r="M1945" i="5"/>
  <c r="L1945" i="5"/>
  <c r="J1945" i="5"/>
  <c r="I1945" i="5"/>
  <c r="H1945" i="5"/>
  <c r="F1945" i="5"/>
  <c r="E1945" i="5"/>
  <c r="C1945" i="5"/>
  <c r="B1945" i="5"/>
  <c r="O1945" i="5" s="1"/>
  <c r="Q1944" i="5"/>
  <c r="M1944" i="5"/>
  <c r="K1944" i="5"/>
  <c r="J1944" i="5"/>
  <c r="I1944" i="5"/>
  <c r="B1944" i="5"/>
  <c r="P1943" i="5"/>
  <c r="O1943" i="5"/>
  <c r="N1943" i="5"/>
  <c r="L1943" i="5"/>
  <c r="H1943" i="5"/>
  <c r="C1943" i="5"/>
  <c r="B1943" i="5"/>
  <c r="M1942" i="5"/>
  <c r="B1942" i="5"/>
  <c r="R1941" i="5"/>
  <c r="Q1941" i="5"/>
  <c r="P1941" i="5"/>
  <c r="O1941" i="5"/>
  <c r="N1941" i="5"/>
  <c r="M1941" i="5"/>
  <c r="L1941" i="5"/>
  <c r="J1941" i="5"/>
  <c r="I1941" i="5"/>
  <c r="H1941" i="5"/>
  <c r="A1941" i="5" s="1"/>
  <c r="G1941" i="5"/>
  <c r="F1941" i="5"/>
  <c r="E1941" i="5"/>
  <c r="C1941" i="5"/>
  <c r="B1941" i="5"/>
  <c r="K1941" i="5" s="1"/>
  <c r="Q1940" i="5"/>
  <c r="P1940" i="5"/>
  <c r="E1940" i="5"/>
  <c r="B1940" i="5"/>
  <c r="R1939" i="5"/>
  <c r="P1939" i="5"/>
  <c r="L1939" i="5"/>
  <c r="K1939" i="5"/>
  <c r="J1939" i="5"/>
  <c r="I1939" i="5"/>
  <c r="H1939" i="5"/>
  <c r="F1939" i="5"/>
  <c r="B1939" i="5"/>
  <c r="R1938" i="5"/>
  <c r="Q1938" i="5"/>
  <c r="P1938" i="5"/>
  <c r="O1938" i="5"/>
  <c r="M1938" i="5"/>
  <c r="K1938" i="5"/>
  <c r="J1938" i="5"/>
  <c r="I1938" i="5"/>
  <c r="H1938" i="5"/>
  <c r="G1938" i="5"/>
  <c r="E1938" i="5"/>
  <c r="C1938" i="5"/>
  <c r="B1938" i="5"/>
  <c r="Q1937" i="5"/>
  <c r="I1937" i="5"/>
  <c r="F1937" i="5"/>
  <c r="E1937" i="5"/>
  <c r="C1937" i="5"/>
  <c r="B1937" i="5"/>
  <c r="N1937" i="5" s="1"/>
  <c r="O1936" i="5"/>
  <c r="M1936" i="5"/>
  <c r="L1936" i="5"/>
  <c r="K1936" i="5"/>
  <c r="I1936" i="5"/>
  <c r="G1936" i="5"/>
  <c r="E1936" i="5"/>
  <c r="B1936" i="5"/>
  <c r="P1935" i="5"/>
  <c r="O1935" i="5"/>
  <c r="N1935" i="5"/>
  <c r="L1935" i="5"/>
  <c r="K1935" i="5"/>
  <c r="J1935" i="5"/>
  <c r="G1935" i="5"/>
  <c r="F1935" i="5"/>
  <c r="E1935" i="5"/>
  <c r="C1935" i="5"/>
  <c r="B1935" i="5"/>
  <c r="H1934" i="5"/>
  <c r="E1934" i="5"/>
  <c r="C1934" i="5"/>
  <c r="B1934" i="5"/>
  <c r="N1934" i="5" s="1"/>
  <c r="R1933" i="5"/>
  <c r="Q1933" i="5"/>
  <c r="P1933" i="5"/>
  <c r="O1933" i="5"/>
  <c r="N1933" i="5"/>
  <c r="M1933" i="5"/>
  <c r="L1933" i="5"/>
  <c r="J1933" i="5"/>
  <c r="I1933" i="5"/>
  <c r="H1933" i="5"/>
  <c r="G1933" i="5"/>
  <c r="F1933" i="5"/>
  <c r="E1933" i="5"/>
  <c r="C1933" i="5"/>
  <c r="A1933" i="5" s="1"/>
  <c r="B1933" i="5"/>
  <c r="K1933" i="5" s="1"/>
  <c r="J1932" i="5"/>
  <c r="I1932" i="5"/>
  <c r="H1932" i="5"/>
  <c r="G1932" i="5"/>
  <c r="B1932" i="5"/>
  <c r="Q1932" i="5" s="1"/>
  <c r="O1931" i="5"/>
  <c r="L1931" i="5"/>
  <c r="J1931" i="5"/>
  <c r="H1931" i="5"/>
  <c r="G1931" i="5"/>
  <c r="B1931" i="5"/>
  <c r="P1931" i="5" s="1"/>
  <c r="R1930" i="5"/>
  <c r="Q1930" i="5"/>
  <c r="P1930" i="5"/>
  <c r="O1930" i="5"/>
  <c r="M1930" i="5"/>
  <c r="K1930" i="5"/>
  <c r="J1930" i="5"/>
  <c r="I1930" i="5"/>
  <c r="H1930" i="5"/>
  <c r="G1930" i="5"/>
  <c r="E1930" i="5"/>
  <c r="C1930" i="5"/>
  <c r="B1930" i="5"/>
  <c r="R1929" i="5"/>
  <c r="Q1929" i="5"/>
  <c r="N1929" i="5"/>
  <c r="L1929" i="5"/>
  <c r="J1929" i="5"/>
  <c r="I1929" i="5"/>
  <c r="H1929" i="5"/>
  <c r="F1929" i="5"/>
  <c r="C1929" i="5"/>
  <c r="B1929" i="5"/>
  <c r="E1928" i="5"/>
  <c r="C1928" i="5"/>
  <c r="B1928" i="5"/>
  <c r="J1927" i="5"/>
  <c r="F1927" i="5"/>
  <c r="C1927" i="5"/>
  <c r="B1927" i="5"/>
  <c r="N1927" i="5" s="1"/>
  <c r="O1926" i="5"/>
  <c r="K1926" i="5"/>
  <c r="I1926" i="5"/>
  <c r="H1926" i="5"/>
  <c r="F1926" i="5"/>
  <c r="E1926" i="5"/>
  <c r="B1926" i="5"/>
  <c r="M1926" i="5" s="1"/>
  <c r="R1925" i="5"/>
  <c r="Q1925" i="5"/>
  <c r="P1925" i="5"/>
  <c r="O1925" i="5"/>
  <c r="N1925" i="5"/>
  <c r="M1925" i="5"/>
  <c r="L1925" i="5"/>
  <c r="J1925" i="5"/>
  <c r="I1925" i="5"/>
  <c r="H1925" i="5"/>
  <c r="G1925" i="5"/>
  <c r="F1925" i="5"/>
  <c r="E1925" i="5"/>
  <c r="C1925" i="5"/>
  <c r="B1925" i="5"/>
  <c r="K1925" i="5" s="1"/>
  <c r="N1924" i="5"/>
  <c r="M1924" i="5"/>
  <c r="K1924" i="5"/>
  <c r="I1924" i="5"/>
  <c r="G1924" i="5"/>
  <c r="B1924" i="5"/>
  <c r="P1924" i="5" s="1"/>
  <c r="R1923" i="5"/>
  <c r="P1923" i="5"/>
  <c r="L1923" i="5"/>
  <c r="K1923" i="5"/>
  <c r="J1923" i="5"/>
  <c r="I1923" i="5"/>
  <c r="H1923" i="5"/>
  <c r="F1923" i="5"/>
  <c r="B1923" i="5"/>
  <c r="R1922" i="5"/>
  <c r="Q1922" i="5"/>
  <c r="P1922" i="5"/>
  <c r="O1922" i="5"/>
  <c r="M1922" i="5"/>
  <c r="K1922" i="5"/>
  <c r="J1922" i="5"/>
  <c r="I1922" i="5"/>
  <c r="H1922" i="5"/>
  <c r="G1922" i="5"/>
  <c r="E1922" i="5"/>
  <c r="C1922" i="5"/>
  <c r="B1922" i="5"/>
  <c r="Q1921" i="5"/>
  <c r="P1921" i="5"/>
  <c r="N1921" i="5"/>
  <c r="B1921" i="5"/>
  <c r="G1920" i="5"/>
  <c r="E1920" i="5"/>
  <c r="B1920" i="5"/>
  <c r="P1919" i="5"/>
  <c r="O1919" i="5"/>
  <c r="N1919" i="5"/>
  <c r="L1919" i="5"/>
  <c r="K1919" i="5"/>
  <c r="J1919" i="5"/>
  <c r="G1919" i="5"/>
  <c r="F1919" i="5"/>
  <c r="E1919" i="5"/>
  <c r="C1919" i="5"/>
  <c r="B1919" i="5"/>
  <c r="M1918" i="5"/>
  <c r="L1918" i="5"/>
  <c r="B1918" i="5"/>
  <c r="R1917" i="5"/>
  <c r="Q1917" i="5"/>
  <c r="P1917" i="5"/>
  <c r="O1917" i="5"/>
  <c r="N1917" i="5"/>
  <c r="M1917" i="5"/>
  <c r="L1917" i="5"/>
  <c r="J1917" i="5"/>
  <c r="I1917" i="5"/>
  <c r="A1917" i="5" s="1"/>
  <c r="H1917" i="5"/>
  <c r="G1917" i="5"/>
  <c r="F1917" i="5"/>
  <c r="E1917" i="5"/>
  <c r="C1917" i="5"/>
  <c r="B1917" i="5"/>
  <c r="K1917" i="5" s="1"/>
  <c r="R1916" i="5"/>
  <c r="Q1916" i="5"/>
  <c r="N1916" i="5"/>
  <c r="G1916" i="5"/>
  <c r="B1916" i="5"/>
  <c r="R1915" i="5"/>
  <c r="Q1915" i="5"/>
  <c r="H1915" i="5"/>
  <c r="G1915" i="5"/>
  <c r="F1915" i="5"/>
  <c r="B1915" i="5"/>
  <c r="R1914" i="5"/>
  <c r="Q1914" i="5"/>
  <c r="P1914" i="5"/>
  <c r="O1914" i="5"/>
  <c r="M1914" i="5"/>
  <c r="K1914" i="5"/>
  <c r="J1914" i="5"/>
  <c r="I1914" i="5"/>
  <c r="H1914" i="5"/>
  <c r="G1914" i="5"/>
  <c r="E1914" i="5"/>
  <c r="C1914" i="5"/>
  <c r="B1914" i="5"/>
  <c r="R1913" i="5"/>
  <c r="Q1913" i="5"/>
  <c r="N1913" i="5"/>
  <c r="L1913" i="5"/>
  <c r="J1913" i="5"/>
  <c r="I1913" i="5"/>
  <c r="H1913" i="5"/>
  <c r="F1913" i="5"/>
  <c r="C1913" i="5"/>
  <c r="B1913" i="5"/>
  <c r="Q1912" i="5"/>
  <c r="N1912" i="5"/>
  <c r="M1912" i="5"/>
  <c r="K1912" i="5"/>
  <c r="G1912" i="5"/>
  <c r="F1912" i="5"/>
  <c r="C1912" i="5"/>
  <c r="B1912" i="5"/>
  <c r="M1911" i="5"/>
  <c r="L1911" i="5"/>
  <c r="B1911" i="5"/>
  <c r="B1910" i="5"/>
  <c r="R1909" i="5"/>
  <c r="Q1909" i="5"/>
  <c r="P1909" i="5"/>
  <c r="O1909" i="5"/>
  <c r="N1909" i="5"/>
  <c r="M1909" i="5"/>
  <c r="L1909" i="5"/>
  <c r="J1909" i="5"/>
  <c r="I1909" i="5"/>
  <c r="H1909" i="5"/>
  <c r="G1909" i="5"/>
  <c r="F1909" i="5"/>
  <c r="E1909" i="5"/>
  <c r="C1909" i="5"/>
  <c r="B1909" i="5"/>
  <c r="K1909" i="5" s="1"/>
  <c r="A1909" i="5"/>
  <c r="Q1908" i="5"/>
  <c r="P1908" i="5"/>
  <c r="M1908" i="5"/>
  <c r="L1908" i="5"/>
  <c r="J1908" i="5"/>
  <c r="H1908" i="5"/>
  <c r="F1908" i="5"/>
  <c r="E1908" i="5"/>
  <c r="C1908" i="5"/>
  <c r="B1908" i="5"/>
  <c r="N1907" i="5"/>
  <c r="M1907" i="5"/>
  <c r="L1907" i="5"/>
  <c r="K1907" i="5"/>
  <c r="B1907" i="5"/>
  <c r="P1906" i="5"/>
  <c r="N1906" i="5"/>
  <c r="G1906" i="5"/>
  <c r="E1906" i="5"/>
  <c r="B1906" i="5"/>
  <c r="L1905" i="5"/>
  <c r="K1905" i="5"/>
  <c r="I1905" i="5"/>
  <c r="H1905" i="5"/>
  <c r="F1905" i="5"/>
  <c r="B1905" i="5"/>
  <c r="M1905" i="5" s="1"/>
  <c r="R1904" i="5"/>
  <c r="Q1904" i="5"/>
  <c r="P1904" i="5"/>
  <c r="O1904" i="5"/>
  <c r="N1904" i="5"/>
  <c r="M1904" i="5"/>
  <c r="L1904" i="5"/>
  <c r="J1904" i="5"/>
  <c r="I1904" i="5"/>
  <c r="H1904" i="5"/>
  <c r="G1904" i="5"/>
  <c r="F1904" i="5"/>
  <c r="E1904" i="5"/>
  <c r="A1904" i="5" s="1"/>
  <c r="C1904" i="5"/>
  <c r="B1904" i="5"/>
  <c r="K1904" i="5" s="1"/>
  <c r="R1903" i="5"/>
  <c r="Q1903" i="5"/>
  <c r="P1903" i="5"/>
  <c r="N1903" i="5"/>
  <c r="K1903" i="5"/>
  <c r="J1903" i="5"/>
  <c r="I1903" i="5"/>
  <c r="H1903" i="5"/>
  <c r="G1903" i="5"/>
  <c r="E1903" i="5"/>
  <c r="B1903" i="5"/>
  <c r="R1902" i="5"/>
  <c r="Q1902" i="5"/>
  <c r="O1902" i="5"/>
  <c r="L1902" i="5"/>
  <c r="J1902" i="5"/>
  <c r="I1902" i="5"/>
  <c r="H1902" i="5"/>
  <c r="G1902" i="5"/>
  <c r="F1902" i="5"/>
  <c r="B1902" i="5"/>
  <c r="R1901" i="5"/>
  <c r="Q1901" i="5"/>
  <c r="P1901" i="5"/>
  <c r="O1901" i="5"/>
  <c r="M1901" i="5"/>
  <c r="K1901" i="5"/>
  <c r="J1901" i="5"/>
  <c r="I1901" i="5"/>
  <c r="H1901" i="5"/>
  <c r="G1901" i="5"/>
  <c r="E1901" i="5"/>
  <c r="C1901" i="5"/>
  <c r="B1901" i="5"/>
  <c r="Q1900" i="5"/>
  <c r="L1900" i="5"/>
  <c r="J1900" i="5"/>
  <c r="H1900" i="5"/>
  <c r="F1900" i="5"/>
  <c r="E1900" i="5"/>
  <c r="B1900" i="5"/>
  <c r="M1900" i="5" s="1"/>
  <c r="N1899" i="5"/>
  <c r="M1899" i="5"/>
  <c r="L1899" i="5"/>
  <c r="C1899" i="5"/>
  <c r="B1899" i="5"/>
  <c r="O1899" i="5" s="1"/>
  <c r="P1898" i="5"/>
  <c r="J1898" i="5"/>
  <c r="G1898" i="5"/>
  <c r="E1898" i="5"/>
  <c r="C1898" i="5"/>
  <c r="B1898" i="5"/>
  <c r="M1898" i="5" s="1"/>
  <c r="Q1897" i="5"/>
  <c r="M1897" i="5"/>
  <c r="L1897" i="5"/>
  <c r="K1897" i="5"/>
  <c r="I1897" i="5"/>
  <c r="H1897" i="5"/>
  <c r="C1897" i="5"/>
  <c r="B1897" i="5"/>
  <c r="R1896" i="5"/>
  <c r="Q1896" i="5"/>
  <c r="P1896" i="5"/>
  <c r="O1896" i="5"/>
  <c r="N1896" i="5"/>
  <c r="M1896" i="5"/>
  <c r="L1896" i="5"/>
  <c r="J1896" i="5"/>
  <c r="I1896" i="5"/>
  <c r="H1896" i="5"/>
  <c r="G1896" i="5"/>
  <c r="F1896" i="5"/>
  <c r="E1896" i="5"/>
  <c r="A1896" i="5" s="1"/>
  <c r="C1896" i="5"/>
  <c r="B1896" i="5"/>
  <c r="K1896" i="5" s="1"/>
  <c r="R1895" i="5"/>
  <c r="Q1895" i="5"/>
  <c r="P1895" i="5"/>
  <c r="N1895" i="5"/>
  <c r="K1895" i="5"/>
  <c r="J1895" i="5"/>
  <c r="I1895" i="5"/>
  <c r="H1895" i="5"/>
  <c r="G1895" i="5"/>
  <c r="E1895" i="5"/>
  <c r="B1895" i="5"/>
  <c r="R1894" i="5"/>
  <c r="L1894" i="5"/>
  <c r="J1894" i="5"/>
  <c r="I1894" i="5"/>
  <c r="H1894" i="5"/>
  <c r="G1894" i="5"/>
  <c r="B1894" i="5"/>
  <c r="O1894" i="5" s="1"/>
  <c r="R1893" i="5"/>
  <c r="Q1893" i="5"/>
  <c r="P1893" i="5"/>
  <c r="O1893" i="5"/>
  <c r="M1893" i="5"/>
  <c r="K1893" i="5"/>
  <c r="J1893" i="5"/>
  <c r="I1893" i="5"/>
  <c r="H1893" i="5"/>
  <c r="G1893" i="5"/>
  <c r="E1893" i="5"/>
  <c r="C1893" i="5"/>
  <c r="B1893" i="5"/>
  <c r="P1892" i="5"/>
  <c r="M1892" i="5"/>
  <c r="L1892" i="5"/>
  <c r="J1892" i="5"/>
  <c r="H1892" i="5"/>
  <c r="F1892" i="5"/>
  <c r="C1892" i="5"/>
  <c r="B1892" i="5"/>
  <c r="B1891" i="5"/>
  <c r="P1890" i="5"/>
  <c r="M1890" i="5"/>
  <c r="L1890" i="5"/>
  <c r="K1890" i="5"/>
  <c r="J1890" i="5"/>
  <c r="G1890" i="5"/>
  <c r="E1890" i="5"/>
  <c r="C1890" i="5"/>
  <c r="B1890" i="5"/>
  <c r="B1889" i="5"/>
  <c r="R1888" i="5"/>
  <c r="Q1888" i="5"/>
  <c r="P1888" i="5"/>
  <c r="O1888" i="5"/>
  <c r="N1888" i="5"/>
  <c r="M1888" i="5"/>
  <c r="L1888" i="5"/>
  <c r="J1888" i="5"/>
  <c r="I1888" i="5"/>
  <c r="H1888" i="5"/>
  <c r="G1888" i="5"/>
  <c r="A1888" i="5" s="1"/>
  <c r="F1888" i="5"/>
  <c r="E1888" i="5"/>
  <c r="C1888" i="5"/>
  <c r="B1888" i="5"/>
  <c r="K1888" i="5" s="1"/>
  <c r="R1887" i="5"/>
  <c r="Q1887" i="5"/>
  <c r="P1887" i="5"/>
  <c r="N1887" i="5"/>
  <c r="K1887" i="5"/>
  <c r="J1887" i="5"/>
  <c r="I1887" i="5"/>
  <c r="H1887" i="5"/>
  <c r="G1887" i="5"/>
  <c r="E1887" i="5"/>
  <c r="B1887" i="5"/>
  <c r="Q1886" i="5"/>
  <c r="O1886" i="5"/>
  <c r="L1886" i="5"/>
  <c r="J1886" i="5"/>
  <c r="I1886" i="5"/>
  <c r="H1886" i="5"/>
  <c r="F1886" i="5"/>
  <c r="B1886" i="5"/>
  <c r="R1885" i="5"/>
  <c r="Q1885" i="5"/>
  <c r="P1885" i="5"/>
  <c r="O1885" i="5"/>
  <c r="M1885" i="5"/>
  <c r="K1885" i="5"/>
  <c r="J1885" i="5"/>
  <c r="I1885" i="5"/>
  <c r="H1885" i="5"/>
  <c r="G1885" i="5"/>
  <c r="E1885" i="5"/>
  <c r="C1885" i="5"/>
  <c r="B1885" i="5"/>
  <c r="N1884" i="5"/>
  <c r="M1884" i="5"/>
  <c r="L1884" i="5"/>
  <c r="J1884" i="5"/>
  <c r="B1884" i="5"/>
  <c r="O1883" i="5"/>
  <c r="N1883" i="5"/>
  <c r="M1883" i="5"/>
  <c r="F1883" i="5"/>
  <c r="E1883" i="5"/>
  <c r="B1883" i="5"/>
  <c r="R1883" i="5" s="1"/>
  <c r="L1882" i="5"/>
  <c r="K1882" i="5"/>
  <c r="J1882" i="5"/>
  <c r="G1882" i="5"/>
  <c r="E1882" i="5"/>
  <c r="B1882" i="5"/>
  <c r="M1882" i="5" s="1"/>
  <c r="M1881" i="5"/>
  <c r="L1881" i="5"/>
  <c r="K1881" i="5"/>
  <c r="C1881" i="5"/>
  <c r="B1881" i="5"/>
  <c r="Q1881" i="5" s="1"/>
  <c r="R1880" i="5"/>
  <c r="Q1880" i="5"/>
  <c r="P1880" i="5"/>
  <c r="O1880" i="5"/>
  <c r="N1880" i="5"/>
  <c r="M1880" i="5"/>
  <c r="L1880" i="5"/>
  <c r="J1880" i="5"/>
  <c r="I1880" i="5"/>
  <c r="H1880" i="5"/>
  <c r="G1880" i="5"/>
  <c r="F1880" i="5"/>
  <c r="E1880" i="5"/>
  <c r="C1880" i="5"/>
  <c r="B1880" i="5"/>
  <c r="K1880" i="5" s="1"/>
  <c r="A1880" i="5" s="1"/>
  <c r="R1879" i="5"/>
  <c r="Q1879" i="5"/>
  <c r="P1879" i="5"/>
  <c r="N1879" i="5"/>
  <c r="K1879" i="5"/>
  <c r="J1879" i="5"/>
  <c r="I1879" i="5"/>
  <c r="H1879" i="5"/>
  <c r="G1879" i="5"/>
  <c r="E1879" i="5"/>
  <c r="B1879" i="5"/>
  <c r="P1878" i="5"/>
  <c r="O1878" i="5"/>
  <c r="L1878" i="5"/>
  <c r="J1878" i="5"/>
  <c r="I1878" i="5"/>
  <c r="B1878" i="5"/>
  <c r="R1877" i="5"/>
  <c r="Q1877" i="5"/>
  <c r="P1877" i="5"/>
  <c r="O1877" i="5"/>
  <c r="M1877" i="5"/>
  <c r="K1877" i="5"/>
  <c r="J1877" i="5"/>
  <c r="I1877" i="5"/>
  <c r="H1877" i="5"/>
  <c r="G1877" i="5"/>
  <c r="E1877" i="5"/>
  <c r="C1877" i="5"/>
  <c r="B1877" i="5"/>
  <c r="B1876" i="5"/>
  <c r="C1875" i="5"/>
  <c r="B1875" i="5"/>
  <c r="P1874" i="5"/>
  <c r="M1874" i="5"/>
  <c r="L1874" i="5"/>
  <c r="K1874" i="5"/>
  <c r="J1874" i="5"/>
  <c r="G1874" i="5"/>
  <c r="C1874" i="5"/>
  <c r="B1874" i="5"/>
  <c r="C1873" i="5"/>
  <c r="B1873" i="5"/>
  <c r="Q1873" i="5" s="1"/>
  <c r="R1872" i="5"/>
  <c r="Q1872" i="5"/>
  <c r="P1872" i="5"/>
  <c r="O1872" i="5"/>
  <c r="N1872" i="5"/>
  <c r="M1872" i="5"/>
  <c r="L1872" i="5"/>
  <c r="J1872" i="5"/>
  <c r="I1872" i="5"/>
  <c r="H1872" i="5"/>
  <c r="G1872" i="5"/>
  <c r="F1872" i="5"/>
  <c r="E1872" i="5"/>
  <c r="C1872" i="5"/>
  <c r="B1872" i="5"/>
  <c r="K1872" i="5" s="1"/>
  <c r="R1871" i="5"/>
  <c r="Q1871" i="5"/>
  <c r="P1871" i="5"/>
  <c r="N1871" i="5"/>
  <c r="K1871" i="5"/>
  <c r="J1871" i="5"/>
  <c r="I1871" i="5"/>
  <c r="H1871" i="5"/>
  <c r="G1871" i="5"/>
  <c r="E1871" i="5"/>
  <c r="B1871" i="5"/>
  <c r="L1870" i="5"/>
  <c r="J1870" i="5"/>
  <c r="B1870" i="5"/>
  <c r="R1869" i="5"/>
  <c r="Q1869" i="5"/>
  <c r="P1869" i="5"/>
  <c r="O1869" i="5"/>
  <c r="M1869" i="5"/>
  <c r="K1869" i="5"/>
  <c r="J1869" i="5"/>
  <c r="I1869" i="5"/>
  <c r="H1869" i="5"/>
  <c r="G1869" i="5"/>
  <c r="E1869" i="5"/>
  <c r="C1869" i="5"/>
  <c r="B1869" i="5"/>
  <c r="Q1868" i="5"/>
  <c r="N1868" i="5"/>
  <c r="B1868" i="5"/>
  <c r="R1867" i="5"/>
  <c r="Q1867" i="5"/>
  <c r="N1867" i="5"/>
  <c r="L1867" i="5"/>
  <c r="K1867" i="5"/>
  <c r="I1867" i="5"/>
  <c r="G1867" i="5"/>
  <c r="F1867" i="5"/>
  <c r="C1867" i="5"/>
  <c r="B1867" i="5"/>
  <c r="G1866" i="5"/>
  <c r="F1866" i="5"/>
  <c r="E1866" i="5"/>
  <c r="C1866" i="5"/>
  <c r="B1866" i="5"/>
  <c r="O1866" i="5" s="1"/>
  <c r="K1865" i="5"/>
  <c r="I1865" i="5"/>
  <c r="B1865" i="5"/>
  <c r="R1864" i="5"/>
  <c r="Q1864" i="5"/>
  <c r="P1864" i="5"/>
  <c r="O1864" i="5"/>
  <c r="N1864" i="5"/>
  <c r="M1864" i="5"/>
  <c r="L1864" i="5"/>
  <c r="J1864" i="5"/>
  <c r="I1864" i="5"/>
  <c r="H1864" i="5"/>
  <c r="G1864" i="5"/>
  <c r="F1864" i="5"/>
  <c r="E1864" i="5"/>
  <c r="C1864" i="5"/>
  <c r="B1864" i="5"/>
  <c r="K1864" i="5" s="1"/>
  <c r="A1864" i="5"/>
  <c r="R1863" i="5"/>
  <c r="Q1863" i="5"/>
  <c r="P1863" i="5"/>
  <c r="M1863" i="5"/>
  <c r="K1863" i="5"/>
  <c r="J1863" i="5"/>
  <c r="I1863" i="5"/>
  <c r="H1863" i="5"/>
  <c r="G1863" i="5"/>
  <c r="E1863" i="5"/>
  <c r="B1863" i="5"/>
  <c r="P1862" i="5"/>
  <c r="O1862" i="5"/>
  <c r="L1862" i="5"/>
  <c r="K1862" i="5"/>
  <c r="G1862" i="5"/>
  <c r="B1862" i="5"/>
  <c r="Q1862" i="5" s="1"/>
  <c r="R1861" i="5"/>
  <c r="Q1861" i="5"/>
  <c r="P1861" i="5"/>
  <c r="O1861" i="5"/>
  <c r="M1861" i="5"/>
  <c r="K1861" i="5"/>
  <c r="J1861" i="5"/>
  <c r="I1861" i="5"/>
  <c r="H1861" i="5"/>
  <c r="G1861" i="5"/>
  <c r="E1861" i="5"/>
  <c r="C1861" i="5"/>
  <c r="B1861" i="5"/>
  <c r="R1860" i="5"/>
  <c r="Q1860" i="5"/>
  <c r="P1860" i="5"/>
  <c r="J1860" i="5"/>
  <c r="I1860" i="5"/>
  <c r="H1860" i="5"/>
  <c r="F1860" i="5"/>
  <c r="E1860" i="5"/>
  <c r="B1860" i="5"/>
  <c r="L1860" i="5" s="1"/>
  <c r="O1859" i="5"/>
  <c r="N1859" i="5"/>
  <c r="M1859" i="5"/>
  <c r="L1859" i="5"/>
  <c r="F1859" i="5"/>
  <c r="E1859" i="5"/>
  <c r="C1859" i="5"/>
  <c r="B1859" i="5"/>
  <c r="M1858" i="5"/>
  <c r="L1858" i="5"/>
  <c r="K1858" i="5"/>
  <c r="J1858" i="5"/>
  <c r="B1858" i="5"/>
  <c r="Q1857" i="5"/>
  <c r="O1857" i="5"/>
  <c r="N1857" i="5"/>
  <c r="L1857" i="5"/>
  <c r="K1857" i="5"/>
  <c r="I1857" i="5"/>
  <c r="H1857" i="5"/>
  <c r="F1857" i="5"/>
  <c r="E1857" i="5"/>
  <c r="C1857" i="5"/>
  <c r="B1857" i="5"/>
  <c r="R1856" i="5"/>
  <c r="Q1856" i="5"/>
  <c r="P1856" i="5"/>
  <c r="O1856" i="5"/>
  <c r="N1856" i="5"/>
  <c r="M1856" i="5"/>
  <c r="L1856" i="5"/>
  <c r="J1856" i="5"/>
  <c r="I1856" i="5"/>
  <c r="H1856" i="5"/>
  <c r="G1856" i="5"/>
  <c r="F1856" i="5"/>
  <c r="E1856" i="5"/>
  <c r="C1856" i="5"/>
  <c r="A1856" i="5" s="1"/>
  <c r="B1856" i="5"/>
  <c r="K1856" i="5" s="1"/>
  <c r="B1855" i="5"/>
  <c r="R1854" i="5"/>
  <c r="Q1854" i="5"/>
  <c r="K1854" i="5"/>
  <c r="J1854" i="5"/>
  <c r="I1854" i="5"/>
  <c r="H1854" i="5"/>
  <c r="G1854" i="5"/>
  <c r="B1854" i="5"/>
  <c r="L1854" i="5" s="1"/>
  <c r="R1853" i="5"/>
  <c r="Q1853" i="5"/>
  <c r="P1853" i="5"/>
  <c r="O1853" i="5"/>
  <c r="M1853" i="5"/>
  <c r="K1853" i="5"/>
  <c r="J1853" i="5"/>
  <c r="I1853" i="5"/>
  <c r="H1853" i="5"/>
  <c r="G1853" i="5"/>
  <c r="E1853" i="5"/>
  <c r="C1853" i="5"/>
  <c r="B1853" i="5"/>
  <c r="N1852" i="5"/>
  <c r="M1852" i="5"/>
  <c r="L1852" i="5"/>
  <c r="J1852" i="5"/>
  <c r="E1852" i="5"/>
  <c r="B1852" i="5"/>
  <c r="P1852" i="5" s="1"/>
  <c r="R1851" i="5"/>
  <c r="Q1851" i="5"/>
  <c r="N1851" i="5"/>
  <c r="L1851" i="5"/>
  <c r="K1851" i="5"/>
  <c r="I1851" i="5"/>
  <c r="G1851" i="5"/>
  <c r="F1851" i="5"/>
  <c r="C1851" i="5"/>
  <c r="B1851" i="5"/>
  <c r="O1850" i="5"/>
  <c r="E1850" i="5"/>
  <c r="C1850" i="5"/>
  <c r="B1850" i="5"/>
  <c r="C1849" i="5"/>
  <c r="B1849" i="5"/>
  <c r="N1849" i="5" s="1"/>
  <c r="R1848" i="5"/>
  <c r="Q1848" i="5"/>
  <c r="P1848" i="5"/>
  <c r="O1848" i="5"/>
  <c r="N1848" i="5"/>
  <c r="M1848" i="5"/>
  <c r="L1848" i="5"/>
  <c r="J1848" i="5"/>
  <c r="I1848" i="5"/>
  <c r="H1848" i="5"/>
  <c r="G1848" i="5"/>
  <c r="F1848" i="5"/>
  <c r="E1848" i="5"/>
  <c r="C1848" i="5"/>
  <c r="B1848" i="5"/>
  <c r="K1848" i="5" s="1"/>
  <c r="R1847" i="5"/>
  <c r="Q1847" i="5"/>
  <c r="P1847" i="5"/>
  <c r="M1847" i="5"/>
  <c r="J1847" i="5"/>
  <c r="I1847" i="5"/>
  <c r="H1847" i="5"/>
  <c r="G1847" i="5"/>
  <c r="E1847" i="5"/>
  <c r="B1847" i="5"/>
  <c r="K1847" i="5" s="1"/>
  <c r="G1846" i="5"/>
  <c r="B1846" i="5"/>
  <c r="R1845" i="5"/>
  <c r="Q1845" i="5"/>
  <c r="P1845" i="5"/>
  <c r="O1845" i="5"/>
  <c r="M1845" i="5"/>
  <c r="K1845" i="5"/>
  <c r="J1845" i="5"/>
  <c r="I1845" i="5"/>
  <c r="H1845" i="5"/>
  <c r="G1845" i="5"/>
  <c r="E1845" i="5"/>
  <c r="C1845" i="5"/>
  <c r="B1845" i="5"/>
  <c r="R1844" i="5"/>
  <c r="Q1844" i="5"/>
  <c r="P1844" i="5"/>
  <c r="J1844" i="5"/>
  <c r="I1844" i="5"/>
  <c r="H1844" i="5"/>
  <c r="F1844" i="5"/>
  <c r="E1844" i="5"/>
  <c r="B1844" i="5"/>
  <c r="L1844" i="5" s="1"/>
  <c r="L1843" i="5"/>
  <c r="F1843" i="5"/>
  <c r="E1843" i="5"/>
  <c r="C1843" i="5"/>
  <c r="B1843" i="5"/>
  <c r="O1843" i="5" s="1"/>
  <c r="J1842" i="5"/>
  <c r="B1842" i="5"/>
  <c r="Q1841" i="5"/>
  <c r="O1841" i="5"/>
  <c r="N1841" i="5"/>
  <c r="L1841" i="5"/>
  <c r="I1841" i="5"/>
  <c r="H1841" i="5"/>
  <c r="F1841" i="5"/>
  <c r="E1841" i="5"/>
  <c r="C1841" i="5"/>
  <c r="B1841" i="5"/>
  <c r="K1841" i="5" s="1"/>
  <c r="R1840" i="5"/>
  <c r="Q1840" i="5"/>
  <c r="P1840" i="5"/>
  <c r="O1840" i="5"/>
  <c r="N1840" i="5"/>
  <c r="M1840" i="5"/>
  <c r="L1840" i="5"/>
  <c r="J1840" i="5"/>
  <c r="I1840" i="5"/>
  <c r="H1840" i="5"/>
  <c r="G1840" i="5"/>
  <c r="F1840" i="5"/>
  <c r="E1840" i="5"/>
  <c r="C1840" i="5"/>
  <c r="B1840" i="5"/>
  <c r="K1840" i="5" s="1"/>
  <c r="M1839" i="5"/>
  <c r="K1839" i="5"/>
  <c r="J1839" i="5"/>
  <c r="E1839" i="5"/>
  <c r="B1839" i="5"/>
  <c r="P1839" i="5" s="1"/>
  <c r="R1838" i="5"/>
  <c r="Q1838" i="5"/>
  <c r="K1838" i="5"/>
  <c r="J1838" i="5"/>
  <c r="I1838" i="5"/>
  <c r="H1838" i="5"/>
  <c r="G1838" i="5"/>
  <c r="B1838" i="5"/>
  <c r="L1838" i="5" s="1"/>
  <c r="R1837" i="5"/>
  <c r="Q1837" i="5"/>
  <c r="P1837" i="5"/>
  <c r="O1837" i="5"/>
  <c r="M1837" i="5"/>
  <c r="K1837" i="5"/>
  <c r="J1837" i="5"/>
  <c r="I1837" i="5"/>
  <c r="H1837" i="5"/>
  <c r="G1837" i="5"/>
  <c r="E1837" i="5"/>
  <c r="C1837" i="5"/>
  <c r="B1837" i="5"/>
  <c r="P1836" i="5"/>
  <c r="B1836" i="5"/>
  <c r="R1835" i="5"/>
  <c r="Q1835" i="5"/>
  <c r="O1835" i="5"/>
  <c r="N1835" i="5"/>
  <c r="L1835" i="5"/>
  <c r="K1835" i="5"/>
  <c r="I1835" i="5"/>
  <c r="G1835" i="5"/>
  <c r="F1835" i="5"/>
  <c r="E1835" i="5"/>
  <c r="C1835" i="5"/>
  <c r="B1835" i="5"/>
  <c r="P1834" i="5"/>
  <c r="M1834" i="5"/>
  <c r="B1834" i="5"/>
  <c r="N1833" i="5"/>
  <c r="M1833" i="5"/>
  <c r="L1833" i="5"/>
  <c r="K1833" i="5"/>
  <c r="I1833" i="5"/>
  <c r="C1833" i="5"/>
  <c r="B1833" i="5"/>
  <c r="R1832" i="5"/>
  <c r="Q1832" i="5"/>
  <c r="P1832" i="5"/>
  <c r="O1832" i="5"/>
  <c r="N1832" i="5"/>
  <c r="M1832" i="5"/>
  <c r="L1832" i="5"/>
  <c r="J1832" i="5"/>
  <c r="I1832" i="5"/>
  <c r="H1832" i="5"/>
  <c r="G1832" i="5"/>
  <c r="F1832" i="5"/>
  <c r="E1832" i="5"/>
  <c r="C1832" i="5"/>
  <c r="B1832" i="5"/>
  <c r="K1832" i="5" s="1"/>
  <c r="R1831" i="5"/>
  <c r="Q1831" i="5"/>
  <c r="P1831" i="5"/>
  <c r="M1831" i="5"/>
  <c r="J1831" i="5"/>
  <c r="I1831" i="5"/>
  <c r="H1831" i="5"/>
  <c r="G1831" i="5"/>
  <c r="E1831" i="5"/>
  <c r="B1831" i="5"/>
  <c r="K1831" i="5" s="1"/>
  <c r="B1830" i="5"/>
  <c r="R1829" i="5"/>
  <c r="Q1829" i="5"/>
  <c r="P1829" i="5"/>
  <c r="O1829" i="5"/>
  <c r="M1829" i="5"/>
  <c r="K1829" i="5"/>
  <c r="J1829" i="5"/>
  <c r="I1829" i="5"/>
  <c r="H1829" i="5"/>
  <c r="G1829" i="5"/>
  <c r="E1829" i="5"/>
  <c r="C1829" i="5"/>
  <c r="B1829" i="5"/>
  <c r="R1828" i="5"/>
  <c r="Q1828" i="5"/>
  <c r="P1828" i="5"/>
  <c r="J1828" i="5"/>
  <c r="I1828" i="5"/>
  <c r="H1828" i="5"/>
  <c r="F1828" i="5"/>
  <c r="E1828" i="5"/>
  <c r="B1828" i="5"/>
  <c r="L1828" i="5" s="1"/>
  <c r="B1827" i="5"/>
  <c r="B1826" i="5"/>
  <c r="Q1825" i="5"/>
  <c r="O1825" i="5"/>
  <c r="N1825" i="5"/>
  <c r="L1825" i="5"/>
  <c r="I1825" i="5"/>
  <c r="H1825" i="5"/>
  <c r="F1825" i="5"/>
  <c r="E1825" i="5"/>
  <c r="C1825" i="5"/>
  <c r="B1825" i="5"/>
  <c r="K1825" i="5" s="1"/>
  <c r="R1824" i="5"/>
  <c r="Q1824" i="5"/>
  <c r="P1824" i="5"/>
  <c r="O1824" i="5"/>
  <c r="N1824" i="5"/>
  <c r="M1824" i="5"/>
  <c r="L1824" i="5"/>
  <c r="J1824" i="5"/>
  <c r="I1824" i="5"/>
  <c r="H1824" i="5"/>
  <c r="G1824" i="5"/>
  <c r="F1824" i="5"/>
  <c r="E1824" i="5"/>
  <c r="C1824" i="5"/>
  <c r="B1824" i="5"/>
  <c r="K1824" i="5" s="1"/>
  <c r="B1823" i="5"/>
  <c r="J1822" i="5"/>
  <c r="I1822" i="5"/>
  <c r="H1822" i="5"/>
  <c r="G1822" i="5"/>
  <c r="B1822" i="5"/>
  <c r="Q1822" i="5" s="1"/>
  <c r="R1821" i="5"/>
  <c r="Q1821" i="5"/>
  <c r="P1821" i="5"/>
  <c r="O1821" i="5"/>
  <c r="M1821" i="5"/>
  <c r="K1821" i="5"/>
  <c r="J1821" i="5"/>
  <c r="I1821" i="5"/>
  <c r="H1821" i="5"/>
  <c r="G1821" i="5"/>
  <c r="E1821" i="5"/>
  <c r="C1821" i="5"/>
  <c r="B1821" i="5"/>
  <c r="C1820" i="5"/>
  <c r="B1820" i="5"/>
  <c r="R1819" i="5"/>
  <c r="Q1819" i="5"/>
  <c r="O1819" i="5"/>
  <c r="N1819" i="5"/>
  <c r="L1819" i="5"/>
  <c r="K1819" i="5"/>
  <c r="I1819" i="5"/>
  <c r="G1819" i="5"/>
  <c r="F1819" i="5"/>
  <c r="E1819" i="5"/>
  <c r="C1819" i="5"/>
  <c r="B1819" i="5"/>
  <c r="P1818" i="5"/>
  <c r="O1818" i="5"/>
  <c r="N1818" i="5"/>
  <c r="C1818" i="5"/>
  <c r="B1818" i="5"/>
  <c r="E1818" i="5" s="1"/>
  <c r="C1817" i="5"/>
  <c r="B1817" i="5"/>
  <c r="R1816" i="5"/>
  <c r="Q1816" i="5"/>
  <c r="P1816" i="5"/>
  <c r="O1816" i="5"/>
  <c r="N1816" i="5"/>
  <c r="M1816" i="5"/>
  <c r="L1816" i="5"/>
  <c r="J1816" i="5"/>
  <c r="I1816" i="5"/>
  <c r="H1816" i="5"/>
  <c r="G1816" i="5"/>
  <c r="F1816" i="5"/>
  <c r="E1816" i="5"/>
  <c r="C1816" i="5"/>
  <c r="B1816" i="5"/>
  <c r="K1816" i="5" s="1"/>
  <c r="A1816" i="5" s="1"/>
  <c r="R1815" i="5"/>
  <c r="Q1815" i="5"/>
  <c r="P1815" i="5"/>
  <c r="M1815" i="5"/>
  <c r="J1815" i="5"/>
  <c r="I1815" i="5"/>
  <c r="H1815" i="5"/>
  <c r="G1815" i="5"/>
  <c r="E1815" i="5"/>
  <c r="B1815" i="5"/>
  <c r="K1815" i="5" s="1"/>
  <c r="P1814" i="5"/>
  <c r="O1814" i="5"/>
  <c r="L1814" i="5"/>
  <c r="K1814" i="5"/>
  <c r="I1814" i="5"/>
  <c r="G1814" i="5"/>
  <c r="F1814" i="5"/>
  <c r="B1814" i="5"/>
  <c r="R1813" i="5"/>
  <c r="Q1813" i="5"/>
  <c r="P1813" i="5"/>
  <c r="O1813" i="5"/>
  <c r="M1813" i="5"/>
  <c r="K1813" i="5"/>
  <c r="J1813" i="5"/>
  <c r="I1813" i="5"/>
  <c r="H1813" i="5"/>
  <c r="G1813" i="5"/>
  <c r="E1813" i="5"/>
  <c r="C1813" i="5"/>
  <c r="B1813" i="5"/>
  <c r="R1812" i="5"/>
  <c r="Q1812" i="5"/>
  <c r="P1812" i="5"/>
  <c r="N1812" i="5"/>
  <c r="M1812" i="5"/>
  <c r="L1812" i="5"/>
  <c r="J1812" i="5"/>
  <c r="I1812" i="5"/>
  <c r="H1812" i="5"/>
  <c r="G1812" i="5"/>
  <c r="F1812" i="5"/>
  <c r="E1812" i="5"/>
  <c r="C1812" i="5"/>
  <c r="B1812" i="5"/>
  <c r="O1812" i="5" s="1"/>
  <c r="P1811" i="5"/>
  <c r="O1811" i="5"/>
  <c r="J1811" i="5"/>
  <c r="B1811" i="5"/>
  <c r="M1811" i="5" s="1"/>
  <c r="R1810" i="5"/>
  <c r="Q1810" i="5"/>
  <c r="P1810" i="5"/>
  <c r="O1810" i="5"/>
  <c r="N1810" i="5"/>
  <c r="K1810" i="5"/>
  <c r="I1810" i="5"/>
  <c r="H1810" i="5"/>
  <c r="G1810" i="5"/>
  <c r="F1810" i="5"/>
  <c r="C1810" i="5"/>
  <c r="B1810" i="5"/>
  <c r="J1810" i="5" s="1"/>
  <c r="O1809" i="5"/>
  <c r="L1809" i="5"/>
  <c r="J1809" i="5"/>
  <c r="B1809" i="5"/>
  <c r="M1809" i="5" s="1"/>
  <c r="R1808" i="5"/>
  <c r="P1808" i="5"/>
  <c r="N1808" i="5"/>
  <c r="F1808" i="5"/>
  <c r="C1808" i="5"/>
  <c r="B1808" i="5"/>
  <c r="E1808" i="5" s="1"/>
  <c r="L1807" i="5"/>
  <c r="K1807" i="5"/>
  <c r="J1807" i="5"/>
  <c r="G1807" i="5"/>
  <c r="E1807" i="5"/>
  <c r="B1807" i="5"/>
  <c r="M1807" i="5" s="1"/>
  <c r="R1806" i="5"/>
  <c r="B1806" i="5"/>
  <c r="Q1805" i="5"/>
  <c r="I1805" i="5"/>
  <c r="H1805" i="5"/>
  <c r="G1805" i="5"/>
  <c r="E1805" i="5"/>
  <c r="B1805" i="5"/>
  <c r="N1805" i="5" s="1"/>
  <c r="R1804" i="5"/>
  <c r="Q1804" i="5"/>
  <c r="P1804" i="5"/>
  <c r="O1804" i="5"/>
  <c r="N1804" i="5"/>
  <c r="M1804" i="5"/>
  <c r="L1804" i="5"/>
  <c r="J1804" i="5"/>
  <c r="I1804" i="5"/>
  <c r="H1804" i="5"/>
  <c r="G1804" i="5"/>
  <c r="F1804" i="5"/>
  <c r="A1804" i="5" s="1"/>
  <c r="E1804" i="5"/>
  <c r="C1804" i="5"/>
  <c r="B1804" i="5"/>
  <c r="K1804" i="5" s="1"/>
  <c r="R1803" i="5"/>
  <c r="Q1803" i="5"/>
  <c r="O1803" i="5"/>
  <c r="M1803" i="5"/>
  <c r="J1803" i="5"/>
  <c r="I1803" i="5"/>
  <c r="H1803" i="5"/>
  <c r="G1803" i="5"/>
  <c r="F1803" i="5"/>
  <c r="B1803" i="5"/>
  <c r="R1802" i="5"/>
  <c r="Q1802" i="5"/>
  <c r="P1802" i="5"/>
  <c r="O1802" i="5"/>
  <c r="N1802" i="5"/>
  <c r="K1802" i="5"/>
  <c r="I1802" i="5"/>
  <c r="H1802" i="5"/>
  <c r="G1802" i="5"/>
  <c r="F1802" i="5"/>
  <c r="C1802" i="5"/>
  <c r="B1802" i="5"/>
  <c r="J1802" i="5" s="1"/>
  <c r="Q1801" i="5"/>
  <c r="P1801" i="5"/>
  <c r="M1801" i="5"/>
  <c r="L1801" i="5"/>
  <c r="J1801" i="5"/>
  <c r="H1801" i="5"/>
  <c r="G1801" i="5"/>
  <c r="E1801" i="5"/>
  <c r="C1801" i="5"/>
  <c r="B1801" i="5"/>
  <c r="N1800" i="5"/>
  <c r="B1800" i="5"/>
  <c r="R1800" i="5" s="1"/>
  <c r="Q1799" i="5"/>
  <c r="M1799" i="5"/>
  <c r="K1799" i="5"/>
  <c r="J1799" i="5"/>
  <c r="G1799" i="5"/>
  <c r="E1799" i="5"/>
  <c r="C1799" i="5"/>
  <c r="B1799" i="5"/>
  <c r="L1799" i="5" s="1"/>
  <c r="M1798" i="5"/>
  <c r="J1798" i="5"/>
  <c r="B1798" i="5"/>
  <c r="O1798" i="5" s="1"/>
  <c r="Q1797" i="5"/>
  <c r="N1797" i="5"/>
  <c r="E1797" i="5"/>
  <c r="B1797" i="5"/>
  <c r="P1797" i="5" s="1"/>
  <c r="R1796" i="5"/>
  <c r="Q1796" i="5"/>
  <c r="P1796" i="5"/>
  <c r="O1796" i="5"/>
  <c r="N1796" i="5"/>
  <c r="M1796" i="5"/>
  <c r="L1796" i="5"/>
  <c r="J1796" i="5"/>
  <c r="I1796" i="5"/>
  <c r="A1796" i="5" s="1"/>
  <c r="H1796" i="5"/>
  <c r="G1796" i="5"/>
  <c r="F1796" i="5"/>
  <c r="E1796" i="5"/>
  <c r="C1796" i="5"/>
  <c r="B1796" i="5"/>
  <c r="K1796" i="5" s="1"/>
  <c r="R1795" i="5"/>
  <c r="M1795" i="5"/>
  <c r="J1795" i="5"/>
  <c r="I1795" i="5"/>
  <c r="H1795" i="5"/>
  <c r="G1795" i="5"/>
  <c r="B1795" i="5"/>
  <c r="O1795" i="5" s="1"/>
  <c r="R1794" i="5"/>
  <c r="Q1794" i="5"/>
  <c r="P1794" i="5"/>
  <c r="O1794" i="5"/>
  <c r="N1794" i="5"/>
  <c r="K1794" i="5"/>
  <c r="I1794" i="5"/>
  <c r="H1794" i="5"/>
  <c r="G1794" i="5"/>
  <c r="F1794" i="5"/>
  <c r="C1794" i="5"/>
  <c r="B1794" i="5"/>
  <c r="J1794" i="5" s="1"/>
  <c r="B1793" i="5"/>
  <c r="K1792" i="5"/>
  <c r="B1792" i="5"/>
  <c r="N1791" i="5"/>
  <c r="L1791" i="5"/>
  <c r="J1791" i="5"/>
  <c r="G1791" i="5"/>
  <c r="C1791" i="5"/>
  <c r="B1791" i="5"/>
  <c r="Q1791" i="5" s="1"/>
  <c r="R1790" i="5"/>
  <c r="M1790" i="5"/>
  <c r="L1790" i="5"/>
  <c r="K1790" i="5"/>
  <c r="J1790" i="5"/>
  <c r="H1790" i="5"/>
  <c r="F1790" i="5"/>
  <c r="C1790" i="5"/>
  <c r="B1790" i="5"/>
  <c r="P1789" i="5"/>
  <c r="N1789" i="5"/>
  <c r="I1789" i="5"/>
  <c r="B1789" i="5"/>
  <c r="Q1789" i="5" s="1"/>
  <c r="R1788" i="5"/>
  <c r="Q1788" i="5"/>
  <c r="P1788" i="5"/>
  <c r="O1788" i="5"/>
  <c r="N1788" i="5"/>
  <c r="M1788" i="5"/>
  <c r="L1788" i="5"/>
  <c r="J1788" i="5"/>
  <c r="I1788" i="5"/>
  <c r="H1788" i="5"/>
  <c r="A1788" i="5" s="1"/>
  <c r="G1788" i="5"/>
  <c r="F1788" i="5"/>
  <c r="E1788" i="5"/>
  <c r="C1788" i="5"/>
  <c r="B1788" i="5"/>
  <c r="K1788" i="5" s="1"/>
  <c r="R1787" i="5"/>
  <c r="Q1787" i="5"/>
  <c r="O1787" i="5"/>
  <c r="J1787" i="5"/>
  <c r="I1787" i="5"/>
  <c r="H1787" i="5"/>
  <c r="G1787" i="5"/>
  <c r="F1787" i="5"/>
  <c r="B1787" i="5"/>
  <c r="M1787" i="5" s="1"/>
  <c r="R1786" i="5"/>
  <c r="Q1786" i="5"/>
  <c r="P1786" i="5"/>
  <c r="O1786" i="5"/>
  <c r="N1786" i="5"/>
  <c r="K1786" i="5"/>
  <c r="I1786" i="5"/>
  <c r="H1786" i="5"/>
  <c r="G1786" i="5"/>
  <c r="F1786" i="5"/>
  <c r="C1786" i="5"/>
  <c r="B1786" i="5"/>
  <c r="J1786" i="5" s="1"/>
  <c r="Q1785" i="5"/>
  <c r="P1785" i="5"/>
  <c r="M1785" i="5"/>
  <c r="J1785" i="5"/>
  <c r="H1785" i="5"/>
  <c r="G1785" i="5"/>
  <c r="E1785" i="5"/>
  <c r="C1785" i="5"/>
  <c r="B1785" i="5"/>
  <c r="L1785" i="5" s="1"/>
  <c r="R1784" i="5"/>
  <c r="N1784" i="5"/>
  <c r="M1784" i="5"/>
  <c r="L1784" i="5"/>
  <c r="I1784" i="5"/>
  <c r="E1784" i="5"/>
  <c r="B1784" i="5"/>
  <c r="K1784" i="5" s="1"/>
  <c r="N1783" i="5"/>
  <c r="M1783" i="5"/>
  <c r="G1783" i="5"/>
  <c r="B1783" i="5"/>
  <c r="Q1783" i="5" s="1"/>
  <c r="O1782" i="5"/>
  <c r="L1782" i="5"/>
  <c r="J1782" i="5"/>
  <c r="B1782" i="5"/>
  <c r="K1782" i="5" s="1"/>
  <c r="P1781" i="5"/>
  <c r="N1781" i="5"/>
  <c r="K1781" i="5"/>
  <c r="B1781" i="5"/>
  <c r="Q1781" i="5" s="1"/>
  <c r="R1780" i="5"/>
  <c r="Q1780" i="5"/>
  <c r="P1780" i="5"/>
  <c r="O1780" i="5"/>
  <c r="N1780" i="5"/>
  <c r="M1780" i="5"/>
  <c r="L1780" i="5"/>
  <c r="J1780" i="5"/>
  <c r="I1780" i="5"/>
  <c r="H1780" i="5"/>
  <c r="G1780" i="5"/>
  <c r="A1780" i="5" s="1"/>
  <c r="F1780" i="5"/>
  <c r="E1780" i="5"/>
  <c r="C1780" i="5"/>
  <c r="B1780" i="5"/>
  <c r="K1780" i="5" s="1"/>
  <c r="Q1779" i="5"/>
  <c r="P1779" i="5"/>
  <c r="I1779" i="5"/>
  <c r="F1779" i="5"/>
  <c r="B1779" i="5"/>
  <c r="M1779" i="5" s="1"/>
  <c r="R1778" i="5"/>
  <c r="Q1778" i="5"/>
  <c r="P1778" i="5"/>
  <c r="O1778" i="5"/>
  <c r="N1778" i="5"/>
  <c r="K1778" i="5"/>
  <c r="I1778" i="5"/>
  <c r="H1778" i="5"/>
  <c r="G1778" i="5"/>
  <c r="F1778" i="5"/>
  <c r="C1778" i="5"/>
  <c r="B1778" i="5"/>
  <c r="J1778" i="5" s="1"/>
  <c r="P1777" i="5"/>
  <c r="O1777" i="5"/>
  <c r="L1777" i="5"/>
  <c r="H1777" i="5"/>
  <c r="E1777" i="5"/>
  <c r="C1777" i="5"/>
  <c r="B1777" i="5"/>
  <c r="G1777" i="5" s="1"/>
  <c r="R1776" i="5"/>
  <c r="P1776" i="5"/>
  <c r="M1776" i="5"/>
  <c r="L1776" i="5"/>
  <c r="K1776" i="5"/>
  <c r="I1776" i="5"/>
  <c r="F1776" i="5"/>
  <c r="E1776" i="5"/>
  <c r="C1776" i="5"/>
  <c r="B1776" i="5"/>
  <c r="B1775" i="5"/>
  <c r="R1774" i="5"/>
  <c r="M1774" i="5"/>
  <c r="K1774" i="5"/>
  <c r="J1774" i="5"/>
  <c r="H1774" i="5"/>
  <c r="F1774" i="5"/>
  <c r="C1774" i="5"/>
  <c r="B1774" i="5"/>
  <c r="L1774" i="5" s="1"/>
  <c r="P1773" i="5"/>
  <c r="G1773" i="5"/>
  <c r="B1773" i="5"/>
  <c r="B1772" i="5"/>
  <c r="N1771" i="5"/>
  <c r="L1771" i="5"/>
  <c r="K1771" i="5"/>
  <c r="J1771" i="5"/>
  <c r="C1771" i="5"/>
  <c r="B1771" i="5"/>
  <c r="P1771" i="5" s="1"/>
  <c r="M1770" i="5"/>
  <c r="K1770" i="5"/>
  <c r="I1770" i="5"/>
  <c r="B1770" i="5"/>
  <c r="Q1770" i="5" s="1"/>
  <c r="B1769" i="5"/>
  <c r="M1768" i="5"/>
  <c r="E1768" i="5"/>
  <c r="B1768" i="5"/>
  <c r="O1768" i="5" s="1"/>
  <c r="R1767" i="5"/>
  <c r="P1767" i="5"/>
  <c r="O1767" i="5"/>
  <c r="N1767" i="5"/>
  <c r="M1767" i="5"/>
  <c r="L1767" i="5"/>
  <c r="J1767" i="5"/>
  <c r="H1767" i="5"/>
  <c r="G1767" i="5"/>
  <c r="F1767" i="5"/>
  <c r="E1767" i="5"/>
  <c r="C1767" i="5"/>
  <c r="B1767" i="5"/>
  <c r="K1767" i="5" s="1"/>
  <c r="B1766" i="5"/>
  <c r="R1765" i="5"/>
  <c r="Q1765" i="5"/>
  <c r="P1765" i="5"/>
  <c r="O1765" i="5"/>
  <c r="N1765" i="5"/>
  <c r="M1765" i="5"/>
  <c r="L1765" i="5"/>
  <c r="J1765" i="5"/>
  <c r="I1765" i="5"/>
  <c r="H1765" i="5"/>
  <c r="G1765" i="5"/>
  <c r="F1765" i="5"/>
  <c r="E1765" i="5"/>
  <c r="C1765" i="5"/>
  <c r="B1765" i="5"/>
  <c r="K1765" i="5" s="1"/>
  <c r="A1765" i="5"/>
  <c r="O1764" i="5"/>
  <c r="G1764" i="5"/>
  <c r="B1764" i="5"/>
  <c r="Q1764" i="5" s="1"/>
  <c r="H1763" i="5"/>
  <c r="B1763" i="5"/>
  <c r="M1762" i="5"/>
  <c r="L1762" i="5"/>
  <c r="K1762" i="5"/>
  <c r="J1762" i="5"/>
  <c r="E1762" i="5"/>
  <c r="B1762" i="5"/>
  <c r="Q1762" i="5" s="1"/>
  <c r="R1761" i="5"/>
  <c r="P1761" i="5"/>
  <c r="N1761" i="5"/>
  <c r="L1761" i="5"/>
  <c r="J1761" i="5"/>
  <c r="H1761" i="5"/>
  <c r="F1761" i="5"/>
  <c r="E1761" i="5"/>
  <c r="C1761" i="5"/>
  <c r="B1761" i="5"/>
  <c r="K1761" i="5" s="1"/>
  <c r="M1760" i="5"/>
  <c r="C1760" i="5"/>
  <c r="B1760" i="5"/>
  <c r="N1760" i="5" s="1"/>
  <c r="R1759" i="5"/>
  <c r="P1759" i="5"/>
  <c r="O1759" i="5"/>
  <c r="N1759" i="5"/>
  <c r="M1759" i="5"/>
  <c r="L1759" i="5"/>
  <c r="J1759" i="5"/>
  <c r="H1759" i="5"/>
  <c r="G1759" i="5"/>
  <c r="F1759" i="5"/>
  <c r="E1759" i="5"/>
  <c r="C1759" i="5"/>
  <c r="B1759" i="5"/>
  <c r="K1759" i="5" s="1"/>
  <c r="Q1758" i="5"/>
  <c r="N1758" i="5"/>
  <c r="E1758" i="5"/>
  <c r="B1758" i="5"/>
  <c r="O1758" i="5" s="1"/>
  <c r="R1757" i="5"/>
  <c r="Q1757" i="5"/>
  <c r="P1757" i="5"/>
  <c r="O1757" i="5"/>
  <c r="N1757" i="5"/>
  <c r="M1757" i="5"/>
  <c r="L1757" i="5"/>
  <c r="J1757" i="5"/>
  <c r="I1757" i="5"/>
  <c r="H1757" i="5"/>
  <c r="G1757" i="5"/>
  <c r="F1757" i="5"/>
  <c r="E1757" i="5"/>
  <c r="C1757" i="5"/>
  <c r="B1757" i="5"/>
  <c r="K1757" i="5" s="1"/>
  <c r="O1756" i="5"/>
  <c r="G1756" i="5"/>
  <c r="B1756" i="5"/>
  <c r="Q1756" i="5" s="1"/>
  <c r="R1755" i="5"/>
  <c r="Q1755" i="5"/>
  <c r="P1755" i="5"/>
  <c r="L1755" i="5"/>
  <c r="J1755" i="5"/>
  <c r="I1755" i="5"/>
  <c r="H1755" i="5"/>
  <c r="F1755" i="5"/>
  <c r="C1755" i="5"/>
  <c r="B1755" i="5"/>
  <c r="K1755" i="5" s="1"/>
  <c r="M1754" i="5"/>
  <c r="L1754" i="5"/>
  <c r="I1754" i="5"/>
  <c r="B1754" i="5"/>
  <c r="O1754" i="5" s="1"/>
  <c r="R1753" i="5"/>
  <c r="P1753" i="5"/>
  <c r="N1753" i="5"/>
  <c r="L1753" i="5"/>
  <c r="K1753" i="5"/>
  <c r="J1753" i="5"/>
  <c r="H1753" i="5"/>
  <c r="F1753" i="5"/>
  <c r="E1753" i="5"/>
  <c r="C1753" i="5"/>
  <c r="B1753" i="5"/>
  <c r="Q1752" i="5"/>
  <c r="N1752" i="5"/>
  <c r="M1752" i="5"/>
  <c r="K1752" i="5"/>
  <c r="G1752" i="5"/>
  <c r="E1752" i="5"/>
  <c r="C1752" i="5"/>
  <c r="B1752" i="5"/>
  <c r="F1752" i="5" s="1"/>
  <c r="R1751" i="5"/>
  <c r="P1751" i="5"/>
  <c r="O1751" i="5"/>
  <c r="N1751" i="5"/>
  <c r="M1751" i="5"/>
  <c r="L1751" i="5"/>
  <c r="J1751" i="5"/>
  <c r="H1751" i="5"/>
  <c r="G1751" i="5"/>
  <c r="F1751" i="5"/>
  <c r="E1751" i="5"/>
  <c r="C1751" i="5"/>
  <c r="B1751" i="5"/>
  <c r="K1751" i="5" s="1"/>
  <c r="N1750" i="5"/>
  <c r="K1750" i="5"/>
  <c r="I1750" i="5"/>
  <c r="H1750" i="5"/>
  <c r="F1750" i="5"/>
  <c r="B1750" i="5"/>
  <c r="P1750" i="5" s="1"/>
  <c r="R1749" i="5"/>
  <c r="Q1749" i="5"/>
  <c r="P1749" i="5"/>
  <c r="O1749" i="5"/>
  <c r="N1749" i="5"/>
  <c r="M1749" i="5"/>
  <c r="L1749" i="5"/>
  <c r="J1749" i="5"/>
  <c r="I1749" i="5"/>
  <c r="H1749" i="5"/>
  <c r="G1749" i="5"/>
  <c r="F1749" i="5"/>
  <c r="A1749" i="5" s="1"/>
  <c r="E1749" i="5"/>
  <c r="C1749" i="5"/>
  <c r="B1749" i="5"/>
  <c r="K1749" i="5" s="1"/>
  <c r="P1748" i="5"/>
  <c r="O1748" i="5"/>
  <c r="M1748" i="5"/>
  <c r="K1748" i="5"/>
  <c r="G1748" i="5"/>
  <c r="E1748" i="5"/>
  <c r="B1748" i="5"/>
  <c r="I1748" i="5" s="1"/>
  <c r="R1747" i="5"/>
  <c r="Q1747" i="5"/>
  <c r="P1747" i="5"/>
  <c r="L1747" i="5"/>
  <c r="K1747" i="5"/>
  <c r="J1747" i="5"/>
  <c r="I1747" i="5"/>
  <c r="H1747" i="5"/>
  <c r="F1747" i="5"/>
  <c r="C1747" i="5"/>
  <c r="B1747" i="5"/>
  <c r="R1746" i="5"/>
  <c r="M1746" i="5"/>
  <c r="I1746" i="5"/>
  <c r="G1746" i="5"/>
  <c r="C1746" i="5"/>
  <c r="B1746" i="5"/>
  <c r="O1746" i="5" s="1"/>
  <c r="N1745" i="5"/>
  <c r="M1745" i="5"/>
  <c r="L1745" i="5"/>
  <c r="K1745" i="5"/>
  <c r="F1745" i="5"/>
  <c r="C1745" i="5"/>
  <c r="B1745" i="5"/>
  <c r="J1745" i="5" s="1"/>
  <c r="O1744" i="5"/>
  <c r="M1744" i="5"/>
  <c r="I1744" i="5"/>
  <c r="E1744" i="5"/>
  <c r="B1744" i="5"/>
  <c r="K1744" i="5" s="1"/>
  <c r="R1743" i="5"/>
  <c r="P1743" i="5"/>
  <c r="O1743" i="5"/>
  <c r="N1743" i="5"/>
  <c r="M1743" i="5"/>
  <c r="L1743" i="5"/>
  <c r="J1743" i="5"/>
  <c r="H1743" i="5"/>
  <c r="G1743" i="5"/>
  <c r="F1743" i="5"/>
  <c r="E1743" i="5"/>
  <c r="C1743" i="5"/>
  <c r="B1743" i="5"/>
  <c r="K1743" i="5" s="1"/>
  <c r="P1742" i="5"/>
  <c r="N1742" i="5"/>
  <c r="M1742" i="5"/>
  <c r="K1742" i="5"/>
  <c r="H1742" i="5"/>
  <c r="F1742" i="5"/>
  <c r="B1742" i="5"/>
  <c r="I1742" i="5" s="1"/>
  <c r="R1741" i="5"/>
  <c r="Q1741" i="5"/>
  <c r="P1741" i="5"/>
  <c r="O1741" i="5"/>
  <c r="N1741" i="5"/>
  <c r="M1741" i="5"/>
  <c r="L1741" i="5"/>
  <c r="J1741" i="5"/>
  <c r="I1741" i="5"/>
  <c r="H1741" i="5"/>
  <c r="G1741" i="5"/>
  <c r="F1741" i="5"/>
  <c r="E1741" i="5"/>
  <c r="C1741" i="5"/>
  <c r="A1741" i="5" s="1"/>
  <c r="B1741" i="5"/>
  <c r="K1741" i="5" s="1"/>
  <c r="P1740" i="5"/>
  <c r="B1740" i="5"/>
  <c r="R1739" i="5"/>
  <c r="Q1739" i="5"/>
  <c r="P1739" i="5"/>
  <c r="O1739" i="5"/>
  <c r="N1739" i="5"/>
  <c r="K1739" i="5"/>
  <c r="I1739" i="5"/>
  <c r="H1739" i="5"/>
  <c r="G1739" i="5"/>
  <c r="F1739" i="5"/>
  <c r="C1739" i="5"/>
  <c r="B1739" i="5"/>
  <c r="J1739" i="5" s="1"/>
  <c r="O1738" i="5"/>
  <c r="J1738" i="5"/>
  <c r="B1738" i="5"/>
  <c r="F1737" i="5"/>
  <c r="B1737" i="5"/>
  <c r="L1736" i="5"/>
  <c r="K1736" i="5"/>
  <c r="G1736" i="5"/>
  <c r="B1736" i="5"/>
  <c r="M1736" i="5" s="1"/>
  <c r="R1735" i="5"/>
  <c r="L1735" i="5"/>
  <c r="C1735" i="5"/>
  <c r="B1735" i="5"/>
  <c r="M1735" i="5" s="1"/>
  <c r="Q1734" i="5"/>
  <c r="L1734" i="5"/>
  <c r="I1734" i="5"/>
  <c r="H1734" i="5"/>
  <c r="E1734" i="5"/>
  <c r="B1734" i="5"/>
  <c r="N1734" i="5" s="1"/>
  <c r="R1733" i="5"/>
  <c r="Q1733" i="5"/>
  <c r="P1733" i="5"/>
  <c r="O1733" i="5"/>
  <c r="N1733" i="5"/>
  <c r="M1733" i="5"/>
  <c r="L1733" i="5"/>
  <c r="J1733" i="5"/>
  <c r="I1733" i="5"/>
  <c r="H1733" i="5"/>
  <c r="G1733" i="5"/>
  <c r="F1733" i="5"/>
  <c r="A1733" i="5" s="1"/>
  <c r="E1733" i="5"/>
  <c r="C1733" i="5"/>
  <c r="B1733" i="5"/>
  <c r="K1733" i="5" s="1"/>
  <c r="Q1732" i="5"/>
  <c r="O1732" i="5"/>
  <c r="M1732" i="5"/>
  <c r="I1732" i="5"/>
  <c r="H1732" i="5"/>
  <c r="F1732" i="5"/>
  <c r="B1732" i="5"/>
  <c r="J1732" i="5" s="1"/>
  <c r="R1731" i="5"/>
  <c r="Q1731" i="5"/>
  <c r="P1731" i="5"/>
  <c r="O1731" i="5"/>
  <c r="N1731" i="5"/>
  <c r="K1731" i="5"/>
  <c r="I1731" i="5"/>
  <c r="H1731" i="5"/>
  <c r="G1731" i="5"/>
  <c r="F1731" i="5"/>
  <c r="C1731" i="5"/>
  <c r="B1731" i="5"/>
  <c r="J1731" i="5" s="1"/>
  <c r="P1730" i="5"/>
  <c r="M1730" i="5"/>
  <c r="L1730" i="5"/>
  <c r="H1730" i="5"/>
  <c r="G1730" i="5"/>
  <c r="C1730" i="5"/>
  <c r="B1730" i="5"/>
  <c r="J1730" i="5" s="1"/>
  <c r="R1729" i="5"/>
  <c r="P1729" i="5"/>
  <c r="M1729" i="5"/>
  <c r="L1729" i="5"/>
  <c r="K1729" i="5"/>
  <c r="I1729" i="5"/>
  <c r="F1729" i="5"/>
  <c r="E1729" i="5"/>
  <c r="C1729" i="5"/>
  <c r="B1729" i="5"/>
  <c r="Q1728" i="5"/>
  <c r="M1728" i="5"/>
  <c r="L1728" i="5"/>
  <c r="K1728" i="5"/>
  <c r="J1728" i="5"/>
  <c r="E1728" i="5"/>
  <c r="C1728" i="5"/>
  <c r="B1728" i="5"/>
  <c r="G1728" i="5" s="1"/>
  <c r="O1727" i="5"/>
  <c r="K1727" i="5"/>
  <c r="B1727" i="5"/>
  <c r="H1726" i="5"/>
  <c r="B1726" i="5"/>
  <c r="R1725" i="5"/>
  <c r="Q1725" i="5"/>
  <c r="P1725" i="5"/>
  <c r="O1725" i="5"/>
  <c r="N1725" i="5"/>
  <c r="M1725" i="5"/>
  <c r="L1725" i="5"/>
  <c r="J1725" i="5"/>
  <c r="I1725" i="5"/>
  <c r="H1725" i="5"/>
  <c r="G1725" i="5"/>
  <c r="F1725" i="5"/>
  <c r="E1725" i="5"/>
  <c r="C1725" i="5"/>
  <c r="B1725" i="5"/>
  <c r="K1725" i="5" s="1"/>
  <c r="A1725" i="5"/>
  <c r="M1724" i="5"/>
  <c r="J1724" i="5"/>
  <c r="H1724" i="5"/>
  <c r="B1724" i="5"/>
  <c r="O1724" i="5" s="1"/>
  <c r="R1723" i="5"/>
  <c r="Q1723" i="5"/>
  <c r="P1723" i="5"/>
  <c r="O1723" i="5"/>
  <c r="N1723" i="5"/>
  <c r="K1723" i="5"/>
  <c r="I1723" i="5"/>
  <c r="H1723" i="5"/>
  <c r="G1723" i="5"/>
  <c r="F1723" i="5"/>
  <c r="C1723" i="5"/>
  <c r="B1723" i="5"/>
  <c r="J1723" i="5" s="1"/>
  <c r="L1722" i="5"/>
  <c r="J1722" i="5"/>
  <c r="G1722" i="5"/>
  <c r="B1722" i="5"/>
  <c r="M1722" i="5" s="1"/>
  <c r="B1721" i="5"/>
  <c r="Q1720" i="5"/>
  <c r="L1720" i="5"/>
  <c r="J1720" i="5"/>
  <c r="G1720" i="5"/>
  <c r="C1720" i="5"/>
  <c r="B1720" i="5"/>
  <c r="M1720" i="5" s="1"/>
  <c r="R1719" i="5"/>
  <c r="M1719" i="5"/>
  <c r="L1719" i="5"/>
  <c r="J1719" i="5"/>
  <c r="H1719" i="5"/>
  <c r="C1719" i="5"/>
  <c r="B1719" i="5"/>
  <c r="K1719" i="5" s="1"/>
  <c r="Q1718" i="5"/>
  <c r="N1718" i="5"/>
  <c r="L1718" i="5"/>
  <c r="K1718" i="5"/>
  <c r="I1718" i="5"/>
  <c r="H1718" i="5"/>
  <c r="G1718" i="5"/>
  <c r="E1718" i="5"/>
  <c r="B1718" i="5"/>
  <c r="R1717" i="5"/>
  <c r="Q1717" i="5"/>
  <c r="P1717" i="5"/>
  <c r="O1717" i="5"/>
  <c r="N1717" i="5"/>
  <c r="M1717" i="5"/>
  <c r="J1717" i="5"/>
  <c r="I1717" i="5"/>
  <c r="H1717" i="5"/>
  <c r="G1717" i="5"/>
  <c r="F1717" i="5"/>
  <c r="E1717" i="5"/>
  <c r="C1717" i="5"/>
  <c r="B1717" i="5"/>
  <c r="K1717" i="5" s="1"/>
  <c r="Q1716" i="5"/>
  <c r="P1716" i="5"/>
  <c r="M1716" i="5"/>
  <c r="K1716" i="5"/>
  <c r="J1716" i="5"/>
  <c r="I1716" i="5"/>
  <c r="G1716" i="5"/>
  <c r="E1716" i="5"/>
  <c r="B1716" i="5"/>
  <c r="R1716" i="5" s="1"/>
  <c r="R1715" i="5"/>
  <c r="Q1715" i="5"/>
  <c r="P1715" i="5"/>
  <c r="L1715" i="5"/>
  <c r="K1715" i="5"/>
  <c r="J1715" i="5"/>
  <c r="I1715" i="5"/>
  <c r="H1715" i="5"/>
  <c r="F1715" i="5"/>
  <c r="C1715" i="5"/>
  <c r="B1715" i="5"/>
  <c r="O1714" i="5"/>
  <c r="L1714" i="5"/>
  <c r="K1714" i="5"/>
  <c r="I1714" i="5"/>
  <c r="C1714" i="5"/>
  <c r="B1714" i="5"/>
  <c r="J1714" i="5" s="1"/>
  <c r="R1713" i="5"/>
  <c r="N1713" i="5"/>
  <c r="K1713" i="5"/>
  <c r="H1713" i="5"/>
  <c r="F1713" i="5"/>
  <c r="C1713" i="5"/>
  <c r="B1713" i="5"/>
  <c r="L1713" i="5" s="1"/>
  <c r="N1712" i="5"/>
  <c r="B1712" i="5"/>
  <c r="R1711" i="5"/>
  <c r="P1711" i="5"/>
  <c r="O1711" i="5"/>
  <c r="N1711" i="5"/>
  <c r="M1711" i="5"/>
  <c r="L1711" i="5"/>
  <c r="J1711" i="5"/>
  <c r="H1711" i="5"/>
  <c r="G1711" i="5"/>
  <c r="F1711" i="5"/>
  <c r="E1711" i="5"/>
  <c r="C1711" i="5"/>
  <c r="B1711" i="5"/>
  <c r="K1711" i="5" s="1"/>
  <c r="B1710" i="5"/>
  <c r="R1709" i="5"/>
  <c r="Q1709" i="5"/>
  <c r="P1709" i="5"/>
  <c r="O1709" i="5"/>
  <c r="N1709" i="5"/>
  <c r="M1709" i="5"/>
  <c r="L1709" i="5"/>
  <c r="J1709" i="5"/>
  <c r="I1709" i="5"/>
  <c r="H1709" i="5"/>
  <c r="G1709" i="5"/>
  <c r="F1709" i="5"/>
  <c r="E1709" i="5"/>
  <c r="C1709" i="5"/>
  <c r="B1709" i="5"/>
  <c r="K1709" i="5" s="1"/>
  <c r="A1709" i="5"/>
  <c r="P1708" i="5"/>
  <c r="M1708" i="5"/>
  <c r="K1708" i="5"/>
  <c r="I1708" i="5"/>
  <c r="E1708" i="5"/>
  <c r="B1708" i="5"/>
  <c r="J1708" i="5" s="1"/>
  <c r="R1707" i="5"/>
  <c r="P1707" i="5"/>
  <c r="K1707" i="5"/>
  <c r="J1707" i="5"/>
  <c r="I1707" i="5"/>
  <c r="H1707" i="5"/>
  <c r="C1707" i="5"/>
  <c r="B1707" i="5"/>
  <c r="L1707" i="5" s="1"/>
  <c r="R1706" i="5"/>
  <c r="Q1706" i="5"/>
  <c r="O1706" i="5"/>
  <c r="M1706" i="5"/>
  <c r="K1706" i="5"/>
  <c r="J1706" i="5"/>
  <c r="I1706" i="5"/>
  <c r="H1706" i="5"/>
  <c r="G1706" i="5"/>
  <c r="E1706" i="5"/>
  <c r="C1706" i="5"/>
  <c r="B1706" i="5"/>
  <c r="B1705" i="5"/>
  <c r="B1704" i="5"/>
  <c r="P1703" i="5"/>
  <c r="M1703" i="5"/>
  <c r="K1703" i="5"/>
  <c r="J1703" i="5"/>
  <c r="G1703" i="5"/>
  <c r="C1703" i="5"/>
  <c r="B1703" i="5"/>
  <c r="R1703" i="5" s="1"/>
  <c r="Q1702" i="5"/>
  <c r="O1702" i="5"/>
  <c r="I1702" i="5"/>
  <c r="H1702" i="5"/>
  <c r="F1702" i="5"/>
  <c r="B1702" i="5"/>
  <c r="K1702" i="5" s="1"/>
  <c r="R1701" i="5"/>
  <c r="Q1701" i="5"/>
  <c r="P1701" i="5"/>
  <c r="O1701" i="5"/>
  <c r="N1701" i="5"/>
  <c r="M1701" i="5"/>
  <c r="L1701" i="5"/>
  <c r="J1701" i="5"/>
  <c r="I1701" i="5"/>
  <c r="H1701" i="5"/>
  <c r="G1701" i="5"/>
  <c r="F1701" i="5"/>
  <c r="E1701" i="5"/>
  <c r="C1701" i="5"/>
  <c r="B1701" i="5"/>
  <c r="K1701" i="5" s="1"/>
  <c r="R1700" i="5"/>
  <c r="Q1700" i="5"/>
  <c r="P1700" i="5"/>
  <c r="N1700" i="5"/>
  <c r="J1700" i="5"/>
  <c r="I1700" i="5"/>
  <c r="H1700" i="5"/>
  <c r="G1700" i="5"/>
  <c r="E1700" i="5"/>
  <c r="B1700" i="5"/>
  <c r="K1700" i="5" s="1"/>
  <c r="P1699" i="5"/>
  <c r="O1699" i="5"/>
  <c r="L1699" i="5"/>
  <c r="B1699" i="5"/>
  <c r="R1698" i="5"/>
  <c r="Q1698" i="5"/>
  <c r="P1698" i="5"/>
  <c r="O1698" i="5"/>
  <c r="M1698" i="5"/>
  <c r="K1698" i="5"/>
  <c r="J1698" i="5"/>
  <c r="I1698" i="5"/>
  <c r="H1698" i="5"/>
  <c r="G1698" i="5"/>
  <c r="E1698" i="5"/>
  <c r="C1698" i="5"/>
  <c r="B1698" i="5"/>
  <c r="B1697" i="5"/>
  <c r="R1696" i="5"/>
  <c r="L1696" i="5"/>
  <c r="B1696" i="5"/>
  <c r="P1695" i="5"/>
  <c r="M1695" i="5"/>
  <c r="K1695" i="5"/>
  <c r="J1695" i="5"/>
  <c r="G1695" i="5"/>
  <c r="C1695" i="5"/>
  <c r="B1695" i="5"/>
  <c r="R1695" i="5" s="1"/>
  <c r="Q1694" i="5"/>
  <c r="O1694" i="5"/>
  <c r="I1694" i="5"/>
  <c r="H1694" i="5"/>
  <c r="F1694" i="5"/>
  <c r="B1694" i="5"/>
  <c r="K1694" i="5" s="1"/>
  <c r="R1693" i="5"/>
  <c r="Q1693" i="5"/>
  <c r="P1693" i="5"/>
  <c r="O1693" i="5"/>
  <c r="N1693" i="5"/>
  <c r="M1693" i="5"/>
  <c r="L1693" i="5"/>
  <c r="J1693" i="5"/>
  <c r="I1693" i="5"/>
  <c r="H1693" i="5"/>
  <c r="G1693" i="5"/>
  <c r="F1693" i="5"/>
  <c r="E1693" i="5"/>
  <c r="A1693" i="5" s="1"/>
  <c r="C1693" i="5"/>
  <c r="B1693" i="5"/>
  <c r="K1693" i="5" s="1"/>
  <c r="Q1692" i="5"/>
  <c r="P1692" i="5"/>
  <c r="N1692" i="5"/>
  <c r="J1692" i="5"/>
  <c r="H1692" i="5"/>
  <c r="G1692" i="5"/>
  <c r="E1692" i="5"/>
  <c r="B1692" i="5"/>
  <c r="K1692" i="5" s="1"/>
  <c r="R1691" i="5"/>
  <c r="Q1691" i="5"/>
  <c r="P1691" i="5"/>
  <c r="O1691" i="5"/>
  <c r="M1691" i="5"/>
  <c r="L1691" i="5"/>
  <c r="J1691" i="5"/>
  <c r="I1691" i="5"/>
  <c r="H1691" i="5"/>
  <c r="G1691" i="5"/>
  <c r="E1691" i="5"/>
  <c r="C1691" i="5"/>
  <c r="B1691" i="5"/>
  <c r="K1691" i="5" s="1"/>
  <c r="Q1690" i="5"/>
  <c r="P1690" i="5"/>
  <c r="N1690" i="5"/>
  <c r="I1690" i="5"/>
  <c r="H1690" i="5"/>
  <c r="F1690" i="5"/>
  <c r="B1690" i="5"/>
  <c r="M1690" i="5" s="1"/>
  <c r="R1689" i="5"/>
  <c r="Q1689" i="5"/>
  <c r="O1689" i="5"/>
  <c r="L1689" i="5"/>
  <c r="J1689" i="5"/>
  <c r="I1689" i="5"/>
  <c r="G1689" i="5"/>
  <c r="C1689" i="5"/>
  <c r="B1689" i="5"/>
  <c r="N1689" i="5" s="1"/>
  <c r="R1688" i="5"/>
  <c r="B1688" i="5"/>
  <c r="Q1687" i="5"/>
  <c r="L1687" i="5"/>
  <c r="B1687" i="5"/>
  <c r="R1686" i="5"/>
  <c r="Q1686" i="5"/>
  <c r="P1686" i="5"/>
  <c r="O1686" i="5"/>
  <c r="N1686" i="5"/>
  <c r="M1686" i="5"/>
  <c r="L1686" i="5"/>
  <c r="J1686" i="5"/>
  <c r="I1686" i="5"/>
  <c r="H1686" i="5"/>
  <c r="G1686" i="5"/>
  <c r="F1686" i="5"/>
  <c r="E1686" i="5"/>
  <c r="C1686" i="5"/>
  <c r="B1686" i="5"/>
  <c r="K1686" i="5" s="1"/>
  <c r="A1686" i="5"/>
  <c r="N1685" i="5"/>
  <c r="M1685" i="5"/>
  <c r="K1685" i="5"/>
  <c r="F1685" i="5"/>
  <c r="E1685" i="5"/>
  <c r="B1685" i="5"/>
  <c r="Q1684" i="5"/>
  <c r="O1684" i="5"/>
  <c r="N1684" i="5"/>
  <c r="L1684" i="5"/>
  <c r="I1684" i="5"/>
  <c r="G1684" i="5"/>
  <c r="F1684" i="5"/>
  <c r="C1684" i="5"/>
  <c r="B1684" i="5"/>
  <c r="K1684" i="5" s="1"/>
  <c r="R1683" i="5"/>
  <c r="Q1683" i="5"/>
  <c r="P1683" i="5"/>
  <c r="O1683" i="5"/>
  <c r="M1683" i="5"/>
  <c r="L1683" i="5"/>
  <c r="J1683" i="5"/>
  <c r="I1683" i="5"/>
  <c r="H1683" i="5"/>
  <c r="G1683" i="5"/>
  <c r="E1683" i="5"/>
  <c r="C1683" i="5"/>
  <c r="B1683" i="5"/>
  <c r="K1683" i="5" s="1"/>
  <c r="Q1682" i="5"/>
  <c r="P1682" i="5"/>
  <c r="N1682" i="5"/>
  <c r="I1682" i="5"/>
  <c r="H1682" i="5"/>
  <c r="F1682" i="5"/>
  <c r="B1682" i="5"/>
  <c r="M1682" i="5" s="1"/>
  <c r="R1681" i="5"/>
  <c r="Q1681" i="5"/>
  <c r="O1681" i="5"/>
  <c r="L1681" i="5"/>
  <c r="J1681" i="5"/>
  <c r="I1681" i="5"/>
  <c r="G1681" i="5"/>
  <c r="C1681" i="5"/>
  <c r="B1681" i="5"/>
  <c r="N1681" i="5" s="1"/>
  <c r="B1680" i="5"/>
  <c r="B1679" i="5"/>
  <c r="R1678" i="5"/>
  <c r="A1678" i="5" s="1"/>
  <c r="Q1678" i="5"/>
  <c r="P1678" i="5"/>
  <c r="O1678" i="5"/>
  <c r="N1678" i="5"/>
  <c r="M1678" i="5"/>
  <c r="L1678" i="5"/>
  <c r="J1678" i="5"/>
  <c r="I1678" i="5"/>
  <c r="H1678" i="5"/>
  <c r="G1678" i="5"/>
  <c r="F1678" i="5"/>
  <c r="E1678" i="5"/>
  <c r="C1678" i="5"/>
  <c r="B1678" i="5"/>
  <c r="K1678" i="5" s="1"/>
  <c r="N1677" i="5"/>
  <c r="M1677" i="5"/>
  <c r="B1677" i="5"/>
  <c r="Q1676" i="5"/>
  <c r="O1676" i="5"/>
  <c r="N1676" i="5"/>
  <c r="L1676" i="5"/>
  <c r="I1676" i="5"/>
  <c r="G1676" i="5"/>
  <c r="F1676" i="5"/>
  <c r="C1676" i="5"/>
  <c r="B1676" i="5"/>
  <c r="K1676" i="5" s="1"/>
  <c r="R1675" i="5"/>
  <c r="Q1675" i="5"/>
  <c r="P1675" i="5"/>
  <c r="O1675" i="5"/>
  <c r="M1675" i="5"/>
  <c r="L1675" i="5"/>
  <c r="J1675" i="5"/>
  <c r="I1675" i="5"/>
  <c r="H1675" i="5"/>
  <c r="G1675" i="5"/>
  <c r="E1675" i="5"/>
  <c r="C1675" i="5"/>
  <c r="B1675" i="5"/>
  <c r="K1675" i="5" s="1"/>
  <c r="Q1674" i="5"/>
  <c r="P1674" i="5"/>
  <c r="N1674" i="5"/>
  <c r="I1674" i="5"/>
  <c r="H1674" i="5"/>
  <c r="F1674" i="5"/>
  <c r="B1674" i="5"/>
  <c r="M1674" i="5" s="1"/>
  <c r="R1673" i="5"/>
  <c r="Q1673" i="5"/>
  <c r="O1673" i="5"/>
  <c r="L1673" i="5"/>
  <c r="J1673" i="5"/>
  <c r="I1673" i="5"/>
  <c r="G1673" i="5"/>
  <c r="C1673" i="5"/>
  <c r="B1673" i="5"/>
  <c r="N1673" i="5" s="1"/>
  <c r="R1672" i="5"/>
  <c r="P1672" i="5"/>
  <c r="K1672" i="5"/>
  <c r="J1672" i="5"/>
  <c r="H1672" i="5"/>
  <c r="B1672" i="5"/>
  <c r="C1671" i="5"/>
  <c r="B1671" i="5"/>
  <c r="R1670" i="5"/>
  <c r="Q1670" i="5"/>
  <c r="P1670" i="5"/>
  <c r="O1670" i="5"/>
  <c r="N1670" i="5"/>
  <c r="M1670" i="5"/>
  <c r="L1670" i="5"/>
  <c r="J1670" i="5"/>
  <c r="I1670" i="5"/>
  <c r="H1670" i="5"/>
  <c r="G1670" i="5"/>
  <c r="F1670" i="5"/>
  <c r="E1670" i="5"/>
  <c r="C1670" i="5"/>
  <c r="B1670" i="5"/>
  <c r="K1670" i="5" s="1"/>
  <c r="A1670" i="5" s="1"/>
  <c r="B1669" i="5"/>
  <c r="Q1668" i="5"/>
  <c r="O1668" i="5"/>
  <c r="N1668" i="5"/>
  <c r="L1668" i="5"/>
  <c r="I1668" i="5"/>
  <c r="G1668" i="5"/>
  <c r="F1668" i="5"/>
  <c r="C1668" i="5"/>
  <c r="B1668" i="5"/>
  <c r="K1668" i="5" s="1"/>
  <c r="R1667" i="5"/>
  <c r="Q1667" i="5"/>
  <c r="P1667" i="5"/>
  <c r="O1667" i="5"/>
  <c r="M1667" i="5"/>
  <c r="L1667" i="5"/>
  <c r="J1667" i="5"/>
  <c r="I1667" i="5"/>
  <c r="H1667" i="5"/>
  <c r="G1667" i="5"/>
  <c r="E1667" i="5"/>
  <c r="C1667" i="5"/>
  <c r="B1667" i="5"/>
  <c r="K1667" i="5" s="1"/>
  <c r="Q1666" i="5"/>
  <c r="P1666" i="5"/>
  <c r="N1666" i="5"/>
  <c r="I1666" i="5"/>
  <c r="H1666" i="5"/>
  <c r="F1666" i="5"/>
  <c r="B1666" i="5"/>
  <c r="M1666" i="5" s="1"/>
  <c r="R1665" i="5"/>
  <c r="Q1665" i="5"/>
  <c r="O1665" i="5"/>
  <c r="L1665" i="5"/>
  <c r="J1665" i="5"/>
  <c r="I1665" i="5"/>
  <c r="G1665" i="5"/>
  <c r="C1665" i="5"/>
  <c r="B1665" i="5"/>
  <c r="N1665" i="5" s="1"/>
  <c r="R1664" i="5"/>
  <c r="P1664" i="5"/>
  <c r="K1664" i="5"/>
  <c r="B1664" i="5"/>
  <c r="Q1663" i="5"/>
  <c r="L1663" i="5"/>
  <c r="K1663" i="5"/>
  <c r="I1663" i="5"/>
  <c r="C1663" i="5"/>
  <c r="B1663" i="5"/>
  <c r="R1662" i="5"/>
  <c r="Q1662" i="5"/>
  <c r="P1662" i="5"/>
  <c r="O1662" i="5"/>
  <c r="N1662" i="5"/>
  <c r="M1662" i="5"/>
  <c r="L1662" i="5"/>
  <c r="J1662" i="5"/>
  <c r="I1662" i="5"/>
  <c r="H1662" i="5"/>
  <c r="G1662" i="5"/>
  <c r="F1662" i="5"/>
  <c r="E1662" i="5"/>
  <c r="C1662" i="5"/>
  <c r="A1662" i="5" s="1"/>
  <c r="B1662" i="5"/>
  <c r="K1662" i="5" s="1"/>
  <c r="E1661" i="5"/>
  <c r="B1661" i="5"/>
  <c r="Q1660" i="5"/>
  <c r="O1660" i="5"/>
  <c r="N1660" i="5"/>
  <c r="L1660" i="5"/>
  <c r="I1660" i="5"/>
  <c r="G1660" i="5"/>
  <c r="F1660" i="5"/>
  <c r="C1660" i="5"/>
  <c r="B1660" i="5"/>
  <c r="K1660" i="5" s="1"/>
  <c r="R1659" i="5"/>
  <c r="Q1659" i="5"/>
  <c r="P1659" i="5"/>
  <c r="O1659" i="5"/>
  <c r="M1659" i="5"/>
  <c r="L1659" i="5"/>
  <c r="J1659" i="5"/>
  <c r="I1659" i="5"/>
  <c r="H1659" i="5"/>
  <c r="G1659" i="5"/>
  <c r="E1659" i="5"/>
  <c r="C1659" i="5"/>
  <c r="B1659" i="5"/>
  <c r="K1659" i="5" s="1"/>
  <c r="B1658" i="5"/>
  <c r="R1657" i="5"/>
  <c r="Q1657" i="5"/>
  <c r="O1657" i="5"/>
  <c r="L1657" i="5"/>
  <c r="J1657" i="5"/>
  <c r="I1657" i="5"/>
  <c r="G1657" i="5"/>
  <c r="C1657" i="5"/>
  <c r="B1657" i="5"/>
  <c r="N1657" i="5" s="1"/>
  <c r="P1656" i="5"/>
  <c r="M1656" i="5"/>
  <c r="K1656" i="5"/>
  <c r="J1656" i="5"/>
  <c r="H1656" i="5"/>
  <c r="E1656" i="5"/>
  <c r="B1656" i="5"/>
  <c r="R1656" i="5" s="1"/>
  <c r="Q1655" i="5"/>
  <c r="N1655" i="5"/>
  <c r="L1655" i="5"/>
  <c r="K1655" i="5"/>
  <c r="I1655" i="5"/>
  <c r="F1655" i="5"/>
  <c r="C1655" i="5"/>
  <c r="B1655" i="5"/>
  <c r="R1654" i="5"/>
  <c r="Q1654" i="5"/>
  <c r="P1654" i="5"/>
  <c r="O1654" i="5"/>
  <c r="N1654" i="5"/>
  <c r="M1654" i="5"/>
  <c r="L1654" i="5"/>
  <c r="J1654" i="5"/>
  <c r="I1654" i="5"/>
  <c r="H1654" i="5"/>
  <c r="G1654" i="5"/>
  <c r="F1654" i="5"/>
  <c r="E1654" i="5"/>
  <c r="C1654" i="5"/>
  <c r="A1654" i="5" s="1"/>
  <c r="B1654" i="5"/>
  <c r="K1654" i="5" s="1"/>
  <c r="P1653" i="5"/>
  <c r="N1653" i="5"/>
  <c r="M1653" i="5"/>
  <c r="K1653" i="5"/>
  <c r="H1653" i="5"/>
  <c r="F1653" i="5"/>
  <c r="E1653" i="5"/>
  <c r="B1653" i="5"/>
  <c r="Q1652" i="5"/>
  <c r="O1652" i="5"/>
  <c r="N1652" i="5"/>
  <c r="L1652" i="5"/>
  <c r="I1652" i="5"/>
  <c r="G1652" i="5"/>
  <c r="F1652" i="5"/>
  <c r="C1652" i="5"/>
  <c r="B1652" i="5"/>
  <c r="K1652" i="5" s="1"/>
  <c r="R1651" i="5"/>
  <c r="Q1651" i="5"/>
  <c r="P1651" i="5"/>
  <c r="O1651" i="5"/>
  <c r="M1651" i="5"/>
  <c r="L1651" i="5"/>
  <c r="J1651" i="5"/>
  <c r="I1651" i="5"/>
  <c r="H1651" i="5"/>
  <c r="G1651" i="5"/>
  <c r="E1651" i="5"/>
  <c r="C1651" i="5"/>
  <c r="B1651" i="5"/>
  <c r="K1651" i="5" s="1"/>
  <c r="N1650" i="5"/>
  <c r="K1650" i="5"/>
  <c r="I1650" i="5"/>
  <c r="H1650" i="5"/>
  <c r="F1650" i="5"/>
  <c r="B1650" i="5"/>
  <c r="Q1650" i="5" s="1"/>
  <c r="R1649" i="5"/>
  <c r="Q1649" i="5"/>
  <c r="O1649" i="5"/>
  <c r="L1649" i="5"/>
  <c r="J1649" i="5"/>
  <c r="I1649" i="5"/>
  <c r="G1649" i="5"/>
  <c r="C1649" i="5"/>
  <c r="B1649" i="5"/>
  <c r="N1649" i="5" s="1"/>
  <c r="R1648" i="5"/>
  <c r="P1648" i="5"/>
  <c r="M1648" i="5"/>
  <c r="K1648" i="5"/>
  <c r="J1648" i="5"/>
  <c r="B1648" i="5"/>
  <c r="N1647" i="5"/>
  <c r="L1647" i="5"/>
  <c r="K1647" i="5"/>
  <c r="B1647" i="5"/>
  <c r="Q1647" i="5" s="1"/>
  <c r="R1646" i="5"/>
  <c r="Q1646" i="5"/>
  <c r="P1646" i="5"/>
  <c r="O1646" i="5"/>
  <c r="N1646" i="5"/>
  <c r="M1646" i="5"/>
  <c r="L1646" i="5"/>
  <c r="J1646" i="5"/>
  <c r="I1646" i="5"/>
  <c r="H1646" i="5"/>
  <c r="G1646" i="5"/>
  <c r="A1646" i="5" s="1"/>
  <c r="F1646" i="5"/>
  <c r="E1646" i="5"/>
  <c r="C1646" i="5"/>
  <c r="B1646" i="5"/>
  <c r="K1646" i="5" s="1"/>
  <c r="N1645" i="5"/>
  <c r="M1645" i="5"/>
  <c r="K1645" i="5"/>
  <c r="B1645" i="5"/>
  <c r="P1645" i="5" s="1"/>
  <c r="Q1644" i="5"/>
  <c r="O1644" i="5"/>
  <c r="N1644" i="5"/>
  <c r="L1644" i="5"/>
  <c r="I1644" i="5"/>
  <c r="G1644" i="5"/>
  <c r="F1644" i="5"/>
  <c r="C1644" i="5"/>
  <c r="B1644" i="5"/>
  <c r="K1644" i="5" s="1"/>
  <c r="R1643" i="5"/>
  <c r="Q1643" i="5"/>
  <c r="P1643" i="5"/>
  <c r="O1643" i="5"/>
  <c r="M1643" i="5"/>
  <c r="L1643" i="5"/>
  <c r="J1643" i="5"/>
  <c r="I1643" i="5"/>
  <c r="H1643" i="5"/>
  <c r="G1643" i="5"/>
  <c r="E1643" i="5"/>
  <c r="C1643" i="5"/>
  <c r="B1643" i="5"/>
  <c r="K1643" i="5" s="1"/>
  <c r="Q1642" i="5"/>
  <c r="N1642" i="5"/>
  <c r="K1642" i="5"/>
  <c r="I1642" i="5"/>
  <c r="B1642" i="5"/>
  <c r="P1642" i="5" s="1"/>
  <c r="R1641" i="5"/>
  <c r="Q1641" i="5"/>
  <c r="O1641" i="5"/>
  <c r="L1641" i="5"/>
  <c r="J1641" i="5"/>
  <c r="I1641" i="5"/>
  <c r="G1641" i="5"/>
  <c r="C1641" i="5"/>
  <c r="B1641" i="5"/>
  <c r="N1641" i="5" s="1"/>
  <c r="R1640" i="5"/>
  <c r="P1640" i="5"/>
  <c r="M1640" i="5"/>
  <c r="E1640" i="5"/>
  <c r="B1640" i="5"/>
  <c r="Q1639" i="5"/>
  <c r="N1639" i="5"/>
  <c r="B1639" i="5"/>
  <c r="R1638" i="5"/>
  <c r="A1638" i="5" s="1"/>
  <c r="Q1638" i="5"/>
  <c r="P1638" i="5"/>
  <c r="O1638" i="5"/>
  <c r="N1638" i="5"/>
  <c r="M1638" i="5"/>
  <c r="L1638" i="5"/>
  <c r="J1638" i="5"/>
  <c r="I1638" i="5"/>
  <c r="H1638" i="5"/>
  <c r="G1638" i="5"/>
  <c r="F1638" i="5"/>
  <c r="E1638" i="5"/>
  <c r="C1638" i="5"/>
  <c r="B1638" i="5"/>
  <c r="K1638" i="5" s="1"/>
  <c r="P1637" i="5"/>
  <c r="N1637" i="5"/>
  <c r="B1637" i="5"/>
  <c r="Q1636" i="5"/>
  <c r="O1636" i="5"/>
  <c r="N1636" i="5"/>
  <c r="L1636" i="5"/>
  <c r="I1636" i="5"/>
  <c r="G1636" i="5"/>
  <c r="F1636" i="5"/>
  <c r="C1636" i="5"/>
  <c r="B1636" i="5"/>
  <c r="K1636" i="5" s="1"/>
  <c r="R1635" i="5"/>
  <c r="Q1635" i="5"/>
  <c r="P1635" i="5"/>
  <c r="O1635" i="5"/>
  <c r="M1635" i="5"/>
  <c r="L1635" i="5"/>
  <c r="J1635" i="5"/>
  <c r="I1635" i="5"/>
  <c r="H1635" i="5"/>
  <c r="G1635" i="5"/>
  <c r="E1635" i="5"/>
  <c r="C1635" i="5"/>
  <c r="B1635" i="5"/>
  <c r="K1635" i="5" s="1"/>
  <c r="Q1634" i="5"/>
  <c r="P1634" i="5"/>
  <c r="N1634" i="5"/>
  <c r="F1634" i="5"/>
  <c r="B1634" i="5"/>
  <c r="R1633" i="5"/>
  <c r="Q1633" i="5"/>
  <c r="O1633" i="5"/>
  <c r="L1633" i="5"/>
  <c r="J1633" i="5"/>
  <c r="I1633" i="5"/>
  <c r="G1633" i="5"/>
  <c r="C1633" i="5"/>
  <c r="B1633" i="5"/>
  <c r="N1633" i="5" s="1"/>
  <c r="B1632" i="5"/>
  <c r="C1631" i="5"/>
  <c r="B1631" i="5"/>
  <c r="R1630" i="5"/>
  <c r="Q1630" i="5"/>
  <c r="O1630" i="5"/>
  <c r="N1630" i="5"/>
  <c r="M1630" i="5"/>
  <c r="L1630" i="5"/>
  <c r="J1630" i="5"/>
  <c r="I1630" i="5"/>
  <c r="G1630" i="5"/>
  <c r="F1630" i="5"/>
  <c r="E1630" i="5"/>
  <c r="C1630" i="5"/>
  <c r="B1630" i="5"/>
  <c r="P1630" i="5" s="1"/>
  <c r="R1629" i="5"/>
  <c r="P1629" i="5"/>
  <c r="O1629" i="5"/>
  <c r="M1629" i="5"/>
  <c r="K1629" i="5"/>
  <c r="J1629" i="5"/>
  <c r="H1629" i="5"/>
  <c r="G1629" i="5"/>
  <c r="F1629" i="5"/>
  <c r="E1629" i="5"/>
  <c r="B1629" i="5"/>
  <c r="B1628" i="5"/>
  <c r="R1627" i="5"/>
  <c r="Q1627" i="5"/>
  <c r="P1627" i="5"/>
  <c r="O1627" i="5"/>
  <c r="M1627" i="5"/>
  <c r="L1627" i="5"/>
  <c r="J1627" i="5"/>
  <c r="I1627" i="5"/>
  <c r="H1627" i="5"/>
  <c r="G1627" i="5"/>
  <c r="E1627" i="5"/>
  <c r="C1627" i="5"/>
  <c r="B1627" i="5"/>
  <c r="K1627" i="5" s="1"/>
  <c r="R1626" i="5"/>
  <c r="Q1626" i="5"/>
  <c r="P1626" i="5"/>
  <c r="K1626" i="5"/>
  <c r="J1626" i="5"/>
  <c r="I1626" i="5"/>
  <c r="H1626" i="5"/>
  <c r="F1626" i="5"/>
  <c r="E1626" i="5"/>
  <c r="B1626" i="5"/>
  <c r="M1626" i="5" s="1"/>
  <c r="L1625" i="5"/>
  <c r="K1625" i="5"/>
  <c r="B1625" i="5"/>
  <c r="R1624" i="5"/>
  <c r="L1624" i="5"/>
  <c r="K1624" i="5"/>
  <c r="J1624" i="5"/>
  <c r="H1624" i="5"/>
  <c r="G1624" i="5"/>
  <c r="B1624" i="5"/>
  <c r="N1623" i="5"/>
  <c r="M1623" i="5"/>
  <c r="C1623" i="5"/>
  <c r="B1623" i="5"/>
  <c r="R1622" i="5"/>
  <c r="Q1622" i="5"/>
  <c r="O1622" i="5"/>
  <c r="N1622" i="5"/>
  <c r="M1622" i="5"/>
  <c r="L1622" i="5"/>
  <c r="J1622" i="5"/>
  <c r="I1622" i="5"/>
  <c r="G1622" i="5"/>
  <c r="F1622" i="5"/>
  <c r="E1622" i="5"/>
  <c r="C1622" i="5"/>
  <c r="B1622" i="5"/>
  <c r="P1622" i="5" s="1"/>
  <c r="R1621" i="5"/>
  <c r="P1621" i="5"/>
  <c r="M1621" i="5"/>
  <c r="K1621" i="5"/>
  <c r="J1621" i="5"/>
  <c r="H1621" i="5"/>
  <c r="G1621" i="5"/>
  <c r="F1621" i="5"/>
  <c r="B1621" i="5"/>
  <c r="N1620" i="5"/>
  <c r="B1620" i="5"/>
  <c r="R1619" i="5"/>
  <c r="Q1619" i="5"/>
  <c r="P1619" i="5"/>
  <c r="O1619" i="5"/>
  <c r="M1619" i="5"/>
  <c r="L1619" i="5"/>
  <c r="J1619" i="5"/>
  <c r="I1619" i="5"/>
  <c r="H1619" i="5"/>
  <c r="G1619" i="5"/>
  <c r="E1619" i="5"/>
  <c r="C1619" i="5"/>
  <c r="B1619" i="5"/>
  <c r="K1619" i="5" s="1"/>
  <c r="R1618" i="5"/>
  <c r="Q1618" i="5"/>
  <c r="P1618" i="5"/>
  <c r="M1618" i="5"/>
  <c r="K1618" i="5"/>
  <c r="J1618" i="5"/>
  <c r="I1618" i="5"/>
  <c r="H1618" i="5"/>
  <c r="F1618" i="5"/>
  <c r="E1618" i="5"/>
  <c r="B1618" i="5"/>
  <c r="L1617" i="5"/>
  <c r="K1617" i="5"/>
  <c r="B1617" i="5"/>
  <c r="R1616" i="5"/>
  <c r="L1616" i="5"/>
  <c r="K1616" i="5"/>
  <c r="J1616" i="5"/>
  <c r="H1616" i="5"/>
  <c r="G1616" i="5"/>
  <c r="B1616" i="5"/>
  <c r="N1615" i="5"/>
  <c r="M1615" i="5"/>
  <c r="C1615" i="5"/>
  <c r="B1615" i="5"/>
  <c r="R1614" i="5"/>
  <c r="Q1614" i="5"/>
  <c r="O1614" i="5"/>
  <c r="N1614" i="5"/>
  <c r="M1614" i="5"/>
  <c r="L1614" i="5"/>
  <c r="J1614" i="5"/>
  <c r="I1614" i="5"/>
  <c r="G1614" i="5"/>
  <c r="F1614" i="5"/>
  <c r="E1614" i="5"/>
  <c r="C1614" i="5"/>
  <c r="B1614" i="5"/>
  <c r="P1614" i="5" s="1"/>
  <c r="R1613" i="5"/>
  <c r="P1613" i="5"/>
  <c r="M1613" i="5"/>
  <c r="K1613" i="5"/>
  <c r="J1613" i="5"/>
  <c r="H1613" i="5"/>
  <c r="G1613" i="5"/>
  <c r="F1613" i="5"/>
  <c r="B1613" i="5"/>
  <c r="N1612" i="5"/>
  <c r="B1612" i="5"/>
  <c r="R1611" i="5"/>
  <c r="Q1611" i="5"/>
  <c r="P1611" i="5"/>
  <c r="O1611" i="5"/>
  <c r="M1611" i="5"/>
  <c r="L1611" i="5"/>
  <c r="J1611" i="5"/>
  <c r="I1611" i="5"/>
  <c r="H1611" i="5"/>
  <c r="G1611" i="5"/>
  <c r="E1611" i="5"/>
  <c r="C1611" i="5"/>
  <c r="B1611" i="5"/>
  <c r="K1611" i="5" s="1"/>
  <c r="R1610" i="5"/>
  <c r="Q1610" i="5"/>
  <c r="P1610" i="5"/>
  <c r="M1610" i="5"/>
  <c r="K1610" i="5"/>
  <c r="J1610" i="5"/>
  <c r="I1610" i="5"/>
  <c r="H1610" i="5"/>
  <c r="F1610" i="5"/>
  <c r="E1610" i="5"/>
  <c r="B1610" i="5"/>
  <c r="L1609" i="5"/>
  <c r="K1609" i="5"/>
  <c r="B1609" i="5"/>
  <c r="R1608" i="5"/>
  <c r="L1608" i="5"/>
  <c r="K1608" i="5"/>
  <c r="J1608" i="5"/>
  <c r="H1608" i="5"/>
  <c r="G1608" i="5"/>
  <c r="B1608" i="5"/>
  <c r="N1607" i="5"/>
  <c r="M1607" i="5"/>
  <c r="C1607" i="5"/>
  <c r="B1607" i="5"/>
  <c r="R1606" i="5"/>
  <c r="Q1606" i="5"/>
  <c r="O1606" i="5"/>
  <c r="N1606" i="5"/>
  <c r="M1606" i="5"/>
  <c r="L1606" i="5"/>
  <c r="J1606" i="5"/>
  <c r="I1606" i="5"/>
  <c r="G1606" i="5"/>
  <c r="F1606" i="5"/>
  <c r="E1606" i="5"/>
  <c r="C1606" i="5"/>
  <c r="B1606" i="5"/>
  <c r="P1606" i="5" s="1"/>
  <c r="R1605" i="5"/>
  <c r="P1605" i="5"/>
  <c r="K1605" i="5"/>
  <c r="J1605" i="5"/>
  <c r="H1605" i="5"/>
  <c r="G1605" i="5"/>
  <c r="F1605" i="5"/>
  <c r="B1605" i="5"/>
  <c r="M1605" i="5" s="1"/>
  <c r="N1604" i="5"/>
  <c r="L1604" i="5"/>
  <c r="B1604" i="5"/>
  <c r="R1603" i="5"/>
  <c r="Q1603" i="5"/>
  <c r="P1603" i="5"/>
  <c r="O1603" i="5"/>
  <c r="M1603" i="5"/>
  <c r="L1603" i="5"/>
  <c r="J1603" i="5"/>
  <c r="I1603" i="5"/>
  <c r="H1603" i="5"/>
  <c r="G1603" i="5"/>
  <c r="E1603" i="5"/>
  <c r="C1603" i="5"/>
  <c r="B1603" i="5"/>
  <c r="K1603" i="5" s="1"/>
  <c r="R1602" i="5"/>
  <c r="Q1602" i="5"/>
  <c r="P1602" i="5"/>
  <c r="M1602" i="5"/>
  <c r="K1602" i="5"/>
  <c r="J1602" i="5"/>
  <c r="I1602" i="5"/>
  <c r="H1602" i="5"/>
  <c r="F1602" i="5"/>
  <c r="E1602" i="5"/>
  <c r="B1602" i="5"/>
  <c r="L1601" i="5"/>
  <c r="K1601" i="5"/>
  <c r="B1601" i="5"/>
  <c r="R1600" i="5"/>
  <c r="L1600" i="5"/>
  <c r="K1600" i="5"/>
  <c r="J1600" i="5"/>
  <c r="H1600" i="5"/>
  <c r="G1600" i="5"/>
  <c r="B1600" i="5"/>
  <c r="B1599" i="5"/>
  <c r="R1598" i="5"/>
  <c r="Q1598" i="5"/>
  <c r="O1598" i="5"/>
  <c r="N1598" i="5"/>
  <c r="M1598" i="5"/>
  <c r="L1598" i="5"/>
  <c r="J1598" i="5"/>
  <c r="I1598" i="5"/>
  <c r="G1598" i="5"/>
  <c r="F1598" i="5"/>
  <c r="E1598" i="5"/>
  <c r="C1598" i="5"/>
  <c r="B1598" i="5"/>
  <c r="P1598" i="5" s="1"/>
  <c r="R1597" i="5"/>
  <c r="P1597" i="5"/>
  <c r="K1597" i="5"/>
  <c r="J1597" i="5"/>
  <c r="H1597" i="5"/>
  <c r="G1597" i="5"/>
  <c r="F1597" i="5"/>
  <c r="B1597" i="5"/>
  <c r="M1597" i="5" s="1"/>
  <c r="B1596" i="5"/>
  <c r="R1595" i="5"/>
  <c r="Q1595" i="5"/>
  <c r="P1595" i="5"/>
  <c r="O1595" i="5"/>
  <c r="M1595" i="5"/>
  <c r="L1595" i="5"/>
  <c r="J1595" i="5"/>
  <c r="I1595" i="5"/>
  <c r="H1595" i="5"/>
  <c r="G1595" i="5"/>
  <c r="E1595" i="5"/>
  <c r="C1595" i="5"/>
  <c r="B1595" i="5"/>
  <c r="K1595" i="5" s="1"/>
  <c r="R1594" i="5"/>
  <c r="Q1594" i="5"/>
  <c r="P1594" i="5"/>
  <c r="M1594" i="5"/>
  <c r="K1594" i="5"/>
  <c r="J1594" i="5"/>
  <c r="I1594" i="5"/>
  <c r="H1594" i="5"/>
  <c r="F1594" i="5"/>
  <c r="E1594" i="5"/>
  <c r="B1594" i="5"/>
  <c r="L1593" i="5"/>
  <c r="K1593" i="5"/>
  <c r="B1593" i="5"/>
  <c r="R1592" i="5"/>
  <c r="O1592" i="5"/>
  <c r="L1592" i="5"/>
  <c r="K1592" i="5"/>
  <c r="J1592" i="5"/>
  <c r="H1592" i="5"/>
  <c r="G1592" i="5"/>
  <c r="C1592" i="5"/>
  <c r="B1592" i="5"/>
  <c r="N1591" i="5"/>
  <c r="M1591" i="5"/>
  <c r="C1591" i="5"/>
  <c r="B1591" i="5"/>
  <c r="R1590" i="5"/>
  <c r="Q1590" i="5"/>
  <c r="O1590" i="5"/>
  <c r="N1590" i="5"/>
  <c r="M1590" i="5"/>
  <c r="L1590" i="5"/>
  <c r="J1590" i="5"/>
  <c r="I1590" i="5"/>
  <c r="G1590" i="5"/>
  <c r="F1590" i="5"/>
  <c r="E1590" i="5"/>
  <c r="C1590" i="5"/>
  <c r="B1590" i="5"/>
  <c r="P1590" i="5" s="1"/>
  <c r="R1589" i="5"/>
  <c r="P1589" i="5"/>
  <c r="K1589" i="5"/>
  <c r="J1589" i="5"/>
  <c r="H1589" i="5"/>
  <c r="G1589" i="5"/>
  <c r="F1589" i="5"/>
  <c r="B1589" i="5"/>
  <c r="M1589" i="5" s="1"/>
  <c r="N1588" i="5"/>
  <c r="L1588" i="5"/>
  <c r="B1588" i="5"/>
  <c r="R1587" i="5"/>
  <c r="Q1587" i="5"/>
  <c r="P1587" i="5"/>
  <c r="O1587" i="5"/>
  <c r="M1587" i="5"/>
  <c r="L1587" i="5"/>
  <c r="J1587" i="5"/>
  <c r="I1587" i="5"/>
  <c r="H1587" i="5"/>
  <c r="G1587" i="5"/>
  <c r="E1587" i="5"/>
  <c r="C1587" i="5"/>
  <c r="B1587" i="5"/>
  <c r="K1587" i="5" s="1"/>
  <c r="R1586" i="5"/>
  <c r="Q1586" i="5"/>
  <c r="P1586" i="5"/>
  <c r="M1586" i="5"/>
  <c r="K1586" i="5"/>
  <c r="J1586" i="5"/>
  <c r="I1586" i="5"/>
  <c r="H1586" i="5"/>
  <c r="F1586" i="5"/>
  <c r="E1586" i="5"/>
  <c r="B1586" i="5"/>
  <c r="L1585" i="5"/>
  <c r="K1585" i="5"/>
  <c r="B1585" i="5"/>
  <c r="R1584" i="5"/>
  <c r="O1584" i="5"/>
  <c r="L1584" i="5"/>
  <c r="K1584" i="5"/>
  <c r="J1584" i="5"/>
  <c r="H1584" i="5"/>
  <c r="G1584" i="5"/>
  <c r="C1584" i="5"/>
  <c r="B1584" i="5"/>
  <c r="N1583" i="5"/>
  <c r="M1583" i="5"/>
  <c r="C1583" i="5"/>
  <c r="B1583" i="5"/>
  <c r="R1582" i="5"/>
  <c r="Q1582" i="5"/>
  <c r="O1582" i="5"/>
  <c r="N1582" i="5"/>
  <c r="M1582" i="5"/>
  <c r="L1582" i="5"/>
  <c r="J1582" i="5"/>
  <c r="I1582" i="5"/>
  <c r="G1582" i="5"/>
  <c r="F1582" i="5"/>
  <c r="E1582" i="5"/>
  <c r="C1582" i="5"/>
  <c r="B1582" i="5"/>
  <c r="P1582" i="5" s="1"/>
  <c r="R1581" i="5"/>
  <c r="P1581" i="5"/>
  <c r="K1581" i="5"/>
  <c r="H1581" i="5"/>
  <c r="G1581" i="5"/>
  <c r="F1581" i="5"/>
  <c r="B1581" i="5"/>
  <c r="M1581" i="5" s="1"/>
  <c r="N1580" i="5"/>
  <c r="L1580" i="5"/>
  <c r="B1580" i="5"/>
  <c r="R1579" i="5"/>
  <c r="Q1579" i="5"/>
  <c r="P1579" i="5"/>
  <c r="O1579" i="5"/>
  <c r="M1579" i="5"/>
  <c r="L1579" i="5"/>
  <c r="J1579" i="5"/>
  <c r="I1579" i="5"/>
  <c r="H1579" i="5"/>
  <c r="G1579" i="5"/>
  <c r="E1579" i="5"/>
  <c r="C1579" i="5"/>
  <c r="B1579" i="5"/>
  <c r="K1579" i="5" s="1"/>
  <c r="R1578" i="5"/>
  <c r="Q1578" i="5"/>
  <c r="P1578" i="5"/>
  <c r="I1578" i="5"/>
  <c r="H1578" i="5"/>
  <c r="G1578" i="5"/>
  <c r="B1578" i="5"/>
  <c r="O1578" i="5" s="1"/>
  <c r="R1577" i="5"/>
  <c r="Q1577" i="5"/>
  <c r="P1577" i="5"/>
  <c r="L1577" i="5"/>
  <c r="J1577" i="5"/>
  <c r="I1577" i="5"/>
  <c r="H1577" i="5"/>
  <c r="C1577" i="5"/>
  <c r="B1577" i="5"/>
  <c r="O1577" i="5" s="1"/>
  <c r="R1576" i="5"/>
  <c r="Q1576" i="5"/>
  <c r="J1576" i="5"/>
  <c r="I1576" i="5"/>
  <c r="B1576" i="5"/>
  <c r="P1576" i="5" s="1"/>
  <c r="J1575" i="5"/>
  <c r="B1575" i="5"/>
  <c r="B1574" i="5"/>
  <c r="R1573" i="5"/>
  <c r="Q1573" i="5"/>
  <c r="P1573" i="5"/>
  <c r="O1573" i="5"/>
  <c r="N1573" i="5"/>
  <c r="M1573" i="5"/>
  <c r="L1573" i="5"/>
  <c r="J1573" i="5"/>
  <c r="I1573" i="5"/>
  <c r="H1573" i="5"/>
  <c r="G1573" i="5"/>
  <c r="F1573" i="5"/>
  <c r="E1573" i="5"/>
  <c r="C1573" i="5"/>
  <c r="A1573" i="5" s="1"/>
  <c r="B1573" i="5"/>
  <c r="K1573" i="5" s="1"/>
  <c r="Q1572" i="5"/>
  <c r="O1572" i="5"/>
  <c r="N1572" i="5"/>
  <c r="M1572" i="5"/>
  <c r="I1572" i="5"/>
  <c r="G1572" i="5"/>
  <c r="F1572" i="5"/>
  <c r="E1572" i="5"/>
  <c r="B1572" i="5"/>
  <c r="L1572" i="5" s="1"/>
  <c r="R1571" i="5"/>
  <c r="Q1571" i="5"/>
  <c r="P1571" i="5"/>
  <c r="O1571" i="5"/>
  <c r="N1571" i="5"/>
  <c r="L1571" i="5"/>
  <c r="J1571" i="5"/>
  <c r="I1571" i="5"/>
  <c r="H1571" i="5"/>
  <c r="G1571" i="5"/>
  <c r="F1571" i="5"/>
  <c r="C1571" i="5"/>
  <c r="B1571" i="5"/>
  <c r="M1571" i="5" s="1"/>
  <c r="Q1570" i="5"/>
  <c r="P1570" i="5"/>
  <c r="O1570" i="5"/>
  <c r="I1570" i="5"/>
  <c r="H1570" i="5"/>
  <c r="G1570" i="5"/>
  <c r="B1570" i="5"/>
  <c r="N1570" i="5" s="1"/>
  <c r="R1569" i="5"/>
  <c r="Q1569" i="5"/>
  <c r="P1569" i="5"/>
  <c r="L1569" i="5"/>
  <c r="J1569" i="5"/>
  <c r="I1569" i="5"/>
  <c r="H1569" i="5"/>
  <c r="C1569" i="5"/>
  <c r="B1569" i="5"/>
  <c r="O1569" i="5" s="1"/>
  <c r="R1568" i="5"/>
  <c r="Q1568" i="5"/>
  <c r="J1568" i="5"/>
  <c r="I1568" i="5"/>
  <c r="B1568" i="5"/>
  <c r="P1568" i="5" s="1"/>
  <c r="R1567" i="5"/>
  <c r="J1567" i="5"/>
  <c r="B1567" i="5"/>
  <c r="K1566" i="5"/>
  <c r="C1566" i="5"/>
  <c r="B1566" i="5"/>
  <c r="L1566" i="5" s="1"/>
  <c r="R1565" i="5"/>
  <c r="Q1565" i="5"/>
  <c r="P1565" i="5"/>
  <c r="O1565" i="5"/>
  <c r="N1565" i="5"/>
  <c r="M1565" i="5"/>
  <c r="L1565" i="5"/>
  <c r="J1565" i="5"/>
  <c r="I1565" i="5"/>
  <c r="H1565" i="5"/>
  <c r="G1565" i="5"/>
  <c r="F1565" i="5"/>
  <c r="E1565" i="5"/>
  <c r="C1565" i="5"/>
  <c r="B1565" i="5"/>
  <c r="K1565" i="5" s="1"/>
  <c r="Q1564" i="5"/>
  <c r="O1564" i="5"/>
  <c r="N1564" i="5"/>
  <c r="M1564" i="5"/>
  <c r="I1564" i="5"/>
  <c r="G1564" i="5"/>
  <c r="F1564" i="5"/>
  <c r="E1564" i="5"/>
  <c r="B1564" i="5"/>
  <c r="L1564" i="5" s="1"/>
  <c r="R1563" i="5"/>
  <c r="Q1563" i="5"/>
  <c r="P1563" i="5"/>
  <c r="O1563" i="5"/>
  <c r="N1563" i="5"/>
  <c r="L1563" i="5"/>
  <c r="J1563" i="5"/>
  <c r="I1563" i="5"/>
  <c r="H1563" i="5"/>
  <c r="G1563" i="5"/>
  <c r="F1563" i="5"/>
  <c r="C1563" i="5"/>
  <c r="B1563" i="5"/>
  <c r="M1563" i="5" s="1"/>
  <c r="Q1562" i="5"/>
  <c r="P1562" i="5"/>
  <c r="O1562" i="5"/>
  <c r="I1562" i="5"/>
  <c r="H1562" i="5"/>
  <c r="G1562" i="5"/>
  <c r="B1562" i="5"/>
  <c r="N1562" i="5" s="1"/>
  <c r="R1561" i="5"/>
  <c r="Q1561" i="5"/>
  <c r="P1561" i="5"/>
  <c r="L1561" i="5"/>
  <c r="J1561" i="5"/>
  <c r="I1561" i="5"/>
  <c r="H1561" i="5"/>
  <c r="C1561" i="5"/>
  <c r="B1561" i="5"/>
  <c r="O1561" i="5" s="1"/>
  <c r="R1560" i="5"/>
  <c r="Q1560" i="5"/>
  <c r="J1560" i="5"/>
  <c r="I1560" i="5"/>
  <c r="B1560" i="5"/>
  <c r="P1560" i="5" s="1"/>
  <c r="J1559" i="5"/>
  <c r="B1559" i="5"/>
  <c r="B1558" i="5"/>
  <c r="R1557" i="5"/>
  <c r="Q1557" i="5"/>
  <c r="P1557" i="5"/>
  <c r="O1557" i="5"/>
  <c r="N1557" i="5"/>
  <c r="M1557" i="5"/>
  <c r="L1557" i="5"/>
  <c r="J1557" i="5"/>
  <c r="I1557" i="5"/>
  <c r="H1557" i="5"/>
  <c r="G1557" i="5"/>
  <c r="F1557" i="5"/>
  <c r="E1557" i="5"/>
  <c r="C1557" i="5"/>
  <c r="A1557" i="5" s="1"/>
  <c r="B1557" i="5"/>
  <c r="K1557" i="5" s="1"/>
  <c r="Q1556" i="5"/>
  <c r="O1556" i="5"/>
  <c r="N1556" i="5"/>
  <c r="M1556" i="5"/>
  <c r="I1556" i="5"/>
  <c r="G1556" i="5"/>
  <c r="F1556" i="5"/>
  <c r="E1556" i="5"/>
  <c r="B1556" i="5"/>
  <c r="L1556" i="5" s="1"/>
  <c r="R1555" i="5"/>
  <c r="Q1555" i="5"/>
  <c r="P1555" i="5"/>
  <c r="O1555" i="5"/>
  <c r="N1555" i="5"/>
  <c r="L1555" i="5"/>
  <c r="J1555" i="5"/>
  <c r="I1555" i="5"/>
  <c r="H1555" i="5"/>
  <c r="G1555" i="5"/>
  <c r="F1555" i="5"/>
  <c r="C1555" i="5"/>
  <c r="B1555" i="5"/>
  <c r="M1555" i="5" s="1"/>
  <c r="Q1554" i="5"/>
  <c r="P1554" i="5"/>
  <c r="O1554" i="5"/>
  <c r="I1554" i="5"/>
  <c r="H1554" i="5"/>
  <c r="G1554" i="5"/>
  <c r="B1554" i="5"/>
  <c r="N1554" i="5" s="1"/>
  <c r="R1553" i="5"/>
  <c r="Q1553" i="5"/>
  <c r="P1553" i="5"/>
  <c r="L1553" i="5"/>
  <c r="J1553" i="5"/>
  <c r="I1553" i="5"/>
  <c r="H1553" i="5"/>
  <c r="C1553" i="5"/>
  <c r="B1553" i="5"/>
  <c r="O1553" i="5" s="1"/>
  <c r="R1552" i="5"/>
  <c r="Q1552" i="5"/>
  <c r="J1552" i="5"/>
  <c r="I1552" i="5"/>
  <c r="B1552" i="5"/>
  <c r="P1552" i="5" s="1"/>
  <c r="R1551" i="5"/>
  <c r="J1551" i="5"/>
  <c r="B1551" i="5"/>
  <c r="K1550" i="5"/>
  <c r="C1550" i="5"/>
  <c r="B1550" i="5"/>
  <c r="L1550" i="5" s="1"/>
  <c r="N1549" i="5"/>
  <c r="M1549" i="5"/>
  <c r="L1549" i="5"/>
  <c r="F1549" i="5"/>
  <c r="E1549" i="5"/>
  <c r="C1549" i="5"/>
  <c r="B1549" i="5"/>
  <c r="K1549" i="5" s="1"/>
  <c r="Q1548" i="5"/>
  <c r="O1548" i="5"/>
  <c r="N1548" i="5"/>
  <c r="M1548" i="5"/>
  <c r="L1548" i="5"/>
  <c r="I1548" i="5"/>
  <c r="G1548" i="5"/>
  <c r="F1548" i="5"/>
  <c r="E1548" i="5"/>
  <c r="C1548" i="5"/>
  <c r="B1548" i="5"/>
  <c r="K1548" i="5" s="1"/>
  <c r="R1547" i="5"/>
  <c r="Q1547" i="5"/>
  <c r="P1547" i="5"/>
  <c r="O1547" i="5"/>
  <c r="N1547" i="5"/>
  <c r="M1547" i="5"/>
  <c r="L1547" i="5"/>
  <c r="J1547" i="5"/>
  <c r="I1547" i="5"/>
  <c r="H1547" i="5"/>
  <c r="G1547" i="5"/>
  <c r="F1547" i="5"/>
  <c r="E1547" i="5"/>
  <c r="A1547" i="5" s="1"/>
  <c r="C1547" i="5"/>
  <c r="B1547" i="5"/>
  <c r="K1547" i="5" s="1"/>
  <c r="Q1546" i="5"/>
  <c r="P1546" i="5"/>
  <c r="O1546" i="5"/>
  <c r="N1546" i="5"/>
  <c r="I1546" i="5"/>
  <c r="H1546" i="5"/>
  <c r="G1546" i="5"/>
  <c r="F1546" i="5"/>
  <c r="B1546" i="5"/>
  <c r="M1546" i="5" s="1"/>
  <c r="R1545" i="5"/>
  <c r="Q1545" i="5"/>
  <c r="P1545" i="5"/>
  <c r="O1545" i="5"/>
  <c r="L1545" i="5"/>
  <c r="J1545" i="5"/>
  <c r="I1545" i="5"/>
  <c r="H1545" i="5"/>
  <c r="G1545" i="5"/>
  <c r="C1545" i="5"/>
  <c r="B1545" i="5"/>
  <c r="N1545" i="5" s="1"/>
  <c r="R1544" i="5"/>
  <c r="Q1544" i="5"/>
  <c r="J1544" i="5"/>
  <c r="I1544" i="5"/>
  <c r="B1544" i="5"/>
  <c r="P1544" i="5" s="1"/>
  <c r="J1543" i="5"/>
  <c r="B1543" i="5"/>
  <c r="B1542" i="5"/>
  <c r="N1541" i="5"/>
  <c r="M1541" i="5"/>
  <c r="L1541" i="5"/>
  <c r="F1541" i="5"/>
  <c r="E1541" i="5"/>
  <c r="C1541" i="5"/>
  <c r="B1541" i="5"/>
  <c r="K1541" i="5" s="1"/>
  <c r="Q1540" i="5"/>
  <c r="P1540" i="5"/>
  <c r="O1540" i="5"/>
  <c r="N1540" i="5"/>
  <c r="M1540" i="5"/>
  <c r="L1540" i="5"/>
  <c r="I1540" i="5"/>
  <c r="H1540" i="5"/>
  <c r="G1540" i="5"/>
  <c r="F1540" i="5"/>
  <c r="E1540" i="5"/>
  <c r="C1540" i="5"/>
  <c r="B1540" i="5"/>
  <c r="K1540" i="5" s="1"/>
  <c r="R1539" i="5"/>
  <c r="Q1539" i="5"/>
  <c r="P1539" i="5"/>
  <c r="O1539" i="5"/>
  <c r="N1539" i="5"/>
  <c r="M1539" i="5"/>
  <c r="L1539" i="5"/>
  <c r="J1539" i="5"/>
  <c r="I1539" i="5"/>
  <c r="H1539" i="5"/>
  <c r="G1539" i="5"/>
  <c r="F1539" i="5"/>
  <c r="E1539" i="5"/>
  <c r="C1539" i="5"/>
  <c r="B1539" i="5"/>
  <c r="K1539" i="5" s="1"/>
  <c r="Q1538" i="5"/>
  <c r="P1538" i="5"/>
  <c r="O1538" i="5"/>
  <c r="N1538" i="5"/>
  <c r="I1538" i="5"/>
  <c r="H1538" i="5"/>
  <c r="G1538" i="5"/>
  <c r="F1538" i="5"/>
  <c r="B1538" i="5"/>
  <c r="M1538" i="5" s="1"/>
  <c r="R1537" i="5"/>
  <c r="Q1537" i="5"/>
  <c r="P1537" i="5"/>
  <c r="O1537" i="5"/>
  <c r="J1537" i="5"/>
  <c r="I1537" i="5"/>
  <c r="H1537" i="5"/>
  <c r="G1537" i="5"/>
  <c r="C1537" i="5"/>
  <c r="B1537" i="5"/>
  <c r="N1537" i="5" s="1"/>
  <c r="R1536" i="5"/>
  <c r="Q1536" i="5"/>
  <c r="J1536" i="5"/>
  <c r="I1536" i="5"/>
  <c r="B1536" i="5"/>
  <c r="P1536" i="5" s="1"/>
  <c r="B1535" i="5"/>
  <c r="L1534" i="5"/>
  <c r="K1534" i="5"/>
  <c r="C1534" i="5"/>
  <c r="B1534" i="5"/>
  <c r="N1533" i="5"/>
  <c r="M1533" i="5"/>
  <c r="L1533" i="5"/>
  <c r="F1533" i="5"/>
  <c r="E1533" i="5"/>
  <c r="C1533" i="5"/>
  <c r="B1533" i="5"/>
  <c r="K1533" i="5" s="1"/>
  <c r="Q1532" i="5"/>
  <c r="P1532" i="5"/>
  <c r="O1532" i="5"/>
  <c r="N1532" i="5"/>
  <c r="M1532" i="5"/>
  <c r="L1532" i="5"/>
  <c r="I1532" i="5"/>
  <c r="H1532" i="5"/>
  <c r="G1532" i="5"/>
  <c r="F1532" i="5"/>
  <c r="E1532" i="5"/>
  <c r="C1532" i="5"/>
  <c r="B1532" i="5"/>
  <c r="K1532" i="5" s="1"/>
  <c r="R1531" i="5"/>
  <c r="Q1531" i="5"/>
  <c r="P1531" i="5"/>
  <c r="O1531" i="5"/>
  <c r="N1531" i="5"/>
  <c r="M1531" i="5"/>
  <c r="L1531" i="5"/>
  <c r="J1531" i="5"/>
  <c r="I1531" i="5"/>
  <c r="H1531" i="5"/>
  <c r="G1531" i="5"/>
  <c r="F1531" i="5"/>
  <c r="E1531" i="5"/>
  <c r="C1531" i="5"/>
  <c r="B1531" i="5"/>
  <c r="K1531" i="5" s="1"/>
  <c r="Q1530" i="5"/>
  <c r="P1530" i="5"/>
  <c r="O1530" i="5"/>
  <c r="N1530" i="5"/>
  <c r="I1530" i="5"/>
  <c r="H1530" i="5"/>
  <c r="G1530" i="5"/>
  <c r="F1530" i="5"/>
  <c r="B1530" i="5"/>
  <c r="M1530" i="5" s="1"/>
  <c r="R1529" i="5"/>
  <c r="Q1529" i="5"/>
  <c r="P1529" i="5"/>
  <c r="O1529" i="5"/>
  <c r="L1529" i="5"/>
  <c r="J1529" i="5"/>
  <c r="I1529" i="5"/>
  <c r="H1529" i="5"/>
  <c r="G1529" i="5"/>
  <c r="C1529" i="5"/>
  <c r="B1529" i="5"/>
  <c r="N1529" i="5" s="1"/>
  <c r="R1528" i="5"/>
  <c r="Q1528" i="5"/>
  <c r="J1528" i="5"/>
  <c r="I1528" i="5"/>
  <c r="B1528" i="5"/>
  <c r="P1528" i="5" s="1"/>
  <c r="R1527" i="5"/>
  <c r="K1527" i="5"/>
  <c r="B1527" i="5"/>
  <c r="B1526" i="5"/>
  <c r="N1525" i="5"/>
  <c r="M1525" i="5"/>
  <c r="L1525" i="5"/>
  <c r="F1525" i="5"/>
  <c r="E1525" i="5"/>
  <c r="C1525" i="5"/>
  <c r="B1525" i="5"/>
  <c r="K1525" i="5" s="1"/>
  <c r="Q1524" i="5"/>
  <c r="P1524" i="5"/>
  <c r="O1524" i="5"/>
  <c r="N1524" i="5"/>
  <c r="M1524" i="5"/>
  <c r="L1524" i="5"/>
  <c r="I1524" i="5"/>
  <c r="H1524" i="5"/>
  <c r="G1524" i="5"/>
  <c r="F1524" i="5"/>
  <c r="E1524" i="5"/>
  <c r="C1524" i="5"/>
  <c r="B1524" i="5"/>
  <c r="K1524" i="5" s="1"/>
  <c r="R1523" i="5"/>
  <c r="Q1523" i="5"/>
  <c r="P1523" i="5"/>
  <c r="O1523" i="5"/>
  <c r="N1523" i="5"/>
  <c r="M1523" i="5"/>
  <c r="L1523" i="5"/>
  <c r="J1523" i="5"/>
  <c r="I1523" i="5"/>
  <c r="H1523" i="5"/>
  <c r="G1523" i="5"/>
  <c r="F1523" i="5"/>
  <c r="E1523" i="5"/>
  <c r="C1523" i="5"/>
  <c r="B1523" i="5"/>
  <c r="K1523" i="5" s="1"/>
  <c r="Q1522" i="5"/>
  <c r="P1522" i="5"/>
  <c r="O1522" i="5"/>
  <c r="N1522" i="5"/>
  <c r="I1522" i="5"/>
  <c r="H1522" i="5"/>
  <c r="G1522" i="5"/>
  <c r="F1522" i="5"/>
  <c r="B1522" i="5"/>
  <c r="M1522" i="5" s="1"/>
  <c r="R1521" i="5"/>
  <c r="Q1521" i="5"/>
  <c r="P1521" i="5"/>
  <c r="O1521" i="5"/>
  <c r="L1521" i="5"/>
  <c r="J1521" i="5"/>
  <c r="I1521" i="5"/>
  <c r="H1521" i="5"/>
  <c r="G1521" i="5"/>
  <c r="C1521" i="5"/>
  <c r="B1521" i="5"/>
  <c r="N1521" i="5" s="1"/>
  <c r="R1520" i="5"/>
  <c r="Q1520" i="5"/>
  <c r="J1520" i="5"/>
  <c r="I1520" i="5"/>
  <c r="B1520" i="5"/>
  <c r="P1520" i="5" s="1"/>
  <c r="K1519" i="5"/>
  <c r="J1519" i="5"/>
  <c r="B1519" i="5"/>
  <c r="R1519" i="5" s="1"/>
  <c r="L1518" i="5"/>
  <c r="K1518" i="5"/>
  <c r="C1518" i="5"/>
  <c r="B1518" i="5"/>
  <c r="N1517" i="5"/>
  <c r="M1517" i="5"/>
  <c r="L1517" i="5"/>
  <c r="F1517" i="5"/>
  <c r="E1517" i="5"/>
  <c r="C1517" i="5"/>
  <c r="B1517" i="5"/>
  <c r="K1517" i="5" s="1"/>
  <c r="Q1516" i="5"/>
  <c r="P1516" i="5"/>
  <c r="O1516" i="5"/>
  <c r="N1516" i="5"/>
  <c r="M1516" i="5"/>
  <c r="L1516" i="5"/>
  <c r="I1516" i="5"/>
  <c r="H1516" i="5"/>
  <c r="G1516" i="5"/>
  <c r="F1516" i="5"/>
  <c r="E1516" i="5"/>
  <c r="C1516" i="5"/>
  <c r="B1516" i="5"/>
  <c r="K1516" i="5" s="1"/>
  <c r="R1515" i="5"/>
  <c r="Q1515" i="5"/>
  <c r="P1515" i="5"/>
  <c r="O1515" i="5"/>
  <c r="N1515" i="5"/>
  <c r="M1515" i="5"/>
  <c r="L1515" i="5"/>
  <c r="J1515" i="5"/>
  <c r="I1515" i="5"/>
  <c r="H1515" i="5"/>
  <c r="G1515" i="5"/>
  <c r="F1515" i="5"/>
  <c r="E1515" i="5"/>
  <c r="A1515" i="5" s="1"/>
  <c r="C1515" i="5"/>
  <c r="B1515" i="5"/>
  <c r="K1515" i="5" s="1"/>
  <c r="Q1514" i="5"/>
  <c r="P1514" i="5"/>
  <c r="O1514" i="5"/>
  <c r="N1514" i="5"/>
  <c r="I1514" i="5"/>
  <c r="H1514" i="5"/>
  <c r="G1514" i="5"/>
  <c r="F1514" i="5"/>
  <c r="B1514" i="5"/>
  <c r="M1514" i="5" s="1"/>
  <c r="R1513" i="5"/>
  <c r="Q1513" i="5"/>
  <c r="P1513" i="5"/>
  <c r="O1513" i="5"/>
  <c r="L1513" i="5"/>
  <c r="J1513" i="5"/>
  <c r="I1513" i="5"/>
  <c r="H1513" i="5"/>
  <c r="G1513" i="5"/>
  <c r="C1513" i="5"/>
  <c r="B1513" i="5"/>
  <c r="N1513" i="5" s="1"/>
  <c r="R1512" i="5"/>
  <c r="Q1512" i="5"/>
  <c r="J1512" i="5"/>
  <c r="I1512" i="5"/>
  <c r="B1512" i="5"/>
  <c r="P1512" i="5" s="1"/>
  <c r="B1511" i="5"/>
  <c r="L1510" i="5"/>
  <c r="C1510" i="5"/>
  <c r="B1510" i="5"/>
  <c r="N1509" i="5"/>
  <c r="M1509" i="5"/>
  <c r="L1509" i="5"/>
  <c r="F1509" i="5"/>
  <c r="E1509" i="5"/>
  <c r="C1509" i="5"/>
  <c r="B1509" i="5"/>
  <c r="K1509" i="5" s="1"/>
  <c r="Q1508" i="5"/>
  <c r="P1508" i="5"/>
  <c r="O1508" i="5"/>
  <c r="N1508" i="5"/>
  <c r="M1508" i="5"/>
  <c r="L1508" i="5"/>
  <c r="I1508" i="5"/>
  <c r="H1508" i="5"/>
  <c r="G1508" i="5"/>
  <c r="F1508" i="5"/>
  <c r="E1508" i="5"/>
  <c r="C1508" i="5"/>
  <c r="B1508" i="5"/>
  <c r="K1508" i="5" s="1"/>
  <c r="R1507" i="5"/>
  <c r="Q1507" i="5"/>
  <c r="P1507" i="5"/>
  <c r="O1507" i="5"/>
  <c r="N1507" i="5"/>
  <c r="M1507" i="5"/>
  <c r="L1507" i="5"/>
  <c r="J1507" i="5"/>
  <c r="I1507" i="5"/>
  <c r="H1507" i="5"/>
  <c r="G1507" i="5"/>
  <c r="F1507" i="5"/>
  <c r="E1507" i="5"/>
  <c r="C1507" i="5"/>
  <c r="B1507" i="5"/>
  <c r="K1507" i="5" s="1"/>
  <c r="Q1506" i="5"/>
  <c r="P1506" i="5"/>
  <c r="O1506" i="5"/>
  <c r="N1506" i="5"/>
  <c r="I1506" i="5"/>
  <c r="H1506" i="5"/>
  <c r="G1506" i="5"/>
  <c r="F1506" i="5"/>
  <c r="B1506" i="5"/>
  <c r="M1506" i="5" s="1"/>
  <c r="R1505" i="5"/>
  <c r="Q1505" i="5"/>
  <c r="P1505" i="5"/>
  <c r="O1505" i="5"/>
  <c r="L1505" i="5"/>
  <c r="J1505" i="5"/>
  <c r="I1505" i="5"/>
  <c r="H1505" i="5"/>
  <c r="G1505" i="5"/>
  <c r="C1505" i="5"/>
  <c r="B1505" i="5"/>
  <c r="N1505" i="5" s="1"/>
  <c r="R1504" i="5"/>
  <c r="Q1504" i="5"/>
  <c r="J1504" i="5"/>
  <c r="I1504" i="5"/>
  <c r="B1504" i="5"/>
  <c r="P1504" i="5" s="1"/>
  <c r="B1503" i="5"/>
  <c r="L1502" i="5"/>
  <c r="K1502" i="5"/>
  <c r="C1502" i="5"/>
  <c r="B1502" i="5"/>
  <c r="N1501" i="5"/>
  <c r="M1501" i="5"/>
  <c r="L1501" i="5"/>
  <c r="F1501" i="5"/>
  <c r="E1501" i="5"/>
  <c r="C1501" i="5"/>
  <c r="B1501" i="5"/>
  <c r="K1501" i="5" s="1"/>
  <c r="Q1500" i="5"/>
  <c r="P1500" i="5"/>
  <c r="O1500" i="5"/>
  <c r="N1500" i="5"/>
  <c r="M1500" i="5"/>
  <c r="L1500" i="5"/>
  <c r="I1500" i="5"/>
  <c r="H1500" i="5"/>
  <c r="G1500" i="5"/>
  <c r="F1500" i="5"/>
  <c r="E1500" i="5"/>
  <c r="C1500" i="5"/>
  <c r="B1500" i="5"/>
  <c r="K1500" i="5" s="1"/>
  <c r="R1499" i="5"/>
  <c r="Q1499" i="5"/>
  <c r="P1499" i="5"/>
  <c r="O1499" i="5"/>
  <c r="N1499" i="5"/>
  <c r="M1499" i="5"/>
  <c r="L1499" i="5"/>
  <c r="J1499" i="5"/>
  <c r="I1499" i="5"/>
  <c r="H1499" i="5"/>
  <c r="G1499" i="5"/>
  <c r="F1499" i="5"/>
  <c r="E1499" i="5"/>
  <c r="C1499" i="5"/>
  <c r="B1499" i="5"/>
  <c r="K1499" i="5" s="1"/>
  <c r="Q1498" i="5"/>
  <c r="P1498" i="5"/>
  <c r="O1498" i="5"/>
  <c r="N1498" i="5"/>
  <c r="I1498" i="5"/>
  <c r="H1498" i="5"/>
  <c r="G1498" i="5"/>
  <c r="F1498" i="5"/>
  <c r="B1498" i="5"/>
  <c r="M1498" i="5" s="1"/>
  <c r="R1497" i="5"/>
  <c r="Q1497" i="5"/>
  <c r="P1497" i="5"/>
  <c r="O1497" i="5"/>
  <c r="L1497" i="5"/>
  <c r="J1497" i="5"/>
  <c r="I1497" i="5"/>
  <c r="H1497" i="5"/>
  <c r="G1497" i="5"/>
  <c r="C1497" i="5"/>
  <c r="B1497" i="5"/>
  <c r="N1497" i="5" s="1"/>
  <c r="R1496" i="5"/>
  <c r="Q1496" i="5"/>
  <c r="J1496" i="5"/>
  <c r="I1496" i="5"/>
  <c r="B1496" i="5"/>
  <c r="P1496" i="5" s="1"/>
  <c r="R1495" i="5"/>
  <c r="B1495" i="5"/>
  <c r="C1494" i="5"/>
  <c r="B1494" i="5"/>
  <c r="N1493" i="5"/>
  <c r="M1493" i="5"/>
  <c r="L1493" i="5"/>
  <c r="F1493" i="5"/>
  <c r="E1493" i="5"/>
  <c r="C1493" i="5"/>
  <c r="B1493" i="5"/>
  <c r="K1493" i="5" s="1"/>
  <c r="Q1492" i="5"/>
  <c r="P1492" i="5"/>
  <c r="O1492" i="5"/>
  <c r="N1492" i="5"/>
  <c r="M1492" i="5"/>
  <c r="L1492" i="5"/>
  <c r="I1492" i="5"/>
  <c r="H1492" i="5"/>
  <c r="G1492" i="5"/>
  <c r="F1492" i="5"/>
  <c r="E1492" i="5"/>
  <c r="C1492" i="5"/>
  <c r="B1492" i="5"/>
  <c r="K1492" i="5" s="1"/>
  <c r="R1491" i="5"/>
  <c r="Q1491" i="5"/>
  <c r="P1491" i="5"/>
  <c r="O1491" i="5"/>
  <c r="N1491" i="5"/>
  <c r="M1491" i="5"/>
  <c r="L1491" i="5"/>
  <c r="J1491" i="5"/>
  <c r="I1491" i="5"/>
  <c r="H1491" i="5"/>
  <c r="G1491" i="5"/>
  <c r="F1491" i="5"/>
  <c r="E1491" i="5"/>
  <c r="C1491" i="5"/>
  <c r="B1491" i="5"/>
  <c r="K1491" i="5" s="1"/>
  <c r="Q1490" i="5"/>
  <c r="P1490" i="5"/>
  <c r="O1490" i="5"/>
  <c r="N1490" i="5"/>
  <c r="I1490" i="5"/>
  <c r="H1490" i="5"/>
  <c r="G1490" i="5"/>
  <c r="F1490" i="5"/>
  <c r="B1490" i="5"/>
  <c r="M1490" i="5" s="1"/>
  <c r="R1489" i="5"/>
  <c r="Q1489" i="5"/>
  <c r="P1489" i="5"/>
  <c r="O1489" i="5"/>
  <c r="L1489" i="5"/>
  <c r="J1489" i="5"/>
  <c r="I1489" i="5"/>
  <c r="H1489" i="5"/>
  <c r="G1489" i="5"/>
  <c r="C1489" i="5"/>
  <c r="B1489" i="5"/>
  <c r="N1489" i="5" s="1"/>
  <c r="R1488" i="5"/>
  <c r="Q1488" i="5"/>
  <c r="J1488" i="5"/>
  <c r="I1488" i="5"/>
  <c r="B1488" i="5"/>
  <c r="P1488" i="5" s="1"/>
  <c r="K1487" i="5"/>
  <c r="J1487" i="5"/>
  <c r="B1487" i="5"/>
  <c r="R1487" i="5" s="1"/>
  <c r="L1486" i="5"/>
  <c r="K1486" i="5"/>
  <c r="C1486" i="5"/>
  <c r="B1486" i="5"/>
  <c r="N1485" i="5"/>
  <c r="M1485" i="5"/>
  <c r="L1485" i="5"/>
  <c r="F1485" i="5"/>
  <c r="E1485" i="5"/>
  <c r="C1485" i="5"/>
  <c r="B1485" i="5"/>
  <c r="K1485" i="5" s="1"/>
  <c r="Q1484" i="5"/>
  <c r="P1484" i="5"/>
  <c r="O1484" i="5"/>
  <c r="N1484" i="5"/>
  <c r="M1484" i="5"/>
  <c r="L1484" i="5"/>
  <c r="I1484" i="5"/>
  <c r="H1484" i="5"/>
  <c r="G1484" i="5"/>
  <c r="F1484" i="5"/>
  <c r="E1484" i="5"/>
  <c r="C1484" i="5"/>
  <c r="B1484" i="5"/>
  <c r="K1484" i="5" s="1"/>
  <c r="R1483" i="5"/>
  <c r="Q1483" i="5"/>
  <c r="P1483" i="5"/>
  <c r="O1483" i="5"/>
  <c r="N1483" i="5"/>
  <c r="M1483" i="5"/>
  <c r="L1483" i="5"/>
  <c r="J1483" i="5"/>
  <c r="I1483" i="5"/>
  <c r="H1483" i="5"/>
  <c r="G1483" i="5"/>
  <c r="F1483" i="5"/>
  <c r="E1483" i="5"/>
  <c r="A1483" i="5" s="1"/>
  <c r="C1483" i="5"/>
  <c r="B1483" i="5"/>
  <c r="K1483" i="5" s="1"/>
  <c r="Q1482" i="5"/>
  <c r="P1482" i="5"/>
  <c r="O1482" i="5"/>
  <c r="N1482" i="5"/>
  <c r="I1482" i="5"/>
  <c r="H1482" i="5"/>
  <c r="G1482" i="5"/>
  <c r="F1482" i="5"/>
  <c r="B1482" i="5"/>
  <c r="M1482" i="5" s="1"/>
  <c r="R1481" i="5"/>
  <c r="Q1481" i="5"/>
  <c r="P1481" i="5"/>
  <c r="O1481" i="5"/>
  <c r="L1481" i="5"/>
  <c r="J1481" i="5"/>
  <c r="I1481" i="5"/>
  <c r="H1481" i="5"/>
  <c r="G1481" i="5"/>
  <c r="C1481" i="5"/>
  <c r="B1481" i="5"/>
  <c r="N1481" i="5" s="1"/>
  <c r="R1480" i="5"/>
  <c r="Q1480" i="5"/>
  <c r="K1480" i="5"/>
  <c r="I1480" i="5"/>
  <c r="B1480" i="5"/>
  <c r="L1479" i="5"/>
  <c r="K1479" i="5"/>
  <c r="J1479" i="5"/>
  <c r="B1479" i="5"/>
  <c r="R1479" i="5" s="1"/>
  <c r="M1478" i="5"/>
  <c r="L1478" i="5"/>
  <c r="K1478" i="5"/>
  <c r="E1478" i="5"/>
  <c r="C1478" i="5"/>
  <c r="B1478" i="5"/>
  <c r="N1477" i="5"/>
  <c r="M1477" i="5"/>
  <c r="L1477" i="5"/>
  <c r="F1477" i="5"/>
  <c r="E1477" i="5"/>
  <c r="C1477" i="5"/>
  <c r="B1477" i="5"/>
  <c r="K1477" i="5" s="1"/>
  <c r="Q1476" i="5"/>
  <c r="P1476" i="5"/>
  <c r="O1476" i="5"/>
  <c r="N1476" i="5"/>
  <c r="M1476" i="5"/>
  <c r="L1476" i="5"/>
  <c r="I1476" i="5"/>
  <c r="H1476" i="5"/>
  <c r="G1476" i="5"/>
  <c r="F1476" i="5"/>
  <c r="E1476" i="5"/>
  <c r="C1476" i="5"/>
  <c r="B1476" i="5"/>
  <c r="K1476" i="5" s="1"/>
  <c r="R1475" i="5"/>
  <c r="Q1475" i="5"/>
  <c r="P1475" i="5"/>
  <c r="O1475" i="5"/>
  <c r="N1475" i="5"/>
  <c r="M1475" i="5"/>
  <c r="L1475" i="5"/>
  <c r="J1475" i="5"/>
  <c r="I1475" i="5"/>
  <c r="H1475" i="5"/>
  <c r="G1475" i="5"/>
  <c r="F1475" i="5"/>
  <c r="E1475" i="5"/>
  <c r="C1475" i="5"/>
  <c r="B1475" i="5"/>
  <c r="K1475" i="5" s="1"/>
  <c r="Q1474" i="5"/>
  <c r="P1474" i="5"/>
  <c r="O1474" i="5"/>
  <c r="N1474" i="5"/>
  <c r="I1474" i="5"/>
  <c r="H1474" i="5"/>
  <c r="G1474" i="5"/>
  <c r="F1474" i="5"/>
  <c r="B1474" i="5"/>
  <c r="M1474" i="5" s="1"/>
  <c r="R1473" i="5"/>
  <c r="Q1473" i="5"/>
  <c r="P1473" i="5"/>
  <c r="O1473" i="5"/>
  <c r="L1473" i="5"/>
  <c r="J1473" i="5"/>
  <c r="I1473" i="5"/>
  <c r="H1473" i="5"/>
  <c r="G1473" i="5"/>
  <c r="C1473" i="5"/>
  <c r="B1473" i="5"/>
  <c r="N1473" i="5" s="1"/>
  <c r="B1472" i="5"/>
  <c r="B1471" i="5"/>
  <c r="M1470" i="5"/>
  <c r="K1470" i="5"/>
  <c r="E1470" i="5"/>
  <c r="C1470" i="5"/>
  <c r="B1470" i="5"/>
  <c r="N1469" i="5"/>
  <c r="M1469" i="5"/>
  <c r="L1469" i="5"/>
  <c r="F1469" i="5"/>
  <c r="E1469" i="5"/>
  <c r="C1469" i="5"/>
  <c r="B1469" i="5"/>
  <c r="K1469" i="5" s="1"/>
  <c r="Q1468" i="5"/>
  <c r="P1468" i="5"/>
  <c r="O1468" i="5"/>
  <c r="N1468" i="5"/>
  <c r="M1468" i="5"/>
  <c r="L1468" i="5"/>
  <c r="I1468" i="5"/>
  <c r="H1468" i="5"/>
  <c r="G1468" i="5"/>
  <c r="F1468" i="5"/>
  <c r="E1468" i="5"/>
  <c r="C1468" i="5"/>
  <c r="B1468" i="5"/>
  <c r="K1468" i="5" s="1"/>
  <c r="R1467" i="5"/>
  <c r="Q1467" i="5"/>
  <c r="P1467" i="5"/>
  <c r="O1467" i="5"/>
  <c r="N1467" i="5"/>
  <c r="M1467" i="5"/>
  <c r="L1467" i="5"/>
  <c r="J1467" i="5"/>
  <c r="I1467" i="5"/>
  <c r="H1467" i="5"/>
  <c r="G1467" i="5"/>
  <c r="F1467" i="5"/>
  <c r="E1467" i="5"/>
  <c r="A1467" i="5" s="1"/>
  <c r="C1467" i="5"/>
  <c r="B1467" i="5"/>
  <c r="K1467" i="5" s="1"/>
  <c r="Q1466" i="5"/>
  <c r="P1466" i="5"/>
  <c r="O1466" i="5"/>
  <c r="N1466" i="5"/>
  <c r="I1466" i="5"/>
  <c r="H1466" i="5"/>
  <c r="G1466" i="5"/>
  <c r="F1466" i="5"/>
  <c r="B1466" i="5"/>
  <c r="M1466" i="5" s="1"/>
  <c r="R1465" i="5"/>
  <c r="Q1465" i="5"/>
  <c r="P1465" i="5"/>
  <c r="O1465" i="5"/>
  <c r="L1465" i="5"/>
  <c r="J1465" i="5"/>
  <c r="I1465" i="5"/>
  <c r="H1465" i="5"/>
  <c r="G1465" i="5"/>
  <c r="C1465" i="5"/>
  <c r="B1465" i="5"/>
  <c r="N1465" i="5" s="1"/>
  <c r="R1464" i="5"/>
  <c r="Q1464" i="5"/>
  <c r="K1464" i="5"/>
  <c r="I1464" i="5"/>
  <c r="B1464" i="5"/>
  <c r="L1463" i="5"/>
  <c r="K1463" i="5"/>
  <c r="J1463" i="5"/>
  <c r="B1463" i="5"/>
  <c r="R1463" i="5" s="1"/>
  <c r="M1462" i="5"/>
  <c r="L1462" i="5"/>
  <c r="K1462" i="5"/>
  <c r="E1462" i="5"/>
  <c r="C1462" i="5"/>
  <c r="B1462" i="5"/>
  <c r="N1461" i="5"/>
  <c r="M1461" i="5"/>
  <c r="L1461" i="5"/>
  <c r="F1461" i="5"/>
  <c r="E1461" i="5"/>
  <c r="C1461" i="5"/>
  <c r="B1461" i="5"/>
  <c r="K1461" i="5" s="1"/>
  <c r="Q1460" i="5"/>
  <c r="P1460" i="5"/>
  <c r="O1460" i="5"/>
  <c r="N1460" i="5"/>
  <c r="M1460" i="5"/>
  <c r="L1460" i="5"/>
  <c r="I1460" i="5"/>
  <c r="H1460" i="5"/>
  <c r="G1460" i="5"/>
  <c r="F1460" i="5"/>
  <c r="E1460" i="5"/>
  <c r="C1460" i="5"/>
  <c r="B1460" i="5"/>
  <c r="K1460" i="5" s="1"/>
  <c r="R1459" i="5"/>
  <c r="Q1459" i="5"/>
  <c r="P1459" i="5"/>
  <c r="O1459" i="5"/>
  <c r="N1459" i="5"/>
  <c r="M1459" i="5"/>
  <c r="L1459" i="5"/>
  <c r="J1459" i="5"/>
  <c r="I1459" i="5"/>
  <c r="H1459" i="5"/>
  <c r="G1459" i="5"/>
  <c r="F1459" i="5"/>
  <c r="E1459" i="5"/>
  <c r="C1459" i="5"/>
  <c r="B1459" i="5"/>
  <c r="K1459" i="5" s="1"/>
  <c r="Q1458" i="5"/>
  <c r="P1458" i="5"/>
  <c r="O1458" i="5"/>
  <c r="N1458" i="5"/>
  <c r="I1458" i="5"/>
  <c r="H1458" i="5"/>
  <c r="G1458" i="5"/>
  <c r="F1458" i="5"/>
  <c r="B1458" i="5"/>
  <c r="M1458" i="5" s="1"/>
  <c r="R1457" i="5"/>
  <c r="Q1457" i="5"/>
  <c r="P1457" i="5"/>
  <c r="O1457" i="5"/>
  <c r="L1457" i="5"/>
  <c r="J1457" i="5"/>
  <c r="I1457" i="5"/>
  <c r="H1457" i="5"/>
  <c r="G1457" i="5"/>
  <c r="C1457" i="5"/>
  <c r="B1457" i="5"/>
  <c r="N1457" i="5" s="1"/>
  <c r="R1456" i="5"/>
  <c r="Q1456" i="5"/>
  <c r="P1456" i="5"/>
  <c r="K1456" i="5"/>
  <c r="J1456" i="5"/>
  <c r="I1456" i="5"/>
  <c r="H1456" i="5"/>
  <c r="B1456" i="5"/>
  <c r="Q1455" i="5"/>
  <c r="K1455" i="5"/>
  <c r="J1455" i="5"/>
  <c r="I1455" i="5"/>
  <c r="B1455" i="5"/>
  <c r="R1455" i="5" s="1"/>
  <c r="R1454" i="5"/>
  <c r="L1454" i="5"/>
  <c r="K1454" i="5"/>
  <c r="J1454" i="5"/>
  <c r="C1454" i="5"/>
  <c r="B1454" i="5"/>
  <c r="M1454" i="5" s="1"/>
  <c r="M1453" i="5"/>
  <c r="L1453" i="5"/>
  <c r="B1453" i="5"/>
  <c r="N1453" i="5" s="1"/>
  <c r="Q1452" i="5"/>
  <c r="P1452" i="5"/>
  <c r="O1452" i="5"/>
  <c r="N1452" i="5"/>
  <c r="M1452" i="5"/>
  <c r="L1452" i="5"/>
  <c r="I1452" i="5"/>
  <c r="H1452" i="5"/>
  <c r="G1452" i="5"/>
  <c r="F1452" i="5"/>
  <c r="E1452" i="5"/>
  <c r="C1452" i="5"/>
  <c r="B1452" i="5"/>
  <c r="K1452" i="5" s="1"/>
  <c r="R1451" i="5"/>
  <c r="Q1451" i="5"/>
  <c r="P1451" i="5"/>
  <c r="O1451" i="5"/>
  <c r="N1451" i="5"/>
  <c r="M1451" i="5"/>
  <c r="L1451" i="5"/>
  <c r="J1451" i="5"/>
  <c r="I1451" i="5"/>
  <c r="H1451" i="5"/>
  <c r="G1451" i="5"/>
  <c r="F1451" i="5"/>
  <c r="E1451" i="5"/>
  <c r="A1451" i="5" s="1"/>
  <c r="C1451" i="5"/>
  <c r="B1451" i="5"/>
  <c r="K1451" i="5" s="1"/>
  <c r="Q1450" i="5"/>
  <c r="P1450" i="5"/>
  <c r="O1450" i="5"/>
  <c r="N1450" i="5"/>
  <c r="I1450" i="5"/>
  <c r="H1450" i="5"/>
  <c r="G1450" i="5"/>
  <c r="F1450" i="5"/>
  <c r="B1450" i="5"/>
  <c r="M1450" i="5" s="1"/>
  <c r="R1449" i="5"/>
  <c r="Q1449" i="5"/>
  <c r="P1449" i="5"/>
  <c r="O1449" i="5"/>
  <c r="L1449" i="5"/>
  <c r="J1449" i="5"/>
  <c r="I1449" i="5"/>
  <c r="H1449" i="5"/>
  <c r="G1449" i="5"/>
  <c r="C1449" i="5"/>
  <c r="B1449" i="5"/>
  <c r="N1449" i="5" s="1"/>
  <c r="R1448" i="5"/>
  <c r="Q1448" i="5"/>
  <c r="P1448" i="5"/>
  <c r="J1448" i="5"/>
  <c r="I1448" i="5"/>
  <c r="H1448" i="5"/>
  <c r="B1448" i="5"/>
  <c r="B1447" i="5"/>
  <c r="B1446" i="5"/>
  <c r="K1445" i="5"/>
  <c r="E1445" i="5"/>
  <c r="C1445" i="5"/>
  <c r="B1445" i="5"/>
  <c r="N1445" i="5" s="1"/>
  <c r="Q1444" i="5"/>
  <c r="P1444" i="5"/>
  <c r="O1444" i="5"/>
  <c r="N1444" i="5"/>
  <c r="M1444" i="5"/>
  <c r="L1444" i="5"/>
  <c r="I1444" i="5"/>
  <c r="H1444" i="5"/>
  <c r="G1444" i="5"/>
  <c r="F1444" i="5"/>
  <c r="E1444" i="5"/>
  <c r="C1444" i="5"/>
  <c r="B1444" i="5"/>
  <c r="K1444" i="5" s="1"/>
  <c r="R1443" i="5"/>
  <c r="Q1443" i="5"/>
  <c r="P1443" i="5"/>
  <c r="O1443" i="5"/>
  <c r="N1443" i="5"/>
  <c r="M1443" i="5"/>
  <c r="L1443" i="5"/>
  <c r="J1443" i="5"/>
  <c r="I1443" i="5"/>
  <c r="H1443" i="5"/>
  <c r="G1443" i="5"/>
  <c r="F1443" i="5"/>
  <c r="E1443" i="5"/>
  <c r="C1443" i="5"/>
  <c r="B1443" i="5"/>
  <c r="K1443" i="5" s="1"/>
  <c r="Q1442" i="5"/>
  <c r="P1442" i="5"/>
  <c r="O1442" i="5"/>
  <c r="N1442" i="5"/>
  <c r="I1442" i="5"/>
  <c r="H1442" i="5"/>
  <c r="G1442" i="5"/>
  <c r="F1442" i="5"/>
  <c r="B1442" i="5"/>
  <c r="M1442" i="5" s="1"/>
  <c r="R1441" i="5"/>
  <c r="Q1441" i="5"/>
  <c r="P1441" i="5"/>
  <c r="O1441" i="5"/>
  <c r="L1441" i="5"/>
  <c r="J1441" i="5"/>
  <c r="I1441" i="5"/>
  <c r="H1441" i="5"/>
  <c r="G1441" i="5"/>
  <c r="C1441" i="5"/>
  <c r="B1441" i="5"/>
  <c r="N1441" i="5" s="1"/>
  <c r="K1440" i="5"/>
  <c r="J1440" i="5"/>
  <c r="B1440" i="5"/>
  <c r="M1440" i="5" s="1"/>
  <c r="R1439" i="5"/>
  <c r="Q1439" i="5"/>
  <c r="N1439" i="5"/>
  <c r="L1439" i="5"/>
  <c r="K1439" i="5"/>
  <c r="J1439" i="5"/>
  <c r="I1439" i="5"/>
  <c r="F1439" i="5"/>
  <c r="E1439" i="5"/>
  <c r="C1439" i="5"/>
  <c r="B1439" i="5"/>
  <c r="M1438" i="5"/>
  <c r="B1438" i="5"/>
  <c r="P1437" i="5"/>
  <c r="N1437" i="5"/>
  <c r="L1437" i="5"/>
  <c r="H1437" i="5"/>
  <c r="G1437" i="5"/>
  <c r="F1437" i="5"/>
  <c r="C1437" i="5"/>
  <c r="B1437" i="5"/>
  <c r="K1437" i="5" s="1"/>
  <c r="Q1436" i="5"/>
  <c r="P1436" i="5"/>
  <c r="O1436" i="5"/>
  <c r="N1436" i="5"/>
  <c r="M1436" i="5"/>
  <c r="L1436" i="5"/>
  <c r="I1436" i="5"/>
  <c r="H1436" i="5"/>
  <c r="G1436" i="5"/>
  <c r="F1436" i="5"/>
  <c r="E1436" i="5"/>
  <c r="C1436" i="5"/>
  <c r="B1436" i="5"/>
  <c r="K1436" i="5" s="1"/>
  <c r="R1435" i="5"/>
  <c r="Q1435" i="5"/>
  <c r="P1435" i="5"/>
  <c r="O1435" i="5"/>
  <c r="N1435" i="5"/>
  <c r="M1435" i="5"/>
  <c r="L1435" i="5"/>
  <c r="J1435" i="5"/>
  <c r="I1435" i="5"/>
  <c r="H1435" i="5"/>
  <c r="G1435" i="5"/>
  <c r="F1435" i="5"/>
  <c r="E1435" i="5"/>
  <c r="C1435" i="5"/>
  <c r="B1435" i="5"/>
  <c r="K1435" i="5" s="1"/>
  <c r="K1434" i="5"/>
  <c r="J1434" i="5"/>
  <c r="B1434" i="5"/>
  <c r="N1434" i="5" s="1"/>
  <c r="R1433" i="5"/>
  <c r="Q1433" i="5"/>
  <c r="P1433" i="5"/>
  <c r="L1433" i="5"/>
  <c r="K1433" i="5"/>
  <c r="J1433" i="5"/>
  <c r="I1433" i="5"/>
  <c r="H1433" i="5"/>
  <c r="G1433" i="5"/>
  <c r="C1433" i="5"/>
  <c r="B1433" i="5"/>
  <c r="B1432" i="5"/>
  <c r="R1431" i="5"/>
  <c r="N1431" i="5"/>
  <c r="L1431" i="5"/>
  <c r="J1431" i="5"/>
  <c r="I1431" i="5"/>
  <c r="F1431" i="5"/>
  <c r="C1431" i="5"/>
  <c r="B1431" i="5"/>
  <c r="K1431" i="5" s="1"/>
  <c r="O1430" i="5"/>
  <c r="N1430" i="5"/>
  <c r="G1430" i="5"/>
  <c r="E1430" i="5"/>
  <c r="C1430" i="5"/>
  <c r="B1430" i="5"/>
  <c r="L1430" i="5" s="1"/>
  <c r="M1429" i="5"/>
  <c r="L1429" i="5"/>
  <c r="C1429" i="5"/>
  <c r="B1429" i="5"/>
  <c r="B1428" i="5"/>
  <c r="R1427" i="5"/>
  <c r="Q1427" i="5"/>
  <c r="P1427" i="5"/>
  <c r="O1427" i="5"/>
  <c r="N1427" i="5"/>
  <c r="M1427" i="5"/>
  <c r="L1427" i="5"/>
  <c r="J1427" i="5"/>
  <c r="I1427" i="5"/>
  <c r="H1427" i="5"/>
  <c r="G1427" i="5"/>
  <c r="F1427" i="5"/>
  <c r="E1427" i="5"/>
  <c r="C1427" i="5"/>
  <c r="B1427" i="5"/>
  <c r="K1427" i="5" s="1"/>
  <c r="A1427" i="5"/>
  <c r="R1426" i="5"/>
  <c r="J1426" i="5"/>
  <c r="I1426" i="5"/>
  <c r="B1426" i="5"/>
  <c r="K1426" i="5" s="1"/>
  <c r="R1425" i="5"/>
  <c r="Q1425" i="5"/>
  <c r="P1425" i="5"/>
  <c r="N1425" i="5"/>
  <c r="K1425" i="5"/>
  <c r="I1425" i="5"/>
  <c r="H1425" i="5"/>
  <c r="G1425" i="5"/>
  <c r="C1425" i="5"/>
  <c r="B1425" i="5"/>
  <c r="J1425" i="5" s="1"/>
  <c r="Q1424" i="5"/>
  <c r="P1424" i="5"/>
  <c r="O1424" i="5"/>
  <c r="J1424" i="5"/>
  <c r="H1424" i="5"/>
  <c r="G1424" i="5"/>
  <c r="E1424" i="5"/>
  <c r="B1424" i="5"/>
  <c r="K1424" i="5" s="1"/>
  <c r="R1423" i="5"/>
  <c r="Q1423" i="5"/>
  <c r="P1423" i="5"/>
  <c r="N1423" i="5"/>
  <c r="M1423" i="5"/>
  <c r="K1423" i="5"/>
  <c r="J1423" i="5"/>
  <c r="I1423" i="5"/>
  <c r="H1423" i="5"/>
  <c r="F1423" i="5"/>
  <c r="E1423" i="5"/>
  <c r="C1423" i="5"/>
  <c r="B1423" i="5"/>
  <c r="Q1422" i="5"/>
  <c r="N1422" i="5"/>
  <c r="M1422" i="5"/>
  <c r="G1422" i="5"/>
  <c r="E1422" i="5"/>
  <c r="C1422" i="5"/>
  <c r="B1422" i="5"/>
  <c r="K1422" i="5" s="1"/>
  <c r="M1421" i="5"/>
  <c r="L1421" i="5"/>
  <c r="C1421" i="5"/>
  <c r="B1421" i="5"/>
  <c r="K1420" i="5"/>
  <c r="B1420" i="5"/>
  <c r="R1419" i="5"/>
  <c r="Q1419" i="5"/>
  <c r="P1419" i="5"/>
  <c r="O1419" i="5"/>
  <c r="N1419" i="5"/>
  <c r="M1419" i="5"/>
  <c r="L1419" i="5"/>
  <c r="J1419" i="5"/>
  <c r="I1419" i="5"/>
  <c r="A1419" i="5" s="1"/>
  <c r="H1419" i="5"/>
  <c r="G1419" i="5"/>
  <c r="F1419" i="5"/>
  <c r="E1419" i="5"/>
  <c r="C1419" i="5"/>
  <c r="B1419" i="5"/>
  <c r="K1419" i="5" s="1"/>
  <c r="R1418" i="5"/>
  <c r="J1418" i="5"/>
  <c r="I1418" i="5"/>
  <c r="B1418" i="5"/>
  <c r="K1418" i="5" s="1"/>
  <c r="R1417" i="5"/>
  <c r="Q1417" i="5"/>
  <c r="P1417" i="5"/>
  <c r="N1417" i="5"/>
  <c r="K1417" i="5"/>
  <c r="I1417" i="5"/>
  <c r="H1417" i="5"/>
  <c r="G1417" i="5"/>
  <c r="C1417" i="5"/>
  <c r="B1417" i="5"/>
  <c r="J1417" i="5" s="1"/>
  <c r="Q1416" i="5"/>
  <c r="P1416" i="5"/>
  <c r="O1416" i="5"/>
  <c r="J1416" i="5"/>
  <c r="H1416" i="5"/>
  <c r="G1416" i="5"/>
  <c r="E1416" i="5"/>
  <c r="B1416" i="5"/>
  <c r="K1416" i="5" s="1"/>
  <c r="R1415" i="5"/>
  <c r="Q1415" i="5"/>
  <c r="P1415" i="5"/>
  <c r="N1415" i="5"/>
  <c r="M1415" i="5"/>
  <c r="K1415" i="5"/>
  <c r="J1415" i="5"/>
  <c r="I1415" i="5"/>
  <c r="H1415" i="5"/>
  <c r="F1415" i="5"/>
  <c r="E1415" i="5"/>
  <c r="C1415" i="5"/>
  <c r="B1415" i="5"/>
  <c r="Q1414" i="5"/>
  <c r="O1414" i="5"/>
  <c r="N1414" i="5"/>
  <c r="I1414" i="5"/>
  <c r="G1414" i="5"/>
  <c r="F1414" i="5"/>
  <c r="B1414" i="5"/>
  <c r="M1414" i="5" s="1"/>
  <c r="R1413" i="5"/>
  <c r="P1413" i="5"/>
  <c r="O1413" i="5"/>
  <c r="N1413" i="5"/>
  <c r="L1413" i="5"/>
  <c r="J1413" i="5"/>
  <c r="H1413" i="5"/>
  <c r="G1413" i="5"/>
  <c r="F1413" i="5"/>
  <c r="C1413" i="5"/>
  <c r="B1413" i="5"/>
  <c r="M1413" i="5" s="1"/>
  <c r="Q1412" i="5"/>
  <c r="P1412" i="5"/>
  <c r="I1412" i="5"/>
  <c r="H1412" i="5"/>
  <c r="B1412" i="5"/>
  <c r="O1412" i="5" s="1"/>
  <c r="R1411" i="5"/>
  <c r="Q1411" i="5"/>
  <c r="P1411" i="5"/>
  <c r="N1411" i="5"/>
  <c r="M1411" i="5"/>
  <c r="L1411" i="5"/>
  <c r="J1411" i="5"/>
  <c r="I1411" i="5"/>
  <c r="H1411" i="5"/>
  <c r="F1411" i="5"/>
  <c r="E1411" i="5"/>
  <c r="C1411" i="5"/>
  <c r="B1411" i="5"/>
  <c r="O1411" i="5" s="1"/>
  <c r="R1410" i="5"/>
  <c r="J1410" i="5"/>
  <c r="B1410" i="5"/>
  <c r="B1409" i="5"/>
  <c r="O1408" i="5"/>
  <c r="M1408" i="5"/>
  <c r="L1408" i="5"/>
  <c r="G1408" i="5"/>
  <c r="E1408" i="5"/>
  <c r="C1408" i="5"/>
  <c r="B1408" i="5"/>
  <c r="K1408" i="5" s="1"/>
  <c r="R1407" i="5"/>
  <c r="Q1407" i="5"/>
  <c r="P1407" i="5"/>
  <c r="O1407" i="5"/>
  <c r="N1407" i="5"/>
  <c r="M1407" i="5"/>
  <c r="L1407" i="5"/>
  <c r="J1407" i="5"/>
  <c r="I1407" i="5"/>
  <c r="H1407" i="5"/>
  <c r="G1407" i="5"/>
  <c r="F1407" i="5"/>
  <c r="E1407" i="5"/>
  <c r="C1407" i="5"/>
  <c r="B1407" i="5"/>
  <c r="K1407" i="5" s="1"/>
  <c r="Q1406" i="5"/>
  <c r="O1406" i="5"/>
  <c r="N1406" i="5"/>
  <c r="I1406" i="5"/>
  <c r="G1406" i="5"/>
  <c r="F1406" i="5"/>
  <c r="B1406" i="5"/>
  <c r="M1406" i="5" s="1"/>
  <c r="R1405" i="5"/>
  <c r="P1405" i="5"/>
  <c r="O1405" i="5"/>
  <c r="N1405" i="5"/>
  <c r="L1405" i="5"/>
  <c r="J1405" i="5"/>
  <c r="H1405" i="5"/>
  <c r="G1405" i="5"/>
  <c r="F1405" i="5"/>
  <c r="C1405" i="5"/>
  <c r="B1405" i="5"/>
  <c r="M1405" i="5" s="1"/>
  <c r="Q1404" i="5"/>
  <c r="P1404" i="5"/>
  <c r="I1404" i="5"/>
  <c r="H1404" i="5"/>
  <c r="B1404" i="5"/>
  <c r="O1404" i="5" s="1"/>
  <c r="R1403" i="5"/>
  <c r="Q1403" i="5"/>
  <c r="P1403" i="5"/>
  <c r="N1403" i="5"/>
  <c r="M1403" i="5"/>
  <c r="L1403" i="5"/>
  <c r="J1403" i="5"/>
  <c r="I1403" i="5"/>
  <c r="H1403" i="5"/>
  <c r="F1403" i="5"/>
  <c r="E1403" i="5"/>
  <c r="C1403" i="5"/>
  <c r="B1403" i="5"/>
  <c r="O1403" i="5" s="1"/>
  <c r="J1402" i="5"/>
  <c r="B1402" i="5"/>
  <c r="L1401" i="5"/>
  <c r="K1401" i="5"/>
  <c r="C1401" i="5"/>
  <c r="B1401" i="5"/>
  <c r="O1400" i="5"/>
  <c r="M1400" i="5"/>
  <c r="L1400" i="5"/>
  <c r="G1400" i="5"/>
  <c r="E1400" i="5"/>
  <c r="C1400" i="5"/>
  <c r="B1400" i="5"/>
  <c r="K1400" i="5" s="1"/>
  <c r="R1399" i="5"/>
  <c r="Q1399" i="5"/>
  <c r="P1399" i="5"/>
  <c r="O1399" i="5"/>
  <c r="N1399" i="5"/>
  <c r="M1399" i="5"/>
  <c r="L1399" i="5"/>
  <c r="J1399" i="5"/>
  <c r="I1399" i="5"/>
  <c r="H1399" i="5"/>
  <c r="G1399" i="5"/>
  <c r="F1399" i="5"/>
  <c r="E1399" i="5"/>
  <c r="C1399" i="5"/>
  <c r="B1399" i="5"/>
  <c r="K1399" i="5" s="1"/>
  <c r="Q1398" i="5"/>
  <c r="O1398" i="5"/>
  <c r="N1398" i="5"/>
  <c r="I1398" i="5"/>
  <c r="G1398" i="5"/>
  <c r="F1398" i="5"/>
  <c r="B1398" i="5"/>
  <c r="M1398" i="5" s="1"/>
  <c r="R1397" i="5"/>
  <c r="P1397" i="5"/>
  <c r="O1397" i="5"/>
  <c r="N1397" i="5"/>
  <c r="L1397" i="5"/>
  <c r="J1397" i="5"/>
  <c r="H1397" i="5"/>
  <c r="G1397" i="5"/>
  <c r="F1397" i="5"/>
  <c r="C1397" i="5"/>
  <c r="B1397" i="5"/>
  <c r="M1397" i="5" s="1"/>
  <c r="Q1396" i="5"/>
  <c r="P1396" i="5"/>
  <c r="I1396" i="5"/>
  <c r="H1396" i="5"/>
  <c r="B1396" i="5"/>
  <c r="O1396" i="5" s="1"/>
  <c r="R1395" i="5"/>
  <c r="Q1395" i="5"/>
  <c r="P1395" i="5"/>
  <c r="N1395" i="5"/>
  <c r="M1395" i="5"/>
  <c r="L1395" i="5"/>
  <c r="J1395" i="5"/>
  <c r="I1395" i="5"/>
  <c r="H1395" i="5"/>
  <c r="F1395" i="5"/>
  <c r="E1395" i="5"/>
  <c r="C1395" i="5"/>
  <c r="B1395" i="5"/>
  <c r="O1395" i="5" s="1"/>
  <c r="R1394" i="5"/>
  <c r="B1394" i="5"/>
  <c r="B1393" i="5"/>
  <c r="O1392" i="5"/>
  <c r="M1392" i="5"/>
  <c r="L1392" i="5"/>
  <c r="G1392" i="5"/>
  <c r="E1392" i="5"/>
  <c r="C1392" i="5"/>
  <c r="B1392" i="5"/>
  <c r="K1392" i="5" s="1"/>
  <c r="R1391" i="5"/>
  <c r="Q1391" i="5"/>
  <c r="P1391" i="5"/>
  <c r="O1391" i="5"/>
  <c r="N1391" i="5"/>
  <c r="M1391" i="5"/>
  <c r="L1391" i="5"/>
  <c r="J1391" i="5"/>
  <c r="I1391" i="5"/>
  <c r="H1391" i="5"/>
  <c r="G1391" i="5"/>
  <c r="F1391" i="5"/>
  <c r="E1391" i="5"/>
  <c r="C1391" i="5"/>
  <c r="B1391" i="5"/>
  <c r="K1391" i="5" s="1"/>
  <c r="Q1390" i="5"/>
  <c r="O1390" i="5"/>
  <c r="N1390" i="5"/>
  <c r="I1390" i="5"/>
  <c r="G1390" i="5"/>
  <c r="F1390" i="5"/>
  <c r="B1390" i="5"/>
  <c r="M1390" i="5" s="1"/>
  <c r="R1389" i="5"/>
  <c r="P1389" i="5"/>
  <c r="O1389" i="5"/>
  <c r="N1389" i="5"/>
  <c r="L1389" i="5"/>
  <c r="J1389" i="5"/>
  <c r="H1389" i="5"/>
  <c r="G1389" i="5"/>
  <c r="F1389" i="5"/>
  <c r="C1389" i="5"/>
  <c r="B1389" i="5"/>
  <c r="M1389" i="5" s="1"/>
  <c r="Q1388" i="5"/>
  <c r="P1388" i="5"/>
  <c r="I1388" i="5"/>
  <c r="H1388" i="5"/>
  <c r="B1388" i="5"/>
  <c r="O1388" i="5" s="1"/>
  <c r="R1387" i="5"/>
  <c r="Q1387" i="5"/>
  <c r="P1387" i="5"/>
  <c r="N1387" i="5"/>
  <c r="M1387" i="5"/>
  <c r="L1387" i="5"/>
  <c r="J1387" i="5"/>
  <c r="I1387" i="5"/>
  <c r="H1387" i="5"/>
  <c r="F1387" i="5"/>
  <c r="E1387" i="5"/>
  <c r="C1387" i="5"/>
  <c r="B1387" i="5"/>
  <c r="O1387" i="5" s="1"/>
  <c r="J1386" i="5"/>
  <c r="B1386" i="5"/>
  <c r="L1385" i="5"/>
  <c r="K1385" i="5"/>
  <c r="C1385" i="5"/>
  <c r="B1385" i="5"/>
  <c r="O1384" i="5"/>
  <c r="M1384" i="5"/>
  <c r="L1384" i="5"/>
  <c r="G1384" i="5"/>
  <c r="E1384" i="5"/>
  <c r="C1384" i="5"/>
  <c r="B1384" i="5"/>
  <c r="K1384" i="5" s="1"/>
  <c r="R1383" i="5"/>
  <c r="Q1383" i="5"/>
  <c r="P1383" i="5"/>
  <c r="O1383" i="5"/>
  <c r="N1383" i="5"/>
  <c r="M1383" i="5"/>
  <c r="L1383" i="5"/>
  <c r="J1383" i="5"/>
  <c r="I1383" i="5"/>
  <c r="H1383" i="5"/>
  <c r="G1383" i="5"/>
  <c r="F1383" i="5"/>
  <c r="E1383" i="5"/>
  <c r="C1383" i="5"/>
  <c r="B1383" i="5"/>
  <c r="K1383" i="5" s="1"/>
  <c r="Q1382" i="5"/>
  <c r="O1382" i="5"/>
  <c r="N1382" i="5"/>
  <c r="I1382" i="5"/>
  <c r="G1382" i="5"/>
  <c r="F1382" i="5"/>
  <c r="B1382" i="5"/>
  <c r="M1382" i="5" s="1"/>
  <c r="R1381" i="5"/>
  <c r="P1381" i="5"/>
  <c r="O1381" i="5"/>
  <c r="N1381" i="5"/>
  <c r="L1381" i="5"/>
  <c r="J1381" i="5"/>
  <c r="H1381" i="5"/>
  <c r="G1381" i="5"/>
  <c r="F1381" i="5"/>
  <c r="C1381" i="5"/>
  <c r="B1381" i="5"/>
  <c r="M1381" i="5" s="1"/>
  <c r="Q1380" i="5"/>
  <c r="P1380" i="5"/>
  <c r="I1380" i="5"/>
  <c r="H1380" i="5"/>
  <c r="B1380" i="5"/>
  <c r="O1380" i="5" s="1"/>
  <c r="R1379" i="5"/>
  <c r="Q1379" i="5"/>
  <c r="P1379" i="5"/>
  <c r="N1379" i="5"/>
  <c r="M1379" i="5"/>
  <c r="L1379" i="5"/>
  <c r="J1379" i="5"/>
  <c r="I1379" i="5"/>
  <c r="H1379" i="5"/>
  <c r="F1379" i="5"/>
  <c r="E1379" i="5"/>
  <c r="C1379" i="5"/>
  <c r="B1379" i="5"/>
  <c r="O1379" i="5" s="1"/>
  <c r="R1378" i="5"/>
  <c r="B1378" i="5"/>
  <c r="B1377" i="5"/>
  <c r="O1376" i="5"/>
  <c r="M1376" i="5"/>
  <c r="L1376" i="5"/>
  <c r="G1376" i="5"/>
  <c r="E1376" i="5"/>
  <c r="C1376" i="5"/>
  <c r="B1376" i="5"/>
  <c r="K1376" i="5" s="1"/>
  <c r="R1375" i="5"/>
  <c r="Q1375" i="5"/>
  <c r="P1375" i="5"/>
  <c r="O1375" i="5"/>
  <c r="N1375" i="5"/>
  <c r="M1375" i="5"/>
  <c r="L1375" i="5"/>
  <c r="J1375" i="5"/>
  <c r="I1375" i="5"/>
  <c r="H1375" i="5"/>
  <c r="G1375" i="5"/>
  <c r="F1375" i="5"/>
  <c r="E1375" i="5"/>
  <c r="C1375" i="5"/>
  <c r="B1375" i="5"/>
  <c r="K1375" i="5" s="1"/>
  <c r="Q1374" i="5"/>
  <c r="O1374" i="5"/>
  <c r="N1374" i="5"/>
  <c r="I1374" i="5"/>
  <c r="G1374" i="5"/>
  <c r="F1374" i="5"/>
  <c r="B1374" i="5"/>
  <c r="M1374" i="5" s="1"/>
  <c r="R1373" i="5"/>
  <c r="P1373" i="5"/>
  <c r="O1373" i="5"/>
  <c r="N1373" i="5"/>
  <c r="L1373" i="5"/>
  <c r="J1373" i="5"/>
  <c r="H1373" i="5"/>
  <c r="G1373" i="5"/>
  <c r="F1373" i="5"/>
  <c r="C1373" i="5"/>
  <c r="B1373" i="5"/>
  <c r="M1373" i="5" s="1"/>
  <c r="Q1372" i="5"/>
  <c r="P1372" i="5"/>
  <c r="I1372" i="5"/>
  <c r="H1372" i="5"/>
  <c r="B1372" i="5"/>
  <c r="O1372" i="5" s="1"/>
  <c r="R1371" i="5"/>
  <c r="Q1371" i="5"/>
  <c r="P1371" i="5"/>
  <c r="N1371" i="5"/>
  <c r="M1371" i="5"/>
  <c r="L1371" i="5"/>
  <c r="J1371" i="5"/>
  <c r="I1371" i="5"/>
  <c r="H1371" i="5"/>
  <c r="F1371" i="5"/>
  <c r="E1371" i="5"/>
  <c r="C1371" i="5"/>
  <c r="B1371" i="5"/>
  <c r="O1371" i="5" s="1"/>
  <c r="J1370" i="5"/>
  <c r="B1370" i="5"/>
  <c r="L1369" i="5"/>
  <c r="K1369" i="5"/>
  <c r="C1369" i="5"/>
  <c r="B1369" i="5"/>
  <c r="O1368" i="5"/>
  <c r="M1368" i="5"/>
  <c r="L1368" i="5"/>
  <c r="G1368" i="5"/>
  <c r="E1368" i="5"/>
  <c r="C1368" i="5"/>
  <c r="B1368" i="5"/>
  <c r="K1368" i="5" s="1"/>
  <c r="R1367" i="5"/>
  <c r="Q1367" i="5"/>
  <c r="P1367" i="5"/>
  <c r="O1367" i="5"/>
  <c r="N1367" i="5"/>
  <c r="M1367" i="5"/>
  <c r="L1367" i="5"/>
  <c r="J1367" i="5"/>
  <c r="I1367" i="5"/>
  <c r="H1367" i="5"/>
  <c r="G1367" i="5"/>
  <c r="F1367" i="5"/>
  <c r="E1367" i="5"/>
  <c r="C1367" i="5"/>
  <c r="B1367" i="5"/>
  <c r="K1367" i="5" s="1"/>
  <c r="Q1366" i="5"/>
  <c r="O1366" i="5"/>
  <c r="N1366" i="5"/>
  <c r="M1366" i="5"/>
  <c r="I1366" i="5"/>
  <c r="G1366" i="5"/>
  <c r="F1366" i="5"/>
  <c r="E1366" i="5"/>
  <c r="B1366" i="5"/>
  <c r="L1366" i="5" s="1"/>
  <c r="R1365" i="5"/>
  <c r="P1365" i="5"/>
  <c r="O1365" i="5"/>
  <c r="N1365" i="5"/>
  <c r="L1365" i="5"/>
  <c r="J1365" i="5"/>
  <c r="H1365" i="5"/>
  <c r="G1365" i="5"/>
  <c r="F1365" i="5"/>
  <c r="C1365" i="5"/>
  <c r="B1365" i="5"/>
  <c r="M1365" i="5" s="1"/>
  <c r="Q1364" i="5"/>
  <c r="P1364" i="5"/>
  <c r="I1364" i="5"/>
  <c r="H1364" i="5"/>
  <c r="B1364" i="5"/>
  <c r="O1364" i="5" s="1"/>
  <c r="R1363" i="5"/>
  <c r="Q1363" i="5"/>
  <c r="P1363" i="5"/>
  <c r="N1363" i="5"/>
  <c r="M1363" i="5"/>
  <c r="L1363" i="5"/>
  <c r="J1363" i="5"/>
  <c r="I1363" i="5"/>
  <c r="H1363" i="5"/>
  <c r="F1363" i="5"/>
  <c r="E1363" i="5"/>
  <c r="C1363" i="5"/>
  <c r="B1363" i="5"/>
  <c r="O1363" i="5" s="1"/>
  <c r="R1362" i="5"/>
  <c r="K1362" i="5"/>
  <c r="J1362" i="5"/>
  <c r="B1362" i="5"/>
  <c r="L1361" i="5"/>
  <c r="K1361" i="5"/>
  <c r="B1361" i="5"/>
  <c r="O1360" i="5"/>
  <c r="M1360" i="5"/>
  <c r="L1360" i="5"/>
  <c r="G1360" i="5"/>
  <c r="E1360" i="5"/>
  <c r="C1360" i="5"/>
  <c r="B1360" i="5"/>
  <c r="K1360" i="5" s="1"/>
  <c r="R1359" i="5"/>
  <c r="Q1359" i="5"/>
  <c r="P1359" i="5"/>
  <c r="O1359" i="5"/>
  <c r="N1359" i="5"/>
  <c r="M1359" i="5"/>
  <c r="L1359" i="5"/>
  <c r="J1359" i="5"/>
  <c r="I1359" i="5"/>
  <c r="H1359" i="5"/>
  <c r="G1359" i="5"/>
  <c r="F1359" i="5"/>
  <c r="E1359" i="5"/>
  <c r="C1359" i="5"/>
  <c r="B1359" i="5"/>
  <c r="K1359" i="5" s="1"/>
  <c r="Q1358" i="5"/>
  <c r="O1358" i="5"/>
  <c r="N1358" i="5"/>
  <c r="M1358" i="5"/>
  <c r="I1358" i="5"/>
  <c r="G1358" i="5"/>
  <c r="F1358" i="5"/>
  <c r="E1358" i="5"/>
  <c r="B1358" i="5"/>
  <c r="L1358" i="5" s="1"/>
  <c r="R1357" i="5"/>
  <c r="P1357" i="5"/>
  <c r="O1357" i="5"/>
  <c r="N1357" i="5"/>
  <c r="L1357" i="5"/>
  <c r="J1357" i="5"/>
  <c r="H1357" i="5"/>
  <c r="G1357" i="5"/>
  <c r="F1357" i="5"/>
  <c r="C1357" i="5"/>
  <c r="B1357" i="5"/>
  <c r="M1357" i="5" s="1"/>
  <c r="Q1356" i="5"/>
  <c r="P1356" i="5"/>
  <c r="I1356" i="5"/>
  <c r="H1356" i="5"/>
  <c r="B1356" i="5"/>
  <c r="O1356" i="5" s="1"/>
  <c r="R1355" i="5"/>
  <c r="Q1355" i="5"/>
  <c r="P1355" i="5"/>
  <c r="N1355" i="5"/>
  <c r="M1355" i="5"/>
  <c r="L1355" i="5"/>
  <c r="J1355" i="5"/>
  <c r="I1355" i="5"/>
  <c r="H1355" i="5"/>
  <c r="F1355" i="5"/>
  <c r="E1355" i="5"/>
  <c r="C1355" i="5"/>
  <c r="B1355" i="5"/>
  <c r="O1355" i="5" s="1"/>
  <c r="R1354" i="5"/>
  <c r="B1354" i="5"/>
  <c r="B1353" i="5"/>
  <c r="O1352" i="5"/>
  <c r="M1352" i="5"/>
  <c r="L1352" i="5"/>
  <c r="G1352" i="5"/>
  <c r="E1352" i="5"/>
  <c r="C1352" i="5"/>
  <c r="B1352" i="5"/>
  <c r="K1352" i="5" s="1"/>
  <c r="R1351" i="5"/>
  <c r="Q1351" i="5"/>
  <c r="P1351" i="5"/>
  <c r="O1351" i="5"/>
  <c r="N1351" i="5"/>
  <c r="M1351" i="5"/>
  <c r="L1351" i="5"/>
  <c r="J1351" i="5"/>
  <c r="I1351" i="5"/>
  <c r="H1351" i="5"/>
  <c r="G1351" i="5"/>
  <c r="F1351" i="5"/>
  <c r="E1351" i="5"/>
  <c r="C1351" i="5"/>
  <c r="B1351" i="5"/>
  <c r="K1351" i="5" s="1"/>
  <c r="Q1350" i="5"/>
  <c r="O1350" i="5"/>
  <c r="N1350" i="5"/>
  <c r="M1350" i="5"/>
  <c r="I1350" i="5"/>
  <c r="G1350" i="5"/>
  <c r="F1350" i="5"/>
  <c r="E1350" i="5"/>
  <c r="B1350" i="5"/>
  <c r="L1350" i="5" s="1"/>
  <c r="R1349" i="5"/>
  <c r="P1349" i="5"/>
  <c r="O1349" i="5"/>
  <c r="N1349" i="5"/>
  <c r="L1349" i="5"/>
  <c r="J1349" i="5"/>
  <c r="H1349" i="5"/>
  <c r="G1349" i="5"/>
  <c r="F1349" i="5"/>
  <c r="C1349" i="5"/>
  <c r="B1349" i="5"/>
  <c r="M1349" i="5" s="1"/>
  <c r="Q1348" i="5"/>
  <c r="P1348" i="5"/>
  <c r="I1348" i="5"/>
  <c r="H1348" i="5"/>
  <c r="B1348" i="5"/>
  <c r="O1348" i="5" s="1"/>
  <c r="R1347" i="5"/>
  <c r="Q1347" i="5"/>
  <c r="P1347" i="5"/>
  <c r="N1347" i="5"/>
  <c r="M1347" i="5"/>
  <c r="L1347" i="5"/>
  <c r="J1347" i="5"/>
  <c r="I1347" i="5"/>
  <c r="H1347" i="5"/>
  <c r="F1347" i="5"/>
  <c r="E1347" i="5"/>
  <c r="C1347" i="5"/>
  <c r="B1347" i="5"/>
  <c r="O1347" i="5" s="1"/>
  <c r="R1346" i="5"/>
  <c r="K1346" i="5"/>
  <c r="J1346" i="5"/>
  <c r="B1346" i="5"/>
  <c r="B1345" i="5"/>
  <c r="O1344" i="5"/>
  <c r="M1344" i="5"/>
  <c r="L1344" i="5"/>
  <c r="G1344" i="5"/>
  <c r="E1344" i="5"/>
  <c r="C1344" i="5"/>
  <c r="B1344" i="5"/>
  <c r="K1344" i="5" s="1"/>
  <c r="R1343" i="5"/>
  <c r="Q1343" i="5"/>
  <c r="P1343" i="5"/>
  <c r="O1343" i="5"/>
  <c r="N1343" i="5"/>
  <c r="M1343" i="5"/>
  <c r="L1343" i="5"/>
  <c r="J1343" i="5"/>
  <c r="I1343" i="5"/>
  <c r="H1343" i="5"/>
  <c r="G1343" i="5"/>
  <c r="F1343" i="5"/>
  <c r="E1343" i="5"/>
  <c r="C1343" i="5"/>
  <c r="A1343" i="5" s="1"/>
  <c r="B1343" i="5"/>
  <c r="K1343" i="5" s="1"/>
  <c r="Q1342" i="5"/>
  <c r="O1342" i="5"/>
  <c r="N1342" i="5"/>
  <c r="M1342" i="5"/>
  <c r="I1342" i="5"/>
  <c r="G1342" i="5"/>
  <c r="F1342" i="5"/>
  <c r="E1342" i="5"/>
  <c r="B1342" i="5"/>
  <c r="L1342" i="5" s="1"/>
  <c r="R1341" i="5"/>
  <c r="P1341" i="5"/>
  <c r="O1341" i="5"/>
  <c r="N1341" i="5"/>
  <c r="L1341" i="5"/>
  <c r="J1341" i="5"/>
  <c r="H1341" i="5"/>
  <c r="G1341" i="5"/>
  <c r="F1341" i="5"/>
  <c r="C1341" i="5"/>
  <c r="B1341" i="5"/>
  <c r="M1341" i="5" s="1"/>
  <c r="Q1340" i="5"/>
  <c r="P1340" i="5"/>
  <c r="I1340" i="5"/>
  <c r="H1340" i="5"/>
  <c r="B1340" i="5"/>
  <c r="O1340" i="5" s="1"/>
  <c r="R1339" i="5"/>
  <c r="Q1339" i="5"/>
  <c r="P1339" i="5"/>
  <c r="N1339" i="5"/>
  <c r="M1339" i="5"/>
  <c r="L1339" i="5"/>
  <c r="J1339" i="5"/>
  <c r="I1339" i="5"/>
  <c r="H1339" i="5"/>
  <c r="F1339" i="5"/>
  <c r="E1339" i="5"/>
  <c r="C1339" i="5"/>
  <c r="B1339" i="5"/>
  <c r="O1339" i="5" s="1"/>
  <c r="J1338" i="5"/>
  <c r="B1338" i="5"/>
  <c r="L1337" i="5"/>
  <c r="K1337" i="5"/>
  <c r="C1337" i="5"/>
  <c r="B1337" i="5"/>
  <c r="O1336" i="5"/>
  <c r="M1336" i="5"/>
  <c r="L1336" i="5"/>
  <c r="G1336" i="5"/>
  <c r="E1336" i="5"/>
  <c r="C1336" i="5"/>
  <c r="B1336" i="5"/>
  <c r="K1336" i="5" s="1"/>
  <c r="R1335" i="5"/>
  <c r="Q1335" i="5"/>
  <c r="P1335" i="5"/>
  <c r="O1335" i="5"/>
  <c r="N1335" i="5"/>
  <c r="M1335" i="5"/>
  <c r="L1335" i="5"/>
  <c r="J1335" i="5"/>
  <c r="I1335" i="5"/>
  <c r="H1335" i="5"/>
  <c r="G1335" i="5"/>
  <c r="F1335" i="5"/>
  <c r="E1335" i="5"/>
  <c r="C1335" i="5"/>
  <c r="B1335" i="5"/>
  <c r="K1335" i="5" s="1"/>
  <c r="Q1334" i="5"/>
  <c r="O1334" i="5"/>
  <c r="N1334" i="5"/>
  <c r="M1334" i="5"/>
  <c r="I1334" i="5"/>
  <c r="G1334" i="5"/>
  <c r="F1334" i="5"/>
  <c r="E1334" i="5"/>
  <c r="B1334" i="5"/>
  <c r="L1334" i="5" s="1"/>
  <c r="R1333" i="5"/>
  <c r="P1333" i="5"/>
  <c r="O1333" i="5"/>
  <c r="N1333" i="5"/>
  <c r="L1333" i="5"/>
  <c r="J1333" i="5"/>
  <c r="H1333" i="5"/>
  <c r="G1333" i="5"/>
  <c r="F1333" i="5"/>
  <c r="C1333" i="5"/>
  <c r="B1333" i="5"/>
  <c r="M1333" i="5" s="1"/>
  <c r="Q1332" i="5"/>
  <c r="P1332" i="5"/>
  <c r="I1332" i="5"/>
  <c r="H1332" i="5"/>
  <c r="B1332" i="5"/>
  <c r="O1332" i="5" s="1"/>
  <c r="R1331" i="5"/>
  <c r="Q1331" i="5"/>
  <c r="P1331" i="5"/>
  <c r="N1331" i="5"/>
  <c r="M1331" i="5"/>
  <c r="L1331" i="5"/>
  <c r="J1331" i="5"/>
  <c r="I1331" i="5"/>
  <c r="H1331" i="5"/>
  <c r="F1331" i="5"/>
  <c r="E1331" i="5"/>
  <c r="C1331" i="5"/>
  <c r="B1331" i="5"/>
  <c r="O1331" i="5" s="1"/>
  <c r="R1330" i="5"/>
  <c r="K1330" i="5"/>
  <c r="J1330" i="5"/>
  <c r="B1330" i="5"/>
  <c r="K1329" i="5"/>
  <c r="B1329" i="5"/>
  <c r="L1329" i="5" s="1"/>
  <c r="O1328" i="5"/>
  <c r="M1328" i="5"/>
  <c r="L1328" i="5"/>
  <c r="G1328" i="5"/>
  <c r="E1328" i="5"/>
  <c r="C1328" i="5"/>
  <c r="B1328" i="5"/>
  <c r="K1328" i="5" s="1"/>
  <c r="R1327" i="5"/>
  <c r="Q1327" i="5"/>
  <c r="P1327" i="5"/>
  <c r="O1327" i="5"/>
  <c r="N1327" i="5"/>
  <c r="M1327" i="5"/>
  <c r="L1327" i="5"/>
  <c r="J1327" i="5"/>
  <c r="I1327" i="5"/>
  <c r="H1327" i="5"/>
  <c r="G1327" i="5"/>
  <c r="F1327" i="5"/>
  <c r="E1327" i="5"/>
  <c r="C1327" i="5"/>
  <c r="B1327" i="5"/>
  <c r="K1327" i="5" s="1"/>
  <c r="Q1326" i="5"/>
  <c r="O1326" i="5"/>
  <c r="N1326" i="5"/>
  <c r="M1326" i="5"/>
  <c r="I1326" i="5"/>
  <c r="G1326" i="5"/>
  <c r="F1326" i="5"/>
  <c r="E1326" i="5"/>
  <c r="B1326" i="5"/>
  <c r="L1326" i="5" s="1"/>
  <c r="R1325" i="5"/>
  <c r="P1325" i="5"/>
  <c r="O1325" i="5"/>
  <c r="N1325" i="5"/>
  <c r="L1325" i="5"/>
  <c r="J1325" i="5"/>
  <c r="H1325" i="5"/>
  <c r="G1325" i="5"/>
  <c r="F1325" i="5"/>
  <c r="C1325" i="5"/>
  <c r="B1325" i="5"/>
  <c r="M1325" i="5" s="1"/>
  <c r="Q1324" i="5"/>
  <c r="P1324" i="5"/>
  <c r="I1324" i="5"/>
  <c r="H1324" i="5"/>
  <c r="B1324" i="5"/>
  <c r="O1324" i="5" s="1"/>
  <c r="R1323" i="5"/>
  <c r="Q1323" i="5"/>
  <c r="P1323" i="5"/>
  <c r="N1323" i="5"/>
  <c r="M1323" i="5"/>
  <c r="L1323" i="5"/>
  <c r="J1323" i="5"/>
  <c r="I1323" i="5"/>
  <c r="H1323" i="5"/>
  <c r="F1323" i="5"/>
  <c r="E1323" i="5"/>
  <c r="C1323" i="5"/>
  <c r="B1323" i="5"/>
  <c r="O1323" i="5" s="1"/>
  <c r="R1322" i="5"/>
  <c r="B1322" i="5"/>
  <c r="B1321" i="5"/>
  <c r="O1320" i="5"/>
  <c r="M1320" i="5"/>
  <c r="L1320" i="5"/>
  <c r="G1320" i="5"/>
  <c r="E1320" i="5"/>
  <c r="C1320" i="5"/>
  <c r="B1320" i="5"/>
  <c r="K1320" i="5" s="1"/>
  <c r="R1319" i="5"/>
  <c r="Q1319" i="5"/>
  <c r="P1319" i="5"/>
  <c r="O1319" i="5"/>
  <c r="N1319" i="5"/>
  <c r="M1319" i="5"/>
  <c r="L1319" i="5"/>
  <c r="J1319" i="5"/>
  <c r="I1319" i="5"/>
  <c r="H1319" i="5"/>
  <c r="G1319" i="5"/>
  <c r="F1319" i="5"/>
  <c r="E1319" i="5"/>
  <c r="C1319" i="5"/>
  <c r="B1319" i="5"/>
  <c r="K1319" i="5" s="1"/>
  <c r="Q1318" i="5"/>
  <c r="O1318" i="5"/>
  <c r="N1318" i="5"/>
  <c r="M1318" i="5"/>
  <c r="I1318" i="5"/>
  <c r="G1318" i="5"/>
  <c r="F1318" i="5"/>
  <c r="E1318" i="5"/>
  <c r="B1318" i="5"/>
  <c r="L1318" i="5" s="1"/>
  <c r="R1317" i="5"/>
  <c r="P1317" i="5"/>
  <c r="O1317" i="5"/>
  <c r="N1317" i="5"/>
  <c r="L1317" i="5"/>
  <c r="J1317" i="5"/>
  <c r="H1317" i="5"/>
  <c r="G1317" i="5"/>
  <c r="F1317" i="5"/>
  <c r="C1317" i="5"/>
  <c r="B1317" i="5"/>
  <c r="M1317" i="5" s="1"/>
  <c r="Q1316" i="5"/>
  <c r="P1316" i="5"/>
  <c r="I1316" i="5"/>
  <c r="H1316" i="5"/>
  <c r="B1316" i="5"/>
  <c r="O1316" i="5" s="1"/>
  <c r="R1315" i="5"/>
  <c r="Q1315" i="5"/>
  <c r="P1315" i="5"/>
  <c r="N1315" i="5"/>
  <c r="M1315" i="5"/>
  <c r="L1315" i="5"/>
  <c r="J1315" i="5"/>
  <c r="I1315" i="5"/>
  <c r="H1315" i="5"/>
  <c r="F1315" i="5"/>
  <c r="E1315" i="5"/>
  <c r="C1315" i="5"/>
  <c r="B1315" i="5"/>
  <c r="O1315" i="5" s="1"/>
  <c r="R1314" i="5"/>
  <c r="K1314" i="5"/>
  <c r="J1314" i="5"/>
  <c r="B1314" i="5"/>
  <c r="B1313" i="5"/>
  <c r="O1312" i="5"/>
  <c r="M1312" i="5"/>
  <c r="L1312" i="5"/>
  <c r="G1312" i="5"/>
  <c r="E1312" i="5"/>
  <c r="C1312" i="5"/>
  <c r="B1312" i="5"/>
  <c r="K1312" i="5" s="1"/>
  <c r="R1311" i="5"/>
  <c r="Q1311" i="5"/>
  <c r="P1311" i="5"/>
  <c r="O1311" i="5"/>
  <c r="N1311" i="5"/>
  <c r="M1311" i="5"/>
  <c r="L1311" i="5"/>
  <c r="J1311" i="5"/>
  <c r="I1311" i="5"/>
  <c r="H1311" i="5"/>
  <c r="G1311" i="5"/>
  <c r="F1311" i="5"/>
  <c r="E1311" i="5"/>
  <c r="C1311" i="5"/>
  <c r="A1311" i="5" s="1"/>
  <c r="B1311" i="5"/>
  <c r="K1311" i="5" s="1"/>
  <c r="Q1310" i="5"/>
  <c r="O1310" i="5"/>
  <c r="N1310" i="5"/>
  <c r="M1310" i="5"/>
  <c r="I1310" i="5"/>
  <c r="G1310" i="5"/>
  <c r="F1310" i="5"/>
  <c r="E1310" i="5"/>
  <c r="B1310" i="5"/>
  <c r="L1310" i="5" s="1"/>
  <c r="R1309" i="5"/>
  <c r="P1309" i="5"/>
  <c r="O1309" i="5"/>
  <c r="N1309" i="5"/>
  <c r="L1309" i="5"/>
  <c r="J1309" i="5"/>
  <c r="H1309" i="5"/>
  <c r="G1309" i="5"/>
  <c r="F1309" i="5"/>
  <c r="C1309" i="5"/>
  <c r="B1309" i="5"/>
  <c r="M1309" i="5" s="1"/>
  <c r="Q1308" i="5"/>
  <c r="P1308" i="5"/>
  <c r="I1308" i="5"/>
  <c r="H1308" i="5"/>
  <c r="B1308" i="5"/>
  <c r="O1308" i="5" s="1"/>
  <c r="R1307" i="5"/>
  <c r="Q1307" i="5"/>
  <c r="P1307" i="5"/>
  <c r="N1307" i="5"/>
  <c r="M1307" i="5"/>
  <c r="L1307" i="5"/>
  <c r="J1307" i="5"/>
  <c r="I1307" i="5"/>
  <c r="H1307" i="5"/>
  <c r="F1307" i="5"/>
  <c r="E1307" i="5"/>
  <c r="C1307" i="5"/>
  <c r="B1307" i="5"/>
  <c r="O1307" i="5" s="1"/>
  <c r="J1306" i="5"/>
  <c r="B1306" i="5"/>
  <c r="K1305" i="5"/>
  <c r="C1305" i="5"/>
  <c r="B1305" i="5"/>
  <c r="O1304" i="5"/>
  <c r="M1304" i="5"/>
  <c r="L1304" i="5"/>
  <c r="G1304" i="5"/>
  <c r="E1304" i="5"/>
  <c r="C1304" i="5"/>
  <c r="B1304" i="5"/>
  <c r="K1304" i="5" s="1"/>
  <c r="R1303" i="5"/>
  <c r="Q1303" i="5"/>
  <c r="P1303" i="5"/>
  <c r="O1303" i="5"/>
  <c r="N1303" i="5"/>
  <c r="M1303" i="5"/>
  <c r="L1303" i="5"/>
  <c r="J1303" i="5"/>
  <c r="I1303" i="5"/>
  <c r="H1303" i="5"/>
  <c r="G1303" i="5"/>
  <c r="F1303" i="5"/>
  <c r="E1303" i="5"/>
  <c r="C1303" i="5"/>
  <c r="B1303" i="5"/>
  <c r="K1303" i="5" s="1"/>
  <c r="Q1302" i="5"/>
  <c r="O1302" i="5"/>
  <c r="N1302" i="5"/>
  <c r="M1302" i="5"/>
  <c r="I1302" i="5"/>
  <c r="G1302" i="5"/>
  <c r="F1302" i="5"/>
  <c r="E1302" i="5"/>
  <c r="B1302" i="5"/>
  <c r="L1302" i="5" s="1"/>
  <c r="R1301" i="5"/>
  <c r="P1301" i="5"/>
  <c r="O1301" i="5"/>
  <c r="N1301" i="5"/>
  <c r="L1301" i="5"/>
  <c r="J1301" i="5"/>
  <c r="H1301" i="5"/>
  <c r="G1301" i="5"/>
  <c r="F1301" i="5"/>
  <c r="C1301" i="5"/>
  <c r="B1301" i="5"/>
  <c r="M1301" i="5" s="1"/>
  <c r="Q1300" i="5"/>
  <c r="P1300" i="5"/>
  <c r="I1300" i="5"/>
  <c r="H1300" i="5"/>
  <c r="B1300" i="5"/>
  <c r="O1300" i="5" s="1"/>
  <c r="R1299" i="5"/>
  <c r="Q1299" i="5"/>
  <c r="P1299" i="5"/>
  <c r="N1299" i="5"/>
  <c r="M1299" i="5"/>
  <c r="L1299" i="5"/>
  <c r="J1299" i="5"/>
  <c r="I1299" i="5"/>
  <c r="H1299" i="5"/>
  <c r="F1299" i="5"/>
  <c r="E1299" i="5"/>
  <c r="C1299" i="5"/>
  <c r="B1299" i="5"/>
  <c r="O1299" i="5" s="1"/>
  <c r="R1298" i="5"/>
  <c r="K1298" i="5"/>
  <c r="J1298" i="5"/>
  <c r="B1298" i="5"/>
  <c r="K1297" i="5"/>
  <c r="B1297" i="5"/>
  <c r="L1297" i="5" s="1"/>
  <c r="O1296" i="5"/>
  <c r="M1296" i="5"/>
  <c r="L1296" i="5"/>
  <c r="G1296" i="5"/>
  <c r="E1296" i="5"/>
  <c r="C1296" i="5"/>
  <c r="B1296" i="5"/>
  <c r="K1296" i="5" s="1"/>
  <c r="R1295" i="5"/>
  <c r="Q1295" i="5"/>
  <c r="P1295" i="5"/>
  <c r="O1295" i="5"/>
  <c r="N1295" i="5"/>
  <c r="M1295" i="5"/>
  <c r="L1295" i="5"/>
  <c r="J1295" i="5"/>
  <c r="I1295" i="5"/>
  <c r="H1295" i="5"/>
  <c r="G1295" i="5"/>
  <c r="F1295" i="5"/>
  <c r="E1295" i="5"/>
  <c r="C1295" i="5"/>
  <c r="B1295" i="5"/>
  <c r="K1295" i="5" s="1"/>
  <c r="Q1294" i="5"/>
  <c r="O1294" i="5"/>
  <c r="N1294" i="5"/>
  <c r="M1294" i="5"/>
  <c r="I1294" i="5"/>
  <c r="G1294" i="5"/>
  <c r="F1294" i="5"/>
  <c r="E1294" i="5"/>
  <c r="B1294" i="5"/>
  <c r="L1294" i="5" s="1"/>
  <c r="R1293" i="5"/>
  <c r="P1293" i="5"/>
  <c r="O1293" i="5"/>
  <c r="N1293" i="5"/>
  <c r="L1293" i="5"/>
  <c r="J1293" i="5"/>
  <c r="H1293" i="5"/>
  <c r="G1293" i="5"/>
  <c r="F1293" i="5"/>
  <c r="C1293" i="5"/>
  <c r="B1293" i="5"/>
  <c r="M1293" i="5" s="1"/>
  <c r="P1292" i="5"/>
  <c r="I1292" i="5"/>
  <c r="B1292" i="5"/>
  <c r="Q1292" i="5" s="1"/>
  <c r="R1291" i="5"/>
  <c r="Q1291" i="5"/>
  <c r="P1291" i="5"/>
  <c r="N1291" i="5"/>
  <c r="M1291" i="5"/>
  <c r="L1291" i="5"/>
  <c r="J1291" i="5"/>
  <c r="I1291" i="5"/>
  <c r="H1291" i="5"/>
  <c r="F1291" i="5"/>
  <c r="E1291" i="5"/>
  <c r="C1291" i="5"/>
  <c r="B1291" i="5"/>
  <c r="O1291" i="5" s="1"/>
  <c r="B1290" i="5"/>
  <c r="N1289" i="5"/>
  <c r="L1289" i="5"/>
  <c r="K1289" i="5"/>
  <c r="F1289" i="5"/>
  <c r="C1289" i="5"/>
  <c r="B1289" i="5"/>
  <c r="O1288" i="5"/>
  <c r="M1288" i="5"/>
  <c r="L1288" i="5"/>
  <c r="G1288" i="5"/>
  <c r="E1288" i="5"/>
  <c r="C1288" i="5"/>
  <c r="B1288" i="5"/>
  <c r="K1288" i="5" s="1"/>
  <c r="R1287" i="5"/>
  <c r="Q1287" i="5"/>
  <c r="P1287" i="5"/>
  <c r="O1287" i="5"/>
  <c r="N1287" i="5"/>
  <c r="M1287" i="5"/>
  <c r="L1287" i="5"/>
  <c r="J1287" i="5"/>
  <c r="I1287" i="5"/>
  <c r="H1287" i="5"/>
  <c r="G1287" i="5"/>
  <c r="F1287" i="5"/>
  <c r="E1287" i="5"/>
  <c r="C1287" i="5"/>
  <c r="B1287" i="5"/>
  <c r="K1287" i="5" s="1"/>
  <c r="Q1286" i="5"/>
  <c r="O1286" i="5"/>
  <c r="N1286" i="5"/>
  <c r="M1286" i="5"/>
  <c r="I1286" i="5"/>
  <c r="G1286" i="5"/>
  <c r="F1286" i="5"/>
  <c r="E1286" i="5"/>
  <c r="B1286" i="5"/>
  <c r="L1286" i="5" s="1"/>
  <c r="R1285" i="5"/>
  <c r="P1285" i="5"/>
  <c r="O1285" i="5"/>
  <c r="N1285" i="5"/>
  <c r="L1285" i="5"/>
  <c r="J1285" i="5"/>
  <c r="H1285" i="5"/>
  <c r="G1285" i="5"/>
  <c r="F1285" i="5"/>
  <c r="C1285" i="5"/>
  <c r="B1285" i="5"/>
  <c r="M1285" i="5" s="1"/>
  <c r="B1284" i="5"/>
  <c r="R1283" i="5"/>
  <c r="Q1283" i="5"/>
  <c r="P1283" i="5"/>
  <c r="N1283" i="5"/>
  <c r="M1283" i="5"/>
  <c r="L1283" i="5"/>
  <c r="J1283" i="5"/>
  <c r="I1283" i="5"/>
  <c r="H1283" i="5"/>
  <c r="F1283" i="5"/>
  <c r="E1283" i="5"/>
  <c r="C1283" i="5"/>
  <c r="B1283" i="5"/>
  <c r="O1283" i="5" s="1"/>
  <c r="B1282" i="5"/>
  <c r="H1281" i="5"/>
  <c r="B1281" i="5"/>
  <c r="N1281" i="5" s="1"/>
  <c r="L1280" i="5"/>
  <c r="B1280" i="5"/>
  <c r="M1280" i="5" s="1"/>
  <c r="R1279" i="5"/>
  <c r="Q1279" i="5"/>
  <c r="P1279" i="5"/>
  <c r="O1279" i="5"/>
  <c r="N1279" i="5"/>
  <c r="M1279" i="5"/>
  <c r="L1279" i="5"/>
  <c r="J1279" i="5"/>
  <c r="I1279" i="5"/>
  <c r="H1279" i="5"/>
  <c r="A1279" i="5" s="1"/>
  <c r="G1279" i="5"/>
  <c r="F1279" i="5"/>
  <c r="E1279" i="5"/>
  <c r="C1279" i="5"/>
  <c r="B1279" i="5"/>
  <c r="K1279" i="5" s="1"/>
  <c r="B1278" i="5"/>
  <c r="R1277" i="5"/>
  <c r="P1277" i="5"/>
  <c r="O1277" i="5"/>
  <c r="N1277" i="5"/>
  <c r="L1277" i="5"/>
  <c r="J1277" i="5"/>
  <c r="H1277" i="5"/>
  <c r="G1277" i="5"/>
  <c r="F1277" i="5"/>
  <c r="C1277" i="5"/>
  <c r="B1277" i="5"/>
  <c r="M1277" i="5" s="1"/>
  <c r="M1276" i="5"/>
  <c r="B1276" i="5"/>
  <c r="O1276" i="5" s="1"/>
  <c r="R1275" i="5"/>
  <c r="Q1275" i="5"/>
  <c r="P1275" i="5"/>
  <c r="N1275" i="5"/>
  <c r="M1275" i="5"/>
  <c r="L1275" i="5"/>
  <c r="J1275" i="5"/>
  <c r="I1275" i="5"/>
  <c r="H1275" i="5"/>
  <c r="F1275" i="5"/>
  <c r="E1275" i="5"/>
  <c r="C1275" i="5"/>
  <c r="B1275" i="5"/>
  <c r="O1275" i="5" s="1"/>
  <c r="M1274" i="5"/>
  <c r="B1274" i="5"/>
  <c r="O1274" i="5" s="1"/>
  <c r="R1273" i="5"/>
  <c r="N1273" i="5"/>
  <c r="L1273" i="5"/>
  <c r="K1273" i="5"/>
  <c r="H1273" i="5"/>
  <c r="F1273" i="5"/>
  <c r="C1273" i="5"/>
  <c r="B1273" i="5"/>
  <c r="J1273" i="5" s="1"/>
  <c r="Q1272" i="5"/>
  <c r="L1272" i="5"/>
  <c r="K1272" i="5"/>
  <c r="I1272" i="5"/>
  <c r="E1272" i="5"/>
  <c r="C1272" i="5"/>
  <c r="B1272" i="5"/>
  <c r="M1272" i="5" s="1"/>
  <c r="R1271" i="5"/>
  <c r="Q1271" i="5"/>
  <c r="P1271" i="5"/>
  <c r="O1271" i="5"/>
  <c r="N1271" i="5"/>
  <c r="M1271" i="5"/>
  <c r="L1271" i="5"/>
  <c r="J1271" i="5"/>
  <c r="I1271" i="5"/>
  <c r="H1271" i="5"/>
  <c r="G1271" i="5"/>
  <c r="F1271" i="5"/>
  <c r="E1271" i="5"/>
  <c r="C1271" i="5"/>
  <c r="A1271" i="5" s="1"/>
  <c r="B1271" i="5"/>
  <c r="K1271" i="5" s="1"/>
  <c r="M1270" i="5"/>
  <c r="B1270" i="5"/>
  <c r="N1270" i="5" s="1"/>
  <c r="R1269" i="5"/>
  <c r="P1269" i="5"/>
  <c r="O1269" i="5"/>
  <c r="N1269" i="5"/>
  <c r="L1269" i="5"/>
  <c r="J1269" i="5"/>
  <c r="H1269" i="5"/>
  <c r="G1269" i="5"/>
  <c r="F1269" i="5"/>
  <c r="C1269" i="5"/>
  <c r="B1269" i="5"/>
  <c r="M1269" i="5" s="1"/>
  <c r="Q1268" i="5"/>
  <c r="M1268" i="5"/>
  <c r="I1268" i="5"/>
  <c r="G1268" i="5"/>
  <c r="E1268" i="5"/>
  <c r="B1268" i="5"/>
  <c r="O1268" i="5" s="1"/>
  <c r="R1267" i="5"/>
  <c r="Q1267" i="5"/>
  <c r="P1267" i="5"/>
  <c r="N1267" i="5"/>
  <c r="M1267" i="5"/>
  <c r="L1267" i="5"/>
  <c r="J1267" i="5"/>
  <c r="I1267" i="5"/>
  <c r="H1267" i="5"/>
  <c r="F1267" i="5"/>
  <c r="E1267" i="5"/>
  <c r="C1267" i="5"/>
  <c r="B1267" i="5"/>
  <c r="O1267" i="5" s="1"/>
  <c r="R1266" i="5"/>
  <c r="M1266" i="5"/>
  <c r="J1266" i="5"/>
  <c r="G1266" i="5"/>
  <c r="E1266" i="5"/>
  <c r="B1266" i="5"/>
  <c r="O1266" i="5" s="1"/>
  <c r="R1265" i="5"/>
  <c r="N1265" i="5"/>
  <c r="K1265" i="5"/>
  <c r="J1265" i="5"/>
  <c r="H1265" i="5"/>
  <c r="C1265" i="5"/>
  <c r="B1265" i="5"/>
  <c r="I1264" i="5"/>
  <c r="E1264" i="5"/>
  <c r="B1264" i="5"/>
  <c r="M1264" i="5" s="1"/>
  <c r="R1263" i="5"/>
  <c r="Q1263" i="5"/>
  <c r="P1263" i="5"/>
  <c r="O1263" i="5"/>
  <c r="N1263" i="5"/>
  <c r="M1263" i="5"/>
  <c r="L1263" i="5"/>
  <c r="J1263" i="5"/>
  <c r="I1263" i="5"/>
  <c r="H1263" i="5"/>
  <c r="G1263" i="5"/>
  <c r="F1263" i="5"/>
  <c r="E1263" i="5"/>
  <c r="C1263" i="5"/>
  <c r="A1263" i="5" s="1"/>
  <c r="B1263" i="5"/>
  <c r="K1263" i="5" s="1"/>
  <c r="K1262" i="5"/>
  <c r="B1262" i="5"/>
  <c r="M1262" i="5" s="1"/>
  <c r="R1261" i="5"/>
  <c r="O1261" i="5"/>
  <c r="J1261" i="5"/>
  <c r="G1261" i="5"/>
  <c r="C1261" i="5"/>
  <c r="B1261" i="5"/>
  <c r="L1261" i="5" s="1"/>
  <c r="Q1260" i="5"/>
  <c r="O1260" i="5"/>
  <c r="H1260" i="5"/>
  <c r="E1260" i="5"/>
  <c r="B1260" i="5"/>
  <c r="K1260" i="5" s="1"/>
  <c r="R1259" i="5"/>
  <c r="P1259" i="5"/>
  <c r="N1259" i="5"/>
  <c r="M1259" i="5"/>
  <c r="K1259" i="5"/>
  <c r="J1259" i="5"/>
  <c r="I1259" i="5"/>
  <c r="F1259" i="5"/>
  <c r="E1259" i="5"/>
  <c r="C1259" i="5"/>
  <c r="B1259" i="5"/>
  <c r="Q1259" i="5" s="1"/>
  <c r="B1258" i="5"/>
  <c r="R1257" i="5"/>
  <c r="P1257" i="5"/>
  <c r="M1257" i="5"/>
  <c r="K1257" i="5"/>
  <c r="H1257" i="5"/>
  <c r="G1257" i="5"/>
  <c r="C1257" i="5"/>
  <c r="B1257" i="5"/>
  <c r="I1256" i="5"/>
  <c r="B1256" i="5"/>
  <c r="K1256" i="5" s="1"/>
  <c r="R1255" i="5"/>
  <c r="Q1255" i="5"/>
  <c r="P1255" i="5"/>
  <c r="O1255" i="5"/>
  <c r="N1255" i="5"/>
  <c r="M1255" i="5"/>
  <c r="L1255" i="5"/>
  <c r="J1255" i="5"/>
  <c r="I1255" i="5"/>
  <c r="H1255" i="5"/>
  <c r="A1255" i="5" s="1"/>
  <c r="G1255" i="5"/>
  <c r="F1255" i="5"/>
  <c r="E1255" i="5"/>
  <c r="C1255" i="5"/>
  <c r="B1255" i="5"/>
  <c r="K1255" i="5" s="1"/>
  <c r="Q1254" i="5"/>
  <c r="I1254" i="5"/>
  <c r="B1254" i="5"/>
  <c r="P1254" i="5" s="1"/>
  <c r="R1253" i="5"/>
  <c r="P1253" i="5"/>
  <c r="O1253" i="5"/>
  <c r="L1253" i="5"/>
  <c r="J1253" i="5"/>
  <c r="H1253" i="5"/>
  <c r="G1253" i="5"/>
  <c r="C1253" i="5"/>
  <c r="B1253" i="5"/>
  <c r="Q1253" i="5" s="1"/>
  <c r="K1252" i="5"/>
  <c r="B1252" i="5"/>
  <c r="R1251" i="5"/>
  <c r="Q1251" i="5"/>
  <c r="P1251" i="5"/>
  <c r="N1251" i="5"/>
  <c r="M1251" i="5"/>
  <c r="L1251" i="5"/>
  <c r="J1251" i="5"/>
  <c r="I1251" i="5"/>
  <c r="H1251" i="5"/>
  <c r="F1251" i="5"/>
  <c r="E1251" i="5"/>
  <c r="C1251" i="5"/>
  <c r="B1251" i="5"/>
  <c r="K1251" i="5" s="1"/>
  <c r="O1250" i="5"/>
  <c r="M1250" i="5"/>
  <c r="G1250" i="5"/>
  <c r="E1250" i="5"/>
  <c r="B1250" i="5"/>
  <c r="L1250" i="5" s="1"/>
  <c r="P1249" i="5"/>
  <c r="N1249" i="5"/>
  <c r="L1249" i="5"/>
  <c r="H1249" i="5"/>
  <c r="F1249" i="5"/>
  <c r="C1249" i="5"/>
  <c r="B1249" i="5"/>
  <c r="M1249" i="5" s="1"/>
  <c r="Q1248" i="5"/>
  <c r="O1248" i="5"/>
  <c r="M1248" i="5"/>
  <c r="L1248" i="5"/>
  <c r="I1248" i="5"/>
  <c r="G1248" i="5"/>
  <c r="E1248" i="5"/>
  <c r="C1248" i="5"/>
  <c r="B1248" i="5"/>
  <c r="N1248" i="5" s="1"/>
  <c r="R1247" i="5"/>
  <c r="Q1247" i="5"/>
  <c r="P1247" i="5"/>
  <c r="O1247" i="5"/>
  <c r="N1247" i="5"/>
  <c r="M1247" i="5"/>
  <c r="L1247" i="5"/>
  <c r="J1247" i="5"/>
  <c r="I1247" i="5"/>
  <c r="H1247" i="5"/>
  <c r="A1247" i="5" s="1"/>
  <c r="G1247" i="5"/>
  <c r="F1247" i="5"/>
  <c r="E1247" i="5"/>
  <c r="C1247" i="5"/>
  <c r="B1247" i="5"/>
  <c r="K1247" i="5" s="1"/>
  <c r="Q1246" i="5"/>
  <c r="I1246" i="5"/>
  <c r="B1246" i="5"/>
  <c r="P1246" i="5" s="1"/>
  <c r="R1245" i="5"/>
  <c r="P1245" i="5"/>
  <c r="O1245" i="5"/>
  <c r="L1245" i="5"/>
  <c r="J1245" i="5"/>
  <c r="H1245" i="5"/>
  <c r="G1245" i="5"/>
  <c r="C1245" i="5"/>
  <c r="B1245" i="5"/>
  <c r="Q1245" i="5" s="1"/>
  <c r="K1244" i="5"/>
  <c r="B1244" i="5"/>
  <c r="R1243" i="5"/>
  <c r="Q1243" i="5"/>
  <c r="P1243" i="5"/>
  <c r="N1243" i="5"/>
  <c r="M1243" i="5"/>
  <c r="L1243" i="5"/>
  <c r="J1243" i="5"/>
  <c r="I1243" i="5"/>
  <c r="H1243" i="5"/>
  <c r="F1243" i="5"/>
  <c r="E1243" i="5"/>
  <c r="C1243" i="5"/>
  <c r="B1243" i="5"/>
  <c r="K1243" i="5" s="1"/>
  <c r="O1242" i="5"/>
  <c r="M1242" i="5"/>
  <c r="G1242" i="5"/>
  <c r="E1242" i="5"/>
  <c r="B1242" i="5"/>
  <c r="L1242" i="5" s="1"/>
  <c r="P1241" i="5"/>
  <c r="N1241" i="5"/>
  <c r="L1241" i="5"/>
  <c r="H1241" i="5"/>
  <c r="F1241" i="5"/>
  <c r="C1241" i="5"/>
  <c r="B1241" i="5"/>
  <c r="M1241" i="5" s="1"/>
  <c r="Q1240" i="5"/>
  <c r="O1240" i="5"/>
  <c r="M1240" i="5"/>
  <c r="L1240" i="5"/>
  <c r="I1240" i="5"/>
  <c r="G1240" i="5"/>
  <c r="E1240" i="5"/>
  <c r="C1240" i="5"/>
  <c r="B1240" i="5"/>
  <c r="N1240" i="5" s="1"/>
  <c r="R1239" i="5"/>
  <c r="Q1239" i="5"/>
  <c r="P1239" i="5"/>
  <c r="O1239" i="5"/>
  <c r="N1239" i="5"/>
  <c r="M1239" i="5"/>
  <c r="L1239" i="5"/>
  <c r="J1239" i="5"/>
  <c r="I1239" i="5"/>
  <c r="H1239" i="5"/>
  <c r="A1239" i="5" s="1"/>
  <c r="G1239" i="5"/>
  <c r="F1239" i="5"/>
  <c r="E1239" i="5"/>
  <c r="C1239" i="5"/>
  <c r="B1239" i="5"/>
  <c r="K1239" i="5" s="1"/>
  <c r="Q1238" i="5"/>
  <c r="I1238" i="5"/>
  <c r="B1238" i="5"/>
  <c r="P1238" i="5" s="1"/>
  <c r="R1237" i="5"/>
  <c r="P1237" i="5"/>
  <c r="O1237" i="5"/>
  <c r="L1237" i="5"/>
  <c r="J1237" i="5"/>
  <c r="H1237" i="5"/>
  <c r="G1237" i="5"/>
  <c r="C1237" i="5"/>
  <c r="B1237" i="5"/>
  <c r="Q1237" i="5" s="1"/>
  <c r="K1236" i="5"/>
  <c r="B1236" i="5"/>
  <c r="R1235" i="5"/>
  <c r="Q1235" i="5"/>
  <c r="P1235" i="5"/>
  <c r="N1235" i="5"/>
  <c r="M1235" i="5"/>
  <c r="L1235" i="5"/>
  <c r="J1235" i="5"/>
  <c r="I1235" i="5"/>
  <c r="H1235" i="5"/>
  <c r="F1235" i="5"/>
  <c r="E1235" i="5"/>
  <c r="C1235" i="5"/>
  <c r="B1235" i="5"/>
  <c r="K1235" i="5" s="1"/>
  <c r="O1234" i="5"/>
  <c r="M1234" i="5"/>
  <c r="G1234" i="5"/>
  <c r="E1234" i="5"/>
  <c r="B1234" i="5"/>
  <c r="L1234" i="5" s="1"/>
  <c r="P1233" i="5"/>
  <c r="N1233" i="5"/>
  <c r="L1233" i="5"/>
  <c r="H1233" i="5"/>
  <c r="F1233" i="5"/>
  <c r="C1233" i="5"/>
  <c r="B1233" i="5"/>
  <c r="M1233" i="5" s="1"/>
  <c r="Q1232" i="5"/>
  <c r="O1232" i="5"/>
  <c r="M1232" i="5"/>
  <c r="L1232" i="5"/>
  <c r="I1232" i="5"/>
  <c r="G1232" i="5"/>
  <c r="E1232" i="5"/>
  <c r="C1232" i="5"/>
  <c r="B1232" i="5"/>
  <c r="N1232" i="5" s="1"/>
  <c r="R1231" i="5"/>
  <c r="Q1231" i="5"/>
  <c r="P1231" i="5"/>
  <c r="O1231" i="5"/>
  <c r="N1231" i="5"/>
  <c r="M1231" i="5"/>
  <c r="L1231" i="5"/>
  <c r="J1231" i="5"/>
  <c r="I1231" i="5"/>
  <c r="H1231" i="5"/>
  <c r="A1231" i="5" s="1"/>
  <c r="G1231" i="5"/>
  <c r="F1231" i="5"/>
  <c r="E1231" i="5"/>
  <c r="C1231" i="5"/>
  <c r="B1231" i="5"/>
  <c r="K1231" i="5" s="1"/>
  <c r="Q1230" i="5"/>
  <c r="I1230" i="5"/>
  <c r="B1230" i="5"/>
  <c r="P1230" i="5" s="1"/>
  <c r="R1229" i="5"/>
  <c r="P1229" i="5"/>
  <c r="O1229" i="5"/>
  <c r="L1229" i="5"/>
  <c r="J1229" i="5"/>
  <c r="H1229" i="5"/>
  <c r="G1229" i="5"/>
  <c r="C1229" i="5"/>
  <c r="B1229" i="5"/>
  <c r="Q1229" i="5" s="1"/>
  <c r="K1228" i="5"/>
  <c r="B1228" i="5"/>
  <c r="R1227" i="5"/>
  <c r="Q1227" i="5"/>
  <c r="P1227" i="5"/>
  <c r="N1227" i="5"/>
  <c r="M1227" i="5"/>
  <c r="L1227" i="5"/>
  <c r="J1227" i="5"/>
  <c r="I1227" i="5"/>
  <c r="H1227" i="5"/>
  <c r="F1227" i="5"/>
  <c r="E1227" i="5"/>
  <c r="C1227" i="5"/>
  <c r="B1227" i="5"/>
  <c r="K1227" i="5" s="1"/>
  <c r="O1226" i="5"/>
  <c r="M1226" i="5"/>
  <c r="G1226" i="5"/>
  <c r="E1226" i="5"/>
  <c r="B1226" i="5"/>
  <c r="L1226" i="5" s="1"/>
  <c r="P1225" i="5"/>
  <c r="N1225" i="5"/>
  <c r="L1225" i="5"/>
  <c r="H1225" i="5"/>
  <c r="F1225" i="5"/>
  <c r="C1225" i="5"/>
  <c r="B1225" i="5"/>
  <c r="M1225" i="5" s="1"/>
  <c r="Q1224" i="5"/>
  <c r="O1224" i="5"/>
  <c r="M1224" i="5"/>
  <c r="L1224" i="5"/>
  <c r="I1224" i="5"/>
  <c r="G1224" i="5"/>
  <c r="E1224" i="5"/>
  <c r="C1224" i="5"/>
  <c r="B1224" i="5"/>
  <c r="N1224" i="5" s="1"/>
  <c r="R1223" i="5"/>
  <c r="Q1223" i="5"/>
  <c r="P1223" i="5"/>
  <c r="O1223" i="5"/>
  <c r="N1223" i="5"/>
  <c r="M1223" i="5"/>
  <c r="L1223" i="5"/>
  <c r="J1223" i="5"/>
  <c r="I1223" i="5"/>
  <c r="H1223" i="5"/>
  <c r="A1223" i="5" s="1"/>
  <c r="G1223" i="5"/>
  <c r="F1223" i="5"/>
  <c r="E1223" i="5"/>
  <c r="C1223" i="5"/>
  <c r="B1223" i="5"/>
  <c r="K1223" i="5" s="1"/>
  <c r="Q1222" i="5"/>
  <c r="I1222" i="5"/>
  <c r="B1222" i="5"/>
  <c r="P1222" i="5" s="1"/>
  <c r="R1221" i="5"/>
  <c r="P1221" i="5"/>
  <c r="O1221" i="5"/>
  <c r="L1221" i="5"/>
  <c r="J1221" i="5"/>
  <c r="H1221" i="5"/>
  <c r="G1221" i="5"/>
  <c r="C1221" i="5"/>
  <c r="B1221" i="5"/>
  <c r="Q1221" i="5" s="1"/>
  <c r="K1220" i="5"/>
  <c r="B1220" i="5"/>
  <c r="R1219" i="5"/>
  <c r="Q1219" i="5"/>
  <c r="P1219" i="5"/>
  <c r="N1219" i="5"/>
  <c r="M1219" i="5"/>
  <c r="L1219" i="5"/>
  <c r="J1219" i="5"/>
  <c r="I1219" i="5"/>
  <c r="H1219" i="5"/>
  <c r="F1219" i="5"/>
  <c r="E1219" i="5"/>
  <c r="C1219" i="5"/>
  <c r="B1219" i="5"/>
  <c r="K1219" i="5" s="1"/>
  <c r="M1218" i="5"/>
  <c r="E1218" i="5"/>
  <c r="B1218" i="5"/>
  <c r="L1218" i="5" s="1"/>
  <c r="P1217" i="5"/>
  <c r="N1217" i="5"/>
  <c r="L1217" i="5"/>
  <c r="H1217" i="5"/>
  <c r="F1217" i="5"/>
  <c r="C1217" i="5"/>
  <c r="B1217" i="5"/>
  <c r="M1217" i="5" s="1"/>
  <c r="Q1216" i="5"/>
  <c r="O1216" i="5"/>
  <c r="M1216" i="5"/>
  <c r="L1216" i="5"/>
  <c r="I1216" i="5"/>
  <c r="G1216" i="5"/>
  <c r="E1216" i="5"/>
  <c r="C1216" i="5"/>
  <c r="B1216" i="5"/>
  <c r="N1216" i="5" s="1"/>
  <c r="R1215" i="5"/>
  <c r="Q1215" i="5"/>
  <c r="P1215" i="5"/>
  <c r="O1215" i="5"/>
  <c r="N1215" i="5"/>
  <c r="M1215" i="5"/>
  <c r="L1215" i="5"/>
  <c r="J1215" i="5"/>
  <c r="I1215" i="5"/>
  <c r="H1215" i="5"/>
  <c r="G1215" i="5"/>
  <c r="F1215" i="5"/>
  <c r="E1215" i="5"/>
  <c r="C1215" i="5"/>
  <c r="B1215" i="5"/>
  <c r="K1215" i="5" s="1"/>
  <c r="Q1214" i="5"/>
  <c r="I1214" i="5"/>
  <c r="B1214" i="5"/>
  <c r="P1214" i="5" s="1"/>
  <c r="R1213" i="5"/>
  <c r="P1213" i="5"/>
  <c r="O1213" i="5"/>
  <c r="L1213" i="5"/>
  <c r="J1213" i="5"/>
  <c r="H1213" i="5"/>
  <c r="G1213" i="5"/>
  <c r="C1213" i="5"/>
  <c r="B1213" i="5"/>
  <c r="Q1213" i="5" s="1"/>
  <c r="B1212" i="5"/>
  <c r="R1211" i="5"/>
  <c r="Q1211" i="5"/>
  <c r="P1211" i="5"/>
  <c r="N1211" i="5"/>
  <c r="M1211" i="5"/>
  <c r="L1211" i="5"/>
  <c r="J1211" i="5"/>
  <c r="I1211" i="5"/>
  <c r="H1211" i="5"/>
  <c r="F1211" i="5"/>
  <c r="E1211" i="5"/>
  <c r="C1211" i="5"/>
  <c r="B1211" i="5"/>
  <c r="K1211" i="5" s="1"/>
  <c r="M1210" i="5"/>
  <c r="E1210" i="5"/>
  <c r="B1210" i="5"/>
  <c r="L1210" i="5" s="1"/>
  <c r="P1209" i="5"/>
  <c r="N1209" i="5"/>
  <c r="L1209" i="5"/>
  <c r="H1209" i="5"/>
  <c r="F1209" i="5"/>
  <c r="C1209" i="5"/>
  <c r="B1209" i="5"/>
  <c r="M1209" i="5" s="1"/>
  <c r="Q1208" i="5"/>
  <c r="O1208" i="5"/>
  <c r="M1208" i="5"/>
  <c r="L1208" i="5"/>
  <c r="I1208" i="5"/>
  <c r="H1208" i="5"/>
  <c r="G1208" i="5"/>
  <c r="E1208" i="5"/>
  <c r="C1208" i="5"/>
  <c r="B1208" i="5"/>
  <c r="N1208" i="5" s="1"/>
  <c r="R1207" i="5"/>
  <c r="Q1207" i="5"/>
  <c r="P1207" i="5"/>
  <c r="O1207" i="5"/>
  <c r="N1207" i="5"/>
  <c r="M1207" i="5"/>
  <c r="L1207" i="5"/>
  <c r="J1207" i="5"/>
  <c r="I1207" i="5"/>
  <c r="H1207" i="5"/>
  <c r="G1207" i="5"/>
  <c r="F1207" i="5"/>
  <c r="E1207" i="5"/>
  <c r="C1207" i="5"/>
  <c r="B1207" i="5"/>
  <c r="K1207" i="5" s="1"/>
  <c r="Q1206" i="5"/>
  <c r="I1206" i="5"/>
  <c r="B1206" i="5"/>
  <c r="P1206" i="5" s="1"/>
  <c r="R1205" i="5"/>
  <c r="P1205" i="5"/>
  <c r="O1205" i="5"/>
  <c r="L1205" i="5"/>
  <c r="J1205" i="5"/>
  <c r="H1205" i="5"/>
  <c r="G1205" i="5"/>
  <c r="C1205" i="5"/>
  <c r="B1205" i="5"/>
  <c r="Q1205" i="5" s="1"/>
  <c r="K1204" i="5"/>
  <c r="B1204" i="5"/>
  <c r="R1203" i="5"/>
  <c r="Q1203" i="5"/>
  <c r="P1203" i="5"/>
  <c r="N1203" i="5"/>
  <c r="M1203" i="5"/>
  <c r="L1203" i="5"/>
  <c r="J1203" i="5"/>
  <c r="I1203" i="5"/>
  <c r="H1203" i="5"/>
  <c r="F1203" i="5"/>
  <c r="E1203" i="5"/>
  <c r="C1203" i="5"/>
  <c r="B1203" i="5"/>
  <c r="K1203" i="5" s="1"/>
  <c r="M1202" i="5"/>
  <c r="E1202" i="5"/>
  <c r="B1202" i="5"/>
  <c r="L1202" i="5" s="1"/>
  <c r="P1201" i="5"/>
  <c r="N1201" i="5"/>
  <c r="L1201" i="5"/>
  <c r="H1201" i="5"/>
  <c r="F1201" i="5"/>
  <c r="C1201" i="5"/>
  <c r="B1201" i="5"/>
  <c r="M1201" i="5" s="1"/>
  <c r="Q1200" i="5"/>
  <c r="O1200" i="5"/>
  <c r="M1200" i="5"/>
  <c r="L1200" i="5"/>
  <c r="I1200" i="5"/>
  <c r="G1200" i="5"/>
  <c r="E1200" i="5"/>
  <c r="C1200" i="5"/>
  <c r="B1200" i="5"/>
  <c r="N1200" i="5" s="1"/>
  <c r="R1199" i="5"/>
  <c r="Q1199" i="5"/>
  <c r="P1199" i="5"/>
  <c r="O1199" i="5"/>
  <c r="N1199" i="5"/>
  <c r="M1199" i="5"/>
  <c r="L1199" i="5"/>
  <c r="J1199" i="5"/>
  <c r="I1199" i="5"/>
  <c r="H1199" i="5"/>
  <c r="G1199" i="5"/>
  <c r="F1199" i="5"/>
  <c r="E1199" i="5"/>
  <c r="C1199" i="5"/>
  <c r="B1199" i="5"/>
  <c r="K1199" i="5" s="1"/>
  <c r="Q1198" i="5"/>
  <c r="I1198" i="5"/>
  <c r="B1198" i="5"/>
  <c r="P1198" i="5" s="1"/>
  <c r="R1197" i="5"/>
  <c r="P1197" i="5"/>
  <c r="O1197" i="5"/>
  <c r="L1197" i="5"/>
  <c r="J1197" i="5"/>
  <c r="H1197" i="5"/>
  <c r="G1197" i="5"/>
  <c r="C1197" i="5"/>
  <c r="B1197" i="5"/>
  <c r="Q1197" i="5" s="1"/>
  <c r="B1196" i="5"/>
  <c r="R1195" i="5"/>
  <c r="Q1195" i="5"/>
  <c r="P1195" i="5"/>
  <c r="N1195" i="5"/>
  <c r="M1195" i="5"/>
  <c r="L1195" i="5"/>
  <c r="J1195" i="5"/>
  <c r="I1195" i="5"/>
  <c r="H1195" i="5"/>
  <c r="F1195" i="5"/>
  <c r="E1195" i="5"/>
  <c r="C1195" i="5"/>
  <c r="B1195" i="5"/>
  <c r="K1195" i="5" s="1"/>
  <c r="M1194" i="5"/>
  <c r="E1194" i="5"/>
  <c r="B1194" i="5"/>
  <c r="L1194" i="5" s="1"/>
  <c r="P1193" i="5"/>
  <c r="N1193" i="5"/>
  <c r="L1193" i="5"/>
  <c r="H1193" i="5"/>
  <c r="F1193" i="5"/>
  <c r="C1193" i="5"/>
  <c r="B1193" i="5"/>
  <c r="M1193" i="5" s="1"/>
  <c r="Q1192" i="5"/>
  <c r="O1192" i="5"/>
  <c r="M1192" i="5"/>
  <c r="L1192" i="5"/>
  <c r="I1192" i="5"/>
  <c r="G1192" i="5"/>
  <c r="E1192" i="5"/>
  <c r="C1192" i="5"/>
  <c r="B1192" i="5"/>
  <c r="N1192" i="5" s="1"/>
  <c r="R1191" i="5"/>
  <c r="Q1191" i="5"/>
  <c r="P1191" i="5"/>
  <c r="O1191" i="5"/>
  <c r="N1191" i="5"/>
  <c r="M1191" i="5"/>
  <c r="L1191" i="5"/>
  <c r="J1191" i="5"/>
  <c r="I1191" i="5"/>
  <c r="H1191" i="5"/>
  <c r="G1191" i="5"/>
  <c r="F1191" i="5"/>
  <c r="E1191" i="5"/>
  <c r="C1191" i="5"/>
  <c r="B1191" i="5"/>
  <c r="K1191" i="5" s="1"/>
  <c r="Q1190" i="5"/>
  <c r="I1190" i="5"/>
  <c r="B1190" i="5"/>
  <c r="P1190" i="5" s="1"/>
  <c r="R1189" i="5"/>
  <c r="P1189" i="5"/>
  <c r="O1189" i="5"/>
  <c r="L1189" i="5"/>
  <c r="J1189" i="5"/>
  <c r="H1189" i="5"/>
  <c r="G1189" i="5"/>
  <c r="C1189" i="5"/>
  <c r="B1189" i="5"/>
  <c r="Q1189" i="5" s="1"/>
  <c r="B1188" i="5"/>
  <c r="R1187" i="5"/>
  <c r="Q1187" i="5"/>
  <c r="P1187" i="5"/>
  <c r="N1187" i="5"/>
  <c r="M1187" i="5"/>
  <c r="L1187" i="5"/>
  <c r="J1187" i="5"/>
  <c r="I1187" i="5"/>
  <c r="H1187" i="5"/>
  <c r="F1187" i="5"/>
  <c r="E1187" i="5"/>
  <c r="C1187" i="5"/>
  <c r="B1187" i="5"/>
  <c r="K1187" i="5" s="1"/>
  <c r="M1186" i="5"/>
  <c r="E1186" i="5"/>
  <c r="B1186" i="5"/>
  <c r="L1186" i="5" s="1"/>
  <c r="P1185" i="5"/>
  <c r="N1185" i="5"/>
  <c r="L1185" i="5"/>
  <c r="H1185" i="5"/>
  <c r="F1185" i="5"/>
  <c r="C1185" i="5"/>
  <c r="B1185" i="5"/>
  <c r="M1185" i="5" s="1"/>
  <c r="Q1184" i="5"/>
  <c r="O1184" i="5"/>
  <c r="M1184" i="5"/>
  <c r="L1184" i="5"/>
  <c r="I1184" i="5"/>
  <c r="G1184" i="5"/>
  <c r="E1184" i="5"/>
  <c r="C1184" i="5"/>
  <c r="B1184" i="5"/>
  <c r="N1184" i="5" s="1"/>
  <c r="R1183" i="5"/>
  <c r="Q1183" i="5"/>
  <c r="P1183" i="5"/>
  <c r="O1183" i="5"/>
  <c r="N1183" i="5"/>
  <c r="M1183" i="5"/>
  <c r="L1183" i="5"/>
  <c r="J1183" i="5"/>
  <c r="I1183" i="5"/>
  <c r="H1183" i="5"/>
  <c r="G1183" i="5"/>
  <c r="F1183" i="5"/>
  <c r="E1183" i="5"/>
  <c r="C1183" i="5"/>
  <c r="B1183" i="5"/>
  <c r="K1183" i="5" s="1"/>
  <c r="Q1182" i="5"/>
  <c r="I1182" i="5"/>
  <c r="B1182" i="5"/>
  <c r="P1182" i="5" s="1"/>
  <c r="R1181" i="5"/>
  <c r="P1181" i="5"/>
  <c r="O1181" i="5"/>
  <c r="L1181" i="5"/>
  <c r="J1181" i="5"/>
  <c r="H1181" i="5"/>
  <c r="G1181" i="5"/>
  <c r="C1181" i="5"/>
  <c r="B1181" i="5"/>
  <c r="Q1181" i="5" s="1"/>
  <c r="B1180" i="5"/>
  <c r="R1179" i="5"/>
  <c r="Q1179" i="5"/>
  <c r="P1179" i="5"/>
  <c r="N1179" i="5"/>
  <c r="M1179" i="5"/>
  <c r="L1179" i="5"/>
  <c r="J1179" i="5"/>
  <c r="I1179" i="5"/>
  <c r="H1179" i="5"/>
  <c r="F1179" i="5"/>
  <c r="E1179" i="5"/>
  <c r="C1179" i="5"/>
  <c r="B1179" i="5"/>
  <c r="K1179" i="5" s="1"/>
  <c r="M1178" i="5"/>
  <c r="E1178" i="5"/>
  <c r="B1178" i="5"/>
  <c r="L1178" i="5" s="1"/>
  <c r="P1177" i="5"/>
  <c r="N1177" i="5"/>
  <c r="L1177" i="5"/>
  <c r="H1177" i="5"/>
  <c r="F1177" i="5"/>
  <c r="C1177" i="5"/>
  <c r="B1177" i="5"/>
  <c r="M1177" i="5" s="1"/>
  <c r="Q1176" i="5"/>
  <c r="O1176" i="5"/>
  <c r="M1176" i="5"/>
  <c r="L1176" i="5"/>
  <c r="I1176" i="5"/>
  <c r="G1176" i="5"/>
  <c r="E1176" i="5"/>
  <c r="C1176" i="5"/>
  <c r="B1176" i="5"/>
  <c r="N1176" i="5" s="1"/>
  <c r="R1175" i="5"/>
  <c r="Q1175" i="5"/>
  <c r="P1175" i="5"/>
  <c r="O1175" i="5"/>
  <c r="N1175" i="5"/>
  <c r="M1175" i="5"/>
  <c r="L1175" i="5"/>
  <c r="J1175" i="5"/>
  <c r="I1175" i="5"/>
  <c r="H1175" i="5"/>
  <c r="G1175" i="5"/>
  <c r="F1175" i="5"/>
  <c r="E1175" i="5"/>
  <c r="C1175" i="5"/>
  <c r="B1175" i="5"/>
  <c r="K1175" i="5" s="1"/>
  <c r="Q1174" i="5"/>
  <c r="I1174" i="5"/>
  <c r="B1174" i="5"/>
  <c r="P1174" i="5" s="1"/>
  <c r="R1173" i="5"/>
  <c r="P1173" i="5"/>
  <c r="O1173" i="5"/>
  <c r="L1173" i="5"/>
  <c r="J1173" i="5"/>
  <c r="H1173" i="5"/>
  <c r="G1173" i="5"/>
  <c r="C1173" i="5"/>
  <c r="B1173" i="5"/>
  <c r="Q1173" i="5" s="1"/>
  <c r="K1172" i="5"/>
  <c r="B1172" i="5"/>
  <c r="R1171" i="5"/>
  <c r="Q1171" i="5"/>
  <c r="P1171" i="5"/>
  <c r="N1171" i="5"/>
  <c r="M1171" i="5"/>
  <c r="L1171" i="5"/>
  <c r="J1171" i="5"/>
  <c r="I1171" i="5"/>
  <c r="H1171" i="5"/>
  <c r="F1171" i="5"/>
  <c r="E1171" i="5"/>
  <c r="C1171" i="5"/>
  <c r="B1171" i="5"/>
  <c r="K1171" i="5" s="1"/>
  <c r="M1170" i="5"/>
  <c r="E1170" i="5"/>
  <c r="B1170" i="5"/>
  <c r="L1170" i="5" s="1"/>
  <c r="P1169" i="5"/>
  <c r="N1169" i="5"/>
  <c r="L1169" i="5"/>
  <c r="H1169" i="5"/>
  <c r="F1169" i="5"/>
  <c r="C1169" i="5"/>
  <c r="B1169" i="5"/>
  <c r="M1169" i="5" s="1"/>
  <c r="Q1168" i="5"/>
  <c r="O1168" i="5"/>
  <c r="M1168" i="5"/>
  <c r="L1168" i="5"/>
  <c r="I1168" i="5"/>
  <c r="G1168" i="5"/>
  <c r="E1168" i="5"/>
  <c r="C1168" i="5"/>
  <c r="B1168" i="5"/>
  <c r="N1168" i="5" s="1"/>
  <c r="R1167" i="5"/>
  <c r="Q1167" i="5"/>
  <c r="P1167" i="5"/>
  <c r="O1167" i="5"/>
  <c r="N1167" i="5"/>
  <c r="M1167" i="5"/>
  <c r="L1167" i="5"/>
  <c r="J1167" i="5"/>
  <c r="I1167" i="5"/>
  <c r="H1167" i="5"/>
  <c r="G1167" i="5"/>
  <c r="F1167" i="5"/>
  <c r="E1167" i="5"/>
  <c r="C1167" i="5"/>
  <c r="B1167" i="5"/>
  <c r="K1167" i="5" s="1"/>
  <c r="Q1166" i="5"/>
  <c r="I1166" i="5"/>
  <c r="B1166" i="5"/>
  <c r="P1166" i="5" s="1"/>
  <c r="R1165" i="5"/>
  <c r="P1165" i="5"/>
  <c r="O1165" i="5"/>
  <c r="L1165" i="5"/>
  <c r="J1165" i="5"/>
  <c r="H1165" i="5"/>
  <c r="G1165" i="5"/>
  <c r="C1165" i="5"/>
  <c r="B1165" i="5"/>
  <c r="Q1165" i="5" s="1"/>
  <c r="B1164" i="5"/>
  <c r="R1163" i="5"/>
  <c r="Q1163" i="5"/>
  <c r="P1163" i="5"/>
  <c r="N1163" i="5"/>
  <c r="M1163" i="5"/>
  <c r="L1163" i="5"/>
  <c r="J1163" i="5"/>
  <c r="I1163" i="5"/>
  <c r="H1163" i="5"/>
  <c r="F1163" i="5"/>
  <c r="E1163" i="5"/>
  <c r="C1163" i="5"/>
  <c r="B1163" i="5"/>
  <c r="K1163" i="5" s="1"/>
  <c r="M1162" i="5"/>
  <c r="E1162" i="5"/>
  <c r="B1162" i="5"/>
  <c r="L1162" i="5" s="1"/>
  <c r="P1161" i="5"/>
  <c r="N1161" i="5"/>
  <c r="L1161" i="5"/>
  <c r="H1161" i="5"/>
  <c r="F1161" i="5"/>
  <c r="C1161" i="5"/>
  <c r="B1161" i="5"/>
  <c r="M1161" i="5" s="1"/>
  <c r="Q1160" i="5"/>
  <c r="O1160" i="5"/>
  <c r="M1160" i="5"/>
  <c r="L1160" i="5"/>
  <c r="I1160" i="5"/>
  <c r="G1160" i="5"/>
  <c r="E1160" i="5"/>
  <c r="C1160" i="5"/>
  <c r="B1160" i="5"/>
  <c r="N1160" i="5" s="1"/>
  <c r="R1159" i="5"/>
  <c r="Q1159" i="5"/>
  <c r="P1159" i="5"/>
  <c r="O1159" i="5"/>
  <c r="N1159" i="5"/>
  <c r="M1159" i="5"/>
  <c r="L1159" i="5"/>
  <c r="J1159" i="5"/>
  <c r="I1159" i="5"/>
  <c r="H1159" i="5"/>
  <c r="G1159" i="5"/>
  <c r="F1159" i="5"/>
  <c r="A1159" i="5" s="1"/>
  <c r="E1159" i="5"/>
  <c r="C1159" i="5"/>
  <c r="B1159" i="5"/>
  <c r="K1159" i="5" s="1"/>
  <c r="Q1158" i="5"/>
  <c r="I1158" i="5"/>
  <c r="B1158" i="5"/>
  <c r="P1158" i="5" s="1"/>
  <c r="R1157" i="5"/>
  <c r="P1157" i="5"/>
  <c r="O1157" i="5"/>
  <c r="L1157" i="5"/>
  <c r="J1157" i="5"/>
  <c r="H1157" i="5"/>
  <c r="G1157" i="5"/>
  <c r="C1157" i="5"/>
  <c r="B1157" i="5"/>
  <c r="Q1157" i="5" s="1"/>
  <c r="B1156" i="5"/>
  <c r="R1155" i="5"/>
  <c r="Q1155" i="5"/>
  <c r="P1155" i="5"/>
  <c r="N1155" i="5"/>
  <c r="M1155" i="5"/>
  <c r="L1155" i="5"/>
  <c r="J1155" i="5"/>
  <c r="I1155" i="5"/>
  <c r="H1155" i="5"/>
  <c r="F1155" i="5"/>
  <c r="E1155" i="5"/>
  <c r="C1155" i="5"/>
  <c r="B1155" i="5"/>
  <c r="K1155" i="5" s="1"/>
  <c r="M1154" i="5"/>
  <c r="E1154" i="5"/>
  <c r="B1154" i="5"/>
  <c r="L1154" i="5" s="1"/>
  <c r="P1153" i="5"/>
  <c r="N1153" i="5"/>
  <c r="L1153" i="5"/>
  <c r="H1153" i="5"/>
  <c r="F1153" i="5"/>
  <c r="C1153" i="5"/>
  <c r="B1153" i="5"/>
  <c r="M1153" i="5" s="1"/>
  <c r="Q1152" i="5"/>
  <c r="O1152" i="5"/>
  <c r="M1152" i="5"/>
  <c r="L1152" i="5"/>
  <c r="I1152" i="5"/>
  <c r="G1152" i="5"/>
  <c r="E1152" i="5"/>
  <c r="C1152" i="5"/>
  <c r="B1152" i="5"/>
  <c r="N1152" i="5" s="1"/>
  <c r="R1151" i="5"/>
  <c r="Q1151" i="5"/>
  <c r="P1151" i="5"/>
  <c r="O1151" i="5"/>
  <c r="N1151" i="5"/>
  <c r="M1151" i="5"/>
  <c r="L1151" i="5"/>
  <c r="J1151" i="5"/>
  <c r="I1151" i="5"/>
  <c r="H1151" i="5"/>
  <c r="G1151" i="5"/>
  <c r="F1151" i="5"/>
  <c r="E1151" i="5"/>
  <c r="C1151" i="5"/>
  <c r="B1151" i="5"/>
  <c r="K1151" i="5" s="1"/>
  <c r="Q1150" i="5"/>
  <c r="I1150" i="5"/>
  <c r="B1150" i="5"/>
  <c r="P1150" i="5" s="1"/>
  <c r="R1149" i="5"/>
  <c r="P1149" i="5"/>
  <c r="O1149" i="5"/>
  <c r="L1149" i="5"/>
  <c r="J1149" i="5"/>
  <c r="H1149" i="5"/>
  <c r="G1149" i="5"/>
  <c r="C1149" i="5"/>
  <c r="B1149" i="5"/>
  <c r="Q1149" i="5" s="1"/>
  <c r="B1148" i="5"/>
  <c r="R1147" i="5"/>
  <c r="Q1147" i="5"/>
  <c r="P1147" i="5"/>
  <c r="N1147" i="5"/>
  <c r="M1147" i="5"/>
  <c r="L1147" i="5"/>
  <c r="J1147" i="5"/>
  <c r="I1147" i="5"/>
  <c r="H1147" i="5"/>
  <c r="F1147" i="5"/>
  <c r="E1147" i="5"/>
  <c r="C1147" i="5"/>
  <c r="B1147" i="5"/>
  <c r="K1147" i="5" s="1"/>
  <c r="M1146" i="5"/>
  <c r="E1146" i="5"/>
  <c r="B1146" i="5"/>
  <c r="L1146" i="5" s="1"/>
  <c r="P1145" i="5"/>
  <c r="N1145" i="5"/>
  <c r="L1145" i="5"/>
  <c r="H1145" i="5"/>
  <c r="F1145" i="5"/>
  <c r="C1145" i="5"/>
  <c r="B1145" i="5"/>
  <c r="M1145" i="5" s="1"/>
  <c r="Q1144" i="5"/>
  <c r="O1144" i="5"/>
  <c r="M1144" i="5"/>
  <c r="L1144" i="5"/>
  <c r="I1144" i="5"/>
  <c r="G1144" i="5"/>
  <c r="E1144" i="5"/>
  <c r="C1144" i="5"/>
  <c r="B1144" i="5"/>
  <c r="N1144" i="5" s="1"/>
  <c r="R1143" i="5"/>
  <c r="Q1143" i="5"/>
  <c r="P1143" i="5"/>
  <c r="N1143" i="5"/>
  <c r="M1143" i="5"/>
  <c r="L1143" i="5"/>
  <c r="J1143" i="5"/>
  <c r="I1143" i="5"/>
  <c r="H1143" i="5"/>
  <c r="F1143" i="5"/>
  <c r="E1143" i="5"/>
  <c r="C1143" i="5"/>
  <c r="B1143" i="5"/>
  <c r="O1143" i="5" s="1"/>
  <c r="Q1142" i="5"/>
  <c r="I1142" i="5"/>
  <c r="B1142" i="5"/>
  <c r="P1142" i="5" s="1"/>
  <c r="R1141" i="5"/>
  <c r="P1141" i="5"/>
  <c r="O1141" i="5"/>
  <c r="L1141" i="5"/>
  <c r="J1141" i="5"/>
  <c r="H1141" i="5"/>
  <c r="G1141" i="5"/>
  <c r="C1141" i="5"/>
  <c r="B1141" i="5"/>
  <c r="Q1141" i="5" s="1"/>
  <c r="B1140" i="5"/>
  <c r="R1139" i="5"/>
  <c r="Q1139" i="5"/>
  <c r="P1139" i="5"/>
  <c r="N1139" i="5"/>
  <c r="M1139" i="5"/>
  <c r="L1139" i="5"/>
  <c r="J1139" i="5"/>
  <c r="I1139" i="5"/>
  <c r="H1139" i="5"/>
  <c r="F1139" i="5"/>
  <c r="E1139" i="5"/>
  <c r="C1139" i="5"/>
  <c r="B1139" i="5"/>
  <c r="K1139" i="5" s="1"/>
  <c r="M1138" i="5"/>
  <c r="E1138" i="5"/>
  <c r="B1138" i="5"/>
  <c r="L1138" i="5" s="1"/>
  <c r="P1137" i="5"/>
  <c r="N1137" i="5"/>
  <c r="L1137" i="5"/>
  <c r="H1137" i="5"/>
  <c r="F1137" i="5"/>
  <c r="C1137" i="5"/>
  <c r="B1137" i="5"/>
  <c r="M1137" i="5" s="1"/>
  <c r="Q1136" i="5"/>
  <c r="O1136" i="5"/>
  <c r="M1136" i="5"/>
  <c r="L1136" i="5"/>
  <c r="I1136" i="5"/>
  <c r="G1136" i="5"/>
  <c r="E1136" i="5"/>
  <c r="C1136" i="5"/>
  <c r="B1136" i="5"/>
  <c r="N1136" i="5" s="1"/>
  <c r="R1135" i="5"/>
  <c r="Q1135" i="5"/>
  <c r="P1135" i="5"/>
  <c r="N1135" i="5"/>
  <c r="M1135" i="5"/>
  <c r="L1135" i="5"/>
  <c r="J1135" i="5"/>
  <c r="I1135" i="5"/>
  <c r="H1135" i="5"/>
  <c r="F1135" i="5"/>
  <c r="E1135" i="5"/>
  <c r="C1135" i="5"/>
  <c r="B1135" i="5"/>
  <c r="O1135" i="5" s="1"/>
  <c r="Q1134" i="5"/>
  <c r="I1134" i="5"/>
  <c r="B1134" i="5"/>
  <c r="P1134" i="5" s="1"/>
  <c r="R1133" i="5"/>
  <c r="P1133" i="5"/>
  <c r="O1133" i="5"/>
  <c r="L1133" i="5"/>
  <c r="J1133" i="5"/>
  <c r="H1133" i="5"/>
  <c r="G1133" i="5"/>
  <c r="C1133" i="5"/>
  <c r="B1133" i="5"/>
  <c r="Q1133" i="5" s="1"/>
  <c r="B1132" i="5"/>
  <c r="R1131" i="5"/>
  <c r="Q1131" i="5"/>
  <c r="P1131" i="5"/>
  <c r="N1131" i="5"/>
  <c r="M1131" i="5"/>
  <c r="L1131" i="5"/>
  <c r="J1131" i="5"/>
  <c r="I1131" i="5"/>
  <c r="H1131" i="5"/>
  <c r="F1131" i="5"/>
  <c r="E1131" i="5"/>
  <c r="C1131" i="5"/>
  <c r="B1131" i="5"/>
  <c r="K1131" i="5" s="1"/>
  <c r="M1130" i="5"/>
  <c r="E1130" i="5"/>
  <c r="B1130" i="5"/>
  <c r="L1130" i="5" s="1"/>
  <c r="P1129" i="5"/>
  <c r="N1129" i="5"/>
  <c r="L1129" i="5"/>
  <c r="H1129" i="5"/>
  <c r="F1129" i="5"/>
  <c r="C1129" i="5"/>
  <c r="B1129" i="5"/>
  <c r="M1129" i="5" s="1"/>
  <c r="Q1128" i="5"/>
  <c r="O1128" i="5"/>
  <c r="M1128" i="5"/>
  <c r="L1128" i="5"/>
  <c r="I1128" i="5"/>
  <c r="G1128" i="5"/>
  <c r="E1128" i="5"/>
  <c r="C1128" i="5"/>
  <c r="B1128" i="5"/>
  <c r="N1128" i="5" s="1"/>
  <c r="R1127" i="5"/>
  <c r="Q1127" i="5"/>
  <c r="P1127" i="5"/>
  <c r="N1127" i="5"/>
  <c r="M1127" i="5"/>
  <c r="L1127" i="5"/>
  <c r="J1127" i="5"/>
  <c r="I1127" i="5"/>
  <c r="H1127" i="5"/>
  <c r="F1127" i="5"/>
  <c r="E1127" i="5"/>
  <c r="C1127" i="5"/>
  <c r="B1127" i="5"/>
  <c r="O1127" i="5" s="1"/>
  <c r="Q1126" i="5"/>
  <c r="I1126" i="5"/>
  <c r="B1126" i="5"/>
  <c r="P1126" i="5" s="1"/>
  <c r="R1125" i="5"/>
  <c r="P1125" i="5"/>
  <c r="O1125" i="5"/>
  <c r="L1125" i="5"/>
  <c r="J1125" i="5"/>
  <c r="H1125" i="5"/>
  <c r="G1125" i="5"/>
  <c r="C1125" i="5"/>
  <c r="B1125" i="5"/>
  <c r="Q1125" i="5" s="1"/>
  <c r="B1124" i="5"/>
  <c r="R1123" i="5"/>
  <c r="Q1123" i="5"/>
  <c r="P1123" i="5"/>
  <c r="N1123" i="5"/>
  <c r="M1123" i="5"/>
  <c r="L1123" i="5"/>
  <c r="J1123" i="5"/>
  <c r="I1123" i="5"/>
  <c r="H1123" i="5"/>
  <c r="F1123" i="5"/>
  <c r="E1123" i="5"/>
  <c r="C1123" i="5"/>
  <c r="B1123" i="5"/>
  <c r="K1123" i="5" s="1"/>
  <c r="M1122" i="5"/>
  <c r="E1122" i="5"/>
  <c r="B1122" i="5"/>
  <c r="L1122" i="5" s="1"/>
  <c r="P1121" i="5"/>
  <c r="N1121" i="5"/>
  <c r="L1121" i="5"/>
  <c r="H1121" i="5"/>
  <c r="F1121" i="5"/>
  <c r="C1121" i="5"/>
  <c r="B1121" i="5"/>
  <c r="M1121" i="5" s="1"/>
  <c r="Q1120" i="5"/>
  <c r="O1120" i="5"/>
  <c r="M1120" i="5"/>
  <c r="L1120" i="5"/>
  <c r="I1120" i="5"/>
  <c r="G1120" i="5"/>
  <c r="E1120" i="5"/>
  <c r="C1120" i="5"/>
  <c r="B1120" i="5"/>
  <c r="N1120" i="5" s="1"/>
  <c r="R1119" i="5"/>
  <c r="Q1119" i="5"/>
  <c r="P1119" i="5"/>
  <c r="N1119" i="5"/>
  <c r="M1119" i="5"/>
  <c r="L1119" i="5"/>
  <c r="J1119" i="5"/>
  <c r="I1119" i="5"/>
  <c r="H1119" i="5"/>
  <c r="F1119" i="5"/>
  <c r="E1119" i="5"/>
  <c r="C1119" i="5"/>
  <c r="B1119" i="5"/>
  <c r="O1119" i="5" s="1"/>
  <c r="Q1118" i="5"/>
  <c r="I1118" i="5"/>
  <c r="B1118" i="5"/>
  <c r="P1118" i="5" s="1"/>
  <c r="R1117" i="5"/>
  <c r="P1117" i="5"/>
  <c r="O1117" i="5"/>
  <c r="L1117" i="5"/>
  <c r="J1117" i="5"/>
  <c r="H1117" i="5"/>
  <c r="G1117" i="5"/>
  <c r="C1117" i="5"/>
  <c r="B1117" i="5"/>
  <c r="Q1117" i="5" s="1"/>
  <c r="B1116" i="5"/>
  <c r="R1115" i="5"/>
  <c r="Q1115" i="5"/>
  <c r="P1115" i="5"/>
  <c r="N1115" i="5"/>
  <c r="M1115" i="5"/>
  <c r="L1115" i="5"/>
  <c r="J1115" i="5"/>
  <c r="I1115" i="5"/>
  <c r="H1115" i="5"/>
  <c r="F1115" i="5"/>
  <c r="E1115" i="5"/>
  <c r="C1115" i="5"/>
  <c r="B1115" i="5"/>
  <c r="K1115" i="5" s="1"/>
  <c r="M1114" i="5"/>
  <c r="E1114" i="5"/>
  <c r="B1114" i="5"/>
  <c r="L1114" i="5" s="1"/>
  <c r="P1113" i="5"/>
  <c r="N1113" i="5"/>
  <c r="L1113" i="5"/>
  <c r="H1113" i="5"/>
  <c r="F1113" i="5"/>
  <c r="C1113" i="5"/>
  <c r="B1113" i="5"/>
  <c r="M1113" i="5" s="1"/>
  <c r="Q1112" i="5"/>
  <c r="O1112" i="5"/>
  <c r="M1112" i="5"/>
  <c r="L1112" i="5"/>
  <c r="I1112" i="5"/>
  <c r="G1112" i="5"/>
  <c r="E1112" i="5"/>
  <c r="C1112" i="5"/>
  <c r="B1112" i="5"/>
  <c r="N1112" i="5" s="1"/>
  <c r="R1111" i="5"/>
  <c r="Q1111" i="5"/>
  <c r="P1111" i="5"/>
  <c r="N1111" i="5"/>
  <c r="M1111" i="5"/>
  <c r="L1111" i="5"/>
  <c r="J1111" i="5"/>
  <c r="I1111" i="5"/>
  <c r="H1111" i="5"/>
  <c r="F1111" i="5"/>
  <c r="E1111" i="5"/>
  <c r="C1111" i="5"/>
  <c r="B1111" i="5"/>
  <c r="O1111" i="5" s="1"/>
  <c r="Q1110" i="5"/>
  <c r="I1110" i="5"/>
  <c r="B1110" i="5"/>
  <c r="P1110" i="5" s="1"/>
  <c r="R1109" i="5"/>
  <c r="P1109" i="5"/>
  <c r="O1109" i="5"/>
  <c r="L1109" i="5"/>
  <c r="J1109" i="5"/>
  <c r="H1109" i="5"/>
  <c r="G1109" i="5"/>
  <c r="C1109" i="5"/>
  <c r="B1109" i="5"/>
  <c r="Q1109" i="5" s="1"/>
  <c r="B1108" i="5"/>
  <c r="R1107" i="5"/>
  <c r="Q1107" i="5"/>
  <c r="P1107" i="5"/>
  <c r="N1107" i="5"/>
  <c r="M1107" i="5"/>
  <c r="L1107" i="5"/>
  <c r="J1107" i="5"/>
  <c r="I1107" i="5"/>
  <c r="H1107" i="5"/>
  <c r="F1107" i="5"/>
  <c r="E1107" i="5"/>
  <c r="C1107" i="5"/>
  <c r="B1107" i="5"/>
  <c r="K1107" i="5" s="1"/>
  <c r="M1106" i="5"/>
  <c r="E1106" i="5"/>
  <c r="B1106" i="5"/>
  <c r="L1106" i="5" s="1"/>
  <c r="P1105" i="5"/>
  <c r="N1105" i="5"/>
  <c r="L1105" i="5"/>
  <c r="H1105" i="5"/>
  <c r="F1105" i="5"/>
  <c r="C1105" i="5"/>
  <c r="B1105" i="5"/>
  <c r="M1105" i="5" s="1"/>
  <c r="Q1104" i="5"/>
  <c r="O1104" i="5"/>
  <c r="M1104" i="5"/>
  <c r="L1104" i="5"/>
  <c r="I1104" i="5"/>
  <c r="G1104" i="5"/>
  <c r="E1104" i="5"/>
  <c r="C1104" i="5"/>
  <c r="B1104" i="5"/>
  <c r="N1104" i="5" s="1"/>
  <c r="R1103" i="5"/>
  <c r="Q1103" i="5"/>
  <c r="P1103" i="5"/>
  <c r="N1103" i="5"/>
  <c r="M1103" i="5"/>
  <c r="L1103" i="5"/>
  <c r="J1103" i="5"/>
  <c r="I1103" i="5"/>
  <c r="H1103" i="5"/>
  <c r="F1103" i="5"/>
  <c r="E1103" i="5"/>
  <c r="C1103" i="5"/>
  <c r="B1103" i="5"/>
  <c r="O1103" i="5" s="1"/>
  <c r="Q1102" i="5"/>
  <c r="I1102" i="5"/>
  <c r="B1102" i="5"/>
  <c r="P1102" i="5" s="1"/>
  <c r="R1101" i="5"/>
  <c r="P1101" i="5"/>
  <c r="O1101" i="5"/>
  <c r="L1101" i="5"/>
  <c r="J1101" i="5"/>
  <c r="H1101" i="5"/>
  <c r="G1101" i="5"/>
  <c r="C1101" i="5"/>
  <c r="B1101" i="5"/>
  <c r="Q1101" i="5" s="1"/>
  <c r="B1100" i="5"/>
  <c r="R1099" i="5"/>
  <c r="Q1099" i="5"/>
  <c r="P1099" i="5"/>
  <c r="N1099" i="5"/>
  <c r="M1099" i="5"/>
  <c r="L1099" i="5"/>
  <c r="J1099" i="5"/>
  <c r="I1099" i="5"/>
  <c r="H1099" i="5"/>
  <c r="F1099" i="5"/>
  <c r="E1099" i="5"/>
  <c r="C1099" i="5"/>
  <c r="B1099" i="5"/>
  <c r="K1099" i="5" s="1"/>
  <c r="M1098" i="5"/>
  <c r="E1098" i="5"/>
  <c r="B1098" i="5"/>
  <c r="L1098" i="5" s="1"/>
  <c r="P1097" i="5"/>
  <c r="N1097" i="5"/>
  <c r="L1097" i="5"/>
  <c r="H1097" i="5"/>
  <c r="F1097" i="5"/>
  <c r="C1097" i="5"/>
  <c r="B1097" i="5"/>
  <c r="M1097" i="5" s="1"/>
  <c r="Q1096" i="5"/>
  <c r="O1096" i="5"/>
  <c r="M1096" i="5"/>
  <c r="L1096" i="5"/>
  <c r="I1096" i="5"/>
  <c r="G1096" i="5"/>
  <c r="E1096" i="5"/>
  <c r="C1096" i="5"/>
  <c r="B1096" i="5"/>
  <c r="N1096" i="5" s="1"/>
  <c r="R1095" i="5"/>
  <c r="Q1095" i="5"/>
  <c r="P1095" i="5"/>
  <c r="N1095" i="5"/>
  <c r="M1095" i="5"/>
  <c r="L1095" i="5"/>
  <c r="J1095" i="5"/>
  <c r="I1095" i="5"/>
  <c r="H1095" i="5"/>
  <c r="F1095" i="5"/>
  <c r="E1095" i="5"/>
  <c r="C1095" i="5"/>
  <c r="B1095" i="5"/>
  <c r="O1095" i="5" s="1"/>
  <c r="Q1094" i="5"/>
  <c r="I1094" i="5"/>
  <c r="B1094" i="5"/>
  <c r="P1094" i="5" s="1"/>
  <c r="R1093" i="5"/>
  <c r="P1093" i="5"/>
  <c r="O1093" i="5"/>
  <c r="L1093" i="5"/>
  <c r="J1093" i="5"/>
  <c r="H1093" i="5"/>
  <c r="G1093" i="5"/>
  <c r="C1093" i="5"/>
  <c r="B1093" i="5"/>
  <c r="Q1093" i="5" s="1"/>
  <c r="B1092" i="5"/>
  <c r="R1091" i="5"/>
  <c r="Q1091" i="5"/>
  <c r="P1091" i="5"/>
  <c r="N1091" i="5"/>
  <c r="M1091" i="5"/>
  <c r="L1091" i="5"/>
  <c r="J1091" i="5"/>
  <c r="I1091" i="5"/>
  <c r="H1091" i="5"/>
  <c r="F1091" i="5"/>
  <c r="E1091" i="5"/>
  <c r="C1091" i="5"/>
  <c r="B1091" i="5"/>
  <c r="K1091" i="5" s="1"/>
  <c r="M1090" i="5"/>
  <c r="E1090" i="5"/>
  <c r="B1090" i="5"/>
  <c r="L1090" i="5" s="1"/>
  <c r="P1089" i="5"/>
  <c r="N1089" i="5"/>
  <c r="L1089" i="5"/>
  <c r="H1089" i="5"/>
  <c r="F1089" i="5"/>
  <c r="C1089" i="5"/>
  <c r="B1089" i="5"/>
  <c r="M1089" i="5" s="1"/>
  <c r="Q1088" i="5"/>
  <c r="O1088" i="5"/>
  <c r="M1088" i="5"/>
  <c r="L1088" i="5"/>
  <c r="I1088" i="5"/>
  <c r="G1088" i="5"/>
  <c r="E1088" i="5"/>
  <c r="C1088" i="5"/>
  <c r="B1088" i="5"/>
  <c r="N1088" i="5" s="1"/>
  <c r="R1087" i="5"/>
  <c r="Q1087" i="5"/>
  <c r="P1087" i="5"/>
  <c r="N1087" i="5"/>
  <c r="M1087" i="5"/>
  <c r="L1087" i="5"/>
  <c r="J1087" i="5"/>
  <c r="I1087" i="5"/>
  <c r="H1087" i="5"/>
  <c r="F1087" i="5"/>
  <c r="E1087" i="5"/>
  <c r="C1087" i="5"/>
  <c r="B1087" i="5"/>
  <c r="O1087" i="5" s="1"/>
  <c r="Q1086" i="5"/>
  <c r="O1086" i="5"/>
  <c r="I1086" i="5"/>
  <c r="G1086" i="5"/>
  <c r="B1086" i="5"/>
  <c r="P1086" i="5" s="1"/>
  <c r="R1085" i="5"/>
  <c r="P1085" i="5"/>
  <c r="O1085" i="5"/>
  <c r="L1085" i="5"/>
  <c r="J1085" i="5"/>
  <c r="H1085" i="5"/>
  <c r="G1085" i="5"/>
  <c r="C1085" i="5"/>
  <c r="B1085" i="5"/>
  <c r="Q1085" i="5" s="1"/>
  <c r="M1084" i="5"/>
  <c r="I1084" i="5"/>
  <c r="E1084" i="5"/>
  <c r="B1084" i="5"/>
  <c r="Q1084" i="5" s="1"/>
  <c r="R1083" i="5"/>
  <c r="Q1083" i="5"/>
  <c r="P1083" i="5"/>
  <c r="N1083" i="5"/>
  <c r="M1083" i="5"/>
  <c r="L1083" i="5"/>
  <c r="J1083" i="5"/>
  <c r="I1083" i="5"/>
  <c r="H1083" i="5"/>
  <c r="F1083" i="5"/>
  <c r="E1083" i="5"/>
  <c r="C1083" i="5"/>
  <c r="B1083" i="5"/>
  <c r="K1083" i="5" s="1"/>
  <c r="O1082" i="5"/>
  <c r="B1082" i="5"/>
  <c r="P1081" i="5"/>
  <c r="N1081" i="5"/>
  <c r="L1081" i="5"/>
  <c r="H1081" i="5"/>
  <c r="F1081" i="5"/>
  <c r="C1081" i="5"/>
  <c r="B1081" i="5"/>
  <c r="M1081" i="5" s="1"/>
  <c r="Q1080" i="5"/>
  <c r="O1080" i="5"/>
  <c r="M1080" i="5"/>
  <c r="L1080" i="5"/>
  <c r="I1080" i="5"/>
  <c r="G1080" i="5"/>
  <c r="E1080" i="5"/>
  <c r="C1080" i="5"/>
  <c r="B1080" i="5"/>
  <c r="N1080" i="5" s="1"/>
  <c r="R1079" i="5"/>
  <c r="Q1079" i="5"/>
  <c r="P1079" i="5"/>
  <c r="N1079" i="5"/>
  <c r="M1079" i="5"/>
  <c r="L1079" i="5"/>
  <c r="J1079" i="5"/>
  <c r="I1079" i="5"/>
  <c r="H1079" i="5"/>
  <c r="F1079" i="5"/>
  <c r="E1079" i="5"/>
  <c r="C1079" i="5"/>
  <c r="B1079" i="5"/>
  <c r="O1079" i="5" s="1"/>
  <c r="O1078" i="5"/>
  <c r="I1078" i="5"/>
  <c r="G1078" i="5"/>
  <c r="B1078" i="5"/>
  <c r="Q1078" i="5" s="1"/>
  <c r="R1077" i="5"/>
  <c r="P1077" i="5"/>
  <c r="O1077" i="5"/>
  <c r="L1077" i="5"/>
  <c r="J1077" i="5"/>
  <c r="H1077" i="5"/>
  <c r="G1077" i="5"/>
  <c r="C1077" i="5"/>
  <c r="B1077" i="5"/>
  <c r="Q1077" i="5" s="1"/>
  <c r="M1076" i="5"/>
  <c r="I1076" i="5"/>
  <c r="E1076" i="5"/>
  <c r="B1076" i="5"/>
  <c r="Q1076" i="5" s="1"/>
  <c r="R1075" i="5"/>
  <c r="Q1075" i="5"/>
  <c r="P1075" i="5"/>
  <c r="N1075" i="5"/>
  <c r="M1075" i="5"/>
  <c r="L1075" i="5"/>
  <c r="J1075" i="5"/>
  <c r="I1075" i="5"/>
  <c r="H1075" i="5"/>
  <c r="F1075" i="5"/>
  <c r="E1075" i="5"/>
  <c r="C1075" i="5"/>
  <c r="B1075" i="5"/>
  <c r="K1075" i="5" s="1"/>
  <c r="R1074" i="5"/>
  <c r="K1074" i="5"/>
  <c r="G1074" i="5"/>
  <c r="B1074" i="5"/>
  <c r="B1073" i="5"/>
  <c r="Q1072" i="5"/>
  <c r="O1072" i="5"/>
  <c r="M1072" i="5"/>
  <c r="L1072" i="5"/>
  <c r="I1072" i="5"/>
  <c r="G1072" i="5"/>
  <c r="E1072" i="5"/>
  <c r="C1072" i="5"/>
  <c r="B1072" i="5"/>
  <c r="N1072" i="5" s="1"/>
  <c r="R1071" i="5"/>
  <c r="Q1071" i="5"/>
  <c r="P1071" i="5"/>
  <c r="N1071" i="5"/>
  <c r="M1071" i="5"/>
  <c r="L1071" i="5"/>
  <c r="J1071" i="5"/>
  <c r="I1071" i="5"/>
  <c r="H1071" i="5"/>
  <c r="F1071" i="5"/>
  <c r="E1071" i="5"/>
  <c r="C1071" i="5"/>
  <c r="B1071" i="5"/>
  <c r="O1071" i="5" s="1"/>
  <c r="Q1070" i="5"/>
  <c r="K1070" i="5"/>
  <c r="B1070" i="5"/>
  <c r="R1069" i="5"/>
  <c r="P1069" i="5"/>
  <c r="O1069" i="5"/>
  <c r="L1069" i="5"/>
  <c r="J1069" i="5"/>
  <c r="H1069" i="5"/>
  <c r="G1069" i="5"/>
  <c r="C1069" i="5"/>
  <c r="B1069" i="5"/>
  <c r="Q1069" i="5" s="1"/>
  <c r="P1068" i="5"/>
  <c r="K1068" i="5"/>
  <c r="H1068" i="5"/>
  <c r="E1068" i="5"/>
  <c r="B1068" i="5"/>
  <c r="Q1068" i="5" s="1"/>
  <c r="R1067" i="5"/>
  <c r="Q1067" i="5"/>
  <c r="P1067" i="5"/>
  <c r="N1067" i="5"/>
  <c r="M1067" i="5"/>
  <c r="L1067" i="5"/>
  <c r="J1067" i="5"/>
  <c r="I1067" i="5"/>
  <c r="H1067" i="5"/>
  <c r="F1067" i="5"/>
  <c r="E1067" i="5"/>
  <c r="C1067" i="5"/>
  <c r="B1067" i="5"/>
  <c r="K1067" i="5" s="1"/>
  <c r="R1066" i="5"/>
  <c r="B1066" i="5"/>
  <c r="B1065" i="5"/>
  <c r="M1064" i="5"/>
  <c r="I1064" i="5"/>
  <c r="E1064" i="5"/>
  <c r="C1064" i="5"/>
  <c r="B1064" i="5"/>
  <c r="O1064" i="5" s="1"/>
  <c r="R1063" i="5"/>
  <c r="Q1063" i="5"/>
  <c r="P1063" i="5"/>
  <c r="N1063" i="5"/>
  <c r="M1063" i="5"/>
  <c r="L1063" i="5"/>
  <c r="J1063" i="5"/>
  <c r="I1063" i="5"/>
  <c r="H1063" i="5"/>
  <c r="F1063" i="5"/>
  <c r="E1063" i="5"/>
  <c r="C1063" i="5"/>
  <c r="B1063" i="5"/>
  <c r="O1063" i="5" s="1"/>
  <c r="R1062" i="5"/>
  <c r="I1062" i="5"/>
  <c r="G1062" i="5"/>
  <c r="B1062" i="5"/>
  <c r="M1062" i="5" s="1"/>
  <c r="B1061" i="5"/>
  <c r="P1060" i="5"/>
  <c r="K1060" i="5"/>
  <c r="I1060" i="5"/>
  <c r="E1060" i="5"/>
  <c r="B1060" i="5"/>
  <c r="L1060" i="5" s="1"/>
  <c r="R1059" i="5"/>
  <c r="Q1059" i="5"/>
  <c r="P1059" i="5"/>
  <c r="N1059" i="5"/>
  <c r="M1059" i="5"/>
  <c r="L1059" i="5"/>
  <c r="J1059" i="5"/>
  <c r="I1059" i="5"/>
  <c r="H1059" i="5"/>
  <c r="F1059" i="5"/>
  <c r="E1059" i="5"/>
  <c r="C1059" i="5"/>
  <c r="B1059" i="5"/>
  <c r="K1059" i="5" s="1"/>
  <c r="M1058" i="5"/>
  <c r="B1058" i="5"/>
  <c r="R1057" i="5"/>
  <c r="O1057" i="5"/>
  <c r="L1057" i="5"/>
  <c r="J1057" i="5"/>
  <c r="H1057" i="5"/>
  <c r="G1057" i="5"/>
  <c r="C1057" i="5"/>
  <c r="B1057" i="5"/>
  <c r="K1057" i="5" s="1"/>
  <c r="P1056" i="5"/>
  <c r="O1056" i="5"/>
  <c r="K1056" i="5"/>
  <c r="H1056" i="5"/>
  <c r="E1056" i="5"/>
  <c r="C1056" i="5"/>
  <c r="B1056" i="5"/>
  <c r="L1056" i="5" s="1"/>
  <c r="R1055" i="5"/>
  <c r="Q1055" i="5"/>
  <c r="P1055" i="5"/>
  <c r="N1055" i="5"/>
  <c r="M1055" i="5"/>
  <c r="L1055" i="5"/>
  <c r="J1055" i="5"/>
  <c r="I1055" i="5"/>
  <c r="H1055" i="5"/>
  <c r="F1055" i="5"/>
  <c r="E1055" i="5"/>
  <c r="C1055" i="5"/>
  <c r="B1055" i="5"/>
  <c r="O1055" i="5" s="1"/>
  <c r="R1054" i="5"/>
  <c r="I1054" i="5"/>
  <c r="G1054" i="5"/>
  <c r="B1054" i="5"/>
  <c r="M1054" i="5" s="1"/>
  <c r="B1053" i="5"/>
  <c r="P1052" i="5"/>
  <c r="K1052" i="5"/>
  <c r="I1052" i="5"/>
  <c r="E1052" i="5"/>
  <c r="B1052" i="5"/>
  <c r="L1052" i="5" s="1"/>
  <c r="R1051" i="5"/>
  <c r="Q1051" i="5"/>
  <c r="P1051" i="5"/>
  <c r="N1051" i="5"/>
  <c r="M1051" i="5"/>
  <c r="L1051" i="5"/>
  <c r="J1051" i="5"/>
  <c r="I1051" i="5"/>
  <c r="H1051" i="5"/>
  <c r="F1051" i="5"/>
  <c r="E1051" i="5"/>
  <c r="C1051" i="5"/>
  <c r="B1051" i="5"/>
  <c r="K1051" i="5" s="1"/>
  <c r="M1050" i="5"/>
  <c r="B1050" i="5"/>
  <c r="R1049" i="5"/>
  <c r="O1049" i="5"/>
  <c r="L1049" i="5"/>
  <c r="J1049" i="5"/>
  <c r="H1049" i="5"/>
  <c r="G1049" i="5"/>
  <c r="C1049" i="5"/>
  <c r="B1049" i="5"/>
  <c r="K1049" i="5" s="1"/>
  <c r="P1048" i="5"/>
  <c r="O1048" i="5"/>
  <c r="K1048" i="5"/>
  <c r="H1048" i="5"/>
  <c r="E1048" i="5"/>
  <c r="C1048" i="5"/>
  <c r="B1048" i="5"/>
  <c r="L1048" i="5" s="1"/>
  <c r="R1047" i="5"/>
  <c r="Q1047" i="5"/>
  <c r="P1047" i="5"/>
  <c r="N1047" i="5"/>
  <c r="M1047" i="5"/>
  <c r="L1047" i="5"/>
  <c r="J1047" i="5"/>
  <c r="I1047" i="5"/>
  <c r="H1047" i="5"/>
  <c r="F1047" i="5"/>
  <c r="E1047" i="5"/>
  <c r="C1047" i="5"/>
  <c r="B1047" i="5"/>
  <c r="O1047" i="5" s="1"/>
  <c r="R1046" i="5"/>
  <c r="G1046" i="5"/>
  <c r="B1046" i="5"/>
  <c r="M1046" i="5" s="1"/>
  <c r="N1045" i="5"/>
  <c r="B1045" i="5"/>
  <c r="P1044" i="5"/>
  <c r="K1044" i="5"/>
  <c r="I1044" i="5"/>
  <c r="E1044" i="5"/>
  <c r="B1044" i="5"/>
  <c r="L1044" i="5" s="1"/>
  <c r="R1043" i="5"/>
  <c r="Q1043" i="5"/>
  <c r="P1043" i="5"/>
  <c r="N1043" i="5"/>
  <c r="M1043" i="5"/>
  <c r="L1043" i="5"/>
  <c r="J1043" i="5"/>
  <c r="I1043" i="5"/>
  <c r="H1043" i="5"/>
  <c r="F1043" i="5"/>
  <c r="E1043" i="5"/>
  <c r="C1043" i="5"/>
  <c r="B1043" i="5"/>
  <c r="K1043" i="5" s="1"/>
  <c r="M1042" i="5"/>
  <c r="B1042" i="5"/>
  <c r="R1041" i="5"/>
  <c r="O1041" i="5"/>
  <c r="L1041" i="5"/>
  <c r="J1041" i="5"/>
  <c r="H1041" i="5"/>
  <c r="G1041" i="5"/>
  <c r="C1041" i="5"/>
  <c r="B1041" i="5"/>
  <c r="K1041" i="5" s="1"/>
  <c r="P1040" i="5"/>
  <c r="O1040" i="5"/>
  <c r="K1040" i="5"/>
  <c r="H1040" i="5"/>
  <c r="E1040" i="5"/>
  <c r="C1040" i="5"/>
  <c r="B1040" i="5"/>
  <c r="L1040" i="5" s="1"/>
  <c r="R1039" i="5"/>
  <c r="Q1039" i="5"/>
  <c r="P1039" i="5"/>
  <c r="N1039" i="5"/>
  <c r="M1039" i="5"/>
  <c r="L1039" i="5"/>
  <c r="J1039" i="5"/>
  <c r="I1039" i="5"/>
  <c r="H1039" i="5"/>
  <c r="F1039" i="5"/>
  <c r="E1039" i="5"/>
  <c r="C1039" i="5"/>
  <c r="B1039" i="5"/>
  <c r="O1039" i="5" s="1"/>
  <c r="R1038" i="5"/>
  <c r="G1038" i="5"/>
  <c r="B1038" i="5"/>
  <c r="M1038" i="5" s="1"/>
  <c r="N1037" i="5"/>
  <c r="B1037" i="5"/>
  <c r="P1036" i="5"/>
  <c r="K1036" i="5"/>
  <c r="I1036" i="5"/>
  <c r="E1036" i="5"/>
  <c r="B1036" i="5"/>
  <c r="L1036" i="5" s="1"/>
  <c r="R1035" i="5"/>
  <c r="Q1035" i="5"/>
  <c r="P1035" i="5"/>
  <c r="N1035" i="5"/>
  <c r="M1035" i="5"/>
  <c r="L1035" i="5"/>
  <c r="J1035" i="5"/>
  <c r="I1035" i="5"/>
  <c r="H1035" i="5"/>
  <c r="F1035" i="5"/>
  <c r="E1035" i="5"/>
  <c r="C1035" i="5"/>
  <c r="B1035" i="5"/>
  <c r="K1035" i="5" s="1"/>
  <c r="M1034" i="5"/>
  <c r="B1034" i="5"/>
  <c r="R1033" i="5"/>
  <c r="O1033" i="5"/>
  <c r="L1033" i="5"/>
  <c r="J1033" i="5"/>
  <c r="H1033" i="5"/>
  <c r="G1033" i="5"/>
  <c r="C1033" i="5"/>
  <c r="B1033" i="5"/>
  <c r="K1033" i="5" s="1"/>
  <c r="P1032" i="5"/>
  <c r="O1032" i="5"/>
  <c r="K1032" i="5"/>
  <c r="H1032" i="5"/>
  <c r="E1032" i="5"/>
  <c r="C1032" i="5"/>
  <c r="B1032" i="5"/>
  <c r="L1032" i="5" s="1"/>
  <c r="R1031" i="5"/>
  <c r="Q1031" i="5"/>
  <c r="P1031" i="5"/>
  <c r="N1031" i="5"/>
  <c r="M1031" i="5"/>
  <c r="L1031" i="5"/>
  <c r="J1031" i="5"/>
  <c r="I1031" i="5"/>
  <c r="H1031" i="5"/>
  <c r="F1031" i="5"/>
  <c r="E1031" i="5"/>
  <c r="C1031" i="5"/>
  <c r="B1031" i="5"/>
  <c r="O1031" i="5" s="1"/>
  <c r="R1030" i="5"/>
  <c r="G1030" i="5"/>
  <c r="B1030" i="5"/>
  <c r="M1030" i="5" s="1"/>
  <c r="B1029" i="5"/>
  <c r="P1028" i="5"/>
  <c r="K1028" i="5"/>
  <c r="I1028" i="5"/>
  <c r="E1028" i="5"/>
  <c r="B1028" i="5"/>
  <c r="L1028" i="5" s="1"/>
  <c r="R1027" i="5"/>
  <c r="Q1027" i="5"/>
  <c r="P1027" i="5"/>
  <c r="N1027" i="5"/>
  <c r="M1027" i="5"/>
  <c r="L1027" i="5"/>
  <c r="J1027" i="5"/>
  <c r="I1027" i="5"/>
  <c r="H1027" i="5"/>
  <c r="F1027" i="5"/>
  <c r="E1027" i="5"/>
  <c r="C1027" i="5"/>
  <c r="B1027" i="5"/>
  <c r="K1027" i="5" s="1"/>
  <c r="M1026" i="5"/>
  <c r="B1026" i="5"/>
  <c r="R1025" i="5"/>
  <c r="O1025" i="5"/>
  <c r="L1025" i="5"/>
  <c r="J1025" i="5"/>
  <c r="H1025" i="5"/>
  <c r="G1025" i="5"/>
  <c r="C1025" i="5"/>
  <c r="B1025" i="5"/>
  <c r="K1025" i="5" s="1"/>
  <c r="P1024" i="5"/>
  <c r="O1024" i="5"/>
  <c r="K1024" i="5"/>
  <c r="H1024" i="5"/>
  <c r="E1024" i="5"/>
  <c r="C1024" i="5"/>
  <c r="B1024" i="5"/>
  <c r="L1024" i="5" s="1"/>
  <c r="R1023" i="5"/>
  <c r="Q1023" i="5"/>
  <c r="P1023" i="5"/>
  <c r="N1023" i="5"/>
  <c r="M1023" i="5"/>
  <c r="L1023" i="5"/>
  <c r="J1023" i="5"/>
  <c r="I1023" i="5"/>
  <c r="H1023" i="5"/>
  <c r="F1023" i="5"/>
  <c r="E1023" i="5"/>
  <c r="C1023" i="5"/>
  <c r="B1023" i="5"/>
  <c r="O1023" i="5" s="1"/>
  <c r="R1022" i="5"/>
  <c r="N1022" i="5"/>
  <c r="J1022" i="5"/>
  <c r="I1022" i="5"/>
  <c r="E1022" i="5"/>
  <c r="B1022" i="5"/>
  <c r="K1022" i="5" s="1"/>
  <c r="R1021" i="5"/>
  <c r="Q1021" i="5"/>
  <c r="P1021" i="5"/>
  <c r="O1021" i="5"/>
  <c r="N1021" i="5"/>
  <c r="M1021" i="5"/>
  <c r="L1021" i="5"/>
  <c r="J1021" i="5"/>
  <c r="I1021" i="5"/>
  <c r="A1021" i="5" s="1"/>
  <c r="H1021" i="5"/>
  <c r="G1021" i="5"/>
  <c r="F1021" i="5"/>
  <c r="E1021" i="5"/>
  <c r="C1021" i="5"/>
  <c r="B1021" i="5"/>
  <c r="K1021" i="5" s="1"/>
  <c r="R1020" i="5"/>
  <c r="J1020" i="5"/>
  <c r="B1020" i="5"/>
  <c r="Q1020" i="5" s="1"/>
  <c r="K1019" i="5"/>
  <c r="B1019" i="5"/>
  <c r="Q1018" i="5"/>
  <c r="O1018" i="5"/>
  <c r="M1018" i="5"/>
  <c r="L1018" i="5"/>
  <c r="I1018" i="5"/>
  <c r="G1018" i="5"/>
  <c r="E1018" i="5"/>
  <c r="C1018" i="5"/>
  <c r="B1018" i="5"/>
  <c r="K1018" i="5" s="1"/>
  <c r="R1017" i="5"/>
  <c r="Q1017" i="5"/>
  <c r="P1017" i="5"/>
  <c r="N1017" i="5"/>
  <c r="M1017" i="5"/>
  <c r="L1017" i="5"/>
  <c r="J1017" i="5"/>
  <c r="I1017" i="5"/>
  <c r="H1017" i="5"/>
  <c r="F1017" i="5"/>
  <c r="E1017" i="5"/>
  <c r="C1017" i="5"/>
  <c r="B1017" i="5"/>
  <c r="K1017" i="5" s="1"/>
  <c r="O1016" i="5"/>
  <c r="N1016" i="5"/>
  <c r="G1016" i="5"/>
  <c r="F1016" i="5"/>
  <c r="B1016" i="5"/>
  <c r="M1016" i="5" s="1"/>
  <c r="R1015" i="5"/>
  <c r="P1015" i="5"/>
  <c r="O1015" i="5"/>
  <c r="N1015" i="5"/>
  <c r="L1015" i="5"/>
  <c r="J1015" i="5"/>
  <c r="H1015" i="5"/>
  <c r="G1015" i="5"/>
  <c r="F1015" i="5"/>
  <c r="C1015" i="5"/>
  <c r="B1015" i="5"/>
  <c r="M1015" i="5" s="1"/>
  <c r="Q1014" i="5"/>
  <c r="P1014" i="5"/>
  <c r="M1014" i="5"/>
  <c r="I1014" i="5"/>
  <c r="H1014" i="5"/>
  <c r="E1014" i="5"/>
  <c r="B1014" i="5"/>
  <c r="O1014" i="5" s="1"/>
  <c r="R1013" i="5"/>
  <c r="Q1013" i="5"/>
  <c r="P1013" i="5"/>
  <c r="O1013" i="5"/>
  <c r="N1013" i="5"/>
  <c r="M1013" i="5"/>
  <c r="L1013" i="5"/>
  <c r="J1013" i="5"/>
  <c r="I1013" i="5"/>
  <c r="H1013" i="5"/>
  <c r="G1013" i="5"/>
  <c r="F1013" i="5"/>
  <c r="E1013" i="5"/>
  <c r="C1013" i="5"/>
  <c r="B1013" i="5"/>
  <c r="K1013" i="5" s="1"/>
  <c r="R1012" i="5"/>
  <c r="J1012" i="5"/>
  <c r="B1012" i="5"/>
  <c r="Q1012" i="5" s="1"/>
  <c r="B1011" i="5"/>
  <c r="Q1010" i="5"/>
  <c r="O1010" i="5"/>
  <c r="M1010" i="5"/>
  <c r="L1010" i="5"/>
  <c r="I1010" i="5"/>
  <c r="G1010" i="5"/>
  <c r="E1010" i="5"/>
  <c r="C1010" i="5"/>
  <c r="B1010" i="5"/>
  <c r="K1010" i="5" s="1"/>
  <c r="R1009" i="5"/>
  <c r="Q1009" i="5"/>
  <c r="P1009" i="5"/>
  <c r="N1009" i="5"/>
  <c r="M1009" i="5"/>
  <c r="L1009" i="5"/>
  <c r="J1009" i="5"/>
  <c r="I1009" i="5"/>
  <c r="H1009" i="5"/>
  <c r="F1009" i="5"/>
  <c r="E1009" i="5"/>
  <c r="C1009" i="5"/>
  <c r="B1009" i="5"/>
  <c r="K1009" i="5" s="1"/>
  <c r="O1008" i="5"/>
  <c r="N1008" i="5"/>
  <c r="G1008" i="5"/>
  <c r="F1008" i="5"/>
  <c r="B1008" i="5"/>
  <c r="M1008" i="5" s="1"/>
  <c r="R1007" i="5"/>
  <c r="P1007" i="5"/>
  <c r="O1007" i="5"/>
  <c r="N1007" i="5"/>
  <c r="L1007" i="5"/>
  <c r="J1007" i="5"/>
  <c r="H1007" i="5"/>
  <c r="G1007" i="5"/>
  <c r="F1007" i="5"/>
  <c r="C1007" i="5"/>
  <c r="B1007" i="5"/>
  <c r="M1007" i="5" s="1"/>
  <c r="Q1006" i="5"/>
  <c r="P1006" i="5"/>
  <c r="M1006" i="5"/>
  <c r="I1006" i="5"/>
  <c r="H1006" i="5"/>
  <c r="E1006" i="5"/>
  <c r="B1006" i="5"/>
  <c r="O1006" i="5" s="1"/>
  <c r="R1005" i="5"/>
  <c r="Q1005" i="5"/>
  <c r="P1005" i="5"/>
  <c r="O1005" i="5"/>
  <c r="N1005" i="5"/>
  <c r="M1005" i="5"/>
  <c r="L1005" i="5"/>
  <c r="J1005" i="5"/>
  <c r="I1005" i="5"/>
  <c r="H1005" i="5"/>
  <c r="G1005" i="5"/>
  <c r="F1005" i="5"/>
  <c r="E1005" i="5"/>
  <c r="C1005" i="5"/>
  <c r="B1005" i="5"/>
  <c r="K1005" i="5" s="1"/>
  <c r="R1004" i="5"/>
  <c r="J1004" i="5"/>
  <c r="B1004" i="5"/>
  <c r="Q1004" i="5" s="1"/>
  <c r="B1003" i="5"/>
  <c r="Q1002" i="5"/>
  <c r="O1002" i="5"/>
  <c r="M1002" i="5"/>
  <c r="L1002" i="5"/>
  <c r="I1002" i="5"/>
  <c r="G1002" i="5"/>
  <c r="E1002" i="5"/>
  <c r="C1002" i="5"/>
  <c r="B1002" i="5"/>
  <c r="K1002" i="5" s="1"/>
  <c r="R1001" i="5"/>
  <c r="Q1001" i="5"/>
  <c r="P1001" i="5"/>
  <c r="N1001" i="5"/>
  <c r="M1001" i="5"/>
  <c r="L1001" i="5"/>
  <c r="J1001" i="5"/>
  <c r="I1001" i="5"/>
  <c r="H1001" i="5"/>
  <c r="F1001" i="5"/>
  <c r="E1001" i="5"/>
  <c r="C1001" i="5"/>
  <c r="B1001" i="5"/>
  <c r="K1001" i="5" s="1"/>
  <c r="O1000" i="5"/>
  <c r="N1000" i="5"/>
  <c r="G1000" i="5"/>
  <c r="F1000" i="5"/>
  <c r="B1000" i="5"/>
  <c r="M1000" i="5" s="1"/>
  <c r="R999" i="5"/>
  <c r="P999" i="5"/>
  <c r="O999" i="5"/>
  <c r="N999" i="5"/>
  <c r="L999" i="5"/>
  <c r="J999" i="5"/>
  <c r="H999" i="5"/>
  <c r="G999" i="5"/>
  <c r="F999" i="5"/>
  <c r="C999" i="5"/>
  <c r="B999" i="5"/>
  <c r="M999" i="5" s="1"/>
  <c r="Q998" i="5"/>
  <c r="P998" i="5"/>
  <c r="M998" i="5"/>
  <c r="I998" i="5"/>
  <c r="H998" i="5"/>
  <c r="E998" i="5"/>
  <c r="B998" i="5"/>
  <c r="O998" i="5" s="1"/>
  <c r="R997" i="5"/>
  <c r="Q997" i="5"/>
  <c r="P997" i="5"/>
  <c r="O997" i="5"/>
  <c r="N997" i="5"/>
  <c r="M997" i="5"/>
  <c r="L997" i="5"/>
  <c r="J997" i="5"/>
  <c r="I997" i="5"/>
  <c r="A997" i="5" s="1"/>
  <c r="H997" i="5"/>
  <c r="G997" i="5"/>
  <c r="F997" i="5"/>
  <c r="E997" i="5"/>
  <c r="C997" i="5"/>
  <c r="B997" i="5"/>
  <c r="K997" i="5" s="1"/>
  <c r="R996" i="5"/>
  <c r="J996" i="5"/>
  <c r="B996" i="5"/>
  <c r="Q996" i="5" s="1"/>
  <c r="B995" i="5"/>
  <c r="Q994" i="5"/>
  <c r="O994" i="5"/>
  <c r="M994" i="5"/>
  <c r="L994" i="5"/>
  <c r="I994" i="5"/>
  <c r="G994" i="5"/>
  <c r="E994" i="5"/>
  <c r="C994" i="5"/>
  <c r="B994" i="5"/>
  <c r="K994" i="5" s="1"/>
  <c r="R993" i="5"/>
  <c r="Q993" i="5"/>
  <c r="P993" i="5"/>
  <c r="N993" i="5"/>
  <c r="M993" i="5"/>
  <c r="L993" i="5"/>
  <c r="J993" i="5"/>
  <c r="I993" i="5"/>
  <c r="H993" i="5"/>
  <c r="F993" i="5"/>
  <c r="E993" i="5"/>
  <c r="C993" i="5"/>
  <c r="B993" i="5"/>
  <c r="K993" i="5" s="1"/>
  <c r="N992" i="5"/>
  <c r="G992" i="5"/>
  <c r="F992" i="5"/>
  <c r="B992" i="5"/>
  <c r="M992" i="5" s="1"/>
  <c r="R991" i="5"/>
  <c r="P991" i="5"/>
  <c r="O991" i="5"/>
  <c r="N991" i="5"/>
  <c r="L991" i="5"/>
  <c r="J991" i="5"/>
  <c r="H991" i="5"/>
  <c r="G991" i="5"/>
  <c r="F991" i="5"/>
  <c r="C991" i="5"/>
  <c r="B991" i="5"/>
  <c r="M991" i="5" s="1"/>
  <c r="Q990" i="5"/>
  <c r="P990" i="5"/>
  <c r="M990" i="5"/>
  <c r="I990" i="5"/>
  <c r="H990" i="5"/>
  <c r="E990" i="5"/>
  <c r="B990" i="5"/>
  <c r="O990" i="5" s="1"/>
  <c r="R989" i="5"/>
  <c r="Q989" i="5"/>
  <c r="P989" i="5"/>
  <c r="O989" i="5"/>
  <c r="N989" i="5"/>
  <c r="M989" i="5"/>
  <c r="L989" i="5"/>
  <c r="J989" i="5"/>
  <c r="I989" i="5"/>
  <c r="H989" i="5"/>
  <c r="G989" i="5"/>
  <c r="F989" i="5"/>
  <c r="E989" i="5"/>
  <c r="C989" i="5"/>
  <c r="B989" i="5"/>
  <c r="K989" i="5" s="1"/>
  <c r="R988" i="5"/>
  <c r="J988" i="5"/>
  <c r="B988" i="5"/>
  <c r="Q988" i="5" s="1"/>
  <c r="K987" i="5"/>
  <c r="B987" i="5"/>
  <c r="Q986" i="5"/>
  <c r="O986" i="5"/>
  <c r="M986" i="5"/>
  <c r="L986" i="5"/>
  <c r="I986" i="5"/>
  <c r="G986" i="5"/>
  <c r="E986" i="5"/>
  <c r="C986" i="5"/>
  <c r="B986" i="5"/>
  <c r="K986" i="5" s="1"/>
  <c r="R985" i="5"/>
  <c r="Q985" i="5"/>
  <c r="P985" i="5"/>
  <c r="N985" i="5"/>
  <c r="M985" i="5"/>
  <c r="L985" i="5"/>
  <c r="J985" i="5"/>
  <c r="I985" i="5"/>
  <c r="H985" i="5"/>
  <c r="F985" i="5"/>
  <c r="E985" i="5"/>
  <c r="C985" i="5"/>
  <c r="B985" i="5"/>
  <c r="K985" i="5" s="1"/>
  <c r="N984" i="5"/>
  <c r="F984" i="5"/>
  <c r="B984" i="5"/>
  <c r="M984" i="5" s="1"/>
  <c r="R983" i="5"/>
  <c r="P983" i="5"/>
  <c r="O983" i="5"/>
  <c r="N983" i="5"/>
  <c r="L983" i="5"/>
  <c r="J983" i="5"/>
  <c r="H983" i="5"/>
  <c r="G983" i="5"/>
  <c r="F983" i="5"/>
  <c r="C983" i="5"/>
  <c r="B983" i="5"/>
  <c r="M983" i="5" s="1"/>
  <c r="Q982" i="5"/>
  <c r="P982" i="5"/>
  <c r="M982" i="5"/>
  <c r="I982" i="5"/>
  <c r="H982" i="5"/>
  <c r="E982" i="5"/>
  <c r="B982" i="5"/>
  <c r="O982" i="5" s="1"/>
  <c r="R981" i="5"/>
  <c r="Q981" i="5"/>
  <c r="P981" i="5"/>
  <c r="O981" i="5"/>
  <c r="N981" i="5"/>
  <c r="M981" i="5"/>
  <c r="L981" i="5"/>
  <c r="J981" i="5"/>
  <c r="I981" i="5"/>
  <c r="H981" i="5"/>
  <c r="G981" i="5"/>
  <c r="F981" i="5"/>
  <c r="E981" i="5"/>
  <c r="C981" i="5"/>
  <c r="B981" i="5"/>
  <c r="K981" i="5" s="1"/>
  <c r="R980" i="5"/>
  <c r="J980" i="5"/>
  <c r="B980" i="5"/>
  <c r="Q980" i="5" s="1"/>
  <c r="K979" i="5"/>
  <c r="B979" i="5"/>
  <c r="Q978" i="5"/>
  <c r="O978" i="5"/>
  <c r="M978" i="5"/>
  <c r="L978" i="5"/>
  <c r="I978" i="5"/>
  <c r="G978" i="5"/>
  <c r="E978" i="5"/>
  <c r="C978" i="5"/>
  <c r="B978" i="5"/>
  <c r="K978" i="5" s="1"/>
  <c r="R977" i="5"/>
  <c r="Q977" i="5"/>
  <c r="P977" i="5"/>
  <c r="N977" i="5"/>
  <c r="M977" i="5"/>
  <c r="L977" i="5"/>
  <c r="J977" i="5"/>
  <c r="I977" i="5"/>
  <c r="H977" i="5"/>
  <c r="F977" i="5"/>
  <c r="E977" i="5"/>
  <c r="C977" i="5"/>
  <c r="B977" i="5"/>
  <c r="K977" i="5" s="1"/>
  <c r="N976" i="5"/>
  <c r="F976" i="5"/>
  <c r="B976" i="5"/>
  <c r="M976" i="5" s="1"/>
  <c r="R975" i="5"/>
  <c r="P975" i="5"/>
  <c r="O975" i="5"/>
  <c r="N975" i="5"/>
  <c r="L975" i="5"/>
  <c r="J975" i="5"/>
  <c r="H975" i="5"/>
  <c r="G975" i="5"/>
  <c r="F975" i="5"/>
  <c r="C975" i="5"/>
  <c r="B975" i="5"/>
  <c r="M975" i="5" s="1"/>
  <c r="Q974" i="5"/>
  <c r="P974" i="5"/>
  <c r="M974" i="5"/>
  <c r="I974" i="5"/>
  <c r="H974" i="5"/>
  <c r="E974" i="5"/>
  <c r="B974" i="5"/>
  <c r="O974" i="5" s="1"/>
  <c r="R973" i="5"/>
  <c r="Q973" i="5"/>
  <c r="P973" i="5"/>
  <c r="O973" i="5"/>
  <c r="N973" i="5"/>
  <c r="M973" i="5"/>
  <c r="L973" i="5"/>
  <c r="J973" i="5"/>
  <c r="I973" i="5"/>
  <c r="H973" i="5"/>
  <c r="G973" i="5"/>
  <c r="F973" i="5"/>
  <c r="E973" i="5"/>
  <c r="C973" i="5"/>
  <c r="B973" i="5"/>
  <c r="K973" i="5" s="1"/>
  <c r="R972" i="5"/>
  <c r="J972" i="5"/>
  <c r="B972" i="5"/>
  <c r="Q972" i="5" s="1"/>
  <c r="B971" i="5"/>
  <c r="Q970" i="5"/>
  <c r="O970" i="5"/>
  <c r="M970" i="5"/>
  <c r="L970" i="5"/>
  <c r="I970" i="5"/>
  <c r="G970" i="5"/>
  <c r="E970" i="5"/>
  <c r="C970" i="5"/>
  <c r="B970" i="5"/>
  <c r="K970" i="5" s="1"/>
  <c r="R969" i="5"/>
  <c r="Q969" i="5"/>
  <c r="P969" i="5"/>
  <c r="N969" i="5"/>
  <c r="M969" i="5"/>
  <c r="L969" i="5"/>
  <c r="J969" i="5"/>
  <c r="I969" i="5"/>
  <c r="H969" i="5"/>
  <c r="F969" i="5"/>
  <c r="E969" i="5"/>
  <c r="C969" i="5"/>
  <c r="B969" i="5"/>
  <c r="K969" i="5" s="1"/>
  <c r="N968" i="5"/>
  <c r="F968" i="5"/>
  <c r="B968" i="5"/>
  <c r="M968" i="5" s="1"/>
  <c r="R967" i="5"/>
  <c r="P967" i="5"/>
  <c r="O967" i="5"/>
  <c r="N967" i="5"/>
  <c r="L967" i="5"/>
  <c r="J967" i="5"/>
  <c r="H967" i="5"/>
  <c r="G967" i="5"/>
  <c r="F967" i="5"/>
  <c r="C967" i="5"/>
  <c r="B967" i="5"/>
  <c r="M967" i="5" s="1"/>
  <c r="Q966" i="5"/>
  <c r="P966" i="5"/>
  <c r="M966" i="5"/>
  <c r="I966" i="5"/>
  <c r="H966" i="5"/>
  <c r="E966" i="5"/>
  <c r="B966" i="5"/>
  <c r="O966" i="5" s="1"/>
  <c r="R965" i="5"/>
  <c r="Q965" i="5"/>
  <c r="P965" i="5"/>
  <c r="O965" i="5"/>
  <c r="N965" i="5"/>
  <c r="M965" i="5"/>
  <c r="L965" i="5"/>
  <c r="J965" i="5"/>
  <c r="I965" i="5"/>
  <c r="H965" i="5"/>
  <c r="G965" i="5"/>
  <c r="F965" i="5"/>
  <c r="E965" i="5"/>
  <c r="C965" i="5"/>
  <c r="B965" i="5"/>
  <c r="K965" i="5" s="1"/>
  <c r="R964" i="5"/>
  <c r="J964" i="5"/>
  <c r="B964" i="5"/>
  <c r="Q964" i="5" s="1"/>
  <c r="B963" i="5"/>
  <c r="Q962" i="5"/>
  <c r="O962" i="5"/>
  <c r="M962" i="5"/>
  <c r="L962" i="5"/>
  <c r="I962" i="5"/>
  <c r="G962" i="5"/>
  <c r="E962" i="5"/>
  <c r="C962" i="5"/>
  <c r="B962" i="5"/>
  <c r="K962" i="5" s="1"/>
  <c r="R961" i="5"/>
  <c r="Q961" i="5"/>
  <c r="P961" i="5"/>
  <c r="N961" i="5"/>
  <c r="M961" i="5"/>
  <c r="L961" i="5"/>
  <c r="J961" i="5"/>
  <c r="I961" i="5"/>
  <c r="H961" i="5"/>
  <c r="F961" i="5"/>
  <c r="E961" i="5"/>
  <c r="C961" i="5"/>
  <c r="B961" i="5"/>
  <c r="K961" i="5" s="1"/>
  <c r="N960" i="5"/>
  <c r="F960" i="5"/>
  <c r="B960" i="5"/>
  <c r="M960" i="5" s="1"/>
  <c r="R959" i="5"/>
  <c r="P959" i="5"/>
  <c r="O959" i="5"/>
  <c r="N959" i="5"/>
  <c r="L959" i="5"/>
  <c r="J959" i="5"/>
  <c r="H959" i="5"/>
  <c r="G959" i="5"/>
  <c r="F959" i="5"/>
  <c r="C959" i="5"/>
  <c r="B959" i="5"/>
  <c r="M959" i="5" s="1"/>
  <c r="Q958" i="5"/>
  <c r="P958" i="5"/>
  <c r="M958" i="5"/>
  <c r="I958" i="5"/>
  <c r="H958" i="5"/>
  <c r="E958" i="5"/>
  <c r="B958" i="5"/>
  <c r="O958" i="5" s="1"/>
  <c r="R957" i="5"/>
  <c r="Q957" i="5"/>
  <c r="P957" i="5"/>
  <c r="O957" i="5"/>
  <c r="N957" i="5"/>
  <c r="M957" i="5"/>
  <c r="L957" i="5"/>
  <c r="J957" i="5"/>
  <c r="I957" i="5"/>
  <c r="H957" i="5"/>
  <c r="G957" i="5"/>
  <c r="F957" i="5"/>
  <c r="E957" i="5"/>
  <c r="C957" i="5"/>
  <c r="B957" i="5"/>
  <c r="K957" i="5" s="1"/>
  <c r="R956" i="5"/>
  <c r="J956" i="5"/>
  <c r="B956" i="5"/>
  <c r="Q956" i="5" s="1"/>
  <c r="B955" i="5"/>
  <c r="Q954" i="5"/>
  <c r="O954" i="5"/>
  <c r="M954" i="5"/>
  <c r="L954" i="5"/>
  <c r="I954" i="5"/>
  <c r="G954" i="5"/>
  <c r="E954" i="5"/>
  <c r="C954" i="5"/>
  <c r="B954" i="5"/>
  <c r="K954" i="5" s="1"/>
  <c r="R953" i="5"/>
  <c r="Q953" i="5"/>
  <c r="P953" i="5"/>
  <c r="N953" i="5"/>
  <c r="M953" i="5"/>
  <c r="L953" i="5"/>
  <c r="J953" i="5"/>
  <c r="I953" i="5"/>
  <c r="H953" i="5"/>
  <c r="F953" i="5"/>
  <c r="E953" i="5"/>
  <c r="C953" i="5"/>
  <c r="B953" i="5"/>
  <c r="K953" i="5" s="1"/>
  <c r="N952" i="5"/>
  <c r="F952" i="5"/>
  <c r="B952" i="5"/>
  <c r="M952" i="5" s="1"/>
  <c r="R951" i="5"/>
  <c r="P951" i="5"/>
  <c r="O951" i="5"/>
  <c r="N951" i="5"/>
  <c r="L951" i="5"/>
  <c r="J951" i="5"/>
  <c r="H951" i="5"/>
  <c r="G951" i="5"/>
  <c r="F951" i="5"/>
  <c r="C951" i="5"/>
  <c r="B951" i="5"/>
  <c r="M951" i="5" s="1"/>
  <c r="Q950" i="5"/>
  <c r="P950" i="5"/>
  <c r="M950" i="5"/>
  <c r="I950" i="5"/>
  <c r="H950" i="5"/>
  <c r="E950" i="5"/>
  <c r="B950" i="5"/>
  <c r="O950" i="5" s="1"/>
  <c r="R949" i="5"/>
  <c r="Q949" i="5"/>
  <c r="P949" i="5"/>
  <c r="O949" i="5"/>
  <c r="N949" i="5"/>
  <c r="M949" i="5"/>
  <c r="L949" i="5"/>
  <c r="J949" i="5"/>
  <c r="I949" i="5"/>
  <c r="H949" i="5"/>
  <c r="G949" i="5"/>
  <c r="F949" i="5"/>
  <c r="E949" i="5"/>
  <c r="C949" i="5"/>
  <c r="B949" i="5"/>
  <c r="K949" i="5" s="1"/>
  <c r="R948" i="5"/>
  <c r="J948" i="5"/>
  <c r="B948" i="5"/>
  <c r="Q948" i="5" s="1"/>
  <c r="B947" i="5"/>
  <c r="Q946" i="5"/>
  <c r="O946" i="5"/>
  <c r="M946" i="5"/>
  <c r="L946" i="5"/>
  <c r="I946" i="5"/>
  <c r="G946" i="5"/>
  <c r="E946" i="5"/>
  <c r="C946" i="5"/>
  <c r="B946" i="5"/>
  <c r="K946" i="5" s="1"/>
  <c r="R945" i="5"/>
  <c r="Q945" i="5"/>
  <c r="P945" i="5"/>
  <c r="N945" i="5"/>
  <c r="M945" i="5"/>
  <c r="L945" i="5"/>
  <c r="J945" i="5"/>
  <c r="I945" i="5"/>
  <c r="H945" i="5"/>
  <c r="F945" i="5"/>
  <c r="E945" i="5"/>
  <c r="C945" i="5"/>
  <c r="B945" i="5"/>
  <c r="K945" i="5" s="1"/>
  <c r="N944" i="5"/>
  <c r="F944" i="5"/>
  <c r="B944" i="5"/>
  <c r="M944" i="5" s="1"/>
  <c r="R943" i="5"/>
  <c r="P943" i="5"/>
  <c r="O943" i="5"/>
  <c r="N943" i="5"/>
  <c r="L943" i="5"/>
  <c r="J943" i="5"/>
  <c r="H943" i="5"/>
  <c r="G943" i="5"/>
  <c r="F943" i="5"/>
  <c r="C943" i="5"/>
  <c r="B943" i="5"/>
  <c r="M943" i="5" s="1"/>
  <c r="Q942" i="5"/>
  <c r="P942" i="5"/>
  <c r="M942" i="5"/>
  <c r="I942" i="5"/>
  <c r="H942" i="5"/>
  <c r="E942" i="5"/>
  <c r="B942" i="5"/>
  <c r="O942" i="5" s="1"/>
  <c r="R941" i="5"/>
  <c r="Q941" i="5"/>
  <c r="P941" i="5"/>
  <c r="O941" i="5"/>
  <c r="N941" i="5"/>
  <c r="M941" i="5"/>
  <c r="L941" i="5"/>
  <c r="J941" i="5"/>
  <c r="I941" i="5"/>
  <c r="H941" i="5"/>
  <c r="G941" i="5"/>
  <c r="F941" i="5"/>
  <c r="E941" i="5"/>
  <c r="C941" i="5"/>
  <c r="B941" i="5"/>
  <c r="K941" i="5" s="1"/>
  <c r="R940" i="5"/>
  <c r="J940" i="5"/>
  <c r="B940" i="5"/>
  <c r="Q940" i="5" s="1"/>
  <c r="B939" i="5"/>
  <c r="Q938" i="5"/>
  <c r="O938" i="5"/>
  <c r="M938" i="5"/>
  <c r="L938" i="5"/>
  <c r="I938" i="5"/>
  <c r="G938" i="5"/>
  <c r="E938" i="5"/>
  <c r="C938" i="5"/>
  <c r="B938" i="5"/>
  <c r="K938" i="5" s="1"/>
  <c r="R937" i="5"/>
  <c r="Q937" i="5"/>
  <c r="P937" i="5"/>
  <c r="N937" i="5"/>
  <c r="M937" i="5"/>
  <c r="L937" i="5"/>
  <c r="J937" i="5"/>
  <c r="I937" i="5"/>
  <c r="H937" i="5"/>
  <c r="F937" i="5"/>
  <c r="E937" i="5"/>
  <c r="C937" i="5"/>
  <c r="B937" i="5"/>
  <c r="K937" i="5" s="1"/>
  <c r="N936" i="5"/>
  <c r="F936" i="5"/>
  <c r="B936" i="5"/>
  <c r="M936" i="5" s="1"/>
  <c r="R935" i="5"/>
  <c r="P935" i="5"/>
  <c r="O935" i="5"/>
  <c r="N935" i="5"/>
  <c r="L935" i="5"/>
  <c r="J935" i="5"/>
  <c r="H935" i="5"/>
  <c r="G935" i="5"/>
  <c r="F935" i="5"/>
  <c r="C935" i="5"/>
  <c r="B935" i="5"/>
  <c r="M935" i="5" s="1"/>
  <c r="Q934" i="5"/>
  <c r="P934" i="5"/>
  <c r="M934" i="5"/>
  <c r="I934" i="5"/>
  <c r="H934" i="5"/>
  <c r="E934" i="5"/>
  <c r="B934" i="5"/>
  <c r="O934" i="5" s="1"/>
  <c r="R933" i="5"/>
  <c r="Q933" i="5"/>
  <c r="P933" i="5"/>
  <c r="O933" i="5"/>
  <c r="N933" i="5"/>
  <c r="M933" i="5"/>
  <c r="L933" i="5"/>
  <c r="J933" i="5"/>
  <c r="I933" i="5"/>
  <c r="H933" i="5"/>
  <c r="G933" i="5"/>
  <c r="F933" i="5"/>
  <c r="E933" i="5"/>
  <c r="C933" i="5"/>
  <c r="B933" i="5"/>
  <c r="K933" i="5" s="1"/>
  <c r="R932" i="5"/>
  <c r="J932" i="5"/>
  <c r="B932" i="5"/>
  <c r="Q932" i="5" s="1"/>
  <c r="B931" i="5"/>
  <c r="Q930" i="5"/>
  <c r="O930" i="5"/>
  <c r="M930" i="5"/>
  <c r="L930" i="5"/>
  <c r="I930" i="5"/>
  <c r="G930" i="5"/>
  <c r="E930" i="5"/>
  <c r="C930" i="5"/>
  <c r="B930" i="5"/>
  <c r="K930" i="5" s="1"/>
  <c r="R929" i="5"/>
  <c r="Q929" i="5"/>
  <c r="P929" i="5"/>
  <c r="N929" i="5"/>
  <c r="M929" i="5"/>
  <c r="L929" i="5"/>
  <c r="J929" i="5"/>
  <c r="I929" i="5"/>
  <c r="H929" i="5"/>
  <c r="F929" i="5"/>
  <c r="E929" i="5"/>
  <c r="C929" i="5"/>
  <c r="B929" i="5"/>
  <c r="K929" i="5" s="1"/>
  <c r="N928" i="5"/>
  <c r="F928" i="5"/>
  <c r="B928" i="5"/>
  <c r="M928" i="5" s="1"/>
  <c r="R927" i="5"/>
  <c r="P927" i="5"/>
  <c r="O927" i="5"/>
  <c r="N927" i="5"/>
  <c r="L927" i="5"/>
  <c r="J927" i="5"/>
  <c r="H927" i="5"/>
  <c r="G927" i="5"/>
  <c r="F927" i="5"/>
  <c r="C927" i="5"/>
  <c r="B927" i="5"/>
  <c r="M927" i="5" s="1"/>
  <c r="Q926" i="5"/>
  <c r="P926" i="5"/>
  <c r="M926" i="5"/>
  <c r="I926" i="5"/>
  <c r="H926" i="5"/>
  <c r="E926" i="5"/>
  <c r="B926" i="5"/>
  <c r="O926" i="5" s="1"/>
  <c r="R925" i="5"/>
  <c r="Q925" i="5"/>
  <c r="P925" i="5"/>
  <c r="O925" i="5"/>
  <c r="N925" i="5"/>
  <c r="M925" i="5"/>
  <c r="L925" i="5"/>
  <c r="J925" i="5"/>
  <c r="I925" i="5"/>
  <c r="H925" i="5"/>
  <c r="G925" i="5"/>
  <c r="F925" i="5"/>
  <c r="E925" i="5"/>
  <c r="C925" i="5"/>
  <c r="B925" i="5"/>
  <c r="K925" i="5" s="1"/>
  <c r="R924" i="5"/>
  <c r="J924" i="5"/>
  <c r="B924" i="5"/>
  <c r="Q924" i="5" s="1"/>
  <c r="B923" i="5"/>
  <c r="Q922" i="5"/>
  <c r="O922" i="5"/>
  <c r="M922" i="5"/>
  <c r="L922" i="5"/>
  <c r="I922" i="5"/>
  <c r="G922" i="5"/>
  <c r="E922" i="5"/>
  <c r="C922" i="5"/>
  <c r="B922" i="5"/>
  <c r="K922" i="5" s="1"/>
  <c r="R921" i="5"/>
  <c r="Q921" i="5"/>
  <c r="P921" i="5"/>
  <c r="N921" i="5"/>
  <c r="M921" i="5"/>
  <c r="L921" i="5"/>
  <c r="J921" i="5"/>
  <c r="I921" i="5"/>
  <c r="H921" i="5"/>
  <c r="F921" i="5"/>
  <c r="E921" i="5"/>
  <c r="C921" i="5"/>
  <c r="B921" i="5"/>
  <c r="K921" i="5" s="1"/>
  <c r="N920" i="5"/>
  <c r="F920" i="5"/>
  <c r="B920" i="5"/>
  <c r="M920" i="5" s="1"/>
  <c r="R919" i="5"/>
  <c r="P919" i="5"/>
  <c r="O919" i="5"/>
  <c r="N919" i="5"/>
  <c r="L919" i="5"/>
  <c r="J919" i="5"/>
  <c r="H919" i="5"/>
  <c r="G919" i="5"/>
  <c r="F919" i="5"/>
  <c r="C919" i="5"/>
  <c r="B919" i="5"/>
  <c r="M919" i="5" s="1"/>
  <c r="Q918" i="5"/>
  <c r="P918" i="5"/>
  <c r="M918" i="5"/>
  <c r="I918" i="5"/>
  <c r="H918" i="5"/>
  <c r="E918" i="5"/>
  <c r="B918" i="5"/>
  <c r="O918" i="5" s="1"/>
  <c r="R917" i="5"/>
  <c r="Q917" i="5"/>
  <c r="P917" i="5"/>
  <c r="O917" i="5"/>
  <c r="N917" i="5"/>
  <c r="M917" i="5"/>
  <c r="L917" i="5"/>
  <c r="J917" i="5"/>
  <c r="I917" i="5"/>
  <c r="H917" i="5"/>
  <c r="G917" i="5"/>
  <c r="F917" i="5"/>
  <c r="E917" i="5"/>
  <c r="C917" i="5"/>
  <c r="B917" i="5"/>
  <c r="K917" i="5" s="1"/>
  <c r="R916" i="5"/>
  <c r="J916" i="5"/>
  <c r="B916" i="5"/>
  <c r="Q916" i="5" s="1"/>
  <c r="B915" i="5"/>
  <c r="Q914" i="5"/>
  <c r="O914" i="5"/>
  <c r="M914" i="5"/>
  <c r="L914" i="5"/>
  <c r="I914" i="5"/>
  <c r="G914" i="5"/>
  <c r="E914" i="5"/>
  <c r="C914" i="5"/>
  <c r="B914" i="5"/>
  <c r="K914" i="5" s="1"/>
  <c r="R913" i="5"/>
  <c r="Q913" i="5"/>
  <c r="P913" i="5"/>
  <c r="N913" i="5"/>
  <c r="M913" i="5"/>
  <c r="L913" i="5"/>
  <c r="J913" i="5"/>
  <c r="I913" i="5"/>
  <c r="H913" i="5"/>
  <c r="F913" i="5"/>
  <c r="E913" i="5"/>
  <c r="C913" i="5"/>
  <c r="B913" i="5"/>
  <c r="K913" i="5" s="1"/>
  <c r="N912" i="5"/>
  <c r="F912" i="5"/>
  <c r="B912" i="5"/>
  <c r="M912" i="5" s="1"/>
  <c r="R911" i="5"/>
  <c r="P911" i="5"/>
  <c r="O911" i="5"/>
  <c r="N911" i="5"/>
  <c r="L911" i="5"/>
  <c r="J911" i="5"/>
  <c r="H911" i="5"/>
  <c r="G911" i="5"/>
  <c r="F911" i="5"/>
  <c r="C911" i="5"/>
  <c r="B911" i="5"/>
  <c r="M911" i="5" s="1"/>
  <c r="Q910" i="5"/>
  <c r="P910" i="5"/>
  <c r="M910" i="5"/>
  <c r="I910" i="5"/>
  <c r="H910" i="5"/>
  <c r="E910" i="5"/>
  <c r="B910" i="5"/>
  <c r="O910" i="5" s="1"/>
  <c r="R909" i="5"/>
  <c r="Q909" i="5"/>
  <c r="P909" i="5"/>
  <c r="O909" i="5"/>
  <c r="N909" i="5"/>
  <c r="M909" i="5"/>
  <c r="L909" i="5"/>
  <c r="J909" i="5"/>
  <c r="I909" i="5"/>
  <c r="H909" i="5"/>
  <c r="G909" i="5"/>
  <c r="F909" i="5"/>
  <c r="E909" i="5"/>
  <c r="C909" i="5"/>
  <c r="B909" i="5"/>
  <c r="K909" i="5" s="1"/>
  <c r="R908" i="5"/>
  <c r="J908" i="5"/>
  <c r="B908" i="5"/>
  <c r="Q908" i="5" s="1"/>
  <c r="B907" i="5"/>
  <c r="Q906" i="5"/>
  <c r="O906" i="5"/>
  <c r="M906" i="5"/>
  <c r="L906" i="5"/>
  <c r="I906" i="5"/>
  <c r="G906" i="5"/>
  <c r="E906" i="5"/>
  <c r="C906" i="5"/>
  <c r="B906" i="5"/>
  <c r="K906" i="5" s="1"/>
  <c r="R905" i="5"/>
  <c r="Q905" i="5"/>
  <c r="P905" i="5"/>
  <c r="N905" i="5"/>
  <c r="M905" i="5"/>
  <c r="L905" i="5"/>
  <c r="J905" i="5"/>
  <c r="I905" i="5"/>
  <c r="H905" i="5"/>
  <c r="F905" i="5"/>
  <c r="E905" i="5"/>
  <c r="C905" i="5"/>
  <c r="B905" i="5"/>
  <c r="K905" i="5" s="1"/>
  <c r="N904" i="5"/>
  <c r="F904" i="5"/>
  <c r="B904" i="5"/>
  <c r="M904" i="5" s="1"/>
  <c r="R903" i="5"/>
  <c r="P903" i="5"/>
  <c r="O903" i="5"/>
  <c r="N903" i="5"/>
  <c r="L903" i="5"/>
  <c r="J903" i="5"/>
  <c r="H903" i="5"/>
  <c r="G903" i="5"/>
  <c r="F903" i="5"/>
  <c r="C903" i="5"/>
  <c r="B903" i="5"/>
  <c r="M903" i="5" s="1"/>
  <c r="Q902" i="5"/>
  <c r="P902" i="5"/>
  <c r="M902" i="5"/>
  <c r="I902" i="5"/>
  <c r="H902" i="5"/>
  <c r="E902" i="5"/>
  <c r="B902" i="5"/>
  <c r="O902" i="5" s="1"/>
  <c r="R901" i="5"/>
  <c r="Q901" i="5"/>
  <c r="P901" i="5"/>
  <c r="O901" i="5"/>
  <c r="N901" i="5"/>
  <c r="M901" i="5"/>
  <c r="L901" i="5"/>
  <c r="J901" i="5"/>
  <c r="I901" i="5"/>
  <c r="H901" i="5"/>
  <c r="G901" i="5"/>
  <c r="F901" i="5"/>
  <c r="E901" i="5"/>
  <c r="C901" i="5"/>
  <c r="B901" i="5"/>
  <c r="K901" i="5" s="1"/>
  <c r="R900" i="5"/>
  <c r="J900" i="5"/>
  <c r="B900" i="5"/>
  <c r="Q900" i="5" s="1"/>
  <c r="B899" i="5"/>
  <c r="Q898" i="5"/>
  <c r="O898" i="5"/>
  <c r="M898" i="5"/>
  <c r="L898" i="5"/>
  <c r="I898" i="5"/>
  <c r="G898" i="5"/>
  <c r="E898" i="5"/>
  <c r="C898" i="5"/>
  <c r="B898" i="5"/>
  <c r="K898" i="5" s="1"/>
  <c r="R897" i="5"/>
  <c r="Q897" i="5"/>
  <c r="P897" i="5"/>
  <c r="N897" i="5"/>
  <c r="M897" i="5"/>
  <c r="L897" i="5"/>
  <c r="J897" i="5"/>
  <c r="I897" i="5"/>
  <c r="H897" i="5"/>
  <c r="F897" i="5"/>
  <c r="E897" i="5"/>
  <c r="C897" i="5"/>
  <c r="B897" i="5"/>
  <c r="K897" i="5" s="1"/>
  <c r="N896" i="5"/>
  <c r="F896" i="5"/>
  <c r="B896" i="5"/>
  <c r="M896" i="5" s="1"/>
  <c r="R895" i="5"/>
  <c r="P895" i="5"/>
  <c r="O895" i="5"/>
  <c r="N895" i="5"/>
  <c r="L895" i="5"/>
  <c r="J895" i="5"/>
  <c r="H895" i="5"/>
  <c r="G895" i="5"/>
  <c r="F895" i="5"/>
  <c r="C895" i="5"/>
  <c r="B895" i="5"/>
  <c r="M895" i="5" s="1"/>
  <c r="Q894" i="5"/>
  <c r="P894" i="5"/>
  <c r="M894" i="5"/>
  <c r="I894" i="5"/>
  <c r="H894" i="5"/>
  <c r="E894" i="5"/>
  <c r="B894" i="5"/>
  <c r="O894" i="5" s="1"/>
  <c r="R893" i="5"/>
  <c r="Q893" i="5"/>
  <c r="P893" i="5"/>
  <c r="O893" i="5"/>
  <c r="N893" i="5"/>
  <c r="M893" i="5"/>
  <c r="L893" i="5"/>
  <c r="J893" i="5"/>
  <c r="I893" i="5"/>
  <c r="H893" i="5"/>
  <c r="G893" i="5"/>
  <c r="F893" i="5"/>
  <c r="E893" i="5"/>
  <c r="C893" i="5"/>
  <c r="B893" i="5"/>
  <c r="K893" i="5" s="1"/>
  <c r="R892" i="5"/>
  <c r="J892" i="5"/>
  <c r="B892" i="5"/>
  <c r="Q892" i="5" s="1"/>
  <c r="B891" i="5"/>
  <c r="Q890" i="5"/>
  <c r="O890" i="5"/>
  <c r="M890" i="5"/>
  <c r="L890" i="5"/>
  <c r="I890" i="5"/>
  <c r="G890" i="5"/>
  <c r="E890" i="5"/>
  <c r="C890" i="5"/>
  <c r="B890" i="5"/>
  <c r="K890" i="5" s="1"/>
  <c r="R889" i="5"/>
  <c r="Q889" i="5"/>
  <c r="P889" i="5"/>
  <c r="N889" i="5"/>
  <c r="M889" i="5"/>
  <c r="L889" i="5"/>
  <c r="J889" i="5"/>
  <c r="I889" i="5"/>
  <c r="H889" i="5"/>
  <c r="F889" i="5"/>
  <c r="E889" i="5"/>
  <c r="C889" i="5"/>
  <c r="B889" i="5"/>
  <c r="K889" i="5" s="1"/>
  <c r="N888" i="5"/>
  <c r="F888" i="5"/>
  <c r="B888" i="5"/>
  <c r="M888" i="5" s="1"/>
  <c r="R887" i="5"/>
  <c r="P887" i="5"/>
  <c r="O887" i="5"/>
  <c r="N887" i="5"/>
  <c r="L887" i="5"/>
  <c r="J887" i="5"/>
  <c r="H887" i="5"/>
  <c r="G887" i="5"/>
  <c r="F887" i="5"/>
  <c r="C887" i="5"/>
  <c r="B887" i="5"/>
  <c r="M887" i="5" s="1"/>
  <c r="Q886" i="5"/>
  <c r="P886" i="5"/>
  <c r="M886" i="5"/>
  <c r="I886" i="5"/>
  <c r="H886" i="5"/>
  <c r="E886" i="5"/>
  <c r="B886" i="5"/>
  <c r="O886" i="5" s="1"/>
  <c r="R885" i="5"/>
  <c r="Q885" i="5"/>
  <c r="P885" i="5"/>
  <c r="O885" i="5"/>
  <c r="N885" i="5"/>
  <c r="M885" i="5"/>
  <c r="L885" i="5"/>
  <c r="J885" i="5"/>
  <c r="I885" i="5"/>
  <c r="H885" i="5"/>
  <c r="G885" i="5"/>
  <c r="F885" i="5"/>
  <c r="E885" i="5"/>
  <c r="C885" i="5"/>
  <c r="B885" i="5"/>
  <c r="K885" i="5" s="1"/>
  <c r="R884" i="5"/>
  <c r="J884" i="5"/>
  <c r="B884" i="5"/>
  <c r="Q884" i="5" s="1"/>
  <c r="B883" i="5"/>
  <c r="Q882" i="5"/>
  <c r="O882" i="5"/>
  <c r="M882" i="5"/>
  <c r="L882" i="5"/>
  <c r="I882" i="5"/>
  <c r="G882" i="5"/>
  <c r="E882" i="5"/>
  <c r="C882" i="5"/>
  <c r="B882" i="5"/>
  <c r="K882" i="5" s="1"/>
  <c r="R881" i="5"/>
  <c r="Q881" i="5"/>
  <c r="P881" i="5"/>
  <c r="N881" i="5"/>
  <c r="M881" i="5"/>
  <c r="L881" i="5"/>
  <c r="J881" i="5"/>
  <c r="I881" i="5"/>
  <c r="H881" i="5"/>
  <c r="F881" i="5"/>
  <c r="E881" i="5"/>
  <c r="C881" i="5"/>
  <c r="B881" i="5"/>
  <c r="K881" i="5" s="1"/>
  <c r="N880" i="5"/>
  <c r="F880" i="5"/>
  <c r="B880" i="5"/>
  <c r="M880" i="5" s="1"/>
  <c r="R879" i="5"/>
  <c r="P879" i="5"/>
  <c r="O879" i="5"/>
  <c r="N879" i="5"/>
  <c r="L879" i="5"/>
  <c r="J879" i="5"/>
  <c r="H879" i="5"/>
  <c r="G879" i="5"/>
  <c r="F879" i="5"/>
  <c r="C879" i="5"/>
  <c r="B879" i="5"/>
  <c r="M879" i="5" s="1"/>
  <c r="Q878" i="5"/>
  <c r="P878" i="5"/>
  <c r="M878" i="5"/>
  <c r="I878" i="5"/>
  <c r="H878" i="5"/>
  <c r="E878" i="5"/>
  <c r="B878" i="5"/>
  <c r="O878" i="5" s="1"/>
  <c r="R877" i="5"/>
  <c r="Q877" i="5"/>
  <c r="P877" i="5"/>
  <c r="O877" i="5"/>
  <c r="N877" i="5"/>
  <c r="M877" i="5"/>
  <c r="L877" i="5"/>
  <c r="J877" i="5"/>
  <c r="I877" i="5"/>
  <c r="H877" i="5"/>
  <c r="G877" i="5"/>
  <c r="F877" i="5"/>
  <c r="E877" i="5"/>
  <c r="C877" i="5"/>
  <c r="B877" i="5"/>
  <c r="K877" i="5" s="1"/>
  <c r="R876" i="5"/>
  <c r="J876" i="5"/>
  <c r="B876" i="5"/>
  <c r="Q876" i="5" s="1"/>
  <c r="B875" i="5"/>
  <c r="Q874" i="5"/>
  <c r="O874" i="5"/>
  <c r="M874" i="5"/>
  <c r="L874" i="5"/>
  <c r="I874" i="5"/>
  <c r="G874" i="5"/>
  <c r="E874" i="5"/>
  <c r="C874" i="5"/>
  <c r="B874" i="5"/>
  <c r="K874" i="5" s="1"/>
  <c r="R873" i="5"/>
  <c r="Q873" i="5"/>
  <c r="P873" i="5"/>
  <c r="N873" i="5"/>
  <c r="M873" i="5"/>
  <c r="L873" i="5"/>
  <c r="J873" i="5"/>
  <c r="I873" i="5"/>
  <c r="H873" i="5"/>
  <c r="F873" i="5"/>
  <c r="E873" i="5"/>
  <c r="C873" i="5"/>
  <c r="B873" i="5"/>
  <c r="K873" i="5" s="1"/>
  <c r="N872" i="5"/>
  <c r="F872" i="5"/>
  <c r="B872" i="5"/>
  <c r="M872" i="5" s="1"/>
  <c r="R871" i="5"/>
  <c r="P871" i="5"/>
  <c r="O871" i="5"/>
  <c r="N871" i="5"/>
  <c r="L871" i="5"/>
  <c r="J871" i="5"/>
  <c r="H871" i="5"/>
  <c r="G871" i="5"/>
  <c r="F871" i="5"/>
  <c r="C871" i="5"/>
  <c r="B871" i="5"/>
  <c r="M871" i="5" s="1"/>
  <c r="Q870" i="5"/>
  <c r="P870" i="5"/>
  <c r="M870" i="5"/>
  <c r="I870" i="5"/>
  <c r="H870" i="5"/>
  <c r="E870" i="5"/>
  <c r="B870" i="5"/>
  <c r="O870" i="5" s="1"/>
  <c r="R869" i="5"/>
  <c r="Q869" i="5"/>
  <c r="P869" i="5"/>
  <c r="O869" i="5"/>
  <c r="N869" i="5"/>
  <c r="M869" i="5"/>
  <c r="L869" i="5"/>
  <c r="J869" i="5"/>
  <c r="I869" i="5"/>
  <c r="H869" i="5"/>
  <c r="G869" i="5"/>
  <c r="F869" i="5"/>
  <c r="E869" i="5"/>
  <c r="C869" i="5"/>
  <c r="B869" i="5"/>
  <c r="K869" i="5" s="1"/>
  <c r="R868" i="5"/>
  <c r="J868" i="5"/>
  <c r="B868" i="5"/>
  <c r="Q868" i="5" s="1"/>
  <c r="B867" i="5"/>
  <c r="Q866" i="5"/>
  <c r="O866" i="5"/>
  <c r="M866" i="5"/>
  <c r="L866" i="5"/>
  <c r="I866" i="5"/>
  <c r="G866" i="5"/>
  <c r="E866" i="5"/>
  <c r="C866" i="5"/>
  <c r="B866" i="5"/>
  <c r="K866" i="5" s="1"/>
  <c r="R865" i="5"/>
  <c r="Q865" i="5"/>
  <c r="P865" i="5"/>
  <c r="N865" i="5"/>
  <c r="M865" i="5"/>
  <c r="L865" i="5"/>
  <c r="J865" i="5"/>
  <c r="I865" i="5"/>
  <c r="H865" i="5"/>
  <c r="F865" i="5"/>
  <c r="E865" i="5"/>
  <c r="C865" i="5"/>
  <c r="B865" i="5"/>
  <c r="K865" i="5" s="1"/>
  <c r="N864" i="5"/>
  <c r="F864" i="5"/>
  <c r="B864" i="5"/>
  <c r="M864" i="5" s="1"/>
  <c r="R863" i="5"/>
  <c r="P863" i="5"/>
  <c r="O863" i="5"/>
  <c r="N863" i="5"/>
  <c r="L863" i="5"/>
  <c r="J863" i="5"/>
  <c r="H863" i="5"/>
  <c r="G863" i="5"/>
  <c r="F863" i="5"/>
  <c r="C863" i="5"/>
  <c r="B863" i="5"/>
  <c r="M863" i="5" s="1"/>
  <c r="Q862" i="5"/>
  <c r="P862" i="5"/>
  <c r="M862" i="5"/>
  <c r="I862" i="5"/>
  <c r="H862" i="5"/>
  <c r="E862" i="5"/>
  <c r="B862" i="5"/>
  <c r="O862" i="5" s="1"/>
  <c r="R861" i="5"/>
  <c r="Q861" i="5"/>
  <c r="P861" i="5"/>
  <c r="O861" i="5"/>
  <c r="N861" i="5"/>
  <c r="M861" i="5"/>
  <c r="L861" i="5"/>
  <c r="J861" i="5"/>
  <c r="I861" i="5"/>
  <c r="H861" i="5"/>
  <c r="G861" i="5"/>
  <c r="F861" i="5"/>
  <c r="E861" i="5"/>
  <c r="C861" i="5"/>
  <c r="B861" i="5"/>
  <c r="K861" i="5" s="1"/>
  <c r="R860" i="5"/>
  <c r="J860" i="5"/>
  <c r="B860" i="5"/>
  <c r="Q860" i="5" s="1"/>
  <c r="B859" i="5"/>
  <c r="Q858" i="5"/>
  <c r="O858" i="5"/>
  <c r="M858" i="5"/>
  <c r="L858" i="5"/>
  <c r="I858" i="5"/>
  <c r="G858" i="5"/>
  <c r="E858" i="5"/>
  <c r="C858" i="5"/>
  <c r="B858" i="5"/>
  <c r="K858" i="5" s="1"/>
  <c r="R857" i="5"/>
  <c r="Q857" i="5"/>
  <c r="P857" i="5"/>
  <c r="N857" i="5"/>
  <c r="M857" i="5"/>
  <c r="L857" i="5"/>
  <c r="J857" i="5"/>
  <c r="I857" i="5"/>
  <c r="H857" i="5"/>
  <c r="F857" i="5"/>
  <c r="E857" i="5"/>
  <c r="C857" i="5"/>
  <c r="B857" i="5"/>
  <c r="K857" i="5" s="1"/>
  <c r="N856" i="5"/>
  <c r="F856" i="5"/>
  <c r="B856" i="5"/>
  <c r="M856" i="5" s="1"/>
  <c r="R855" i="5"/>
  <c r="P855" i="5"/>
  <c r="O855" i="5"/>
  <c r="N855" i="5"/>
  <c r="L855" i="5"/>
  <c r="J855" i="5"/>
  <c r="H855" i="5"/>
  <c r="G855" i="5"/>
  <c r="F855" i="5"/>
  <c r="C855" i="5"/>
  <c r="B855" i="5"/>
  <c r="M855" i="5" s="1"/>
  <c r="Q854" i="5"/>
  <c r="P854" i="5"/>
  <c r="M854" i="5"/>
  <c r="I854" i="5"/>
  <c r="H854" i="5"/>
  <c r="E854" i="5"/>
  <c r="B854" i="5"/>
  <c r="O854" i="5" s="1"/>
  <c r="R853" i="5"/>
  <c r="Q853" i="5"/>
  <c r="P853" i="5"/>
  <c r="O853" i="5"/>
  <c r="N853" i="5"/>
  <c r="M853" i="5"/>
  <c r="L853" i="5"/>
  <c r="J853" i="5"/>
  <c r="I853" i="5"/>
  <c r="H853" i="5"/>
  <c r="G853" i="5"/>
  <c r="F853" i="5"/>
  <c r="E853" i="5"/>
  <c r="C853" i="5"/>
  <c r="B853" i="5"/>
  <c r="K853" i="5" s="1"/>
  <c r="R852" i="5"/>
  <c r="J852" i="5"/>
  <c r="B852" i="5"/>
  <c r="Q852" i="5" s="1"/>
  <c r="B851" i="5"/>
  <c r="Q850" i="5"/>
  <c r="O850" i="5"/>
  <c r="M850" i="5"/>
  <c r="L850" i="5"/>
  <c r="I850" i="5"/>
  <c r="G850" i="5"/>
  <c r="E850" i="5"/>
  <c r="C850" i="5"/>
  <c r="B850" i="5"/>
  <c r="K850" i="5" s="1"/>
  <c r="R849" i="5"/>
  <c r="Q849" i="5"/>
  <c r="P849" i="5"/>
  <c r="N849" i="5"/>
  <c r="M849" i="5"/>
  <c r="L849" i="5"/>
  <c r="J849" i="5"/>
  <c r="I849" i="5"/>
  <c r="H849" i="5"/>
  <c r="F849" i="5"/>
  <c r="E849" i="5"/>
  <c r="C849" i="5"/>
  <c r="B849" i="5"/>
  <c r="K849" i="5" s="1"/>
  <c r="N848" i="5"/>
  <c r="F848" i="5"/>
  <c r="B848" i="5"/>
  <c r="M848" i="5" s="1"/>
  <c r="R847" i="5"/>
  <c r="P847" i="5"/>
  <c r="O847" i="5"/>
  <c r="N847" i="5"/>
  <c r="L847" i="5"/>
  <c r="J847" i="5"/>
  <c r="H847" i="5"/>
  <c r="G847" i="5"/>
  <c r="F847" i="5"/>
  <c r="C847" i="5"/>
  <c r="B847" i="5"/>
  <c r="M847" i="5" s="1"/>
  <c r="Q846" i="5"/>
  <c r="P846" i="5"/>
  <c r="M846" i="5"/>
  <c r="I846" i="5"/>
  <c r="H846" i="5"/>
  <c r="E846" i="5"/>
  <c r="B846" i="5"/>
  <c r="O846" i="5" s="1"/>
  <c r="R845" i="5"/>
  <c r="Q845" i="5"/>
  <c r="P845" i="5"/>
  <c r="O845" i="5"/>
  <c r="N845" i="5"/>
  <c r="M845" i="5"/>
  <c r="L845" i="5"/>
  <c r="J845" i="5"/>
  <c r="I845" i="5"/>
  <c r="H845" i="5"/>
  <c r="G845" i="5"/>
  <c r="F845" i="5"/>
  <c r="E845" i="5"/>
  <c r="C845" i="5"/>
  <c r="B845" i="5"/>
  <c r="K845" i="5" s="1"/>
  <c r="R844" i="5"/>
  <c r="J844" i="5"/>
  <c r="B844" i="5"/>
  <c r="Q844" i="5" s="1"/>
  <c r="B843" i="5"/>
  <c r="Q842" i="5"/>
  <c r="O842" i="5"/>
  <c r="M842" i="5"/>
  <c r="L842" i="5"/>
  <c r="I842" i="5"/>
  <c r="G842" i="5"/>
  <c r="E842" i="5"/>
  <c r="C842" i="5"/>
  <c r="B842" i="5"/>
  <c r="K842" i="5" s="1"/>
  <c r="R841" i="5"/>
  <c r="Q841" i="5"/>
  <c r="P841" i="5"/>
  <c r="N841" i="5"/>
  <c r="M841" i="5"/>
  <c r="L841" i="5"/>
  <c r="J841" i="5"/>
  <c r="I841" i="5"/>
  <c r="H841" i="5"/>
  <c r="F841" i="5"/>
  <c r="E841" i="5"/>
  <c r="C841" i="5"/>
  <c r="B841" i="5"/>
  <c r="K841" i="5" s="1"/>
  <c r="N840" i="5"/>
  <c r="F840" i="5"/>
  <c r="B840" i="5"/>
  <c r="M840" i="5" s="1"/>
  <c r="R839" i="5"/>
  <c r="P839" i="5"/>
  <c r="O839" i="5"/>
  <c r="N839" i="5"/>
  <c r="L839" i="5"/>
  <c r="J839" i="5"/>
  <c r="H839" i="5"/>
  <c r="G839" i="5"/>
  <c r="F839" i="5"/>
  <c r="C839" i="5"/>
  <c r="B839" i="5"/>
  <c r="M839" i="5" s="1"/>
  <c r="Q838" i="5"/>
  <c r="P838" i="5"/>
  <c r="M838" i="5"/>
  <c r="I838" i="5"/>
  <c r="H838" i="5"/>
  <c r="E838" i="5"/>
  <c r="B838" i="5"/>
  <c r="O838" i="5" s="1"/>
  <c r="R837" i="5"/>
  <c r="Q837" i="5"/>
  <c r="P837" i="5"/>
  <c r="O837" i="5"/>
  <c r="N837" i="5"/>
  <c r="M837" i="5"/>
  <c r="L837" i="5"/>
  <c r="J837" i="5"/>
  <c r="I837" i="5"/>
  <c r="H837" i="5"/>
  <c r="G837" i="5"/>
  <c r="F837" i="5"/>
  <c r="E837" i="5"/>
  <c r="C837" i="5"/>
  <c r="B837" i="5"/>
  <c r="K837" i="5" s="1"/>
  <c r="R836" i="5"/>
  <c r="J836" i="5"/>
  <c r="B836" i="5"/>
  <c r="Q836" i="5" s="1"/>
  <c r="B835" i="5"/>
  <c r="Q834" i="5"/>
  <c r="O834" i="5"/>
  <c r="M834" i="5"/>
  <c r="L834" i="5"/>
  <c r="I834" i="5"/>
  <c r="G834" i="5"/>
  <c r="E834" i="5"/>
  <c r="C834" i="5"/>
  <c r="B834" i="5"/>
  <c r="K834" i="5" s="1"/>
  <c r="R833" i="5"/>
  <c r="Q833" i="5"/>
  <c r="P833" i="5"/>
  <c r="N833" i="5"/>
  <c r="M833" i="5"/>
  <c r="L833" i="5"/>
  <c r="J833" i="5"/>
  <c r="I833" i="5"/>
  <c r="H833" i="5"/>
  <c r="F833" i="5"/>
  <c r="E833" i="5"/>
  <c r="C833" i="5"/>
  <c r="B833" i="5"/>
  <c r="K833" i="5" s="1"/>
  <c r="N832" i="5"/>
  <c r="F832" i="5"/>
  <c r="B832" i="5"/>
  <c r="M832" i="5" s="1"/>
  <c r="R831" i="5"/>
  <c r="P831" i="5"/>
  <c r="O831" i="5"/>
  <c r="N831" i="5"/>
  <c r="L831" i="5"/>
  <c r="J831" i="5"/>
  <c r="H831" i="5"/>
  <c r="G831" i="5"/>
  <c r="F831" i="5"/>
  <c r="C831" i="5"/>
  <c r="B831" i="5"/>
  <c r="M831" i="5" s="1"/>
  <c r="Q830" i="5"/>
  <c r="P830" i="5"/>
  <c r="M830" i="5"/>
  <c r="I830" i="5"/>
  <c r="H830" i="5"/>
  <c r="E830" i="5"/>
  <c r="B830" i="5"/>
  <c r="O830" i="5" s="1"/>
  <c r="R829" i="5"/>
  <c r="Q829" i="5"/>
  <c r="P829" i="5"/>
  <c r="O829" i="5"/>
  <c r="N829" i="5"/>
  <c r="M829" i="5"/>
  <c r="L829" i="5"/>
  <c r="J829" i="5"/>
  <c r="I829" i="5"/>
  <c r="H829" i="5"/>
  <c r="G829" i="5"/>
  <c r="F829" i="5"/>
  <c r="E829" i="5"/>
  <c r="C829" i="5"/>
  <c r="B829" i="5"/>
  <c r="K829" i="5" s="1"/>
  <c r="R828" i="5"/>
  <c r="J828" i="5"/>
  <c r="B828" i="5"/>
  <c r="Q828" i="5" s="1"/>
  <c r="B827" i="5"/>
  <c r="Q826" i="5"/>
  <c r="O826" i="5"/>
  <c r="M826" i="5"/>
  <c r="L826" i="5"/>
  <c r="I826" i="5"/>
  <c r="G826" i="5"/>
  <c r="E826" i="5"/>
  <c r="C826" i="5"/>
  <c r="B826" i="5"/>
  <c r="K826" i="5" s="1"/>
  <c r="R825" i="5"/>
  <c r="Q825" i="5"/>
  <c r="P825" i="5"/>
  <c r="N825" i="5"/>
  <c r="M825" i="5"/>
  <c r="L825" i="5"/>
  <c r="J825" i="5"/>
  <c r="I825" i="5"/>
  <c r="H825" i="5"/>
  <c r="F825" i="5"/>
  <c r="E825" i="5"/>
  <c r="C825" i="5"/>
  <c r="B825" i="5"/>
  <c r="K825" i="5" s="1"/>
  <c r="N824" i="5"/>
  <c r="F824" i="5"/>
  <c r="B824" i="5"/>
  <c r="M824" i="5" s="1"/>
  <c r="R823" i="5"/>
  <c r="P823" i="5"/>
  <c r="O823" i="5"/>
  <c r="N823" i="5"/>
  <c r="L823" i="5"/>
  <c r="J823" i="5"/>
  <c r="H823" i="5"/>
  <c r="G823" i="5"/>
  <c r="F823" i="5"/>
  <c r="C823" i="5"/>
  <c r="B823" i="5"/>
  <c r="M823" i="5" s="1"/>
  <c r="Q822" i="5"/>
  <c r="P822" i="5"/>
  <c r="M822" i="5"/>
  <c r="I822" i="5"/>
  <c r="H822" i="5"/>
  <c r="E822" i="5"/>
  <c r="B822" i="5"/>
  <c r="O822" i="5" s="1"/>
  <c r="R821" i="5"/>
  <c r="Q821" i="5"/>
  <c r="P821" i="5"/>
  <c r="O821" i="5"/>
  <c r="N821" i="5"/>
  <c r="M821" i="5"/>
  <c r="L821" i="5"/>
  <c r="J821" i="5"/>
  <c r="I821" i="5"/>
  <c r="H821" i="5"/>
  <c r="G821" i="5"/>
  <c r="F821" i="5"/>
  <c r="E821" i="5"/>
  <c r="C821" i="5"/>
  <c r="B821" i="5"/>
  <c r="K821" i="5" s="1"/>
  <c r="R820" i="5"/>
  <c r="J820" i="5"/>
  <c r="B820" i="5"/>
  <c r="Q820" i="5" s="1"/>
  <c r="B819" i="5"/>
  <c r="Q818" i="5"/>
  <c r="O818" i="5"/>
  <c r="M818" i="5"/>
  <c r="L818" i="5"/>
  <c r="I818" i="5"/>
  <c r="G818" i="5"/>
  <c r="E818" i="5"/>
  <c r="C818" i="5"/>
  <c r="B818" i="5"/>
  <c r="K818" i="5" s="1"/>
  <c r="R817" i="5"/>
  <c r="Q817" i="5"/>
  <c r="P817" i="5"/>
  <c r="N817" i="5"/>
  <c r="M817" i="5"/>
  <c r="L817" i="5"/>
  <c r="J817" i="5"/>
  <c r="I817" i="5"/>
  <c r="H817" i="5"/>
  <c r="F817" i="5"/>
  <c r="E817" i="5"/>
  <c r="C817" i="5"/>
  <c r="B817" i="5"/>
  <c r="K817" i="5" s="1"/>
  <c r="N816" i="5"/>
  <c r="F816" i="5"/>
  <c r="B816" i="5"/>
  <c r="M816" i="5" s="1"/>
  <c r="R815" i="5"/>
  <c r="P815" i="5"/>
  <c r="O815" i="5"/>
  <c r="N815" i="5"/>
  <c r="L815" i="5"/>
  <c r="J815" i="5"/>
  <c r="H815" i="5"/>
  <c r="G815" i="5"/>
  <c r="F815" i="5"/>
  <c r="C815" i="5"/>
  <c r="B815" i="5"/>
  <c r="M815" i="5" s="1"/>
  <c r="Q814" i="5"/>
  <c r="P814" i="5"/>
  <c r="M814" i="5"/>
  <c r="I814" i="5"/>
  <c r="H814" i="5"/>
  <c r="E814" i="5"/>
  <c r="B814" i="5"/>
  <c r="O814" i="5" s="1"/>
  <c r="R813" i="5"/>
  <c r="Q813" i="5"/>
  <c r="P813" i="5"/>
  <c r="O813" i="5"/>
  <c r="N813" i="5"/>
  <c r="M813" i="5"/>
  <c r="L813" i="5"/>
  <c r="J813" i="5"/>
  <c r="I813" i="5"/>
  <c r="H813" i="5"/>
  <c r="G813" i="5"/>
  <c r="F813" i="5"/>
  <c r="E813" i="5"/>
  <c r="C813" i="5"/>
  <c r="B813" i="5"/>
  <c r="K813" i="5" s="1"/>
  <c r="R812" i="5"/>
  <c r="J812" i="5"/>
  <c r="B812" i="5"/>
  <c r="Q812" i="5" s="1"/>
  <c r="B811" i="5"/>
  <c r="Q810" i="5"/>
  <c r="O810" i="5"/>
  <c r="M810" i="5"/>
  <c r="L810" i="5"/>
  <c r="I810" i="5"/>
  <c r="G810" i="5"/>
  <c r="E810" i="5"/>
  <c r="C810" i="5"/>
  <c r="B810" i="5"/>
  <c r="K810" i="5" s="1"/>
  <c r="R809" i="5"/>
  <c r="Q809" i="5"/>
  <c r="P809" i="5"/>
  <c r="N809" i="5"/>
  <c r="M809" i="5"/>
  <c r="L809" i="5"/>
  <c r="J809" i="5"/>
  <c r="I809" i="5"/>
  <c r="H809" i="5"/>
  <c r="F809" i="5"/>
  <c r="E809" i="5"/>
  <c r="C809" i="5"/>
  <c r="B809" i="5"/>
  <c r="K809" i="5" s="1"/>
  <c r="N808" i="5"/>
  <c r="F808" i="5"/>
  <c r="B808" i="5"/>
  <c r="M808" i="5" s="1"/>
  <c r="R807" i="5"/>
  <c r="P807" i="5"/>
  <c r="O807" i="5"/>
  <c r="N807" i="5"/>
  <c r="L807" i="5"/>
  <c r="J807" i="5"/>
  <c r="H807" i="5"/>
  <c r="G807" i="5"/>
  <c r="F807" i="5"/>
  <c r="C807" i="5"/>
  <c r="B807" i="5"/>
  <c r="M807" i="5" s="1"/>
  <c r="Q806" i="5"/>
  <c r="P806" i="5"/>
  <c r="M806" i="5"/>
  <c r="I806" i="5"/>
  <c r="H806" i="5"/>
  <c r="E806" i="5"/>
  <c r="B806" i="5"/>
  <c r="O806" i="5" s="1"/>
  <c r="R805" i="5"/>
  <c r="Q805" i="5"/>
  <c r="P805" i="5"/>
  <c r="O805" i="5"/>
  <c r="N805" i="5"/>
  <c r="M805" i="5"/>
  <c r="L805" i="5"/>
  <c r="J805" i="5"/>
  <c r="I805" i="5"/>
  <c r="H805" i="5"/>
  <c r="G805" i="5"/>
  <c r="F805" i="5"/>
  <c r="E805" i="5"/>
  <c r="C805" i="5"/>
  <c r="B805" i="5"/>
  <c r="K805" i="5" s="1"/>
  <c r="R804" i="5"/>
  <c r="J804" i="5"/>
  <c r="B804" i="5"/>
  <c r="Q804" i="5" s="1"/>
  <c r="B803" i="5"/>
  <c r="Q802" i="5"/>
  <c r="O802" i="5"/>
  <c r="M802" i="5"/>
  <c r="L802" i="5"/>
  <c r="I802" i="5"/>
  <c r="G802" i="5"/>
  <c r="E802" i="5"/>
  <c r="C802" i="5"/>
  <c r="B802" i="5"/>
  <c r="K802" i="5" s="1"/>
  <c r="R801" i="5"/>
  <c r="Q801" i="5"/>
  <c r="P801" i="5"/>
  <c r="N801" i="5"/>
  <c r="M801" i="5"/>
  <c r="L801" i="5"/>
  <c r="J801" i="5"/>
  <c r="I801" i="5"/>
  <c r="H801" i="5"/>
  <c r="F801" i="5"/>
  <c r="E801" i="5"/>
  <c r="C801" i="5"/>
  <c r="B801" i="5"/>
  <c r="K801" i="5" s="1"/>
  <c r="N800" i="5"/>
  <c r="F800" i="5"/>
  <c r="B800" i="5"/>
  <c r="M800" i="5" s="1"/>
  <c r="R799" i="5"/>
  <c r="P799" i="5"/>
  <c r="O799" i="5"/>
  <c r="N799" i="5"/>
  <c r="L799" i="5"/>
  <c r="J799" i="5"/>
  <c r="H799" i="5"/>
  <c r="G799" i="5"/>
  <c r="F799" i="5"/>
  <c r="C799" i="5"/>
  <c r="B799" i="5"/>
  <c r="M799" i="5" s="1"/>
  <c r="Q798" i="5"/>
  <c r="P798" i="5"/>
  <c r="M798" i="5"/>
  <c r="I798" i="5"/>
  <c r="H798" i="5"/>
  <c r="E798" i="5"/>
  <c r="B798" i="5"/>
  <c r="O798" i="5" s="1"/>
  <c r="R797" i="5"/>
  <c r="Q797" i="5"/>
  <c r="P797" i="5"/>
  <c r="O797" i="5"/>
  <c r="N797" i="5"/>
  <c r="M797" i="5"/>
  <c r="L797" i="5"/>
  <c r="J797" i="5"/>
  <c r="I797" i="5"/>
  <c r="H797" i="5"/>
  <c r="G797" i="5"/>
  <c r="F797" i="5"/>
  <c r="E797" i="5"/>
  <c r="C797" i="5"/>
  <c r="B797" i="5"/>
  <c r="K797" i="5" s="1"/>
  <c r="R796" i="5"/>
  <c r="O796" i="5"/>
  <c r="J796" i="5"/>
  <c r="G796" i="5"/>
  <c r="B796" i="5"/>
  <c r="Q796" i="5" s="1"/>
  <c r="H795" i="5"/>
  <c r="C795" i="5"/>
  <c r="B795" i="5"/>
  <c r="P795" i="5" s="1"/>
  <c r="Q794" i="5"/>
  <c r="O794" i="5"/>
  <c r="M794" i="5"/>
  <c r="L794" i="5"/>
  <c r="I794" i="5"/>
  <c r="G794" i="5"/>
  <c r="E794" i="5"/>
  <c r="C794" i="5"/>
  <c r="B794" i="5"/>
  <c r="K794" i="5" s="1"/>
  <c r="R793" i="5"/>
  <c r="Q793" i="5"/>
  <c r="P793" i="5"/>
  <c r="N793" i="5"/>
  <c r="M793" i="5"/>
  <c r="L793" i="5"/>
  <c r="J793" i="5"/>
  <c r="I793" i="5"/>
  <c r="H793" i="5"/>
  <c r="F793" i="5"/>
  <c r="E793" i="5"/>
  <c r="C793" i="5"/>
  <c r="B793" i="5"/>
  <c r="K793" i="5" s="1"/>
  <c r="O792" i="5"/>
  <c r="K792" i="5"/>
  <c r="B792" i="5"/>
  <c r="R791" i="5"/>
  <c r="P791" i="5"/>
  <c r="O791" i="5"/>
  <c r="N791" i="5"/>
  <c r="L791" i="5"/>
  <c r="J791" i="5"/>
  <c r="H791" i="5"/>
  <c r="G791" i="5"/>
  <c r="F791" i="5"/>
  <c r="C791" i="5"/>
  <c r="B791" i="5"/>
  <c r="M791" i="5" s="1"/>
  <c r="Q790" i="5"/>
  <c r="P790" i="5"/>
  <c r="M790" i="5"/>
  <c r="I790" i="5"/>
  <c r="H790" i="5"/>
  <c r="E790" i="5"/>
  <c r="B790" i="5"/>
  <c r="O790" i="5" s="1"/>
  <c r="R789" i="5"/>
  <c r="Q789" i="5"/>
  <c r="P789" i="5"/>
  <c r="O789" i="5"/>
  <c r="N789" i="5"/>
  <c r="M789" i="5"/>
  <c r="L789" i="5"/>
  <c r="J789" i="5"/>
  <c r="I789" i="5"/>
  <c r="H789" i="5"/>
  <c r="G789" i="5"/>
  <c r="F789" i="5"/>
  <c r="E789" i="5"/>
  <c r="C789" i="5"/>
  <c r="B789" i="5"/>
  <c r="K789" i="5" s="1"/>
  <c r="A789" i="5"/>
  <c r="R788" i="5"/>
  <c r="K788" i="5"/>
  <c r="B788" i="5"/>
  <c r="P787" i="5"/>
  <c r="L787" i="5"/>
  <c r="K787" i="5"/>
  <c r="H787" i="5"/>
  <c r="C787" i="5"/>
  <c r="B787" i="5"/>
  <c r="Q786" i="5"/>
  <c r="O786" i="5"/>
  <c r="M786" i="5"/>
  <c r="L786" i="5"/>
  <c r="I786" i="5"/>
  <c r="G786" i="5"/>
  <c r="E786" i="5"/>
  <c r="C786" i="5"/>
  <c r="B786" i="5"/>
  <c r="K786" i="5" s="1"/>
  <c r="R785" i="5"/>
  <c r="Q785" i="5"/>
  <c r="P785" i="5"/>
  <c r="N785" i="5"/>
  <c r="M785" i="5"/>
  <c r="L785" i="5"/>
  <c r="J785" i="5"/>
  <c r="I785" i="5"/>
  <c r="H785" i="5"/>
  <c r="F785" i="5"/>
  <c r="E785" i="5"/>
  <c r="C785" i="5"/>
  <c r="B785" i="5"/>
  <c r="K785" i="5" s="1"/>
  <c r="N784" i="5"/>
  <c r="K784" i="5"/>
  <c r="G784" i="5"/>
  <c r="F784" i="5"/>
  <c r="B784" i="5"/>
  <c r="O784" i="5" s="1"/>
  <c r="R783" i="5"/>
  <c r="P783" i="5"/>
  <c r="O783" i="5"/>
  <c r="N783" i="5"/>
  <c r="L783" i="5"/>
  <c r="J783" i="5"/>
  <c r="H783" i="5"/>
  <c r="G783" i="5"/>
  <c r="F783" i="5"/>
  <c r="C783" i="5"/>
  <c r="B783" i="5"/>
  <c r="M783" i="5" s="1"/>
  <c r="Q782" i="5"/>
  <c r="P782" i="5"/>
  <c r="M782" i="5"/>
  <c r="I782" i="5"/>
  <c r="H782" i="5"/>
  <c r="E782" i="5"/>
  <c r="B782" i="5"/>
  <c r="O782" i="5" s="1"/>
  <c r="R781" i="5"/>
  <c r="Q781" i="5"/>
  <c r="P781" i="5"/>
  <c r="O781" i="5"/>
  <c r="N781" i="5"/>
  <c r="M781" i="5"/>
  <c r="L781" i="5"/>
  <c r="J781" i="5"/>
  <c r="I781" i="5"/>
  <c r="H781" i="5"/>
  <c r="G781" i="5"/>
  <c r="F781" i="5"/>
  <c r="A781" i="5" s="1"/>
  <c r="E781" i="5"/>
  <c r="C781" i="5"/>
  <c r="B781" i="5"/>
  <c r="K781" i="5" s="1"/>
  <c r="O780" i="5"/>
  <c r="K780" i="5"/>
  <c r="J780" i="5"/>
  <c r="G780" i="5"/>
  <c r="B780" i="5"/>
  <c r="R780" i="5" s="1"/>
  <c r="H779" i="5"/>
  <c r="C779" i="5"/>
  <c r="B779" i="5"/>
  <c r="P779" i="5" s="1"/>
  <c r="Q778" i="5"/>
  <c r="O778" i="5"/>
  <c r="M778" i="5"/>
  <c r="L778" i="5"/>
  <c r="I778" i="5"/>
  <c r="G778" i="5"/>
  <c r="E778" i="5"/>
  <c r="C778" i="5"/>
  <c r="B778" i="5"/>
  <c r="K778" i="5" s="1"/>
  <c r="R777" i="5"/>
  <c r="Q777" i="5"/>
  <c r="P777" i="5"/>
  <c r="N777" i="5"/>
  <c r="M777" i="5"/>
  <c r="L777" i="5"/>
  <c r="J777" i="5"/>
  <c r="I777" i="5"/>
  <c r="H777" i="5"/>
  <c r="F777" i="5"/>
  <c r="E777" i="5"/>
  <c r="C777" i="5"/>
  <c r="B777" i="5"/>
  <c r="K777" i="5" s="1"/>
  <c r="B776" i="5"/>
  <c r="R775" i="5"/>
  <c r="P775" i="5"/>
  <c r="O775" i="5"/>
  <c r="N775" i="5"/>
  <c r="L775" i="5"/>
  <c r="J775" i="5"/>
  <c r="H775" i="5"/>
  <c r="G775" i="5"/>
  <c r="F775" i="5"/>
  <c r="C775" i="5"/>
  <c r="B775" i="5"/>
  <c r="M775" i="5" s="1"/>
  <c r="P774" i="5"/>
  <c r="M774" i="5"/>
  <c r="K774" i="5"/>
  <c r="I774" i="5"/>
  <c r="H774" i="5"/>
  <c r="E774" i="5"/>
  <c r="B774" i="5"/>
  <c r="Q774" i="5" s="1"/>
  <c r="R773" i="5"/>
  <c r="Q773" i="5"/>
  <c r="P773" i="5"/>
  <c r="O773" i="5"/>
  <c r="N773" i="5"/>
  <c r="M773" i="5"/>
  <c r="L773" i="5"/>
  <c r="J773" i="5"/>
  <c r="I773" i="5"/>
  <c r="H773" i="5"/>
  <c r="G773" i="5"/>
  <c r="F773" i="5"/>
  <c r="E773" i="5"/>
  <c r="C773" i="5"/>
  <c r="B773" i="5"/>
  <c r="K773" i="5" s="1"/>
  <c r="O772" i="5"/>
  <c r="M772" i="5"/>
  <c r="K772" i="5"/>
  <c r="J772" i="5"/>
  <c r="E772" i="5"/>
  <c r="B772" i="5"/>
  <c r="R772" i="5" s="1"/>
  <c r="P771" i="5"/>
  <c r="N771" i="5"/>
  <c r="L771" i="5"/>
  <c r="K771" i="5"/>
  <c r="H771" i="5"/>
  <c r="F771" i="5"/>
  <c r="C771" i="5"/>
  <c r="B771" i="5"/>
  <c r="Q770" i="5"/>
  <c r="O770" i="5"/>
  <c r="M770" i="5"/>
  <c r="L770" i="5"/>
  <c r="I770" i="5"/>
  <c r="G770" i="5"/>
  <c r="E770" i="5"/>
  <c r="C770" i="5"/>
  <c r="B770" i="5"/>
  <c r="K770" i="5" s="1"/>
  <c r="R769" i="5"/>
  <c r="Q769" i="5"/>
  <c r="P769" i="5"/>
  <c r="N769" i="5"/>
  <c r="M769" i="5"/>
  <c r="L769" i="5"/>
  <c r="J769" i="5"/>
  <c r="I769" i="5"/>
  <c r="H769" i="5"/>
  <c r="F769" i="5"/>
  <c r="E769" i="5"/>
  <c r="C769" i="5"/>
  <c r="B769" i="5"/>
  <c r="K769" i="5" s="1"/>
  <c r="O768" i="5"/>
  <c r="N768" i="5"/>
  <c r="K768" i="5"/>
  <c r="I768" i="5"/>
  <c r="F768" i="5"/>
  <c r="B768" i="5"/>
  <c r="Q768" i="5" s="1"/>
  <c r="R767" i="5"/>
  <c r="P767" i="5"/>
  <c r="O767" i="5"/>
  <c r="N767" i="5"/>
  <c r="L767" i="5"/>
  <c r="J767" i="5"/>
  <c r="H767" i="5"/>
  <c r="G767" i="5"/>
  <c r="F767" i="5"/>
  <c r="C767" i="5"/>
  <c r="B767" i="5"/>
  <c r="M767" i="5" s="1"/>
  <c r="B766" i="5"/>
  <c r="R765" i="5"/>
  <c r="Q765" i="5"/>
  <c r="P765" i="5"/>
  <c r="O765" i="5"/>
  <c r="N765" i="5"/>
  <c r="M765" i="5"/>
  <c r="L765" i="5"/>
  <c r="J765" i="5"/>
  <c r="I765" i="5"/>
  <c r="H765" i="5"/>
  <c r="G765" i="5"/>
  <c r="F765" i="5"/>
  <c r="E765" i="5"/>
  <c r="C765" i="5"/>
  <c r="B765" i="5"/>
  <c r="K765" i="5" s="1"/>
  <c r="A765" i="5"/>
  <c r="R764" i="5"/>
  <c r="O764" i="5"/>
  <c r="M764" i="5"/>
  <c r="J764" i="5"/>
  <c r="I764" i="5"/>
  <c r="G764" i="5"/>
  <c r="E764" i="5"/>
  <c r="B764" i="5"/>
  <c r="K764" i="5" s="1"/>
  <c r="R763" i="5"/>
  <c r="N763" i="5"/>
  <c r="L763" i="5"/>
  <c r="K763" i="5"/>
  <c r="J763" i="5"/>
  <c r="H763" i="5"/>
  <c r="F763" i="5"/>
  <c r="C763" i="5"/>
  <c r="B763" i="5"/>
  <c r="B762" i="5"/>
  <c r="R761" i="5"/>
  <c r="Q761" i="5"/>
  <c r="P761" i="5"/>
  <c r="N761" i="5"/>
  <c r="M761" i="5"/>
  <c r="L761" i="5"/>
  <c r="J761" i="5"/>
  <c r="I761" i="5"/>
  <c r="H761" i="5"/>
  <c r="F761" i="5"/>
  <c r="E761" i="5"/>
  <c r="C761" i="5"/>
  <c r="B761" i="5"/>
  <c r="K761" i="5" s="1"/>
  <c r="B760" i="5"/>
  <c r="R759" i="5"/>
  <c r="P759" i="5"/>
  <c r="O759" i="5"/>
  <c r="N759" i="5"/>
  <c r="L759" i="5"/>
  <c r="J759" i="5"/>
  <c r="H759" i="5"/>
  <c r="G759" i="5"/>
  <c r="F759" i="5"/>
  <c r="C759" i="5"/>
  <c r="B759" i="5"/>
  <c r="M759" i="5" s="1"/>
  <c r="O758" i="5"/>
  <c r="M758" i="5"/>
  <c r="K758" i="5"/>
  <c r="H758" i="5"/>
  <c r="B758" i="5"/>
  <c r="R757" i="5"/>
  <c r="Q757" i="5"/>
  <c r="P757" i="5"/>
  <c r="O757" i="5"/>
  <c r="N757" i="5"/>
  <c r="M757" i="5"/>
  <c r="L757" i="5"/>
  <c r="J757" i="5"/>
  <c r="I757" i="5"/>
  <c r="H757" i="5"/>
  <c r="A757" i="5" s="1"/>
  <c r="G757" i="5"/>
  <c r="F757" i="5"/>
  <c r="E757" i="5"/>
  <c r="C757" i="5"/>
  <c r="B757" i="5"/>
  <c r="K757" i="5" s="1"/>
  <c r="B756" i="5"/>
  <c r="H755" i="5"/>
  <c r="B755" i="5"/>
  <c r="N755" i="5" s="1"/>
  <c r="M754" i="5"/>
  <c r="L754" i="5"/>
  <c r="K754" i="5"/>
  <c r="G754" i="5"/>
  <c r="B754" i="5"/>
  <c r="R753" i="5"/>
  <c r="Q753" i="5"/>
  <c r="P753" i="5"/>
  <c r="N753" i="5"/>
  <c r="M753" i="5"/>
  <c r="L753" i="5"/>
  <c r="J753" i="5"/>
  <c r="I753" i="5"/>
  <c r="H753" i="5"/>
  <c r="F753" i="5"/>
  <c r="E753" i="5"/>
  <c r="C753" i="5"/>
  <c r="B753" i="5"/>
  <c r="K753" i="5" s="1"/>
  <c r="N752" i="5"/>
  <c r="M752" i="5"/>
  <c r="K752" i="5"/>
  <c r="G752" i="5"/>
  <c r="B752" i="5"/>
  <c r="R751" i="5"/>
  <c r="P751" i="5"/>
  <c r="O751" i="5"/>
  <c r="N751" i="5"/>
  <c r="L751" i="5"/>
  <c r="J751" i="5"/>
  <c r="H751" i="5"/>
  <c r="G751" i="5"/>
  <c r="F751" i="5"/>
  <c r="C751" i="5"/>
  <c r="B751" i="5"/>
  <c r="M751" i="5" s="1"/>
  <c r="Q750" i="5"/>
  <c r="M750" i="5"/>
  <c r="K750" i="5"/>
  <c r="I750" i="5"/>
  <c r="H750" i="5"/>
  <c r="E750" i="5"/>
  <c r="B750" i="5"/>
  <c r="O750" i="5" s="1"/>
  <c r="R749" i="5"/>
  <c r="Q749" i="5"/>
  <c r="P749" i="5"/>
  <c r="O749" i="5"/>
  <c r="N749" i="5"/>
  <c r="M749" i="5"/>
  <c r="L749" i="5"/>
  <c r="J749" i="5"/>
  <c r="I749" i="5"/>
  <c r="H749" i="5"/>
  <c r="G749" i="5"/>
  <c r="F749" i="5"/>
  <c r="A749" i="5" s="1"/>
  <c r="E749" i="5"/>
  <c r="C749" i="5"/>
  <c r="B749" i="5"/>
  <c r="K749" i="5" s="1"/>
  <c r="O748" i="5"/>
  <c r="M748" i="5"/>
  <c r="K748" i="5"/>
  <c r="I748" i="5"/>
  <c r="B748" i="5"/>
  <c r="R747" i="5"/>
  <c r="L747" i="5"/>
  <c r="F747" i="5"/>
  <c r="C747" i="5"/>
  <c r="B747" i="5"/>
  <c r="N747" i="5" s="1"/>
  <c r="Q746" i="5"/>
  <c r="L746" i="5"/>
  <c r="K746" i="5"/>
  <c r="I746" i="5"/>
  <c r="G746" i="5"/>
  <c r="C746" i="5"/>
  <c r="B746" i="5"/>
  <c r="M746" i="5" s="1"/>
  <c r="R745" i="5"/>
  <c r="Q745" i="5"/>
  <c r="P745" i="5"/>
  <c r="N745" i="5"/>
  <c r="M745" i="5"/>
  <c r="L745" i="5"/>
  <c r="J745" i="5"/>
  <c r="I745" i="5"/>
  <c r="H745" i="5"/>
  <c r="F745" i="5"/>
  <c r="E745" i="5"/>
  <c r="C745" i="5"/>
  <c r="B745" i="5"/>
  <c r="K745" i="5" s="1"/>
  <c r="Q744" i="5"/>
  <c r="M744" i="5"/>
  <c r="K744" i="5"/>
  <c r="I744" i="5"/>
  <c r="G744" i="5"/>
  <c r="E744" i="5"/>
  <c r="B744" i="5"/>
  <c r="N744" i="5" s="1"/>
  <c r="N743" i="5"/>
  <c r="B743" i="5"/>
  <c r="Q742" i="5"/>
  <c r="P742" i="5"/>
  <c r="O742" i="5"/>
  <c r="L742" i="5"/>
  <c r="K742" i="5"/>
  <c r="I742" i="5"/>
  <c r="H742" i="5"/>
  <c r="G742" i="5"/>
  <c r="E742" i="5"/>
  <c r="C742" i="5"/>
  <c r="B742" i="5"/>
  <c r="R741" i="5"/>
  <c r="Q741" i="5"/>
  <c r="P741" i="5"/>
  <c r="O741" i="5"/>
  <c r="N741" i="5"/>
  <c r="M741" i="5"/>
  <c r="L741" i="5"/>
  <c r="J741" i="5"/>
  <c r="I741" i="5"/>
  <c r="H741" i="5"/>
  <c r="G741" i="5"/>
  <c r="F741" i="5"/>
  <c r="E741" i="5"/>
  <c r="C741" i="5"/>
  <c r="B741" i="5"/>
  <c r="K741" i="5" s="1"/>
  <c r="Q740" i="5"/>
  <c r="O740" i="5"/>
  <c r="K740" i="5"/>
  <c r="F740" i="5"/>
  <c r="E740" i="5"/>
  <c r="B740" i="5"/>
  <c r="M740" i="5" s="1"/>
  <c r="R739" i="5"/>
  <c r="L739" i="5"/>
  <c r="K739" i="5"/>
  <c r="J739" i="5"/>
  <c r="G739" i="5"/>
  <c r="B739" i="5"/>
  <c r="Q738" i="5"/>
  <c r="G738" i="5"/>
  <c r="B738" i="5"/>
  <c r="L738" i="5" s="1"/>
  <c r="R737" i="5"/>
  <c r="Q737" i="5"/>
  <c r="P737" i="5"/>
  <c r="N737" i="5"/>
  <c r="M737" i="5"/>
  <c r="L737" i="5"/>
  <c r="J737" i="5"/>
  <c r="I737" i="5"/>
  <c r="H737" i="5"/>
  <c r="F737" i="5"/>
  <c r="E737" i="5"/>
  <c r="C737" i="5"/>
  <c r="B737" i="5"/>
  <c r="K737" i="5" s="1"/>
  <c r="R736" i="5"/>
  <c r="Q736" i="5"/>
  <c r="O736" i="5"/>
  <c r="M736" i="5"/>
  <c r="K736" i="5"/>
  <c r="J736" i="5"/>
  <c r="I736" i="5"/>
  <c r="G736" i="5"/>
  <c r="F736" i="5"/>
  <c r="E736" i="5"/>
  <c r="B736" i="5"/>
  <c r="R735" i="5"/>
  <c r="P735" i="5"/>
  <c r="O735" i="5"/>
  <c r="L735" i="5"/>
  <c r="K735" i="5"/>
  <c r="H735" i="5"/>
  <c r="G735" i="5"/>
  <c r="F735" i="5"/>
  <c r="C735" i="5"/>
  <c r="B735" i="5"/>
  <c r="J735" i="5" s="1"/>
  <c r="L734" i="5"/>
  <c r="H734" i="5"/>
  <c r="B734" i="5"/>
  <c r="R733" i="5"/>
  <c r="Q733" i="5"/>
  <c r="P733" i="5"/>
  <c r="O733" i="5"/>
  <c r="N733" i="5"/>
  <c r="M733" i="5"/>
  <c r="L733" i="5"/>
  <c r="J733" i="5"/>
  <c r="I733" i="5"/>
  <c r="H733" i="5"/>
  <c r="G733" i="5"/>
  <c r="F733" i="5"/>
  <c r="E733" i="5"/>
  <c r="C733" i="5"/>
  <c r="B733" i="5"/>
  <c r="K733" i="5" s="1"/>
  <c r="R732" i="5"/>
  <c r="G732" i="5"/>
  <c r="B732" i="5"/>
  <c r="M732" i="5" s="1"/>
  <c r="B731" i="5"/>
  <c r="Q730" i="5"/>
  <c r="P730" i="5"/>
  <c r="O730" i="5"/>
  <c r="L730" i="5"/>
  <c r="K730" i="5"/>
  <c r="I730" i="5"/>
  <c r="H730" i="5"/>
  <c r="G730" i="5"/>
  <c r="E730" i="5"/>
  <c r="C730" i="5"/>
  <c r="B730" i="5"/>
  <c r="R729" i="5"/>
  <c r="Q729" i="5"/>
  <c r="P729" i="5"/>
  <c r="N729" i="5"/>
  <c r="M729" i="5"/>
  <c r="L729" i="5"/>
  <c r="J729" i="5"/>
  <c r="I729" i="5"/>
  <c r="H729" i="5"/>
  <c r="F729" i="5"/>
  <c r="E729" i="5"/>
  <c r="C729" i="5"/>
  <c r="B729" i="5"/>
  <c r="K729" i="5" s="1"/>
  <c r="M728" i="5"/>
  <c r="I728" i="5"/>
  <c r="B728" i="5"/>
  <c r="R727" i="5"/>
  <c r="O727" i="5"/>
  <c r="K727" i="5"/>
  <c r="J727" i="5"/>
  <c r="H727" i="5"/>
  <c r="G727" i="5"/>
  <c r="C727" i="5"/>
  <c r="B727" i="5"/>
  <c r="L727" i="5" s="1"/>
  <c r="P726" i="5"/>
  <c r="O726" i="5"/>
  <c r="K726" i="5"/>
  <c r="E726" i="5"/>
  <c r="C726" i="5"/>
  <c r="B726" i="5"/>
  <c r="L726" i="5" s="1"/>
  <c r="R725" i="5"/>
  <c r="Q725" i="5"/>
  <c r="P725" i="5"/>
  <c r="N725" i="5"/>
  <c r="M725" i="5"/>
  <c r="L725" i="5"/>
  <c r="J725" i="5"/>
  <c r="I725" i="5"/>
  <c r="H725" i="5"/>
  <c r="G725" i="5"/>
  <c r="F725" i="5"/>
  <c r="E725" i="5"/>
  <c r="C725" i="5"/>
  <c r="B725" i="5"/>
  <c r="O725" i="5" s="1"/>
  <c r="R724" i="5"/>
  <c r="O724" i="5"/>
  <c r="K724" i="5"/>
  <c r="J724" i="5"/>
  <c r="I724" i="5"/>
  <c r="G724" i="5"/>
  <c r="E724" i="5"/>
  <c r="B724" i="5"/>
  <c r="M724" i="5" s="1"/>
  <c r="P723" i="5"/>
  <c r="O723" i="5"/>
  <c r="K723" i="5"/>
  <c r="F723" i="5"/>
  <c r="C723" i="5"/>
  <c r="B723" i="5"/>
  <c r="L723" i="5" s="1"/>
  <c r="Q722" i="5"/>
  <c r="L722" i="5"/>
  <c r="K722" i="5"/>
  <c r="I722" i="5"/>
  <c r="G722" i="5"/>
  <c r="B722" i="5"/>
  <c r="R721" i="5"/>
  <c r="Q721" i="5"/>
  <c r="P721" i="5"/>
  <c r="M721" i="5"/>
  <c r="J721" i="5"/>
  <c r="I721" i="5"/>
  <c r="H721" i="5"/>
  <c r="F721" i="5"/>
  <c r="C721" i="5"/>
  <c r="B721" i="5"/>
  <c r="K721" i="5" s="1"/>
  <c r="O720" i="5"/>
  <c r="F720" i="5"/>
  <c r="B720" i="5"/>
  <c r="K720" i="5" s="1"/>
  <c r="P719" i="5"/>
  <c r="O719" i="5"/>
  <c r="N719" i="5"/>
  <c r="M719" i="5"/>
  <c r="K719" i="5"/>
  <c r="J719" i="5"/>
  <c r="G719" i="5"/>
  <c r="F719" i="5"/>
  <c r="E719" i="5"/>
  <c r="C719" i="5"/>
  <c r="B719" i="5"/>
  <c r="R719" i="5" s="1"/>
  <c r="N718" i="5"/>
  <c r="M718" i="5"/>
  <c r="I718" i="5"/>
  <c r="E718" i="5"/>
  <c r="C718" i="5"/>
  <c r="B718" i="5"/>
  <c r="K718" i="5" s="1"/>
  <c r="R717" i="5"/>
  <c r="Q717" i="5"/>
  <c r="O717" i="5"/>
  <c r="N717" i="5"/>
  <c r="M717" i="5"/>
  <c r="L717" i="5"/>
  <c r="J717" i="5"/>
  <c r="I717" i="5"/>
  <c r="G717" i="5"/>
  <c r="F717" i="5"/>
  <c r="E717" i="5"/>
  <c r="C717" i="5"/>
  <c r="B717" i="5"/>
  <c r="K717" i="5" s="1"/>
  <c r="N716" i="5"/>
  <c r="F716" i="5"/>
  <c r="B716" i="5"/>
  <c r="M716" i="5" s="1"/>
  <c r="P715" i="5"/>
  <c r="O715" i="5"/>
  <c r="N715" i="5"/>
  <c r="L715" i="5"/>
  <c r="H715" i="5"/>
  <c r="G715" i="5"/>
  <c r="F715" i="5"/>
  <c r="C715" i="5"/>
  <c r="B715" i="5"/>
  <c r="M715" i="5" s="1"/>
  <c r="R714" i="5"/>
  <c r="Q714" i="5"/>
  <c r="P714" i="5"/>
  <c r="O714" i="5"/>
  <c r="N714" i="5"/>
  <c r="M714" i="5"/>
  <c r="L714" i="5"/>
  <c r="J714" i="5"/>
  <c r="I714" i="5"/>
  <c r="H714" i="5"/>
  <c r="G714" i="5"/>
  <c r="F714" i="5"/>
  <c r="E714" i="5"/>
  <c r="A714" i="5" s="1"/>
  <c r="C714" i="5"/>
  <c r="B714" i="5"/>
  <c r="K714" i="5" s="1"/>
  <c r="R713" i="5"/>
  <c r="Q713" i="5"/>
  <c r="P713" i="5"/>
  <c r="N713" i="5"/>
  <c r="J713" i="5"/>
  <c r="I713" i="5"/>
  <c r="H713" i="5"/>
  <c r="F713" i="5"/>
  <c r="B713" i="5"/>
  <c r="O713" i="5" s="1"/>
  <c r="R712" i="5"/>
  <c r="O712" i="5"/>
  <c r="J712" i="5"/>
  <c r="G712" i="5"/>
  <c r="B712" i="5"/>
  <c r="Q712" i="5" s="1"/>
  <c r="B711" i="5"/>
  <c r="Q710" i="5"/>
  <c r="M710" i="5"/>
  <c r="L710" i="5"/>
  <c r="I710" i="5"/>
  <c r="E710" i="5"/>
  <c r="C710" i="5"/>
  <c r="B710" i="5"/>
  <c r="K710" i="5" s="1"/>
  <c r="R709" i="5"/>
  <c r="Q709" i="5"/>
  <c r="O709" i="5"/>
  <c r="N709" i="5"/>
  <c r="M709" i="5"/>
  <c r="L709" i="5"/>
  <c r="J709" i="5"/>
  <c r="I709" i="5"/>
  <c r="G709" i="5"/>
  <c r="F709" i="5"/>
  <c r="E709" i="5"/>
  <c r="C709" i="5"/>
  <c r="B709" i="5"/>
  <c r="K709" i="5" s="1"/>
  <c r="N708" i="5"/>
  <c r="F708" i="5"/>
  <c r="B708" i="5"/>
  <c r="M708" i="5" s="1"/>
  <c r="P707" i="5"/>
  <c r="O707" i="5"/>
  <c r="N707" i="5"/>
  <c r="L707" i="5"/>
  <c r="H707" i="5"/>
  <c r="G707" i="5"/>
  <c r="F707" i="5"/>
  <c r="C707" i="5"/>
  <c r="B707" i="5"/>
  <c r="M707" i="5" s="1"/>
  <c r="R706" i="5"/>
  <c r="Q706" i="5"/>
  <c r="P706" i="5"/>
  <c r="O706" i="5"/>
  <c r="N706" i="5"/>
  <c r="M706" i="5"/>
  <c r="L706" i="5"/>
  <c r="J706" i="5"/>
  <c r="I706" i="5"/>
  <c r="H706" i="5"/>
  <c r="G706" i="5"/>
  <c r="F706" i="5"/>
  <c r="E706" i="5"/>
  <c r="C706" i="5"/>
  <c r="A706" i="5" s="1"/>
  <c r="B706" i="5"/>
  <c r="K706" i="5" s="1"/>
  <c r="R705" i="5"/>
  <c r="Q705" i="5"/>
  <c r="P705" i="5"/>
  <c r="N705" i="5"/>
  <c r="J705" i="5"/>
  <c r="I705" i="5"/>
  <c r="H705" i="5"/>
  <c r="F705" i="5"/>
  <c r="B705" i="5"/>
  <c r="O705" i="5" s="1"/>
  <c r="R704" i="5"/>
  <c r="O704" i="5"/>
  <c r="J704" i="5"/>
  <c r="G704" i="5"/>
  <c r="B704" i="5"/>
  <c r="Q704" i="5" s="1"/>
  <c r="B703" i="5"/>
  <c r="Q702" i="5"/>
  <c r="M702" i="5"/>
  <c r="L702" i="5"/>
  <c r="I702" i="5"/>
  <c r="E702" i="5"/>
  <c r="C702" i="5"/>
  <c r="B702" i="5"/>
  <c r="K702" i="5" s="1"/>
  <c r="R701" i="5"/>
  <c r="Q701" i="5"/>
  <c r="O701" i="5"/>
  <c r="N701" i="5"/>
  <c r="M701" i="5"/>
  <c r="L701" i="5"/>
  <c r="J701" i="5"/>
  <c r="I701" i="5"/>
  <c r="G701" i="5"/>
  <c r="F701" i="5"/>
  <c r="E701" i="5"/>
  <c r="C701" i="5"/>
  <c r="B701" i="5"/>
  <c r="K701" i="5" s="1"/>
  <c r="N700" i="5"/>
  <c r="F700" i="5"/>
  <c r="B700" i="5"/>
  <c r="M700" i="5" s="1"/>
  <c r="P699" i="5"/>
  <c r="O699" i="5"/>
  <c r="N699" i="5"/>
  <c r="L699" i="5"/>
  <c r="H699" i="5"/>
  <c r="G699" i="5"/>
  <c r="F699" i="5"/>
  <c r="C699" i="5"/>
  <c r="B699" i="5"/>
  <c r="M699" i="5" s="1"/>
  <c r="R698" i="5"/>
  <c r="Q698" i="5"/>
  <c r="P698" i="5"/>
  <c r="O698" i="5"/>
  <c r="N698" i="5"/>
  <c r="M698" i="5"/>
  <c r="L698" i="5"/>
  <c r="J698" i="5"/>
  <c r="I698" i="5"/>
  <c r="H698" i="5"/>
  <c r="G698" i="5"/>
  <c r="F698" i="5"/>
  <c r="E698" i="5"/>
  <c r="C698" i="5"/>
  <c r="A698" i="5" s="1"/>
  <c r="B698" i="5"/>
  <c r="K698" i="5" s="1"/>
  <c r="R697" i="5"/>
  <c r="Q697" i="5"/>
  <c r="P697" i="5"/>
  <c r="N697" i="5"/>
  <c r="J697" i="5"/>
  <c r="I697" i="5"/>
  <c r="H697" i="5"/>
  <c r="F697" i="5"/>
  <c r="B697" i="5"/>
  <c r="O697" i="5" s="1"/>
  <c r="R696" i="5"/>
  <c r="O696" i="5"/>
  <c r="J696" i="5"/>
  <c r="G696" i="5"/>
  <c r="B696" i="5"/>
  <c r="Q696" i="5" s="1"/>
  <c r="B695" i="5"/>
  <c r="Q694" i="5"/>
  <c r="M694" i="5"/>
  <c r="L694" i="5"/>
  <c r="I694" i="5"/>
  <c r="E694" i="5"/>
  <c r="C694" i="5"/>
  <c r="B694" i="5"/>
  <c r="K694" i="5" s="1"/>
  <c r="R693" i="5"/>
  <c r="Q693" i="5"/>
  <c r="O693" i="5"/>
  <c r="N693" i="5"/>
  <c r="M693" i="5"/>
  <c r="L693" i="5"/>
  <c r="J693" i="5"/>
  <c r="I693" i="5"/>
  <c r="G693" i="5"/>
  <c r="F693" i="5"/>
  <c r="E693" i="5"/>
  <c r="C693" i="5"/>
  <c r="B693" i="5"/>
  <c r="K693" i="5" s="1"/>
  <c r="N692" i="5"/>
  <c r="F692" i="5"/>
  <c r="B692" i="5"/>
  <c r="M692" i="5" s="1"/>
  <c r="P691" i="5"/>
  <c r="O691" i="5"/>
  <c r="N691" i="5"/>
  <c r="L691" i="5"/>
  <c r="H691" i="5"/>
  <c r="G691" i="5"/>
  <c r="F691" i="5"/>
  <c r="C691" i="5"/>
  <c r="B691" i="5"/>
  <c r="M691" i="5" s="1"/>
  <c r="R690" i="5"/>
  <c r="Q690" i="5"/>
  <c r="P690" i="5"/>
  <c r="O690" i="5"/>
  <c r="N690" i="5"/>
  <c r="M690" i="5"/>
  <c r="L690" i="5"/>
  <c r="J690" i="5"/>
  <c r="I690" i="5"/>
  <c r="H690" i="5"/>
  <c r="G690" i="5"/>
  <c r="F690" i="5"/>
  <c r="E690" i="5"/>
  <c r="C690" i="5"/>
  <c r="A690" i="5" s="1"/>
  <c r="B690" i="5"/>
  <c r="K690" i="5" s="1"/>
  <c r="R689" i="5"/>
  <c r="Q689" i="5"/>
  <c r="P689" i="5"/>
  <c r="N689" i="5"/>
  <c r="J689" i="5"/>
  <c r="I689" i="5"/>
  <c r="H689" i="5"/>
  <c r="F689" i="5"/>
  <c r="B689" i="5"/>
  <c r="O689" i="5" s="1"/>
  <c r="R688" i="5"/>
  <c r="O688" i="5"/>
  <c r="J688" i="5"/>
  <c r="G688" i="5"/>
  <c r="B688" i="5"/>
  <c r="Q688" i="5" s="1"/>
  <c r="B687" i="5"/>
  <c r="Q686" i="5"/>
  <c r="M686" i="5"/>
  <c r="L686" i="5"/>
  <c r="I686" i="5"/>
  <c r="E686" i="5"/>
  <c r="C686" i="5"/>
  <c r="B686" i="5"/>
  <c r="K686" i="5" s="1"/>
  <c r="R685" i="5"/>
  <c r="Q685" i="5"/>
  <c r="O685" i="5"/>
  <c r="N685" i="5"/>
  <c r="M685" i="5"/>
  <c r="L685" i="5"/>
  <c r="J685" i="5"/>
  <c r="I685" i="5"/>
  <c r="G685" i="5"/>
  <c r="F685" i="5"/>
  <c r="E685" i="5"/>
  <c r="C685" i="5"/>
  <c r="B685" i="5"/>
  <c r="K685" i="5" s="1"/>
  <c r="N684" i="5"/>
  <c r="F684" i="5"/>
  <c r="B684" i="5"/>
  <c r="M684" i="5" s="1"/>
  <c r="P683" i="5"/>
  <c r="O683" i="5"/>
  <c r="N683" i="5"/>
  <c r="L683" i="5"/>
  <c r="H683" i="5"/>
  <c r="G683" i="5"/>
  <c r="F683" i="5"/>
  <c r="C683" i="5"/>
  <c r="B683" i="5"/>
  <c r="M683" i="5" s="1"/>
  <c r="R682" i="5"/>
  <c r="Q682" i="5"/>
  <c r="P682" i="5"/>
  <c r="O682" i="5"/>
  <c r="N682" i="5"/>
  <c r="M682" i="5"/>
  <c r="L682" i="5"/>
  <c r="J682" i="5"/>
  <c r="I682" i="5"/>
  <c r="H682" i="5"/>
  <c r="G682" i="5"/>
  <c r="F682" i="5"/>
  <c r="E682" i="5"/>
  <c r="C682" i="5"/>
  <c r="A682" i="5" s="1"/>
  <c r="B682" i="5"/>
  <c r="K682" i="5" s="1"/>
  <c r="R681" i="5"/>
  <c r="Q681" i="5"/>
  <c r="P681" i="5"/>
  <c r="N681" i="5"/>
  <c r="J681" i="5"/>
  <c r="I681" i="5"/>
  <c r="H681" i="5"/>
  <c r="F681" i="5"/>
  <c r="B681" i="5"/>
  <c r="O681" i="5" s="1"/>
  <c r="R680" i="5"/>
  <c r="O680" i="5"/>
  <c r="J680" i="5"/>
  <c r="G680" i="5"/>
  <c r="B680" i="5"/>
  <c r="Q680" i="5" s="1"/>
  <c r="B679" i="5"/>
  <c r="Q678" i="5"/>
  <c r="M678" i="5"/>
  <c r="L678" i="5"/>
  <c r="I678" i="5"/>
  <c r="E678" i="5"/>
  <c r="C678" i="5"/>
  <c r="B678" i="5"/>
  <c r="K678" i="5" s="1"/>
  <c r="R677" i="5"/>
  <c r="Q677" i="5"/>
  <c r="O677" i="5"/>
  <c r="N677" i="5"/>
  <c r="M677" i="5"/>
  <c r="L677" i="5"/>
  <c r="J677" i="5"/>
  <c r="I677" i="5"/>
  <c r="G677" i="5"/>
  <c r="F677" i="5"/>
  <c r="E677" i="5"/>
  <c r="C677" i="5"/>
  <c r="B677" i="5"/>
  <c r="K677" i="5" s="1"/>
  <c r="N676" i="5"/>
  <c r="F676" i="5"/>
  <c r="B676" i="5"/>
  <c r="M676" i="5" s="1"/>
  <c r="P675" i="5"/>
  <c r="O675" i="5"/>
  <c r="N675" i="5"/>
  <c r="L675" i="5"/>
  <c r="H675" i="5"/>
  <c r="G675" i="5"/>
  <c r="F675" i="5"/>
  <c r="C675" i="5"/>
  <c r="B675" i="5"/>
  <c r="M675" i="5" s="1"/>
  <c r="R674" i="5"/>
  <c r="Q674" i="5"/>
  <c r="P674" i="5"/>
  <c r="O674" i="5"/>
  <c r="N674" i="5"/>
  <c r="M674" i="5"/>
  <c r="L674" i="5"/>
  <c r="J674" i="5"/>
  <c r="I674" i="5"/>
  <c r="H674" i="5"/>
  <c r="G674" i="5"/>
  <c r="F674" i="5"/>
  <c r="E674" i="5"/>
  <c r="C674" i="5"/>
  <c r="A674" i="5" s="1"/>
  <c r="B674" i="5"/>
  <c r="K674" i="5" s="1"/>
  <c r="R673" i="5"/>
  <c r="Q673" i="5"/>
  <c r="P673" i="5"/>
  <c r="N673" i="5"/>
  <c r="J673" i="5"/>
  <c r="I673" i="5"/>
  <c r="H673" i="5"/>
  <c r="F673" i="5"/>
  <c r="B673" i="5"/>
  <c r="O673" i="5" s="1"/>
  <c r="R672" i="5"/>
  <c r="O672" i="5"/>
  <c r="J672" i="5"/>
  <c r="G672" i="5"/>
  <c r="B672" i="5"/>
  <c r="Q672" i="5" s="1"/>
  <c r="B671" i="5"/>
  <c r="Q670" i="5"/>
  <c r="M670" i="5"/>
  <c r="L670" i="5"/>
  <c r="I670" i="5"/>
  <c r="E670" i="5"/>
  <c r="C670" i="5"/>
  <c r="B670" i="5"/>
  <c r="K670" i="5" s="1"/>
  <c r="R669" i="5"/>
  <c r="Q669" i="5"/>
  <c r="O669" i="5"/>
  <c r="N669" i="5"/>
  <c r="M669" i="5"/>
  <c r="L669" i="5"/>
  <c r="J669" i="5"/>
  <c r="I669" i="5"/>
  <c r="G669" i="5"/>
  <c r="F669" i="5"/>
  <c r="E669" i="5"/>
  <c r="C669" i="5"/>
  <c r="B669" i="5"/>
  <c r="K669" i="5" s="1"/>
  <c r="N668" i="5"/>
  <c r="F668" i="5"/>
  <c r="B668" i="5"/>
  <c r="M668" i="5" s="1"/>
  <c r="P667" i="5"/>
  <c r="O667" i="5"/>
  <c r="N667" i="5"/>
  <c r="L667" i="5"/>
  <c r="H667" i="5"/>
  <c r="G667" i="5"/>
  <c r="F667" i="5"/>
  <c r="C667" i="5"/>
  <c r="B667" i="5"/>
  <c r="M667" i="5" s="1"/>
  <c r="R666" i="5"/>
  <c r="Q666" i="5"/>
  <c r="P666" i="5"/>
  <c r="O666" i="5"/>
  <c r="N666" i="5"/>
  <c r="M666" i="5"/>
  <c r="L666" i="5"/>
  <c r="J666" i="5"/>
  <c r="I666" i="5"/>
  <c r="H666" i="5"/>
  <c r="G666" i="5"/>
  <c r="F666" i="5"/>
  <c r="E666" i="5"/>
  <c r="C666" i="5"/>
  <c r="A666" i="5" s="1"/>
  <c r="B666" i="5"/>
  <c r="K666" i="5" s="1"/>
  <c r="R665" i="5"/>
  <c r="Q665" i="5"/>
  <c r="P665" i="5"/>
  <c r="N665" i="5"/>
  <c r="J665" i="5"/>
  <c r="I665" i="5"/>
  <c r="H665" i="5"/>
  <c r="F665" i="5"/>
  <c r="B665" i="5"/>
  <c r="O665" i="5" s="1"/>
  <c r="R664" i="5"/>
  <c r="O664" i="5"/>
  <c r="J664" i="5"/>
  <c r="G664" i="5"/>
  <c r="B664" i="5"/>
  <c r="Q664" i="5" s="1"/>
  <c r="B663" i="5"/>
  <c r="Q662" i="5"/>
  <c r="M662" i="5"/>
  <c r="L662" i="5"/>
  <c r="I662" i="5"/>
  <c r="E662" i="5"/>
  <c r="C662" i="5"/>
  <c r="B662" i="5"/>
  <c r="K662" i="5" s="1"/>
  <c r="R661" i="5"/>
  <c r="Q661" i="5"/>
  <c r="O661" i="5"/>
  <c r="N661" i="5"/>
  <c r="M661" i="5"/>
  <c r="L661" i="5"/>
  <c r="J661" i="5"/>
  <c r="I661" i="5"/>
  <c r="G661" i="5"/>
  <c r="F661" i="5"/>
  <c r="E661" i="5"/>
  <c r="C661" i="5"/>
  <c r="B661" i="5"/>
  <c r="K661" i="5" s="1"/>
  <c r="N660" i="5"/>
  <c r="F660" i="5"/>
  <c r="B660" i="5"/>
  <c r="M660" i="5" s="1"/>
  <c r="P659" i="5"/>
  <c r="O659" i="5"/>
  <c r="N659" i="5"/>
  <c r="L659" i="5"/>
  <c r="H659" i="5"/>
  <c r="G659" i="5"/>
  <c r="F659" i="5"/>
  <c r="C659" i="5"/>
  <c r="B659" i="5"/>
  <c r="M659" i="5" s="1"/>
  <c r="R658" i="5"/>
  <c r="Q658" i="5"/>
  <c r="P658" i="5"/>
  <c r="O658" i="5"/>
  <c r="N658" i="5"/>
  <c r="M658" i="5"/>
  <c r="L658" i="5"/>
  <c r="J658" i="5"/>
  <c r="I658" i="5"/>
  <c r="H658" i="5"/>
  <c r="G658" i="5"/>
  <c r="F658" i="5"/>
  <c r="E658" i="5"/>
  <c r="C658" i="5"/>
  <c r="A658" i="5" s="1"/>
  <c r="B658" i="5"/>
  <c r="K658" i="5" s="1"/>
  <c r="R657" i="5"/>
  <c r="Q657" i="5"/>
  <c r="P657" i="5"/>
  <c r="N657" i="5"/>
  <c r="J657" i="5"/>
  <c r="I657" i="5"/>
  <c r="H657" i="5"/>
  <c r="F657" i="5"/>
  <c r="B657" i="5"/>
  <c r="O657" i="5" s="1"/>
  <c r="R656" i="5"/>
  <c r="O656" i="5"/>
  <c r="J656" i="5"/>
  <c r="G656" i="5"/>
  <c r="B656" i="5"/>
  <c r="Q656" i="5" s="1"/>
  <c r="B655" i="5"/>
  <c r="Q654" i="5"/>
  <c r="M654" i="5"/>
  <c r="L654" i="5"/>
  <c r="I654" i="5"/>
  <c r="E654" i="5"/>
  <c r="C654" i="5"/>
  <c r="B654" i="5"/>
  <c r="K654" i="5" s="1"/>
  <c r="R653" i="5"/>
  <c r="Q653" i="5"/>
  <c r="O653" i="5"/>
  <c r="N653" i="5"/>
  <c r="M653" i="5"/>
  <c r="L653" i="5"/>
  <c r="J653" i="5"/>
  <c r="I653" i="5"/>
  <c r="G653" i="5"/>
  <c r="F653" i="5"/>
  <c r="E653" i="5"/>
  <c r="C653" i="5"/>
  <c r="B653" i="5"/>
  <c r="K653" i="5" s="1"/>
  <c r="N652" i="5"/>
  <c r="F652" i="5"/>
  <c r="B652" i="5"/>
  <c r="M652" i="5" s="1"/>
  <c r="P651" i="5"/>
  <c r="O651" i="5"/>
  <c r="N651" i="5"/>
  <c r="L651" i="5"/>
  <c r="H651" i="5"/>
  <c r="G651" i="5"/>
  <c r="F651" i="5"/>
  <c r="C651" i="5"/>
  <c r="B651" i="5"/>
  <c r="M651" i="5" s="1"/>
  <c r="R650" i="5"/>
  <c r="Q650" i="5"/>
  <c r="P650" i="5"/>
  <c r="O650" i="5"/>
  <c r="N650" i="5"/>
  <c r="M650" i="5"/>
  <c r="L650" i="5"/>
  <c r="J650" i="5"/>
  <c r="I650" i="5"/>
  <c r="H650" i="5"/>
  <c r="G650" i="5"/>
  <c r="F650" i="5"/>
  <c r="E650" i="5"/>
  <c r="C650" i="5"/>
  <c r="A650" i="5" s="1"/>
  <c r="B650" i="5"/>
  <c r="K650" i="5" s="1"/>
  <c r="R649" i="5"/>
  <c r="Q649" i="5"/>
  <c r="P649" i="5"/>
  <c r="N649" i="5"/>
  <c r="J649" i="5"/>
  <c r="I649" i="5"/>
  <c r="H649" i="5"/>
  <c r="F649" i="5"/>
  <c r="B649" i="5"/>
  <c r="O649" i="5" s="1"/>
  <c r="R648" i="5"/>
  <c r="O648" i="5"/>
  <c r="J648" i="5"/>
  <c r="G648" i="5"/>
  <c r="B648" i="5"/>
  <c r="Q648" i="5" s="1"/>
  <c r="B647" i="5"/>
  <c r="Q646" i="5"/>
  <c r="M646" i="5"/>
  <c r="L646" i="5"/>
  <c r="I646" i="5"/>
  <c r="E646" i="5"/>
  <c r="C646" i="5"/>
  <c r="B646" i="5"/>
  <c r="K646" i="5" s="1"/>
  <c r="R645" i="5"/>
  <c r="Q645" i="5"/>
  <c r="O645" i="5"/>
  <c r="N645" i="5"/>
  <c r="M645" i="5"/>
  <c r="L645" i="5"/>
  <c r="J645" i="5"/>
  <c r="I645" i="5"/>
  <c r="G645" i="5"/>
  <c r="F645" i="5"/>
  <c r="E645" i="5"/>
  <c r="C645" i="5"/>
  <c r="B645" i="5"/>
  <c r="K645" i="5" s="1"/>
  <c r="N644" i="5"/>
  <c r="F644" i="5"/>
  <c r="B644" i="5"/>
  <c r="M644" i="5" s="1"/>
  <c r="P643" i="5"/>
  <c r="O643" i="5"/>
  <c r="N643" i="5"/>
  <c r="L643" i="5"/>
  <c r="H643" i="5"/>
  <c r="G643" i="5"/>
  <c r="F643" i="5"/>
  <c r="C643" i="5"/>
  <c r="B643" i="5"/>
  <c r="M643" i="5" s="1"/>
  <c r="R642" i="5"/>
  <c r="Q642" i="5"/>
  <c r="P642" i="5"/>
  <c r="O642" i="5"/>
  <c r="N642" i="5"/>
  <c r="M642" i="5"/>
  <c r="L642" i="5"/>
  <c r="J642" i="5"/>
  <c r="I642" i="5"/>
  <c r="H642" i="5"/>
  <c r="G642" i="5"/>
  <c r="F642" i="5"/>
  <c r="E642" i="5"/>
  <c r="C642" i="5"/>
  <c r="A642" i="5" s="1"/>
  <c r="B642" i="5"/>
  <c r="K642" i="5" s="1"/>
  <c r="R641" i="5"/>
  <c r="Q641" i="5"/>
  <c r="P641" i="5"/>
  <c r="N641" i="5"/>
  <c r="J641" i="5"/>
  <c r="I641" i="5"/>
  <c r="H641" i="5"/>
  <c r="F641" i="5"/>
  <c r="B641" i="5"/>
  <c r="O641" i="5" s="1"/>
  <c r="R640" i="5"/>
  <c r="O640" i="5"/>
  <c r="J640" i="5"/>
  <c r="G640" i="5"/>
  <c r="B640" i="5"/>
  <c r="Q640" i="5" s="1"/>
  <c r="B639" i="5"/>
  <c r="Q638" i="5"/>
  <c r="M638" i="5"/>
  <c r="L638" i="5"/>
  <c r="I638" i="5"/>
  <c r="E638" i="5"/>
  <c r="C638" i="5"/>
  <c r="B638" i="5"/>
  <c r="K638" i="5" s="1"/>
  <c r="R637" i="5"/>
  <c r="Q637" i="5"/>
  <c r="O637" i="5"/>
  <c r="N637" i="5"/>
  <c r="M637" i="5"/>
  <c r="L637" i="5"/>
  <c r="J637" i="5"/>
  <c r="I637" i="5"/>
  <c r="G637" i="5"/>
  <c r="F637" i="5"/>
  <c r="E637" i="5"/>
  <c r="C637" i="5"/>
  <c r="B637" i="5"/>
  <c r="K637" i="5" s="1"/>
  <c r="N636" i="5"/>
  <c r="F636" i="5"/>
  <c r="B636" i="5"/>
  <c r="M636" i="5" s="1"/>
  <c r="P635" i="5"/>
  <c r="O635" i="5"/>
  <c r="N635" i="5"/>
  <c r="L635" i="5"/>
  <c r="H635" i="5"/>
  <c r="G635" i="5"/>
  <c r="F635" i="5"/>
  <c r="C635" i="5"/>
  <c r="B635" i="5"/>
  <c r="M635" i="5" s="1"/>
  <c r="R634" i="5"/>
  <c r="Q634" i="5"/>
  <c r="P634" i="5"/>
  <c r="O634" i="5"/>
  <c r="N634" i="5"/>
  <c r="M634" i="5"/>
  <c r="L634" i="5"/>
  <c r="J634" i="5"/>
  <c r="I634" i="5"/>
  <c r="H634" i="5"/>
  <c r="G634" i="5"/>
  <c r="F634" i="5"/>
  <c r="E634" i="5"/>
  <c r="C634" i="5"/>
  <c r="A634" i="5" s="1"/>
  <c r="B634" i="5"/>
  <c r="K634" i="5" s="1"/>
  <c r="R633" i="5"/>
  <c r="Q633" i="5"/>
  <c r="P633" i="5"/>
  <c r="N633" i="5"/>
  <c r="J633" i="5"/>
  <c r="I633" i="5"/>
  <c r="H633" i="5"/>
  <c r="F633" i="5"/>
  <c r="B633" i="5"/>
  <c r="O633" i="5" s="1"/>
  <c r="R632" i="5"/>
  <c r="O632" i="5"/>
  <c r="J632" i="5"/>
  <c r="G632" i="5"/>
  <c r="B632" i="5"/>
  <c r="Q632" i="5" s="1"/>
  <c r="B631" i="5"/>
  <c r="Q630" i="5"/>
  <c r="M630" i="5"/>
  <c r="L630" i="5"/>
  <c r="I630" i="5"/>
  <c r="E630" i="5"/>
  <c r="C630" i="5"/>
  <c r="B630" i="5"/>
  <c r="K630" i="5" s="1"/>
  <c r="R629" i="5"/>
  <c r="Q629" i="5"/>
  <c r="O629" i="5"/>
  <c r="N629" i="5"/>
  <c r="M629" i="5"/>
  <c r="L629" i="5"/>
  <c r="J629" i="5"/>
  <c r="I629" i="5"/>
  <c r="G629" i="5"/>
  <c r="F629" i="5"/>
  <c r="E629" i="5"/>
  <c r="C629" i="5"/>
  <c r="B629" i="5"/>
  <c r="K629" i="5" s="1"/>
  <c r="N628" i="5"/>
  <c r="F628" i="5"/>
  <c r="B628" i="5"/>
  <c r="M628" i="5" s="1"/>
  <c r="P627" i="5"/>
  <c r="O627" i="5"/>
  <c r="N627" i="5"/>
  <c r="L627" i="5"/>
  <c r="H627" i="5"/>
  <c r="G627" i="5"/>
  <c r="F627" i="5"/>
  <c r="C627" i="5"/>
  <c r="B627" i="5"/>
  <c r="M627" i="5" s="1"/>
  <c r="R626" i="5"/>
  <c r="Q626" i="5"/>
  <c r="P626" i="5"/>
  <c r="O626" i="5"/>
  <c r="N626" i="5"/>
  <c r="M626" i="5"/>
  <c r="L626" i="5"/>
  <c r="J626" i="5"/>
  <c r="I626" i="5"/>
  <c r="H626" i="5"/>
  <c r="G626" i="5"/>
  <c r="F626" i="5"/>
  <c r="E626" i="5"/>
  <c r="C626" i="5"/>
  <c r="A626" i="5" s="1"/>
  <c r="B626" i="5"/>
  <c r="K626" i="5" s="1"/>
  <c r="R625" i="5"/>
  <c r="Q625" i="5"/>
  <c r="P625" i="5"/>
  <c r="N625" i="5"/>
  <c r="J625" i="5"/>
  <c r="I625" i="5"/>
  <c r="H625" i="5"/>
  <c r="F625" i="5"/>
  <c r="B625" i="5"/>
  <c r="O625" i="5" s="1"/>
  <c r="R624" i="5"/>
  <c r="O624" i="5"/>
  <c r="J624" i="5"/>
  <c r="G624" i="5"/>
  <c r="B624" i="5"/>
  <c r="Q624" i="5" s="1"/>
  <c r="B623" i="5"/>
  <c r="Q622" i="5"/>
  <c r="M622" i="5"/>
  <c r="L622" i="5"/>
  <c r="I622" i="5"/>
  <c r="E622" i="5"/>
  <c r="C622" i="5"/>
  <c r="B622" i="5"/>
  <c r="K622" i="5" s="1"/>
  <c r="R621" i="5"/>
  <c r="Q621" i="5"/>
  <c r="O621" i="5"/>
  <c r="N621" i="5"/>
  <c r="M621" i="5"/>
  <c r="L621" i="5"/>
  <c r="J621" i="5"/>
  <c r="I621" i="5"/>
  <c r="G621" i="5"/>
  <c r="F621" i="5"/>
  <c r="E621" i="5"/>
  <c r="C621" i="5"/>
  <c r="B621" i="5"/>
  <c r="K621" i="5" s="1"/>
  <c r="N620" i="5"/>
  <c r="F620" i="5"/>
  <c r="B620" i="5"/>
  <c r="M620" i="5" s="1"/>
  <c r="P619" i="5"/>
  <c r="O619" i="5"/>
  <c r="N619" i="5"/>
  <c r="L619" i="5"/>
  <c r="H619" i="5"/>
  <c r="G619" i="5"/>
  <c r="F619" i="5"/>
  <c r="C619" i="5"/>
  <c r="B619" i="5"/>
  <c r="M619" i="5" s="1"/>
  <c r="R618" i="5"/>
  <c r="Q618" i="5"/>
  <c r="P618" i="5"/>
  <c r="O618" i="5"/>
  <c r="N618" i="5"/>
  <c r="M618" i="5"/>
  <c r="L618" i="5"/>
  <c r="J618" i="5"/>
  <c r="I618" i="5"/>
  <c r="H618" i="5"/>
  <c r="G618" i="5"/>
  <c r="F618" i="5"/>
  <c r="E618" i="5"/>
  <c r="C618" i="5"/>
  <c r="A618" i="5" s="1"/>
  <c r="B618" i="5"/>
  <c r="K618" i="5" s="1"/>
  <c r="R617" i="5"/>
  <c r="Q617" i="5"/>
  <c r="P617" i="5"/>
  <c r="N617" i="5"/>
  <c r="J617" i="5"/>
  <c r="I617" i="5"/>
  <c r="H617" i="5"/>
  <c r="F617" i="5"/>
  <c r="B617" i="5"/>
  <c r="O617" i="5" s="1"/>
  <c r="R616" i="5"/>
  <c r="O616" i="5"/>
  <c r="J616" i="5"/>
  <c r="G616" i="5"/>
  <c r="B616" i="5"/>
  <c r="Q616" i="5" s="1"/>
  <c r="B615" i="5"/>
  <c r="Q614" i="5"/>
  <c r="M614" i="5"/>
  <c r="L614" i="5"/>
  <c r="I614" i="5"/>
  <c r="E614" i="5"/>
  <c r="C614" i="5"/>
  <c r="B614" i="5"/>
  <c r="K614" i="5" s="1"/>
  <c r="R613" i="5"/>
  <c r="Q613" i="5"/>
  <c r="O613" i="5"/>
  <c r="N613" i="5"/>
  <c r="M613" i="5"/>
  <c r="L613" i="5"/>
  <c r="J613" i="5"/>
  <c r="I613" i="5"/>
  <c r="G613" i="5"/>
  <c r="F613" i="5"/>
  <c r="E613" i="5"/>
  <c r="C613" i="5"/>
  <c r="B613" i="5"/>
  <c r="K613" i="5" s="1"/>
  <c r="N612" i="5"/>
  <c r="F612" i="5"/>
  <c r="B612" i="5"/>
  <c r="M612" i="5" s="1"/>
  <c r="P611" i="5"/>
  <c r="O611" i="5"/>
  <c r="N611" i="5"/>
  <c r="L611" i="5"/>
  <c r="H611" i="5"/>
  <c r="G611" i="5"/>
  <c r="F611" i="5"/>
  <c r="C611" i="5"/>
  <c r="B611" i="5"/>
  <c r="M611" i="5" s="1"/>
  <c r="R610" i="5"/>
  <c r="Q610" i="5"/>
  <c r="P610" i="5"/>
  <c r="O610" i="5"/>
  <c r="N610" i="5"/>
  <c r="M610" i="5"/>
  <c r="L610" i="5"/>
  <c r="J610" i="5"/>
  <c r="I610" i="5"/>
  <c r="H610" i="5"/>
  <c r="G610" i="5"/>
  <c r="F610" i="5"/>
  <c r="E610" i="5"/>
  <c r="C610" i="5"/>
  <c r="A610" i="5" s="1"/>
  <c r="B610" i="5"/>
  <c r="K610" i="5" s="1"/>
  <c r="R609" i="5"/>
  <c r="Q609" i="5"/>
  <c r="P609" i="5"/>
  <c r="N609" i="5"/>
  <c r="J609" i="5"/>
  <c r="I609" i="5"/>
  <c r="H609" i="5"/>
  <c r="F609" i="5"/>
  <c r="E609" i="5"/>
  <c r="B609" i="5"/>
  <c r="O609" i="5" s="1"/>
  <c r="R608" i="5"/>
  <c r="O608" i="5"/>
  <c r="J608" i="5"/>
  <c r="G608" i="5"/>
  <c r="B608" i="5"/>
  <c r="Q608" i="5" s="1"/>
  <c r="B607" i="5"/>
  <c r="Q606" i="5"/>
  <c r="M606" i="5"/>
  <c r="L606" i="5"/>
  <c r="I606" i="5"/>
  <c r="E606" i="5"/>
  <c r="C606" i="5"/>
  <c r="B606" i="5"/>
  <c r="K606" i="5" s="1"/>
  <c r="R605" i="5"/>
  <c r="Q605" i="5"/>
  <c r="O605" i="5"/>
  <c r="N605" i="5"/>
  <c r="M605" i="5"/>
  <c r="L605" i="5"/>
  <c r="J605" i="5"/>
  <c r="I605" i="5"/>
  <c r="G605" i="5"/>
  <c r="F605" i="5"/>
  <c r="E605" i="5"/>
  <c r="C605" i="5"/>
  <c r="B605" i="5"/>
  <c r="K605" i="5" s="1"/>
  <c r="N604" i="5"/>
  <c r="F604" i="5"/>
  <c r="B604" i="5"/>
  <c r="M604" i="5" s="1"/>
  <c r="P603" i="5"/>
  <c r="O603" i="5"/>
  <c r="N603" i="5"/>
  <c r="L603" i="5"/>
  <c r="H603" i="5"/>
  <c r="G603" i="5"/>
  <c r="F603" i="5"/>
  <c r="C603" i="5"/>
  <c r="B603" i="5"/>
  <c r="M603" i="5" s="1"/>
  <c r="R602" i="5"/>
  <c r="Q602" i="5"/>
  <c r="P602" i="5"/>
  <c r="O602" i="5"/>
  <c r="N602" i="5"/>
  <c r="M602" i="5"/>
  <c r="L602" i="5"/>
  <c r="J602" i="5"/>
  <c r="I602" i="5"/>
  <c r="H602" i="5"/>
  <c r="G602" i="5"/>
  <c r="F602" i="5"/>
  <c r="E602" i="5"/>
  <c r="C602" i="5"/>
  <c r="B602" i="5"/>
  <c r="K602" i="5" s="1"/>
  <c r="R601" i="5"/>
  <c r="Q601" i="5"/>
  <c r="P601" i="5"/>
  <c r="N601" i="5"/>
  <c r="J601" i="5"/>
  <c r="I601" i="5"/>
  <c r="H601" i="5"/>
  <c r="F601" i="5"/>
  <c r="B601" i="5"/>
  <c r="O601" i="5" s="1"/>
  <c r="R600" i="5"/>
  <c r="O600" i="5"/>
  <c r="J600" i="5"/>
  <c r="G600" i="5"/>
  <c r="B600" i="5"/>
  <c r="Q600" i="5" s="1"/>
  <c r="B599" i="5"/>
  <c r="Q598" i="5"/>
  <c r="M598" i="5"/>
  <c r="L598" i="5"/>
  <c r="I598" i="5"/>
  <c r="E598" i="5"/>
  <c r="C598" i="5"/>
  <c r="B598" i="5"/>
  <c r="K598" i="5" s="1"/>
  <c r="R597" i="5"/>
  <c r="Q597" i="5"/>
  <c r="O597" i="5"/>
  <c r="N597" i="5"/>
  <c r="M597" i="5"/>
  <c r="L597" i="5"/>
  <c r="J597" i="5"/>
  <c r="I597" i="5"/>
  <c r="G597" i="5"/>
  <c r="F597" i="5"/>
  <c r="E597" i="5"/>
  <c r="C597" i="5"/>
  <c r="B597" i="5"/>
  <c r="K597" i="5" s="1"/>
  <c r="N596" i="5"/>
  <c r="F596" i="5"/>
  <c r="B596" i="5"/>
  <c r="M596" i="5" s="1"/>
  <c r="P595" i="5"/>
  <c r="O595" i="5"/>
  <c r="N595" i="5"/>
  <c r="L595" i="5"/>
  <c r="H595" i="5"/>
  <c r="G595" i="5"/>
  <c r="F595" i="5"/>
  <c r="C595" i="5"/>
  <c r="B595" i="5"/>
  <c r="M595" i="5" s="1"/>
  <c r="R594" i="5"/>
  <c r="Q594" i="5"/>
  <c r="P594" i="5"/>
  <c r="O594" i="5"/>
  <c r="N594" i="5"/>
  <c r="M594" i="5"/>
  <c r="L594" i="5"/>
  <c r="J594" i="5"/>
  <c r="I594" i="5"/>
  <c r="H594" i="5"/>
  <c r="G594" i="5"/>
  <c r="F594" i="5"/>
  <c r="E594" i="5"/>
  <c r="C594" i="5"/>
  <c r="B594" i="5"/>
  <c r="K594" i="5" s="1"/>
  <c r="R593" i="5"/>
  <c r="Q593" i="5"/>
  <c r="P593" i="5"/>
  <c r="N593" i="5"/>
  <c r="J593" i="5"/>
  <c r="I593" i="5"/>
  <c r="H593" i="5"/>
  <c r="F593" i="5"/>
  <c r="B593" i="5"/>
  <c r="O593" i="5" s="1"/>
  <c r="R592" i="5"/>
  <c r="O592" i="5"/>
  <c r="J592" i="5"/>
  <c r="G592" i="5"/>
  <c r="B592" i="5"/>
  <c r="Q592" i="5" s="1"/>
  <c r="B591" i="5"/>
  <c r="Q590" i="5"/>
  <c r="M590" i="5"/>
  <c r="L590" i="5"/>
  <c r="I590" i="5"/>
  <c r="E590" i="5"/>
  <c r="C590" i="5"/>
  <c r="B590" i="5"/>
  <c r="K590" i="5" s="1"/>
  <c r="R589" i="5"/>
  <c r="Q589" i="5"/>
  <c r="O589" i="5"/>
  <c r="N589" i="5"/>
  <c r="M589" i="5"/>
  <c r="L589" i="5"/>
  <c r="J589" i="5"/>
  <c r="I589" i="5"/>
  <c r="G589" i="5"/>
  <c r="F589" i="5"/>
  <c r="E589" i="5"/>
  <c r="C589" i="5"/>
  <c r="B589" i="5"/>
  <c r="K589" i="5" s="1"/>
  <c r="N588" i="5"/>
  <c r="F588" i="5"/>
  <c r="B588" i="5"/>
  <c r="M588" i="5" s="1"/>
  <c r="P587" i="5"/>
  <c r="O587" i="5"/>
  <c r="N587" i="5"/>
  <c r="L587" i="5"/>
  <c r="H587" i="5"/>
  <c r="G587" i="5"/>
  <c r="F587" i="5"/>
  <c r="C587" i="5"/>
  <c r="B587" i="5"/>
  <c r="M587" i="5" s="1"/>
  <c r="R586" i="5"/>
  <c r="Q586" i="5"/>
  <c r="P586" i="5"/>
  <c r="O586" i="5"/>
  <c r="N586" i="5"/>
  <c r="M586" i="5"/>
  <c r="L586" i="5"/>
  <c r="J586" i="5"/>
  <c r="I586" i="5"/>
  <c r="H586" i="5"/>
  <c r="G586" i="5"/>
  <c r="F586" i="5"/>
  <c r="E586" i="5"/>
  <c r="C586" i="5"/>
  <c r="A586" i="5" s="1"/>
  <c r="B586" i="5"/>
  <c r="K586" i="5" s="1"/>
  <c r="R585" i="5"/>
  <c r="Q585" i="5"/>
  <c r="P585" i="5"/>
  <c r="N585" i="5"/>
  <c r="J585" i="5"/>
  <c r="I585" i="5"/>
  <c r="H585" i="5"/>
  <c r="F585" i="5"/>
  <c r="B585" i="5"/>
  <c r="O585" i="5" s="1"/>
  <c r="R584" i="5"/>
  <c r="O584" i="5"/>
  <c r="J584" i="5"/>
  <c r="G584" i="5"/>
  <c r="B584" i="5"/>
  <c r="Q584" i="5" s="1"/>
  <c r="B583" i="5"/>
  <c r="Q582" i="5"/>
  <c r="M582" i="5"/>
  <c r="L582" i="5"/>
  <c r="I582" i="5"/>
  <c r="E582" i="5"/>
  <c r="C582" i="5"/>
  <c r="B582" i="5"/>
  <c r="K582" i="5" s="1"/>
  <c r="R581" i="5"/>
  <c r="Q581" i="5"/>
  <c r="O581" i="5"/>
  <c r="N581" i="5"/>
  <c r="M581" i="5"/>
  <c r="L581" i="5"/>
  <c r="J581" i="5"/>
  <c r="I581" i="5"/>
  <c r="G581" i="5"/>
  <c r="F581" i="5"/>
  <c r="E581" i="5"/>
  <c r="C581" i="5"/>
  <c r="B581" i="5"/>
  <c r="K581" i="5" s="1"/>
  <c r="N580" i="5"/>
  <c r="F580" i="5"/>
  <c r="B580" i="5"/>
  <c r="M580" i="5" s="1"/>
  <c r="P579" i="5"/>
  <c r="O579" i="5"/>
  <c r="N579" i="5"/>
  <c r="L579" i="5"/>
  <c r="H579" i="5"/>
  <c r="G579" i="5"/>
  <c r="F579" i="5"/>
  <c r="C579" i="5"/>
  <c r="B579" i="5"/>
  <c r="M579" i="5" s="1"/>
  <c r="R578" i="5"/>
  <c r="Q578" i="5"/>
  <c r="P578" i="5"/>
  <c r="O578" i="5"/>
  <c r="N578" i="5"/>
  <c r="M578" i="5"/>
  <c r="L578" i="5"/>
  <c r="J578" i="5"/>
  <c r="I578" i="5"/>
  <c r="H578" i="5"/>
  <c r="G578" i="5"/>
  <c r="F578" i="5"/>
  <c r="E578" i="5"/>
  <c r="C578" i="5"/>
  <c r="A578" i="5" s="1"/>
  <c r="B578" i="5"/>
  <c r="K578" i="5" s="1"/>
  <c r="R577" i="5"/>
  <c r="Q577" i="5"/>
  <c r="P577" i="5"/>
  <c r="N577" i="5"/>
  <c r="M577" i="5"/>
  <c r="J577" i="5"/>
  <c r="I577" i="5"/>
  <c r="H577" i="5"/>
  <c r="F577" i="5"/>
  <c r="E577" i="5"/>
  <c r="B577" i="5"/>
  <c r="O577" i="5" s="1"/>
  <c r="R576" i="5"/>
  <c r="O576" i="5"/>
  <c r="J576" i="5"/>
  <c r="G576" i="5"/>
  <c r="B576" i="5"/>
  <c r="Q576" i="5" s="1"/>
  <c r="K575" i="5"/>
  <c r="B575" i="5"/>
  <c r="Q574" i="5"/>
  <c r="M574" i="5"/>
  <c r="L574" i="5"/>
  <c r="I574" i="5"/>
  <c r="E574" i="5"/>
  <c r="C574" i="5"/>
  <c r="B574" i="5"/>
  <c r="K574" i="5" s="1"/>
  <c r="R573" i="5"/>
  <c r="Q573" i="5"/>
  <c r="O573" i="5"/>
  <c r="N573" i="5"/>
  <c r="M573" i="5"/>
  <c r="L573" i="5"/>
  <c r="J573" i="5"/>
  <c r="I573" i="5"/>
  <c r="G573" i="5"/>
  <c r="F573" i="5"/>
  <c r="E573" i="5"/>
  <c r="C573" i="5"/>
  <c r="B573" i="5"/>
  <c r="K573" i="5" s="1"/>
  <c r="N572" i="5"/>
  <c r="F572" i="5"/>
  <c r="B572" i="5"/>
  <c r="M572" i="5" s="1"/>
  <c r="P571" i="5"/>
  <c r="O571" i="5"/>
  <c r="N571" i="5"/>
  <c r="L571" i="5"/>
  <c r="H571" i="5"/>
  <c r="G571" i="5"/>
  <c r="F571" i="5"/>
  <c r="C571" i="5"/>
  <c r="B571" i="5"/>
  <c r="M571" i="5" s="1"/>
  <c r="R570" i="5"/>
  <c r="Q570" i="5"/>
  <c r="P570" i="5"/>
  <c r="O570" i="5"/>
  <c r="N570" i="5"/>
  <c r="M570" i="5"/>
  <c r="L570" i="5"/>
  <c r="J570" i="5"/>
  <c r="I570" i="5"/>
  <c r="H570" i="5"/>
  <c r="G570" i="5"/>
  <c r="F570" i="5"/>
  <c r="E570" i="5"/>
  <c r="C570" i="5"/>
  <c r="A570" i="5" s="1"/>
  <c r="B570" i="5"/>
  <c r="K570" i="5" s="1"/>
  <c r="R569" i="5"/>
  <c r="Q569" i="5"/>
  <c r="P569" i="5"/>
  <c r="N569" i="5"/>
  <c r="M569" i="5"/>
  <c r="J569" i="5"/>
  <c r="I569" i="5"/>
  <c r="H569" i="5"/>
  <c r="F569" i="5"/>
  <c r="E569" i="5"/>
  <c r="B569" i="5"/>
  <c r="O569" i="5" s="1"/>
  <c r="R568" i="5"/>
  <c r="O568" i="5"/>
  <c r="J568" i="5"/>
  <c r="G568" i="5"/>
  <c r="B568" i="5"/>
  <c r="Q568" i="5" s="1"/>
  <c r="B567" i="5"/>
  <c r="Q566" i="5"/>
  <c r="M566" i="5"/>
  <c r="L566" i="5"/>
  <c r="I566" i="5"/>
  <c r="E566" i="5"/>
  <c r="C566" i="5"/>
  <c r="B566" i="5"/>
  <c r="K566" i="5" s="1"/>
  <c r="R565" i="5"/>
  <c r="Q565" i="5"/>
  <c r="O565" i="5"/>
  <c r="N565" i="5"/>
  <c r="M565" i="5"/>
  <c r="L565" i="5"/>
  <c r="J565" i="5"/>
  <c r="I565" i="5"/>
  <c r="G565" i="5"/>
  <c r="F565" i="5"/>
  <c r="E565" i="5"/>
  <c r="C565" i="5"/>
  <c r="B565" i="5"/>
  <c r="K565" i="5" s="1"/>
  <c r="N564" i="5"/>
  <c r="F564" i="5"/>
  <c r="B564" i="5"/>
  <c r="M564" i="5" s="1"/>
  <c r="P563" i="5"/>
  <c r="O563" i="5"/>
  <c r="N563" i="5"/>
  <c r="L563" i="5"/>
  <c r="H563" i="5"/>
  <c r="G563" i="5"/>
  <c r="F563" i="5"/>
  <c r="C563" i="5"/>
  <c r="B563" i="5"/>
  <c r="M563" i="5" s="1"/>
  <c r="R562" i="5"/>
  <c r="Q562" i="5"/>
  <c r="P562" i="5"/>
  <c r="O562" i="5"/>
  <c r="N562" i="5"/>
  <c r="M562" i="5"/>
  <c r="L562" i="5"/>
  <c r="J562" i="5"/>
  <c r="I562" i="5"/>
  <c r="H562" i="5"/>
  <c r="G562" i="5"/>
  <c r="F562" i="5"/>
  <c r="E562" i="5"/>
  <c r="C562" i="5"/>
  <c r="B562" i="5"/>
  <c r="K562" i="5" s="1"/>
  <c r="R561" i="5"/>
  <c r="Q561" i="5"/>
  <c r="P561" i="5"/>
  <c r="N561" i="5"/>
  <c r="M561" i="5"/>
  <c r="J561" i="5"/>
  <c r="I561" i="5"/>
  <c r="H561" i="5"/>
  <c r="F561" i="5"/>
  <c r="E561" i="5"/>
  <c r="B561" i="5"/>
  <c r="O561" i="5" s="1"/>
  <c r="R560" i="5"/>
  <c r="O560" i="5"/>
  <c r="J560" i="5"/>
  <c r="G560" i="5"/>
  <c r="B560" i="5"/>
  <c r="Q560" i="5" s="1"/>
  <c r="K559" i="5"/>
  <c r="B559" i="5"/>
  <c r="Q558" i="5"/>
  <c r="M558" i="5"/>
  <c r="L558" i="5"/>
  <c r="I558" i="5"/>
  <c r="E558" i="5"/>
  <c r="C558" i="5"/>
  <c r="B558" i="5"/>
  <c r="K558" i="5" s="1"/>
  <c r="R557" i="5"/>
  <c r="Q557" i="5"/>
  <c r="O557" i="5"/>
  <c r="N557" i="5"/>
  <c r="M557" i="5"/>
  <c r="L557" i="5"/>
  <c r="J557" i="5"/>
  <c r="I557" i="5"/>
  <c r="G557" i="5"/>
  <c r="F557" i="5"/>
  <c r="E557" i="5"/>
  <c r="C557" i="5"/>
  <c r="B557" i="5"/>
  <c r="K557" i="5" s="1"/>
  <c r="N556" i="5"/>
  <c r="F556" i="5"/>
  <c r="B556" i="5"/>
  <c r="M556" i="5" s="1"/>
  <c r="P555" i="5"/>
  <c r="O555" i="5"/>
  <c r="N555" i="5"/>
  <c r="L555" i="5"/>
  <c r="H555" i="5"/>
  <c r="G555" i="5"/>
  <c r="F555" i="5"/>
  <c r="C555" i="5"/>
  <c r="B555" i="5"/>
  <c r="M555" i="5" s="1"/>
  <c r="R554" i="5"/>
  <c r="Q554" i="5"/>
  <c r="P554" i="5"/>
  <c r="O554" i="5"/>
  <c r="N554" i="5"/>
  <c r="M554" i="5"/>
  <c r="L554" i="5"/>
  <c r="J554" i="5"/>
  <c r="I554" i="5"/>
  <c r="H554" i="5"/>
  <c r="G554" i="5"/>
  <c r="F554" i="5"/>
  <c r="E554" i="5"/>
  <c r="C554" i="5"/>
  <c r="B554" i="5"/>
  <c r="K554" i="5" s="1"/>
  <c r="R553" i="5"/>
  <c r="Q553" i="5"/>
  <c r="P553" i="5"/>
  <c r="N553" i="5"/>
  <c r="M553" i="5"/>
  <c r="J553" i="5"/>
  <c r="I553" i="5"/>
  <c r="H553" i="5"/>
  <c r="F553" i="5"/>
  <c r="E553" i="5"/>
  <c r="B553" i="5"/>
  <c r="O553" i="5" s="1"/>
  <c r="R552" i="5"/>
  <c r="O552" i="5"/>
  <c r="J552" i="5"/>
  <c r="G552" i="5"/>
  <c r="B552" i="5"/>
  <c r="Q552" i="5" s="1"/>
  <c r="B551" i="5"/>
  <c r="Q550" i="5"/>
  <c r="M550" i="5"/>
  <c r="L550" i="5"/>
  <c r="I550" i="5"/>
  <c r="E550" i="5"/>
  <c r="C550" i="5"/>
  <c r="B550" i="5"/>
  <c r="K550" i="5" s="1"/>
  <c r="R549" i="5"/>
  <c r="Q549" i="5"/>
  <c r="O549" i="5"/>
  <c r="N549" i="5"/>
  <c r="M549" i="5"/>
  <c r="L549" i="5"/>
  <c r="J549" i="5"/>
  <c r="I549" i="5"/>
  <c r="G549" i="5"/>
  <c r="F549" i="5"/>
  <c r="E549" i="5"/>
  <c r="C549" i="5"/>
  <c r="B549" i="5"/>
  <c r="K549" i="5" s="1"/>
  <c r="N548" i="5"/>
  <c r="F548" i="5"/>
  <c r="B548" i="5"/>
  <c r="M548" i="5" s="1"/>
  <c r="P547" i="5"/>
  <c r="O547" i="5"/>
  <c r="N547" i="5"/>
  <c r="L547" i="5"/>
  <c r="H547" i="5"/>
  <c r="G547" i="5"/>
  <c r="F547" i="5"/>
  <c r="C547" i="5"/>
  <c r="B547" i="5"/>
  <c r="M547" i="5" s="1"/>
  <c r="R546" i="5"/>
  <c r="Q546" i="5"/>
  <c r="P546" i="5"/>
  <c r="O546" i="5"/>
  <c r="N546" i="5"/>
  <c r="M546" i="5"/>
  <c r="L546" i="5"/>
  <c r="J546" i="5"/>
  <c r="I546" i="5"/>
  <c r="H546" i="5"/>
  <c r="G546" i="5"/>
  <c r="F546" i="5"/>
  <c r="E546" i="5"/>
  <c r="C546" i="5"/>
  <c r="A546" i="5" s="1"/>
  <c r="B546" i="5"/>
  <c r="K546" i="5" s="1"/>
  <c r="R545" i="5"/>
  <c r="Q545" i="5"/>
  <c r="P545" i="5"/>
  <c r="N545" i="5"/>
  <c r="M545" i="5"/>
  <c r="J545" i="5"/>
  <c r="I545" i="5"/>
  <c r="H545" i="5"/>
  <c r="F545" i="5"/>
  <c r="E545" i="5"/>
  <c r="B545" i="5"/>
  <c r="O545" i="5" s="1"/>
  <c r="R544" i="5"/>
  <c r="O544" i="5"/>
  <c r="J544" i="5"/>
  <c r="G544" i="5"/>
  <c r="B544" i="5"/>
  <c r="Q544" i="5" s="1"/>
  <c r="K543" i="5"/>
  <c r="B543" i="5"/>
  <c r="Q542" i="5"/>
  <c r="M542" i="5"/>
  <c r="L542" i="5"/>
  <c r="I542" i="5"/>
  <c r="E542" i="5"/>
  <c r="C542" i="5"/>
  <c r="B542" i="5"/>
  <c r="K542" i="5" s="1"/>
  <c r="R541" i="5"/>
  <c r="Q541" i="5"/>
  <c r="O541" i="5"/>
  <c r="N541" i="5"/>
  <c r="M541" i="5"/>
  <c r="L541" i="5"/>
  <c r="J541" i="5"/>
  <c r="I541" i="5"/>
  <c r="G541" i="5"/>
  <c r="F541" i="5"/>
  <c r="E541" i="5"/>
  <c r="C541" i="5"/>
  <c r="B541" i="5"/>
  <c r="K541" i="5" s="1"/>
  <c r="N540" i="5"/>
  <c r="F540" i="5"/>
  <c r="B540" i="5"/>
  <c r="M540" i="5" s="1"/>
  <c r="P539" i="5"/>
  <c r="O539" i="5"/>
  <c r="N539" i="5"/>
  <c r="L539" i="5"/>
  <c r="H539" i="5"/>
  <c r="G539" i="5"/>
  <c r="F539" i="5"/>
  <c r="C539" i="5"/>
  <c r="B539" i="5"/>
  <c r="M539" i="5" s="1"/>
  <c r="R538" i="5"/>
  <c r="Q538" i="5"/>
  <c r="P538" i="5"/>
  <c r="O538" i="5"/>
  <c r="N538" i="5"/>
  <c r="M538" i="5"/>
  <c r="L538" i="5"/>
  <c r="J538" i="5"/>
  <c r="I538" i="5"/>
  <c r="H538" i="5"/>
  <c r="G538" i="5"/>
  <c r="F538" i="5"/>
  <c r="E538" i="5"/>
  <c r="C538" i="5"/>
  <c r="A538" i="5" s="1"/>
  <c r="B538" i="5"/>
  <c r="K538" i="5" s="1"/>
  <c r="R537" i="5"/>
  <c r="Q537" i="5"/>
  <c r="P537" i="5"/>
  <c r="N537" i="5"/>
  <c r="M537" i="5"/>
  <c r="J537" i="5"/>
  <c r="I537" i="5"/>
  <c r="H537" i="5"/>
  <c r="F537" i="5"/>
  <c r="E537" i="5"/>
  <c r="B537" i="5"/>
  <c r="O537" i="5" s="1"/>
  <c r="R536" i="5"/>
  <c r="O536" i="5"/>
  <c r="J536" i="5"/>
  <c r="G536" i="5"/>
  <c r="B536" i="5"/>
  <c r="Q536" i="5" s="1"/>
  <c r="B535" i="5"/>
  <c r="Q534" i="5"/>
  <c r="M534" i="5"/>
  <c r="L534" i="5"/>
  <c r="I534" i="5"/>
  <c r="E534" i="5"/>
  <c r="C534" i="5"/>
  <c r="B534" i="5"/>
  <c r="K534" i="5" s="1"/>
  <c r="R533" i="5"/>
  <c r="Q533" i="5"/>
  <c r="O533" i="5"/>
  <c r="N533" i="5"/>
  <c r="M533" i="5"/>
  <c r="L533" i="5"/>
  <c r="J533" i="5"/>
  <c r="I533" i="5"/>
  <c r="G533" i="5"/>
  <c r="F533" i="5"/>
  <c r="E533" i="5"/>
  <c r="C533" i="5"/>
  <c r="B533" i="5"/>
  <c r="K533" i="5" s="1"/>
  <c r="B532" i="5"/>
  <c r="P531" i="5"/>
  <c r="O531" i="5"/>
  <c r="N531" i="5"/>
  <c r="L531" i="5"/>
  <c r="H531" i="5"/>
  <c r="G531" i="5"/>
  <c r="F531" i="5"/>
  <c r="C531" i="5"/>
  <c r="B531" i="5"/>
  <c r="M531" i="5" s="1"/>
  <c r="R530" i="5"/>
  <c r="Q530" i="5"/>
  <c r="P530" i="5"/>
  <c r="O530" i="5"/>
  <c r="N530" i="5"/>
  <c r="M530" i="5"/>
  <c r="L530" i="5"/>
  <c r="J530" i="5"/>
  <c r="I530" i="5"/>
  <c r="H530" i="5"/>
  <c r="G530" i="5"/>
  <c r="F530" i="5"/>
  <c r="E530" i="5"/>
  <c r="C530" i="5"/>
  <c r="B530" i="5"/>
  <c r="K530" i="5" s="1"/>
  <c r="R529" i="5"/>
  <c r="Q529" i="5"/>
  <c r="P529" i="5"/>
  <c r="N529" i="5"/>
  <c r="M529" i="5"/>
  <c r="J529" i="5"/>
  <c r="I529" i="5"/>
  <c r="H529" i="5"/>
  <c r="F529" i="5"/>
  <c r="E529" i="5"/>
  <c r="B529" i="5"/>
  <c r="O529" i="5" s="1"/>
  <c r="G528" i="5"/>
  <c r="B528" i="5"/>
  <c r="P527" i="5"/>
  <c r="B527" i="5"/>
  <c r="Q526" i="5"/>
  <c r="M526" i="5"/>
  <c r="L526" i="5"/>
  <c r="I526" i="5"/>
  <c r="E526" i="5"/>
  <c r="C526" i="5"/>
  <c r="B526" i="5"/>
  <c r="K526" i="5" s="1"/>
  <c r="R525" i="5"/>
  <c r="Q525" i="5"/>
  <c r="O525" i="5"/>
  <c r="N525" i="5"/>
  <c r="M525" i="5"/>
  <c r="L525" i="5"/>
  <c r="J525" i="5"/>
  <c r="I525" i="5"/>
  <c r="G525" i="5"/>
  <c r="F525" i="5"/>
  <c r="E525" i="5"/>
  <c r="C525" i="5"/>
  <c r="B525" i="5"/>
  <c r="K525" i="5" s="1"/>
  <c r="B524" i="5"/>
  <c r="P523" i="5"/>
  <c r="O523" i="5"/>
  <c r="N523" i="5"/>
  <c r="L523" i="5"/>
  <c r="H523" i="5"/>
  <c r="G523" i="5"/>
  <c r="F523" i="5"/>
  <c r="C523" i="5"/>
  <c r="B523" i="5"/>
  <c r="M523" i="5" s="1"/>
  <c r="R522" i="5"/>
  <c r="Q522" i="5"/>
  <c r="P522" i="5"/>
  <c r="O522" i="5"/>
  <c r="N522" i="5"/>
  <c r="M522" i="5"/>
  <c r="L522" i="5"/>
  <c r="J522" i="5"/>
  <c r="I522" i="5"/>
  <c r="H522" i="5"/>
  <c r="G522" i="5"/>
  <c r="F522" i="5"/>
  <c r="E522" i="5"/>
  <c r="C522" i="5"/>
  <c r="B522" i="5"/>
  <c r="K522" i="5" s="1"/>
  <c r="R521" i="5"/>
  <c r="Q521" i="5"/>
  <c r="P521" i="5"/>
  <c r="N521" i="5"/>
  <c r="M521" i="5"/>
  <c r="J521" i="5"/>
  <c r="I521" i="5"/>
  <c r="H521" i="5"/>
  <c r="F521" i="5"/>
  <c r="E521" i="5"/>
  <c r="B521" i="5"/>
  <c r="O521" i="5" s="1"/>
  <c r="R520" i="5"/>
  <c r="O520" i="5"/>
  <c r="K520" i="5"/>
  <c r="J520" i="5"/>
  <c r="G520" i="5"/>
  <c r="B520" i="5"/>
  <c r="P519" i="5"/>
  <c r="L519" i="5"/>
  <c r="K519" i="5"/>
  <c r="H519" i="5"/>
  <c r="C519" i="5"/>
  <c r="B519" i="5"/>
  <c r="Q518" i="5"/>
  <c r="M518" i="5"/>
  <c r="L518" i="5"/>
  <c r="I518" i="5"/>
  <c r="E518" i="5"/>
  <c r="C518" i="5"/>
  <c r="B518" i="5"/>
  <c r="K518" i="5" s="1"/>
  <c r="R517" i="5"/>
  <c r="Q517" i="5"/>
  <c r="O517" i="5"/>
  <c r="N517" i="5"/>
  <c r="M517" i="5"/>
  <c r="L517" i="5"/>
  <c r="J517" i="5"/>
  <c r="I517" i="5"/>
  <c r="G517" i="5"/>
  <c r="F517" i="5"/>
  <c r="E517" i="5"/>
  <c r="C517" i="5"/>
  <c r="B517" i="5"/>
  <c r="K517" i="5" s="1"/>
  <c r="O516" i="5"/>
  <c r="N516" i="5"/>
  <c r="B516" i="5"/>
  <c r="P515" i="5"/>
  <c r="O515" i="5"/>
  <c r="N515" i="5"/>
  <c r="L515" i="5"/>
  <c r="H515" i="5"/>
  <c r="G515" i="5"/>
  <c r="F515" i="5"/>
  <c r="C515" i="5"/>
  <c r="B515" i="5"/>
  <c r="M515" i="5" s="1"/>
  <c r="R514" i="5"/>
  <c r="Q514" i="5"/>
  <c r="P514" i="5"/>
  <c r="O514" i="5"/>
  <c r="N514" i="5"/>
  <c r="M514" i="5"/>
  <c r="L514" i="5"/>
  <c r="J514" i="5"/>
  <c r="I514" i="5"/>
  <c r="H514" i="5"/>
  <c r="G514" i="5"/>
  <c r="F514" i="5"/>
  <c r="E514" i="5"/>
  <c r="C514" i="5"/>
  <c r="B514" i="5"/>
  <c r="K514" i="5" s="1"/>
  <c r="R513" i="5"/>
  <c r="Q513" i="5"/>
  <c r="P513" i="5"/>
  <c r="N513" i="5"/>
  <c r="M513" i="5"/>
  <c r="J513" i="5"/>
  <c r="I513" i="5"/>
  <c r="H513" i="5"/>
  <c r="F513" i="5"/>
  <c r="E513" i="5"/>
  <c r="B513" i="5"/>
  <c r="O513" i="5" s="1"/>
  <c r="G512" i="5"/>
  <c r="B512" i="5"/>
  <c r="P511" i="5"/>
  <c r="B511" i="5"/>
  <c r="Q510" i="5"/>
  <c r="M510" i="5"/>
  <c r="L510" i="5"/>
  <c r="I510" i="5"/>
  <c r="E510" i="5"/>
  <c r="C510" i="5"/>
  <c r="B510" i="5"/>
  <c r="K510" i="5" s="1"/>
  <c r="R509" i="5"/>
  <c r="Q509" i="5"/>
  <c r="O509" i="5"/>
  <c r="N509" i="5"/>
  <c r="M509" i="5"/>
  <c r="L509" i="5"/>
  <c r="J509" i="5"/>
  <c r="I509" i="5"/>
  <c r="G509" i="5"/>
  <c r="F509" i="5"/>
  <c r="E509" i="5"/>
  <c r="C509" i="5"/>
  <c r="B509" i="5"/>
  <c r="K509" i="5" s="1"/>
  <c r="B508" i="5"/>
  <c r="P507" i="5"/>
  <c r="O507" i="5"/>
  <c r="N507" i="5"/>
  <c r="L507" i="5"/>
  <c r="H507" i="5"/>
  <c r="G507" i="5"/>
  <c r="F507" i="5"/>
  <c r="C507" i="5"/>
  <c r="B507" i="5"/>
  <c r="M507" i="5" s="1"/>
  <c r="R506" i="5"/>
  <c r="Q506" i="5"/>
  <c r="P506" i="5"/>
  <c r="O506" i="5"/>
  <c r="N506" i="5"/>
  <c r="M506" i="5"/>
  <c r="L506" i="5"/>
  <c r="J506" i="5"/>
  <c r="I506" i="5"/>
  <c r="H506" i="5"/>
  <c r="G506" i="5"/>
  <c r="F506" i="5"/>
  <c r="E506" i="5"/>
  <c r="C506" i="5"/>
  <c r="B506" i="5"/>
  <c r="K506" i="5" s="1"/>
  <c r="R505" i="5"/>
  <c r="Q505" i="5"/>
  <c r="P505" i="5"/>
  <c r="N505" i="5"/>
  <c r="M505" i="5"/>
  <c r="J505" i="5"/>
  <c r="I505" i="5"/>
  <c r="H505" i="5"/>
  <c r="F505" i="5"/>
  <c r="E505" i="5"/>
  <c r="B505" i="5"/>
  <c r="O505" i="5" s="1"/>
  <c r="R504" i="5"/>
  <c r="O504" i="5"/>
  <c r="K504" i="5"/>
  <c r="J504" i="5"/>
  <c r="G504" i="5"/>
  <c r="B504" i="5"/>
  <c r="P503" i="5"/>
  <c r="L503" i="5"/>
  <c r="K503" i="5"/>
  <c r="H503" i="5"/>
  <c r="C503" i="5"/>
  <c r="B503" i="5"/>
  <c r="Q502" i="5"/>
  <c r="M502" i="5"/>
  <c r="L502" i="5"/>
  <c r="I502" i="5"/>
  <c r="E502" i="5"/>
  <c r="C502" i="5"/>
  <c r="B502" i="5"/>
  <c r="K502" i="5" s="1"/>
  <c r="R501" i="5"/>
  <c r="Q501" i="5"/>
  <c r="O501" i="5"/>
  <c r="N501" i="5"/>
  <c r="M501" i="5"/>
  <c r="L501" i="5"/>
  <c r="J501" i="5"/>
  <c r="I501" i="5"/>
  <c r="G501" i="5"/>
  <c r="F501" i="5"/>
  <c r="E501" i="5"/>
  <c r="C501" i="5"/>
  <c r="B501" i="5"/>
  <c r="K501" i="5" s="1"/>
  <c r="O500" i="5"/>
  <c r="N500" i="5"/>
  <c r="B500" i="5"/>
  <c r="P499" i="5"/>
  <c r="O499" i="5"/>
  <c r="N499" i="5"/>
  <c r="L499" i="5"/>
  <c r="H499" i="5"/>
  <c r="G499" i="5"/>
  <c r="F499" i="5"/>
  <c r="C499" i="5"/>
  <c r="B499" i="5"/>
  <c r="M499" i="5" s="1"/>
  <c r="R498" i="5"/>
  <c r="Q498" i="5"/>
  <c r="P498" i="5"/>
  <c r="O498" i="5"/>
  <c r="N498" i="5"/>
  <c r="M498" i="5"/>
  <c r="L498" i="5"/>
  <c r="J498" i="5"/>
  <c r="I498" i="5"/>
  <c r="H498" i="5"/>
  <c r="G498" i="5"/>
  <c r="F498" i="5"/>
  <c r="E498" i="5"/>
  <c r="C498" i="5"/>
  <c r="B498" i="5"/>
  <c r="K498" i="5" s="1"/>
  <c r="R497" i="5"/>
  <c r="Q497" i="5"/>
  <c r="P497" i="5"/>
  <c r="N497" i="5"/>
  <c r="M497" i="5"/>
  <c r="J497" i="5"/>
  <c r="I497" i="5"/>
  <c r="H497" i="5"/>
  <c r="F497" i="5"/>
  <c r="E497" i="5"/>
  <c r="B497" i="5"/>
  <c r="O497" i="5" s="1"/>
  <c r="I496" i="5"/>
  <c r="G496" i="5"/>
  <c r="B496" i="5"/>
  <c r="B495" i="5"/>
  <c r="L494" i="5"/>
  <c r="K494" i="5"/>
  <c r="I494" i="5"/>
  <c r="E494" i="5"/>
  <c r="C494" i="5"/>
  <c r="B494" i="5"/>
  <c r="Q494" i="5" s="1"/>
  <c r="R493" i="5"/>
  <c r="Q493" i="5"/>
  <c r="O493" i="5"/>
  <c r="N493" i="5"/>
  <c r="M493" i="5"/>
  <c r="L493" i="5"/>
  <c r="J493" i="5"/>
  <c r="I493" i="5"/>
  <c r="G493" i="5"/>
  <c r="F493" i="5"/>
  <c r="E493" i="5"/>
  <c r="C493" i="5"/>
  <c r="B493" i="5"/>
  <c r="K493" i="5" s="1"/>
  <c r="O492" i="5"/>
  <c r="F492" i="5"/>
  <c r="E492" i="5"/>
  <c r="B492" i="5"/>
  <c r="P491" i="5"/>
  <c r="O491" i="5"/>
  <c r="N491" i="5"/>
  <c r="L491" i="5"/>
  <c r="H491" i="5"/>
  <c r="G491" i="5"/>
  <c r="F491" i="5"/>
  <c r="C491" i="5"/>
  <c r="B491" i="5"/>
  <c r="M491" i="5" s="1"/>
  <c r="R490" i="5"/>
  <c r="Q490" i="5"/>
  <c r="P490" i="5"/>
  <c r="O490" i="5"/>
  <c r="N490" i="5"/>
  <c r="M490" i="5"/>
  <c r="L490" i="5"/>
  <c r="J490" i="5"/>
  <c r="I490" i="5"/>
  <c r="H490" i="5"/>
  <c r="G490" i="5"/>
  <c r="F490" i="5"/>
  <c r="E490" i="5"/>
  <c r="C490" i="5"/>
  <c r="B490" i="5"/>
  <c r="K490" i="5" s="1"/>
  <c r="R489" i="5"/>
  <c r="Q489" i="5"/>
  <c r="P489" i="5"/>
  <c r="N489" i="5"/>
  <c r="M489" i="5"/>
  <c r="J489" i="5"/>
  <c r="I489" i="5"/>
  <c r="H489" i="5"/>
  <c r="F489" i="5"/>
  <c r="E489" i="5"/>
  <c r="B489" i="5"/>
  <c r="O489" i="5" s="1"/>
  <c r="R488" i="5"/>
  <c r="Q488" i="5"/>
  <c r="O488" i="5"/>
  <c r="K488" i="5"/>
  <c r="J488" i="5"/>
  <c r="I488" i="5"/>
  <c r="G488" i="5"/>
  <c r="B488" i="5"/>
  <c r="R487" i="5"/>
  <c r="P487" i="5"/>
  <c r="L487" i="5"/>
  <c r="K487" i="5"/>
  <c r="B487" i="5"/>
  <c r="L486" i="5"/>
  <c r="B486" i="5"/>
  <c r="Q486" i="5" s="1"/>
  <c r="R485" i="5"/>
  <c r="Q485" i="5"/>
  <c r="O485" i="5"/>
  <c r="N485" i="5"/>
  <c r="M485" i="5"/>
  <c r="L485" i="5"/>
  <c r="J485" i="5"/>
  <c r="I485" i="5"/>
  <c r="G485" i="5"/>
  <c r="F485" i="5"/>
  <c r="E485" i="5"/>
  <c r="C485" i="5"/>
  <c r="B485" i="5"/>
  <c r="K485" i="5" s="1"/>
  <c r="O484" i="5"/>
  <c r="N484" i="5"/>
  <c r="M484" i="5"/>
  <c r="K484" i="5"/>
  <c r="G484" i="5"/>
  <c r="F484" i="5"/>
  <c r="B484" i="5"/>
  <c r="O483" i="5"/>
  <c r="N483" i="5"/>
  <c r="L483" i="5"/>
  <c r="H483" i="5"/>
  <c r="B483" i="5"/>
  <c r="R482" i="5"/>
  <c r="Q482" i="5"/>
  <c r="P482" i="5"/>
  <c r="O482" i="5"/>
  <c r="N482" i="5"/>
  <c r="M482" i="5"/>
  <c r="L482" i="5"/>
  <c r="J482" i="5"/>
  <c r="I482" i="5"/>
  <c r="H482" i="5"/>
  <c r="G482" i="5"/>
  <c r="F482" i="5"/>
  <c r="E482" i="5"/>
  <c r="C482" i="5"/>
  <c r="B482" i="5"/>
  <c r="K482" i="5" s="1"/>
  <c r="R481" i="5"/>
  <c r="Q481" i="5"/>
  <c r="P481" i="5"/>
  <c r="N481" i="5"/>
  <c r="M481" i="5"/>
  <c r="J481" i="5"/>
  <c r="I481" i="5"/>
  <c r="H481" i="5"/>
  <c r="F481" i="5"/>
  <c r="E481" i="5"/>
  <c r="B481" i="5"/>
  <c r="O481" i="5" s="1"/>
  <c r="R480" i="5"/>
  <c r="K480" i="5"/>
  <c r="J480" i="5"/>
  <c r="I480" i="5"/>
  <c r="G480" i="5"/>
  <c r="F480" i="5"/>
  <c r="B480" i="5"/>
  <c r="O480" i="5" s="1"/>
  <c r="O479" i="5"/>
  <c r="L479" i="5"/>
  <c r="K479" i="5"/>
  <c r="J479" i="5"/>
  <c r="B479" i="5"/>
  <c r="Q478" i="5"/>
  <c r="M478" i="5"/>
  <c r="E478" i="5"/>
  <c r="C478" i="5"/>
  <c r="B478" i="5"/>
  <c r="R477" i="5"/>
  <c r="Q477" i="5"/>
  <c r="O477" i="5"/>
  <c r="N477" i="5"/>
  <c r="M477" i="5"/>
  <c r="L477" i="5"/>
  <c r="J477" i="5"/>
  <c r="I477" i="5"/>
  <c r="G477" i="5"/>
  <c r="F477" i="5"/>
  <c r="E477" i="5"/>
  <c r="C477" i="5"/>
  <c r="B477" i="5"/>
  <c r="K477" i="5" s="1"/>
  <c r="R476" i="5"/>
  <c r="N476" i="5"/>
  <c r="F476" i="5"/>
  <c r="E476" i="5"/>
  <c r="B476" i="5"/>
  <c r="P475" i="5"/>
  <c r="L475" i="5"/>
  <c r="K475" i="5"/>
  <c r="H475" i="5"/>
  <c r="G475" i="5"/>
  <c r="F475" i="5"/>
  <c r="C475" i="5"/>
  <c r="B475" i="5"/>
  <c r="N475" i="5" s="1"/>
  <c r="R474" i="5"/>
  <c r="Q474" i="5"/>
  <c r="P474" i="5"/>
  <c r="O474" i="5"/>
  <c r="N474" i="5"/>
  <c r="M474" i="5"/>
  <c r="L474" i="5"/>
  <c r="J474" i="5"/>
  <c r="I474" i="5"/>
  <c r="H474" i="5"/>
  <c r="G474" i="5"/>
  <c r="F474" i="5"/>
  <c r="E474" i="5"/>
  <c r="C474" i="5"/>
  <c r="A474" i="5" s="1"/>
  <c r="B474" i="5"/>
  <c r="K474" i="5" s="1"/>
  <c r="R473" i="5"/>
  <c r="Q473" i="5"/>
  <c r="P473" i="5"/>
  <c r="N473" i="5"/>
  <c r="M473" i="5"/>
  <c r="J473" i="5"/>
  <c r="I473" i="5"/>
  <c r="H473" i="5"/>
  <c r="F473" i="5"/>
  <c r="E473" i="5"/>
  <c r="B473" i="5"/>
  <c r="O473" i="5" s="1"/>
  <c r="R472" i="5"/>
  <c r="Q472" i="5"/>
  <c r="O472" i="5"/>
  <c r="J472" i="5"/>
  <c r="I472" i="5"/>
  <c r="G472" i="5"/>
  <c r="F472" i="5"/>
  <c r="C472" i="5"/>
  <c r="B472" i="5"/>
  <c r="L472" i="5" s="1"/>
  <c r="O471" i="5"/>
  <c r="K471" i="5"/>
  <c r="C471" i="5"/>
  <c r="B471" i="5"/>
  <c r="L471" i="5" s="1"/>
  <c r="Q470" i="5"/>
  <c r="P470" i="5"/>
  <c r="N470" i="5"/>
  <c r="L470" i="5"/>
  <c r="K470" i="5"/>
  <c r="I470" i="5"/>
  <c r="H470" i="5"/>
  <c r="F470" i="5"/>
  <c r="E470" i="5"/>
  <c r="C470" i="5"/>
  <c r="B470" i="5"/>
  <c r="R469" i="5"/>
  <c r="Q469" i="5"/>
  <c r="O469" i="5"/>
  <c r="N469" i="5"/>
  <c r="M469" i="5"/>
  <c r="L469" i="5"/>
  <c r="J469" i="5"/>
  <c r="I469" i="5"/>
  <c r="G469" i="5"/>
  <c r="F469" i="5"/>
  <c r="E469" i="5"/>
  <c r="C469" i="5"/>
  <c r="B469" i="5"/>
  <c r="K469" i="5" s="1"/>
  <c r="J468" i="5"/>
  <c r="B468" i="5"/>
  <c r="M468" i="5" s="1"/>
  <c r="Q467" i="5"/>
  <c r="P467" i="5"/>
  <c r="O467" i="5"/>
  <c r="K467" i="5"/>
  <c r="I467" i="5"/>
  <c r="H467" i="5"/>
  <c r="G467" i="5"/>
  <c r="F467" i="5"/>
  <c r="C467" i="5"/>
  <c r="B467" i="5"/>
  <c r="L467" i="5" s="1"/>
  <c r="R466" i="5"/>
  <c r="Q466" i="5"/>
  <c r="P466" i="5"/>
  <c r="O466" i="5"/>
  <c r="N466" i="5"/>
  <c r="M466" i="5"/>
  <c r="L466" i="5"/>
  <c r="J466" i="5"/>
  <c r="I466" i="5"/>
  <c r="H466" i="5"/>
  <c r="G466" i="5"/>
  <c r="F466" i="5"/>
  <c r="E466" i="5"/>
  <c r="C466" i="5"/>
  <c r="A466" i="5" s="1"/>
  <c r="B466" i="5"/>
  <c r="K466" i="5" s="1"/>
  <c r="P465" i="5"/>
  <c r="K465" i="5"/>
  <c r="E465" i="5"/>
  <c r="B465" i="5"/>
  <c r="M465" i="5" s="1"/>
  <c r="R464" i="5"/>
  <c r="Q464" i="5"/>
  <c r="O464" i="5"/>
  <c r="L464" i="5"/>
  <c r="K464" i="5"/>
  <c r="J464" i="5"/>
  <c r="I464" i="5"/>
  <c r="G464" i="5"/>
  <c r="F464" i="5"/>
  <c r="C464" i="5"/>
  <c r="B464" i="5"/>
  <c r="B463" i="5"/>
  <c r="I462" i="5"/>
  <c r="B462" i="5"/>
  <c r="L462" i="5" s="1"/>
  <c r="R461" i="5"/>
  <c r="Q461" i="5"/>
  <c r="O461" i="5"/>
  <c r="N461" i="5"/>
  <c r="M461" i="5"/>
  <c r="L461" i="5"/>
  <c r="J461" i="5"/>
  <c r="I461" i="5"/>
  <c r="G461" i="5"/>
  <c r="F461" i="5"/>
  <c r="E461" i="5"/>
  <c r="C461" i="5"/>
  <c r="B461" i="5"/>
  <c r="K461" i="5" s="1"/>
  <c r="P460" i="5"/>
  <c r="O460" i="5"/>
  <c r="M460" i="5"/>
  <c r="F460" i="5"/>
  <c r="E460" i="5"/>
  <c r="B460" i="5"/>
  <c r="L459" i="5"/>
  <c r="K459" i="5"/>
  <c r="I459" i="5"/>
  <c r="H459" i="5"/>
  <c r="B459" i="5"/>
  <c r="R458" i="5"/>
  <c r="Q458" i="5"/>
  <c r="P458" i="5"/>
  <c r="O458" i="5"/>
  <c r="N458" i="5"/>
  <c r="M458" i="5"/>
  <c r="L458" i="5"/>
  <c r="J458" i="5"/>
  <c r="I458" i="5"/>
  <c r="H458" i="5"/>
  <c r="G458" i="5"/>
  <c r="A458" i="5" s="1"/>
  <c r="F458" i="5"/>
  <c r="E458" i="5"/>
  <c r="C458" i="5"/>
  <c r="B458" i="5"/>
  <c r="K458" i="5" s="1"/>
  <c r="N457" i="5"/>
  <c r="B457" i="5"/>
  <c r="J456" i="5"/>
  <c r="B456" i="5"/>
  <c r="L456" i="5" s="1"/>
  <c r="R455" i="5"/>
  <c r="P455" i="5"/>
  <c r="O455" i="5"/>
  <c r="K455" i="5"/>
  <c r="J455" i="5"/>
  <c r="H455" i="5"/>
  <c r="G455" i="5"/>
  <c r="E455" i="5"/>
  <c r="C455" i="5"/>
  <c r="B455" i="5"/>
  <c r="L455" i="5" s="1"/>
  <c r="P454" i="5"/>
  <c r="N454" i="5"/>
  <c r="L454" i="5"/>
  <c r="E454" i="5"/>
  <c r="C454" i="5"/>
  <c r="B454" i="5"/>
  <c r="R453" i="5"/>
  <c r="L453" i="5"/>
  <c r="J453" i="5"/>
  <c r="I453" i="5"/>
  <c r="G453" i="5"/>
  <c r="B453" i="5"/>
  <c r="R452" i="5"/>
  <c r="P452" i="5"/>
  <c r="O452" i="5"/>
  <c r="N452" i="5"/>
  <c r="M452" i="5"/>
  <c r="K452" i="5"/>
  <c r="J452" i="5"/>
  <c r="H452" i="5"/>
  <c r="G452" i="5"/>
  <c r="F452" i="5"/>
  <c r="E452" i="5"/>
  <c r="C452" i="5"/>
  <c r="B452" i="5"/>
  <c r="Q451" i="5"/>
  <c r="P451" i="5"/>
  <c r="O451" i="5"/>
  <c r="N451" i="5"/>
  <c r="M451" i="5"/>
  <c r="I451" i="5"/>
  <c r="H451" i="5"/>
  <c r="G451" i="5"/>
  <c r="F451" i="5"/>
  <c r="E451" i="5"/>
  <c r="C451" i="5"/>
  <c r="B451" i="5"/>
  <c r="K451" i="5" s="1"/>
  <c r="R450" i="5"/>
  <c r="Q450" i="5"/>
  <c r="P450" i="5"/>
  <c r="O450" i="5"/>
  <c r="N450" i="5"/>
  <c r="M450" i="5"/>
  <c r="L450" i="5"/>
  <c r="J450" i="5"/>
  <c r="I450" i="5"/>
  <c r="H450" i="5"/>
  <c r="G450" i="5"/>
  <c r="F450" i="5"/>
  <c r="E450" i="5"/>
  <c r="C450" i="5"/>
  <c r="A450" i="5" s="1"/>
  <c r="B450" i="5"/>
  <c r="K450" i="5" s="1"/>
  <c r="M449" i="5"/>
  <c r="B449" i="5"/>
  <c r="O448" i="5"/>
  <c r="N448" i="5"/>
  <c r="K448" i="5"/>
  <c r="F448" i="5"/>
  <c r="C448" i="5"/>
  <c r="B448" i="5"/>
  <c r="M447" i="5"/>
  <c r="J447" i="5"/>
  <c r="C447" i="5"/>
  <c r="B447" i="5"/>
  <c r="K447" i="5" s="1"/>
  <c r="R446" i="5"/>
  <c r="I446" i="5"/>
  <c r="B446" i="5"/>
  <c r="K446" i="5" s="1"/>
  <c r="R445" i="5"/>
  <c r="Q445" i="5"/>
  <c r="K445" i="5"/>
  <c r="J445" i="5"/>
  <c r="I445" i="5"/>
  <c r="G445" i="5"/>
  <c r="B445" i="5"/>
  <c r="R444" i="5"/>
  <c r="P444" i="5"/>
  <c r="O444" i="5"/>
  <c r="N444" i="5"/>
  <c r="M444" i="5"/>
  <c r="K444" i="5"/>
  <c r="J444" i="5"/>
  <c r="H444" i="5"/>
  <c r="G444" i="5"/>
  <c r="F444" i="5"/>
  <c r="E444" i="5"/>
  <c r="C444" i="5"/>
  <c r="B444" i="5"/>
  <c r="Q443" i="5"/>
  <c r="P443" i="5"/>
  <c r="O443" i="5"/>
  <c r="N443" i="5"/>
  <c r="M443" i="5"/>
  <c r="I443" i="5"/>
  <c r="H443" i="5"/>
  <c r="G443" i="5"/>
  <c r="F443" i="5"/>
  <c r="E443" i="5"/>
  <c r="C443" i="5"/>
  <c r="B443" i="5"/>
  <c r="K443" i="5" s="1"/>
  <c r="R442" i="5"/>
  <c r="Q442" i="5"/>
  <c r="P442" i="5"/>
  <c r="O442" i="5"/>
  <c r="N442" i="5"/>
  <c r="M442" i="5"/>
  <c r="L442" i="5"/>
  <c r="J442" i="5"/>
  <c r="I442" i="5"/>
  <c r="H442" i="5"/>
  <c r="G442" i="5"/>
  <c r="F442" i="5"/>
  <c r="E442" i="5"/>
  <c r="C442" i="5"/>
  <c r="A442" i="5" s="1"/>
  <c r="B442" i="5"/>
  <c r="K442" i="5" s="1"/>
  <c r="B441" i="5"/>
  <c r="O440" i="5"/>
  <c r="N440" i="5"/>
  <c r="K440" i="5"/>
  <c r="F440" i="5"/>
  <c r="C440" i="5"/>
  <c r="B440" i="5"/>
  <c r="M439" i="5"/>
  <c r="J439" i="5"/>
  <c r="C439" i="5"/>
  <c r="B439" i="5"/>
  <c r="K439" i="5" s="1"/>
  <c r="R438" i="5"/>
  <c r="I438" i="5"/>
  <c r="B438" i="5"/>
  <c r="K438" i="5" s="1"/>
  <c r="R437" i="5"/>
  <c r="Q437" i="5"/>
  <c r="K437" i="5"/>
  <c r="J437" i="5"/>
  <c r="I437" i="5"/>
  <c r="G437" i="5"/>
  <c r="B437" i="5"/>
  <c r="R436" i="5"/>
  <c r="P436" i="5"/>
  <c r="O436" i="5"/>
  <c r="N436" i="5"/>
  <c r="M436" i="5"/>
  <c r="K436" i="5"/>
  <c r="J436" i="5"/>
  <c r="H436" i="5"/>
  <c r="G436" i="5"/>
  <c r="F436" i="5"/>
  <c r="E436" i="5"/>
  <c r="C436" i="5"/>
  <c r="B436" i="5"/>
  <c r="Q435" i="5"/>
  <c r="P435" i="5"/>
  <c r="O435" i="5"/>
  <c r="N435" i="5"/>
  <c r="M435" i="5"/>
  <c r="I435" i="5"/>
  <c r="H435" i="5"/>
  <c r="G435" i="5"/>
  <c r="F435" i="5"/>
  <c r="E435" i="5"/>
  <c r="C435" i="5"/>
  <c r="B435" i="5"/>
  <c r="K435" i="5" s="1"/>
  <c r="R434" i="5"/>
  <c r="Q434" i="5"/>
  <c r="P434" i="5"/>
  <c r="O434" i="5"/>
  <c r="N434" i="5"/>
  <c r="M434" i="5"/>
  <c r="L434" i="5"/>
  <c r="J434" i="5"/>
  <c r="I434" i="5"/>
  <c r="H434" i="5"/>
  <c r="G434" i="5"/>
  <c r="F434" i="5"/>
  <c r="E434" i="5"/>
  <c r="C434" i="5"/>
  <c r="A434" i="5" s="1"/>
  <c r="B434" i="5"/>
  <c r="K434" i="5" s="1"/>
  <c r="M433" i="5"/>
  <c r="B433" i="5"/>
  <c r="O432" i="5"/>
  <c r="N432" i="5"/>
  <c r="K432" i="5"/>
  <c r="F432" i="5"/>
  <c r="C432" i="5"/>
  <c r="B432" i="5"/>
  <c r="M431" i="5"/>
  <c r="J431" i="5"/>
  <c r="C431" i="5"/>
  <c r="B431" i="5"/>
  <c r="K431" i="5" s="1"/>
  <c r="R430" i="5"/>
  <c r="I430" i="5"/>
  <c r="B430" i="5"/>
  <c r="K430" i="5" s="1"/>
  <c r="R429" i="5"/>
  <c r="Q429" i="5"/>
  <c r="K429" i="5"/>
  <c r="J429" i="5"/>
  <c r="I429" i="5"/>
  <c r="G429" i="5"/>
  <c r="B429" i="5"/>
  <c r="R428" i="5"/>
  <c r="P428" i="5"/>
  <c r="O428" i="5"/>
  <c r="N428" i="5"/>
  <c r="M428" i="5"/>
  <c r="K428" i="5"/>
  <c r="J428" i="5"/>
  <c r="H428" i="5"/>
  <c r="G428" i="5"/>
  <c r="F428" i="5"/>
  <c r="E428" i="5"/>
  <c r="C428" i="5"/>
  <c r="B428" i="5"/>
  <c r="Q427" i="5"/>
  <c r="P427" i="5"/>
  <c r="O427" i="5"/>
  <c r="N427" i="5"/>
  <c r="M427" i="5"/>
  <c r="I427" i="5"/>
  <c r="H427" i="5"/>
  <c r="G427" i="5"/>
  <c r="F427" i="5"/>
  <c r="E427" i="5"/>
  <c r="C427" i="5"/>
  <c r="B427" i="5"/>
  <c r="K427" i="5" s="1"/>
  <c r="R426" i="5"/>
  <c r="Q426" i="5"/>
  <c r="P426" i="5"/>
  <c r="O426" i="5"/>
  <c r="N426" i="5"/>
  <c r="M426" i="5"/>
  <c r="L426" i="5"/>
  <c r="J426" i="5"/>
  <c r="I426" i="5"/>
  <c r="H426" i="5"/>
  <c r="G426" i="5"/>
  <c r="F426" i="5"/>
  <c r="E426" i="5"/>
  <c r="C426" i="5"/>
  <c r="A426" i="5" s="1"/>
  <c r="B426" i="5"/>
  <c r="K426" i="5" s="1"/>
  <c r="B425" i="5"/>
  <c r="O424" i="5"/>
  <c r="N424" i="5"/>
  <c r="K424" i="5"/>
  <c r="F424" i="5"/>
  <c r="C424" i="5"/>
  <c r="B424" i="5"/>
  <c r="M423" i="5"/>
  <c r="J423" i="5"/>
  <c r="C423" i="5"/>
  <c r="B423" i="5"/>
  <c r="K423" i="5" s="1"/>
  <c r="R422" i="5"/>
  <c r="I422" i="5"/>
  <c r="B422" i="5"/>
  <c r="K422" i="5" s="1"/>
  <c r="R421" i="5"/>
  <c r="Q421" i="5"/>
  <c r="K421" i="5"/>
  <c r="J421" i="5"/>
  <c r="I421" i="5"/>
  <c r="G421" i="5"/>
  <c r="B421" i="5"/>
  <c r="R420" i="5"/>
  <c r="P420" i="5"/>
  <c r="O420" i="5"/>
  <c r="N420" i="5"/>
  <c r="M420" i="5"/>
  <c r="K420" i="5"/>
  <c r="J420" i="5"/>
  <c r="H420" i="5"/>
  <c r="G420" i="5"/>
  <c r="F420" i="5"/>
  <c r="E420" i="5"/>
  <c r="C420" i="5"/>
  <c r="B420" i="5"/>
  <c r="Q419" i="5"/>
  <c r="P419" i="5"/>
  <c r="O419" i="5"/>
  <c r="N419" i="5"/>
  <c r="M419" i="5"/>
  <c r="I419" i="5"/>
  <c r="H419" i="5"/>
  <c r="G419" i="5"/>
  <c r="F419" i="5"/>
  <c r="E419" i="5"/>
  <c r="C419" i="5"/>
  <c r="B419" i="5"/>
  <c r="K419" i="5" s="1"/>
  <c r="R418" i="5"/>
  <c r="Q418" i="5"/>
  <c r="P418" i="5"/>
  <c r="O418" i="5"/>
  <c r="N418" i="5"/>
  <c r="M418" i="5"/>
  <c r="L418" i="5"/>
  <c r="J418" i="5"/>
  <c r="I418" i="5"/>
  <c r="H418" i="5"/>
  <c r="G418" i="5"/>
  <c r="F418" i="5"/>
  <c r="E418" i="5"/>
  <c r="C418" i="5"/>
  <c r="A418" i="5" s="1"/>
  <c r="B418" i="5"/>
  <c r="K418" i="5" s="1"/>
  <c r="M417" i="5"/>
  <c r="B417" i="5"/>
  <c r="O416" i="5"/>
  <c r="N416" i="5"/>
  <c r="K416" i="5"/>
  <c r="F416" i="5"/>
  <c r="C416" i="5"/>
  <c r="B416" i="5"/>
  <c r="M415" i="5"/>
  <c r="J415" i="5"/>
  <c r="C415" i="5"/>
  <c r="B415" i="5"/>
  <c r="K415" i="5" s="1"/>
  <c r="R414" i="5"/>
  <c r="M414" i="5"/>
  <c r="L414" i="5"/>
  <c r="J414" i="5"/>
  <c r="E414" i="5"/>
  <c r="C414" i="5"/>
  <c r="B414" i="5"/>
  <c r="Q414" i="5" s="1"/>
  <c r="K413" i="5"/>
  <c r="B413" i="5"/>
  <c r="P412" i="5"/>
  <c r="O412" i="5"/>
  <c r="N412" i="5"/>
  <c r="M412" i="5"/>
  <c r="L412" i="5"/>
  <c r="H412" i="5"/>
  <c r="G412" i="5"/>
  <c r="F412" i="5"/>
  <c r="E412" i="5"/>
  <c r="C412" i="5"/>
  <c r="B412" i="5"/>
  <c r="K412" i="5" s="1"/>
  <c r="Q411" i="5"/>
  <c r="P411" i="5"/>
  <c r="O411" i="5"/>
  <c r="N411" i="5"/>
  <c r="M411" i="5"/>
  <c r="L411" i="5"/>
  <c r="I411" i="5"/>
  <c r="H411" i="5"/>
  <c r="G411" i="5"/>
  <c r="F411" i="5"/>
  <c r="E411" i="5"/>
  <c r="C411" i="5"/>
  <c r="B411" i="5"/>
  <c r="K411" i="5" s="1"/>
  <c r="R410" i="5"/>
  <c r="Q410" i="5"/>
  <c r="P410" i="5"/>
  <c r="O410" i="5"/>
  <c r="N410" i="5"/>
  <c r="M410" i="5"/>
  <c r="L410" i="5"/>
  <c r="J410" i="5"/>
  <c r="I410" i="5"/>
  <c r="H410" i="5"/>
  <c r="G410" i="5"/>
  <c r="F410" i="5"/>
  <c r="A410" i="5" s="1"/>
  <c r="E410" i="5"/>
  <c r="C410" i="5"/>
  <c r="B410" i="5"/>
  <c r="K410" i="5" s="1"/>
  <c r="R409" i="5"/>
  <c r="Q409" i="5"/>
  <c r="P409" i="5"/>
  <c r="O409" i="5"/>
  <c r="J409" i="5"/>
  <c r="I409" i="5"/>
  <c r="H409" i="5"/>
  <c r="G409" i="5"/>
  <c r="B409" i="5"/>
  <c r="N409" i="5" s="1"/>
  <c r="P408" i="5"/>
  <c r="H408" i="5"/>
  <c r="B408" i="5"/>
  <c r="O408" i="5" s="1"/>
  <c r="Q407" i="5"/>
  <c r="L407" i="5"/>
  <c r="I407" i="5"/>
  <c r="C407" i="5"/>
  <c r="B407" i="5"/>
  <c r="P407" i="5" s="1"/>
  <c r="R406" i="5"/>
  <c r="M406" i="5"/>
  <c r="L406" i="5"/>
  <c r="J406" i="5"/>
  <c r="E406" i="5"/>
  <c r="C406" i="5"/>
  <c r="B406" i="5"/>
  <c r="Q406" i="5" s="1"/>
  <c r="B405" i="5"/>
  <c r="K405" i="5" s="1"/>
  <c r="P404" i="5"/>
  <c r="O404" i="5"/>
  <c r="N404" i="5"/>
  <c r="M404" i="5"/>
  <c r="L404" i="5"/>
  <c r="H404" i="5"/>
  <c r="G404" i="5"/>
  <c r="F404" i="5"/>
  <c r="E404" i="5"/>
  <c r="C404" i="5"/>
  <c r="B404" i="5"/>
  <c r="K404" i="5" s="1"/>
  <c r="Q403" i="5"/>
  <c r="P403" i="5"/>
  <c r="O403" i="5"/>
  <c r="N403" i="5"/>
  <c r="M403" i="5"/>
  <c r="L403" i="5"/>
  <c r="I403" i="5"/>
  <c r="H403" i="5"/>
  <c r="G403" i="5"/>
  <c r="F403" i="5"/>
  <c r="E403" i="5"/>
  <c r="C403" i="5"/>
  <c r="B403" i="5"/>
  <c r="K403" i="5" s="1"/>
  <c r="R402" i="5"/>
  <c r="Q402" i="5"/>
  <c r="P402" i="5"/>
  <c r="O402" i="5"/>
  <c r="N402" i="5"/>
  <c r="M402" i="5"/>
  <c r="L402" i="5"/>
  <c r="J402" i="5"/>
  <c r="I402" i="5"/>
  <c r="H402" i="5"/>
  <c r="G402" i="5"/>
  <c r="F402" i="5"/>
  <c r="A402" i="5" s="1"/>
  <c r="E402" i="5"/>
  <c r="C402" i="5"/>
  <c r="B402" i="5"/>
  <c r="K402" i="5" s="1"/>
  <c r="R401" i="5"/>
  <c r="Q401" i="5"/>
  <c r="P401" i="5"/>
  <c r="O401" i="5"/>
  <c r="J401" i="5"/>
  <c r="I401" i="5"/>
  <c r="H401" i="5"/>
  <c r="G401" i="5"/>
  <c r="B401" i="5"/>
  <c r="N401" i="5" s="1"/>
  <c r="P400" i="5"/>
  <c r="H400" i="5"/>
  <c r="B400" i="5"/>
  <c r="O400" i="5" s="1"/>
  <c r="Q399" i="5"/>
  <c r="L399" i="5"/>
  <c r="I399" i="5"/>
  <c r="C399" i="5"/>
  <c r="B399" i="5"/>
  <c r="P399" i="5" s="1"/>
  <c r="R398" i="5"/>
  <c r="M398" i="5"/>
  <c r="L398" i="5"/>
  <c r="J398" i="5"/>
  <c r="E398" i="5"/>
  <c r="C398" i="5"/>
  <c r="B398" i="5"/>
  <c r="Q398" i="5" s="1"/>
  <c r="B397" i="5"/>
  <c r="P396" i="5"/>
  <c r="O396" i="5"/>
  <c r="N396" i="5"/>
  <c r="M396" i="5"/>
  <c r="L396" i="5"/>
  <c r="H396" i="5"/>
  <c r="G396" i="5"/>
  <c r="F396" i="5"/>
  <c r="E396" i="5"/>
  <c r="C396" i="5"/>
  <c r="B396" i="5"/>
  <c r="K396" i="5" s="1"/>
  <c r="Q395" i="5"/>
  <c r="P395" i="5"/>
  <c r="O395" i="5"/>
  <c r="N395" i="5"/>
  <c r="M395" i="5"/>
  <c r="L395" i="5"/>
  <c r="I395" i="5"/>
  <c r="H395" i="5"/>
  <c r="G395" i="5"/>
  <c r="F395" i="5"/>
  <c r="E395" i="5"/>
  <c r="C395" i="5"/>
  <c r="B395" i="5"/>
  <c r="K395" i="5" s="1"/>
  <c r="R394" i="5"/>
  <c r="Q394" i="5"/>
  <c r="P394" i="5"/>
  <c r="O394" i="5"/>
  <c r="N394" i="5"/>
  <c r="M394" i="5"/>
  <c r="L394" i="5"/>
  <c r="J394" i="5"/>
  <c r="I394" i="5"/>
  <c r="H394" i="5"/>
  <c r="G394" i="5"/>
  <c r="F394" i="5"/>
  <c r="E394" i="5"/>
  <c r="C394" i="5"/>
  <c r="B394" i="5"/>
  <c r="K394" i="5" s="1"/>
  <c r="R393" i="5"/>
  <c r="Q393" i="5"/>
  <c r="P393" i="5"/>
  <c r="O393" i="5"/>
  <c r="J393" i="5"/>
  <c r="I393" i="5"/>
  <c r="H393" i="5"/>
  <c r="G393" i="5"/>
  <c r="B393" i="5"/>
  <c r="N393" i="5" s="1"/>
  <c r="P392" i="5"/>
  <c r="H392" i="5"/>
  <c r="B392" i="5"/>
  <c r="O392" i="5" s="1"/>
  <c r="Q391" i="5"/>
  <c r="L391" i="5"/>
  <c r="I391" i="5"/>
  <c r="C391" i="5"/>
  <c r="B391" i="5"/>
  <c r="P391" i="5" s="1"/>
  <c r="R390" i="5"/>
  <c r="M390" i="5"/>
  <c r="L390" i="5"/>
  <c r="J390" i="5"/>
  <c r="E390" i="5"/>
  <c r="C390" i="5"/>
  <c r="B390" i="5"/>
  <c r="Q390" i="5" s="1"/>
  <c r="B389" i="5"/>
  <c r="P388" i="5"/>
  <c r="O388" i="5"/>
  <c r="N388" i="5"/>
  <c r="M388" i="5"/>
  <c r="L388" i="5"/>
  <c r="H388" i="5"/>
  <c r="G388" i="5"/>
  <c r="F388" i="5"/>
  <c r="E388" i="5"/>
  <c r="C388" i="5"/>
  <c r="B388" i="5"/>
  <c r="K388" i="5" s="1"/>
  <c r="Q387" i="5"/>
  <c r="P387" i="5"/>
  <c r="O387" i="5"/>
  <c r="N387" i="5"/>
  <c r="M387" i="5"/>
  <c r="L387" i="5"/>
  <c r="I387" i="5"/>
  <c r="H387" i="5"/>
  <c r="G387" i="5"/>
  <c r="F387" i="5"/>
  <c r="E387" i="5"/>
  <c r="C387" i="5"/>
  <c r="B387" i="5"/>
  <c r="K387" i="5" s="1"/>
  <c r="R386" i="5"/>
  <c r="Q386" i="5"/>
  <c r="P386" i="5"/>
  <c r="O386" i="5"/>
  <c r="N386" i="5"/>
  <c r="M386" i="5"/>
  <c r="L386" i="5"/>
  <c r="J386" i="5"/>
  <c r="I386" i="5"/>
  <c r="H386" i="5"/>
  <c r="G386" i="5"/>
  <c r="F386" i="5"/>
  <c r="A386" i="5" s="1"/>
  <c r="E386" i="5"/>
  <c r="C386" i="5"/>
  <c r="B386" i="5"/>
  <c r="K386" i="5" s="1"/>
  <c r="R385" i="5"/>
  <c r="Q385" i="5"/>
  <c r="P385" i="5"/>
  <c r="O385" i="5"/>
  <c r="J385" i="5"/>
  <c r="I385" i="5"/>
  <c r="H385" i="5"/>
  <c r="G385" i="5"/>
  <c r="B385" i="5"/>
  <c r="N385" i="5" s="1"/>
  <c r="P384" i="5"/>
  <c r="H384" i="5"/>
  <c r="B384" i="5"/>
  <c r="O384" i="5" s="1"/>
  <c r="Q383" i="5"/>
  <c r="L383" i="5"/>
  <c r="I383" i="5"/>
  <c r="C383" i="5"/>
  <c r="B383" i="5"/>
  <c r="P383" i="5" s="1"/>
  <c r="R382" i="5"/>
  <c r="M382" i="5"/>
  <c r="L382" i="5"/>
  <c r="J382" i="5"/>
  <c r="E382" i="5"/>
  <c r="C382" i="5"/>
  <c r="B382" i="5"/>
  <c r="Q382" i="5" s="1"/>
  <c r="B381" i="5"/>
  <c r="P380" i="5"/>
  <c r="O380" i="5"/>
  <c r="N380" i="5"/>
  <c r="M380" i="5"/>
  <c r="L380" i="5"/>
  <c r="H380" i="5"/>
  <c r="G380" i="5"/>
  <c r="F380" i="5"/>
  <c r="E380" i="5"/>
  <c r="C380" i="5"/>
  <c r="B380" i="5"/>
  <c r="K380" i="5" s="1"/>
  <c r="Q379" i="5"/>
  <c r="P379" i="5"/>
  <c r="O379" i="5"/>
  <c r="N379" i="5"/>
  <c r="M379" i="5"/>
  <c r="L379" i="5"/>
  <c r="I379" i="5"/>
  <c r="H379" i="5"/>
  <c r="G379" i="5"/>
  <c r="F379" i="5"/>
  <c r="E379" i="5"/>
  <c r="C379" i="5"/>
  <c r="B379" i="5"/>
  <c r="K379" i="5" s="1"/>
  <c r="R378" i="5"/>
  <c r="Q378" i="5"/>
  <c r="P378" i="5"/>
  <c r="O378" i="5"/>
  <c r="N378" i="5"/>
  <c r="M378" i="5"/>
  <c r="L378" i="5"/>
  <c r="J378" i="5"/>
  <c r="I378" i="5"/>
  <c r="H378" i="5"/>
  <c r="G378" i="5"/>
  <c r="F378" i="5"/>
  <c r="A378" i="5" s="1"/>
  <c r="E378" i="5"/>
  <c r="C378" i="5"/>
  <c r="B378" i="5"/>
  <c r="K378" i="5" s="1"/>
  <c r="R377" i="5"/>
  <c r="Q377" i="5"/>
  <c r="P377" i="5"/>
  <c r="O377" i="5"/>
  <c r="J377" i="5"/>
  <c r="I377" i="5"/>
  <c r="H377" i="5"/>
  <c r="G377" i="5"/>
  <c r="B377" i="5"/>
  <c r="N377" i="5" s="1"/>
  <c r="P376" i="5"/>
  <c r="H376" i="5"/>
  <c r="B376" i="5"/>
  <c r="O376" i="5" s="1"/>
  <c r="Q375" i="5"/>
  <c r="L375" i="5"/>
  <c r="I375" i="5"/>
  <c r="C375" i="5"/>
  <c r="B375" i="5"/>
  <c r="P375" i="5" s="1"/>
  <c r="R374" i="5"/>
  <c r="M374" i="5"/>
  <c r="L374" i="5"/>
  <c r="J374" i="5"/>
  <c r="E374" i="5"/>
  <c r="C374" i="5"/>
  <c r="B374" i="5"/>
  <c r="Q374" i="5" s="1"/>
  <c r="B373" i="5"/>
  <c r="K373" i="5" s="1"/>
  <c r="P372" i="5"/>
  <c r="O372" i="5"/>
  <c r="N372" i="5"/>
  <c r="M372" i="5"/>
  <c r="L372" i="5"/>
  <c r="H372" i="5"/>
  <c r="G372" i="5"/>
  <c r="F372" i="5"/>
  <c r="E372" i="5"/>
  <c r="C372" i="5"/>
  <c r="B372" i="5"/>
  <c r="K372" i="5" s="1"/>
  <c r="Q371" i="5"/>
  <c r="P371" i="5"/>
  <c r="O371" i="5"/>
  <c r="N371" i="5"/>
  <c r="M371" i="5"/>
  <c r="L371" i="5"/>
  <c r="I371" i="5"/>
  <c r="H371" i="5"/>
  <c r="G371" i="5"/>
  <c r="F371" i="5"/>
  <c r="E371" i="5"/>
  <c r="C371" i="5"/>
  <c r="B371" i="5"/>
  <c r="K371" i="5" s="1"/>
  <c r="R370" i="5"/>
  <c r="Q370" i="5"/>
  <c r="P370" i="5"/>
  <c r="O370" i="5"/>
  <c r="N370" i="5"/>
  <c r="M370" i="5"/>
  <c r="L370" i="5"/>
  <c r="J370" i="5"/>
  <c r="I370" i="5"/>
  <c r="H370" i="5"/>
  <c r="G370" i="5"/>
  <c r="F370" i="5"/>
  <c r="A370" i="5" s="1"/>
  <c r="E370" i="5"/>
  <c r="C370" i="5"/>
  <c r="B370" i="5"/>
  <c r="K370" i="5" s="1"/>
  <c r="R369" i="5"/>
  <c r="Q369" i="5"/>
  <c r="P369" i="5"/>
  <c r="O369" i="5"/>
  <c r="J369" i="5"/>
  <c r="I369" i="5"/>
  <c r="H369" i="5"/>
  <c r="G369" i="5"/>
  <c r="B369" i="5"/>
  <c r="N369" i="5" s="1"/>
  <c r="P368" i="5"/>
  <c r="H368" i="5"/>
  <c r="B368" i="5"/>
  <c r="O368" i="5" s="1"/>
  <c r="Q367" i="5"/>
  <c r="L367" i="5"/>
  <c r="I367" i="5"/>
  <c r="C367" i="5"/>
  <c r="B367" i="5"/>
  <c r="P367" i="5" s="1"/>
  <c r="R366" i="5"/>
  <c r="M366" i="5"/>
  <c r="L366" i="5"/>
  <c r="J366" i="5"/>
  <c r="E366" i="5"/>
  <c r="C366" i="5"/>
  <c r="B366" i="5"/>
  <c r="Q366" i="5" s="1"/>
  <c r="B365" i="5"/>
  <c r="P364" i="5"/>
  <c r="O364" i="5"/>
  <c r="N364" i="5"/>
  <c r="M364" i="5"/>
  <c r="L364" i="5"/>
  <c r="H364" i="5"/>
  <c r="G364" i="5"/>
  <c r="F364" i="5"/>
  <c r="E364" i="5"/>
  <c r="C364" i="5"/>
  <c r="B364" i="5"/>
  <c r="K364" i="5" s="1"/>
  <c r="Q363" i="5"/>
  <c r="P363" i="5"/>
  <c r="O363" i="5"/>
  <c r="N363" i="5"/>
  <c r="M363" i="5"/>
  <c r="L363" i="5"/>
  <c r="I363" i="5"/>
  <c r="H363" i="5"/>
  <c r="G363" i="5"/>
  <c r="F363" i="5"/>
  <c r="E363" i="5"/>
  <c r="C363" i="5"/>
  <c r="B363" i="5"/>
  <c r="K363" i="5" s="1"/>
  <c r="R362" i="5"/>
  <c r="Q362" i="5"/>
  <c r="P362" i="5"/>
  <c r="O362" i="5"/>
  <c r="N362" i="5"/>
  <c r="M362" i="5"/>
  <c r="L362" i="5"/>
  <c r="J362" i="5"/>
  <c r="I362" i="5"/>
  <c r="H362" i="5"/>
  <c r="G362" i="5"/>
  <c r="F362" i="5"/>
  <c r="E362" i="5"/>
  <c r="C362" i="5"/>
  <c r="B362" i="5"/>
  <c r="K362" i="5" s="1"/>
  <c r="R361" i="5"/>
  <c r="Q361" i="5"/>
  <c r="P361" i="5"/>
  <c r="O361" i="5"/>
  <c r="J361" i="5"/>
  <c r="I361" i="5"/>
  <c r="H361" i="5"/>
  <c r="G361" i="5"/>
  <c r="B361" i="5"/>
  <c r="N361" i="5" s="1"/>
  <c r="P360" i="5"/>
  <c r="H360" i="5"/>
  <c r="B360" i="5"/>
  <c r="O360" i="5" s="1"/>
  <c r="Q359" i="5"/>
  <c r="L359" i="5"/>
  <c r="I359" i="5"/>
  <c r="C359" i="5"/>
  <c r="B359" i="5"/>
  <c r="P359" i="5" s="1"/>
  <c r="R358" i="5"/>
  <c r="M358" i="5"/>
  <c r="L358" i="5"/>
  <c r="J358" i="5"/>
  <c r="E358" i="5"/>
  <c r="C358" i="5"/>
  <c r="B358" i="5"/>
  <c r="Q358" i="5" s="1"/>
  <c r="B357" i="5"/>
  <c r="P356" i="5"/>
  <c r="O356" i="5"/>
  <c r="N356" i="5"/>
  <c r="M356" i="5"/>
  <c r="L356" i="5"/>
  <c r="H356" i="5"/>
  <c r="G356" i="5"/>
  <c r="F356" i="5"/>
  <c r="E356" i="5"/>
  <c r="C356" i="5"/>
  <c r="B356" i="5"/>
  <c r="K356" i="5" s="1"/>
  <c r="Q355" i="5"/>
  <c r="P355" i="5"/>
  <c r="O355" i="5"/>
  <c r="N355" i="5"/>
  <c r="M355" i="5"/>
  <c r="L355" i="5"/>
  <c r="I355" i="5"/>
  <c r="H355" i="5"/>
  <c r="G355" i="5"/>
  <c r="F355" i="5"/>
  <c r="E355" i="5"/>
  <c r="C355" i="5"/>
  <c r="B355" i="5"/>
  <c r="K355" i="5" s="1"/>
  <c r="R354" i="5"/>
  <c r="Q354" i="5"/>
  <c r="P354" i="5"/>
  <c r="O354" i="5"/>
  <c r="N354" i="5"/>
  <c r="M354" i="5"/>
  <c r="L354" i="5"/>
  <c r="J354" i="5"/>
  <c r="I354" i="5"/>
  <c r="H354" i="5"/>
  <c r="G354" i="5"/>
  <c r="F354" i="5"/>
  <c r="A354" i="5" s="1"/>
  <c r="E354" i="5"/>
  <c r="C354" i="5"/>
  <c r="B354" i="5"/>
  <c r="K354" i="5" s="1"/>
  <c r="R353" i="5"/>
  <c r="Q353" i="5"/>
  <c r="P353" i="5"/>
  <c r="O353" i="5"/>
  <c r="J353" i="5"/>
  <c r="I353" i="5"/>
  <c r="H353" i="5"/>
  <c r="G353" i="5"/>
  <c r="B353" i="5"/>
  <c r="N353" i="5" s="1"/>
  <c r="P352" i="5"/>
  <c r="H352" i="5"/>
  <c r="B352" i="5"/>
  <c r="O352" i="5" s="1"/>
  <c r="Q351" i="5"/>
  <c r="L351" i="5"/>
  <c r="I351" i="5"/>
  <c r="C351" i="5"/>
  <c r="B351" i="5"/>
  <c r="P351" i="5" s="1"/>
  <c r="R350" i="5"/>
  <c r="M350" i="5"/>
  <c r="L350" i="5"/>
  <c r="J350" i="5"/>
  <c r="E350" i="5"/>
  <c r="C350" i="5"/>
  <c r="B350" i="5"/>
  <c r="Q350" i="5" s="1"/>
  <c r="B349" i="5"/>
  <c r="P348" i="5"/>
  <c r="O348" i="5"/>
  <c r="N348" i="5"/>
  <c r="M348" i="5"/>
  <c r="L348" i="5"/>
  <c r="H348" i="5"/>
  <c r="G348" i="5"/>
  <c r="F348" i="5"/>
  <c r="E348" i="5"/>
  <c r="C348" i="5"/>
  <c r="B348" i="5"/>
  <c r="K348" i="5" s="1"/>
  <c r="Q347" i="5"/>
  <c r="P347" i="5"/>
  <c r="O347" i="5"/>
  <c r="N347" i="5"/>
  <c r="M347" i="5"/>
  <c r="L347" i="5"/>
  <c r="I347" i="5"/>
  <c r="H347" i="5"/>
  <c r="G347" i="5"/>
  <c r="F347" i="5"/>
  <c r="E347" i="5"/>
  <c r="C347" i="5"/>
  <c r="B347" i="5"/>
  <c r="K347" i="5" s="1"/>
  <c r="R346" i="5"/>
  <c r="Q346" i="5"/>
  <c r="P346" i="5"/>
  <c r="O346" i="5"/>
  <c r="N346" i="5"/>
  <c r="M346" i="5"/>
  <c r="L346" i="5"/>
  <c r="J346" i="5"/>
  <c r="I346" i="5"/>
  <c r="H346" i="5"/>
  <c r="G346" i="5"/>
  <c r="F346" i="5"/>
  <c r="A346" i="5" s="1"/>
  <c r="E346" i="5"/>
  <c r="C346" i="5"/>
  <c r="B346" i="5"/>
  <c r="K346" i="5" s="1"/>
  <c r="R345" i="5"/>
  <c r="Q345" i="5"/>
  <c r="P345" i="5"/>
  <c r="O345" i="5"/>
  <c r="J345" i="5"/>
  <c r="I345" i="5"/>
  <c r="H345" i="5"/>
  <c r="G345" i="5"/>
  <c r="B345" i="5"/>
  <c r="N345" i="5" s="1"/>
  <c r="P344" i="5"/>
  <c r="H344" i="5"/>
  <c r="B344" i="5"/>
  <c r="O344" i="5" s="1"/>
  <c r="Q343" i="5"/>
  <c r="L343" i="5"/>
  <c r="I343" i="5"/>
  <c r="C343" i="5"/>
  <c r="B343" i="5"/>
  <c r="P343" i="5" s="1"/>
  <c r="R342" i="5"/>
  <c r="M342" i="5"/>
  <c r="L342" i="5"/>
  <c r="J342" i="5"/>
  <c r="E342" i="5"/>
  <c r="C342" i="5"/>
  <c r="B342" i="5"/>
  <c r="Q342" i="5" s="1"/>
  <c r="B341" i="5"/>
  <c r="K341" i="5" s="1"/>
  <c r="P340" i="5"/>
  <c r="O340" i="5"/>
  <c r="N340" i="5"/>
  <c r="M340" i="5"/>
  <c r="L340" i="5"/>
  <c r="H340" i="5"/>
  <c r="G340" i="5"/>
  <c r="F340" i="5"/>
  <c r="E340" i="5"/>
  <c r="C340" i="5"/>
  <c r="B340" i="5"/>
  <c r="K340" i="5" s="1"/>
  <c r="Q339" i="5"/>
  <c r="P339" i="5"/>
  <c r="O339" i="5"/>
  <c r="N339" i="5"/>
  <c r="M339" i="5"/>
  <c r="L339" i="5"/>
  <c r="I339" i="5"/>
  <c r="H339" i="5"/>
  <c r="G339" i="5"/>
  <c r="F339" i="5"/>
  <c r="E339" i="5"/>
  <c r="C339" i="5"/>
  <c r="B339" i="5"/>
  <c r="K339" i="5" s="1"/>
  <c r="R338" i="5"/>
  <c r="Q338" i="5"/>
  <c r="P338" i="5"/>
  <c r="O338" i="5"/>
  <c r="N338" i="5"/>
  <c r="M338" i="5"/>
  <c r="L338" i="5"/>
  <c r="J338" i="5"/>
  <c r="I338" i="5"/>
  <c r="H338" i="5"/>
  <c r="G338" i="5"/>
  <c r="F338" i="5"/>
  <c r="A338" i="5" s="1"/>
  <c r="E338" i="5"/>
  <c r="C338" i="5"/>
  <c r="B338" i="5"/>
  <c r="K338" i="5" s="1"/>
  <c r="R337" i="5"/>
  <c r="Q337" i="5"/>
  <c r="P337" i="5"/>
  <c r="O337" i="5"/>
  <c r="J337" i="5"/>
  <c r="I337" i="5"/>
  <c r="H337" i="5"/>
  <c r="G337" i="5"/>
  <c r="B337" i="5"/>
  <c r="N337" i="5" s="1"/>
  <c r="P336" i="5"/>
  <c r="H336" i="5"/>
  <c r="B336" i="5"/>
  <c r="O336" i="5" s="1"/>
  <c r="Q335" i="5"/>
  <c r="L335" i="5"/>
  <c r="I335" i="5"/>
  <c r="C335" i="5"/>
  <c r="B335" i="5"/>
  <c r="P335" i="5" s="1"/>
  <c r="R334" i="5"/>
  <c r="M334" i="5"/>
  <c r="L334" i="5"/>
  <c r="J334" i="5"/>
  <c r="E334" i="5"/>
  <c r="C334" i="5"/>
  <c r="B334" i="5"/>
  <c r="Q334" i="5" s="1"/>
  <c r="B333" i="5"/>
  <c r="P332" i="5"/>
  <c r="O332" i="5"/>
  <c r="N332" i="5"/>
  <c r="M332" i="5"/>
  <c r="L332" i="5"/>
  <c r="H332" i="5"/>
  <c r="G332" i="5"/>
  <c r="F332" i="5"/>
  <c r="E332" i="5"/>
  <c r="C332" i="5"/>
  <c r="B332" i="5"/>
  <c r="K332" i="5" s="1"/>
  <c r="Q331" i="5"/>
  <c r="P331" i="5"/>
  <c r="O331" i="5"/>
  <c r="N331" i="5"/>
  <c r="M331" i="5"/>
  <c r="L331" i="5"/>
  <c r="I331" i="5"/>
  <c r="H331" i="5"/>
  <c r="G331" i="5"/>
  <c r="F331" i="5"/>
  <c r="E331" i="5"/>
  <c r="C331" i="5"/>
  <c r="B331" i="5"/>
  <c r="K331" i="5" s="1"/>
  <c r="R330" i="5"/>
  <c r="Q330" i="5"/>
  <c r="P330" i="5"/>
  <c r="O330" i="5"/>
  <c r="N330" i="5"/>
  <c r="M330" i="5"/>
  <c r="L330" i="5"/>
  <c r="J330" i="5"/>
  <c r="I330" i="5"/>
  <c r="H330" i="5"/>
  <c r="G330" i="5"/>
  <c r="F330" i="5"/>
  <c r="A330" i="5" s="1"/>
  <c r="E330" i="5"/>
  <c r="C330" i="5"/>
  <c r="B330" i="5"/>
  <c r="K330" i="5" s="1"/>
  <c r="R329" i="5"/>
  <c r="Q329" i="5"/>
  <c r="P329" i="5"/>
  <c r="O329" i="5"/>
  <c r="J329" i="5"/>
  <c r="I329" i="5"/>
  <c r="H329" i="5"/>
  <c r="G329" i="5"/>
  <c r="B329" i="5"/>
  <c r="N329" i="5" s="1"/>
  <c r="P328" i="5"/>
  <c r="H328" i="5"/>
  <c r="B328" i="5"/>
  <c r="O328" i="5" s="1"/>
  <c r="Q327" i="5"/>
  <c r="L327" i="5"/>
  <c r="I327" i="5"/>
  <c r="C327" i="5"/>
  <c r="B327" i="5"/>
  <c r="P327" i="5" s="1"/>
  <c r="R326" i="5"/>
  <c r="M326" i="5"/>
  <c r="L326" i="5"/>
  <c r="J326" i="5"/>
  <c r="E326" i="5"/>
  <c r="C326" i="5"/>
  <c r="B326" i="5"/>
  <c r="Q326" i="5" s="1"/>
  <c r="B325" i="5"/>
  <c r="P324" i="5"/>
  <c r="O324" i="5"/>
  <c r="N324" i="5"/>
  <c r="M324" i="5"/>
  <c r="L324" i="5"/>
  <c r="H324" i="5"/>
  <c r="G324" i="5"/>
  <c r="F324" i="5"/>
  <c r="E324" i="5"/>
  <c r="C324" i="5"/>
  <c r="B324" i="5"/>
  <c r="K324" i="5" s="1"/>
  <c r="Q323" i="5"/>
  <c r="P323" i="5"/>
  <c r="O323" i="5"/>
  <c r="N323" i="5"/>
  <c r="M323" i="5"/>
  <c r="L323" i="5"/>
  <c r="I323" i="5"/>
  <c r="H323" i="5"/>
  <c r="G323" i="5"/>
  <c r="F323" i="5"/>
  <c r="E323" i="5"/>
  <c r="C323" i="5"/>
  <c r="B323" i="5"/>
  <c r="K323" i="5" s="1"/>
  <c r="R322" i="5"/>
  <c r="Q322" i="5"/>
  <c r="P322" i="5"/>
  <c r="O322" i="5"/>
  <c r="N322" i="5"/>
  <c r="M322" i="5"/>
  <c r="L322" i="5"/>
  <c r="J322" i="5"/>
  <c r="I322" i="5"/>
  <c r="H322" i="5"/>
  <c r="G322" i="5"/>
  <c r="F322" i="5"/>
  <c r="A322" i="5" s="1"/>
  <c r="E322" i="5"/>
  <c r="C322" i="5"/>
  <c r="B322" i="5"/>
  <c r="K322" i="5" s="1"/>
  <c r="R321" i="5"/>
  <c r="Q321" i="5"/>
  <c r="P321" i="5"/>
  <c r="O321" i="5"/>
  <c r="J321" i="5"/>
  <c r="I321" i="5"/>
  <c r="H321" i="5"/>
  <c r="G321" i="5"/>
  <c r="B321" i="5"/>
  <c r="N321" i="5" s="1"/>
  <c r="P320" i="5"/>
  <c r="H320" i="5"/>
  <c r="B320" i="5"/>
  <c r="O320" i="5" s="1"/>
  <c r="Q319" i="5"/>
  <c r="L319" i="5"/>
  <c r="I319" i="5"/>
  <c r="C319" i="5"/>
  <c r="B319" i="5"/>
  <c r="P319" i="5" s="1"/>
  <c r="R318" i="5"/>
  <c r="M318" i="5"/>
  <c r="L318" i="5"/>
  <c r="J318" i="5"/>
  <c r="E318" i="5"/>
  <c r="C318" i="5"/>
  <c r="B318" i="5"/>
  <c r="Q318" i="5" s="1"/>
  <c r="B317" i="5"/>
  <c r="P316" i="5"/>
  <c r="O316" i="5"/>
  <c r="N316" i="5"/>
  <c r="M316" i="5"/>
  <c r="L316" i="5"/>
  <c r="H316" i="5"/>
  <c r="G316" i="5"/>
  <c r="F316" i="5"/>
  <c r="E316" i="5"/>
  <c r="C316" i="5"/>
  <c r="B316" i="5"/>
  <c r="K316" i="5" s="1"/>
  <c r="Q315" i="5"/>
  <c r="P315" i="5"/>
  <c r="O315" i="5"/>
  <c r="N315" i="5"/>
  <c r="M315" i="5"/>
  <c r="L315" i="5"/>
  <c r="I315" i="5"/>
  <c r="H315" i="5"/>
  <c r="G315" i="5"/>
  <c r="F315" i="5"/>
  <c r="E315" i="5"/>
  <c r="C315" i="5"/>
  <c r="B315" i="5"/>
  <c r="K315" i="5" s="1"/>
  <c r="R314" i="5"/>
  <c r="Q314" i="5"/>
  <c r="P314" i="5"/>
  <c r="O314" i="5"/>
  <c r="N314" i="5"/>
  <c r="M314" i="5"/>
  <c r="L314" i="5"/>
  <c r="J314" i="5"/>
  <c r="I314" i="5"/>
  <c r="H314" i="5"/>
  <c r="G314" i="5"/>
  <c r="F314" i="5"/>
  <c r="A314" i="5" s="1"/>
  <c r="E314" i="5"/>
  <c r="C314" i="5"/>
  <c r="B314" i="5"/>
  <c r="K314" i="5" s="1"/>
  <c r="R313" i="5"/>
  <c r="Q313" i="5"/>
  <c r="P313" i="5"/>
  <c r="O313" i="5"/>
  <c r="J313" i="5"/>
  <c r="I313" i="5"/>
  <c r="H313" i="5"/>
  <c r="G313" i="5"/>
  <c r="B313" i="5"/>
  <c r="N313" i="5" s="1"/>
  <c r="P312" i="5"/>
  <c r="H312" i="5"/>
  <c r="B312" i="5"/>
  <c r="O312" i="5" s="1"/>
  <c r="Q311" i="5"/>
  <c r="L311" i="5"/>
  <c r="I311" i="5"/>
  <c r="C311" i="5"/>
  <c r="B311" i="5"/>
  <c r="P311" i="5" s="1"/>
  <c r="R310" i="5"/>
  <c r="M310" i="5"/>
  <c r="L310" i="5"/>
  <c r="J310" i="5"/>
  <c r="E310" i="5"/>
  <c r="C310" i="5"/>
  <c r="B310" i="5"/>
  <c r="Q310" i="5" s="1"/>
  <c r="B309" i="5"/>
  <c r="K309" i="5" s="1"/>
  <c r="P308" i="5"/>
  <c r="O308" i="5"/>
  <c r="N308" i="5"/>
  <c r="M308" i="5"/>
  <c r="L308" i="5"/>
  <c r="H308" i="5"/>
  <c r="G308" i="5"/>
  <c r="F308" i="5"/>
  <c r="E308" i="5"/>
  <c r="C308" i="5"/>
  <c r="B308" i="5"/>
  <c r="K308" i="5" s="1"/>
  <c r="Q307" i="5"/>
  <c r="P307" i="5"/>
  <c r="O307" i="5"/>
  <c r="N307" i="5"/>
  <c r="M307" i="5"/>
  <c r="L307" i="5"/>
  <c r="I307" i="5"/>
  <c r="H307" i="5"/>
  <c r="G307" i="5"/>
  <c r="F307" i="5"/>
  <c r="E307" i="5"/>
  <c r="C307" i="5"/>
  <c r="B307" i="5"/>
  <c r="K307" i="5" s="1"/>
  <c r="R306" i="5"/>
  <c r="Q306" i="5"/>
  <c r="P306" i="5"/>
  <c r="O306" i="5"/>
  <c r="N306" i="5"/>
  <c r="M306" i="5"/>
  <c r="L306" i="5"/>
  <c r="J306" i="5"/>
  <c r="I306" i="5"/>
  <c r="H306" i="5"/>
  <c r="G306" i="5"/>
  <c r="F306" i="5"/>
  <c r="A306" i="5" s="1"/>
  <c r="E306" i="5"/>
  <c r="C306" i="5"/>
  <c r="B306" i="5"/>
  <c r="K306" i="5" s="1"/>
  <c r="R305" i="5"/>
  <c r="Q305" i="5"/>
  <c r="P305" i="5"/>
  <c r="O305" i="5"/>
  <c r="J305" i="5"/>
  <c r="I305" i="5"/>
  <c r="H305" i="5"/>
  <c r="G305" i="5"/>
  <c r="B305" i="5"/>
  <c r="N305" i="5" s="1"/>
  <c r="P304" i="5"/>
  <c r="H304" i="5"/>
  <c r="B304" i="5"/>
  <c r="O304" i="5" s="1"/>
  <c r="Q303" i="5"/>
  <c r="L303" i="5"/>
  <c r="I303" i="5"/>
  <c r="C303" i="5"/>
  <c r="B303" i="5"/>
  <c r="P303" i="5" s="1"/>
  <c r="R302" i="5"/>
  <c r="M302" i="5"/>
  <c r="L302" i="5"/>
  <c r="J302" i="5"/>
  <c r="E302" i="5"/>
  <c r="C302" i="5"/>
  <c r="B302" i="5"/>
  <c r="Q302" i="5" s="1"/>
  <c r="B301" i="5"/>
  <c r="P300" i="5"/>
  <c r="O300" i="5"/>
  <c r="N300" i="5"/>
  <c r="M300" i="5"/>
  <c r="L300" i="5"/>
  <c r="H300" i="5"/>
  <c r="G300" i="5"/>
  <c r="F300" i="5"/>
  <c r="E300" i="5"/>
  <c r="C300" i="5"/>
  <c r="B300" i="5"/>
  <c r="K300" i="5" s="1"/>
  <c r="Q299" i="5"/>
  <c r="P299" i="5"/>
  <c r="O299" i="5"/>
  <c r="N299" i="5"/>
  <c r="M299" i="5"/>
  <c r="L299" i="5"/>
  <c r="I299" i="5"/>
  <c r="H299" i="5"/>
  <c r="G299" i="5"/>
  <c r="F299" i="5"/>
  <c r="E299" i="5"/>
  <c r="C299" i="5"/>
  <c r="B299" i="5"/>
  <c r="K299" i="5" s="1"/>
  <c r="R298" i="5"/>
  <c r="Q298" i="5"/>
  <c r="P298" i="5"/>
  <c r="O298" i="5"/>
  <c r="N298" i="5"/>
  <c r="M298" i="5"/>
  <c r="L298" i="5"/>
  <c r="J298" i="5"/>
  <c r="I298" i="5"/>
  <c r="H298" i="5"/>
  <c r="G298" i="5"/>
  <c r="F298" i="5"/>
  <c r="A298" i="5" s="1"/>
  <c r="E298" i="5"/>
  <c r="C298" i="5"/>
  <c r="B298" i="5"/>
  <c r="K298" i="5" s="1"/>
  <c r="R297" i="5"/>
  <c r="Q297" i="5"/>
  <c r="P297" i="5"/>
  <c r="O297" i="5"/>
  <c r="J297" i="5"/>
  <c r="I297" i="5"/>
  <c r="H297" i="5"/>
  <c r="G297" i="5"/>
  <c r="B297" i="5"/>
  <c r="N297" i="5" s="1"/>
  <c r="P296" i="5"/>
  <c r="H296" i="5"/>
  <c r="B296" i="5"/>
  <c r="O296" i="5" s="1"/>
  <c r="Q295" i="5"/>
  <c r="L295" i="5"/>
  <c r="I295" i="5"/>
  <c r="C295" i="5"/>
  <c r="B295" i="5"/>
  <c r="P295" i="5" s="1"/>
  <c r="R294" i="5"/>
  <c r="M294" i="5"/>
  <c r="L294" i="5"/>
  <c r="J294" i="5"/>
  <c r="E294" i="5"/>
  <c r="C294" i="5"/>
  <c r="B294" i="5"/>
  <c r="Q294" i="5" s="1"/>
  <c r="B293" i="5"/>
  <c r="P292" i="5"/>
  <c r="O292" i="5"/>
  <c r="N292" i="5"/>
  <c r="M292" i="5"/>
  <c r="L292" i="5"/>
  <c r="H292" i="5"/>
  <c r="G292" i="5"/>
  <c r="F292" i="5"/>
  <c r="E292" i="5"/>
  <c r="C292" i="5"/>
  <c r="B292" i="5"/>
  <c r="K292" i="5" s="1"/>
  <c r="Q291" i="5"/>
  <c r="P291" i="5"/>
  <c r="O291" i="5"/>
  <c r="N291" i="5"/>
  <c r="M291" i="5"/>
  <c r="L291" i="5"/>
  <c r="I291" i="5"/>
  <c r="H291" i="5"/>
  <c r="G291" i="5"/>
  <c r="F291" i="5"/>
  <c r="E291" i="5"/>
  <c r="C291" i="5"/>
  <c r="B291" i="5"/>
  <c r="K291" i="5" s="1"/>
  <c r="R290" i="5"/>
  <c r="Q290" i="5"/>
  <c r="P290" i="5"/>
  <c r="O290" i="5"/>
  <c r="N290" i="5"/>
  <c r="M290" i="5"/>
  <c r="L290" i="5"/>
  <c r="J290" i="5"/>
  <c r="I290" i="5"/>
  <c r="H290" i="5"/>
  <c r="G290" i="5"/>
  <c r="F290" i="5"/>
  <c r="A290" i="5" s="1"/>
  <c r="E290" i="5"/>
  <c r="C290" i="5"/>
  <c r="B290" i="5"/>
  <c r="K290" i="5" s="1"/>
  <c r="R289" i="5"/>
  <c r="Q289" i="5"/>
  <c r="P289" i="5"/>
  <c r="O289" i="5"/>
  <c r="J289" i="5"/>
  <c r="I289" i="5"/>
  <c r="H289" i="5"/>
  <c r="G289" i="5"/>
  <c r="B289" i="5"/>
  <c r="N289" i="5" s="1"/>
  <c r="P288" i="5"/>
  <c r="H288" i="5"/>
  <c r="B288" i="5"/>
  <c r="O288" i="5" s="1"/>
  <c r="Q287" i="5"/>
  <c r="L287" i="5"/>
  <c r="I287" i="5"/>
  <c r="C287" i="5"/>
  <c r="B287" i="5"/>
  <c r="P287" i="5" s="1"/>
  <c r="R286" i="5"/>
  <c r="M286" i="5"/>
  <c r="L286" i="5"/>
  <c r="J286" i="5"/>
  <c r="E286" i="5"/>
  <c r="C286" i="5"/>
  <c r="B286" i="5"/>
  <c r="Q286" i="5" s="1"/>
  <c r="B285" i="5"/>
  <c r="P284" i="5"/>
  <c r="O284" i="5"/>
  <c r="N284" i="5"/>
  <c r="M284" i="5"/>
  <c r="L284" i="5"/>
  <c r="H284" i="5"/>
  <c r="G284" i="5"/>
  <c r="F284" i="5"/>
  <c r="E284" i="5"/>
  <c r="C284" i="5"/>
  <c r="B284" i="5"/>
  <c r="K284" i="5" s="1"/>
  <c r="Q283" i="5"/>
  <c r="P283" i="5"/>
  <c r="O283" i="5"/>
  <c r="N283" i="5"/>
  <c r="M283" i="5"/>
  <c r="L283" i="5"/>
  <c r="I283" i="5"/>
  <c r="H283" i="5"/>
  <c r="G283" i="5"/>
  <c r="F283" i="5"/>
  <c r="E283" i="5"/>
  <c r="C283" i="5"/>
  <c r="B283" i="5"/>
  <c r="K283" i="5" s="1"/>
  <c r="R282" i="5"/>
  <c r="Q282" i="5"/>
  <c r="P282" i="5"/>
  <c r="O282" i="5"/>
  <c r="N282" i="5"/>
  <c r="M282" i="5"/>
  <c r="L282" i="5"/>
  <c r="J282" i="5"/>
  <c r="I282" i="5"/>
  <c r="H282" i="5"/>
  <c r="G282" i="5"/>
  <c r="F282" i="5"/>
  <c r="A282" i="5" s="1"/>
  <c r="E282" i="5"/>
  <c r="C282" i="5"/>
  <c r="B282" i="5"/>
  <c r="K282" i="5" s="1"/>
  <c r="R281" i="5"/>
  <c r="Q281" i="5"/>
  <c r="P281" i="5"/>
  <c r="O281" i="5"/>
  <c r="J281" i="5"/>
  <c r="I281" i="5"/>
  <c r="H281" i="5"/>
  <c r="G281" i="5"/>
  <c r="B281" i="5"/>
  <c r="N281" i="5" s="1"/>
  <c r="P280" i="5"/>
  <c r="H280" i="5"/>
  <c r="B280" i="5"/>
  <c r="O280" i="5" s="1"/>
  <c r="Q279" i="5"/>
  <c r="L279" i="5"/>
  <c r="I279" i="5"/>
  <c r="C279" i="5"/>
  <c r="B279" i="5"/>
  <c r="P279" i="5" s="1"/>
  <c r="R278" i="5"/>
  <c r="M278" i="5"/>
  <c r="L278" i="5"/>
  <c r="J278" i="5"/>
  <c r="E278" i="5"/>
  <c r="C278" i="5"/>
  <c r="B278" i="5"/>
  <c r="Q278" i="5" s="1"/>
  <c r="B277" i="5"/>
  <c r="K277" i="5" s="1"/>
  <c r="P276" i="5"/>
  <c r="O276" i="5"/>
  <c r="N276" i="5"/>
  <c r="M276" i="5"/>
  <c r="L276" i="5"/>
  <c r="H276" i="5"/>
  <c r="G276" i="5"/>
  <c r="F276" i="5"/>
  <c r="E276" i="5"/>
  <c r="C276" i="5"/>
  <c r="B276" i="5"/>
  <c r="K276" i="5" s="1"/>
  <c r="Q275" i="5"/>
  <c r="P275" i="5"/>
  <c r="O275" i="5"/>
  <c r="N275" i="5"/>
  <c r="M275" i="5"/>
  <c r="L275" i="5"/>
  <c r="I275" i="5"/>
  <c r="H275" i="5"/>
  <c r="G275" i="5"/>
  <c r="F275" i="5"/>
  <c r="E275" i="5"/>
  <c r="C275" i="5"/>
  <c r="B275" i="5"/>
  <c r="K275" i="5" s="1"/>
  <c r="R274" i="5"/>
  <c r="Q274" i="5"/>
  <c r="P274" i="5"/>
  <c r="O274" i="5"/>
  <c r="N274" i="5"/>
  <c r="M274" i="5"/>
  <c r="L274" i="5"/>
  <c r="J274" i="5"/>
  <c r="I274" i="5"/>
  <c r="H274" i="5"/>
  <c r="G274" i="5"/>
  <c r="F274" i="5"/>
  <c r="A274" i="5" s="1"/>
  <c r="E274" i="5"/>
  <c r="C274" i="5"/>
  <c r="B274" i="5"/>
  <c r="K274" i="5" s="1"/>
  <c r="R273" i="5"/>
  <c r="Q273" i="5"/>
  <c r="P273" i="5"/>
  <c r="O273" i="5"/>
  <c r="J273" i="5"/>
  <c r="I273" i="5"/>
  <c r="H273" i="5"/>
  <c r="G273" i="5"/>
  <c r="B273" i="5"/>
  <c r="N273" i="5" s="1"/>
  <c r="P272" i="5"/>
  <c r="H272" i="5"/>
  <c r="B272" i="5"/>
  <c r="O272" i="5" s="1"/>
  <c r="Q271" i="5"/>
  <c r="L271" i="5"/>
  <c r="I271" i="5"/>
  <c r="C271" i="5"/>
  <c r="B271" i="5"/>
  <c r="P271" i="5" s="1"/>
  <c r="R270" i="5"/>
  <c r="M270" i="5"/>
  <c r="L270" i="5"/>
  <c r="J270" i="5"/>
  <c r="E270" i="5"/>
  <c r="C270" i="5"/>
  <c r="B270" i="5"/>
  <c r="Q270" i="5" s="1"/>
  <c r="B269" i="5"/>
  <c r="P268" i="5"/>
  <c r="O268" i="5"/>
  <c r="N268" i="5"/>
  <c r="M268" i="5"/>
  <c r="L268" i="5"/>
  <c r="H268" i="5"/>
  <c r="G268" i="5"/>
  <c r="F268" i="5"/>
  <c r="E268" i="5"/>
  <c r="C268" i="5"/>
  <c r="B268" i="5"/>
  <c r="K268" i="5" s="1"/>
  <c r="Q267" i="5"/>
  <c r="P267" i="5"/>
  <c r="O267" i="5"/>
  <c r="N267" i="5"/>
  <c r="M267" i="5"/>
  <c r="L267" i="5"/>
  <c r="I267" i="5"/>
  <c r="H267" i="5"/>
  <c r="G267" i="5"/>
  <c r="F267" i="5"/>
  <c r="E267" i="5"/>
  <c r="C267" i="5"/>
  <c r="B267" i="5"/>
  <c r="K267" i="5" s="1"/>
  <c r="R266" i="5"/>
  <c r="Q266" i="5"/>
  <c r="P266" i="5"/>
  <c r="O266" i="5"/>
  <c r="N266" i="5"/>
  <c r="M266" i="5"/>
  <c r="L266" i="5"/>
  <c r="J266" i="5"/>
  <c r="I266" i="5"/>
  <c r="H266" i="5"/>
  <c r="G266" i="5"/>
  <c r="F266" i="5"/>
  <c r="A266" i="5" s="1"/>
  <c r="E266" i="5"/>
  <c r="C266" i="5"/>
  <c r="B266" i="5"/>
  <c r="K266" i="5" s="1"/>
  <c r="R265" i="5"/>
  <c r="Q265" i="5"/>
  <c r="P265" i="5"/>
  <c r="O265" i="5"/>
  <c r="J265" i="5"/>
  <c r="I265" i="5"/>
  <c r="H265" i="5"/>
  <c r="G265" i="5"/>
  <c r="B265" i="5"/>
  <c r="N265" i="5" s="1"/>
  <c r="P264" i="5"/>
  <c r="H264" i="5"/>
  <c r="B264" i="5"/>
  <c r="O264" i="5" s="1"/>
  <c r="Q263" i="5"/>
  <c r="L263" i="5"/>
  <c r="I263" i="5"/>
  <c r="C263" i="5"/>
  <c r="B263" i="5"/>
  <c r="P263" i="5" s="1"/>
  <c r="R262" i="5"/>
  <c r="M262" i="5"/>
  <c r="L262" i="5"/>
  <c r="J262" i="5"/>
  <c r="E262" i="5"/>
  <c r="C262" i="5"/>
  <c r="B262" i="5"/>
  <c r="Q262" i="5" s="1"/>
  <c r="B261" i="5"/>
  <c r="P260" i="5"/>
  <c r="O260" i="5"/>
  <c r="N260" i="5"/>
  <c r="M260" i="5"/>
  <c r="L260" i="5"/>
  <c r="H260" i="5"/>
  <c r="G260" i="5"/>
  <c r="F260" i="5"/>
  <c r="E260" i="5"/>
  <c r="C260" i="5"/>
  <c r="B260" i="5"/>
  <c r="K260" i="5" s="1"/>
  <c r="Q259" i="5"/>
  <c r="P259" i="5"/>
  <c r="O259" i="5"/>
  <c r="N259" i="5"/>
  <c r="M259" i="5"/>
  <c r="L259" i="5"/>
  <c r="I259" i="5"/>
  <c r="H259" i="5"/>
  <c r="G259" i="5"/>
  <c r="F259" i="5"/>
  <c r="E259" i="5"/>
  <c r="C259" i="5"/>
  <c r="B259" i="5"/>
  <c r="K259" i="5" s="1"/>
  <c r="R258" i="5"/>
  <c r="Q258" i="5"/>
  <c r="P258" i="5"/>
  <c r="O258" i="5"/>
  <c r="N258" i="5"/>
  <c r="M258" i="5"/>
  <c r="L258" i="5"/>
  <c r="J258" i="5"/>
  <c r="I258" i="5"/>
  <c r="H258" i="5"/>
  <c r="G258" i="5"/>
  <c r="F258" i="5"/>
  <c r="A258" i="5" s="1"/>
  <c r="E258" i="5"/>
  <c r="C258" i="5"/>
  <c r="B258" i="5"/>
  <c r="K258" i="5" s="1"/>
  <c r="R257" i="5"/>
  <c r="Q257" i="5"/>
  <c r="P257" i="5"/>
  <c r="O257" i="5"/>
  <c r="J257" i="5"/>
  <c r="I257" i="5"/>
  <c r="H257" i="5"/>
  <c r="G257" i="5"/>
  <c r="B257" i="5"/>
  <c r="N257" i="5" s="1"/>
  <c r="P256" i="5"/>
  <c r="H256" i="5"/>
  <c r="B256" i="5"/>
  <c r="O256" i="5" s="1"/>
  <c r="Q255" i="5"/>
  <c r="L255" i="5"/>
  <c r="I255" i="5"/>
  <c r="C255" i="5"/>
  <c r="B255" i="5"/>
  <c r="P255" i="5" s="1"/>
  <c r="R254" i="5"/>
  <c r="M254" i="5"/>
  <c r="L254" i="5"/>
  <c r="J254" i="5"/>
  <c r="E254" i="5"/>
  <c r="C254" i="5"/>
  <c r="B254" i="5"/>
  <c r="Q254" i="5" s="1"/>
  <c r="B253" i="5"/>
  <c r="P252" i="5"/>
  <c r="O252" i="5"/>
  <c r="N252" i="5"/>
  <c r="M252" i="5"/>
  <c r="L252" i="5"/>
  <c r="H252" i="5"/>
  <c r="G252" i="5"/>
  <c r="F252" i="5"/>
  <c r="E252" i="5"/>
  <c r="C252" i="5"/>
  <c r="B252" i="5"/>
  <c r="K252" i="5" s="1"/>
  <c r="Q251" i="5"/>
  <c r="P251" i="5"/>
  <c r="O251" i="5"/>
  <c r="N251" i="5"/>
  <c r="M251" i="5"/>
  <c r="L251" i="5"/>
  <c r="I251" i="5"/>
  <c r="H251" i="5"/>
  <c r="G251" i="5"/>
  <c r="F251" i="5"/>
  <c r="E251" i="5"/>
  <c r="C251" i="5"/>
  <c r="B251" i="5"/>
  <c r="K251" i="5" s="1"/>
  <c r="R250" i="5"/>
  <c r="Q250" i="5"/>
  <c r="P250" i="5"/>
  <c r="O250" i="5"/>
  <c r="N250" i="5"/>
  <c r="M250" i="5"/>
  <c r="L250" i="5"/>
  <c r="J250" i="5"/>
  <c r="I250" i="5"/>
  <c r="H250" i="5"/>
  <c r="G250" i="5"/>
  <c r="F250" i="5"/>
  <c r="A250" i="5" s="1"/>
  <c r="E250" i="5"/>
  <c r="C250" i="5"/>
  <c r="B250" i="5"/>
  <c r="K250" i="5" s="1"/>
  <c r="R249" i="5"/>
  <c r="Q249" i="5"/>
  <c r="P249" i="5"/>
  <c r="O249" i="5"/>
  <c r="J249" i="5"/>
  <c r="I249" i="5"/>
  <c r="H249" i="5"/>
  <c r="G249" i="5"/>
  <c r="B249" i="5"/>
  <c r="N249" i="5" s="1"/>
  <c r="P248" i="5"/>
  <c r="H248" i="5"/>
  <c r="B248" i="5"/>
  <c r="O248" i="5" s="1"/>
  <c r="Q247" i="5"/>
  <c r="L247" i="5"/>
  <c r="I247" i="5"/>
  <c r="C247" i="5"/>
  <c r="B247" i="5"/>
  <c r="P247" i="5" s="1"/>
  <c r="R246" i="5"/>
  <c r="M246" i="5"/>
  <c r="L246" i="5"/>
  <c r="J246" i="5"/>
  <c r="E246" i="5"/>
  <c r="C246" i="5"/>
  <c r="B246" i="5"/>
  <c r="Q246" i="5" s="1"/>
  <c r="B245" i="5"/>
  <c r="K245" i="5" s="1"/>
  <c r="P244" i="5"/>
  <c r="O244" i="5"/>
  <c r="N244" i="5"/>
  <c r="M244" i="5"/>
  <c r="L244" i="5"/>
  <c r="H244" i="5"/>
  <c r="G244" i="5"/>
  <c r="F244" i="5"/>
  <c r="E244" i="5"/>
  <c r="C244" i="5"/>
  <c r="B244" i="5"/>
  <c r="K244" i="5" s="1"/>
  <c r="Q243" i="5"/>
  <c r="P243" i="5"/>
  <c r="O243" i="5"/>
  <c r="N243" i="5"/>
  <c r="M243" i="5"/>
  <c r="I243" i="5"/>
  <c r="H243" i="5"/>
  <c r="G243" i="5"/>
  <c r="F243" i="5"/>
  <c r="E243" i="5"/>
  <c r="B243" i="5"/>
  <c r="L243" i="5" s="1"/>
  <c r="R242" i="5"/>
  <c r="Q242" i="5"/>
  <c r="P242" i="5"/>
  <c r="O242" i="5"/>
  <c r="N242" i="5"/>
  <c r="M242" i="5"/>
  <c r="L242" i="5"/>
  <c r="J242" i="5"/>
  <c r="I242" i="5"/>
  <c r="H242" i="5"/>
  <c r="G242" i="5"/>
  <c r="F242" i="5"/>
  <c r="A242" i="5" s="1"/>
  <c r="E242" i="5"/>
  <c r="C242" i="5"/>
  <c r="B242" i="5"/>
  <c r="K242" i="5" s="1"/>
  <c r="R241" i="5"/>
  <c r="Q241" i="5"/>
  <c r="P241" i="5"/>
  <c r="O241" i="5"/>
  <c r="J241" i="5"/>
  <c r="I241" i="5"/>
  <c r="H241" i="5"/>
  <c r="G241" i="5"/>
  <c r="B241" i="5"/>
  <c r="N241" i="5" s="1"/>
  <c r="P240" i="5"/>
  <c r="H240" i="5"/>
  <c r="B240" i="5"/>
  <c r="O240" i="5" s="1"/>
  <c r="Q239" i="5"/>
  <c r="L239" i="5"/>
  <c r="I239" i="5"/>
  <c r="C239" i="5"/>
  <c r="B239" i="5"/>
  <c r="P239" i="5" s="1"/>
  <c r="R238" i="5"/>
  <c r="M238" i="5"/>
  <c r="L238" i="5"/>
  <c r="J238" i="5"/>
  <c r="E238" i="5"/>
  <c r="C238" i="5"/>
  <c r="B238" i="5"/>
  <c r="Q238" i="5" s="1"/>
  <c r="B237" i="5"/>
  <c r="K237" i="5" s="1"/>
  <c r="P236" i="5"/>
  <c r="O236" i="5"/>
  <c r="N236" i="5"/>
  <c r="M236" i="5"/>
  <c r="L236" i="5"/>
  <c r="H236" i="5"/>
  <c r="G236" i="5"/>
  <c r="F236" i="5"/>
  <c r="E236" i="5"/>
  <c r="C236" i="5"/>
  <c r="B236" i="5"/>
  <c r="K236" i="5" s="1"/>
  <c r="Q235" i="5"/>
  <c r="P235" i="5"/>
  <c r="O235" i="5"/>
  <c r="N235" i="5"/>
  <c r="M235" i="5"/>
  <c r="I235" i="5"/>
  <c r="H235" i="5"/>
  <c r="G235" i="5"/>
  <c r="F235" i="5"/>
  <c r="E235" i="5"/>
  <c r="B235" i="5"/>
  <c r="L235" i="5" s="1"/>
  <c r="R234" i="5"/>
  <c r="Q234" i="5"/>
  <c r="P234" i="5"/>
  <c r="O234" i="5"/>
  <c r="N234" i="5"/>
  <c r="M234" i="5"/>
  <c r="L234" i="5"/>
  <c r="J234" i="5"/>
  <c r="I234" i="5"/>
  <c r="H234" i="5"/>
  <c r="G234" i="5"/>
  <c r="F234" i="5"/>
  <c r="A234" i="5" s="1"/>
  <c r="E234" i="5"/>
  <c r="C234" i="5"/>
  <c r="B234" i="5"/>
  <c r="K234" i="5" s="1"/>
  <c r="R233" i="5"/>
  <c r="Q233" i="5"/>
  <c r="P233" i="5"/>
  <c r="O233" i="5"/>
  <c r="J233" i="5"/>
  <c r="I233" i="5"/>
  <c r="H233" i="5"/>
  <c r="G233" i="5"/>
  <c r="B233" i="5"/>
  <c r="N233" i="5" s="1"/>
  <c r="P232" i="5"/>
  <c r="H232" i="5"/>
  <c r="B232" i="5"/>
  <c r="O232" i="5" s="1"/>
  <c r="Q231" i="5"/>
  <c r="L231" i="5"/>
  <c r="I231" i="5"/>
  <c r="C231" i="5"/>
  <c r="B231" i="5"/>
  <c r="P231" i="5" s="1"/>
  <c r="R230" i="5"/>
  <c r="M230" i="5"/>
  <c r="L230" i="5"/>
  <c r="J230" i="5"/>
  <c r="E230" i="5"/>
  <c r="C230" i="5"/>
  <c r="B230" i="5"/>
  <c r="Q230" i="5" s="1"/>
  <c r="K229" i="5"/>
  <c r="B229" i="5"/>
  <c r="N229" i="5" s="1"/>
  <c r="P228" i="5"/>
  <c r="O228" i="5"/>
  <c r="N228" i="5"/>
  <c r="M228" i="5"/>
  <c r="L228" i="5"/>
  <c r="H228" i="5"/>
  <c r="G228" i="5"/>
  <c r="F228" i="5"/>
  <c r="E228" i="5"/>
  <c r="C228" i="5"/>
  <c r="B228" i="5"/>
  <c r="K228" i="5" s="1"/>
  <c r="Q227" i="5"/>
  <c r="P227" i="5"/>
  <c r="O227" i="5"/>
  <c r="N227" i="5"/>
  <c r="M227" i="5"/>
  <c r="I227" i="5"/>
  <c r="H227" i="5"/>
  <c r="G227" i="5"/>
  <c r="F227" i="5"/>
  <c r="E227" i="5"/>
  <c r="B227" i="5"/>
  <c r="L227" i="5" s="1"/>
  <c r="R226" i="5"/>
  <c r="Q226" i="5"/>
  <c r="P226" i="5"/>
  <c r="O226" i="5"/>
  <c r="N226" i="5"/>
  <c r="M226" i="5"/>
  <c r="L226" i="5"/>
  <c r="J226" i="5"/>
  <c r="I226" i="5"/>
  <c r="H226" i="5"/>
  <c r="G226" i="5"/>
  <c r="F226" i="5"/>
  <c r="E226" i="5"/>
  <c r="C226" i="5"/>
  <c r="B226" i="5"/>
  <c r="K226" i="5" s="1"/>
  <c r="R225" i="5"/>
  <c r="Q225" i="5"/>
  <c r="P225" i="5"/>
  <c r="O225" i="5"/>
  <c r="J225" i="5"/>
  <c r="I225" i="5"/>
  <c r="H225" i="5"/>
  <c r="G225" i="5"/>
  <c r="B225" i="5"/>
  <c r="N225" i="5" s="1"/>
  <c r="P224" i="5"/>
  <c r="H224" i="5"/>
  <c r="B224" i="5"/>
  <c r="Q223" i="5"/>
  <c r="L223" i="5"/>
  <c r="I223" i="5"/>
  <c r="C223" i="5"/>
  <c r="B223" i="5"/>
  <c r="P223" i="5" s="1"/>
  <c r="R222" i="5"/>
  <c r="M222" i="5"/>
  <c r="L222" i="5"/>
  <c r="J222" i="5"/>
  <c r="E222" i="5"/>
  <c r="C222" i="5"/>
  <c r="B222" i="5"/>
  <c r="Q222" i="5" s="1"/>
  <c r="K221" i="5"/>
  <c r="B221" i="5"/>
  <c r="P220" i="5"/>
  <c r="O220" i="5"/>
  <c r="N220" i="5"/>
  <c r="M220" i="5"/>
  <c r="L220" i="5"/>
  <c r="H220" i="5"/>
  <c r="G220" i="5"/>
  <c r="F220" i="5"/>
  <c r="E220" i="5"/>
  <c r="C220" i="5"/>
  <c r="B220" i="5"/>
  <c r="K220" i="5" s="1"/>
  <c r="Q219" i="5"/>
  <c r="P219" i="5"/>
  <c r="O219" i="5"/>
  <c r="N219" i="5"/>
  <c r="M219" i="5"/>
  <c r="I219" i="5"/>
  <c r="H219" i="5"/>
  <c r="G219" i="5"/>
  <c r="F219" i="5"/>
  <c r="E219" i="5"/>
  <c r="B219" i="5"/>
  <c r="L219" i="5" s="1"/>
  <c r="R218" i="5"/>
  <c r="Q218" i="5"/>
  <c r="P218" i="5"/>
  <c r="O218" i="5"/>
  <c r="N218" i="5"/>
  <c r="M218" i="5"/>
  <c r="L218" i="5"/>
  <c r="J218" i="5"/>
  <c r="I218" i="5"/>
  <c r="H218" i="5"/>
  <c r="G218" i="5"/>
  <c r="F218" i="5"/>
  <c r="A218" i="5" s="1"/>
  <c r="E218" i="5"/>
  <c r="C218" i="5"/>
  <c r="B218" i="5"/>
  <c r="K218" i="5" s="1"/>
  <c r="R217" i="5"/>
  <c r="Q217" i="5"/>
  <c r="P217" i="5"/>
  <c r="O217" i="5"/>
  <c r="J217" i="5"/>
  <c r="I217" i="5"/>
  <c r="H217" i="5"/>
  <c r="G217" i="5"/>
  <c r="B217" i="5"/>
  <c r="N217" i="5" s="1"/>
  <c r="P216" i="5"/>
  <c r="H216" i="5"/>
  <c r="B216" i="5"/>
  <c r="K216" i="5" s="1"/>
  <c r="Q215" i="5"/>
  <c r="L215" i="5"/>
  <c r="I215" i="5"/>
  <c r="C215" i="5"/>
  <c r="B215" i="5"/>
  <c r="P215" i="5" s="1"/>
  <c r="R214" i="5"/>
  <c r="M214" i="5"/>
  <c r="L214" i="5"/>
  <c r="J214" i="5"/>
  <c r="E214" i="5"/>
  <c r="C214" i="5"/>
  <c r="B214" i="5"/>
  <c r="Q214" i="5" s="1"/>
  <c r="K213" i="5"/>
  <c r="B213" i="5"/>
  <c r="N213" i="5" s="1"/>
  <c r="P212" i="5"/>
  <c r="O212" i="5"/>
  <c r="N212" i="5"/>
  <c r="M212" i="5"/>
  <c r="L212" i="5"/>
  <c r="H212" i="5"/>
  <c r="G212" i="5"/>
  <c r="F212" i="5"/>
  <c r="E212" i="5"/>
  <c r="C212" i="5"/>
  <c r="B212" i="5"/>
  <c r="K212" i="5" s="1"/>
  <c r="Q211" i="5"/>
  <c r="P211" i="5"/>
  <c r="O211" i="5"/>
  <c r="N211" i="5"/>
  <c r="M211" i="5"/>
  <c r="I211" i="5"/>
  <c r="H211" i="5"/>
  <c r="G211" i="5"/>
  <c r="F211" i="5"/>
  <c r="E211" i="5"/>
  <c r="B211" i="5"/>
  <c r="L211" i="5" s="1"/>
  <c r="R210" i="5"/>
  <c r="Q210" i="5"/>
  <c r="P210" i="5"/>
  <c r="O210" i="5"/>
  <c r="N210" i="5"/>
  <c r="M210" i="5"/>
  <c r="L210" i="5"/>
  <c r="J210" i="5"/>
  <c r="I210" i="5"/>
  <c r="H210" i="5"/>
  <c r="G210" i="5"/>
  <c r="F210" i="5"/>
  <c r="E210" i="5"/>
  <c r="C210" i="5"/>
  <c r="B210" i="5"/>
  <c r="K210" i="5" s="1"/>
  <c r="R209" i="5"/>
  <c r="Q209" i="5"/>
  <c r="P209" i="5"/>
  <c r="O209" i="5"/>
  <c r="J209" i="5"/>
  <c r="I209" i="5"/>
  <c r="H209" i="5"/>
  <c r="G209" i="5"/>
  <c r="B209" i="5"/>
  <c r="N209" i="5" s="1"/>
  <c r="P208" i="5"/>
  <c r="H208" i="5"/>
  <c r="B208" i="5"/>
  <c r="Q207" i="5"/>
  <c r="L207" i="5"/>
  <c r="I207" i="5"/>
  <c r="C207" i="5"/>
  <c r="B207" i="5"/>
  <c r="P207" i="5" s="1"/>
  <c r="R206" i="5"/>
  <c r="M206" i="5"/>
  <c r="L206" i="5"/>
  <c r="J206" i="5"/>
  <c r="E206" i="5"/>
  <c r="C206" i="5"/>
  <c r="B206" i="5"/>
  <c r="Q206" i="5" s="1"/>
  <c r="K205" i="5"/>
  <c r="B205" i="5"/>
  <c r="P204" i="5"/>
  <c r="O204" i="5"/>
  <c r="N204" i="5"/>
  <c r="M204" i="5"/>
  <c r="L204" i="5"/>
  <c r="H204" i="5"/>
  <c r="G204" i="5"/>
  <c r="F204" i="5"/>
  <c r="E204" i="5"/>
  <c r="C204" i="5"/>
  <c r="B204" i="5"/>
  <c r="K204" i="5" s="1"/>
  <c r="Q203" i="5"/>
  <c r="P203" i="5"/>
  <c r="O203" i="5"/>
  <c r="N203" i="5"/>
  <c r="M203" i="5"/>
  <c r="I203" i="5"/>
  <c r="H203" i="5"/>
  <c r="G203" i="5"/>
  <c r="F203" i="5"/>
  <c r="E203" i="5"/>
  <c r="B203" i="5"/>
  <c r="L203" i="5" s="1"/>
  <c r="R202" i="5"/>
  <c r="Q202" i="5"/>
  <c r="P202" i="5"/>
  <c r="O202" i="5"/>
  <c r="N202" i="5"/>
  <c r="M202" i="5"/>
  <c r="L202" i="5"/>
  <c r="J202" i="5"/>
  <c r="I202" i="5"/>
  <c r="H202" i="5"/>
  <c r="G202" i="5"/>
  <c r="F202" i="5"/>
  <c r="A202" i="5" s="1"/>
  <c r="E202" i="5"/>
  <c r="C202" i="5"/>
  <c r="B202" i="5"/>
  <c r="K202" i="5" s="1"/>
  <c r="R201" i="5"/>
  <c r="Q201" i="5"/>
  <c r="P201" i="5"/>
  <c r="O201" i="5"/>
  <c r="J201" i="5"/>
  <c r="I201" i="5"/>
  <c r="H201" i="5"/>
  <c r="G201" i="5"/>
  <c r="B201" i="5"/>
  <c r="N201" i="5" s="1"/>
  <c r="R200" i="5"/>
  <c r="P200" i="5"/>
  <c r="K200" i="5"/>
  <c r="J200" i="5"/>
  <c r="H200" i="5"/>
  <c r="B200" i="5"/>
  <c r="I199" i="5"/>
  <c r="B199" i="5"/>
  <c r="Q199" i="5" s="1"/>
  <c r="R198" i="5"/>
  <c r="M198" i="5"/>
  <c r="L198" i="5"/>
  <c r="J198" i="5"/>
  <c r="E198" i="5"/>
  <c r="C198" i="5"/>
  <c r="B198" i="5"/>
  <c r="Q198" i="5" s="1"/>
  <c r="B197" i="5"/>
  <c r="N197" i="5" s="1"/>
  <c r="R196" i="5"/>
  <c r="P196" i="5"/>
  <c r="O196" i="5"/>
  <c r="N196" i="5"/>
  <c r="M196" i="5"/>
  <c r="L196" i="5"/>
  <c r="J196" i="5"/>
  <c r="H196" i="5"/>
  <c r="G196" i="5"/>
  <c r="F196" i="5"/>
  <c r="E196" i="5"/>
  <c r="C196" i="5"/>
  <c r="B196" i="5"/>
  <c r="K196" i="5" s="1"/>
  <c r="Q195" i="5"/>
  <c r="P195" i="5"/>
  <c r="O195" i="5"/>
  <c r="N195" i="5"/>
  <c r="M195" i="5"/>
  <c r="I195" i="5"/>
  <c r="H195" i="5"/>
  <c r="G195" i="5"/>
  <c r="F195" i="5"/>
  <c r="E195" i="5"/>
  <c r="B195" i="5"/>
  <c r="L195" i="5" s="1"/>
  <c r="R194" i="5"/>
  <c r="Q194" i="5"/>
  <c r="P194" i="5"/>
  <c r="O194" i="5"/>
  <c r="N194" i="5"/>
  <c r="M194" i="5"/>
  <c r="L194" i="5"/>
  <c r="J194" i="5"/>
  <c r="I194" i="5"/>
  <c r="H194" i="5"/>
  <c r="G194" i="5"/>
  <c r="F194" i="5"/>
  <c r="E194" i="5"/>
  <c r="C194" i="5"/>
  <c r="B194" i="5"/>
  <c r="K194" i="5" s="1"/>
  <c r="R193" i="5"/>
  <c r="Q193" i="5"/>
  <c r="P193" i="5"/>
  <c r="O193" i="5"/>
  <c r="J193" i="5"/>
  <c r="I193" i="5"/>
  <c r="H193" i="5"/>
  <c r="G193" i="5"/>
  <c r="B193" i="5"/>
  <c r="N193" i="5" s="1"/>
  <c r="R192" i="5"/>
  <c r="K192" i="5"/>
  <c r="J192" i="5"/>
  <c r="H192" i="5"/>
  <c r="B192" i="5"/>
  <c r="L191" i="5"/>
  <c r="I191" i="5"/>
  <c r="B191" i="5"/>
  <c r="M190" i="5"/>
  <c r="K190" i="5"/>
  <c r="E190" i="5"/>
  <c r="B190" i="5"/>
  <c r="R190" i="5" s="1"/>
  <c r="N189" i="5"/>
  <c r="M189" i="5"/>
  <c r="L189" i="5"/>
  <c r="F189" i="5"/>
  <c r="E189" i="5"/>
  <c r="C189" i="5"/>
  <c r="B189" i="5"/>
  <c r="R188" i="5"/>
  <c r="P188" i="5"/>
  <c r="O188" i="5"/>
  <c r="N188" i="5"/>
  <c r="M188" i="5"/>
  <c r="L188" i="5"/>
  <c r="J188" i="5"/>
  <c r="H188" i="5"/>
  <c r="G188" i="5"/>
  <c r="F188" i="5"/>
  <c r="E188" i="5"/>
  <c r="C188" i="5"/>
  <c r="B188" i="5"/>
  <c r="K188" i="5" s="1"/>
  <c r="Q187" i="5"/>
  <c r="P187" i="5"/>
  <c r="O187" i="5"/>
  <c r="N187" i="5"/>
  <c r="M187" i="5"/>
  <c r="I187" i="5"/>
  <c r="H187" i="5"/>
  <c r="G187" i="5"/>
  <c r="F187" i="5"/>
  <c r="E187" i="5"/>
  <c r="B187" i="5"/>
  <c r="L187" i="5" s="1"/>
  <c r="R186" i="5"/>
  <c r="Q186" i="5"/>
  <c r="P186" i="5"/>
  <c r="O186" i="5"/>
  <c r="N186" i="5"/>
  <c r="M186" i="5"/>
  <c r="L186" i="5"/>
  <c r="J186" i="5"/>
  <c r="I186" i="5"/>
  <c r="H186" i="5"/>
  <c r="G186" i="5"/>
  <c r="F186" i="5"/>
  <c r="E186" i="5"/>
  <c r="C186" i="5"/>
  <c r="B186" i="5"/>
  <c r="K186" i="5" s="1"/>
  <c r="R185" i="5"/>
  <c r="Q185" i="5"/>
  <c r="P185" i="5"/>
  <c r="O185" i="5"/>
  <c r="J185" i="5"/>
  <c r="I185" i="5"/>
  <c r="H185" i="5"/>
  <c r="G185" i="5"/>
  <c r="B185" i="5"/>
  <c r="N185" i="5" s="1"/>
  <c r="B184" i="5"/>
  <c r="R184" i="5" s="1"/>
  <c r="R183" i="5"/>
  <c r="L183" i="5"/>
  <c r="J183" i="5"/>
  <c r="C183" i="5"/>
  <c r="B183" i="5"/>
  <c r="Q183" i="5" s="1"/>
  <c r="E182" i="5"/>
  <c r="B182" i="5"/>
  <c r="R182" i="5" s="1"/>
  <c r="N181" i="5"/>
  <c r="M181" i="5"/>
  <c r="L181" i="5"/>
  <c r="K181" i="5"/>
  <c r="F181" i="5"/>
  <c r="E181" i="5"/>
  <c r="C181" i="5"/>
  <c r="B181" i="5"/>
  <c r="R180" i="5"/>
  <c r="P180" i="5"/>
  <c r="O180" i="5"/>
  <c r="N180" i="5"/>
  <c r="M180" i="5"/>
  <c r="L180" i="5"/>
  <c r="J180" i="5"/>
  <c r="H180" i="5"/>
  <c r="G180" i="5"/>
  <c r="F180" i="5"/>
  <c r="E180" i="5"/>
  <c r="C180" i="5"/>
  <c r="B180" i="5"/>
  <c r="K180" i="5" s="1"/>
  <c r="Q179" i="5"/>
  <c r="P179" i="5"/>
  <c r="O179" i="5"/>
  <c r="N179" i="5"/>
  <c r="M179" i="5"/>
  <c r="I179" i="5"/>
  <c r="H179" i="5"/>
  <c r="G179" i="5"/>
  <c r="F179" i="5"/>
  <c r="E179" i="5"/>
  <c r="B179" i="5"/>
  <c r="L179" i="5" s="1"/>
  <c r="R178" i="5"/>
  <c r="Q178" i="5"/>
  <c r="P178" i="5"/>
  <c r="O178" i="5"/>
  <c r="N178" i="5"/>
  <c r="M178" i="5"/>
  <c r="L178" i="5"/>
  <c r="J178" i="5"/>
  <c r="I178" i="5"/>
  <c r="H178" i="5"/>
  <c r="G178" i="5"/>
  <c r="F178" i="5"/>
  <c r="E178" i="5"/>
  <c r="C178" i="5"/>
  <c r="B178" i="5"/>
  <c r="K178" i="5" s="1"/>
  <c r="R177" i="5"/>
  <c r="Q177" i="5"/>
  <c r="P177" i="5"/>
  <c r="O177" i="5"/>
  <c r="J177" i="5"/>
  <c r="I177" i="5"/>
  <c r="H177" i="5"/>
  <c r="G177" i="5"/>
  <c r="B177" i="5"/>
  <c r="N177" i="5" s="1"/>
  <c r="K176" i="5"/>
  <c r="I176" i="5"/>
  <c r="B176" i="5"/>
  <c r="R176" i="5" s="1"/>
  <c r="R175" i="5"/>
  <c r="L175" i="5"/>
  <c r="J175" i="5"/>
  <c r="C175" i="5"/>
  <c r="B175" i="5"/>
  <c r="Q175" i="5" s="1"/>
  <c r="M174" i="5"/>
  <c r="K174" i="5"/>
  <c r="E174" i="5"/>
  <c r="B174" i="5"/>
  <c r="R174" i="5" s="1"/>
  <c r="N173" i="5"/>
  <c r="M173" i="5"/>
  <c r="L173" i="5"/>
  <c r="F173" i="5"/>
  <c r="E173" i="5"/>
  <c r="C173" i="5"/>
  <c r="B173" i="5"/>
  <c r="R172" i="5"/>
  <c r="P172" i="5"/>
  <c r="O172" i="5"/>
  <c r="N172" i="5"/>
  <c r="M172" i="5"/>
  <c r="L172" i="5"/>
  <c r="J172" i="5"/>
  <c r="H172" i="5"/>
  <c r="G172" i="5"/>
  <c r="F172" i="5"/>
  <c r="E172" i="5"/>
  <c r="C172" i="5"/>
  <c r="B172" i="5"/>
  <c r="K172" i="5" s="1"/>
  <c r="Q171" i="5"/>
  <c r="P171" i="5"/>
  <c r="O171" i="5"/>
  <c r="N171" i="5"/>
  <c r="M171" i="5"/>
  <c r="I171" i="5"/>
  <c r="H171" i="5"/>
  <c r="G171" i="5"/>
  <c r="F171" i="5"/>
  <c r="E171" i="5"/>
  <c r="B171" i="5"/>
  <c r="L171" i="5" s="1"/>
  <c r="R170" i="5"/>
  <c r="Q170" i="5"/>
  <c r="P170" i="5"/>
  <c r="O170" i="5"/>
  <c r="N170" i="5"/>
  <c r="M170" i="5"/>
  <c r="L170" i="5"/>
  <c r="J170" i="5"/>
  <c r="I170" i="5"/>
  <c r="H170" i="5"/>
  <c r="G170" i="5"/>
  <c r="F170" i="5"/>
  <c r="E170" i="5"/>
  <c r="C170" i="5"/>
  <c r="B170" i="5"/>
  <c r="K170" i="5" s="1"/>
  <c r="B169" i="5"/>
  <c r="P169" i="5" s="1"/>
  <c r="R168" i="5"/>
  <c r="P168" i="5"/>
  <c r="L168" i="5"/>
  <c r="K168" i="5"/>
  <c r="J168" i="5"/>
  <c r="I168" i="5"/>
  <c r="H168" i="5"/>
  <c r="C168" i="5"/>
  <c r="B168" i="5"/>
  <c r="L167" i="5"/>
  <c r="J167" i="5"/>
  <c r="E167" i="5"/>
  <c r="B167" i="5"/>
  <c r="M167" i="5" s="1"/>
  <c r="R166" i="5"/>
  <c r="M166" i="5"/>
  <c r="K166" i="5"/>
  <c r="F166" i="5"/>
  <c r="C166" i="5"/>
  <c r="B166" i="5"/>
  <c r="L166" i="5" s="1"/>
  <c r="G165" i="5"/>
  <c r="B165" i="5"/>
  <c r="M165" i="5" s="1"/>
  <c r="R164" i="5"/>
  <c r="P164" i="5"/>
  <c r="O164" i="5"/>
  <c r="N164" i="5"/>
  <c r="M164" i="5"/>
  <c r="L164" i="5"/>
  <c r="J164" i="5"/>
  <c r="H164" i="5"/>
  <c r="G164" i="5"/>
  <c r="F164" i="5"/>
  <c r="E164" i="5"/>
  <c r="C164" i="5"/>
  <c r="B164" i="5"/>
  <c r="K164" i="5" s="1"/>
  <c r="Q163" i="5"/>
  <c r="P163" i="5"/>
  <c r="O163" i="5"/>
  <c r="N163" i="5"/>
  <c r="M163" i="5"/>
  <c r="I163" i="5"/>
  <c r="H163" i="5"/>
  <c r="G163" i="5"/>
  <c r="F163" i="5"/>
  <c r="E163" i="5"/>
  <c r="B163" i="5"/>
  <c r="L163" i="5" s="1"/>
  <c r="R162" i="5"/>
  <c r="Q162" i="5"/>
  <c r="P162" i="5"/>
  <c r="O162" i="5"/>
  <c r="N162" i="5"/>
  <c r="M162" i="5"/>
  <c r="L162" i="5"/>
  <c r="J162" i="5"/>
  <c r="I162" i="5"/>
  <c r="H162" i="5"/>
  <c r="G162" i="5"/>
  <c r="F162" i="5"/>
  <c r="A162" i="5" s="1"/>
  <c r="E162" i="5"/>
  <c r="C162" i="5"/>
  <c r="B162" i="5"/>
  <c r="K162" i="5" s="1"/>
  <c r="O161" i="5"/>
  <c r="J161" i="5"/>
  <c r="H161" i="5"/>
  <c r="B161" i="5"/>
  <c r="P161" i="5" s="1"/>
  <c r="R160" i="5"/>
  <c r="P160" i="5"/>
  <c r="K160" i="5"/>
  <c r="I160" i="5"/>
  <c r="C160" i="5"/>
  <c r="B160" i="5"/>
  <c r="L160" i="5" s="1"/>
  <c r="J159" i="5"/>
  <c r="B159" i="5"/>
  <c r="M159" i="5" s="1"/>
  <c r="R158" i="5"/>
  <c r="M158" i="5"/>
  <c r="L158" i="5"/>
  <c r="K158" i="5"/>
  <c r="F158" i="5"/>
  <c r="E158" i="5"/>
  <c r="C158" i="5"/>
  <c r="B158" i="5"/>
  <c r="L157" i="5"/>
  <c r="E157" i="5"/>
  <c r="B157" i="5"/>
  <c r="M157" i="5" s="1"/>
  <c r="R156" i="5"/>
  <c r="P156" i="5"/>
  <c r="O156" i="5"/>
  <c r="N156" i="5"/>
  <c r="M156" i="5"/>
  <c r="L156" i="5"/>
  <c r="J156" i="5"/>
  <c r="H156" i="5"/>
  <c r="G156" i="5"/>
  <c r="F156" i="5"/>
  <c r="E156" i="5"/>
  <c r="C156" i="5"/>
  <c r="B156" i="5"/>
  <c r="K156" i="5" s="1"/>
  <c r="Q155" i="5"/>
  <c r="P155" i="5"/>
  <c r="O155" i="5"/>
  <c r="N155" i="5"/>
  <c r="M155" i="5"/>
  <c r="I155" i="5"/>
  <c r="H155" i="5"/>
  <c r="G155" i="5"/>
  <c r="F155" i="5"/>
  <c r="E155" i="5"/>
  <c r="B155" i="5"/>
  <c r="L155" i="5" s="1"/>
  <c r="R154" i="5"/>
  <c r="Q154" i="5"/>
  <c r="P154" i="5"/>
  <c r="O154" i="5"/>
  <c r="N154" i="5"/>
  <c r="M154" i="5"/>
  <c r="L154" i="5"/>
  <c r="J154" i="5"/>
  <c r="I154" i="5"/>
  <c r="H154" i="5"/>
  <c r="A154" i="5" s="1"/>
  <c r="G154" i="5"/>
  <c r="F154" i="5"/>
  <c r="E154" i="5"/>
  <c r="C154" i="5"/>
  <c r="B154" i="5"/>
  <c r="K154" i="5" s="1"/>
  <c r="J153" i="5"/>
  <c r="B153" i="5"/>
  <c r="P153" i="5" s="1"/>
  <c r="R152" i="5"/>
  <c r="P152" i="5"/>
  <c r="K152" i="5"/>
  <c r="I152" i="5"/>
  <c r="H152" i="5"/>
  <c r="C152" i="5"/>
  <c r="B152" i="5"/>
  <c r="E151" i="5"/>
  <c r="B151" i="5"/>
  <c r="M151" i="5" s="1"/>
  <c r="R150" i="5"/>
  <c r="M150" i="5"/>
  <c r="K150" i="5"/>
  <c r="F150" i="5"/>
  <c r="C150" i="5"/>
  <c r="B150" i="5"/>
  <c r="L150" i="5" s="1"/>
  <c r="B149" i="5"/>
  <c r="M149" i="5" s="1"/>
  <c r="R148" i="5"/>
  <c r="P148" i="5"/>
  <c r="O148" i="5"/>
  <c r="N148" i="5"/>
  <c r="M148" i="5"/>
  <c r="L148" i="5"/>
  <c r="J148" i="5"/>
  <c r="H148" i="5"/>
  <c r="G148" i="5"/>
  <c r="F148" i="5"/>
  <c r="E148" i="5"/>
  <c r="C148" i="5"/>
  <c r="B148" i="5"/>
  <c r="K148" i="5" s="1"/>
  <c r="Q147" i="5"/>
  <c r="P147" i="5"/>
  <c r="O147" i="5"/>
  <c r="N147" i="5"/>
  <c r="M147" i="5"/>
  <c r="I147" i="5"/>
  <c r="H147" i="5"/>
  <c r="G147" i="5"/>
  <c r="F147" i="5"/>
  <c r="E147" i="5"/>
  <c r="B147" i="5"/>
  <c r="L147" i="5" s="1"/>
  <c r="R146" i="5"/>
  <c r="Q146" i="5"/>
  <c r="P146" i="5"/>
  <c r="O146" i="5"/>
  <c r="N146" i="5"/>
  <c r="L146" i="5"/>
  <c r="J146" i="5"/>
  <c r="I146" i="5"/>
  <c r="H146" i="5"/>
  <c r="G146" i="5"/>
  <c r="F146" i="5"/>
  <c r="C146" i="5"/>
  <c r="B146" i="5"/>
  <c r="M146" i="5" s="1"/>
  <c r="Q145" i="5"/>
  <c r="G145" i="5"/>
  <c r="B145" i="5"/>
  <c r="M145" i="5" s="1"/>
  <c r="R144" i="5"/>
  <c r="Q144" i="5"/>
  <c r="P144" i="5"/>
  <c r="L144" i="5"/>
  <c r="J144" i="5"/>
  <c r="H144" i="5"/>
  <c r="F144" i="5"/>
  <c r="C144" i="5"/>
  <c r="B144" i="5"/>
  <c r="I143" i="5"/>
  <c r="B143" i="5"/>
  <c r="L143" i="5" s="1"/>
  <c r="R142" i="5"/>
  <c r="N142" i="5"/>
  <c r="L142" i="5"/>
  <c r="J142" i="5"/>
  <c r="H142" i="5"/>
  <c r="F142" i="5"/>
  <c r="C142" i="5"/>
  <c r="B142" i="5"/>
  <c r="K142" i="5" s="1"/>
  <c r="O141" i="5"/>
  <c r="K141" i="5"/>
  <c r="G141" i="5"/>
  <c r="E141" i="5"/>
  <c r="B141" i="5"/>
  <c r="L141" i="5" s="1"/>
  <c r="R140" i="5"/>
  <c r="P140" i="5"/>
  <c r="O140" i="5"/>
  <c r="N140" i="5"/>
  <c r="M140" i="5"/>
  <c r="L140" i="5"/>
  <c r="J140" i="5"/>
  <c r="H140" i="5"/>
  <c r="G140" i="5"/>
  <c r="F140" i="5"/>
  <c r="E140" i="5"/>
  <c r="C140" i="5"/>
  <c r="B140" i="5"/>
  <c r="K140" i="5" s="1"/>
  <c r="B139" i="5"/>
  <c r="M139" i="5" s="1"/>
  <c r="R138" i="5"/>
  <c r="Q138" i="5"/>
  <c r="P138" i="5"/>
  <c r="O138" i="5"/>
  <c r="N138" i="5"/>
  <c r="L138" i="5"/>
  <c r="J138" i="5"/>
  <c r="I138" i="5"/>
  <c r="H138" i="5"/>
  <c r="G138" i="5"/>
  <c r="F138" i="5"/>
  <c r="C138" i="5"/>
  <c r="B138" i="5"/>
  <c r="M138" i="5" s="1"/>
  <c r="Q137" i="5"/>
  <c r="K137" i="5"/>
  <c r="G137" i="5"/>
  <c r="B137" i="5"/>
  <c r="M137" i="5" s="1"/>
  <c r="R136" i="5"/>
  <c r="Q136" i="5"/>
  <c r="P136" i="5"/>
  <c r="L136" i="5"/>
  <c r="J136" i="5"/>
  <c r="H136" i="5"/>
  <c r="F136" i="5"/>
  <c r="C136" i="5"/>
  <c r="B136" i="5"/>
  <c r="Q135" i="5"/>
  <c r="M135" i="5"/>
  <c r="K135" i="5"/>
  <c r="I135" i="5"/>
  <c r="F135" i="5"/>
  <c r="C135" i="5"/>
  <c r="B135" i="5"/>
  <c r="J135" i="5" s="1"/>
  <c r="P134" i="5"/>
  <c r="G134" i="5"/>
  <c r="B134" i="5"/>
  <c r="K134" i="5" s="1"/>
  <c r="Q133" i="5"/>
  <c r="P133" i="5"/>
  <c r="O133" i="5"/>
  <c r="N133" i="5"/>
  <c r="M133" i="5"/>
  <c r="K133" i="5"/>
  <c r="I133" i="5"/>
  <c r="H133" i="5"/>
  <c r="G133" i="5"/>
  <c r="F133" i="5"/>
  <c r="E133" i="5"/>
  <c r="C133" i="5"/>
  <c r="B133" i="5"/>
  <c r="O132" i="5"/>
  <c r="G132" i="5"/>
  <c r="B132" i="5"/>
  <c r="N132" i="5" s="1"/>
  <c r="R131" i="5"/>
  <c r="P131" i="5"/>
  <c r="N131" i="5"/>
  <c r="L131" i="5"/>
  <c r="J131" i="5"/>
  <c r="H131" i="5"/>
  <c r="F131" i="5"/>
  <c r="C131" i="5"/>
  <c r="B131" i="5"/>
  <c r="O131" i="5" s="1"/>
  <c r="Q130" i="5"/>
  <c r="O130" i="5"/>
  <c r="M130" i="5"/>
  <c r="I130" i="5"/>
  <c r="G130" i="5"/>
  <c r="E130" i="5"/>
  <c r="B130" i="5"/>
  <c r="P130" i="5" s="1"/>
  <c r="R129" i="5"/>
  <c r="P129" i="5"/>
  <c r="N129" i="5"/>
  <c r="M129" i="5"/>
  <c r="L129" i="5"/>
  <c r="J129" i="5"/>
  <c r="H129" i="5"/>
  <c r="F129" i="5"/>
  <c r="E129" i="5"/>
  <c r="C129" i="5"/>
  <c r="B129" i="5"/>
  <c r="Q129" i="5" s="1"/>
  <c r="B128" i="5"/>
  <c r="K128" i="5" s="1"/>
  <c r="R127" i="5"/>
  <c r="P127" i="5"/>
  <c r="O127" i="5"/>
  <c r="N127" i="5"/>
  <c r="L127" i="5"/>
  <c r="J127" i="5"/>
  <c r="H127" i="5"/>
  <c r="G127" i="5"/>
  <c r="F127" i="5"/>
  <c r="C127" i="5"/>
  <c r="B127" i="5"/>
  <c r="K127" i="5" s="1"/>
  <c r="Q126" i="5"/>
  <c r="M126" i="5"/>
  <c r="I126" i="5"/>
  <c r="E126" i="5"/>
  <c r="B126" i="5"/>
  <c r="L126" i="5" s="1"/>
  <c r="R125" i="5"/>
  <c r="Q125" i="5"/>
  <c r="P125" i="5"/>
  <c r="O125" i="5"/>
  <c r="N125" i="5"/>
  <c r="M125" i="5"/>
  <c r="L125" i="5"/>
  <c r="J125" i="5"/>
  <c r="I125" i="5"/>
  <c r="H125" i="5"/>
  <c r="G125" i="5"/>
  <c r="F125" i="5"/>
  <c r="E125" i="5"/>
  <c r="C125" i="5"/>
  <c r="B125" i="5"/>
  <c r="K125" i="5" s="1"/>
  <c r="O124" i="5"/>
  <c r="G124" i="5"/>
  <c r="B124" i="5"/>
  <c r="N124" i="5" s="1"/>
  <c r="R123" i="5"/>
  <c r="P123" i="5"/>
  <c r="N123" i="5"/>
  <c r="L123" i="5"/>
  <c r="J123" i="5"/>
  <c r="H123" i="5"/>
  <c r="F123" i="5"/>
  <c r="C123" i="5"/>
  <c r="B123" i="5"/>
  <c r="O123" i="5" s="1"/>
  <c r="Q122" i="5"/>
  <c r="O122" i="5"/>
  <c r="M122" i="5"/>
  <c r="I122" i="5"/>
  <c r="G122" i="5"/>
  <c r="E122" i="5"/>
  <c r="B122" i="5"/>
  <c r="P122" i="5" s="1"/>
  <c r="R121" i="5"/>
  <c r="P121" i="5"/>
  <c r="N121" i="5"/>
  <c r="M121" i="5"/>
  <c r="L121" i="5"/>
  <c r="J121" i="5"/>
  <c r="H121" i="5"/>
  <c r="F121" i="5"/>
  <c r="E121" i="5"/>
  <c r="C121" i="5"/>
  <c r="B121" i="5"/>
  <c r="Q121" i="5" s="1"/>
  <c r="B120" i="5"/>
  <c r="K120" i="5" s="1"/>
  <c r="R119" i="5"/>
  <c r="P119" i="5"/>
  <c r="O119" i="5"/>
  <c r="N119" i="5"/>
  <c r="L119" i="5"/>
  <c r="J119" i="5"/>
  <c r="H119" i="5"/>
  <c r="G119" i="5"/>
  <c r="F119" i="5"/>
  <c r="C119" i="5"/>
  <c r="B119" i="5"/>
  <c r="K119" i="5" s="1"/>
  <c r="Q118" i="5"/>
  <c r="M118" i="5"/>
  <c r="I118" i="5"/>
  <c r="E118" i="5"/>
  <c r="B118" i="5"/>
  <c r="L118" i="5" s="1"/>
  <c r="R117" i="5"/>
  <c r="Q117" i="5"/>
  <c r="P117" i="5"/>
  <c r="O117" i="5"/>
  <c r="N117" i="5"/>
  <c r="M117" i="5"/>
  <c r="L117" i="5"/>
  <c r="J117" i="5"/>
  <c r="I117" i="5"/>
  <c r="H117" i="5"/>
  <c r="G117" i="5"/>
  <c r="F117" i="5"/>
  <c r="A117" i="5" s="1"/>
  <c r="E117" i="5"/>
  <c r="C117" i="5"/>
  <c r="B117" i="5"/>
  <c r="K117" i="5" s="1"/>
  <c r="O116" i="5"/>
  <c r="G116" i="5"/>
  <c r="B116" i="5"/>
  <c r="N116" i="5" s="1"/>
  <c r="R115" i="5"/>
  <c r="P115" i="5"/>
  <c r="N115" i="5"/>
  <c r="L115" i="5"/>
  <c r="J115" i="5"/>
  <c r="H115" i="5"/>
  <c r="F115" i="5"/>
  <c r="C115" i="5"/>
  <c r="B115" i="5"/>
  <c r="O115" i="5" s="1"/>
  <c r="Q114" i="5"/>
  <c r="O114" i="5"/>
  <c r="M114" i="5"/>
  <c r="I114" i="5"/>
  <c r="G114" i="5"/>
  <c r="E114" i="5"/>
  <c r="B114" i="5"/>
  <c r="P114" i="5" s="1"/>
  <c r="R113" i="5"/>
  <c r="P113" i="5"/>
  <c r="N113" i="5"/>
  <c r="M113" i="5"/>
  <c r="L113" i="5"/>
  <c r="J113" i="5"/>
  <c r="H113" i="5"/>
  <c r="F113" i="5"/>
  <c r="E113" i="5"/>
  <c r="C113" i="5"/>
  <c r="B113" i="5"/>
  <c r="Q113" i="5" s="1"/>
  <c r="B112" i="5"/>
  <c r="K112" i="5" s="1"/>
  <c r="R111" i="5"/>
  <c r="P111" i="5"/>
  <c r="O111" i="5"/>
  <c r="N111" i="5"/>
  <c r="L111" i="5"/>
  <c r="J111" i="5"/>
  <c r="H111" i="5"/>
  <c r="G111" i="5"/>
  <c r="F111" i="5"/>
  <c r="C111" i="5"/>
  <c r="B111" i="5"/>
  <c r="K111" i="5" s="1"/>
  <c r="Q110" i="5"/>
  <c r="M110" i="5"/>
  <c r="I110" i="5"/>
  <c r="E110" i="5"/>
  <c r="B110" i="5"/>
  <c r="L110" i="5" s="1"/>
  <c r="R109" i="5"/>
  <c r="Q109" i="5"/>
  <c r="P109" i="5"/>
  <c r="O109" i="5"/>
  <c r="N109" i="5"/>
  <c r="M109" i="5"/>
  <c r="L109" i="5"/>
  <c r="J109" i="5"/>
  <c r="I109" i="5"/>
  <c r="H109" i="5"/>
  <c r="G109" i="5"/>
  <c r="F109" i="5"/>
  <c r="E109" i="5"/>
  <c r="C109" i="5"/>
  <c r="B109" i="5"/>
  <c r="K109" i="5" s="1"/>
  <c r="O108" i="5"/>
  <c r="G108" i="5"/>
  <c r="B108" i="5"/>
  <c r="N108" i="5" s="1"/>
  <c r="R107" i="5"/>
  <c r="P107" i="5"/>
  <c r="N107" i="5"/>
  <c r="L107" i="5"/>
  <c r="J107" i="5"/>
  <c r="H107" i="5"/>
  <c r="F107" i="5"/>
  <c r="C107" i="5"/>
  <c r="B107" i="5"/>
  <c r="O107" i="5" s="1"/>
  <c r="Q106" i="5"/>
  <c r="O106" i="5"/>
  <c r="M106" i="5"/>
  <c r="I106" i="5"/>
  <c r="G106" i="5"/>
  <c r="E106" i="5"/>
  <c r="B106" i="5"/>
  <c r="P106" i="5" s="1"/>
  <c r="R105" i="5"/>
  <c r="P105" i="5"/>
  <c r="N105" i="5"/>
  <c r="M105" i="5"/>
  <c r="L105" i="5"/>
  <c r="J105" i="5"/>
  <c r="H105" i="5"/>
  <c r="F105" i="5"/>
  <c r="E105" i="5"/>
  <c r="C105" i="5"/>
  <c r="B105" i="5"/>
  <c r="Q105" i="5" s="1"/>
  <c r="B104" i="5"/>
  <c r="K104" i="5" s="1"/>
  <c r="R103" i="5"/>
  <c r="P103" i="5"/>
  <c r="O103" i="5"/>
  <c r="N103" i="5"/>
  <c r="L103" i="5"/>
  <c r="J103" i="5"/>
  <c r="H103" i="5"/>
  <c r="G103" i="5"/>
  <c r="F103" i="5"/>
  <c r="C103" i="5"/>
  <c r="B103" i="5"/>
  <c r="K103" i="5" s="1"/>
  <c r="Q102" i="5"/>
  <c r="M102" i="5"/>
  <c r="I102" i="5"/>
  <c r="E102" i="5"/>
  <c r="B102" i="5"/>
  <c r="L102" i="5" s="1"/>
  <c r="R101" i="5"/>
  <c r="Q101" i="5"/>
  <c r="P101" i="5"/>
  <c r="O101" i="5"/>
  <c r="N101" i="5"/>
  <c r="M101" i="5"/>
  <c r="L101" i="5"/>
  <c r="J101" i="5"/>
  <c r="I101" i="5"/>
  <c r="H101" i="5"/>
  <c r="G101" i="5"/>
  <c r="F101" i="5"/>
  <c r="A101" i="5" s="1"/>
  <c r="E101" i="5"/>
  <c r="C101" i="5"/>
  <c r="B101" i="5"/>
  <c r="K101" i="5" s="1"/>
  <c r="O100" i="5"/>
  <c r="G100" i="5"/>
  <c r="B100" i="5"/>
  <c r="N100" i="5" s="1"/>
  <c r="R99" i="5"/>
  <c r="P99" i="5"/>
  <c r="N99" i="5"/>
  <c r="L99" i="5"/>
  <c r="J99" i="5"/>
  <c r="H99" i="5"/>
  <c r="F99" i="5"/>
  <c r="C99" i="5"/>
  <c r="B99" i="5"/>
  <c r="O99" i="5" s="1"/>
  <c r="Q98" i="5"/>
  <c r="O98" i="5"/>
  <c r="M98" i="5"/>
  <c r="I98" i="5"/>
  <c r="G98" i="5"/>
  <c r="E98" i="5"/>
  <c r="B98" i="5"/>
  <c r="P98" i="5" s="1"/>
  <c r="R97" i="5"/>
  <c r="P97" i="5"/>
  <c r="N97" i="5"/>
  <c r="M97" i="5"/>
  <c r="L97" i="5"/>
  <c r="J97" i="5"/>
  <c r="H97" i="5"/>
  <c r="F97" i="5"/>
  <c r="E97" i="5"/>
  <c r="C97" i="5"/>
  <c r="B97" i="5"/>
  <c r="Q97" i="5" s="1"/>
  <c r="B96" i="5"/>
  <c r="K96" i="5" s="1"/>
  <c r="R95" i="5"/>
  <c r="P95" i="5"/>
  <c r="O95" i="5"/>
  <c r="N95" i="5"/>
  <c r="L95" i="5"/>
  <c r="J95" i="5"/>
  <c r="H95" i="5"/>
  <c r="G95" i="5"/>
  <c r="F95" i="5"/>
  <c r="C95" i="5"/>
  <c r="B95" i="5"/>
  <c r="K95" i="5" s="1"/>
  <c r="Q94" i="5"/>
  <c r="M94" i="5"/>
  <c r="I94" i="5"/>
  <c r="E94" i="5"/>
  <c r="B94" i="5"/>
  <c r="L94" i="5" s="1"/>
  <c r="R93" i="5"/>
  <c r="Q93" i="5"/>
  <c r="P93" i="5"/>
  <c r="O93" i="5"/>
  <c r="N93" i="5"/>
  <c r="M93" i="5"/>
  <c r="L93" i="5"/>
  <c r="J93" i="5"/>
  <c r="I93" i="5"/>
  <c r="H93" i="5"/>
  <c r="G93" i="5"/>
  <c r="F93" i="5"/>
  <c r="E93" i="5"/>
  <c r="C93" i="5"/>
  <c r="B93" i="5"/>
  <c r="K93" i="5" s="1"/>
  <c r="O92" i="5"/>
  <c r="G92" i="5"/>
  <c r="B92" i="5"/>
  <c r="N92" i="5" s="1"/>
  <c r="R91" i="5"/>
  <c r="P91" i="5"/>
  <c r="N91" i="5"/>
  <c r="L91" i="5"/>
  <c r="J91" i="5"/>
  <c r="H91" i="5"/>
  <c r="F91" i="5"/>
  <c r="C91" i="5"/>
  <c r="B91" i="5"/>
  <c r="O91" i="5" s="1"/>
  <c r="Q90" i="5"/>
  <c r="O90" i="5"/>
  <c r="M90" i="5"/>
  <c r="I90" i="5"/>
  <c r="G90" i="5"/>
  <c r="E90" i="5"/>
  <c r="B90" i="5"/>
  <c r="P90" i="5" s="1"/>
  <c r="R89" i="5"/>
  <c r="Q89" i="5"/>
  <c r="P89" i="5"/>
  <c r="N89" i="5"/>
  <c r="M89" i="5"/>
  <c r="L89" i="5"/>
  <c r="J89" i="5"/>
  <c r="I89" i="5"/>
  <c r="H89" i="5"/>
  <c r="F89" i="5"/>
  <c r="E89" i="5"/>
  <c r="C89" i="5"/>
  <c r="B89" i="5"/>
  <c r="O89" i="5" s="1"/>
  <c r="B88" i="5"/>
  <c r="K88" i="5" s="1"/>
  <c r="R87" i="5"/>
  <c r="P87" i="5"/>
  <c r="O87" i="5"/>
  <c r="N87" i="5"/>
  <c r="L87" i="5"/>
  <c r="J87" i="5"/>
  <c r="H87" i="5"/>
  <c r="G87" i="5"/>
  <c r="F87" i="5"/>
  <c r="C87" i="5"/>
  <c r="B87" i="5"/>
  <c r="K87" i="5" s="1"/>
  <c r="Q86" i="5"/>
  <c r="M86" i="5"/>
  <c r="I86" i="5"/>
  <c r="E86" i="5"/>
  <c r="B86" i="5"/>
  <c r="L86" i="5" s="1"/>
  <c r="R85" i="5"/>
  <c r="Q85" i="5"/>
  <c r="P85" i="5"/>
  <c r="N85" i="5"/>
  <c r="M85" i="5"/>
  <c r="L85" i="5"/>
  <c r="J85" i="5"/>
  <c r="I85" i="5"/>
  <c r="H85" i="5"/>
  <c r="G85" i="5"/>
  <c r="F85" i="5"/>
  <c r="E85" i="5"/>
  <c r="C85" i="5"/>
  <c r="B85" i="5"/>
  <c r="K85" i="5" s="1"/>
  <c r="O84" i="5"/>
  <c r="G84" i="5"/>
  <c r="B84" i="5"/>
  <c r="N84" i="5" s="1"/>
  <c r="R83" i="5"/>
  <c r="P83" i="5"/>
  <c r="N83" i="5"/>
  <c r="L83" i="5"/>
  <c r="J83" i="5"/>
  <c r="H83" i="5"/>
  <c r="F83" i="5"/>
  <c r="C83" i="5"/>
  <c r="B83" i="5"/>
  <c r="O83" i="5" s="1"/>
  <c r="Q82" i="5"/>
  <c r="O82" i="5"/>
  <c r="M82" i="5"/>
  <c r="I82" i="5"/>
  <c r="G82" i="5"/>
  <c r="E82" i="5"/>
  <c r="B82" i="5"/>
  <c r="P82" i="5" s="1"/>
  <c r="R81" i="5"/>
  <c r="Q81" i="5"/>
  <c r="P81" i="5"/>
  <c r="N81" i="5"/>
  <c r="M81" i="5"/>
  <c r="L81" i="5"/>
  <c r="J81" i="5"/>
  <c r="I81" i="5"/>
  <c r="H81" i="5"/>
  <c r="F81" i="5"/>
  <c r="E81" i="5"/>
  <c r="C81" i="5"/>
  <c r="B81" i="5"/>
  <c r="O81" i="5" s="1"/>
  <c r="B80" i="5"/>
  <c r="R79" i="5"/>
  <c r="P79" i="5"/>
  <c r="O79" i="5"/>
  <c r="N79" i="5"/>
  <c r="L79" i="5"/>
  <c r="J79" i="5"/>
  <c r="H79" i="5"/>
  <c r="G79" i="5"/>
  <c r="F79" i="5"/>
  <c r="C79" i="5"/>
  <c r="B79" i="5"/>
  <c r="K79" i="5" s="1"/>
  <c r="Q78" i="5"/>
  <c r="M78" i="5"/>
  <c r="I78" i="5"/>
  <c r="E78" i="5"/>
  <c r="B78" i="5"/>
  <c r="L78" i="5" s="1"/>
  <c r="R77" i="5"/>
  <c r="Q77" i="5"/>
  <c r="P77" i="5"/>
  <c r="N77" i="5"/>
  <c r="M77" i="5"/>
  <c r="L77" i="5"/>
  <c r="J77" i="5"/>
  <c r="I77" i="5"/>
  <c r="H77" i="5"/>
  <c r="F77" i="5"/>
  <c r="E77" i="5"/>
  <c r="C77" i="5"/>
  <c r="B77" i="5"/>
  <c r="K77" i="5" s="1"/>
  <c r="O76" i="5"/>
  <c r="G76" i="5"/>
  <c r="B76" i="5"/>
  <c r="N76" i="5" s="1"/>
  <c r="R75" i="5"/>
  <c r="P75" i="5"/>
  <c r="N75" i="5"/>
  <c r="L75" i="5"/>
  <c r="J75" i="5"/>
  <c r="H75" i="5"/>
  <c r="F75" i="5"/>
  <c r="C75" i="5"/>
  <c r="B75" i="5"/>
  <c r="O75" i="5" s="1"/>
  <c r="Q74" i="5"/>
  <c r="O74" i="5"/>
  <c r="M74" i="5"/>
  <c r="I74" i="5"/>
  <c r="G74" i="5"/>
  <c r="E74" i="5"/>
  <c r="B74" i="5"/>
  <c r="P74" i="5" s="1"/>
  <c r="R73" i="5"/>
  <c r="Q73" i="5"/>
  <c r="P73" i="5"/>
  <c r="N73" i="5"/>
  <c r="M73" i="5"/>
  <c r="L73" i="5"/>
  <c r="J73" i="5"/>
  <c r="I73" i="5"/>
  <c r="H73" i="5"/>
  <c r="F73" i="5"/>
  <c r="E73" i="5"/>
  <c r="C73" i="5"/>
  <c r="B73" i="5"/>
  <c r="O73" i="5" s="1"/>
  <c r="B72" i="5"/>
  <c r="R71" i="5"/>
  <c r="P71" i="5"/>
  <c r="O71" i="5"/>
  <c r="N71" i="5"/>
  <c r="L71" i="5"/>
  <c r="J71" i="5"/>
  <c r="H71" i="5"/>
  <c r="G71" i="5"/>
  <c r="F71" i="5"/>
  <c r="C71" i="5"/>
  <c r="B71" i="5"/>
  <c r="K71" i="5" s="1"/>
  <c r="Q70" i="5"/>
  <c r="M70" i="5"/>
  <c r="I70" i="5"/>
  <c r="E70" i="5"/>
  <c r="B70" i="5"/>
  <c r="L70" i="5" s="1"/>
  <c r="R69" i="5"/>
  <c r="Q69" i="5"/>
  <c r="P69" i="5"/>
  <c r="N69" i="5"/>
  <c r="M69" i="5"/>
  <c r="L69" i="5"/>
  <c r="J69" i="5"/>
  <c r="I69" i="5"/>
  <c r="H69" i="5"/>
  <c r="F69" i="5"/>
  <c r="E69" i="5"/>
  <c r="C69" i="5"/>
  <c r="B69" i="5"/>
  <c r="K69" i="5" s="1"/>
  <c r="O68" i="5"/>
  <c r="G68" i="5"/>
  <c r="B68" i="5"/>
  <c r="N68" i="5" s="1"/>
  <c r="R67" i="5"/>
  <c r="P67" i="5"/>
  <c r="N67" i="5"/>
  <c r="L67" i="5"/>
  <c r="J67" i="5"/>
  <c r="H67" i="5"/>
  <c r="F67" i="5"/>
  <c r="C67" i="5"/>
  <c r="B67" i="5"/>
  <c r="O67" i="5" s="1"/>
  <c r="Q66" i="5"/>
  <c r="O66" i="5"/>
  <c r="M66" i="5"/>
  <c r="I66" i="5"/>
  <c r="G66" i="5"/>
  <c r="E66" i="5"/>
  <c r="B66" i="5"/>
  <c r="P66" i="5" s="1"/>
  <c r="R65" i="5"/>
  <c r="Q65" i="5"/>
  <c r="P65" i="5"/>
  <c r="N65" i="5"/>
  <c r="M65" i="5"/>
  <c r="L65" i="5"/>
  <c r="J65" i="5"/>
  <c r="I65" i="5"/>
  <c r="H65" i="5"/>
  <c r="F65" i="5"/>
  <c r="E65" i="5"/>
  <c r="C65" i="5"/>
  <c r="B65" i="5"/>
  <c r="O65" i="5" s="1"/>
  <c r="B64" i="5"/>
  <c r="R63" i="5"/>
  <c r="P63" i="5"/>
  <c r="O63" i="5"/>
  <c r="N63" i="5"/>
  <c r="L63" i="5"/>
  <c r="J63" i="5"/>
  <c r="H63" i="5"/>
  <c r="G63" i="5"/>
  <c r="F63" i="5"/>
  <c r="C63" i="5"/>
  <c r="B63" i="5"/>
  <c r="K63" i="5" s="1"/>
  <c r="Q62" i="5"/>
  <c r="M62" i="5"/>
  <c r="I62" i="5"/>
  <c r="E62" i="5"/>
  <c r="B62" i="5"/>
  <c r="L62" i="5" s="1"/>
  <c r="R61" i="5"/>
  <c r="Q61" i="5"/>
  <c r="P61" i="5"/>
  <c r="N61" i="5"/>
  <c r="M61" i="5"/>
  <c r="L61" i="5"/>
  <c r="J61" i="5"/>
  <c r="I61" i="5"/>
  <c r="H61" i="5"/>
  <c r="F61" i="5"/>
  <c r="E61" i="5"/>
  <c r="C61" i="5"/>
  <c r="B61" i="5"/>
  <c r="K61" i="5" s="1"/>
  <c r="O60" i="5"/>
  <c r="G60" i="5"/>
  <c r="B60" i="5"/>
  <c r="N60" i="5" s="1"/>
  <c r="R59" i="5"/>
  <c r="P59" i="5"/>
  <c r="N59" i="5"/>
  <c r="L59" i="5"/>
  <c r="J59" i="5"/>
  <c r="H59" i="5"/>
  <c r="F59" i="5"/>
  <c r="C59" i="5"/>
  <c r="B59" i="5"/>
  <c r="O59" i="5" s="1"/>
  <c r="Q58" i="5"/>
  <c r="O58" i="5"/>
  <c r="M58" i="5"/>
  <c r="I58" i="5"/>
  <c r="G58" i="5"/>
  <c r="E58" i="5"/>
  <c r="B58" i="5"/>
  <c r="P58" i="5" s="1"/>
  <c r="R57" i="5"/>
  <c r="Q57" i="5"/>
  <c r="P57" i="5"/>
  <c r="N57" i="5"/>
  <c r="M57" i="5"/>
  <c r="L57" i="5"/>
  <c r="J57" i="5"/>
  <c r="I57" i="5"/>
  <c r="H57" i="5"/>
  <c r="F57" i="5"/>
  <c r="E57" i="5"/>
  <c r="C57" i="5"/>
  <c r="B57" i="5"/>
  <c r="O57" i="5" s="1"/>
  <c r="B56" i="5"/>
  <c r="R55" i="5"/>
  <c r="P55" i="5"/>
  <c r="O55" i="5"/>
  <c r="N55" i="5"/>
  <c r="L55" i="5"/>
  <c r="J55" i="5"/>
  <c r="H55" i="5"/>
  <c r="G55" i="5"/>
  <c r="F55" i="5"/>
  <c r="C55" i="5"/>
  <c r="B55" i="5"/>
  <c r="K55" i="5" s="1"/>
  <c r="Q54" i="5"/>
  <c r="M54" i="5"/>
  <c r="I54" i="5"/>
  <c r="E54" i="5"/>
  <c r="B54" i="5"/>
  <c r="L54" i="5" s="1"/>
  <c r="R53" i="5"/>
  <c r="Q53" i="5"/>
  <c r="P53" i="5"/>
  <c r="N53" i="5"/>
  <c r="M53" i="5"/>
  <c r="L53" i="5"/>
  <c r="J53" i="5"/>
  <c r="I53" i="5"/>
  <c r="H53" i="5"/>
  <c r="F53" i="5"/>
  <c r="E53" i="5"/>
  <c r="C53" i="5"/>
  <c r="B53" i="5"/>
  <c r="K53" i="5" s="1"/>
  <c r="O52" i="5"/>
  <c r="G52" i="5"/>
  <c r="B52" i="5"/>
  <c r="N52" i="5" s="1"/>
  <c r="R51" i="5"/>
  <c r="P51" i="5"/>
  <c r="N51" i="5"/>
  <c r="L51" i="5"/>
  <c r="J51" i="5"/>
  <c r="H51" i="5"/>
  <c r="F51" i="5"/>
  <c r="C51" i="5"/>
  <c r="B51" i="5"/>
  <c r="O51" i="5" s="1"/>
  <c r="Q50" i="5"/>
  <c r="O50" i="5"/>
  <c r="M50" i="5"/>
  <c r="I50" i="5"/>
  <c r="G50" i="5"/>
  <c r="E50" i="5"/>
  <c r="B50" i="5"/>
  <c r="P50" i="5" s="1"/>
  <c r="R49" i="5"/>
  <c r="Q49" i="5"/>
  <c r="P49" i="5"/>
  <c r="N49" i="5"/>
  <c r="M49" i="5"/>
  <c r="L49" i="5"/>
  <c r="J49" i="5"/>
  <c r="I49" i="5"/>
  <c r="H49" i="5"/>
  <c r="F49" i="5"/>
  <c r="E49" i="5"/>
  <c r="C49" i="5"/>
  <c r="B49" i="5"/>
  <c r="O49" i="5" s="1"/>
  <c r="B48" i="5"/>
  <c r="R47" i="5"/>
  <c r="P47" i="5"/>
  <c r="O47" i="5"/>
  <c r="N47" i="5"/>
  <c r="L47" i="5"/>
  <c r="J47" i="5"/>
  <c r="H47" i="5"/>
  <c r="G47" i="5"/>
  <c r="F47" i="5"/>
  <c r="C47" i="5"/>
  <c r="B47" i="5"/>
  <c r="K47" i="5" s="1"/>
  <c r="Q46" i="5"/>
  <c r="M46" i="5"/>
  <c r="I46" i="5"/>
  <c r="E46" i="5"/>
  <c r="B46" i="5"/>
  <c r="L46" i="5" s="1"/>
  <c r="R45" i="5"/>
  <c r="Q45" i="5"/>
  <c r="P45" i="5"/>
  <c r="N45" i="5"/>
  <c r="M45" i="5"/>
  <c r="L45" i="5"/>
  <c r="J45" i="5"/>
  <c r="I45" i="5"/>
  <c r="H45" i="5"/>
  <c r="F45" i="5"/>
  <c r="E45" i="5"/>
  <c r="C45" i="5"/>
  <c r="B45" i="5"/>
  <c r="K45" i="5" s="1"/>
  <c r="O44" i="5"/>
  <c r="G44" i="5"/>
  <c r="B44" i="5"/>
  <c r="N44" i="5" s="1"/>
  <c r="R43" i="5"/>
  <c r="P43" i="5"/>
  <c r="N43" i="5"/>
  <c r="L43" i="5"/>
  <c r="J43" i="5"/>
  <c r="H43" i="5"/>
  <c r="F43" i="5"/>
  <c r="C43" i="5"/>
  <c r="B43" i="5"/>
  <c r="O43" i="5" s="1"/>
  <c r="Q42" i="5"/>
  <c r="O42" i="5"/>
  <c r="M42" i="5"/>
  <c r="I42" i="5"/>
  <c r="G42" i="5"/>
  <c r="E42" i="5"/>
  <c r="B42" i="5"/>
  <c r="P42" i="5" s="1"/>
  <c r="R41" i="5"/>
  <c r="Q41" i="5"/>
  <c r="P41" i="5"/>
  <c r="N41" i="5"/>
  <c r="M41" i="5"/>
  <c r="L41" i="5"/>
  <c r="J41" i="5"/>
  <c r="I41" i="5"/>
  <c r="H41" i="5"/>
  <c r="F41" i="5"/>
  <c r="E41" i="5"/>
  <c r="C41" i="5"/>
  <c r="B41" i="5"/>
  <c r="O41" i="5" s="1"/>
  <c r="B40" i="5"/>
  <c r="R39" i="5"/>
  <c r="P39" i="5"/>
  <c r="O39" i="5"/>
  <c r="N39" i="5"/>
  <c r="L39" i="5"/>
  <c r="J39" i="5"/>
  <c r="H39" i="5"/>
  <c r="G39" i="5"/>
  <c r="F39" i="5"/>
  <c r="C39" i="5"/>
  <c r="B39" i="5"/>
  <c r="K39" i="5" s="1"/>
  <c r="Q38" i="5"/>
  <c r="M38" i="5"/>
  <c r="I38" i="5"/>
  <c r="E38" i="5"/>
  <c r="B38" i="5"/>
  <c r="L38" i="5" s="1"/>
  <c r="R37" i="5"/>
  <c r="Q37" i="5"/>
  <c r="P37" i="5"/>
  <c r="N37" i="5"/>
  <c r="M37" i="5"/>
  <c r="L37" i="5"/>
  <c r="J37" i="5"/>
  <c r="I37" i="5"/>
  <c r="H37" i="5"/>
  <c r="F37" i="5"/>
  <c r="E37" i="5"/>
  <c r="C37" i="5"/>
  <c r="B37" i="5"/>
  <c r="K37" i="5" s="1"/>
  <c r="O36" i="5"/>
  <c r="G36" i="5"/>
  <c r="B36" i="5"/>
  <c r="N36" i="5" s="1"/>
  <c r="R35" i="5"/>
  <c r="P35" i="5"/>
  <c r="N35" i="5"/>
  <c r="L35" i="5"/>
  <c r="J35" i="5"/>
  <c r="H35" i="5"/>
  <c r="F35" i="5"/>
  <c r="C35" i="5"/>
  <c r="B35" i="5"/>
  <c r="O35" i="5" s="1"/>
  <c r="Q34" i="5"/>
  <c r="O34" i="5"/>
  <c r="M34" i="5"/>
  <c r="I34" i="5"/>
  <c r="G34" i="5"/>
  <c r="E34" i="5"/>
  <c r="B34" i="5"/>
  <c r="P34" i="5" s="1"/>
  <c r="R33" i="5"/>
  <c r="Q33" i="5"/>
  <c r="P33" i="5"/>
  <c r="N33" i="5"/>
  <c r="M33" i="5"/>
  <c r="L33" i="5"/>
  <c r="J33" i="5"/>
  <c r="I33" i="5"/>
  <c r="H33" i="5"/>
  <c r="F33" i="5"/>
  <c r="E33" i="5"/>
  <c r="C33" i="5"/>
  <c r="B33" i="5"/>
  <c r="O33" i="5" s="1"/>
  <c r="B32" i="5"/>
  <c r="R31" i="5"/>
  <c r="P31" i="5"/>
  <c r="O31" i="5"/>
  <c r="N31" i="5"/>
  <c r="L31" i="5"/>
  <c r="J31" i="5"/>
  <c r="H31" i="5"/>
  <c r="G31" i="5"/>
  <c r="F31" i="5"/>
  <c r="C31" i="5"/>
  <c r="B31" i="5"/>
  <c r="K31" i="5" s="1"/>
  <c r="Q30" i="5"/>
  <c r="M30" i="5"/>
  <c r="I30" i="5"/>
  <c r="E30" i="5"/>
  <c r="B30" i="5"/>
  <c r="L30" i="5" s="1"/>
  <c r="R29" i="5"/>
  <c r="Q29" i="5"/>
  <c r="P29" i="5"/>
  <c r="N29" i="5"/>
  <c r="M29" i="5"/>
  <c r="L29" i="5"/>
  <c r="J29" i="5"/>
  <c r="I29" i="5"/>
  <c r="H29" i="5"/>
  <c r="F29" i="5"/>
  <c r="E29" i="5"/>
  <c r="C29" i="5"/>
  <c r="B29" i="5"/>
  <c r="K29" i="5" s="1"/>
  <c r="O28" i="5"/>
  <c r="G28" i="5"/>
  <c r="B28" i="5"/>
  <c r="N28" i="5" s="1"/>
  <c r="R27" i="5"/>
  <c r="P27" i="5"/>
  <c r="N27" i="5"/>
  <c r="L27" i="5"/>
  <c r="J27" i="5"/>
  <c r="H27" i="5"/>
  <c r="F27" i="5"/>
  <c r="C27" i="5"/>
  <c r="B27" i="5"/>
  <c r="O27" i="5" s="1"/>
  <c r="Q26" i="5"/>
  <c r="O26" i="5"/>
  <c r="M26" i="5"/>
  <c r="I26" i="5"/>
  <c r="G26" i="5"/>
  <c r="E26" i="5"/>
  <c r="B26" i="5"/>
  <c r="P26" i="5" s="1"/>
  <c r="R25" i="5"/>
  <c r="Q25" i="5"/>
  <c r="P25" i="5"/>
  <c r="N25" i="5"/>
  <c r="M25" i="5"/>
  <c r="L25" i="5"/>
  <c r="J25" i="5"/>
  <c r="I25" i="5"/>
  <c r="H25" i="5"/>
  <c r="F25" i="5"/>
  <c r="E25" i="5"/>
  <c r="C25" i="5"/>
  <c r="B25" i="5"/>
  <c r="O25" i="5" s="1"/>
  <c r="B24" i="5"/>
  <c r="R23" i="5"/>
  <c r="P23" i="5"/>
  <c r="O23" i="5"/>
  <c r="N23" i="5"/>
  <c r="L23" i="5"/>
  <c r="J23" i="5"/>
  <c r="H23" i="5"/>
  <c r="G23" i="5"/>
  <c r="F23" i="5"/>
  <c r="C23" i="5"/>
  <c r="B23" i="5"/>
  <c r="K23" i="5" s="1"/>
  <c r="Q22" i="5"/>
  <c r="M22" i="5"/>
  <c r="I22" i="5"/>
  <c r="E22" i="5"/>
  <c r="B22" i="5"/>
  <c r="L22" i="5" s="1"/>
  <c r="R21" i="5"/>
  <c r="Q21" i="5"/>
  <c r="P21" i="5"/>
  <c r="N21" i="5"/>
  <c r="M21" i="5"/>
  <c r="L21" i="5"/>
  <c r="J21" i="5"/>
  <c r="I21" i="5"/>
  <c r="H21" i="5"/>
  <c r="F21" i="5"/>
  <c r="E21" i="5"/>
  <c r="C21" i="5"/>
  <c r="B21" i="5"/>
  <c r="K21" i="5" s="1"/>
  <c r="O20" i="5"/>
  <c r="G20" i="5"/>
  <c r="B20" i="5"/>
  <c r="N20" i="5" s="1"/>
  <c r="R19" i="5"/>
  <c r="P19" i="5"/>
  <c r="N19" i="5"/>
  <c r="L19" i="5"/>
  <c r="J19" i="5"/>
  <c r="H19" i="5"/>
  <c r="F19" i="5"/>
  <c r="C19" i="5"/>
  <c r="B19" i="5"/>
  <c r="O19" i="5" s="1"/>
  <c r="Q18" i="5"/>
  <c r="O18" i="5"/>
  <c r="M18" i="5"/>
  <c r="I18" i="5"/>
  <c r="G18" i="5"/>
  <c r="E18" i="5"/>
  <c r="B18" i="5"/>
  <c r="P18" i="5" s="1"/>
  <c r="R17" i="5"/>
  <c r="Q17" i="5"/>
  <c r="P17" i="5"/>
  <c r="N17" i="5"/>
  <c r="M17" i="5"/>
  <c r="L17" i="5"/>
  <c r="J17" i="5"/>
  <c r="I17" i="5"/>
  <c r="H17" i="5"/>
  <c r="F17" i="5"/>
  <c r="E17" i="5"/>
  <c r="C17" i="5"/>
  <c r="B17" i="5"/>
  <c r="O17" i="5" s="1"/>
  <c r="B16" i="5"/>
  <c r="R15" i="5"/>
  <c r="P15" i="5"/>
  <c r="O15" i="5"/>
  <c r="N15" i="5"/>
  <c r="L15" i="5"/>
  <c r="J15" i="5"/>
  <c r="H15" i="5"/>
  <c r="G15" i="5"/>
  <c r="F15" i="5"/>
  <c r="C15" i="5"/>
  <c r="B15" i="5"/>
  <c r="K15" i="5" s="1"/>
  <c r="Q14" i="5"/>
  <c r="M14" i="5"/>
  <c r="I14" i="5"/>
  <c r="E14" i="5"/>
  <c r="B14" i="5"/>
  <c r="L14" i="5" s="1"/>
  <c r="R13" i="5"/>
  <c r="Q13" i="5"/>
  <c r="P13" i="5"/>
  <c r="N13" i="5"/>
  <c r="M13" i="5"/>
  <c r="L13" i="5"/>
  <c r="J13" i="5"/>
  <c r="I13" i="5"/>
  <c r="H13" i="5"/>
  <c r="F13" i="5"/>
  <c r="E13" i="5"/>
  <c r="C13" i="5"/>
  <c r="B13" i="5"/>
  <c r="K13" i="5" s="1"/>
  <c r="O12" i="5"/>
  <c r="G12" i="5"/>
  <c r="B12" i="5"/>
  <c r="N12" i="5" s="1"/>
  <c r="B11" i="5"/>
  <c r="O11" i="5" s="1"/>
  <c r="B10" i="5"/>
  <c r="P10" i="5" s="1"/>
  <c r="B9" i="5"/>
  <c r="O9" i="5" s="1"/>
  <c r="B8" i="5"/>
  <c r="B7" i="5"/>
  <c r="K7" i="5" s="1"/>
  <c r="B6" i="5"/>
  <c r="L6" i="5" s="1"/>
  <c r="R2005" i="4"/>
  <c r="Q2005" i="4"/>
  <c r="P2005" i="4"/>
  <c r="K2005" i="4"/>
  <c r="J2005" i="4"/>
  <c r="D2005" i="4"/>
  <c r="C2005" i="4"/>
  <c r="A2005" i="4" s="1"/>
  <c r="R2004" i="4"/>
  <c r="Q2004" i="4"/>
  <c r="P2004" i="4"/>
  <c r="K2004" i="4"/>
  <c r="J2004" i="4"/>
  <c r="D2004" i="4"/>
  <c r="C2004" i="4"/>
  <c r="A2004" i="4" s="1"/>
  <c r="R2003" i="4"/>
  <c r="Q2003" i="4"/>
  <c r="P2003" i="4"/>
  <c r="K2003" i="4"/>
  <c r="J2003" i="4"/>
  <c r="D2003" i="4"/>
  <c r="C2003" i="4"/>
  <c r="A2003" i="4" s="1"/>
  <c r="R2002" i="4"/>
  <c r="Q2002" i="4"/>
  <c r="P2002" i="4"/>
  <c r="K2002" i="4"/>
  <c r="J2002" i="4"/>
  <c r="D2002" i="4"/>
  <c r="C2002" i="4"/>
  <c r="R2001" i="4"/>
  <c r="Q2001" i="4"/>
  <c r="P2001" i="4"/>
  <c r="K2001" i="4"/>
  <c r="J2001" i="4"/>
  <c r="D2001" i="4"/>
  <c r="C2001" i="4"/>
  <c r="A2001" i="4" s="1"/>
  <c r="R2000" i="4"/>
  <c r="Q2000" i="4"/>
  <c r="P2000" i="4"/>
  <c r="K2000" i="4"/>
  <c r="J2000" i="4"/>
  <c r="D2000" i="4"/>
  <c r="C2000" i="4"/>
  <c r="A2000" i="4" s="1"/>
  <c r="R1999" i="4"/>
  <c r="Q1999" i="4"/>
  <c r="P1999" i="4"/>
  <c r="K1999" i="4"/>
  <c r="J1999" i="4"/>
  <c r="D1999" i="4"/>
  <c r="C1999" i="4"/>
  <c r="A1999" i="4" s="1"/>
  <c r="R1998" i="4"/>
  <c r="Q1998" i="4"/>
  <c r="P1998" i="4"/>
  <c r="K1998" i="4"/>
  <c r="J1998" i="4"/>
  <c r="D1998" i="4"/>
  <c r="C1998" i="4"/>
  <c r="A1998" i="4" s="1"/>
  <c r="R1997" i="4"/>
  <c r="Q1997" i="4"/>
  <c r="P1997" i="4"/>
  <c r="K1997" i="4"/>
  <c r="J1997" i="4"/>
  <c r="D1997" i="4"/>
  <c r="C1997" i="4"/>
  <c r="A1997" i="4" s="1"/>
  <c r="R1996" i="4"/>
  <c r="Q1996" i="4"/>
  <c r="P1996" i="4"/>
  <c r="K1996" i="4"/>
  <c r="J1996" i="4"/>
  <c r="D1996" i="4"/>
  <c r="C1996" i="4"/>
  <c r="A1996" i="4" s="1"/>
  <c r="R1995" i="4"/>
  <c r="Q1995" i="4"/>
  <c r="P1995" i="4"/>
  <c r="K1995" i="4"/>
  <c r="J1995" i="4"/>
  <c r="D1995" i="4"/>
  <c r="C1995" i="4"/>
  <c r="A1995" i="4" s="1"/>
  <c r="R1994" i="4"/>
  <c r="Q1994" i="4"/>
  <c r="P1994" i="4"/>
  <c r="K1994" i="4"/>
  <c r="J1994" i="4"/>
  <c r="D1994" i="4"/>
  <c r="C1994" i="4"/>
  <c r="R1993" i="4"/>
  <c r="Q1993" i="4"/>
  <c r="P1993" i="4"/>
  <c r="K1993" i="4"/>
  <c r="J1993" i="4"/>
  <c r="D1993" i="4"/>
  <c r="C1993" i="4"/>
  <c r="A1993" i="4" s="1"/>
  <c r="R1992" i="4"/>
  <c r="Q1992" i="4"/>
  <c r="P1992" i="4"/>
  <c r="K1992" i="4"/>
  <c r="J1992" i="4"/>
  <c r="D1992" i="4"/>
  <c r="C1992" i="4"/>
  <c r="A1992" i="4" s="1"/>
  <c r="R1991" i="4"/>
  <c r="Q1991" i="4"/>
  <c r="P1991" i="4"/>
  <c r="K1991" i="4"/>
  <c r="J1991" i="4"/>
  <c r="D1991" i="4"/>
  <c r="C1991" i="4"/>
  <c r="A1991" i="4" s="1"/>
  <c r="R1990" i="4"/>
  <c r="Q1990" i="4"/>
  <c r="P1990" i="4"/>
  <c r="K1990" i="4"/>
  <c r="J1990" i="4"/>
  <c r="D1990" i="4"/>
  <c r="C1990" i="4"/>
  <c r="A1990" i="4" s="1"/>
  <c r="R1989" i="4"/>
  <c r="Q1989" i="4"/>
  <c r="P1989" i="4"/>
  <c r="K1989" i="4"/>
  <c r="J1989" i="4"/>
  <c r="D1989" i="4"/>
  <c r="C1989" i="4"/>
  <c r="A1989" i="4" s="1"/>
  <c r="R1988" i="4"/>
  <c r="Q1988" i="4"/>
  <c r="P1988" i="4"/>
  <c r="K1988" i="4"/>
  <c r="J1988" i="4"/>
  <c r="D1988" i="4"/>
  <c r="C1988" i="4"/>
  <c r="A1988" i="4" s="1"/>
  <c r="R1987" i="4"/>
  <c r="Q1987" i="4"/>
  <c r="P1987" i="4"/>
  <c r="K1987" i="4"/>
  <c r="J1987" i="4"/>
  <c r="D1987" i="4"/>
  <c r="C1987" i="4"/>
  <c r="A1987" i="4" s="1"/>
  <c r="R1986" i="4"/>
  <c r="Q1986" i="4"/>
  <c r="P1986" i="4"/>
  <c r="K1986" i="4"/>
  <c r="J1986" i="4"/>
  <c r="D1986" i="4"/>
  <c r="C1986" i="4"/>
  <c r="R1985" i="4"/>
  <c r="Q1985" i="4"/>
  <c r="P1985" i="4"/>
  <c r="K1985" i="4"/>
  <c r="J1985" i="4"/>
  <c r="D1985" i="4"/>
  <c r="C1985" i="4"/>
  <c r="A1985" i="4" s="1"/>
  <c r="R1984" i="4"/>
  <c r="Q1984" i="4"/>
  <c r="P1984" i="4"/>
  <c r="K1984" i="4"/>
  <c r="J1984" i="4"/>
  <c r="D1984" i="4"/>
  <c r="C1984" i="4"/>
  <c r="A1984" i="4" s="1"/>
  <c r="R1983" i="4"/>
  <c r="Q1983" i="4"/>
  <c r="P1983" i="4"/>
  <c r="K1983" i="4"/>
  <c r="J1983" i="4"/>
  <c r="D1983" i="4"/>
  <c r="C1983" i="4"/>
  <c r="A1983" i="4" s="1"/>
  <c r="R1982" i="4"/>
  <c r="Q1982" i="4"/>
  <c r="P1982" i="4"/>
  <c r="K1982" i="4"/>
  <c r="J1982" i="4"/>
  <c r="D1982" i="4"/>
  <c r="C1982" i="4"/>
  <c r="A1982" i="4" s="1"/>
  <c r="R1981" i="4"/>
  <c r="Q1981" i="4"/>
  <c r="P1981" i="4"/>
  <c r="K1981" i="4"/>
  <c r="J1981" i="4"/>
  <c r="D1981" i="4"/>
  <c r="C1981" i="4"/>
  <c r="A1981" i="4" s="1"/>
  <c r="R1980" i="4"/>
  <c r="Q1980" i="4"/>
  <c r="P1980" i="4"/>
  <c r="K1980" i="4"/>
  <c r="J1980" i="4"/>
  <c r="D1980" i="4"/>
  <c r="C1980" i="4"/>
  <c r="A1980" i="4" s="1"/>
  <c r="R1979" i="4"/>
  <c r="Q1979" i="4"/>
  <c r="P1979" i="4"/>
  <c r="K1979" i="4"/>
  <c r="J1979" i="4"/>
  <c r="D1979" i="4"/>
  <c r="C1979" i="4"/>
  <c r="A1979" i="4" s="1"/>
  <c r="R1978" i="4"/>
  <c r="Q1978" i="4"/>
  <c r="P1978" i="4"/>
  <c r="K1978" i="4"/>
  <c r="J1978" i="4"/>
  <c r="D1978" i="4"/>
  <c r="C1978" i="4"/>
  <c r="R1977" i="4"/>
  <c r="Q1977" i="4"/>
  <c r="P1977" i="4"/>
  <c r="K1977" i="4"/>
  <c r="J1977" i="4"/>
  <c r="D1977" i="4"/>
  <c r="C1977" i="4"/>
  <c r="A1977" i="4" s="1"/>
  <c r="R1976" i="4"/>
  <c r="Q1976" i="4"/>
  <c r="P1976" i="4"/>
  <c r="K1976" i="4"/>
  <c r="J1976" i="4"/>
  <c r="D1976" i="4"/>
  <c r="C1976" i="4"/>
  <c r="A1976" i="4" s="1"/>
  <c r="R1975" i="4"/>
  <c r="Q1975" i="4"/>
  <c r="P1975" i="4"/>
  <c r="K1975" i="4"/>
  <c r="J1975" i="4"/>
  <c r="D1975" i="4"/>
  <c r="C1975" i="4"/>
  <c r="A1975" i="4" s="1"/>
  <c r="R1974" i="4"/>
  <c r="Q1974" i="4"/>
  <c r="P1974" i="4"/>
  <c r="K1974" i="4"/>
  <c r="J1974" i="4"/>
  <c r="D1974" i="4"/>
  <c r="C1974" i="4"/>
  <c r="A1974" i="4" s="1"/>
  <c r="R1973" i="4"/>
  <c r="Q1973" i="4"/>
  <c r="P1973" i="4"/>
  <c r="K1973" i="4"/>
  <c r="J1973" i="4"/>
  <c r="D1973" i="4"/>
  <c r="C1973" i="4"/>
  <c r="A1973" i="4" s="1"/>
  <c r="A1973" i="1" s="1"/>
  <c r="R1972" i="4"/>
  <c r="Q1972" i="4"/>
  <c r="P1972" i="4"/>
  <c r="K1972" i="4"/>
  <c r="J1972" i="4"/>
  <c r="D1972" i="4"/>
  <c r="C1972" i="4"/>
  <c r="A1972" i="4" s="1"/>
  <c r="R1971" i="4"/>
  <c r="Q1971" i="4"/>
  <c r="P1971" i="4"/>
  <c r="K1971" i="4"/>
  <c r="J1971" i="4"/>
  <c r="D1971" i="4"/>
  <c r="C1971" i="4"/>
  <c r="A1971" i="4" s="1"/>
  <c r="R1970" i="4"/>
  <c r="Q1970" i="4"/>
  <c r="P1970" i="4"/>
  <c r="K1970" i="4"/>
  <c r="J1970" i="4"/>
  <c r="D1970" i="4"/>
  <c r="C1970" i="4"/>
  <c r="R1969" i="4"/>
  <c r="Q1969" i="4"/>
  <c r="P1969" i="4"/>
  <c r="K1969" i="4"/>
  <c r="J1969" i="4"/>
  <c r="D1969" i="4"/>
  <c r="C1969" i="4"/>
  <c r="A1969" i="4" s="1"/>
  <c r="R1968" i="4"/>
  <c r="Q1968" i="4"/>
  <c r="P1968" i="4"/>
  <c r="K1968" i="4"/>
  <c r="J1968" i="4"/>
  <c r="D1968" i="4"/>
  <c r="C1968" i="4"/>
  <c r="A1968" i="4" s="1"/>
  <c r="R1967" i="4"/>
  <c r="Q1967" i="4"/>
  <c r="P1967" i="4"/>
  <c r="K1967" i="4"/>
  <c r="J1967" i="4"/>
  <c r="D1967" i="4"/>
  <c r="C1967" i="4"/>
  <c r="A1967" i="4" s="1"/>
  <c r="R1966" i="4"/>
  <c r="Q1966" i="4"/>
  <c r="P1966" i="4"/>
  <c r="K1966" i="4"/>
  <c r="J1966" i="4"/>
  <c r="D1966" i="4"/>
  <c r="C1966" i="4"/>
  <c r="A1966" i="4" s="1"/>
  <c r="R1965" i="4"/>
  <c r="Q1965" i="4"/>
  <c r="P1965" i="4"/>
  <c r="K1965" i="4"/>
  <c r="J1965" i="4"/>
  <c r="D1965" i="4"/>
  <c r="C1965" i="4"/>
  <c r="A1965" i="4" s="1"/>
  <c r="R1964" i="4"/>
  <c r="Q1964" i="4"/>
  <c r="P1964" i="4"/>
  <c r="K1964" i="4"/>
  <c r="J1964" i="4"/>
  <c r="D1964" i="4"/>
  <c r="C1964" i="4"/>
  <c r="A1964" i="4" s="1"/>
  <c r="R1963" i="4"/>
  <c r="Q1963" i="4"/>
  <c r="P1963" i="4"/>
  <c r="K1963" i="4"/>
  <c r="J1963" i="4"/>
  <c r="D1963" i="4"/>
  <c r="C1963" i="4"/>
  <c r="A1963" i="4" s="1"/>
  <c r="R1962" i="4"/>
  <c r="Q1962" i="4"/>
  <c r="P1962" i="4"/>
  <c r="K1962" i="4"/>
  <c r="J1962" i="4"/>
  <c r="D1962" i="4"/>
  <c r="C1962" i="4"/>
  <c r="R1961" i="4"/>
  <c r="Q1961" i="4"/>
  <c r="P1961" i="4"/>
  <c r="K1961" i="4"/>
  <c r="J1961" i="4"/>
  <c r="D1961" i="4"/>
  <c r="C1961" i="4"/>
  <c r="A1961" i="4" s="1"/>
  <c r="R1960" i="4"/>
  <c r="Q1960" i="4"/>
  <c r="P1960" i="4"/>
  <c r="K1960" i="4"/>
  <c r="J1960" i="4"/>
  <c r="D1960" i="4"/>
  <c r="C1960" i="4"/>
  <c r="A1960" i="4" s="1"/>
  <c r="R1959" i="4"/>
  <c r="Q1959" i="4"/>
  <c r="P1959" i="4"/>
  <c r="K1959" i="4"/>
  <c r="J1959" i="4"/>
  <c r="D1959" i="4"/>
  <c r="C1959" i="4"/>
  <c r="A1959" i="4" s="1"/>
  <c r="R1958" i="4"/>
  <c r="Q1958" i="4"/>
  <c r="P1958" i="4"/>
  <c r="K1958" i="4"/>
  <c r="J1958" i="4"/>
  <c r="D1958" i="4"/>
  <c r="C1958" i="4"/>
  <c r="A1958" i="4" s="1"/>
  <c r="R1957" i="4"/>
  <c r="Q1957" i="4"/>
  <c r="P1957" i="4"/>
  <c r="K1957" i="4"/>
  <c r="J1957" i="4"/>
  <c r="D1957" i="4"/>
  <c r="C1957" i="4"/>
  <c r="A1957" i="4" s="1"/>
  <c r="A1957" i="1" s="1"/>
  <c r="R1956" i="4"/>
  <c r="Q1956" i="4"/>
  <c r="P1956" i="4"/>
  <c r="K1956" i="4"/>
  <c r="J1956" i="4"/>
  <c r="D1956" i="4"/>
  <c r="C1956" i="4"/>
  <c r="A1956" i="4" s="1"/>
  <c r="R1955" i="4"/>
  <c r="Q1955" i="4"/>
  <c r="P1955" i="4"/>
  <c r="K1955" i="4"/>
  <c r="J1955" i="4"/>
  <c r="D1955" i="4"/>
  <c r="C1955" i="4"/>
  <c r="A1955" i="4" s="1"/>
  <c r="R1954" i="4"/>
  <c r="Q1954" i="4"/>
  <c r="P1954" i="4"/>
  <c r="K1954" i="4"/>
  <c r="J1954" i="4"/>
  <c r="D1954" i="4"/>
  <c r="C1954" i="4"/>
  <c r="R1953" i="4"/>
  <c r="Q1953" i="4"/>
  <c r="P1953" i="4"/>
  <c r="K1953" i="4"/>
  <c r="J1953" i="4"/>
  <c r="D1953" i="4"/>
  <c r="C1953" i="4"/>
  <c r="A1953" i="4" s="1"/>
  <c r="R1952" i="4"/>
  <c r="Q1952" i="4"/>
  <c r="P1952" i="4"/>
  <c r="K1952" i="4"/>
  <c r="J1952" i="4"/>
  <c r="D1952" i="4"/>
  <c r="C1952" i="4"/>
  <c r="A1952" i="4" s="1"/>
  <c r="R1951" i="4"/>
  <c r="Q1951" i="4"/>
  <c r="P1951" i="4"/>
  <c r="K1951" i="4"/>
  <c r="J1951" i="4"/>
  <c r="D1951" i="4"/>
  <c r="C1951" i="4"/>
  <c r="A1951" i="4" s="1"/>
  <c r="R1950" i="4"/>
  <c r="Q1950" i="4"/>
  <c r="P1950" i="4"/>
  <c r="K1950" i="4"/>
  <c r="J1950" i="4"/>
  <c r="D1950" i="4"/>
  <c r="C1950" i="4"/>
  <c r="A1950" i="4" s="1"/>
  <c r="R1949" i="4"/>
  <c r="Q1949" i="4"/>
  <c r="P1949" i="4"/>
  <c r="K1949" i="4"/>
  <c r="J1949" i="4"/>
  <c r="D1949" i="4"/>
  <c r="C1949" i="4"/>
  <c r="A1949" i="4" s="1"/>
  <c r="R1948" i="4"/>
  <c r="Q1948" i="4"/>
  <c r="P1948" i="4"/>
  <c r="K1948" i="4"/>
  <c r="J1948" i="4"/>
  <c r="D1948" i="4"/>
  <c r="C1948" i="4"/>
  <c r="A1948" i="4" s="1"/>
  <c r="R1947" i="4"/>
  <c r="Q1947" i="4"/>
  <c r="P1947" i="4"/>
  <c r="K1947" i="4"/>
  <c r="J1947" i="4"/>
  <c r="D1947" i="4"/>
  <c r="C1947" i="4"/>
  <c r="A1947" i="4" s="1"/>
  <c r="R1946" i="4"/>
  <c r="Q1946" i="4"/>
  <c r="P1946" i="4"/>
  <c r="K1946" i="4"/>
  <c r="J1946" i="4"/>
  <c r="D1946" i="4"/>
  <c r="C1946" i="4"/>
  <c r="R1945" i="4"/>
  <c r="Q1945" i="4"/>
  <c r="P1945" i="4"/>
  <c r="K1945" i="4"/>
  <c r="J1945" i="4"/>
  <c r="D1945" i="4"/>
  <c r="C1945" i="4"/>
  <c r="A1945" i="4" s="1"/>
  <c r="R1944" i="4"/>
  <c r="Q1944" i="4"/>
  <c r="P1944" i="4"/>
  <c r="K1944" i="4"/>
  <c r="J1944" i="4"/>
  <c r="D1944" i="4"/>
  <c r="C1944" i="4"/>
  <c r="A1944" i="4" s="1"/>
  <c r="R1943" i="4"/>
  <c r="Q1943" i="4"/>
  <c r="P1943" i="4"/>
  <c r="K1943" i="4"/>
  <c r="J1943" i="4"/>
  <c r="D1943" i="4"/>
  <c r="C1943" i="4"/>
  <c r="A1943" i="4" s="1"/>
  <c r="R1942" i="4"/>
  <c r="Q1942" i="4"/>
  <c r="P1942" i="4"/>
  <c r="K1942" i="4"/>
  <c r="J1942" i="4"/>
  <c r="D1942" i="4"/>
  <c r="C1942" i="4"/>
  <c r="A1942" i="4" s="1"/>
  <c r="R1941" i="4"/>
  <c r="Q1941" i="4"/>
  <c r="P1941" i="4"/>
  <c r="K1941" i="4"/>
  <c r="J1941" i="4"/>
  <c r="D1941" i="4"/>
  <c r="C1941" i="4"/>
  <c r="A1941" i="4" s="1"/>
  <c r="A1941" i="1" s="1"/>
  <c r="R1940" i="4"/>
  <c r="Q1940" i="4"/>
  <c r="P1940" i="4"/>
  <c r="K1940" i="4"/>
  <c r="J1940" i="4"/>
  <c r="D1940" i="4"/>
  <c r="C1940" i="4"/>
  <c r="A1940" i="4" s="1"/>
  <c r="R1939" i="4"/>
  <c r="Q1939" i="4"/>
  <c r="P1939" i="4"/>
  <c r="K1939" i="4"/>
  <c r="J1939" i="4"/>
  <c r="D1939" i="4"/>
  <c r="C1939" i="4"/>
  <c r="A1939" i="4" s="1"/>
  <c r="R1938" i="4"/>
  <c r="Q1938" i="4"/>
  <c r="P1938" i="4"/>
  <c r="K1938" i="4"/>
  <c r="J1938" i="4"/>
  <c r="D1938" i="4"/>
  <c r="C1938" i="4"/>
  <c r="R1937" i="4"/>
  <c r="Q1937" i="4"/>
  <c r="P1937" i="4"/>
  <c r="K1937" i="4"/>
  <c r="J1937" i="4"/>
  <c r="D1937" i="4"/>
  <c r="C1937" i="4"/>
  <c r="A1937" i="4" s="1"/>
  <c r="R1936" i="4"/>
  <c r="Q1936" i="4"/>
  <c r="P1936" i="4"/>
  <c r="K1936" i="4"/>
  <c r="J1936" i="4"/>
  <c r="D1936" i="4"/>
  <c r="C1936" i="4"/>
  <c r="A1936" i="4" s="1"/>
  <c r="R1935" i="4"/>
  <c r="Q1935" i="4"/>
  <c r="P1935" i="4"/>
  <c r="K1935" i="4"/>
  <c r="J1935" i="4"/>
  <c r="D1935" i="4"/>
  <c r="C1935" i="4"/>
  <c r="A1935" i="4" s="1"/>
  <c r="R1934" i="4"/>
  <c r="Q1934" i="4"/>
  <c r="P1934" i="4"/>
  <c r="K1934" i="4"/>
  <c r="J1934" i="4"/>
  <c r="D1934" i="4"/>
  <c r="C1934" i="4"/>
  <c r="A1934" i="4" s="1"/>
  <c r="R1933" i="4"/>
  <c r="Q1933" i="4"/>
  <c r="P1933" i="4"/>
  <c r="K1933" i="4"/>
  <c r="J1933" i="4"/>
  <c r="D1933" i="4"/>
  <c r="C1933" i="4"/>
  <c r="A1933" i="4" s="1"/>
  <c r="R1932" i="4"/>
  <c r="Q1932" i="4"/>
  <c r="P1932" i="4"/>
  <c r="K1932" i="4"/>
  <c r="J1932" i="4"/>
  <c r="D1932" i="4"/>
  <c r="C1932" i="4"/>
  <c r="A1932" i="4" s="1"/>
  <c r="R1931" i="4"/>
  <c r="Q1931" i="4"/>
  <c r="P1931" i="4"/>
  <c r="K1931" i="4"/>
  <c r="J1931" i="4"/>
  <c r="D1931" i="4"/>
  <c r="C1931" i="4"/>
  <c r="A1931" i="4" s="1"/>
  <c r="R1930" i="4"/>
  <c r="Q1930" i="4"/>
  <c r="P1930" i="4"/>
  <c r="K1930" i="4"/>
  <c r="J1930" i="4"/>
  <c r="D1930" i="4"/>
  <c r="C1930" i="4"/>
  <c r="R1929" i="4"/>
  <c r="Q1929" i="4"/>
  <c r="P1929" i="4"/>
  <c r="K1929" i="4"/>
  <c r="J1929" i="4"/>
  <c r="D1929" i="4"/>
  <c r="C1929" i="4"/>
  <c r="A1929" i="4" s="1"/>
  <c r="R1928" i="4"/>
  <c r="Q1928" i="4"/>
  <c r="P1928" i="4"/>
  <c r="K1928" i="4"/>
  <c r="J1928" i="4"/>
  <c r="D1928" i="4"/>
  <c r="C1928" i="4"/>
  <c r="A1928" i="4" s="1"/>
  <c r="R1927" i="4"/>
  <c r="Q1927" i="4"/>
  <c r="P1927" i="4"/>
  <c r="K1927" i="4"/>
  <c r="J1927" i="4"/>
  <c r="D1927" i="4"/>
  <c r="C1927" i="4"/>
  <c r="A1927" i="4" s="1"/>
  <c r="R1926" i="4"/>
  <c r="Q1926" i="4"/>
  <c r="P1926" i="4"/>
  <c r="K1926" i="4"/>
  <c r="J1926" i="4"/>
  <c r="D1926" i="4"/>
  <c r="C1926" i="4"/>
  <c r="A1926" i="4" s="1"/>
  <c r="R1925" i="4"/>
  <c r="Q1925" i="4"/>
  <c r="P1925" i="4"/>
  <c r="K1925" i="4"/>
  <c r="J1925" i="4"/>
  <c r="D1925" i="4"/>
  <c r="C1925" i="4"/>
  <c r="A1925" i="4" s="1"/>
  <c r="R1924" i="4"/>
  <c r="Q1924" i="4"/>
  <c r="P1924" i="4"/>
  <c r="K1924" i="4"/>
  <c r="J1924" i="4"/>
  <c r="D1924" i="4"/>
  <c r="C1924" i="4"/>
  <c r="A1924" i="4" s="1"/>
  <c r="R1923" i="4"/>
  <c r="Q1923" i="4"/>
  <c r="P1923" i="4"/>
  <c r="K1923" i="4"/>
  <c r="J1923" i="4"/>
  <c r="D1923" i="4"/>
  <c r="C1923" i="4"/>
  <c r="A1923" i="4" s="1"/>
  <c r="R1922" i="4"/>
  <c r="Q1922" i="4"/>
  <c r="P1922" i="4"/>
  <c r="K1922" i="4"/>
  <c r="J1922" i="4"/>
  <c r="D1922" i="4"/>
  <c r="C1922" i="4"/>
  <c r="R1921" i="4"/>
  <c r="Q1921" i="4"/>
  <c r="P1921" i="4"/>
  <c r="K1921" i="4"/>
  <c r="J1921" i="4"/>
  <c r="D1921" i="4"/>
  <c r="C1921" i="4"/>
  <c r="A1921" i="4" s="1"/>
  <c r="R1920" i="4"/>
  <c r="Q1920" i="4"/>
  <c r="P1920" i="4"/>
  <c r="K1920" i="4"/>
  <c r="J1920" i="4"/>
  <c r="D1920" i="4"/>
  <c r="C1920" i="4"/>
  <c r="A1920" i="4" s="1"/>
  <c r="R1919" i="4"/>
  <c r="Q1919" i="4"/>
  <c r="P1919" i="4"/>
  <c r="K1919" i="4"/>
  <c r="J1919" i="4"/>
  <c r="D1919" i="4"/>
  <c r="C1919" i="4"/>
  <c r="A1919" i="4" s="1"/>
  <c r="R1918" i="4"/>
  <c r="Q1918" i="4"/>
  <c r="P1918" i="4"/>
  <c r="K1918" i="4"/>
  <c r="J1918" i="4"/>
  <c r="D1918" i="4"/>
  <c r="C1918" i="4"/>
  <c r="A1918" i="4" s="1"/>
  <c r="R1917" i="4"/>
  <c r="Q1917" i="4"/>
  <c r="P1917" i="4"/>
  <c r="K1917" i="4"/>
  <c r="J1917" i="4"/>
  <c r="D1917" i="4"/>
  <c r="C1917" i="4"/>
  <c r="A1917" i="4" s="1"/>
  <c r="R1916" i="4"/>
  <c r="Q1916" i="4"/>
  <c r="P1916" i="4"/>
  <c r="K1916" i="4"/>
  <c r="J1916" i="4"/>
  <c r="D1916" i="4"/>
  <c r="C1916" i="4"/>
  <c r="A1916" i="4" s="1"/>
  <c r="R1915" i="4"/>
  <c r="Q1915" i="4"/>
  <c r="P1915" i="4"/>
  <c r="K1915" i="4"/>
  <c r="J1915" i="4"/>
  <c r="D1915" i="4"/>
  <c r="C1915" i="4"/>
  <c r="A1915" i="4" s="1"/>
  <c r="R1914" i="4"/>
  <c r="Q1914" i="4"/>
  <c r="P1914" i="4"/>
  <c r="K1914" i="4"/>
  <c r="J1914" i="4"/>
  <c r="D1914" i="4"/>
  <c r="C1914" i="4"/>
  <c r="R1913" i="4"/>
  <c r="Q1913" i="4"/>
  <c r="P1913" i="4"/>
  <c r="K1913" i="4"/>
  <c r="J1913" i="4"/>
  <c r="D1913" i="4"/>
  <c r="C1913" i="4"/>
  <c r="A1913" i="4" s="1"/>
  <c r="R1912" i="4"/>
  <c r="Q1912" i="4"/>
  <c r="P1912" i="4"/>
  <c r="K1912" i="4"/>
  <c r="J1912" i="4"/>
  <c r="D1912" i="4"/>
  <c r="C1912" i="4"/>
  <c r="A1912" i="4" s="1"/>
  <c r="R1911" i="4"/>
  <c r="Q1911" i="4"/>
  <c r="P1911" i="4"/>
  <c r="K1911" i="4"/>
  <c r="J1911" i="4"/>
  <c r="D1911" i="4"/>
  <c r="C1911" i="4"/>
  <c r="A1911" i="4" s="1"/>
  <c r="R1910" i="4"/>
  <c r="Q1910" i="4"/>
  <c r="P1910" i="4"/>
  <c r="K1910" i="4"/>
  <c r="J1910" i="4"/>
  <c r="D1910" i="4"/>
  <c r="C1910" i="4"/>
  <c r="A1910" i="4" s="1"/>
  <c r="R1909" i="4"/>
  <c r="Q1909" i="4"/>
  <c r="P1909" i="4"/>
  <c r="K1909" i="4"/>
  <c r="J1909" i="4"/>
  <c r="D1909" i="4"/>
  <c r="C1909" i="4"/>
  <c r="A1909" i="4" s="1"/>
  <c r="A1909" i="1" s="1"/>
  <c r="R1908" i="4"/>
  <c r="Q1908" i="4"/>
  <c r="P1908" i="4"/>
  <c r="K1908" i="4"/>
  <c r="J1908" i="4"/>
  <c r="D1908" i="4"/>
  <c r="C1908" i="4"/>
  <c r="A1908" i="4" s="1"/>
  <c r="R1907" i="4"/>
  <c r="Q1907" i="4"/>
  <c r="P1907" i="4"/>
  <c r="K1907" i="4"/>
  <c r="J1907" i="4"/>
  <c r="D1907" i="4"/>
  <c r="C1907" i="4"/>
  <c r="A1907" i="4" s="1"/>
  <c r="R1906" i="4"/>
  <c r="Q1906" i="4"/>
  <c r="P1906" i="4"/>
  <c r="K1906" i="4"/>
  <c r="J1906" i="4"/>
  <c r="D1906" i="4"/>
  <c r="C1906" i="4"/>
  <c r="R1905" i="4"/>
  <c r="Q1905" i="4"/>
  <c r="P1905" i="4"/>
  <c r="K1905" i="4"/>
  <c r="J1905" i="4"/>
  <c r="D1905" i="4"/>
  <c r="C1905" i="4"/>
  <c r="A1905" i="4" s="1"/>
  <c r="R1904" i="4"/>
  <c r="Q1904" i="4"/>
  <c r="P1904" i="4"/>
  <c r="K1904" i="4"/>
  <c r="J1904" i="4"/>
  <c r="D1904" i="4"/>
  <c r="C1904" i="4"/>
  <c r="A1904" i="4" s="1"/>
  <c r="R1903" i="4"/>
  <c r="Q1903" i="4"/>
  <c r="P1903" i="4"/>
  <c r="K1903" i="4"/>
  <c r="J1903" i="4"/>
  <c r="D1903" i="4"/>
  <c r="C1903" i="4"/>
  <c r="A1903" i="4" s="1"/>
  <c r="R1902" i="4"/>
  <c r="Q1902" i="4"/>
  <c r="P1902" i="4"/>
  <c r="K1902" i="4"/>
  <c r="J1902" i="4"/>
  <c r="D1902" i="4"/>
  <c r="C1902" i="4"/>
  <c r="A1902" i="4" s="1"/>
  <c r="R1901" i="4"/>
  <c r="Q1901" i="4"/>
  <c r="P1901" i="4"/>
  <c r="K1901" i="4"/>
  <c r="J1901" i="4"/>
  <c r="D1901" i="4"/>
  <c r="C1901" i="4"/>
  <c r="A1901" i="4" s="1"/>
  <c r="R1900" i="4"/>
  <c r="Q1900" i="4"/>
  <c r="P1900" i="4"/>
  <c r="K1900" i="4"/>
  <c r="J1900" i="4"/>
  <c r="D1900" i="4"/>
  <c r="C1900" i="4"/>
  <c r="A1900" i="4" s="1"/>
  <c r="R1899" i="4"/>
  <c r="Q1899" i="4"/>
  <c r="P1899" i="4"/>
  <c r="K1899" i="4"/>
  <c r="J1899" i="4"/>
  <c r="D1899" i="4"/>
  <c r="C1899" i="4"/>
  <c r="A1899" i="4" s="1"/>
  <c r="R1898" i="4"/>
  <c r="Q1898" i="4"/>
  <c r="P1898" i="4"/>
  <c r="K1898" i="4"/>
  <c r="J1898" i="4"/>
  <c r="D1898" i="4"/>
  <c r="C1898" i="4"/>
  <c r="R1897" i="4"/>
  <c r="Q1897" i="4"/>
  <c r="P1897" i="4"/>
  <c r="K1897" i="4"/>
  <c r="J1897" i="4"/>
  <c r="D1897" i="4"/>
  <c r="C1897" i="4"/>
  <c r="A1897" i="4" s="1"/>
  <c r="R1896" i="4"/>
  <c r="Q1896" i="4"/>
  <c r="P1896" i="4"/>
  <c r="K1896" i="4"/>
  <c r="J1896" i="4"/>
  <c r="D1896" i="4"/>
  <c r="C1896" i="4"/>
  <c r="A1896" i="4" s="1"/>
  <c r="R1895" i="4"/>
  <c r="Q1895" i="4"/>
  <c r="P1895" i="4"/>
  <c r="K1895" i="4"/>
  <c r="J1895" i="4"/>
  <c r="D1895" i="4"/>
  <c r="C1895" i="4"/>
  <c r="A1895" i="4" s="1"/>
  <c r="R1894" i="4"/>
  <c r="Q1894" i="4"/>
  <c r="P1894" i="4"/>
  <c r="K1894" i="4"/>
  <c r="J1894" i="4"/>
  <c r="D1894" i="4"/>
  <c r="C1894" i="4"/>
  <c r="A1894" i="4" s="1"/>
  <c r="R1893" i="4"/>
  <c r="Q1893" i="4"/>
  <c r="P1893" i="4"/>
  <c r="K1893" i="4"/>
  <c r="J1893" i="4"/>
  <c r="D1893" i="4"/>
  <c r="C1893" i="4"/>
  <c r="A1893" i="4" s="1"/>
  <c r="R1892" i="4"/>
  <c r="Q1892" i="4"/>
  <c r="P1892" i="4"/>
  <c r="K1892" i="4"/>
  <c r="J1892" i="4"/>
  <c r="D1892" i="4"/>
  <c r="C1892" i="4"/>
  <c r="A1892" i="4" s="1"/>
  <c r="R1891" i="4"/>
  <c r="Q1891" i="4"/>
  <c r="P1891" i="4"/>
  <c r="K1891" i="4"/>
  <c r="J1891" i="4"/>
  <c r="D1891" i="4"/>
  <c r="C1891" i="4"/>
  <c r="A1891" i="4" s="1"/>
  <c r="R1890" i="4"/>
  <c r="Q1890" i="4"/>
  <c r="P1890" i="4"/>
  <c r="K1890" i="4"/>
  <c r="J1890" i="4"/>
  <c r="D1890" i="4"/>
  <c r="C1890" i="4"/>
  <c r="R1889" i="4"/>
  <c r="Q1889" i="4"/>
  <c r="P1889" i="4"/>
  <c r="K1889" i="4"/>
  <c r="J1889" i="4"/>
  <c r="D1889" i="4"/>
  <c r="C1889" i="4"/>
  <c r="A1889" i="4" s="1"/>
  <c r="R1888" i="4"/>
  <c r="Q1888" i="4"/>
  <c r="P1888" i="4"/>
  <c r="K1888" i="4"/>
  <c r="J1888" i="4"/>
  <c r="D1888" i="4"/>
  <c r="C1888" i="4"/>
  <c r="A1888" i="4" s="1"/>
  <c r="A1888" i="1" s="1"/>
  <c r="R1887" i="4"/>
  <c r="Q1887" i="4"/>
  <c r="P1887" i="4"/>
  <c r="K1887" i="4"/>
  <c r="J1887" i="4"/>
  <c r="D1887" i="4"/>
  <c r="C1887" i="4"/>
  <c r="R1886" i="4"/>
  <c r="Q1886" i="4"/>
  <c r="P1886" i="4"/>
  <c r="K1886" i="4"/>
  <c r="J1886" i="4"/>
  <c r="D1886" i="4"/>
  <c r="C1886" i="4"/>
  <c r="A1886" i="4" s="1"/>
  <c r="R1885" i="4"/>
  <c r="Q1885" i="4"/>
  <c r="P1885" i="4"/>
  <c r="K1885" i="4"/>
  <c r="J1885" i="4"/>
  <c r="D1885" i="4"/>
  <c r="C1885" i="4"/>
  <c r="A1885" i="4" s="1"/>
  <c r="R1884" i="4"/>
  <c r="Q1884" i="4"/>
  <c r="P1884" i="4"/>
  <c r="K1884" i="4"/>
  <c r="J1884" i="4"/>
  <c r="D1884" i="4"/>
  <c r="C1884" i="4"/>
  <c r="A1884" i="4" s="1"/>
  <c r="R1883" i="4"/>
  <c r="Q1883" i="4"/>
  <c r="P1883" i="4"/>
  <c r="K1883" i="4"/>
  <c r="J1883" i="4"/>
  <c r="D1883" i="4"/>
  <c r="C1883" i="4"/>
  <c r="A1883" i="4" s="1"/>
  <c r="R1882" i="4"/>
  <c r="Q1882" i="4"/>
  <c r="P1882" i="4"/>
  <c r="K1882" i="4"/>
  <c r="J1882" i="4"/>
  <c r="D1882" i="4"/>
  <c r="C1882" i="4"/>
  <c r="R1881" i="4"/>
  <c r="Q1881" i="4"/>
  <c r="P1881" i="4"/>
  <c r="K1881" i="4"/>
  <c r="J1881" i="4"/>
  <c r="D1881" i="4"/>
  <c r="C1881" i="4"/>
  <c r="A1881" i="4" s="1"/>
  <c r="R1880" i="4"/>
  <c r="Q1880" i="4"/>
  <c r="P1880" i="4"/>
  <c r="K1880" i="4"/>
  <c r="J1880" i="4"/>
  <c r="D1880" i="4"/>
  <c r="C1880" i="4"/>
  <c r="A1880" i="4" s="1"/>
  <c r="R1879" i="4"/>
  <c r="Q1879" i="4"/>
  <c r="P1879" i="4"/>
  <c r="K1879" i="4"/>
  <c r="J1879" i="4"/>
  <c r="D1879" i="4"/>
  <c r="C1879" i="4"/>
  <c r="R1878" i="4"/>
  <c r="Q1878" i="4"/>
  <c r="P1878" i="4"/>
  <c r="K1878" i="4"/>
  <c r="J1878" i="4"/>
  <c r="D1878" i="4"/>
  <c r="C1878" i="4"/>
  <c r="A1878" i="4" s="1"/>
  <c r="R1877" i="4"/>
  <c r="Q1877" i="4"/>
  <c r="P1877" i="4"/>
  <c r="K1877" i="4"/>
  <c r="J1877" i="4"/>
  <c r="D1877" i="4"/>
  <c r="C1877" i="4"/>
  <c r="A1877" i="4" s="1"/>
  <c r="R1876" i="4"/>
  <c r="Q1876" i="4"/>
  <c r="P1876" i="4"/>
  <c r="K1876" i="4"/>
  <c r="J1876" i="4"/>
  <c r="D1876" i="4"/>
  <c r="C1876" i="4"/>
  <c r="A1876" i="4" s="1"/>
  <c r="R1875" i="4"/>
  <c r="Q1875" i="4"/>
  <c r="P1875" i="4"/>
  <c r="K1875" i="4"/>
  <c r="J1875" i="4"/>
  <c r="D1875" i="4"/>
  <c r="C1875" i="4"/>
  <c r="A1875" i="4" s="1"/>
  <c r="R1874" i="4"/>
  <c r="Q1874" i="4"/>
  <c r="P1874" i="4"/>
  <c r="K1874" i="4"/>
  <c r="J1874" i="4"/>
  <c r="D1874" i="4"/>
  <c r="C1874" i="4"/>
  <c r="R1873" i="4"/>
  <c r="Q1873" i="4"/>
  <c r="P1873" i="4"/>
  <c r="K1873" i="4"/>
  <c r="J1873" i="4"/>
  <c r="D1873" i="4"/>
  <c r="C1873" i="4"/>
  <c r="A1873" i="4" s="1"/>
  <c r="R1872" i="4"/>
  <c r="Q1872" i="4"/>
  <c r="P1872" i="4"/>
  <c r="K1872" i="4"/>
  <c r="J1872" i="4"/>
  <c r="D1872" i="4"/>
  <c r="C1872" i="4"/>
  <c r="A1872" i="4" s="1"/>
  <c r="R1871" i="4"/>
  <c r="Q1871" i="4"/>
  <c r="P1871" i="4"/>
  <c r="K1871" i="4"/>
  <c r="J1871" i="4"/>
  <c r="D1871" i="4"/>
  <c r="C1871" i="4"/>
  <c r="R1870" i="4"/>
  <c r="Q1870" i="4"/>
  <c r="P1870" i="4"/>
  <c r="K1870" i="4"/>
  <c r="J1870" i="4"/>
  <c r="D1870" i="4"/>
  <c r="C1870" i="4"/>
  <c r="A1870" i="4" s="1"/>
  <c r="R1869" i="4"/>
  <c r="Q1869" i="4"/>
  <c r="P1869" i="4"/>
  <c r="K1869" i="4"/>
  <c r="J1869" i="4"/>
  <c r="D1869" i="4"/>
  <c r="C1869" i="4"/>
  <c r="A1869" i="4" s="1"/>
  <c r="R1868" i="4"/>
  <c r="Q1868" i="4"/>
  <c r="P1868" i="4"/>
  <c r="K1868" i="4"/>
  <c r="J1868" i="4"/>
  <c r="D1868" i="4"/>
  <c r="C1868" i="4"/>
  <c r="A1868" i="4" s="1"/>
  <c r="R1867" i="4"/>
  <c r="Q1867" i="4"/>
  <c r="P1867" i="4"/>
  <c r="K1867" i="4"/>
  <c r="J1867" i="4"/>
  <c r="D1867" i="4"/>
  <c r="C1867" i="4"/>
  <c r="A1867" i="4" s="1"/>
  <c r="R1866" i="4"/>
  <c r="Q1866" i="4"/>
  <c r="P1866" i="4"/>
  <c r="K1866" i="4"/>
  <c r="J1866" i="4"/>
  <c r="D1866" i="4"/>
  <c r="C1866" i="4"/>
  <c r="R1865" i="4"/>
  <c r="Q1865" i="4"/>
  <c r="P1865" i="4"/>
  <c r="K1865" i="4"/>
  <c r="J1865" i="4"/>
  <c r="D1865" i="4"/>
  <c r="C1865" i="4"/>
  <c r="A1865" i="4" s="1"/>
  <c r="R1864" i="4"/>
  <c r="Q1864" i="4"/>
  <c r="P1864" i="4"/>
  <c r="K1864" i="4"/>
  <c r="J1864" i="4"/>
  <c r="D1864" i="4"/>
  <c r="C1864" i="4"/>
  <c r="A1864" i="4" s="1"/>
  <c r="R1863" i="4"/>
  <c r="Q1863" i="4"/>
  <c r="P1863" i="4"/>
  <c r="K1863" i="4"/>
  <c r="J1863" i="4"/>
  <c r="D1863" i="4"/>
  <c r="C1863" i="4"/>
  <c r="R1862" i="4"/>
  <c r="Q1862" i="4"/>
  <c r="P1862" i="4"/>
  <c r="K1862" i="4"/>
  <c r="J1862" i="4"/>
  <c r="D1862" i="4"/>
  <c r="C1862" i="4"/>
  <c r="A1862" i="4" s="1"/>
  <c r="R1861" i="4"/>
  <c r="Q1861" i="4"/>
  <c r="P1861" i="4"/>
  <c r="K1861" i="4"/>
  <c r="J1861" i="4"/>
  <c r="D1861" i="4"/>
  <c r="C1861" i="4"/>
  <c r="A1861" i="4" s="1"/>
  <c r="R1860" i="4"/>
  <c r="Q1860" i="4"/>
  <c r="P1860" i="4"/>
  <c r="K1860" i="4"/>
  <c r="J1860" i="4"/>
  <c r="D1860" i="4"/>
  <c r="C1860" i="4"/>
  <c r="A1860" i="4" s="1"/>
  <c r="R1859" i="4"/>
  <c r="Q1859" i="4"/>
  <c r="P1859" i="4"/>
  <c r="K1859" i="4"/>
  <c r="J1859" i="4"/>
  <c r="D1859" i="4"/>
  <c r="C1859" i="4"/>
  <c r="A1859" i="4" s="1"/>
  <c r="R1858" i="4"/>
  <c r="Q1858" i="4"/>
  <c r="P1858" i="4"/>
  <c r="K1858" i="4"/>
  <c r="J1858" i="4"/>
  <c r="D1858" i="4"/>
  <c r="C1858" i="4"/>
  <c r="R1857" i="4"/>
  <c r="Q1857" i="4"/>
  <c r="P1857" i="4"/>
  <c r="K1857" i="4"/>
  <c r="J1857" i="4"/>
  <c r="D1857" i="4"/>
  <c r="C1857" i="4"/>
  <c r="A1857" i="4" s="1"/>
  <c r="R1856" i="4"/>
  <c r="Q1856" i="4"/>
  <c r="P1856" i="4"/>
  <c r="K1856" i="4"/>
  <c r="J1856" i="4"/>
  <c r="D1856" i="4"/>
  <c r="C1856" i="4"/>
  <c r="A1856" i="4" s="1"/>
  <c r="A1856" i="1" s="1"/>
  <c r="R1855" i="4"/>
  <c r="Q1855" i="4"/>
  <c r="P1855" i="4"/>
  <c r="K1855" i="4"/>
  <c r="J1855" i="4"/>
  <c r="D1855" i="4"/>
  <c r="C1855" i="4"/>
  <c r="R1854" i="4"/>
  <c r="Q1854" i="4"/>
  <c r="P1854" i="4"/>
  <c r="K1854" i="4"/>
  <c r="J1854" i="4"/>
  <c r="D1854" i="4"/>
  <c r="C1854" i="4"/>
  <c r="A1854" i="4" s="1"/>
  <c r="R1853" i="4"/>
  <c r="Q1853" i="4"/>
  <c r="P1853" i="4"/>
  <c r="K1853" i="4"/>
  <c r="J1853" i="4"/>
  <c r="D1853" i="4"/>
  <c r="C1853" i="4"/>
  <c r="A1853" i="4" s="1"/>
  <c r="R1852" i="4"/>
  <c r="Q1852" i="4"/>
  <c r="P1852" i="4"/>
  <c r="K1852" i="4"/>
  <c r="J1852" i="4"/>
  <c r="D1852" i="4"/>
  <c r="C1852" i="4"/>
  <c r="A1852" i="4" s="1"/>
  <c r="R1851" i="4"/>
  <c r="Q1851" i="4"/>
  <c r="P1851" i="4"/>
  <c r="K1851" i="4"/>
  <c r="J1851" i="4"/>
  <c r="D1851" i="4"/>
  <c r="C1851" i="4"/>
  <c r="A1851" i="4" s="1"/>
  <c r="R1850" i="4"/>
  <c r="Q1850" i="4"/>
  <c r="P1850" i="4"/>
  <c r="K1850" i="4"/>
  <c r="J1850" i="4"/>
  <c r="D1850" i="4"/>
  <c r="C1850" i="4"/>
  <c r="R1849" i="4"/>
  <c r="Q1849" i="4"/>
  <c r="P1849" i="4"/>
  <c r="K1849" i="4"/>
  <c r="J1849" i="4"/>
  <c r="D1849" i="4"/>
  <c r="C1849" i="4"/>
  <c r="A1849" i="4" s="1"/>
  <c r="R1848" i="4"/>
  <c r="Q1848" i="4"/>
  <c r="P1848" i="4"/>
  <c r="K1848" i="4"/>
  <c r="J1848" i="4"/>
  <c r="D1848" i="4"/>
  <c r="C1848" i="4"/>
  <c r="A1848" i="4" s="1"/>
  <c r="R1847" i="4"/>
  <c r="Q1847" i="4"/>
  <c r="P1847" i="4"/>
  <c r="K1847" i="4"/>
  <c r="J1847" i="4"/>
  <c r="D1847" i="4"/>
  <c r="C1847" i="4"/>
  <c r="R1846" i="4"/>
  <c r="Q1846" i="4"/>
  <c r="P1846" i="4"/>
  <c r="K1846" i="4"/>
  <c r="J1846" i="4"/>
  <c r="D1846" i="4"/>
  <c r="C1846" i="4"/>
  <c r="A1846" i="4" s="1"/>
  <c r="R1845" i="4"/>
  <c r="Q1845" i="4"/>
  <c r="P1845" i="4"/>
  <c r="K1845" i="4"/>
  <c r="J1845" i="4"/>
  <c r="D1845" i="4"/>
  <c r="C1845" i="4"/>
  <c r="A1845" i="4" s="1"/>
  <c r="R1844" i="4"/>
  <c r="Q1844" i="4"/>
  <c r="P1844" i="4"/>
  <c r="K1844" i="4"/>
  <c r="J1844" i="4"/>
  <c r="D1844" i="4"/>
  <c r="C1844" i="4"/>
  <c r="A1844" i="4" s="1"/>
  <c r="R1843" i="4"/>
  <c r="Q1843" i="4"/>
  <c r="P1843" i="4"/>
  <c r="K1843" i="4"/>
  <c r="J1843" i="4"/>
  <c r="D1843" i="4"/>
  <c r="C1843" i="4"/>
  <c r="A1843" i="4" s="1"/>
  <c r="R1842" i="4"/>
  <c r="Q1842" i="4"/>
  <c r="P1842" i="4"/>
  <c r="K1842" i="4"/>
  <c r="J1842" i="4"/>
  <c r="D1842" i="4"/>
  <c r="C1842" i="4"/>
  <c r="R1841" i="4"/>
  <c r="Q1841" i="4"/>
  <c r="P1841" i="4"/>
  <c r="K1841" i="4"/>
  <c r="J1841" i="4"/>
  <c r="D1841" i="4"/>
  <c r="C1841" i="4"/>
  <c r="A1841" i="4" s="1"/>
  <c r="R1840" i="4"/>
  <c r="Q1840" i="4"/>
  <c r="P1840" i="4"/>
  <c r="K1840" i="4"/>
  <c r="J1840" i="4"/>
  <c r="D1840" i="4"/>
  <c r="C1840" i="4"/>
  <c r="A1840" i="4" s="1"/>
  <c r="R1839" i="4"/>
  <c r="Q1839" i="4"/>
  <c r="P1839" i="4"/>
  <c r="K1839" i="4"/>
  <c r="J1839" i="4"/>
  <c r="D1839" i="4"/>
  <c r="C1839" i="4"/>
  <c r="R1838" i="4"/>
  <c r="Q1838" i="4"/>
  <c r="P1838" i="4"/>
  <c r="K1838" i="4"/>
  <c r="J1838" i="4"/>
  <c r="D1838" i="4"/>
  <c r="C1838" i="4"/>
  <c r="A1838" i="4" s="1"/>
  <c r="R1837" i="4"/>
  <c r="Q1837" i="4"/>
  <c r="P1837" i="4"/>
  <c r="K1837" i="4"/>
  <c r="J1837" i="4"/>
  <c r="D1837" i="4"/>
  <c r="C1837" i="4"/>
  <c r="A1837" i="4" s="1"/>
  <c r="R1836" i="4"/>
  <c r="Q1836" i="4"/>
  <c r="P1836" i="4"/>
  <c r="K1836" i="4"/>
  <c r="J1836" i="4"/>
  <c r="D1836" i="4"/>
  <c r="C1836" i="4"/>
  <c r="A1836" i="4" s="1"/>
  <c r="R1835" i="4"/>
  <c r="Q1835" i="4"/>
  <c r="P1835" i="4"/>
  <c r="K1835" i="4"/>
  <c r="J1835" i="4"/>
  <c r="D1835" i="4"/>
  <c r="C1835" i="4"/>
  <c r="A1835" i="4" s="1"/>
  <c r="R1834" i="4"/>
  <c r="Q1834" i="4"/>
  <c r="P1834" i="4"/>
  <c r="K1834" i="4"/>
  <c r="J1834" i="4"/>
  <c r="D1834" i="4"/>
  <c r="C1834" i="4"/>
  <c r="R1833" i="4"/>
  <c r="Q1833" i="4"/>
  <c r="P1833" i="4"/>
  <c r="K1833" i="4"/>
  <c r="J1833" i="4"/>
  <c r="D1833" i="4"/>
  <c r="C1833" i="4"/>
  <c r="A1833" i="4" s="1"/>
  <c r="R1832" i="4"/>
  <c r="Q1832" i="4"/>
  <c r="P1832" i="4"/>
  <c r="K1832" i="4"/>
  <c r="J1832" i="4"/>
  <c r="D1832" i="4"/>
  <c r="C1832" i="4"/>
  <c r="A1832" i="4" s="1"/>
  <c r="R1831" i="4"/>
  <c r="Q1831" i="4"/>
  <c r="P1831" i="4"/>
  <c r="K1831" i="4"/>
  <c r="J1831" i="4"/>
  <c r="D1831" i="4"/>
  <c r="C1831" i="4"/>
  <c r="R1830" i="4"/>
  <c r="Q1830" i="4"/>
  <c r="P1830" i="4"/>
  <c r="K1830" i="4"/>
  <c r="J1830" i="4"/>
  <c r="D1830" i="4"/>
  <c r="C1830" i="4"/>
  <c r="A1830" i="4" s="1"/>
  <c r="R1829" i="4"/>
  <c r="Q1829" i="4"/>
  <c r="P1829" i="4"/>
  <c r="K1829" i="4"/>
  <c r="J1829" i="4"/>
  <c r="D1829" i="4"/>
  <c r="C1829" i="4"/>
  <c r="A1829" i="4" s="1"/>
  <c r="R1828" i="4"/>
  <c r="Q1828" i="4"/>
  <c r="P1828" i="4"/>
  <c r="K1828" i="4"/>
  <c r="J1828" i="4"/>
  <c r="D1828" i="4"/>
  <c r="C1828" i="4"/>
  <c r="A1828" i="4" s="1"/>
  <c r="R1827" i="4"/>
  <c r="Q1827" i="4"/>
  <c r="P1827" i="4"/>
  <c r="K1827" i="4"/>
  <c r="J1827" i="4"/>
  <c r="D1827" i="4"/>
  <c r="C1827" i="4"/>
  <c r="A1827" i="4" s="1"/>
  <c r="R1826" i="4"/>
  <c r="Q1826" i="4"/>
  <c r="P1826" i="4"/>
  <c r="K1826" i="4"/>
  <c r="J1826" i="4"/>
  <c r="D1826" i="4"/>
  <c r="C1826" i="4"/>
  <c r="R1825" i="4"/>
  <c r="Q1825" i="4"/>
  <c r="P1825" i="4"/>
  <c r="K1825" i="4"/>
  <c r="J1825" i="4"/>
  <c r="D1825" i="4"/>
  <c r="C1825" i="4"/>
  <c r="A1825" i="4" s="1"/>
  <c r="R1824" i="4"/>
  <c r="Q1824" i="4"/>
  <c r="P1824" i="4"/>
  <c r="K1824" i="4"/>
  <c r="J1824" i="4"/>
  <c r="D1824" i="4"/>
  <c r="C1824" i="4"/>
  <c r="A1824" i="4" s="1"/>
  <c r="R1823" i="4"/>
  <c r="Q1823" i="4"/>
  <c r="P1823" i="4"/>
  <c r="K1823" i="4"/>
  <c r="J1823" i="4"/>
  <c r="D1823" i="4"/>
  <c r="C1823" i="4"/>
  <c r="R1822" i="4"/>
  <c r="Q1822" i="4"/>
  <c r="P1822" i="4"/>
  <c r="K1822" i="4"/>
  <c r="J1822" i="4"/>
  <c r="D1822" i="4"/>
  <c r="C1822" i="4"/>
  <c r="A1822" i="4" s="1"/>
  <c r="R1821" i="4"/>
  <c r="Q1821" i="4"/>
  <c r="P1821" i="4"/>
  <c r="K1821" i="4"/>
  <c r="J1821" i="4"/>
  <c r="D1821" i="4"/>
  <c r="C1821" i="4"/>
  <c r="A1821" i="4" s="1"/>
  <c r="R1820" i="4"/>
  <c r="Q1820" i="4"/>
  <c r="P1820" i="4"/>
  <c r="K1820" i="4"/>
  <c r="J1820" i="4"/>
  <c r="D1820" i="4"/>
  <c r="C1820" i="4"/>
  <c r="A1820" i="4" s="1"/>
  <c r="R1819" i="4"/>
  <c r="Q1819" i="4"/>
  <c r="P1819" i="4"/>
  <c r="K1819" i="4"/>
  <c r="J1819" i="4"/>
  <c r="D1819" i="4"/>
  <c r="C1819" i="4"/>
  <c r="A1819" i="4" s="1"/>
  <c r="R1818" i="4"/>
  <c r="Q1818" i="4"/>
  <c r="P1818" i="4"/>
  <c r="K1818" i="4"/>
  <c r="J1818" i="4"/>
  <c r="D1818" i="4"/>
  <c r="C1818" i="4"/>
  <c r="R1817" i="4"/>
  <c r="Q1817" i="4"/>
  <c r="P1817" i="4"/>
  <c r="K1817" i="4"/>
  <c r="J1817" i="4"/>
  <c r="D1817" i="4"/>
  <c r="C1817" i="4"/>
  <c r="A1817" i="4" s="1"/>
  <c r="R1816" i="4"/>
  <c r="Q1816" i="4"/>
  <c r="P1816" i="4"/>
  <c r="K1816" i="4"/>
  <c r="J1816" i="4"/>
  <c r="D1816" i="4"/>
  <c r="C1816" i="4"/>
  <c r="A1816" i="4" s="1"/>
  <c r="R1815" i="4"/>
  <c r="Q1815" i="4"/>
  <c r="P1815" i="4"/>
  <c r="K1815" i="4"/>
  <c r="J1815" i="4"/>
  <c r="D1815" i="4"/>
  <c r="C1815" i="4"/>
  <c r="R1814" i="4"/>
  <c r="Q1814" i="4"/>
  <c r="P1814" i="4"/>
  <c r="K1814" i="4"/>
  <c r="J1814" i="4"/>
  <c r="D1814" i="4"/>
  <c r="C1814" i="4"/>
  <c r="A1814" i="4" s="1"/>
  <c r="R1813" i="4"/>
  <c r="Q1813" i="4"/>
  <c r="P1813" i="4"/>
  <c r="K1813" i="4"/>
  <c r="J1813" i="4"/>
  <c r="D1813" i="4"/>
  <c r="C1813" i="4"/>
  <c r="A1813" i="4" s="1"/>
  <c r="R1812" i="4"/>
  <c r="Q1812" i="4"/>
  <c r="P1812" i="4"/>
  <c r="K1812" i="4"/>
  <c r="J1812" i="4"/>
  <c r="D1812" i="4"/>
  <c r="C1812" i="4"/>
  <c r="A1812" i="4" s="1"/>
  <c r="R1811" i="4"/>
  <c r="Q1811" i="4"/>
  <c r="P1811" i="4"/>
  <c r="K1811" i="4"/>
  <c r="J1811" i="4"/>
  <c r="D1811" i="4"/>
  <c r="C1811" i="4"/>
  <c r="A1811" i="4" s="1"/>
  <c r="R1810" i="4"/>
  <c r="Q1810" i="4"/>
  <c r="P1810" i="4"/>
  <c r="K1810" i="4"/>
  <c r="J1810" i="4"/>
  <c r="D1810" i="4"/>
  <c r="C1810" i="4"/>
  <c r="R1809" i="4"/>
  <c r="Q1809" i="4"/>
  <c r="P1809" i="4"/>
  <c r="K1809" i="4"/>
  <c r="J1809" i="4"/>
  <c r="D1809" i="4"/>
  <c r="C1809" i="4"/>
  <c r="A1809" i="4" s="1"/>
  <c r="R1808" i="4"/>
  <c r="Q1808" i="4"/>
  <c r="P1808" i="4"/>
  <c r="K1808" i="4"/>
  <c r="J1808" i="4"/>
  <c r="D1808" i="4"/>
  <c r="C1808" i="4"/>
  <c r="A1808" i="4" s="1"/>
  <c r="R1807" i="4"/>
  <c r="Q1807" i="4"/>
  <c r="P1807" i="4"/>
  <c r="K1807" i="4"/>
  <c r="J1807" i="4"/>
  <c r="D1807" i="4"/>
  <c r="C1807" i="4"/>
  <c r="R1806" i="4"/>
  <c r="Q1806" i="4"/>
  <c r="P1806" i="4"/>
  <c r="K1806" i="4"/>
  <c r="J1806" i="4"/>
  <c r="D1806" i="4"/>
  <c r="C1806" i="4"/>
  <c r="A1806" i="4" s="1"/>
  <c r="R1805" i="4"/>
  <c r="Q1805" i="4"/>
  <c r="P1805" i="4"/>
  <c r="K1805" i="4"/>
  <c r="J1805" i="4"/>
  <c r="D1805" i="4"/>
  <c r="C1805" i="4"/>
  <c r="A1805" i="4" s="1"/>
  <c r="R1804" i="4"/>
  <c r="Q1804" i="4"/>
  <c r="P1804" i="4"/>
  <c r="K1804" i="4"/>
  <c r="J1804" i="4"/>
  <c r="D1804" i="4"/>
  <c r="C1804" i="4"/>
  <c r="A1804" i="4" s="1"/>
  <c r="A1804" i="1" s="1"/>
  <c r="R1803" i="4"/>
  <c r="Q1803" i="4"/>
  <c r="P1803" i="4"/>
  <c r="K1803" i="4"/>
  <c r="J1803" i="4"/>
  <c r="D1803" i="4"/>
  <c r="C1803" i="4"/>
  <c r="A1803" i="4" s="1"/>
  <c r="R1802" i="4"/>
  <c r="Q1802" i="4"/>
  <c r="P1802" i="4"/>
  <c r="K1802" i="4"/>
  <c r="J1802" i="4"/>
  <c r="D1802" i="4"/>
  <c r="C1802" i="4"/>
  <c r="R1801" i="4"/>
  <c r="Q1801" i="4"/>
  <c r="P1801" i="4"/>
  <c r="K1801" i="4"/>
  <c r="J1801" i="4"/>
  <c r="D1801" i="4"/>
  <c r="C1801" i="4"/>
  <c r="A1801" i="4" s="1"/>
  <c r="R1800" i="4"/>
  <c r="Q1800" i="4"/>
  <c r="P1800" i="4"/>
  <c r="K1800" i="4"/>
  <c r="J1800" i="4"/>
  <c r="D1800" i="4"/>
  <c r="C1800" i="4"/>
  <c r="A1800" i="4" s="1"/>
  <c r="R1799" i="4"/>
  <c r="Q1799" i="4"/>
  <c r="P1799" i="4"/>
  <c r="K1799" i="4"/>
  <c r="J1799" i="4"/>
  <c r="D1799" i="4"/>
  <c r="C1799" i="4"/>
  <c r="R1798" i="4"/>
  <c r="Q1798" i="4"/>
  <c r="P1798" i="4"/>
  <c r="K1798" i="4"/>
  <c r="J1798" i="4"/>
  <c r="D1798" i="4"/>
  <c r="C1798" i="4"/>
  <c r="A1798" i="4" s="1"/>
  <c r="R1797" i="4"/>
  <c r="Q1797" i="4"/>
  <c r="P1797" i="4"/>
  <c r="K1797" i="4"/>
  <c r="J1797" i="4"/>
  <c r="D1797" i="4"/>
  <c r="C1797" i="4"/>
  <c r="A1797" i="4" s="1"/>
  <c r="R1796" i="4"/>
  <c r="Q1796" i="4"/>
  <c r="P1796" i="4"/>
  <c r="K1796" i="4"/>
  <c r="J1796" i="4"/>
  <c r="D1796" i="4"/>
  <c r="C1796" i="4"/>
  <c r="A1796" i="4" s="1"/>
  <c r="A1796" i="1" s="1"/>
  <c r="R1795" i="4"/>
  <c r="Q1795" i="4"/>
  <c r="P1795" i="4"/>
  <c r="K1795" i="4"/>
  <c r="J1795" i="4"/>
  <c r="D1795" i="4"/>
  <c r="C1795" i="4"/>
  <c r="A1795" i="4" s="1"/>
  <c r="R1794" i="4"/>
  <c r="Q1794" i="4"/>
  <c r="P1794" i="4"/>
  <c r="K1794" i="4"/>
  <c r="J1794" i="4"/>
  <c r="D1794" i="4"/>
  <c r="C1794" i="4"/>
  <c r="R1793" i="4"/>
  <c r="Q1793" i="4"/>
  <c r="P1793" i="4"/>
  <c r="K1793" i="4"/>
  <c r="J1793" i="4"/>
  <c r="D1793" i="4"/>
  <c r="C1793" i="4"/>
  <c r="A1793" i="4" s="1"/>
  <c r="R1792" i="4"/>
  <c r="Q1792" i="4"/>
  <c r="P1792" i="4"/>
  <c r="K1792" i="4"/>
  <c r="J1792" i="4"/>
  <c r="D1792" i="4"/>
  <c r="C1792" i="4"/>
  <c r="A1792" i="4" s="1"/>
  <c r="R1791" i="4"/>
  <c r="Q1791" i="4"/>
  <c r="P1791" i="4"/>
  <c r="K1791" i="4"/>
  <c r="J1791" i="4"/>
  <c r="D1791" i="4"/>
  <c r="C1791" i="4"/>
  <c r="R1790" i="4"/>
  <c r="Q1790" i="4"/>
  <c r="P1790" i="4"/>
  <c r="K1790" i="4"/>
  <c r="J1790" i="4"/>
  <c r="D1790" i="4"/>
  <c r="C1790" i="4"/>
  <c r="A1790" i="4" s="1"/>
  <c r="R1789" i="4"/>
  <c r="Q1789" i="4"/>
  <c r="P1789" i="4"/>
  <c r="K1789" i="4"/>
  <c r="J1789" i="4"/>
  <c r="D1789" i="4"/>
  <c r="C1789" i="4"/>
  <c r="A1789" i="4" s="1"/>
  <c r="R1788" i="4"/>
  <c r="Q1788" i="4"/>
  <c r="P1788" i="4"/>
  <c r="K1788" i="4"/>
  <c r="J1788" i="4"/>
  <c r="D1788" i="4"/>
  <c r="C1788" i="4"/>
  <c r="A1788" i="4" s="1"/>
  <c r="A1788" i="1" s="1"/>
  <c r="R1787" i="4"/>
  <c r="Q1787" i="4"/>
  <c r="P1787" i="4"/>
  <c r="K1787" i="4"/>
  <c r="J1787" i="4"/>
  <c r="D1787" i="4"/>
  <c r="C1787" i="4"/>
  <c r="A1787" i="4" s="1"/>
  <c r="R1786" i="4"/>
  <c r="Q1786" i="4"/>
  <c r="P1786" i="4"/>
  <c r="K1786" i="4"/>
  <c r="J1786" i="4"/>
  <c r="D1786" i="4"/>
  <c r="C1786" i="4"/>
  <c r="R1785" i="4"/>
  <c r="Q1785" i="4"/>
  <c r="P1785" i="4"/>
  <c r="K1785" i="4"/>
  <c r="J1785" i="4"/>
  <c r="D1785" i="4"/>
  <c r="C1785" i="4"/>
  <c r="A1785" i="4" s="1"/>
  <c r="R1784" i="4"/>
  <c r="Q1784" i="4"/>
  <c r="P1784" i="4"/>
  <c r="K1784" i="4"/>
  <c r="J1784" i="4"/>
  <c r="D1784" i="4"/>
  <c r="C1784" i="4"/>
  <c r="A1784" i="4" s="1"/>
  <c r="R1783" i="4"/>
  <c r="Q1783" i="4"/>
  <c r="P1783" i="4"/>
  <c r="K1783" i="4"/>
  <c r="J1783" i="4"/>
  <c r="D1783" i="4"/>
  <c r="C1783" i="4"/>
  <c r="R1782" i="4"/>
  <c r="Q1782" i="4"/>
  <c r="P1782" i="4"/>
  <c r="K1782" i="4"/>
  <c r="J1782" i="4"/>
  <c r="D1782" i="4"/>
  <c r="C1782" i="4"/>
  <c r="A1782" i="4" s="1"/>
  <c r="R1781" i="4"/>
  <c r="Q1781" i="4"/>
  <c r="P1781" i="4"/>
  <c r="K1781" i="4"/>
  <c r="J1781" i="4"/>
  <c r="D1781" i="4"/>
  <c r="C1781" i="4"/>
  <c r="A1781" i="4" s="1"/>
  <c r="R1780" i="4"/>
  <c r="Q1780" i="4"/>
  <c r="P1780" i="4"/>
  <c r="K1780" i="4"/>
  <c r="J1780" i="4"/>
  <c r="D1780" i="4"/>
  <c r="C1780" i="4"/>
  <c r="A1780" i="4" s="1"/>
  <c r="A1780" i="1" s="1"/>
  <c r="R1779" i="4"/>
  <c r="Q1779" i="4"/>
  <c r="P1779" i="4"/>
  <c r="K1779" i="4"/>
  <c r="J1779" i="4"/>
  <c r="D1779" i="4"/>
  <c r="C1779" i="4"/>
  <c r="A1779" i="4" s="1"/>
  <c r="R1778" i="4"/>
  <c r="Q1778" i="4"/>
  <c r="P1778" i="4"/>
  <c r="K1778" i="4"/>
  <c r="J1778" i="4"/>
  <c r="D1778" i="4"/>
  <c r="C1778" i="4"/>
  <c r="R1777" i="4"/>
  <c r="Q1777" i="4"/>
  <c r="P1777" i="4"/>
  <c r="K1777" i="4"/>
  <c r="J1777" i="4"/>
  <c r="D1777" i="4"/>
  <c r="C1777" i="4"/>
  <c r="A1777" i="4" s="1"/>
  <c r="R1776" i="4"/>
  <c r="Q1776" i="4"/>
  <c r="P1776" i="4"/>
  <c r="K1776" i="4"/>
  <c r="J1776" i="4"/>
  <c r="D1776" i="4"/>
  <c r="C1776" i="4"/>
  <c r="A1776" i="4" s="1"/>
  <c r="R1775" i="4"/>
  <c r="Q1775" i="4"/>
  <c r="P1775" i="4"/>
  <c r="K1775" i="4"/>
  <c r="J1775" i="4"/>
  <c r="D1775" i="4"/>
  <c r="C1775" i="4"/>
  <c r="R1774" i="4"/>
  <c r="Q1774" i="4"/>
  <c r="P1774" i="4"/>
  <c r="K1774" i="4"/>
  <c r="J1774" i="4"/>
  <c r="D1774" i="4"/>
  <c r="C1774" i="4"/>
  <c r="A1774" i="4" s="1"/>
  <c r="R1773" i="4"/>
  <c r="Q1773" i="4"/>
  <c r="P1773" i="4"/>
  <c r="K1773" i="4"/>
  <c r="J1773" i="4"/>
  <c r="D1773" i="4"/>
  <c r="C1773" i="4"/>
  <c r="A1773" i="4" s="1"/>
  <c r="R1772" i="4"/>
  <c r="Q1772" i="4"/>
  <c r="P1772" i="4"/>
  <c r="K1772" i="4"/>
  <c r="J1772" i="4"/>
  <c r="D1772" i="4"/>
  <c r="C1772" i="4"/>
  <c r="A1772" i="4" s="1"/>
  <c r="R1771" i="4"/>
  <c r="Q1771" i="4"/>
  <c r="P1771" i="4"/>
  <c r="K1771" i="4"/>
  <c r="J1771" i="4"/>
  <c r="D1771" i="4"/>
  <c r="C1771" i="4"/>
  <c r="A1771" i="4" s="1"/>
  <c r="R1770" i="4"/>
  <c r="Q1770" i="4"/>
  <c r="P1770" i="4"/>
  <c r="K1770" i="4"/>
  <c r="J1770" i="4"/>
  <c r="D1770" i="4"/>
  <c r="C1770" i="4"/>
  <c r="R1769" i="4"/>
  <c r="Q1769" i="4"/>
  <c r="P1769" i="4"/>
  <c r="K1769" i="4"/>
  <c r="J1769" i="4"/>
  <c r="D1769" i="4"/>
  <c r="C1769" i="4"/>
  <c r="A1769" i="4" s="1"/>
  <c r="R1768" i="4"/>
  <c r="Q1768" i="4"/>
  <c r="P1768" i="4"/>
  <c r="K1768" i="4"/>
  <c r="J1768" i="4"/>
  <c r="D1768" i="4"/>
  <c r="C1768" i="4"/>
  <c r="A1768" i="4" s="1"/>
  <c r="R1767" i="4"/>
  <c r="Q1767" i="4"/>
  <c r="P1767" i="4"/>
  <c r="K1767" i="4"/>
  <c r="J1767" i="4"/>
  <c r="D1767" i="4"/>
  <c r="C1767" i="4"/>
  <c r="R1766" i="4"/>
  <c r="Q1766" i="4"/>
  <c r="P1766" i="4"/>
  <c r="K1766" i="4"/>
  <c r="J1766" i="4"/>
  <c r="D1766" i="4"/>
  <c r="C1766" i="4"/>
  <c r="A1766" i="4" s="1"/>
  <c r="R1765" i="4"/>
  <c r="Q1765" i="4"/>
  <c r="P1765" i="4"/>
  <c r="K1765" i="4"/>
  <c r="J1765" i="4"/>
  <c r="D1765" i="4"/>
  <c r="C1765" i="4"/>
  <c r="A1765" i="4" s="1"/>
  <c r="A1765" i="1" s="1"/>
  <c r="R1764" i="4"/>
  <c r="Q1764" i="4"/>
  <c r="P1764" i="4"/>
  <c r="K1764" i="4"/>
  <c r="J1764" i="4"/>
  <c r="D1764" i="4"/>
  <c r="C1764" i="4"/>
  <c r="A1764" i="4" s="1"/>
  <c r="R1763" i="4"/>
  <c r="Q1763" i="4"/>
  <c r="P1763" i="4"/>
  <c r="K1763" i="4"/>
  <c r="J1763" i="4"/>
  <c r="D1763" i="4"/>
  <c r="C1763" i="4"/>
  <c r="A1763" i="4" s="1"/>
  <c r="R1762" i="4"/>
  <c r="Q1762" i="4"/>
  <c r="P1762" i="4"/>
  <c r="K1762" i="4"/>
  <c r="J1762" i="4"/>
  <c r="D1762" i="4"/>
  <c r="C1762" i="4"/>
  <c r="R1761" i="4"/>
  <c r="Q1761" i="4"/>
  <c r="P1761" i="4"/>
  <c r="K1761" i="4"/>
  <c r="J1761" i="4"/>
  <c r="D1761" i="4"/>
  <c r="C1761" i="4"/>
  <c r="A1761" i="4" s="1"/>
  <c r="R1760" i="4"/>
  <c r="Q1760" i="4"/>
  <c r="P1760" i="4"/>
  <c r="K1760" i="4"/>
  <c r="J1760" i="4"/>
  <c r="D1760" i="4"/>
  <c r="C1760" i="4"/>
  <c r="A1760" i="4" s="1"/>
  <c r="R1759" i="4"/>
  <c r="Q1759" i="4"/>
  <c r="P1759" i="4"/>
  <c r="K1759" i="4"/>
  <c r="J1759" i="4"/>
  <c r="D1759" i="4"/>
  <c r="C1759" i="4"/>
  <c r="R1758" i="4"/>
  <c r="Q1758" i="4"/>
  <c r="P1758" i="4"/>
  <c r="K1758" i="4"/>
  <c r="J1758" i="4"/>
  <c r="D1758" i="4"/>
  <c r="C1758" i="4"/>
  <c r="A1758" i="4" s="1"/>
  <c r="R1757" i="4"/>
  <c r="Q1757" i="4"/>
  <c r="P1757" i="4"/>
  <c r="K1757" i="4"/>
  <c r="J1757" i="4"/>
  <c r="D1757" i="4"/>
  <c r="C1757" i="4"/>
  <c r="A1757" i="4" s="1"/>
  <c r="R1756" i="4"/>
  <c r="Q1756" i="4"/>
  <c r="P1756" i="4"/>
  <c r="K1756" i="4"/>
  <c r="J1756" i="4"/>
  <c r="D1756" i="4"/>
  <c r="C1756" i="4"/>
  <c r="A1756" i="4" s="1"/>
  <c r="R1755" i="4"/>
  <c r="Q1755" i="4"/>
  <c r="P1755" i="4"/>
  <c r="K1755" i="4"/>
  <c r="J1755" i="4"/>
  <c r="D1755" i="4"/>
  <c r="C1755" i="4"/>
  <c r="A1755" i="4" s="1"/>
  <c r="R1754" i="4"/>
  <c r="Q1754" i="4"/>
  <c r="P1754" i="4"/>
  <c r="K1754" i="4"/>
  <c r="J1754" i="4"/>
  <c r="D1754" i="4"/>
  <c r="C1754" i="4"/>
  <c r="R1753" i="4"/>
  <c r="Q1753" i="4"/>
  <c r="P1753" i="4"/>
  <c r="K1753" i="4"/>
  <c r="J1753" i="4"/>
  <c r="D1753" i="4"/>
  <c r="C1753" i="4"/>
  <c r="A1753" i="4" s="1"/>
  <c r="R1752" i="4"/>
  <c r="Q1752" i="4"/>
  <c r="P1752" i="4"/>
  <c r="K1752" i="4"/>
  <c r="J1752" i="4"/>
  <c r="D1752" i="4"/>
  <c r="C1752" i="4"/>
  <c r="A1752" i="4" s="1"/>
  <c r="R1751" i="4"/>
  <c r="Q1751" i="4"/>
  <c r="P1751" i="4"/>
  <c r="K1751" i="4"/>
  <c r="J1751" i="4"/>
  <c r="D1751" i="4"/>
  <c r="C1751" i="4"/>
  <c r="R1750" i="4"/>
  <c r="Q1750" i="4"/>
  <c r="P1750" i="4"/>
  <c r="K1750" i="4"/>
  <c r="J1750" i="4"/>
  <c r="D1750" i="4"/>
  <c r="C1750" i="4"/>
  <c r="A1750" i="4" s="1"/>
  <c r="R1749" i="4"/>
  <c r="Q1749" i="4"/>
  <c r="P1749" i="4"/>
  <c r="K1749" i="4"/>
  <c r="J1749" i="4"/>
  <c r="D1749" i="4"/>
  <c r="C1749" i="4"/>
  <c r="A1749" i="4" s="1"/>
  <c r="A1749" i="1" s="1"/>
  <c r="R1748" i="4"/>
  <c r="Q1748" i="4"/>
  <c r="P1748" i="4"/>
  <c r="K1748" i="4"/>
  <c r="J1748" i="4"/>
  <c r="D1748" i="4"/>
  <c r="C1748" i="4"/>
  <c r="A1748" i="4" s="1"/>
  <c r="R1747" i="4"/>
  <c r="Q1747" i="4"/>
  <c r="P1747" i="4"/>
  <c r="K1747" i="4"/>
  <c r="J1747" i="4"/>
  <c r="D1747" i="4"/>
  <c r="C1747" i="4"/>
  <c r="A1747" i="4" s="1"/>
  <c r="R1746" i="4"/>
  <c r="Q1746" i="4"/>
  <c r="P1746" i="4"/>
  <c r="K1746" i="4"/>
  <c r="J1746" i="4"/>
  <c r="D1746" i="4"/>
  <c r="C1746" i="4"/>
  <c r="R1745" i="4"/>
  <c r="Q1745" i="4"/>
  <c r="P1745" i="4"/>
  <c r="K1745" i="4"/>
  <c r="J1745" i="4"/>
  <c r="D1745" i="4"/>
  <c r="C1745" i="4"/>
  <c r="A1745" i="4" s="1"/>
  <c r="R1744" i="4"/>
  <c r="Q1744" i="4"/>
  <c r="P1744" i="4"/>
  <c r="K1744" i="4"/>
  <c r="J1744" i="4"/>
  <c r="D1744" i="4"/>
  <c r="C1744" i="4"/>
  <c r="A1744" i="4" s="1"/>
  <c r="R1743" i="4"/>
  <c r="Q1743" i="4"/>
  <c r="P1743" i="4"/>
  <c r="K1743" i="4"/>
  <c r="J1743" i="4"/>
  <c r="D1743" i="4"/>
  <c r="C1743" i="4"/>
  <c r="R1742" i="4"/>
  <c r="Q1742" i="4"/>
  <c r="P1742" i="4"/>
  <c r="K1742" i="4"/>
  <c r="J1742" i="4"/>
  <c r="D1742" i="4"/>
  <c r="C1742" i="4"/>
  <c r="A1742" i="4" s="1"/>
  <c r="R1741" i="4"/>
  <c r="Q1741" i="4"/>
  <c r="P1741" i="4"/>
  <c r="K1741" i="4"/>
  <c r="J1741" i="4"/>
  <c r="D1741" i="4"/>
  <c r="C1741" i="4"/>
  <c r="A1741" i="4" s="1"/>
  <c r="R1740" i="4"/>
  <c r="Q1740" i="4"/>
  <c r="P1740" i="4"/>
  <c r="K1740" i="4"/>
  <c r="J1740" i="4"/>
  <c r="D1740" i="4"/>
  <c r="C1740" i="4"/>
  <c r="A1740" i="4" s="1"/>
  <c r="R1739" i="4"/>
  <c r="Q1739" i="4"/>
  <c r="P1739" i="4"/>
  <c r="K1739" i="4"/>
  <c r="J1739" i="4"/>
  <c r="D1739" i="4"/>
  <c r="C1739" i="4"/>
  <c r="A1739" i="4" s="1"/>
  <c r="R1738" i="4"/>
  <c r="Q1738" i="4"/>
  <c r="P1738" i="4"/>
  <c r="K1738" i="4"/>
  <c r="J1738" i="4"/>
  <c r="D1738" i="4"/>
  <c r="C1738" i="4"/>
  <c r="R1737" i="4"/>
  <c r="Q1737" i="4"/>
  <c r="P1737" i="4"/>
  <c r="K1737" i="4"/>
  <c r="J1737" i="4"/>
  <c r="D1737" i="4"/>
  <c r="C1737" i="4"/>
  <c r="A1737" i="4" s="1"/>
  <c r="R1736" i="4"/>
  <c r="Q1736" i="4"/>
  <c r="P1736" i="4"/>
  <c r="K1736" i="4"/>
  <c r="J1736" i="4"/>
  <c r="D1736" i="4"/>
  <c r="C1736" i="4"/>
  <c r="A1736" i="4" s="1"/>
  <c r="R1735" i="4"/>
  <c r="Q1735" i="4"/>
  <c r="P1735" i="4"/>
  <c r="K1735" i="4"/>
  <c r="J1735" i="4"/>
  <c r="D1735" i="4"/>
  <c r="C1735" i="4"/>
  <c r="R1734" i="4"/>
  <c r="Q1734" i="4"/>
  <c r="P1734" i="4"/>
  <c r="K1734" i="4"/>
  <c r="J1734" i="4"/>
  <c r="D1734" i="4"/>
  <c r="C1734" i="4"/>
  <c r="A1734" i="4" s="1"/>
  <c r="R1733" i="4"/>
  <c r="Q1733" i="4"/>
  <c r="P1733" i="4"/>
  <c r="K1733" i="4"/>
  <c r="J1733" i="4"/>
  <c r="D1733" i="4"/>
  <c r="C1733" i="4"/>
  <c r="A1733" i="4" s="1"/>
  <c r="A1733" i="1" s="1"/>
  <c r="R1732" i="4"/>
  <c r="Q1732" i="4"/>
  <c r="P1732" i="4"/>
  <c r="K1732" i="4"/>
  <c r="J1732" i="4"/>
  <c r="D1732" i="4"/>
  <c r="C1732" i="4"/>
  <c r="A1732" i="4" s="1"/>
  <c r="R1731" i="4"/>
  <c r="Q1731" i="4"/>
  <c r="P1731" i="4"/>
  <c r="K1731" i="4"/>
  <c r="J1731" i="4"/>
  <c r="D1731" i="4"/>
  <c r="C1731" i="4"/>
  <c r="A1731" i="4" s="1"/>
  <c r="R1730" i="4"/>
  <c r="Q1730" i="4"/>
  <c r="P1730" i="4"/>
  <c r="K1730" i="4"/>
  <c r="J1730" i="4"/>
  <c r="D1730" i="4"/>
  <c r="C1730" i="4"/>
  <c r="R1729" i="4"/>
  <c r="Q1729" i="4"/>
  <c r="P1729" i="4"/>
  <c r="K1729" i="4"/>
  <c r="J1729" i="4"/>
  <c r="D1729" i="4"/>
  <c r="C1729" i="4"/>
  <c r="A1729" i="4" s="1"/>
  <c r="R1728" i="4"/>
  <c r="Q1728" i="4"/>
  <c r="P1728" i="4"/>
  <c r="K1728" i="4"/>
  <c r="J1728" i="4"/>
  <c r="D1728" i="4"/>
  <c r="C1728" i="4"/>
  <c r="A1728" i="4" s="1"/>
  <c r="R1727" i="4"/>
  <c r="Q1727" i="4"/>
  <c r="P1727" i="4"/>
  <c r="K1727" i="4"/>
  <c r="J1727" i="4"/>
  <c r="D1727" i="4"/>
  <c r="C1727" i="4"/>
  <c r="R1726" i="4"/>
  <c r="Q1726" i="4"/>
  <c r="P1726" i="4"/>
  <c r="K1726" i="4"/>
  <c r="J1726" i="4"/>
  <c r="D1726" i="4"/>
  <c r="C1726" i="4"/>
  <c r="R1725" i="4"/>
  <c r="Q1725" i="4"/>
  <c r="P1725" i="4"/>
  <c r="K1725" i="4"/>
  <c r="J1725" i="4"/>
  <c r="D1725" i="4"/>
  <c r="C1725" i="4"/>
  <c r="A1725" i="4" s="1"/>
  <c r="R1724" i="4"/>
  <c r="Q1724" i="4"/>
  <c r="P1724" i="4"/>
  <c r="K1724" i="4"/>
  <c r="J1724" i="4"/>
  <c r="D1724" i="4"/>
  <c r="C1724" i="4"/>
  <c r="A1724" i="4" s="1"/>
  <c r="R1723" i="4"/>
  <c r="Q1723" i="4"/>
  <c r="P1723" i="4"/>
  <c r="K1723" i="4"/>
  <c r="J1723" i="4"/>
  <c r="D1723" i="4"/>
  <c r="C1723" i="4"/>
  <c r="A1723" i="4" s="1"/>
  <c r="R1722" i="4"/>
  <c r="Q1722" i="4"/>
  <c r="P1722" i="4"/>
  <c r="K1722" i="4"/>
  <c r="J1722" i="4"/>
  <c r="D1722" i="4"/>
  <c r="C1722" i="4"/>
  <c r="R1721" i="4"/>
  <c r="Q1721" i="4"/>
  <c r="P1721" i="4"/>
  <c r="K1721" i="4"/>
  <c r="J1721" i="4"/>
  <c r="D1721" i="4"/>
  <c r="C1721" i="4"/>
  <c r="A1721" i="4" s="1"/>
  <c r="R1720" i="4"/>
  <c r="Q1720" i="4"/>
  <c r="P1720" i="4"/>
  <c r="K1720" i="4"/>
  <c r="J1720" i="4"/>
  <c r="D1720" i="4"/>
  <c r="C1720" i="4"/>
  <c r="A1720" i="4" s="1"/>
  <c r="R1719" i="4"/>
  <c r="Q1719" i="4"/>
  <c r="P1719" i="4"/>
  <c r="K1719" i="4"/>
  <c r="J1719" i="4"/>
  <c r="D1719" i="4"/>
  <c r="C1719" i="4"/>
  <c r="R1718" i="4"/>
  <c r="Q1718" i="4"/>
  <c r="P1718" i="4"/>
  <c r="K1718" i="4"/>
  <c r="J1718" i="4"/>
  <c r="D1718" i="4"/>
  <c r="C1718" i="4"/>
  <c r="R1717" i="4"/>
  <c r="Q1717" i="4"/>
  <c r="P1717" i="4"/>
  <c r="K1717" i="4"/>
  <c r="J1717" i="4"/>
  <c r="D1717" i="4"/>
  <c r="C1717" i="4"/>
  <c r="A1717" i="4" s="1"/>
  <c r="R1716" i="4"/>
  <c r="Q1716" i="4"/>
  <c r="P1716" i="4"/>
  <c r="K1716" i="4"/>
  <c r="J1716" i="4"/>
  <c r="D1716" i="4"/>
  <c r="C1716" i="4"/>
  <c r="A1716" i="4" s="1"/>
  <c r="R1715" i="4"/>
  <c r="Q1715" i="4"/>
  <c r="P1715" i="4"/>
  <c r="K1715" i="4"/>
  <c r="J1715" i="4"/>
  <c r="D1715" i="4"/>
  <c r="C1715" i="4"/>
  <c r="A1715" i="4" s="1"/>
  <c r="R1714" i="4"/>
  <c r="Q1714" i="4"/>
  <c r="P1714" i="4"/>
  <c r="K1714" i="4"/>
  <c r="J1714" i="4"/>
  <c r="D1714" i="4"/>
  <c r="C1714" i="4"/>
  <c r="R1713" i="4"/>
  <c r="Q1713" i="4"/>
  <c r="P1713" i="4"/>
  <c r="K1713" i="4"/>
  <c r="J1713" i="4"/>
  <c r="D1713" i="4"/>
  <c r="C1713" i="4"/>
  <c r="A1713" i="4" s="1"/>
  <c r="R1712" i="4"/>
  <c r="Q1712" i="4"/>
  <c r="P1712" i="4"/>
  <c r="K1712" i="4"/>
  <c r="J1712" i="4"/>
  <c r="D1712" i="4"/>
  <c r="C1712" i="4"/>
  <c r="A1712" i="4" s="1"/>
  <c r="R1711" i="4"/>
  <c r="Q1711" i="4"/>
  <c r="P1711" i="4"/>
  <c r="K1711" i="4"/>
  <c r="J1711" i="4"/>
  <c r="D1711" i="4"/>
  <c r="C1711" i="4"/>
  <c r="R1710" i="4"/>
  <c r="Q1710" i="4"/>
  <c r="P1710" i="4"/>
  <c r="K1710" i="4"/>
  <c r="J1710" i="4"/>
  <c r="D1710" i="4"/>
  <c r="C1710" i="4"/>
  <c r="R1709" i="4"/>
  <c r="Q1709" i="4"/>
  <c r="P1709" i="4"/>
  <c r="K1709" i="4"/>
  <c r="J1709" i="4"/>
  <c r="D1709" i="4"/>
  <c r="C1709" i="4"/>
  <c r="A1709" i="4" s="1"/>
  <c r="R1708" i="4"/>
  <c r="Q1708" i="4"/>
  <c r="P1708" i="4"/>
  <c r="K1708" i="4"/>
  <c r="J1708" i="4"/>
  <c r="D1708" i="4"/>
  <c r="C1708" i="4"/>
  <c r="A1708" i="4" s="1"/>
  <c r="R1707" i="4"/>
  <c r="Q1707" i="4"/>
  <c r="P1707" i="4"/>
  <c r="K1707" i="4"/>
  <c r="J1707" i="4"/>
  <c r="D1707" i="4"/>
  <c r="C1707" i="4"/>
  <c r="A1707" i="4" s="1"/>
  <c r="R1706" i="4"/>
  <c r="Q1706" i="4"/>
  <c r="P1706" i="4"/>
  <c r="K1706" i="4"/>
  <c r="J1706" i="4"/>
  <c r="D1706" i="4"/>
  <c r="C1706" i="4"/>
  <c r="R1705" i="4"/>
  <c r="Q1705" i="4"/>
  <c r="P1705" i="4"/>
  <c r="K1705" i="4"/>
  <c r="J1705" i="4"/>
  <c r="D1705" i="4"/>
  <c r="C1705" i="4"/>
  <c r="A1705" i="4" s="1"/>
  <c r="R1704" i="4"/>
  <c r="Q1704" i="4"/>
  <c r="P1704" i="4"/>
  <c r="K1704" i="4"/>
  <c r="J1704" i="4"/>
  <c r="D1704" i="4"/>
  <c r="C1704" i="4"/>
  <c r="A1704" i="4" s="1"/>
  <c r="R1703" i="4"/>
  <c r="Q1703" i="4"/>
  <c r="P1703" i="4"/>
  <c r="K1703" i="4"/>
  <c r="J1703" i="4"/>
  <c r="D1703" i="4"/>
  <c r="C1703" i="4"/>
  <c r="R1702" i="4"/>
  <c r="Q1702" i="4"/>
  <c r="P1702" i="4"/>
  <c r="K1702" i="4"/>
  <c r="J1702" i="4"/>
  <c r="D1702" i="4"/>
  <c r="C1702" i="4"/>
  <c r="R1701" i="4"/>
  <c r="Q1701" i="4"/>
  <c r="P1701" i="4"/>
  <c r="K1701" i="4"/>
  <c r="J1701" i="4"/>
  <c r="D1701" i="4"/>
  <c r="C1701" i="4"/>
  <c r="A1701" i="4" s="1"/>
  <c r="R1700" i="4"/>
  <c r="Q1700" i="4"/>
  <c r="P1700" i="4"/>
  <c r="K1700" i="4"/>
  <c r="J1700" i="4"/>
  <c r="D1700" i="4"/>
  <c r="C1700" i="4"/>
  <c r="A1700" i="4" s="1"/>
  <c r="R1699" i="4"/>
  <c r="Q1699" i="4"/>
  <c r="P1699" i="4"/>
  <c r="K1699" i="4"/>
  <c r="J1699" i="4"/>
  <c r="D1699" i="4"/>
  <c r="C1699" i="4"/>
  <c r="A1699" i="4" s="1"/>
  <c r="R1698" i="4"/>
  <c r="Q1698" i="4"/>
  <c r="P1698" i="4"/>
  <c r="K1698" i="4"/>
  <c r="J1698" i="4"/>
  <c r="D1698" i="4"/>
  <c r="C1698" i="4"/>
  <c r="R1697" i="4"/>
  <c r="Q1697" i="4"/>
  <c r="P1697" i="4"/>
  <c r="K1697" i="4"/>
  <c r="J1697" i="4"/>
  <c r="D1697" i="4"/>
  <c r="C1697" i="4"/>
  <c r="A1697" i="4" s="1"/>
  <c r="R1696" i="4"/>
  <c r="Q1696" i="4"/>
  <c r="P1696" i="4"/>
  <c r="K1696" i="4"/>
  <c r="J1696" i="4"/>
  <c r="D1696" i="4"/>
  <c r="C1696" i="4"/>
  <c r="A1696" i="4" s="1"/>
  <c r="R1695" i="4"/>
  <c r="Q1695" i="4"/>
  <c r="P1695" i="4"/>
  <c r="K1695" i="4"/>
  <c r="J1695" i="4"/>
  <c r="D1695" i="4"/>
  <c r="C1695" i="4"/>
  <c r="R1694" i="4"/>
  <c r="Q1694" i="4"/>
  <c r="P1694" i="4"/>
  <c r="K1694" i="4"/>
  <c r="J1694" i="4"/>
  <c r="D1694" i="4"/>
  <c r="C1694" i="4"/>
  <c r="R1693" i="4"/>
  <c r="Q1693" i="4"/>
  <c r="P1693" i="4"/>
  <c r="K1693" i="4"/>
  <c r="J1693" i="4"/>
  <c r="D1693" i="4"/>
  <c r="C1693" i="4"/>
  <c r="A1693" i="4" s="1"/>
  <c r="R1692" i="4"/>
  <c r="Q1692" i="4"/>
  <c r="P1692" i="4"/>
  <c r="K1692" i="4"/>
  <c r="J1692" i="4"/>
  <c r="D1692" i="4"/>
  <c r="C1692" i="4"/>
  <c r="A1692" i="4" s="1"/>
  <c r="R1691" i="4"/>
  <c r="Q1691" i="4"/>
  <c r="P1691" i="4"/>
  <c r="K1691" i="4"/>
  <c r="J1691" i="4"/>
  <c r="D1691" i="4"/>
  <c r="C1691" i="4"/>
  <c r="A1691" i="4" s="1"/>
  <c r="R1690" i="4"/>
  <c r="Q1690" i="4"/>
  <c r="P1690" i="4"/>
  <c r="K1690" i="4"/>
  <c r="J1690" i="4"/>
  <c r="D1690" i="4"/>
  <c r="C1690" i="4"/>
  <c r="R1689" i="4"/>
  <c r="Q1689" i="4"/>
  <c r="P1689" i="4"/>
  <c r="K1689" i="4"/>
  <c r="J1689" i="4"/>
  <c r="D1689" i="4"/>
  <c r="C1689" i="4"/>
  <c r="A1689" i="4" s="1"/>
  <c r="R1688" i="4"/>
  <c r="Q1688" i="4"/>
  <c r="P1688" i="4"/>
  <c r="K1688" i="4"/>
  <c r="J1688" i="4"/>
  <c r="D1688" i="4"/>
  <c r="C1688" i="4"/>
  <c r="A1688" i="4" s="1"/>
  <c r="R1687" i="4"/>
  <c r="Q1687" i="4"/>
  <c r="P1687" i="4"/>
  <c r="K1687" i="4"/>
  <c r="J1687" i="4"/>
  <c r="D1687" i="4"/>
  <c r="C1687" i="4"/>
  <c r="R1686" i="4"/>
  <c r="Q1686" i="4"/>
  <c r="P1686" i="4"/>
  <c r="K1686" i="4"/>
  <c r="J1686" i="4"/>
  <c r="D1686" i="4"/>
  <c r="C1686" i="4"/>
  <c r="R1685" i="4"/>
  <c r="Q1685" i="4"/>
  <c r="P1685" i="4"/>
  <c r="K1685" i="4"/>
  <c r="J1685" i="4"/>
  <c r="D1685" i="4"/>
  <c r="C1685" i="4"/>
  <c r="A1685" i="4" s="1"/>
  <c r="R1684" i="4"/>
  <c r="Q1684" i="4"/>
  <c r="P1684" i="4"/>
  <c r="K1684" i="4"/>
  <c r="J1684" i="4"/>
  <c r="D1684" i="4"/>
  <c r="C1684" i="4"/>
  <c r="A1684" i="4" s="1"/>
  <c r="R1683" i="4"/>
  <c r="Q1683" i="4"/>
  <c r="P1683" i="4"/>
  <c r="K1683" i="4"/>
  <c r="J1683" i="4"/>
  <c r="D1683" i="4"/>
  <c r="C1683" i="4"/>
  <c r="A1683" i="4" s="1"/>
  <c r="R1682" i="4"/>
  <c r="Q1682" i="4"/>
  <c r="P1682" i="4"/>
  <c r="K1682" i="4"/>
  <c r="J1682" i="4"/>
  <c r="D1682" i="4"/>
  <c r="C1682" i="4"/>
  <c r="R1681" i="4"/>
  <c r="Q1681" i="4"/>
  <c r="P1681" i="4"/>
  <c r="K1681" i="4"/>
  <c r="J1681" i="4"/>
  <c r="D1681" i="4"/>
  <c r="C1681" i="4"/>
  <c r="A1681" i="4" s="1"/>
  <c r="R1680" i="4"/>
  <c r="Q1680" i="4"/>
  <c r="P1680" i="4"/>
  <c r="K1680" i="4"/>
  <c r="J1680" i="4"/>
  <c r="D1680" i="4"/>
  <c r="C1680" i="4"/>
  <c r="A1680" i="4" s="1"/>
  <c r="R1679" i="4"/>
  <c r="Q1679" i="4"/>
  <c r="P1679" i="4"/>
  <c r="K1679" i="4"/>
  <c r="J1679" i="4"/>
  <c r="D1679" i="4"/>
  <c r="C1679" i="4"/>
  <c r="R1678" i="4"/>
  <c r="Q1678" i="4"/>
  <c r="P1678" i="4"/>
  <c r="K1678" i="4"/>
  <c r="J1678" i="4"/>
  <c r="D1678" i="4"/>
  <c r="C1678" i="4"/>
  <c r="R1677" i="4"/>
  <c r="Q1677" i="4"/>
  <c r="P1677" i="4"/>
  <c r="K1677" i="4"/>
  <c r="J1677" i="4"/>
  <c r="D1677" i="4"/>
  <c r="C1677" i="4"/>
  <c r="A1677" i="4" s="1"/>
  <c r="R1676" i="4"/>
  <c r="Q1676" i="4"/>
  <c r="P1676" i="4"/>
  <c r="K1676" i="4"/>
  <c r="J1676" i="4"/>
  <c r="D1676" i="4"/>
  <c r="C1676" i="4"/>
  <c r="A1676" i="4" s="1"/>
  <c r="R1675" i="4"/>
  <c r="Q1675" i="4"/>
  <c r="P1675" i="4"/>
  <c r="K1675" i="4"/>
  <c r="J1675" i="4"/>
  <c r="D1675" i="4"/>
  <c r="C1675" i="4"/>
  <c r="A1675" i="4" s="1"/>
  <c r="R1674" i="4"/>
  <c r="Q1674" i="4"/>
  <c r="P1674" i="4"/>
  <c r="K1674" i="4"/>
  <c r="J1674" i="4"/>
  <c r="D1674" i="4"/>
  <c r="C1674" i="4"/>
  <c r="R1673" i="4"/>
  <c r="Q1673" i="4"/>
  <c r="P1673" i="4"/>
  <c r="K1673" i="4"/>
  <c r="J1673" i="4"/>
  <c r="D1673" i="4"/>
  <c r="C1673" i="4"/>
  <c r="A1673" i="4" s="1"/>
  <c r="R1672" i="4"/>
  <c r="Q1672" i="4"/>
  <c r="P1672" i="4"/>
  <c r="K1672" i="4"/>
  <c r="J1672" i="4"/>
  <c r="D1672" i="4"/>
  <c r="C1672" i="4"/>
  <c r="A1672" i="4" s="1"/>
  <c r="R1671" i="4"/>
  <c r="Q1671" i="4"/>
  <c r="P1671" i="4"/>
  <c r="K1671" i="4"/>
  <c r="J1671" i="4"/>
  <c r="D1671" i="4"/>
  <c r="C1671" i="4"/>
  <c r="R1670" i="4"/>
  <c r="Q1670" i="4"/>
  <c r="P1670" i="4"/>
  <c r="K1670" i="4"/>
  <c r="J1670" i="4"/>
  <c r="D1670" i="4"/>
  <c r="C1670" i="4"/>
  <c r="R1669" i="4"/>
  <c r="Q1669" i="4"/>
  <c r="P1669" i="4"/>
  <c r="K1669" i="4"/>
  <c r="J1669" i="4"/>
  <c r="D1669" i="4"/>
  <c r="C1669" i="4"/>
  <c r="A1669" i="4" s="1"/>
  <c r="R1668" i="4"/>
  <c r="Q1668" i="4"/>
  <c r="P1668" i="4"/>
  <c r="K1668" i="4"/>
  <c r="J1668" i="4"/>
  <c r="D1668" i="4"/>
  <c r="C1668" i="4"/>
  <c r="A1668" i="4" s="1"/>
  <c r="R1667" i="4"/>
  <c r="Q1667" i="4"/>
  <c r="P1667" i="4"/>
  <c r="K1667" i="4"/>
  <c r="J1667" i="4"/>
  <c r="D1667" i="4"/>
  <c r="C1667" i="4"/>
  <c r="A1667" i="4" s="1"/>
  <c r="R1666" i="4"/>
  <c r="Q1666" i="4"/>
  <c r="P1666" i="4"/>
  <c r="K1666" i="4"/>
  <c r="J1666" i="4"/>
  <c r="D1666" i="4"/>
  <c r="C1666" i="4"/>
  <c r="R1665" i="4"/>
  <c r="Q1665" i="4"/>
  <c r="P1665" i="4"/>
  <c r="K1665" i="4"/>
  <c r="J1665" i="4"/>
  <c r="D1665" i="4"/>
  <c r="C1665" i="4"/>
  <c r="A1665" i="4" s="1"/>
  <c r="R1664" i="4"/>
  <c r="Q1664" i="4"/>
  <c r="P1664" i="4"/>
  <c r="K1664" i="4"/>
  <c r="J1664" i="4"/>
  <c r="D1664" i="4"/>
  <c r="C1664" i="4"/>
  <c r="A1664" i="4" s="1"/>
  <c r="R1663" i="4"/>
  <c r="Q1663" i="4"/>
  <c r="P1663" i="4"/>
  <c r="K1663" i="4"/>
  <c r="J1663" i="4"/>
  <c r="D1663" i="4"/>
  <c r="C1663" i="4"/>
  <c r="R1662" i="4"/>
  <c r="Q1662" i="4"/>
  <c r="P1662" i="4"/>
  <c r="K1662" i="4"/>
  <c r="J1662" i="4"/>
  <c r="D1662" i="4"/>
  <c r="C1662" i="4"/>
  <c r="R1661" i="4"/>
  <c r="Q1661" i="4"/>
  <c r="P1661" i="4"/>
  <c r="K1661" i="4"/>
  <c r="J1661" i="4"/>
  <c r="D1661" i="4"/>
  <c r="C1661" i="4"/>
  <c r="A1661" i="4" s="1"/>
  <c r="R1660" i="4"/>
  <c r="Q1660" i="4"/>
  <c r="P1660" i="4"/>
  <c r="K1660" i="4"/>
  <c r="J1660" i="4"/>
  <c r="D1660" i="4"/>
  <c r="C1660" i="4"/>
  <c r="A1660" i="4" s="1"/>
  <c r="R1659" i="4"/>
  <c r="Q1659" i="4"/>
  <c r="P1659" i="4"/>
  <c r="K1659" i="4"/>
  <c r="J1659" i="4"/>
  <c r="D1659" i="4"/>
  <c r="C1659" i="4"/>
  <c r="A1659" i="4" s="1"/>
  <c r="R1658" i="4"/>
  <c r="Q1658" i="4"/>
  <c r="P1658" i="4"/>
  <c r="K1658" i="4"/>
  <c r="J1658" i="4"/>
  <c r="D1658" i="4"/>
  <c r="C1658" i="4"/>
  <c r="R1657" i="4"/>
  <c r="Q1657" i="4"/>
  <c r="P1657" i="4"/>
  <c r="K1657" i="4"/>
  <c r="J1657" i="4"/>
  <c r="D1657" i="4"/>
  <c r="C1657" i="4"/>
  <c r="A1657" i="4" s="1"/>
  <c r="R1656" i="4"/>
  <c r="Q1656" i="4"/>
  <c r="P1656" i="4"/>
  <c r="K1656" i="4"/>
  <c r="J1656" i="4"/>
  <c r="D1656" i="4"/>
  <c r="C1656" i="4"/>
  <c r="A1656" i="4" s="1"/>
  <c r="R1655" i="4"/>
  <c r="Q1655" i="4"/>
  <c r="P1655" i="4"/>
  <c r="K1655" i="4"/>
  <c r="J1655" i="4"/>
  <c r="D1655" i="4"/>
  <c r="C1655" i="4"/>
  <c r="R1654" i="4"/>
  <c r="Q1654" i="4"/>
  <c r="P1654" i="4"/>
  <c r="K1654" i="4"/>
  <c r="J1654" i="4"/>
  <c r="D1654" i="4"/>
  <c r="C1654" i="4"/>
  <c r="R1653" i="4"/>
  <c r="Q1653" i="4"/>
  <c r="P1653" i="4"/>
  <c r="K1653" i="4"/>
  <c r="J1653" i="4"/>
  <c r="D1653" i="4"/>
  <c r="C1653" i="4"/>
  <c r="A1653" i="4" s="1"/>
  <c r="R1652" i="4"/>
  <c r="Q1652" i="4"/>
  <c r="P1652" i="4"/>
  <c r="K1652" i="4"/>
  <c r="J1652" i="4"/>
  <c r="D1652" i="4"/>
  <c r="C1652" i="4"/>
  <c r="A1652" i="4" s="1"/>
  <c r="R1651" i="4"/>
  <c r="Q1651" i="4"/>
  <c r="P1651" i="4"/>
  <c r="K1651" i="4"/>
  <c r="J1651" i="4"/>
  <c r="D1651" i="4"/>
  <c r="C1651" i="4"/>
  <c r="A1651" i="4" s="1"/>
  <c r="R1650" i="4"/>
  <c r="Q1650" i="4"/>
  <c r="P1650" i="4"/>
  <c r="K1650" i="4"/>
  <c r="J1650" i="4"/>
  <c r="D1650" i="4"/>
  <c r="C1650" i="4"/>
  <c r="R1649" i="4"/>
  <c r="Q1649" i="4"/>
  <c r="P1649" i="4"/>
  <c r="K1649" i="4"/>
  <c r="J1649" i="4"/>
  <c r="D1649" i="4"/>
  <c r="C1649" i="4"/>
  <c r="A1649" i="4" s="1"/>
  <c r="R1648" i="4"/>
  <c r="Q1648" i="4"/>
  <c r="P1648" i="4"/>
  <c r="K1648" i="4"/>
  <c r="J1648" i="4"/>
  <c r="D1648" i="4"/>
  <c r="C1648" i="4"/>
  <c r="A1648" i="4" s="1"/>
  <c r="R1647" i="4"/>
  <c r="Q1647" i="4"/>
  <c r="P1647" i="4"/>
  <c r="K1647" i="4"/>
  <c r="J1647" i="4"/>
  <c r="D1647" i="4"/>
  <c r="C1647" i="4"/>
  <c r="R1646" i="4"/>
  <c r="Q1646" i="4"/>
  <c r="P1646" i="4"/>
  <c r="K1646" i="4"/>
  <c r="J1646" i="4"/>
  <c r="D1646" i="4"/>
  <c r="C1646" i="4"/>
  <c r="R1645" i="4"/>
  <c r="Q1645" i="4"/>
  <c r="P1645" i="4"/>
  <c r="K1645" i="4"/>
  <c r="J1645" i="4"/>
  <c r="D1645" i="4"/>
  <c r="C1645" i="4"/>
  <c r="A1645" i="4" s="1"/>
  <c r="R1644" i="4"/>
  <c r="Q1644" i="4"/>
  <c r="P1644" i="4"/>
  <c r="K1644" i="4"/>
  <c r="J1644" i="4"/>
  <c r="D1644" i="4"/>
  <c r="C1644" i="4"/>
  <c r="A1644" i="4" s="1"/>
  <c r="R1643" i="4"/>
  <c r="Q1643" i="4"/>
  <c r="P1643" i="4"/>
  <c r="K1643" i="4"/>
  <c r="J1643" i="4"/>
  <c r="D1643" i="4"/>
  <c r="C1643" i="4"/>
  <c r="A1643" i="4" s="1"/>
  <c r="R1642" i="4"/>
  <c r="Q1642" i="4"/>
  <c r="P1642" i="4"/>
  <c r="K1642" i="4"/>
  <c r="J1642" i="4"/>
  <c r="D1642" i="4"/>
  <c r="C1642" i="4"/>
  <c r="R1641" i="4"/>
  <c r="Q1641" i="4"/>
  <c r="P1641" i="4"/>
  <c r="K1641" i="4"/>
  <c r="J1641" i="4"/>
  <c r="D1641" i="4"/>
  <c r="C1641" i="4"/>
  <c r="A1641" i="4" s="1"/>
  <c r="R1640" i="4"/>
  <c r="Q1640" i="4"/>
  <c r="P1640" i="4"/>
  <c r="K1640" i="4"/>
  <c r="J1640" i="4"/>
  <c r="D1640" i="4"/>
  <c r="C1640" i="4"/>
  <c r="A1640" i="4" s="1"/>
  <c r="R1639" i="4"/>
  <c r="Q1639" i="4"/>
  <c r="P1639" i="4"/>
  <c r="K1639" i="4"/>
  <c r="J1639" i="4"/>
  <c r="D1639" i="4"/>
  <c r="C1639" i="4"/>
  <c r="R1638" i="4"/>
  <c r="Q1638" i="4"/>
  <c r="P1638" i="4"/>
  <c r="K1638" i="4"/>
  <c r="J1638" i="4"/>
  <c r="D1638" i="4"/>
  <c r="C1638" i="4"/>
  <c r="R1637" i="4"/>
  <c r="Q1637" i="4"/>
  <c r="P1637" i="4"/>
  <c r="K1637" i="4"/>
  <c r="J1637" i="4"/>
  <c r="D1637" i="4"/>
  <c r="C1637" i="4"/>
  <c r="A1637" i="4" s="1"/>
  <c r="R1636" i="4"/>
  <c r="Q1636" i="4"/>
  <c r="P1636" i="4"/>
  <c r="K1636" i="4"/>
  <c r="J1636" i="4"/>
  <c r="D1636" i="4"/>
  <c r="C1636" i="4"/>
  <c r="A1636" i="4" s="1"/>
  <c r="R1635" i="4"/>
  <c r="Q1635" i="4"/>
  <c r="P1635" i="4"/>
  <c r="K1635" i="4"/>
  <c r="J1635" i="4"/>
  <c r="D1635" i="4"/>
  <c r="C1635" i="4"/>
  <c r="A1635" i="4" s="1"/>
  <c r="R1634" i="4"/>
  <c r="Q1634" i="4"/>
  <c r="P1634" i="4"/>
  <c r="K1634" i="4"/>
  <c r="J1634" i="4"/>
  <c r="D1634" i="4"/>
  <c r="C1634" i="4"/>
  <c r="R1633" i="4"/>
  <c r="Q1633" i="4"/>
  <c r="P1633" i="4"/>
  <c r="K1633" i="4"/>
  <c r="J1633" i="4"/>
  <c r="D1633" i="4"/>
  <c r="C1633" i="4"/>
  <c r="A1633" i="4" s="1"/>
  <c r="R1632" i="4"/>
  <c r="Q1632" i="4"/>
  <c r="P1632" i="4"/>
  <c r="K1632" i="4"/>
  <c r="J1632" i="4"/>
  <c r="D1632" i="4"/>
  <c r="C1632" i="4"/>
  <c r="A1632" i="4" s="1"/>
  <c r="R1631" i="4"/>
  <c r="Q1631" i="4"/>
  <c r="P1631" i="4"/>
  <c r="K1631" i="4"/>
  <c r="J1631" i="4"/>
  <c r="D1631" i="4"/>
  <c r="C1631" i="4"/>
  <c r="R1630" i="4"/>
  <c r="Q1630" i="4"/>
  <c r="P1630" i="4"/>
  <c r="K1630" i="4"/>
  <c r="J1630" i="4"/>
  <c r="D1630" i="4"/>
  <c r="C1630" i="4"/>
  <c r="R1629" i="4"/>
  <c r="Q1629" i="4"/>
  <c r="P1629" i="4"/>
  <c r="K1629" i="4"/>
  <c r="J1629" i="4"/>
  <c r="D1629" i="4"/>
  <c r="C1629" i="4"/>
  <c r="A1629" i="4" s="1"/>
  <c r="R1628" i="4"/>
  <c r="Q1628" i="4"/>
  <c r="P1628" i="4"/>
  <c r="K1628" i="4"/>
  <c r="J1628" i="4"/>
  <c r="D1628" i="4"/>
  <c r="C1628" i="4"/>
  <c r="A1628" i="4" s="1"/>
  <c r="R1627" i="4"/>
  <c r="Q1627" i="4"/>
  <c r="P1627" i="4"/>
  <c r="K1627" i="4"/>
  <c r="J1627" i="4"/>
  <c r="D1627" i="4"/>
  <c r="C1627" i="4"/>
  <c r="A1627" i="4" s="1"/>
  <c r="R1626" i="4"/>
  <c r="Q1626" i="4"/>
  <c r="P1626" i="4"/>
  <c r="K1626" i="4"/>
  <c r="J1626" i="4"/>
  <c r="D1626" i="4"/>
  <c r="C1626" i="4"/>
  <c r="R1625" i="4"/>
  <c r="Q1625" i="4"/>
  <c r="P1625" i="4"/>
  <c r="K1625" i="4"/>
  <c r="J1625" i="4"/>
  <c r="D1625" i="4"/>
  <c r="C1625" i="4"/>
  <c r="A1625" i="4" s="1"/>
  <c r="R1624" i="4"/>
  <c r="Q1624" i="4"/>
  <c r="P1624" i="4"/>
  <c r="K1624" i="4"/>
  <c r="J1624" i="4"/>
  <c r="D1624" i="4"/>
  <c r="C1624" i="4"/>
  <c r="A1624" i="4" s="1"/>
  <c r="R1623" i="4"/>
  <c r="Q1623" i="4"/>
  <c r="P1623" i="4"/>
  <c r="K1623" i="4"/>
  <c r="J1623" i="4"/>
  <c r="D1623" i="4"/>
  <c r="C1623" i="4"/>
  <c r="R1622" i="4"/>
  <c r="Q1622" i="4"/>
  <c r="P1622" i="4"/>
  <c r="K1622" i="4"/>
  <c r="J1622" i="4"/>
  <c r="D1622" i="4"/>
  <c r="C1622" i="4"/>
  <c r="R1621" i="4"/>
  <c r="Q1621" i="4"/>
  <c r="P1621" i="4"/>
  <c r="K1621" i="4"/>
  <c r="J1621" i="4"/>
  <c r="D1621" i="4"/>
  <c r="C1621" i="4"/>
  <c r="A1621" i="4" s="1"/>
  <c r="R1620" i="4"/>
  <c r="Q1620" i="4"/>
  <c r="P1620" i="4"/>
  <c r="K1620" i="4"/>
  <c r="J1620" i="4"/>
  <c r="D1620" i="4"/>
  <c r="C1620" i="4"/>
  <c r="A1620" i="4" s="1"/>
  <c r="R1619" i="4"/>
  <c r="Q1619" i="4"/>
  <c r="P1619" i="4"/>
  <c r="K1619" i="4"/>
  <c r="J1619" i="4"/>
  <c r="D1619" i="4"/>
  <c r="C1619" i="4"/>
  <c r="A1619" i="4" s="1"/>
  <c r="R1618" i="4"/>
  <c r="Q1618" i="4"/>
  <c r="P1618" i="4"/>
  <c r="K1618" i="4"/>
  <c r="J1618" i="4"/>
  <c r="D1618" i="4"/>
  <c r="C1618" i="4"/>
  <c r="R1617" i="4"/>
  <c r="Q1617" i="4"/>
  <c r="P1617" i="4"/>
  <c r="K1617" i="4"/>
  <c r="J1617" i="4"/>
  <c r="D1617" i="4"/>
  <c r="C1617" i="4"/>
  <c r="A1617" i="4" s="1"/>
  <c r="R1616" i="4"/>
  <c r="Q1616" i="4"/>
  <c r="P1616" i="4"/>
  <c r="K1616" i="4"/>
  <c r="J1616" i="4"/>
  <c r="D1616" i="4"/>
  <c r="C1616" i="4"/>
  <c r="A1616" i="4" s="1"/>
  <c r="R1615" i="4"/>
  <c r="Q1615" i="4"/>
  <c r="P1615" i="4"/>
  <c r="K1615" i="4"/>
  <c r="J1615" i="4"/>
  <c r="D1615" i="4"/>
  <c r="C1615" i="4"/>
  <c r="R1614" i="4"/>
  <c r="Q1614" i="4"/>
  <c r="P1614" i="4"/>
  <c r="K1614" i="4"/>
  <c r="J1614" i="4"/>
  <c r="D1614" i="4"/>
  <c r="C1614" i="4"/>
  <c r="R1613" i="4"/>
  <c r="Q1613" i="4"/>
  <c r="P1613" i="4"/>
  <c r="K1613" i="4"/>
  <c r="J1613" i="4"/>
  <c r="D1613" i="4"/>
  <c r="C1613" i="4"/>
  <c r="A1613" i="4" s="1"/>
  <c r="R1612" i="4"/>
  <c r="Q1612" i="4"/>
  <c r="P1612" i="4"/>
  <c r="K1612" i="4"/>
  <c r="J1612" i="4"/>
  <c r="D1612" i="4"/>
  <c r="C1612" i="4"/>
  <c r="A1612" i="4" s="1"/>
  <c r="R1611" i="4"/>
  <c r="Q1611" i="4"/>
  <c r="P1611" i="4"/>
  <c r="K1611" i="4"/>
  <c r="J1611" i="4"/>
  <c r="D1611" i="4"/>
  <c r="C1611" i="4"/>
  <c r="A1611" i="4" s="1"/>
  <c r="R1610" i="4"/>
  <c r="Q1610" i="4"/>
  <c r="P1610" i="4"/>
  <c r="K1610" i="4"/>
  <c r="J1610" i="4"/>
  <c r="D1610" i="4"/>
  <c r="C1610" i="4"/>
  <c r="R1609" i="4"/>
  <c r="Q1609" i="4"/>
  <c r="P1609" i="4"/>
  <c r="K1609" i="4"/>
  <c r="J1609" i="4"/>
  <c r="D1609" i="4"/>
  <c r="C1609" i="4"/>
  <c r="A1609" i="4" s="1"/>
  <c r="R1608" i="4"/>
  <c r="Q1608" i="4"/>
  <c r="P1608" i="4"/>
  <c r="K1608" i="4"/>
  <c r="J1608" i="4"/>
  <c r="D1608" i="4"/>
  <c r="C1608" i="4"/>
  <c r="A1608" i="4" s="1"/>
  <c r="R1607" i="4"/>
  <c r="Q1607" i="4"/>
  <c r="P1607" i="4"/>
  <c r="K1607" i="4"/>
  <c r="J1607" i="4"/>
  <c r="D1607" i="4"/>
  <c r="C1607" i="4"/>
  <c r="R1606" i="4"/>
  <c r="Q1606" i="4"/>
  <c r="P1606" i="4"/>
  <c r="K1606" i="4"/>
  <c r="J1606" i="4"/>
  <c r="D1606" i="4"/>
  <c r="C1606" i="4"/>
  <c r="R1605" i="4"/>
  <c r="Q1605" i="4"/>
  <c r="P1605" i="4"/>
  <c r="K1605" i="4"/>
  <c r="J1605" i="4"/>
  <c r="D1605" i="4"/>
  <c r="C1605" i="4"/>
  <c r="A1605" i="4" s="1"/>
  <c r="R1604" i="4"/>
  <c r="Q1604" i="4"/>
  <c r="P1604" i="4"/>
  <c r="K1604" i="4"/>
  <c r="J1604" i="4"/>
  <c r="D1604" i="4"/>
  <c r="C1604" i="4"/>
  <c r="A1604" i="4" s="1"/>
  <c r="R1603" i="4"/>
  <c r="Q1603" i="4"/>
  <c r="P1603" i="4"/>
  <c r="K1603" i="4"/>
  <c r="J1603" i="4"/>
  <c r="D1603" i="4"/>
  <c r="C1603" i="4"/>
  <c r="A1603" i="4" s="1"/>
  <c r="R1602" i="4"/>
  <c r="Q1602" i="4"/>
  <c r="P1602" i="4"/>
  <c r="K1602" i="4"/>
  <c r="J1602" i="4"/>
  <c r="D1602" i="4"/>
  <c r="C1602" i="4"/>
  <c r="R1601" i="4"/>
  <c r="Q1601" i="4"/>
  <c r="P1601" i="4"/>
  <c r="K1601" i="4"/>
  <c r="J1601" i="4"/>
  <c r="D1601" i="4"/>
  <c r="C1601" i="4"/>
  <c r="A1601" i="4" s="1"/>
  <c r="R1600" i="4"/>
  <c r="Q1600" i="4"/>
  <c r="P1600" i="4"/>
  <c r="K1600" i="4"/>
  <c r="J1600" i="4"/>
  <c r="D1600" i="4"/>
  <c r="C1600" i="4"/>
  <c r="A1600" i="4" s="1"/>
  <c r="R1599" i="4"/>
  <c r="Q1599" i="4"/>
  <c r="P1599" i="4"/>
  <c r="K1599" i="4"/>
  <c r="J1599" i="4"/>
  <c r="D1599" i="4"/>
  <c r="C1599" i="4"/>
  <c r="R1598" i="4"/>
  <c r="Q1598" i="4"/>
  <c r="P1598" i="4"/>
  <c r="K1598" i="4"/>
  <c r="J1598" i="4"/>
  <c r="D1598" i="4"/>
  <c r="C1598" i="4"/>
  <c r="R1597" i="4"/>
  <c r="Q1597" i="4"/>
  <c r="P1597" i="4"/>
  <c r="K1597" i="4"/>
  <c r="J1597" i="4"/>
  <c r="D1597" i="4"/>
  <c r="C1597" i="4"/>
  <c r="A1597" i="4" s="1"/>
  <c r="R1596" i="4"/>
  <c r="Q1596" i="4"/>
  <c r="P1596" i="4"/>
  <c r="K1596" i="4"/>
  <c r="J1596" i="4"/>
  <c r="D1596" i="4"/>
  <c r="C1596" i="4"/>
  <c r="A1596" i="4" s="1"/>
  <c r="R1595" i="4"/>
  <c r="Q1595" i="4"/>
  <c r="P1595" i="4"/>
  <c r="K1595" i="4"/>
  <c r="J1595" i="4"/>
  <c r="D1595" i="4"/>
  <c r="C1595" i="4"/>
  <c r="A1595" i="4" s="1"/>
  <c r="R1594" i="4"/>
  <c r="Q1594" i="4"/>
  <c r="P1594" i="4"/>
  <c r="K1594" i="4"/>
  <c r="J1594" i="4"/>
  <c r="D1594" i="4"/>
  <c r="C1594" i="4"/>
  <c r="R1593" i="4"/>
  <c r="Q1593" i="4"/>
  <c r="P1593" i="4"/>
  <c r="K1593" i="4"/>
  <c r="J1593" i="4"/>
  <c r="D1593" i="4"/>
  <c r="C1593" i="4"/>
  <c r="A1593" i="4" s="1"/>
  <c r="R1592" i="4"/>
  <c r="Q1592" i="4"/>
  <c r="P1592" i="4"/>
  <c r="K1592" i="4"/>
  <c r="J1592" i="4"/>
  <c r="D1592" i="4"/>
  <c r="C1592" i="4"/>
  <c r="A1592" i="4" s="1"/>
  <c r="R1591" i="4"/>
  <c r="Q1591" i="4"/>
  <c r="P1591" i="4"/>
  <c r="K1591" i="4"/>
  <c r="J1591" i="4"/>
  <c r="D1591" i="4"/>
  <c r="C1591" i="4"/>
  <c r="R1590" i="4"/>
  <c r="Q1590" i="4"/>
  <c r="P1590" i="4"/>
  <c r="K1590" i="4"/>
  <c r="J1590" i="4"/>
  <c r="D1590" i="4"/>
  <c r="C1590" i="4"/>
  <c r="R1589" i="4"/>
  <c r="Q1589" i="4"/>
  <c r="P1589" i="4"/>
  <c r="K1589" i="4"/>
  <c r="J1589" i="4"/>
  <c r="D1589" i="4"/>
  <c r="C1589" i="4"/>
  <c r="A1589" i="4" s="1"/>
  <c r="R1588" i="4"/>
  <c r="Q1588" i="4"/>
  <c r="P1588" i="4"/>
  <c r="K1588" i="4"/>
  <c r="J1588" i="4"/>
  <c r="D1588" i="4"/>
  <c r="C1588" i="4"/>
  <c r="A1588" i="4" s="1"/>
  <c r="R1587" i="4"/>
  <c r="Q1587" i="4"/>
  <c r="P1587" i="4"/>
  <c r="K1587" i="4"/>
  <c r="J1587" i="4"/>
  <c r="D1587" i="4"/>
  <c r="C1587" i="4"/>
  <c r="A1587" i="4" s="1"/>
  <c r="R1586" i="4"/>
  <c r="Q1586" i="4"/>
  <c r="P1586" i="4"/>
  <c r="K1586" i="4"/>
  <c r="J1586" i="4"/>
  <c r="D1586" i="4"/>
  <c r="C1586" i="4"/>
  <c r="R1585" i="4"/>
  <c r="Q1585" i="4"/>
  <c r="P1585" i="4"/>
  <c r="K1585" i="4"/>
  <c r="J1585" i="4"/>
  <c r="D1585" i="4"/>
  <c r="C1585" i="4"/>
  <c r="A1585" i="4" s="1"/>
  <c r="R1584" i="4"/>
  <c r="Q1584" i="4"/>
  <c r="P1584" i="4"/>
  <c r="K1584" i="4"/>
  <c r="J1584" i="4"/>
  <c r="D1584" i="4"/>
  <c r="C1584" i="4"/>
  <c r="A1584" i="4" s="1"/>
  <c r="R1583" i="4"/>
  <c r="Q1583" i="4"/>
  <c r="P1583" i="4"/>
  <c r="K1583" i="4"/>
  <c r="J1583" i="4"/>
  <c r="D1583" i="4"/>
  <c r="C1583" i="4"/>
  <c r="R1582" i="4"/>
  <c r="Q1582" i="4"/>
  <c r="P1582" i="4"/>
  <c r="K1582" i="4"/>
  <c r="J1582" i="4"/>
  <c r="D1582" i="4"/>
  <c r="C1582" i="4"/>
  <c r="R1581" i="4"/>
  <c r="Q1581" i="4"/>
  <c r="P1581" i="4"/>
  <c r="K1581" i="4"/>
  <c r="J1581" i="4"/>
  <c r="D1581" i="4"/>
  <c r="C1581" i="4"/>
  <c r="A1581" i="4" s="1"/>
  <c r="R1580" i="4"/>
  <c r="Q1580" i="4"/>
  <c r="P1580" i="4"/>
  <c r="K1580" i="4"/>
  <c r="J1580" i="4"/>
  <c r="D1580" i="4"/>
  <c r="C1580" i="4"/>
  <c r="A1580" i="4" s="1"/>
  <c r="R1579" i="4"/>
  <c r="Q1579" i="4"/>
  <c r="P1579" i="4"/>
  <c r="K1579" i="4"/>
  <c r="J1579" i="4"/>
  <c r="D1579" i="4"/>
  <c r="C1579" i="4"/>
  <c r="A1579" i="4" s="1"/>
  <c r="R1578" i="4"/>
  <c r="Q1578" i="4"/>
  <c r="P1578" i="4"/>
  <c r="K1578" i="4"/>
  <c r="J1578" i="4"/>
  <c r="D1578" i="4"/>
  <c r="C1578" i="4"/>
  <c r="R1577" i="4"/>
  <c r="Q1577" i="4"/>
  <c r="P1577" i="4"/>
  <c r="K1577" i="4"/>
  <c r="J1577" i="4"/>
  <c r="D1577" i="4"/>
  <c r="C1577" i="4"/>
  <c r="A1577" i="4" s="1"/>
  <c r="R1576" i="4"/>
  <c r="Q1576" i="4"/>
  <c r="P1576" i="4"/>
  <c r="K1576" i="4"/>
  <c r="J1576" i="4"/>
  <c r="D1576" i="4"/>
  <c r="C1576" i="4"/>
  <c r="A1576" i="4" s="1"/>
  <c r="R1575" i="4"/>
  <c r="Q1575" i="4"/>
  <c r="P1575" i="4"/>
  <c r="K1575" i="4"/>
  <c r="J1575" i="4"/>
  <c r="D1575" i="4"/>
  <c r="C1575" i="4"/>
  <c r="R1574" i="4"/>
  <c r="Q1574" i="4"/>
  <c r="P1574" i="4"/>
  <c r="K1574" i="4"/>
  <c r="J1574" i="4"/>
  <c r="D1574" i="4"/>
  <c r="C1574" i="4"/>
  <c r="R1573" i="4"/>
  <c r="Q1573" i="4"/>
  <c r="P1573" i="4"/>
  <c r="K1573" i="4"/>
  <c r="J1573" i="4"/>
  <c r="D1573" i="4"/>
  <c r="C1573" i="4"/>
  <c r="A1573" i="4" s="1"/>
  <c r="A1573" i="1" s="1"/>
  <c r="R1572" i="4"/>
  <c r="Q1572" i="4"/>
  <c r="P1572" i="4"/>
  <c r="K1572" i="4"/>
  <c r="J1572" i="4"/>
  <c r="D1572" i="4"/>
  <c r="C1572" i="4"/>
  <c r="A1572" i="4" s="1"/>
  <c r="R1571" i="4"/>
  <c r="Q1571" i="4"/>
  <c r="P1571" i="4"/>
  <c r="K1571" i="4"/>
  <c r="J1571" i="4"/>
  <c r="D1571" i="4"/>
  <c r="C1571" i="4"/>
  <c r="A1571" i="4" s="1"/>
  <c r="R1570" i="4"/>
  <c r="Q1570" i="4"/>
  <c r="P1570" i="4"/>
  <c r="K1570" i="4"/>
  <c r="J1570" i="4"/>
  <c r="D1570" i="4"/>
  <c r="C1570" i="4"/>
  <c r="R1569" i="4"/>
  <c r="Q1569" i="4"/>
  <c r="P1569" i="4"/>
  <c r="K1569" i="4"/>
  <c r="J1569" i="4"/>
  <c r="D1569" i="4"/>
  <c r="C1569" i="4"/>
  <c r="A1569" i="4" s="1"/>
  <c r="R1568" i="4"/>
  <c r="Q1568" i="4"/>
  <c r="P1568" i="4"/>
  <c r="K1568" i="4"/>
  <c r="J1568" i="4"/>
  <c r="D1568" i="4"/>
  <c r="C1568" i="4"/>
  <c r="A1568" i="4" s="1"/>
  <c r="R1567" i="4"/>
  <c r="Q1567" i="4"/>
  <c r="P1567" i="4"/>
  <c r="K1567" i="4"/>
  <c r="J1567" i="4"/>
  <c r="D1567" i="4"/>
  <c r="C1567" i="4"/>
  <c r="R1566" i="4"/>
  <c r="Q1566" i="4"/>
  <c r="P1566" i="4"/>
  <c r="K1566" i="4"/>
  <c r="J1566" i="4"/>
  <c r="D1566" i="4"/>
  <c r="C1566" i="4"/>
  <c r="R1565" i="4"/>
  <c r="Q1565" i="4"/>
  <c r="P1565" i="4"/>
  <c r="K1565" i="4"/>
  <c r="J1565" i="4"/>
  <c r="D1565" i="4"/>
  <c r="C1565" i="4"/>
  <c r="A1565" i="4" s="1"/>
  <c r="R1564" i="4"/>
  <c r="Q1564" i="4"/>
  <c r="P1564" i="4"/>
  <c r="K1564" i="4"/>
  <c r="J1564" i="4"/>
  <c r="D1564" i="4"/>
  <c r="C1564" i="4"/>
  <c r="A1564" i="4" s="1"/>
  <c r="R1563" i="4"/>
  <c r="Q1563" i="4"/>
  <c r="P1563" i="4"/>
  <c r="K1563" i="4"/>
  <c r="J1563" i="4"/>
  <c r="D1563" i="4"/>
  <c r="C1563" i="4"/>
  <c r="A1563" i="4" s="1"/>
  <c r="R1562" i="4"/>
  <c r="Q1562" i="4"/>
  <c r="P1562" i="4"/>
  <c r="K1562" i="4"/>
  <c r="J1562" i="4"/>
  <c r="D1562" i="4"/>
  <c r="C1562" i="4"/>
  <c r="R1561" i="4"/>
  <c r="Q1561" i="4"/>
  <c r="P1561" i="4"/>
  <c r="K1561" i="4"/>
  <c r="J1561" i="4"/>
  <c r="D1561" i="4"/>
  <c r="C1561" i="4"/>
  <c r="A1561" i="4" s="1"/>
  <c r="R1560" i="4"/>
  <c r="Q1560" i="4"/>
  <c r="P1560" i="4"/>
  <c r="K1560" i="4"/>
  <c r="J1560" i="4"/>
  <c r="D1560" i="4"/>
  <c r="C1560" i="4"/>
  <c r="A1560" i="4" s="1"/>
  <c r="R1559" i="4"/>
  <c r="Q1559" i="4"/>
  <c r="P1559" i="4"/>
  <c r="K1559" i="4"/>
  <c r="J1559" i="4"/>
  <c r="D1559" i="4"/>
  <c r="C1559" i="4"/>
  <c r="R1558" i="4"/>
  <c r="Q1558" i="4"/>
  <c r="P1558" i="4"/>
  <c r="K1558" i="4"/>
  <c r="J1558" i="4"/>
  <c r="D1558" i="4"/>
  <c r="C1558" i="4"/>
  <c r="R1557" i="4"/>
  <c r="Q1557" i="4"/>
  <c r="P1557" i="4"/>
  <c r="K1557" i="4"/>
  <c r="J1557" i="4"/>
  <c r="D1557" i="4"/>
  <c r="C1557" i="4"/>
  <c r="A1557" i="4" s="1"/>
  <c r="A1557" i="1" s="1"/>
  <c r="R1556" i="4"/>
  <c r="Q1556" i="4"/>
  <c r="P1556" i="4"/>
  <c r="K1556" i="4"/>
  <c r="J1556" i="4"/>
  <c r="D1556" i="4"/>
  <c r="C1556" i="4"/>
  <c r="A1556" i="4" s="1"/>
  <c r="R1555" i="4"/>
  <c r="Q1555" i="4"/>
  <c r="P1555" i="4"/>
  <c r="K1555" i="4"/>
  <c r="J1555" i="4"/>
  <c r="D1555" i="4"/>
  <c r="C1555" i="4"/>
  <c r="A1555" i="4" s="1"/>
  <c r="R1554" i="4"/>
  <c r="Q1554" i="4"/>
  <c r="P1554" i="4"/>
  <c r="K1554" i="4"/>
  <c r="J1554" i="4"/>
  <c r="D1554" i="4"/>
  <c r="C1554" i="4"/>
  <c r="R1553" i="4"/>
  <c r="Q1553" i="4"/>
  <c r="P1553" i="4"/>
  <c r="K1553" i="4"/>
  <c r="J1553" i="4"/>
  <c r="D1553" i="4"/>
  <c r="C1553" i="4"/>
  <c r="A1553" i="4" s="1"/>
  <c r="R1552" i="4"/>
  <c r="Q1552" i="4"/>
  <c r="P1552" i="4"/>
  <c r="K1552" i="4"/>
  <c r="J1552" i="4"/>
  <c r="D1552" i="4"/>
  <c r="C1552" i="4"/>
  <c r="A1552" i="4" s="1"/>
  <c r="R1551" i="4"/>
  <c r="Q1551" i="4"/>
  <c r="P1551" i="4"/>
  <c r="K1551" i="4"/>
  <c r="J1551" i="4"/>
  <c r="D1551" i="4"/>
  <c r="C1551" i="4"/>
  <c r="R1550" i="4"/>
  <c r="Q1550" i="4"/>
  <c r="P1550" i="4"/>
  <c r="K1550" i="4"/>
  <c r="J1550" i="4"/>
  <c r="D1550" i="4"/>
  <c r="C1550" i="4"/>
  <c r="R1549" i="4"/>
  <c r="Q1549" i="4"/>
  <c r="P1549" i="4"/>
  <c r="K1549" i="4"/>
  <c r="J1549" i="4"/>
  <c r="D1549" i="4"/>
  <c r="C1549" i="4"/>
  <c r="A1549" i="4" s="1"/>
  <c r="R1548" i="4"/>
  <c r="Q1548" i="4"/>
  <c r="P1548" i="4"/>
  <c r="K1548" i="4"/>
  <c r="J1548" i="4"/>
  <c r="D1548" i="4"/>
  <c r="C1548" i="4"/>
  <c r="A1548" i="4" s="1"/>
  <c r="R1547" i="4"/>
  <c r="Q1547" i="4"/>
  <c r="P1547" i="4"/>
  <c r="K1547" i="4"/>
  <c r="J1547" i="4"/>
  <c r="D1547" i="4"/>
  <c r="C1547" i="4"/>
  <c r="A1547" i="4" s="1"/>
  <c r="R1546" i="4"/>
  <c r="Q1546" i="4"/>
  <c r="P1546" i="4"/>
  <c r="K1546" i="4"/>
  <c r="J1546" i="4"/>
  <c r="D1546" i="4"/>
  <c r="C1546" i="4"/>
  <c r="R1545" i="4"/>
  <c r="Q1545" i="4"/>
  <c r="P1545" i="4"/>
  <c r="K1545" i="4"/>
  <c r="J1545" i="4"/>
  <c r="D1545" i="4"/>
  <c r="C1545" i="4"/>
  <c r="A1545" i="4" s="1"/>
  <c r="R1544" i="4"/>
  <c r="Q1544" i="4"/>
  <c r="P1544" i="4"/>
  <c r="K1544" i="4"/>
  <c r="J1544" i="4"/>
  <c r="D1544" i="4"/>
  <c r="C1544" i="4"/>
  <c r="A1544" i="4" s="1"/>
  <c r="R1543" i="4"/>
  <c r="Q1543" i="4"/>
  <c r="P1543" i="4"/>
  <c r="K1543" i="4"/>
  <c r="J1543" i="4"/>
  <c r="D1543" i="4"/>
  <c r="C1543" i="4"/>
  <c r="R1542" i="4"/>
  <c r="Q1542" i="4"/>
  <c r="P1542" i="4"/>
  <c r="K1542" i="4"/>
  <c r="J1542" i="4"/>
  <c r="D1542" i="4"/>
  <c r="C1542" i="4"/>
  <c r="R1541" i="4"/>
  <c r="Q1541" i="4"/>
  <c r="P1541" i="4"/>
  <c r="K1541" i="4"/>
  <c r="J1541" i="4"/>
  <c r="D1541" i="4"/>
  <c r="C1541" i="4"/>
  <c r="A1541" i="4" s="1"/>
  <c r="R1540" i="4"/>
  <c r="Q1540" i="4"/>
  <c r="P1540" i="4"/>
  <c r="K1540" i="4"/>
  <c r="J1540" i="4"/>
  <c r="D1540" i="4"/>
  <c r="C1540" i="4"/>
  <c r="A1540" i="4" s="1"/>
  <c r="R1539" i="4"/>
  <c r="Q1539" i="4"/>
  <c r="P1539" i="4"/>
  <c r="K1539" i="4"/>
  <c r="J1539" i="4"/>
  <c r="D1539" i="4"/>
  <c r="C1539" i="4"/>
  <c r="A1539" i="4" s="1"/>
  <c r="R1538" i="4"/>
  <c r="Q1538" i="4"/>
  <c r="P1538" i="4"/>
  <c r="K1538" i="4"/>
  <c r="J1538" i="4"/>
  <c r="D1538" i="4"/>
  <c r="C1538" i="4"/>
  <c r="R1537" i="4"/>
  <c r="Q1537" i="4"/>
  <c r="P1537" i="4"/>
  <c r="K1537" i="4"/>
  <c r="J1537" i="4"/>
  <c r="D1537" i="4"/>
  <c r="C1537" i="4"/>
  <c r="A1537" i="4" s="1"/>
  <c r="R1536" i="4"/>
  <c r="Q1536" i="4"/>
  <c r="P1536" i="4"/>
  <c r="K1536" i="4"/>
  <c r="J1536" i="4"/>
  <c r="D1536" i="4"/>
  <c r="C1536" i="4"/>
  <c r="A1536" i="4" s="1"/>
  <c r="R1535" i="4"/>
  <c r="Q1535" i="4"/>
  <c r="P1535" i="4"/>
  <c r="K1535" i="4"/>
  <c r="J1535" i="4"/>
  <c r="D1535" i="4"/>
  <c r="C1535" i="4"/>
  <c r="R1534" i="4"/>
  <c r="Q1534" i="4"/>
  <c r="P1534" i="4"/>
  <c r="K1534" i="4"/>
  <c r="J1534" i="4"/>
  <c r="D1534" i="4"/>
  <c r="C1534" i="4"/>
  <c r="R1533" i="4"/>
  <c r="Q1533" i="4"/>
  <c r="P1533" i="4"/>
  <c r="K1533" i="4"/>
  <c r="J1533" i="4"/>
  <c r="D1533" i="4"/>
  <c r="C1533" i="4"/>
  <c r="A1533" i="4" s="1"/>
  <c r="R1532" i="4"/>
  <c r="Q1532" i="4"/>
  <c r="P1532" i="4"/>
  <c r="K1532" i="4"/>
  <c r="J1532" i="4"/>
  <c r="D1532" i="4"/>
  <c r="C1532" i="4"/>
  <c r="A1532" i="4" s="1"/>
  <c r="R1531" i="4"/>
  <c r="Q1531" i="4"/>
  <c r="P1531" i="4"/>
  <c r="K1531" i="4"/>
  <c r="J1531" i="4"/>
  <c r="D1531" i="4"/>
  <c r="C1531" i="4"/>
  <c r="A1531" i="4" s="1"/>
  <c r="R1530" i="4"/>
  <c r="Q1530" i="4"/>
  <c r="P1530" i="4"/>
  <c r="K1530" i="4"/>
  <c r="J1530" i="4"/>
  <c r="D1530" i="4"/>
  <c r="C1530" i="4"/>
  <c r="R1529" i="4"/>
  <c r="Q1529" i="4"/>
  <c r="P1529" i="4"/>
  <c r="K1529" i="4"/>
  <c r="J1529" i="4"/>
  <c r="D1529" i="4"/>
  <c r="C1529" i="4"/>
  <c r="A1529" i="4" s="1"/>
  <c r="R1528" i="4"/>
  <c r="Q1528" i="4"/>
  <c r="P1528" i="4"/>
  <c r="K1528" i="4"/>
  <c r="J1528" i="4"/>
  <c r="D1528" i="4"/>
  <c r="C1528" i="4"/>
  <c r="A1528" i="4" s="1"/>
  <c r="R1527" i="4"/>
  <c r="Q1527" i="4"/>
  <c r="P1527" i="4"/>
  <c r="K1527" i="4"/>
  <c r="J1527" i="4"/>
  <c r="D1527" i="4"/>
  <c r="C1527" i="4"/>
  <c r="R1526" i="4"/>
  <c r="Q1526" i="4"/>
  <c r="P1526" i="4"/>
  <c r="K1526" i="4"/>
  <c r="J1526" i="4"/>
  <c r="D1526" i="4"/>
  <c r="C1526" i="4"/>
  <c r="R1525" i="4"/>
  <c r="Q1525" i="4"/>
  <c r="P1525" i="4"/>
  <c r="K1525" i="4"/>
  <c r="J1525" i="4"/>
  <c r="D1525" i="4"/>
  <c r="C1525" i="4"/>
  <c r="A1525" i="4" s="1"/>
  <c r="R1524" i="4"/>
  <c r="Q1524" i="4"/>
  <c r="P1524" i="4"/>
  <c r="K1524" i="4"/>
  <c r="J1524" i="4"/>
  <c r="D1524" i="4"/>
  <c r="C1524" i="4"/>
  <c r="A1524" i="4" s="1"/>
  <c r="R1523" i="4"/>
  <c r="Q1523" i="4"/>
  <c r="P1523" i="4"/>
  <c r="K1523" i="4"/>
  <c r="J1523" i="4"/>
  <c r="D1523" i="4"/>
  <c r="C1523" i="4"/>
  <c r="A1523" i="4" s="1"/>
  <c r="R1522" i="4"/>
  <c r="Q1522" i="4"/>
  <c r="P1522" i="4"/>
  <c r="K1522" i="4"/>
  <c r="J1522" i="4"/>
  <c r="D1522" i="4"/>
  <c r="C1522" i="4"/>
  <c r="R1521" i="4"/>
  <c r="Q1521" i="4"/>
  <c r="P1521" i="4"/>
  <c r="K1521" i="4"/>
  <c r="J1521" i="4"/>
  <c r="D1521" i="4"/>
  <c r="C1521" i="4"/>
  <c r="A1521" i="4" s="1"/>
  <c r="R1520" i="4"/>
  <c r="Q1520" i="4"/>
  <c r="P1520" i="4"/>
  <c r="K1520" i="4"/>
  <c r="J1520" i="4"/>
  <c r="D1520" i="4"/>
  <c r="C1520" i="4"/>
  <c r="A1520" i="4" s="1"/>
  <c r="R1519" i="4"/>
  <c r="Q1519" i="4"/>
  <c r="P1519" i="4"/>
  <c r="K1519" i="4"/>
  <c r="J1519" i="4"/>
  <c r="D1519" i="4"/>
  <c r="C1519" i="4"/>
  <c r="R1518" i="4"/>
  <c r="Q1518" i="4"/>
  <c r="P1518" i="4"/>
  <c r="K1518" i="4"/>
  <c r="J1518" i="4"/>
  <c r="D1518" i="4"/>
  <c r="C1518" i="4"/>
  <c r="R1517" i="4"/>
  <c r="Q1517" i="4"/>
  <c r="P1517" i="4"/>
  <c r="K1517" i="4"/>
  <c r="J1517" i="4"/>
  <c r="D1517" i="4"/>
  <c r="C1517" i="4"/>
  <c r="A1517" i="4" s="1"/>
  <c r="R1516" i="4"/>
  <c r="Q1516" i="4"/>
  <c r="P1516" i="4"/>
  <c r="K1516" i="4"/>
  <c r="J1516" i="4"/>
  <c r="D1516" i="4"/>
  <c r="C1516" i="4"/>
  <c r="A1516" i="4" s="1"/>
  <c r="R1515" i="4"/>
  <c r="Q1515" i="4"/>
  <c r="P1515" i="4"/>
  <c r="K1515" i="4"/>
  <c r="J1515" i="4"/>
  <c r="D1515" i="4"/>
  <c r="C1515" i="4"/>
  <c r="A1515" i="4" s="1"/>
  <c r="R1514" i="4"/>
  <c r="Q1514" i="4"/>
  <c r="P1514" i="4"/>
  <c r="K1514" i="4"/>
  <c r="J1514" i="4"/>
  <c r="D1514" i="4"/>
  <c r="C1514" i="4"/>
  <c r="R1513" i="4"/>
  <c r="Q1513" i="4"/>
  <c r="P1513" i="4"/>
  <c r="K1513" i="4"/>
  <c r="J1513" i="4"/>
  <c r="D1513" i="4"/>
  <c r="C1513" i="4"/>
  <c r="R1512" i="4"/>
  <c r="Q1512" i="4"/>
  <c r="P1512" i="4"/>
  <c r="K1512" i="4"/>
  <c r="J1512" i="4"/>
  <c r="D1512" i="4"/>
  <c r="C1512" i="4"/>
  <c r="A1512" i="4" s="1"/>
  <c r="R1511" i="4"/>
  <c r="Q1511" i="4"/>
  <c r="P1511" i="4"/>
  <c r="K1511" i="4"/>
  <c r="J1511" i="4"/>
  <c r="D1511" i="4"/>
  <c r="C1511" i="4"/>
  <c r="R1510" i="4"/>
  <c r="Q1510" i="4"/>
  <c r="P1510" i="4"/>
  <c r="K1510" i="4"/>
  <c r="J1510" i="4"/>
  <c r="D1510" i="4"/>
  <c r="C1510" i="4"/>
  <c r="R1509" i="4"/>
  <c r="Q1509" i="4"/>
  <c r="P1509" i="4"/>
  <c r="K1509" i="4"/>
  <c r="J1509" i="4"/>
  <c r="D1509" i="4"/>
  <c r="C1509" i="4"/>
  <c r="A1509" i="4" s="1"/>
  <c r="R1508" i="4"/>
  <c r="Q1508" i="4"/>
  <c r="P1508" i="4"/>
  <c r="K1508" i="4"/>
  <c r="J1508" i="4"/>
  <c r="D1508" i="4"/>
  <c r="C1508" i="4"/>
  <c r="A1508" i="4" s="1"/>
  <c r="R1507" i="4"/>
  <c r="Q1507" i="4"/>
  <c r="P1507" i="4"/>
  <c r="K1507" i="4"/>
  <c r="J1507" i="4"/>
  <c r="D1507" i="4"/>
  <c r="C1507" i="4"/>
  <c r="A1507" i="4" s="1"/>
  <c r="R1506" i="4"/>
  <c r="Q1506" i="4"/>
  <c r="P1506" i="4"/>
  <c r="K1506" i="4"/>
  <c r="J1506" i="4"/>
  <c r="D1506" i="4"/>
  <c r="C1506" i="4"/>
  <c r="R1505" i="4"/>
  <c r="Q1505" i="4"/>
  <c r="P1505" i="4"/>
  <c r="K1505" i="4"/>
  <c r="J1505" i="4"/>
  <c r="D1505" i="4"/>
  <c r="C1505" i="4"/>
  <c r="R1504" i="4"/>
  <c r="Q1504" i="4"/>
  <c r="P1504" i="4"/>
  <c r="K1504" i="4"/>
  <c r="J1504" i="4"/>
  <c r="D1504" i="4"/>
  <c r="C1504" i="4"/>
  <c r="A1504" i="4" s="1"/>
  <c r="R1503" i="4"/>
  <c r="Q1503" i="4"/>
  <c r="P1503" i="4"/>
  <c r="K1503" i="4"/>
  <c r="J1503" i="4"/>
  <c r="D1503" i="4"/>
  <c r="C1503" i="4"/>
  <c r="R1502" i="4"/>
  <c r="Q1502" i="4"/>
  <c r="P1502" i="4"/>
  <c r="K1502" i="4"/>
  <c r="J1502" i="4"/>
  <c r="D1502" i="4"/>
  <c r="C1502" i="4"/>
  <c r="R1501" i="4"/>
  <c r="Q1501" i="4"/>
  <c r="P1501" i="4"/>
  <c r="K1501" i="4"/>
  <c r="J1501" i="4"/>
  <c r="D1501" i="4"/>
  <c r="C1501" i="4"/>
  <c r="A1501" i="4" s="1"/>
  <c r="R1500" i="4"/>
  <c r="Q1500" i="4"/>
  <c r="P1500" i="4"/>
  <c r="K1500" i="4"/>
  <c r="J1500" i="4"/>
  <c r="D1500" i="4"/>
  <c r="C1500" i="4"/>
  <c r="A1500" i="4" s="1"/>
  <c r="R1499" i="4"/>
  <c r="Q1499" i="4"/>
  <c r="P1499" i="4"/>
  <c r="K1499" i="4"/>
  <c r="J1499" i="4"/>
  <c r="D1499" i="4"/>
  <c r="C1499" i="4"/>
  <c r="A1499" i="4" s="1"/>
  <c r="R1498" i="4"/>
  <c r="Q1498" i="4"/>
  <c r="P1498" i="4"/>
  <c r="K1498" i="4"/>
  <c r="J1498" i="4"/>
  <c r="D1498" i="4"/>
  <c r="C1498" i="4"/>
  <c r="R1497" i="4"/>
  <c r="Q1497" i="4"/>
  <c r="P1497" i="4"/>
  <c r="K1497" i="4"/>
  <c r="J1497" i="4"/>
  <c r="D1497" i="4"/>
  <c r="C1497" i="4"/>
  <c r="R1496" i="4"/>
  <c r="Q1496" i="4"/>
  <c r="P1496" i="4"/>
  <c r="K1496" i="4"/>
  <c r="J1496" i="4"/>
  <c r="D1496" i="4"/>
  <c r="C1496" i="4"/>
  <c r="A1496" i="4" s="1"/>
  <c r="R1495" i="4"/>
  <c r="Q1495" i="4"/>
  <c r="P1495" i="4"/>
  <c r="K1495" i="4"/>
  <c r="J1495" i="4"/>
  <c r="D1495" i="4"/>
  <c r="C1495" i="4"/>
  <c r="R1494" i="4"/>
  <c r="Q1494" i="4"/>
  <c r="P1494" i="4"/>
  <c r="K1494" i="4"/>
  <c r="J1494" i="4"/>
  <c r="D1494" i="4"/>
  <c r="C1494" i="4"/>
  <c r="R1493" i="4"/>
  <c r="Q1493" i="4"/>
  <c r="P1493" i="4"/>
  <c r="K1493" i="4"/>
  <c r="J1493" i="4"/>
  <c r="D1493" i="4"/>
  <c r="C1493" i="4"/>
  <c r="A1493" i="4" s="1"/>
  <c r="R1492" i="4"/>
  <c r="Q1492" i="4"/>
  <c r="P1492" i="4"/>
  <c r="K1492" i="4"/>
  <c r="J1492" i="4"/>
  <c r="D1492" i="4"/>
  <c r="C1492" i="4"/>
  <c r="A1492" i="4" s="1"/>
  <c r="R1491" i="4"/>
  <c r="Q1491" i="4"/>
  <c r="P1491" i="4"/>
  <c r="K1491" i="4"/>
  <c r="J1491" i="4"/>
  <c r="D1491" i="4"/>
  <c r="C1491" i="4"/>
  <c r="A1491" i="4" s="1"/>
  <c r="R1490" i="4"/>
  <c r="Q1490" i="4"/>
  <c r="P1490" i="4"/>
  <c r="K1490" i="4"/>
  <c r="J1490" i="4"/>
  <c r="D1490" i="4"/>
  <c r="C1490" i="4"/>
  <c r="R1489" i="4"/>
  <c r="Q1489" i="4"/>
  <c r="P1489" i="4"/>
  <c r="K1489" i="4"/>
  <c r="J1489" i="4"/>
  <c r="D1489" i="4"/>
  <c r="C1489" i="4"/>
  <c r="R1488" i="4"/>
  <c r="Q1488" i="4"/>
  <c r="P1488" i="4"/>
  <c r="K1488" i="4"/>
  <c r="J1488" i="4"/>
  <c r="D1488" i="4"/>
  <c r="C1488" i="4"/>
  <c r="A1488" i="4" s="1"/>
  <c r="R1487" i="4"/>
  <c r="Q1487" i="4"/>
  <c r="P1487" i="4"/>
  <c r="K1487" i="4"/>
  <c r="J1487" i="4"/>
  <c r="D1487" i="4"/>
  <c r="C1487" i="4"/>
  <c r="R1486" i="4"/>
  <c r="Q1486" i="4"/>
  <c r="P1486" i="4"/>
  <c r="K1486" i="4"/>
  <c r="J1486" i="4"/>
  <c r="D1486" i="4"/>
  <c r="C1486" i="4"/>
  <c r="R1485" i="4"/>
  <c r="Q1485" i="4"/>
  <c r="P1485" i="4"/>
  <c r="K1485" i="4"/>
  <c r="J1485" i="4"/>
  <c r="D1485" i="4"/>
  <c r="C1485" i="4"/>
  <c r="A1485" i="4" s="1"/>
  <c r="R1484" i="4"/>
  <c r="Q1484" i="4"/>
  <c r="P1484" i="4"/>
  <c r="K1484" i="4"/>
  <c r="J1484" i="4"/>
  <c r="D1484" i="4"/>
  <c r="C1484" i="4"/>
  <c r="A1484" i="4" s="1"/>
  <c r="R1483" i="4"/>
  <c r="Q1483" i="4"/>
  <c r="P1483" i="4"/>
  <c r="K1483" i="4"/>
  <c r="J1483" i="4"/>
  <c r="D1483" i="4"/>
  <c r="C1483" i="4"/>
  <c r="A1483" i="4" s="1"/>
  <c r="A1483" i="1" s="1"/>
  <c r="R1482" i="4"/>
  <c r="Q1482" i="4"/>
  <c r="P1482" i="4"/>
  <c r="K1482" i="4"/>
  <c r="J1482" i="4"/>
  <c r="D1482" i="4"/>
  <c r="C1482" i="4"/>
  <c r="R1481" i="4"/>
  <c r="Q1481" i="4"/>
  <c r="P1481" i="4"/>
  <c r="K1481" i="4"/>
  <c r="J1481" i="4"/>
  <c r="D1481" i="4"/>
  <c r="C1481" i="4"/>
  <c r="R1480" i="4"/>
  <c r="Q1480" i="4"/>
  <c r="P1480" i="4"/>
  <c r="K1480" i="4"/>
  <c r="J1480" i="4"/>
  <c r="D1480" i="4"/>
  <c r="C1480" i="4"/>
  <c r="A1480" i="4" s="1"/>
  <c r="R1479" i="4"/>
  <c r="Q1479" i="4"/>
  <c r="P1479" i="4"/>
  <c r="K1479" i="4"/>
  <c r="J1479" i="4"/>
  <c r="D1479" i="4"/>
  <c r="C1479" i="4"/>
  <c r="R1478" i="4"/>
  <c r="Q1478" i="4"/>
  <c r="P1478" i="4"/>
  <c r="K1478" i="4"/>
  <c r="J1478" i="4"/>
  <c r="D1478" i="4"/>
  <c r="C1478" i="4"/>
  <c r="R1477" i="4"/>
  <c r="Q1477" i="4"/>
  <c r="P1477" i="4"/>
  <c r="K1477" i="4"/>
  <c r="J1477" i="4"/>
  <c r="D1477" i="4"/>
  <c r="C1477" i="4"/>
  <c r="A1477" i="4" s="1"/>
  <c r="R1476" i="4"/>
  <c r="Q1476" i="4"/>
  <c r="P1476" i="4"/>
  <c r="K1476" i="4"/>
  <c r="J1476" i="4"/>
  <c r="D1476" i="4"/>
  <c r="C1476" i="4"/>
  <c r="A1476" i="4" s="1"/>
  <c r="R1475" i="4"/>
  <c r="Q1475" i="4"/>
  <c r="P1475" i="4"/>
  <c r="K1475" i="4"/>
  <c r="J1475" i="4"/>
  <c r="D1475" i="4"/>
  <c r="C1475" i="4"/>
  <c r="A1475" i="4" s="1"/>
  <c r="R1474" i="4"/>
  <c r="Q1474" i="4"/>
  <c r="P1474" i="4"/>
  <c r="K1474" i="4"/>
  <c r="J1474" i="4"/>
  <c r="D1474" i="4"/>
  <c r="C1474" i="4"/>
  <c r="R1473" i="4"/>
  <c r="Q1473" i="4"/>
  <c r="P1473" i="4"/>
  <c r="K1473" i="4"/>
  <c r="J1473" i="4"/>
  <c r="D1473" i="4"/>
  <c r="C1473" i="4"/>
  <c r="R1472" i="4"/>
  <c r="Q1472" i="4"/>
  <c r="P1472" i="4"/>
  <c r="K1472" i="4"/>
  <c r="J1472" i="4"/>
  <c r="D1472" i="4"/>
  <c r="C1472" i="4"/>
  <c r="A1472" i="4" s="1"/>
  <c r="R1471" i="4"/>
  <c r="Q1471" i="4"/>
  <c r="P1471" i="4"/>
  <c r="K1471" i="4"/>
  <c r="J1471" i="4"/>
  <c r="D1471" i="4"/>
  <c r="C1471" i="4"/>
  <c r="R1470" i="4"/>
  <c r="Q1470" i="4"/>
  <c r="P1470" i="4"/>
  <c r="K1470" i="4"/>
  <c r="J1470" i="4"/>
  <c r="D1470" i="4"/>
  <c r="C1470" i="4"/>
  <c r="R1469" i="4"/>
  <c r="Q1469" i="4"/>
  <c r="P1469" i="4"/>
  <c r="K1469" i="4"/>
  <c r="J1469" i="4"/>
  <c r="D1469" i="4"/>
  <c r="C1469" i="4"/>
  <c r="A1469" i="4" s="1"/>
  <c r="R1468" i="4"/>
  <c r="Q1468" i="4"/>
  <c r="P1468" i="4"/>
  <c r="K1468" i="4"/>
  <c r="J1468" i="4"/>
  <c r="D1468" i="4"/>
  <c r="C1468" i="4"/>
  <c r="A1468" i="4"/>
  <c r="R1467" i="4"/>
  <c r="Q1467" i="4"/>
  <c r="P1467" i="4"/>
  <c r="K1467" i="4"/>
  <c r="J1467" i="4"/>
  <c r="D1467" i="4"/>
  <c r="C1467" i="4"/>
  <c r="A1467" i="4" s="1"/>
  <c r="A1467" i="1" s="1"/>
  <c r="R1466" i="4"/>
  <c r="Q1466" i="4"/>
  <c r="P1466" i="4"/>
  <c r="K1466" i="4"/>
  <c r="J1466" i="4"/>
  <c r="D1466" i="4"/>
  <c r="C1466" i="4"/>
  <c r="A1466" i="4" s="1"/>
  <c r="R1465" i="4"/>
  <c r="Q1465" i="4"/>
  <c r="P1465" i="4"/>
  <c r="K1465" i="4"/>
  <c r="J1465" i="4"/>
  <c r="D1465" i="4"/>
  <c r="C1465" i="4"/>
  <c r="A1465" i="4" s="1"/>
  <c r="R1464" i="4"/>
  <c r="Q1464" i="4"/>
  <c r="P1464" i="4"/>
  <c r="K1464" i="4"/>
  <c r="J1464" i="4"/>
  <c r="D1464" i="4"/>
  <c r="C1464" i="4"/>
  <c r="A1464" i="4" s="1"/>
  <c r="R1463" i="4"/>
  <c r="Q1463" i="4"/>
  <c r="P1463" i="4"/>
  <c r="K1463" i="4"/>
  <c r="J1463" i="4"/>
  <c r="D1463" i="4"/>
  <c r="C1463" i="4"/>
  <c r="A1463" i="4" s="1"/>
  <c r="R1462" i="4"/>
  <c r="Q1462" i="4"/>
  <c r="P1462" i="4"/>
  <c r="K1462" i="4"/>
  <c r="J1462" i="4"/>
  <c r="D1462" i="4"/>
  <c r="C1462" i="4"/>
  <c r="A1462" i="4" s="1"/>
  <c r="R1461" i="4"/>
  <c r="Q1461" i="4"/>
  <c r="P1461" i="4"/>
  <c r="K1461" i="4"/>
  <c r="J1461" i="4"/>
  <c r="D1461" i="4"/>
  <c r="C1461" i="4"/>
  <c r="A1461" i="4" s="1"/>
  <c r="R1460" i="4"/>
  <c r="Q1460" i="4"/>
  <c r="P1460" i="4"/>
  <c r="K1460" i="4"/>
  <c r="J1460" i="4"/>
  <c r="D1460" i="4"/>
  <c r="C1460" i="4"/>
  <c r="A1460" i="4" s="1"/>
  <c r="R1459" i="4"/>
  <c r="Q1459" i="4"/>
  <c r="P1459" i="4"/>
  <c r="K1459" i="4"/>
  <c r="J1459" i="4"/>
  <c r="D1459" i="4"/>
  <c r="C1459" i="4"/>
  <c r="A1459" i="4" s="1"/>
  <c r="R1458" i="4"/>
  <c r="Q1458" i="4"/>
  <c r="P1458" i="4"/>
  <c r="K1458" i="4"/>
  <c r="J1458" i="4"/>
  <c r="D1458" i="4"/>
  <c r="C1458" i="4"/>
  <c r="A1458" i="4" s="1"/>
  <c r="R1457" i="4"/>
  <c r="Q1457" i="4"/>
  <c r="P1457" i="4"/>
  <c r="K1457" i="4"/>
  <c r="J1457" i="4"/>
  <c r="D1457" i="4"/>
  <c r="C1457" i="4"/>
  <c r="A1457" i="4" s="1"/>
  <c r="R1456" i="4"/>
  <c r="Q1456" i="4"/>
  <c r="P1456" i="4"/>
  <c r="K1456" i="4"/>
  <c r="J1456" i="4"/>
  <c r="D1456" i="4"/>
  <c r="C1456" i="4"/>
  <c r="A1456" i="4"/>
  <c r="R1455" i="4"/>
  <c r="Q1455" i="4"/>
  <c r="P1455" i="4"/>
  <c r="K1455" i="4"/>
  <c r="J1455" i="4"/>
  <c r="D1455" i="4"/>
  <c r="C1455" i="4"/>
  <c r="A1455" i="4" s="1"/>
  <c r="R1454" i="4"/>
  <c r="Q1454" i="4"/>
  <c r="P1454" i="4"/>
  <c r="K1454" i="4"/>
  <c r="J1454" i="4"/>
  <c r="D1454" i="4"/>
  <c r="C1454" i="4"/>
  <c r="A1454" i="4" s="1"/>
  <c r="R1453" i="4"/>
  <c r="Q1453" i="4"/>
  <c r="P1453" i="4"/>
  <c r="K1453" i="4"/>
  <c r="J1453" i="4"/>
  <c r="D1453" i="4"/>
  <c r="C1453" i="4"/>
  <c r="A1453" i="4" s="1"/>
  <c r="R1452" i="4"/>
  <c r="Q1452" i="4"/>
  <c r="P1452" i="4"/>
  <c r="K1452" i="4"/>
  <c r="J1452" i="4"/>
  <c r="D1452" i="4"/>
  <c r="C1452" i="4"/>
  <c r="A1452" i="4" s="1"/>
  <c r="R1451" i="4"/>
  <c r="Q1451" i="4"/>
  <c r="P1451" i="4"/>
  <c r="K1451" i="4"/>
  <c r="J1451" i="4"/>
  <c r="D1451" i="4"/>
  <c r="C1451" i="4"/>
  <c r="A1451" i="4" s="1"/>
  <c r="A1451" i="1" s="1"/>
  <c r="R1450" i="4"/>
  <c r="Q1450" i="4"/>
  <c r="P1450" i="4"/>
  <c r="K1450" i="4"/>
  <c r="J1450" i="4"/>
  <c r="D1450" i="4"/>
  <c r="C1450" i="4"/>
  <c r="A1450" i="4"/>
  <c r="R1449" i="4"/>
  <c r="Q1449" i="4"/>
  <c r="P1449" i="4"/>
  <c r="K1449" i="4"/>
  <c r="J1449" i="4"/>
  <c r="D1449" i="4"/>
  <c r="C1449" i="4"/>
  <c r="A1449" i="4" s="1"/>
  <c r="R1448" i="4"/>
  <c r="Q1448" i="4"/>
  <c r="P1448" i="4"/>
  <c r="K1448" i="4"/>
  <c r="J1448" i="4"/>
  <c r="D1448" i="4"/>
  <c r="C1448" i="4"/>
  <c r="A1448" i="4" s="1"/>
  <c r="R1447" i="4"/>
  <c r="Q1447" i="4"/>
  <c r="P1447" i="4"/>
  <c r="K1447" i="4"/>
  <c r="J1447" i="4"/>
  <c r="D1447" i="4"/>
  <c r="C1447" i="4"/>
  <c r="A1447" i="4" s="1"/>
  <c r="R1446" i="4"/>
  <c r="Q1446" i="4"/>
  <c r="P1446" i="4"/>
  <c r="K1446" i="4"/>
  <c r="J1446" i="4"/>
  <c r="D1446" i="4"/>
  <c r="C1446" i="4"/>
  <c r="A1446" i="4" s="1"/>
  <c r="R1445" i="4"/>
  <c r="Q1445" i="4"/>
  <c r="P1445" i="4"/>
  <c r="K1445" i="4"/>
  <c r="J1445" i="4"/>
  <c r="D1445" i="4"/>
  <c r="C1445" i="4"/>
  <c r="A1445" i="4" s="1"/>
  <c r="R1444" i="4"/>
  <c r="Q1444" i="4"/>
  <c r="P1444" i="4"/>
  <c r="K1444" i="4"/>
  <c r="J1444" i="4"/>
  <c r="D1444" i="4"/>
  <c r="C1444" i="4"/>
  <c r="A1444" i="4" s="1"/>
  <c r="R1443" i="4"/>
  <c r="Q1443" i="4"/>
  <c r="P1443" i="4"/>
  <c r="K1443" i="4"/>
  <c r="J1443" i="4"/>
  <c r="D1443" i="4"/>
  <c r="C1443" i="4"/>
  <c r="A1443" i="4" s="1"/>
  <c r="R1442" i="4"/>
  <c r="Q1442" i="4"/>
  <c r="P1442" i="4"/>
  <c r="K1442" i="4"/>
  <c r="J1442" i="4"/>
  <c r="D1442" i="4"/>
  <c r="C1442" i="4"/>
  <c r="A1442" i="4"/>
  <c r="R1441" i="4"/>
  <c r="Q1441" i="4"/>
  <c r="P1441" i="4"/>
  <c r="K1441" i="4"/>
  <c r="J1441" i="4"/>
  <c r="D1441" i="4"/>
  <c r="C1441" i="4"/>
  <c r="A1441" i="4" s="1"/>
  <c r="R1440" i="4"/>
  <c r="Q1440" i="4"/>
  <c r="P1440" i="4"/>
  <c r="K1440" i="4"/>
  <c r="J1440" i="4"/>
  <c r="D1440" i="4"/>
  <c r="C1440" i="4"/>
  <c r="A1440" i="4" s="1"/>
  <c r="R1439" i="4"/>
  <c r="Q1439" i="4"/>
  <c r="P1439" i="4"/>
  <c r="K1439" i="4"/>
  <c r="J1439" i="4"/>
  <c r="D1439" i="4"/>
  <c r="C1439" i="4"/>
  <c r="A1439" i="4" s="1"/>
  <c r="R1438" i="4"/>
  <c r="Q1438" i="4"/>
  <c r="P1438" i="4"/>
  <c r="K1438" i="4"/>
  <c r="J1438" i="4"/>
  <c r="D1438" i="4"/>
  <c r="C1438" i="4"/>
  <c r="A1438" i="4" s="1"/>
  <c r="R1437" i="4"/>
  <c r="Q1437" i="4"/>
  <c r="P1437" i="4"/>
  <c r="K1437" i="4"/>
  <c r="J1437" i="4"/>
  <c r="D1437" i="4"/>
  <c r="C1437" i="4"/>
  <c r="A1437" i="4" s="1"/>
  <c r="R1436" i="4"/>
  <c r="Q1436" i="4"/>
  <c r="P1436" i="4"/>
  <c r="K1436" i="4"/>
  <c r="J1436" i="4"/>
  <c r="D1436" i="4"/>
  <c r="C1436" i="4"/>
  <c r="A1436" i="4"/>
  <c r="R1435" i="4"/>
  <c r="Q1435" i="4"/>
  <c r="P1435" i="4"/>
  <c r="K1435" i="4"/>
  <c r="J1435" i="4"/>
  <c r="D1435" i="4"/>
  <c r="C1435" i="4"/>
  <c r="A1435" i="4" s="1"/>
  <c r="R1434" i="4"/>
  <c r="Q1434" i="4"/>
  <c r="P1434" i="4"/>
  <c r="K1434" i="4"/>
  <c r="J1434" i="4"/>
  <c r="D1434" i="4"/>
  <c r="C1434" i="4"/>
  <c r="A1434" i="4" s="1"/>
  <c r="R1433" i="4"/>
  <c r="Q1433" i="4"/>
  <c r="P1433" i="4"/>
  <c r="K1433" i="4"/>
  <c r="J1433" i="4"/>
  <c r="D1433" i="4"/>
  <c r="C1433" i="4"/>
  <c r="A1433" i="4" s="1"/>
  <c r="R1432" i="4"/>
  <c r="Q1432" i="4"/>
  <c r="P1432" i="4"/>
  <c r="K1432" i="4"/>
  <c r="J1432" i="4"/>
  <c r="D1432" i="4"/>
  <c r="C1432" i="4"/>
  <c r="A1432" i="4" s="1"/>
  <c r="R1431" i="4"/>
  <c r="Q1431" i="4"/>
  <c r="P1431" i="4"/>
  <c r="K1431" i="4"/>
  <c r="J1431" i="4"/>
  <c r="D1431" i="4"/>
  <c r="C1431" i="4"/>
  <c r="A1431" i="4" s="1"/>
  <c r="R1430" i="4"/>
  <c r="Q1430" i="4"/>
  <c r="P1430" i="4"/>
  <c r="K1430" i="4"/>
  <c r="J1430" i="4"/>
  <c r="D1430" i="4"/>
  <c r="C1430" i="4"/>
  <c r="A1430" i="4" s="1"/>
  <c r="R1429" i="4"/>
  <c r="Q1429" i="4"/>
  <c r="P1429" i="4"/>
  <c r="K1429" i="4"/>
  <c r="J1429" i="4"/>
  <c r="D1429" i="4"/>
  <c r="C1429" i="4"/>
  <c r="A1429" i="4" s="1"/>
  <c r="R1428" i="4"/>
  <c r="Q1428" i="4"/>
  <c r="P1428" i="4"/>
  <c r="K1428" i="4"/>
  <c r="J1428" i="4"/>
  <c r="D1428" i="4"/>
  <c r="C1428" i="4"/>
  <c r="A1428" i="4" s="1"/>
  <c r="R1427" i="4"/>
  <c r="Q1427" i="4"/>
  <c r="P1427" i="4"/>
  <c r="K1427" i="4"/>
  <c r="J1427" i="4"/>
  <c r="D1427" i="4"/>
  <c r="C1427" i="4"/>
  <c r="A1427" i="4" s="1"/>
  <c r="A1427" i="1" s="1"/>
  <c r="R1426" i="4"/>
  <c r="Q1426" i="4"/>
  <c r="P1426" i="4"/>
  <c r="K1426" i="4"/>
  <c r="J1426" i="4"/>
  <c r="D1426" i="4"/>
  <c r="C1426" i="4"/>
  <c r="A1426" i="4" s="1"/>
  <c r="R1425" i="4"/>
  <c r="Q1425" i="4"/>
  <c r="P1425" i="4"/>
  <c r="K1425" i="4"/>
  <c r="J1425" i="4"/>
  <c r="D1425" i="4"/>
  <c r="C1425" i="4"/>
  <c r="A1425" i="4" s="1"/>
  <c r="R1424" i="4"/>
  <c r="Q1424" i="4"/>
  <c r="P1424" i="4"/>
  <c r="K1424" i="4"/>
  <c r="J1424" i="4"/>
  <c r="D1424" i="4"/>
  <c r="C1424" i="4"/>
  <c r="A1424" i="4" s="1"/>
  <c r="R1423" i="4"/>
  <c r="Q1423" i="4"/>
  <c r="P1423" i="4"/>
  <c r="K1423" i="4"/>
  <c r="J1423" i="4"/>
  <c r="D1423" i="4"/>
  <c r="C1423" i="4"/>
  <c r="A1423" i="4" s="1"/>
  <c r="R1422" i="4"/>
  <c r="Q1422" i="4"/>
  <c r="P1422" i="4"/>
  <c r="K1422" i="4"/>
  <c r="J1422" i="4"/>
  <c r="D1422" i="4"/>
  <c r="C1422" i="4"/>
  <c r="A1422" i="4" s="1"/>
  <c r="R1421" i="4"/>
  <c r="Q1421" i="4"/>
  <c r="P1421" i="4"/>
  <c r="K1421" i="4"/>
  <c r="J1421" i="4"/>
  <c r="D1421" i="4"/>
  <c r="C1421" i="4"/>
  <c r="A1421" i="4" s="1"/>
  <c r="R1420" i="4"/>
  <c r="Q1420" i="4"/>
  <c r="P1420" i="4"/>
  <c r="K1420" i="4"/>
  <c r="J1420" i="4"/>
  <c r="D1420" i="4"/>
  <c r="C1420" i="4"/>
  <c r="A1420" i="4" s="1"/>
  <c r="R1419" i="4"/>
  <c r="Q1419" i="4"/>
  <c r="P1419" i="4"/>
  <c r="K1419" i="4"/>
  <c r="J1419" i="4"/>
  <c r="D1419" i="4"/>
  <c r="C1419" i="4"/>
  <c r="A1419" i="4" s="1"/>
  <c r="A1419" i="1" s="1"/>
  <c r="R1418" i="4"/>
  <c r="Q1418" i="4"/>
  <c r="P1418" i="4"/>
  <c r="K1418" i="4"/>
  <c r="J1418" i="4"/>
  <c r="D1418" i="4"/>
  <c r="C1418" i="4"/>
  <c r="A1418" i="4" s="1"/>
  <c r="R1417" i="4"/>
  <c r="Q1417" i="4"/>
  <c r="P1417" i="4"/>
  <c r="K1417" i="4"/>
  <c r="J1417" i="4"/>
  <c r="D1417" i="4"/>
  <c r="C1417" i="4"/>
  <c r="A1417" i="4" s="1"/>
  <c r="R1416" i="4"/>
  <c r="Q1416" i="4"/>
  <c r="P1416" i="4"/>
  <c r="K1416" i="4"/>
  <c r="J1416" i="4"/>
  <c r="D1416" i="4"/>
  <c r="C1416" i="4"/>
  <c r="A1416" i="4" s="1"/>
  <c r="R1415" i="4"/>
  <c r="Q1415" i="4"/>
  <c r="P1415" i="4"/>
  <c r="K1415" i="4"/>
  <c r="J1415" i="4"/>
  <c r="D1415" i="4"/>
  <c r="C1415" i="4"/>
  <c r="A1415" i="4" s="1"/>
  <c r="R1414" i="4"/>
  <c r="Q1414" i="4"/>
  <c r="P1414" i="4"/>
  <c r="K1414" i="4"/>
  <c r="J1414" i="4"/>
  <c r="D1414" i="4"/>
  <c r="C1414" i="4"/>
  <c r="A1414" i="4" s="1"/>
  <c r="R1413" i="4"/>
  <c r="Q1413" i="4"/>
  <c r="P1413" i="4"/>
  <c r="K1413" i="4"/>
  <c r="J1413" i="4"/>
  <c r="D1413" i="4"/>
  <c r="C1413" i="4"/>
  <c r="A1413" i="4" s="1"/>
  <c r="R1412" i="4"/>
  <c r="Q1412" i="4"/>
  <c r="P1412" i="4"/>
  <c r="K1412" i="4"/>
  <c r="J1412" i="4"/>
  <c r="D1412" i="4"/>
  <c r="C1412" i="4"/>
  <c r="A1412" i="4" s="1"/>
  <c r="R1411" i="4"/>
  <c r="Q1411" i="4"/>
  <c r="P1411" i="4"/>
  <c r="K1411" i="4"/>
  <c r="J1411" i="4"/>
  <c r="D1411" i="4"/>
  <c r="C1411" i="4"/>
  <c r="A1411" i="4" s="1"/>
  <c r="R1410" i="4"/>
  <c r="Q1410" i="4"/>
  <c r="P1410" i="4"/>
  <c r="K1410" i="4"/>
  <c r="J1410" i="4"/>
  <c r="D1410" i="4"/>
  <c r="C1410" i="4"/>
  <c r="A1410" i="4" s="1"/>
  <c r="R1409" i="4"/>
  <c r="Q1409" i="4"/>
  <c r="P1409" i="4"/>
  <c r="K1409" i="4"/>
  <c r="J1409" i="4"/>
  <c r="D1409" i="4"/>
  <c r="C1409" i="4"/>
  <c r="A1409" i="4" s="1"/>
  <c r="R1408" i="4"/>
  <c r="Q1408" i="4"/>
  <c r="P1408" i="4"/>
  <c r="K1408" i="4"/>
  <c r="J1408" i="4"/>
  <c r="D1408" i="4"/>
  <c r="C1408" i="4"/>
  <c r="A1408" i="4" s="1"/>
  <c r="R1407" i="4"/>
  <c r="Q1407" i="4"/>
  <c r="P1407" i="4"/>
  <c r="K1407" i="4"/>
  <c r="J1407" i="4"/>
  <c r="D1407" i="4"/>
  <c r="C1407" i="4"/>
  <c r="A1407" i="4" s="1"/>
  <c r="R1406" i="4"/>
  <c r="Q1406" i="4"/>
  <c r="P1406" i="4"/>
  <c r="K1406" i="4"/>
  <c r="J1406" i="4"/>
  <c r="D1406" i="4"/>
  <c r="C1406" i="4"/>
  <c r="A1406" i="4" s="1"/>
  <c r="R1405" i="4"/>
  <c r="Q1405" i="4"/>
  <c r="P1405" i="4"/>
  <c r="K1405" i="4"/>
  <c r="J1405" i="4"/>
  <c r="D1405" i="4"/>
  <c r="C1405" i="4"/>
  <c r="A1405" i="4" s="1"/>
  <c r="R1404" i="4"/>
  <c r="Q1404" i="4"/>
  <c r="P1404" i="4"/>
  <c r="K1404" i="4"/>
  <c r="J1404" i="4"/>
  <c r="D1404" i="4"/>
  <c r="C1404" i="4"/>
  <c r="A1404" i="4" s="1"/>
  <c r="R1403" i="4"/>
  <c r="Q1403" i="4"/>
  <c r="P1403" i="4"/>
  <c r="K1403" i="4"/>
  <c r="J1403" i="4"/>
  <c r="D1403" i="4"/>
  <c r="C1403" i="4"/>
  <c r="A1403" i="4" s="1"/>
  <c r="R1402" i="4"/>
  <c r="Q1402" i="4"/>
  <c r="P1402" i="4"/>
  <c r="K1402" i="4"/>
  <c r="J1402" i="4"/>
  <c r="D1402" i="4"/>
  <c r="C1402" i="4"/>
  <c r="A1402" i="4" s="1"/>
  <c r="R1401" i="4"/>
  <c r="Q1401" i="4"/>
  <c r="P1401" i="4"/>
  <c r="K1401" i="4"/>
  <c r="J1401" i="4"/>
  <c r="D1401" i="4"/>
  <c r="C1401" i="4"/>
  <c r="A1401" i="4" s="1"/>
  <c r="R1400" i="4"/>
  <c r="Q1400" i="4"/>
  <c r="P1400" i="4"/>
  <c r="K1400" i="4"/>
  <c r="J1400" i="4"/>
  <c r="D1400" i="4"/>
  <c r="C1400" i="4"/>
  <c r="A1400" i="4" s="1"/>
  <c r="R1399" i="4"/>
  <c r="Q1399" i="4"/>
  <c r="P1399" i="4"/>
  <c r="K1399" i="4"/>
  <c r="J1399" i="4"/>
  <c r="D1399" i="4"/>
  <c r="C1399" i="4"/>
  <c r="A1399" i="4" s="1"/>
  <c r="R1398" i="4"/>
  <c r="Q1398" i="4"/>
  <c r="P1398" i="4"/>
  <c r="K1398" i="4"/>
  <c r="J1398" i="4"/>
  <c r="D1398" i="4"/>
  <c r="C1398" i="4"/>
  <c r="A1398" i="4" s="1"/>
  <c r="R1397" i="4"/>
  <c r="Q1397" i="4"/>
  <c r="P1397" i="4"/>
  <c r="K1397" i="4"/>
  <c r="J1397" i="4"/>
  <c r="D1397" i="4"/>
  <c r="C1397" i="4"/>
  <c r="A1397" i="4" s="1"/>
  <c r="R1396" i="4"/>
  <c r="Q1396" i="4"/>
  <c r="P1396" i="4"/>
  <c r="K1396" i="4"/>
  <c r="J1396" i="4"/>
  <c r="D1396" i="4"/>
  <c r="C1396" i="4"/>
  <c r="A1396" i="4" s="1"/>
  <c r="R1395" i="4"/>
  <c r="Q1395" i="4"/>
  <c r="P1395" i="4"/>
  <c r="K1395" i="4"/>
  <c r="J1395" i="4"/>
  <c r="D1395" i="4"/>
  <c r="C1395" i="4"/>
  <c r="A1395" i="4" s="1"/>
  <c r="R1394" i="4"/>
  <c r="Q1394" i="4"/>
  <c r="P1394" i="4"/>
  <c r="K1394" i="4"/>
  <c r="J1394" i="4"/>
  <c r="D1394" i="4"/>
  <c r="C1394" i="4"/>
  <c r="A1394" i="4" s="1"/>
  <c r="R1393" i="4"/>
  <c r="Q1393" i="4"/>
  <c r="P1393" i="4"/>
  <c r="K1393" i="4"/>
  <c r="J1393" i="4"/>
  <c r="D1393" i="4"/>
  <c r="C1393" i="4"/>
  <c r="A1393" i="4" s="1"/>
  <c r="R1392" i="4"/>
  <c r="Q1392" i="4"/>
  <c r="P1392" i="4"/>
  <c r="K1392" i="4"/>
  <c r="J1392" i="4"/>
  <c r="D1392" i="4"/>
  <c r="C1392" i="4"/>
  <c r="A1392" i="4" s="1"/>
  <c r="R1391" i="4"/>
  <c r="Q1391" i="4"/>
  <c r="P1391" i="4"/>
  <c r="K1391" i="4"/>
  <c r="J1391" i="4"/>
  <c r="D1391" i="4"/>
  <c r="C1391" i="4"/>
  <c r="A1391" i="4" s="1"/>
  <c r="R1390" i="4"/>
  <c r="Q1390" i="4"/>
  <c r="P1390" i="4"/>
  <c r="K1390" i="4"/>
  <c r="J1390" i="4"/>
  <c r="D1390" i="4"/>
  <c r="C1390" i="4"/>
  <c r="A1390" i="4" s="1"/>
  <c r="R1389" i="4"/>
  <c r="Q1389" i="4"/>
  <c r="P1389" i="4"/>
  <c r="K1389" i="4"/>
  <c r="J1389" i="4"/>
  <c r="D1389" i="4"/>
  <c r="C1389" i="4"/>
  <c r="A1389" i="4" s="1"/>
  <c r="R1388" i="4"/>
  <c r="Q1388" i="4"/>
  <c r="P1388" i="4"/>
  <c r="K1388" i="4"/>
  <c r="J1388" i="4"/>
  <c r="D1388" i="4"/>
  <c r="C1388" i="4"/>
  <c r="A1388" i="4" s="1"/>
  <c r="R1387" i="4"/>
  <c r="Q1387" i="4"/>
  <c r="P1387" i="4"/>
  <c r="K1387" i="4"/>
  <c r="J1387" i="4"/>
  <c r="D1387" i="4"/>
  <c r="C1387" i="4"/>
  <c r="A1387" i="4" s="1"/>
  <c r="R1386" i="4"/>
  <c r="Q1386" i="4"/>
  <c r="P1386" i="4"/>
  <c r="K1386" i="4"/>
  <c r="J1386" i="4"/>
  <c r="D1386" i="4"/>
  <c r="C1386" i="4"/>
  <c r="A1386" i="4" s="1"/>
  <c r="R1385" i="4"/>
  <c r="Q1385" i="4"/>
  <c r="P1385" i="4"/>
  <c r="K1385" i="4"/>
  <c r="J1385" i="4"/>
  <c r="D1385" i="4"/>
  <c r="C1385" i="4"/>
  <c r="A1385" i="4" s="1"/>
  <c r="R1384" i="4"/>
  <c r="Q1384" i="4"/>
  <c r="P1384" i="4"/>
  <c r="K1384" i="4"/>
  <c r="J1384" i="4"/>
  <c r="D1384" i="4"/>
  <c r="C1384" i="4"/>
  <c r="A1384" i="4" s="1"/>
  <c r="R1383" i="4"/>
  <c r="Q1383" i="4"/>
  <c r="P1383" i="4"/>
  <c r="K1383" i="4"/>
  <c r="J1383" i="4"/>
  <c r="D1383" i="4"/>
  <c r="C1383" i="4"/>
  <c r="A1383" i="4" s="1"/>
  <c r="R1382" i="4"/>
  <c r="Q1382" i="4"/>
  <c r="P1382" i="4"/>
  <c r="K1382" i="4"/>
  <c r="J1382" i="4"/>
  <c r="D1382" i="4"/>
  <c r="C1382" i="4"/>
  <c r="A1382" i="4" s="1"/>
  <c r="R1381" i="4"/>
  <c r="Q1381" i="4"/>
  <c r="P1381" i="4"/>
  <c r="K1381" i="4"/>
  <c r="J1381" i="4"/>
  <c r="D1381" i="4"/>
  <c r="C1381" i="4"/>
  <c r="A1381" i="4" s="1"/>
  <c r="R1380" i="4"/>
  <c r="Q1380" i="4"/>
  <c r="P1380" i="4"/>
  <c r="K1380" i="4"/>
  <c r="J1380" i="4"/>
  <c r="D1380" i="4"/>
  <c r="C1380" i="4"/>
  <c r="A1380" i="4" s="1"/>
  <c r="R1379" i="4"/>
  <c r="Q1379" i="4"/>
  <c r="P1379" i="4"/>
  <c r="K1379" i="4"/>
  <c r="J1379" i="4"/>
  <c r="D1379" i="4"/>
  <c r="C1379" i="4"/>
  <c r="A1379" i="4" s="1"/>
  <c r="R1378" i="4"/>
  <c r="Q1378" i="4"/>
  <c r="P1378" i="4"/>
  <c r="K1378" i="4"/>
  <c r="J1378" i="4"/>
  <c r="D1378" i="4"/>
  <c r="C1378" i="4"/>
  <c r="A1378" i="4" s="1"/>
  <c r="R1377" i="4"/>
  <c r="Q1377" i="4"/>
  <c r="P1377" i="4"/>
  <c r="K1377" i="4"/>
  <c r="J1377" i="4"/>
  <c r="D1377" i="4"/>
  <c r="C1377" i="4"/>
  <c r="A1377" i="4" s="1"/>
  <c r="R1376" i="4"/>
  <c r="Q1376" i="4"/>
  <c r="P1376" i="4"/>
  <c r="K1376" i="4"/>
  <c r="J1376" i="4"/>
  <c r="D1376" i="4"/>
  <c r="C1376" i="4"/>
  <c r="A1376" i="4" s="1"/>
  <c r="R1375" i="4"/>
  <c r="Q1375" i="4"/>
  <c r="P1375" i="4"/>
  <c r="K1375" i="4"/>
  <c r="J1375" i="4"/>
  <c r="D1375" i="4"/>
  <c r="C1375" i="4"/>
  <c r="A1375" i="4" s="1"/>
  <c r="R1374" i="4"/>
  <c r="Q1374" i="4"/>
  <c r="P1374" i="4"/>
  <c r="K1374" i="4"/>
  <c r="J1374" i="4"/>
  <c r="D1374" i="4"/>
  <c r="C1374" i="4"/>
  <c r="A1374" i="4" s="1"/>
  <c r="R1373" i="4"/>
  <c r="Q1373" i="4"/>
  <c r="P1373" i="4"/>
  <c r="K1373" i="4"/>
  <c r="J1373" i="4"/>
  <c r="D1373" i="4"/>
  <c r="C1373" i="4"/>
  <c r="A1373" i="4" s="1"/>
  <c r="R1372" i="4"/>
  <c r="Q1372" i="4"/>
  <c r="P1372" i="4"/>
  <c r="K1372" i="4"/>
  <c r="J1372" i="4"/>
  <c r="D1372" i="4"/>
  <c r="C1372" i="4"/>
  <c r="A1372" i="4" s="1"/>
  <c r="R1371" i="4"/>
  <c r="Q1371" i="4"/>
  <c r="P1371" i="4"/>
  <c r="K1371" i="4"/>
  <c r="J1371" i="4"/>
  <c r="D1371" i="4"/>
  <c r="C1371" i="4"/>
  <c r="A1371" i="4" s="1"/>
  <c r="R1370" i="4"/>
  <c r="Q1370" i="4"/>
  <c r="P1370" i="4"/>
  <c r="K1370" i="4"/>
  <c r="J1370" i="4"/>
  <c r="D1370" i="4"/>
  <c r="C1370" i="4"/>
  <c r="A1370" i="4" s="1"/>
  <c r="R1369" i="4"/>
  <c r="Q1369" i="4"/>
  <c r="P1369" i="4"/>
  <c r="K1369" i="4"/>
  <c r="J1369" i="4"/>
  <c r="D1369" i="4"/>
  <c r="C1369" i="4"/>
  <c r="A1369" i="4" s="1"/>
  <c r="R1368" i="4"/>
  <c r="Q1368" i="4"/>
  <c r="P1368" i="4"/>
  <c r="K1368" i="4"/>
  <c r="J1368" i="4"/>
  <c r="D1368" i="4"/>
  <c r="C1368" i="4"/>
  <c r="A1368" i="4" s="1"/>
  <c r="R1367" i="4"/>
  <c r="Q1367" i="4"/>
  <c r="P1367" i="4"/>
  <c r="K1367" i="4"/>
  <c r="J1367" i="4"/>
  <c r="D1367" i="4"/>
  <c r="C1367" i="4"/>
  <c r="A1367" i="4" s="1"/>
  <c r="R1366" i="4"/>
  <c r="Q1366" i="4"/>
  <c r="P1366" i="4"/>
  <c r="K1366" i="4"/>
  <c r="J1366" i="4"/>
  <c r="D1366" i="4"/>
  <c r="C1366" i="4"/>
  <c r="A1366" i="4" s="1"/>
  <c r="R1365" i="4"/>
  <c r="Q1365" i="4"/>
  <c r="P1365" i="4"/>
  <c r="K1365" i="4"/>
  <c r="J1365" i="4"/>
  <c r="D1365" i="4"/>
  <c r="C1365" i="4"/>
  <c r="A1365" i="4" s="1"/>
  <c r="R1364" i="4"/>
  <c r="Q1364" i="4"/>
  <c r="P1364" i="4"/>
  <c r="K1364" i="4"/>
  <c r="J1364" i="4"/>
  <c r="D1364" i="4"/>
  <c r="C1364" i="4"/>
  <c r="A1364" i="4" s="1"/>
  <c r="R1363" i="4"/>
  <c r="Q1363" i="4"/>
  <c r="P1363" i="4"/>
  <c r="K1363" i="4"/>
  <c r="J1363" i="4"/>
  <c r="D1363" i="4"/>
  <c r="C1363" i="4"/>
  <c r="A1363" i="4" s="1"/>
  <c r="R1362" i="4"/>
  <c r="Q1362" i="4"/>
  <c r="P1362" i="4"/>
  <c r="K1362" i="4"/>
  <c r="J1362" i="4"/>
  <c r="D1362" i="4"/>
  <c r="C1362" i="4"/>
  <c r="A1362" i="4" s="1"/>
  <c r="R1361" i="4"/>
  <c r="Q1361" i="4"/>
  <c r="P1361" i="4"/>
  <c r="K1361" i="4"/>
  <c r="J1361" i="4"/>
  <c r="D1361" i="4"/>
  <c r="C1361" i="4"/>
  <c r="A1361" i="4" s="1"/>
  <c r="R1360" i="4"/>
  <c r="Q1360" i="4"/>
  <c r="P1360" i="4"/>
  <c r="K1360" i="4"/>
  <c r="J1360" i="4"/>
  <c r="D1360" i="4"/>
  <c r="C1360" i="4"/>
  <c r="A1360" i="4" s="1"/>
  <c r="R1359" i="4"/>
  <c r="Q1359" i="4"/>
  <c r="P1359" i="4"/>
  <c r="K1359" i="4"/>
  <c r="J1359" i="4"/>
  <c r="D1359" i="4"/>
  <c r="C1359" i="4"/>
  <c r="A1359" i="4" s="1"/>
  <c r="R1358" i="4"/>
  <c r="Q1358" i="4"/>
  <c r="P1358" i="4"/>
  <c r="K1358" i="4"/>
  <c r="J1358" i="4"/>
  <c r="D1358" i="4"/>
  <c r="C1358" i="4"/>
  <c r="A1358" i="4" s="1"/>
  <c r="R1357" i="4"/>
  <c r="Q1357" i="4"/>
  <c r="P1357" i="4"/>
  <c r="K1357" i="4"/>
  <c r="J1357" i="4"/>
  <c r="D1357" i="4"/>
  <c r="C1357" i="4"/>
  <c r="A1357" i="4" s="1"/>
  <c r="R1356" i="4"/>
  <c r="Q1356" i="4"/>
  <c r="P1356" i="4"/>
  <c r="K1356" i="4"/>
  <c r="J1356" i="4"/>
  <c r="D1356" i="4"/>
  <c r="C1356" i="4"/>
  <c r="A1356" i="4" s="1"/>
  <c r="R1355" i="4"/>
  <c r="Q1355" i="4"/>
  <c r="P1355" i="4"/>
  <c r="K1355" i="4"/>
  <c r="J1355" i="4"/>
  <c r="D1355" i="4"/>
  <c r="C1355" i="4"/>
  <c r="A1355" i="4" s="1"/>
  <c r="R1354" i="4"/>
  <c r="Q1354" i="4"/>
  <c r="P1354" i="4"/>
  <c r="K1354" i="4"/>
  <c r="J1354" i="4"/>
  <c r="D1354" i="4"/>
  <c r="C1354" i="4"/>
  <c r="A1354" i="4" s="1"/>
  <c r="R1353" i="4"/>
  <c r="Q1353" i="4"/>
  <c r="P1353" i="4"/>
  <c r="K1353" i="4"/>
  <c r="J1353" i="4"/>
  <c r="D1353" i="4"/>
  <c r="C1353" i="4"/>
  <c r="A1353" i="4" s="1"/>
  <c r="R1352" i="4"/>
  <c r="Q1352" i="4"/>
  <c r="P1352" i="4"/>
  <c r="K1352" i="4"/>
  <c r="J1352" i="4"/>
  <c r="D1352" i="4"/>
  <c r="C1352" i="4"/>
  <c r="A1352" i="4" s="1"/>
  <c r="R1351" i="4"/>
  <c r="Q1351" i="4"/>
  <c r="P1351" i="4"/>
  <c r="K1351" i="4"/>
  <c r="J1351" i="4"/>
  <c r="D1351" i="4"/>
  <c r="C1351" i="4"/>
  <c r="A1351" i="4" s="1"/>
  <c r="R1350" i="4"/>
  <c r="Q1350" i="4"/>
  <c r="P1350" i="4"/>
  <c r="K1350" i="4"/>
  <c r="J1350" i="4"/>
  <c r="D1350" i="4"/>
  <c r="C1350" i="4"/>
  <c r="A1350" i="4" s="1"/>
  <c r="R1349" i="4"/>
  <c r="Q1349" i="4"/>
  <c r="P1349" i="4"/>
  <c r="K1349" i="4"/>
  <c r="J1349" i="4"/>
  <c r="D1349" i="4"/>
  <c r="C1349" i="4"/>
  <c r="A1349" i="4" s="1"/>
  <c r="R1348" i="4"/>
  <c r="Q1348" i="4"/>
  <c r="P1348" i="4"/>
  <c r="K1348" i="4"/>
  <c r="J1348" i="4"/>
  <c r="D1348" i="4"/>
  <c r="C1348" i="4"/>
  <c r="A1348" i="4" s="1"/>
  <c r="R1347" i="4"/>
  <c r="Q1347" i="4"/>
  <c r="P1347" i="4"/>
  <c r="K1347" i="4"/>
  <c r="J1347" i="4"/>
  <c r="D1347" i="4"/>
  <c r="C1347" i="4"/>
  <c r="A1347" i="4" s="1"/>
  <c r="R1346" i="4"/>
  <c r="Q1346" i="4"/>
  <c r="P1346" i="4"/>
  <c r="K1346" i="4"/>
  <c r="J1346" i="4"/>
  <c r="D1346" i="4"/>
  <c r="C1346" i="4"/>
  <c r="A1346" i="4" s="1"/>
  <c r="R1345" i="4"/>
  <c r="Q1345" i="4"/>
  <c r="P1345" i="4"/>
  <c r="K1345" i="4"/>
  <c r="J1345" i="4"/>
  <c r="D1345" i="4"/>
  <c r="C1345" i="4"/>
  <c r="A1345" i="4" s="1"/>
  <c r="R1344" i="4"/>
  <c r="Q1344" i="4"/>
  <c r="P1344" i="4"/>
  <c r="K1344" i="4"/>
  <c r="J1344" i="4"/>
  <c r="D1344" i="4"/>
  <c r="C1344" i="4"/>
  <c r="A1344" i="4" s="1"/>
  <c r="R1343" i="4"/>
  <c r="Q1343" i="4"/>
  <c r="P1343" i="4"/>
  <c r="K1343" i="4"/>
  <c r="J1343" i="4"/>
  <c r="D1343" i="4"/>
  <c r="C1343" i="4"/>
  <c r="A1343" i="4" s="1"/>
  <c r="A1343" i="1" s="1"/>
  <c r="R1342" i="4"/>
  <c r="Q1342" i="4"/>
  <c r="P1342" i="4"/>
  <c r="K1342" i="4"/>
  <c r="J1342" i="4"/>
  <c r="D1342" i="4"/>
  <c r="C1342" i="4"/>
  <c r="A1342" i="4" s="1"/>
  <c r="R1341" i="4"/>
  <c r="Q1341" i="4"/>
  <c r="P1341" i="4"/>
  <c r="K1341" i="4"/>
  <c r="J1341" i="4"/>
  <c r="D1341" i="4"/>
  <c r="C1341" i="4"/>
  <c r="A1341" i="4" s="1"/>
  <c r="R1340" i="4"/>
  <c r="Q1340" i="4"/>
  <c r="P1340" i="4"/>
  <c r="K1340" i="4"/>
  <c r="J1340" i="4"/>
  <c r="D1340" i="4"/>
  <c r="C1340" i="4"/>
  <c r="A1340" i="4" s="1"/>
  <c r="R1339" i="4"/>
  <c r="Q1339" i="4"/>
  <c r="P1339" i="4"/>
  <c r="K1339" i="4"/>
  <c r="J1339" i="4"/>
  <c r="D1339" i="4"/>
  <c r="C1339" i="4"/>
  <c r="A1339" i="4" s="1"/>
  <c r="R1338" i="4"/>
  <c r="Q1338" i="4"/>
  <c r="P1338" i="4"/>
  <c r="K1338" i="4"/>
  <c r="J1338" i="4"/>
  <c r="D1338" i="4"/>
  <c r="C1338" i="4"/>
  <c r="A1338" i="4" s="1"/>
  <c r="R1337" i="4"/>
  <c r="Q1337" i="4"/>
  <c r="P1337" i="4"/>
  <c r="K1337" i="4"/>
  <c r="J1337" i="4"/>
  <c r="D1337" i="4"/>
  <c r="C1337" i="4"/>
  <c r="A1337" i="4" s="1"/>
  <c r="R1336" i="4"/>
  <c r="Q1336" i="4"/>
  <c r="P1336" i="4"/>
  <c r="K1336" i="4"/>
  <c r="J1336" i="4"/>
  <c r="D1336" i="4"/>
  <c r="C1336" i="4"/>
  <c r="A1336" i="4" s="1"/>
  <c r="R1335" i="4"/>
  <c r="Q1335" i="4"/>
  <c r="P1335" i="4"/>
  <c r="K1335" i="4"/>
  <c r="J1335" i="4"/>
  <c r="D1335" i="4"/>
  <c r="C1335" i="4"/>
  <c r="A1335" i="4" s="1"/>
  <c r="R1334" i="4"/>
  <c r="Q1334" i="4"/>
  <c r="P1334" i="4"/>
  <c r="K1334" i="4"/>
  <c r="J1334" i="4"/>
  <c r="D1334" i="4"/>
  <c r="C1334" i="4"/>
  <c r="A1334" i="4" s="1"/>
  <c r="R1333" i="4"/>
  <c r="Q1333" i="4"/>
  <c r="P1333" i="4"/>
  <c r="K1333" i="4"/>
  <c r="J1333" i="4"/>
  <c r="D1333" i="4"/>
  <c r="C1333" i="4"/>
  <c r="A1333" i="4" s="1"/>
  <c r="R1332" i="4"/>
  <c r="Q1332" i="4"/>
  <c r="P1332" i="4"/>
  <c r="K1332" i="4"/>
  <c r="J1332" i="4"/>
  <c r="D1332" i="4"/>
  <c r="C1332" i="4"/>
  <c r="A1332" i="4" s="1"/>
  <c r="R1331" i="4"/>
  <c r="Q1331" i="4"/>
  <c r="P1331" i="4"/>
  <c r="K1331" i="4"/>
  <c r="J1331" i="4"/>
  <c r="D1331" i="4"/>
  <c r="C1331" i="4"/>
  <c r="A1331" i="4" s="1"/>
  <c r="R1330" i="4"/>
  <c r="Q1330" i="4"/>
  <c r="P1330" i="4"/>
  <c r="K1330" i="4"/>
  <c r="J1330" i="4"/>
  <c r="D1330" i="4"/>
  <c r="C1330" i="4"/>
  <c r="A1330" i="4" s="1"/>
  <c r="R1329" i="4"/>
  <c r="Q1329" i="4"/>
  <c r="P1329" i="4"/>
  <c r="K1329" i="4"/>
  <c r="J1329" i="4"/>
  <c r="D1329" i="4"/>
  <c r="C1329" i="4"/>
  <c r="A1329" i="4" s="1"/>
  <c r="R1328" i="4"/>
  <c r="Q1328" i="4"/>
  <c r="P1328" i="4"/>
  <c r="K1328" i="4"/>
  <c r="J1328" i="4"/>
  <c r="D1328" i="4"/>
  <c r="C1328" i="4"/>
  <c r="A1328" i="4" s="1"/>
  <c r="R1327" i="4"/>
  <c r="Q1327" i="4"/>
  <c r="P1327" i="4"/>
  <c r="K1327" i="4"/>
  <c r="J1327" i="4"/>
  <c r="D1327" i="4"/>
  <c r="C1327" i="4"/>
  <c r="A1327" i="4" s="1"/>
  <c r="R1326" i="4"/>
  <c r="Q1326" i="4"/>
  <c r="P1326" i="4"/>
  <c r="K1326" i="4"/>
  <c r="J1326" i="4"/>
  <c r="D1326" i="4"/>
  <c r="C1326" i="4"/>
  <c r="A1326" i="4" s="1"/>
  <c r="R1325" i="4"/>
  <c r="Q1325" i="4"/>
  <c r="P1325" i="4"/>
  <c r="K1325" i="4"/>
  <c r="J1325" i="4"/>
  <c r="D1325" i="4"/>
  <c r="C1325" i="4"/>
  <c r="A1325" i="4" s="1"/>
  <c r="R1324" i="4"/>
  <c r="Q1324" i="4"/>
  <c r="P1324" i="4"/>
  <c r="K1324" i="4"/>
  <c r="J1324" i="4"/>
  <c r="D1324" i="4"/>
  <c r="C1324" i="4"/>
  <c r="A1324" i="4" s="1"/>
  <c r="R1323" i="4"/>
  <c r="Q1323" i="4"/>
  <c r="P1323" i="4"/>
  <c r="K1323" i="4"/>
  <c r="J1323" i="4"/>
  <c r="D1323" i="4"/>
  <c r="C1323" i="4"/>
  <c r="A1323" i="4" s="1"/>
  <c r="R1322" i="4"/>
  <c r="Q1322" i="4"/>
  <c r="P1322" i="4"/>
  <c r="K1322" i="4"/>
  <c r="J1322" i="4"/>
  <c r="D1322" i="4"/>
  <c r="C1322" i="4"/>
  <c r="A1322" i="4" s="1"/>
  <c r="R1321" i="4"/>
  <c r="Q1321" i="4"/>
  <c r="P1321" i="4"/>
  <c r="K1321" i="4"/>
  <c r="J1321" i="4"/>
  <c r="D1321" i="4"/>
  <c r="C1321" i="4"/>
  <c r="A1321" i="4" s="1"/>
  <c r="R1320" i="4"/>
  <c r="Q1320" i="4"/>
  <c r="P1320" i="4"/>
  <c r="K1320" i="4"/>
  <c r="J1320" i="4"/>
  <c r="D1320" i="4"/>
  <c r="C1320" i="4"/>
  <c r="A1320" i="4" s="1"/>
  <c r="R1319" i="4"/>
  <c r="Q1319" i="4"/>
  <c r="P1319" i="4"/>
  <c r="K1319" i="4"/>
  <c r="J1319" i="4"/>
  <c r="D1319" i="4"/>
  <c r="C1319" i="4"/>
  <c r="A1319" i="4" s="1"/>
  <c r="R1318" i="4"/>
  <c r="Q1318" i="4"/>
  <c r="P1318" i="4"/>
  <c r="K1318" i="4"/>
  <c r="J1318" i="4"/>
  <c r="D1318" i="4"/>
  <c r="C1318" i="4"/>
  <c r="A1318" i="4" s="1"/>
  <c r="R1317" i="4"/>
  <c r="Q1317" i="4"/>
  <c r="P1317" i="4"/>
  <c r="K1317" i="4"/>
  <c r="J1317" i="4"/>
  <c r="D1317" i="4"/>
  <c r="C1317" i="4"/>
  <c r="A1317" i="4" s="1"/>
  <c r="R1316" i="4"/>
  <c r="Q1316" i="4"/>
  <c r="P1316" i="4"/>
  <c r="K1316" i="4"/>
  <c r="J1316" i="4"/>
  <c r="D1316" i="4"/>
  <c r="C1316" i="4"/>
  <c r="A1316" i="4" s="1"/>
  <c r="R1315" i="4"/>
  <c r="Q1315" i="4"/>
  <c r="P1315" i="4"/>
  <c r="K1315" i="4"/>
  <c r="J1315" i="4"/>
  <c r="D1315" i="4"/>
  <c r="C1315" i="4"/>
  <c r="A1315" i="4" s="1"/>
  <c r="R1314" i="4"/>
  <c r="Q1314" i="4"/>
  <c r="P1314" i="4"/>
  <c r="K1314" i="4"/>
  <c r="J1314" i="4"/>
  <c r="D1314" i="4"/>
  <c r="C1314" i="4"/>
  <c r="A1314" i="4" s="1"/>
  <c r="R1313" i="4"/>
  <c r="Q1313" i="4"/>
  <c r="P1313" i="4"/>
  <c r="K1313" i="4"/>
  <c r="J1313" i="4"/>
  <c r="D1313" i="4"/>
  <c r="C1313" i="4"/>
  <c r="A1313" i="4" s="1"/>
  <c r="R1312" i="4"/>
  <c r="Q1312" i="4"/>
  <c r="P1312" i="4"/>
  <c r="K1312" i="4"/>
  <c r="J1312" i="4"/>
  <c r="D1312" i="4"/>
  <c r="C1312" i="4"/>
  <c r="A1312" i="4" s="1"/>
  <c r="R1311" i="4"/>
  <c r="Q1311" i="4"/>
  <c r="P1311" i="4"/>
  <c r="K1311" i="4"/>
  <c r="J1311" i="4"/>
  <c r="D1311" i="4"/>
  <c r="C1311" i="4"/>
  <c r="A1311" i="4" s="1"/>
  <c r="A1311" i="1" s="1"/>
  <c r="R1310" i="4"/>
  <c r="Q1310" i="4"/>
  <c r="P1310" i="4"/>
  <c r="K1310" i="4"/>
  <c r="J1310" i="4"/>
  <c r="D1310" i="4"/>
  <c r="C1310" i="4"/>
  <c r="A1310" i="4" s="1"/>
  <c r="R1309" i="4"/>
  <c r="Q1309" i="4"/>
  <c r="P1309" i="4"/>
  <c r="K1309" i="4"/>
  <c r="J1309" i="4"/>
  <c r="D1309" i="4"/>
  <c r="C1309" i="4"/>
  <c r="A1309" i="4" s="1"/>
  <c r="R1308" i="4"/>
  <c r="Q1308" i="4"/>
  <c r="P1308" i="4"/>
  <c r="K1308" i="4"/>
  <c r="J1308" i="4"/>
  <c r="D1308" i="4"/>
  <c r="C1308" i="4"/>
  <c r="A1308" i="4" s="1"/>
  <c r="R1307" i="4"/>
  <c r="Q1307" i="4"/>
  <c r="P1307" i="4"/>
  <c r="K1307" i="4"/>
  <c r="J1307" i="4"/>
  <c r="D1307" i="4"/>
  <c r="C1307" i="4"/>
  <c r="A1307" i="4" s="1"/>
  <c r="R1306" i="4"/>
  <c r="Q1306" i="4"/>
  <c r="P1306" i="4"/>
  <c r="K1306" i="4"/>
  <c r="J1306" i="4"/>
  <c r="D1306" i="4"/>
  <c r="C1306" i="4"/>
  <c r="A1306" i="4" s="1"/>
  <c r="R1305" i="4"/>
  <c r="Q1305" i="4"/>
  <c r="P1305" i="4"/>
  <c r="K1305" i="4"/>
  <c r="J1305" i="4"/>
  <c r="D1305" i="4"/>
  <c r="C1305" i="4"/>
  <c r="A1305" i="4" s="1"/>
  <c r="R1304" i="4"/>
  <c r="Q1304" i="4"/>
  <c r="P1304" i="4"/>
  <c r="K1304" i="4"/>
  <c r="J1304" i="4"/>
  <c r="D1304" i="4"/>
  <c r="C1304" i="4"/>
  <c r="A1304" i="4" s="1"/>
  <c r="R1303" i="4"/>
  <c r="Q1303" i="4"/>
  <c r="P1303" i="4"/>
  <c r="K1303" i="4"/>
  <c r="J1303" i="4"/>
  <c r="D1303" i="4"/>
  <c r="C1303" i="4"/>
  <c r="A1303" i="4" s="1"/>
  <c r="R1302" i="4"/>
  <c r="Q1302" i="4"/>
  <c r="P1302" i="4"/>
  <c r="K1302" i="4"/>
  <c r="J1302" i="4"/>
  <c r="D1302" i="4"/>
  <c r="C1302" i="4"/>
  <c r="A1302" i="4" s="1"/>
  <c r="R1301" i="4"/>
  <c r="Q1301" i="4"/>
  <c r="P1301" i="4"/>
  <c r="K1301" i="4"/>
  <c r="J1301" i="4"/>
  <c r="D1301" i="4"/>
  <c r="C1301" i="4"/>
  <c r="A1301" i="4" s="1"/>
  <c r="R1300" i="4"/>
  <c r="Q1300" i="4"/>
  <c r="P1300" i="4"/>
  <c r="K1300" i="4"/>
  <c r="J1300" i="4"/>
  <c r="D1300" i="4"/>
  <c r="C1300" i="4"/>
  <c r="A1300" i="4" s="1"/>
  <c r="R1299" i="4"/>
  <c r="Q1299" i="4"/>
  <c r="P1299" i="4"/>
  <c r="K1299" i="4"/>
  <c r="J1299" i="4"/>
  <c r="D1299" i="4"/>
  <c r="C1299" i="4"/>
  <c r="A1299" i="4" s="1"/>
  <c r="R1298" i="4"/>
  <c r="Q1298" i="4"/>
  <c r="P1298" i="4"/>
  <c r="K1298" i="4"/>
  <c r="J1298" i="4"/>
  <c r="D1298" i="4"/>
  <c r="C1298" i="4"/>
  <c r="A1298" i="4" s="1"/>
  <c r="R1297" i="4"/>
  <c r="Q1297" i="4"/>
  <c r="P1297" i="4"/>
  <c r="K1297" i="4"/>
  <c r="J1297" i="4"/>
  <c r="D1297" i="4"/>
  <c r="C1297" i="4"/>
  <c r="A1297" i="4" s="1"/>
  <c r="R1296" i="4"/>
  <c r="Q1296" i="4"/>
  <c r="P1296" i="4"/>
  <c r="K1296" i="4"/>
  <c r="J1296" i="4"/>
  <c r="D1296" i="4"/>
  <c r="C1296" i="4"/>
  <c r="A1296" i="4" s="1"/>
  <c r="R1295" i="4"/>
  <c r="Q1295" i="4"/>
  <c r="P1295" i="4"/>
  <c r="K1295" i="4"/>
  <c r="J1295" i="4"/>
  <c r="D1295" i="4"/>
  <c r="C1295" i="4"/>
  <c r="A1295" i="4" s="1"/>
  <c r="R1294" i="4"/>
  <c r="Q1294" i="4"/>
  <c r="P1294" i="4"/>
  <c r="K1294" i="4"/>
  <c r="J1294" i="4"/>
  <c r="D1294" i="4"/>
  <c r="C1294" i="4"/>
  <c r="A1294" i="4" s="1"/>
  <c r="R1293" i="4"/>
  <c r="Q1293" i="4"/>
  <c r="P1293" i="4"/>
  <c r="K1293" i="4"/>
  <c r="J1293" i="4"/>
  <c r="D1293" i="4"/>
  <c r="C1293" i="4"/>
  <c r="A1293" i="4" s="1"/>
  <c r="R1292" i="4"/>
  <c r="Q1292" i="4"/>
  <c r="P1292" i="4"/>
  <c r="K1292" i="4"/>
  <c r="J1292" i="4"/>
  <c r="D1292" i="4"/>
  <c r="C1292" i="4"/>
  <c r="A1292" i="4" s="1"/>
  <c r="R1291" i="4"/>
  <c r="Q1291" i="4"/>
  <c r="P1291" i="4"/>
  <c r="K1291" i="4"/>
  <c r="J1291" i="4"/>
  <c r="D1291" i="4"/>
  <c r="C1291" i="4"/>
  <c r="A1291" i="4" s="1"/>
  <c r="R1290" i="4"/>
  <c r="Q1290" i="4"/>
  <c r="P1290" i="4"/>
  <c r="K1290" i="4"/>
  <c r="J1290" i="4"/>
  <c r="D1290" i="4"/>
  <c r="C1290" i="4"/>
  <c r="A1290" i="4" s="1"/>
  <c r="R1289" i="4"/>
  <c r="Q1289" i="4"/>
  <c r="P1289" i="4"/>
  <c r="K1289" i="4"/>
  <c r="J1289" i="4"/>
  <c r="D1289" i="4"/>
  <c r="C1289" i="4"/>
  <c r="A1289" i="4" s="1"/>
  <c r="R1288" i="4"/>
  <c r="Q1288" i="4"/>
  <c r="P1288" i="4"/>
  <c r="K1288" i="4"/>
  <c r="J1288" i="4"/>
  <c r="D1288" i="4"/>
  <c r="C1288" i="4"/>
  <c r="A1288" i="4" s="1"/>
  <c r="R1287" i="4"/>
  <c r="Q1287" i="4"/>
  <c r="P1287" i="4"/>
  <c r="K1287" i="4"/>
  <c r="J1287" i="4"/>
  <c r="D1287" i="4"/>
  <c r="C1287" i="4"/>
  <c r="A1287" i="4" s="1"/>
  <c r="R1286" i="4"/>
  <c r="Q1286" i="4"/>
  <c r="P1286" i="4"/>
  <c r="K1286" i="4"/>
  <c r="J1286" i="4"/>
  <c r="D1286" i="4"/>
  <c r="C1286" i="4"/>
  <c r="A1286" i="4" s="1"/>
  <c r="R1285" i="4"/>
  <c r="Q1285" i="4"/>
  <c r="P1285" i="4"/>
  <c r="K1285" i="4"/>
  <c r="J1285" i="4"/>
  <c r="D1285" i="4"/>
  <c r="C1285" i="4"/>
  <c r="A1285" i="4" s="1"/>
  <c r="R1284" i="4"/>
  <c r="Q1284" i="4"/>
  <c r="P1284" i="4"/>
  <c r="K1284" i="4"/>
  <c r="J1284" i="4"/>
  <c r="D1284" i="4"/>
  <c r="C1284" i="4"/>
  <c r="A1284" i="4" s="1"/>
  <c r="R1283" i="4"/>
  <c r="Q1283" i="4"/>
  <c r="P1283" i="4"/>
  <c r="K1283" i="4"/>
  <c r="J1283" i="4"/>
  <c r="D1283" i="4"/>
  <c r="C1283" i="4"/>
  <c r="A1283" i="4" s="1"/>
  <c r="R1282" i="4"/>
  <c r="Q1282" i="4"/>
  <c r="P1282" i="4"/>
  <c r="K1282" i="4"/>
  <c r="J1282" i="4"/>
  <c r="D1282" i="4"/>
  <c r="C1282" i="4"/>
  <c r="A1282" i="4" s="1"/>
  <c r="R1281" i="4"/>
  <c r="Q1281" i="4"/>
  <c r="P1281" i="4"/>
  <c r="K1281" i="4"/>
  <c r="J1281" i="4"/>
  <c r="D1281" i="4"/>
  <c r="C1281" i="4"/>
  <c r="A1281" i="4" s="1"/>
  <c r="R1280" i="4"/>
  <c r="Q1280" i="4"/>
  <c r="P1280" i="4"/>
  <c r="K1280" i="4"/>
  <c r="J1280" i="4"/>
  <c r="D1280" i="4"/>
  <c r="C1280" i="4"/>
  <c r="A1280" i="4" s="1"/>
  <c r="R1279" i="4"/>
  <c r="Q1279" i="4"/>
  <c r="P1279" i="4"/>
  <c r="K1279" i="4"/>
  <c r="J1279" i="4"/>
  <c r="D1279" i="4"/>
  <c r="C1279" i="4"/>
  <c r="A1279" i="4" s="1"/>
  <c r="A1279" i="1" s="1"/>
  <c r="R1278" i="4"/>
  <c r="Q1278" i="4"/>
  <c r="P1278" i="4"/>
  <c r="K1278" i="4"/>
  <c r="J1278" i="4"/>
  <c r="D1278" i="4"/>
  <c r="C1278" i="4"/>
  <c r="A1278" i="4" s="1"/>
  <c r="R1277" i="4"/>
  <c r="Q1277" i="4"/>
  <c r="P1277" i="4"/>
  <c r="K1277" i="4"/>
  <c r="J1277" i="4"/>
  <c r="D1277" i="4"/>
  <c r="C1277" i="4"/>
  <c r="A1277" i="4" s="1"/>
  <c r="R1276" i="4"/>
  <c r="Q1276" i="4"/>
  <c r="P1276" i="4"/>
  <c r="K1276" i="4"/>
  <c r="J1276" i="4"/>
  <c r="D1276" i="4"/>
  <c r="C1276" i="4"/>
  <c r="A1276" i="4" s="1"/>
  <c r="R1275" i="4"/>
  <c r="Q1275" i="4"/>
  <c r="P1275" i="4"/>
  <c r="K1275" i="4"/>
  <c r="J1275" i="4"/>
  <c r="D1275" i="4"/>
  <c r="C1275" i="4"/>
  <c r="A1275" i="4" s="1"/>
  <c r="R1274" i="4"/>
  <c r="Q1274" i="4"/>
  <c r="P1274" i="4"/>
  <c r="K1274" i="4"/>
  <c r="J1274" i="4"/>
  <c r="D1274" i="4"/>
  <c r="C1274" i="4"/>
  <c r="A1274" i="4" s="1"/>
  <c r="R1273" i="4"/>
  <c r="Q1273" i="4"/>
  <c r="P1273" i="4"/>
  <c r="K1273" i="4"/>
  <c r="J1273" i="4"/>
  <c r="D1273" i="4"/>
  <c r="C1273" i="4"/>
  <c r="A1273" i="4" s="1"/>
  <c r="R1272" i="4"/>
  <c r="Q1272" i="4"/>
  <c r="P1272" i="4"/>
  <c r="K1272" i="4"/>
  <c r="J1272" i="4"/>
  <c r="D1272" i="4"/>
  <c r="C1272" i="4"/>
  <c r="A1272" i="4" s="1"/>
  <c r="R1271" i="4"/>
  <c r="Q1271" i="4"/>
  <c r="P1271" i="4"/>
  <c r="K1271" i="4"/>
  <c r="J1271" i="4"/>
  <c r="D1271" i="4"/>
  <c r="C1271" i="4"/>
  <c r="A1271" i="4" s="1"/>
  <c r="A1271" i="1" s="1"/>
  <c r="R1270" i="4"/>
  <c r="Q1270" i="4"/>
  <c r="P1270" i="4"/>
  <c r="K1270" i="4"/>
  <c r="J1270" i="4"/>
  <c r="D1270" i="4"/>
  <c r="C1270" i="4"/>
  <c r="A1270" i="4" s="1"/>
  <c r="R1269" i="4"/>
  <c r="Q1269" i="4"/>
  <c r="P1269" i="4"/>
  <c r="K1269" i="4"/>
  <c r="J1269" i="4"/>
  <c r="D1269" i="4"/>
  <c r="C1269" i="4"/>
  <c r="A1269" i="4" s="1"/>
  <c r="R1268" i="4"/>
  <c r="Q1268" i="4"/>
  <c r="P1268" i="4"/>
  <c r="K1268" i="4"/>
  <c r="J1268" i="4"/>
  <c r="D1268" i="4"/>
  <c r="C1268" i="4"/>
  <c r="A1268" i="4" s="1"/>
  <c r="R1267" i="4"/>
  <c r="Q1267" i="4"/>
  <c r="P1267" i="4"/>
  <c r="K1267" i="4"/>
  <c r="J1267" i="4"/>
  <c r="D1267" i="4"/>
  <c r="C1267" i="4"/>
  <c r="A1267" i="4" s="1"/>
  <c r="R1266" i="4"/>
  <c r="Q1266" i="4"/>
  <c r="P1266" i="4"/>
  <c r="K1266" i="4"/>
  <c r="J1266" i="4"/>
  <c r="D1266" i="4"/>
  <c r="C1266" i="4"/>
  <c r="A1266" i="4" s="1"/>
  <c r="R1265" i="4"/>
  <c r="Q1265" i="4"/>
  <c r="P1265" i="4"/>
  <c r="K1265" i="4"/>
  <c r="J1265" i="4"/>
  <c r="D1265" i="4"/>
  <c r="C1265" i="4"/>
  <c r="A1265" i="4" s="1"/>
  <c r="R1264" i="4"/>
  <c r="Q1264" i="4"/>
  <c r="P1264" i="4"/>
  <c r="K1264" i="4"/>
  <c r="J1264" i="4"/>
  <c r="D1264" i="4"/>
  <c r="C1264" i="4"/>
  <c r="A1264" i="4" s="1"/>
  <c r="R1263" i="4"/>
  <c r="Q1263" i="4"/>
  <c r="P1263" i="4"/>
  <c r="K1263" i="4"/>
  <c r="J1263" i="4"/>
  <c r="D1263" i="4"/>
  <c r="C1263" i="4"/>
  <c r="A1263" i="4" s="1"/>
  <c r="A1263" i="1" s="1"/>
  <c r="R1262" i="4"/>
  <c r="Q1262" i="4"/>
  <c r="P1262" i="4"/>
  <c r="K1262" i="4"/>
  <c r="J1262" i="4"/>
  <c r="D1262" i="4"/>
  <c r="C1262" i="4"/>
  <c r="A1262" i="4" s="1"/>
  <c r="R1261" i="4"/>
  <c r="Q1261" i="4"/>
  <c r="P1261" i="4"/>
  <c r="K1261" i="4"/>
  <c r="J1261" i="4"/>
  <c r="D1261" i="4"/>
  <c r="C1261" i="4"/>
  <c r="A1261" i="4" s="1"/>
  <c r="R1260" i="4"/>
  <c r="Q1260" i="4"/>
  <c r="P1260" i="4"/>
  <c r="K1260" i="4"/>
  <c r="J1260" i="4"/>
  <c r="D1260" i="4"/>
  <c r="C1260" i="4"/>
  <c r="A1260" i="4" s="1"/>
  <c r="R1259" i="4"/>
  <c r="Q1259" i="4"/>
  <c r="P1259" i="4"/>
  <c r="K1259" i="4"/>
  <c r="J1259" i="4"/>
  <c r="D1259" i="4"/>
  <c r="C1259" i="4"/>
  <c r="A1259" i="4" s="1"/>
  <c r="R1258" i="4"/>
  <c r="Q1258" i="4"/>
  <c r="P1258" i="4"/>
  <c r="K1258" i="4"/>
  <c r="J1258" i="4"/>
  <c r="D1258" i="4"/>
  <c r="C1258" i="4"/>
  <c r="A1258" i="4" s="1"/>
  <c r="R1257" i="4"/>
  <c r="Q1257" i="4"/>
  <c r="P1257" i="4"/>
  <c r="K1257" i="4"/>
  <c r="J1257" i="4"/>
  <c r="D1257" i="4"/>
  <c r="C1257" i="4"/>
  <c r="A1257" i="4" s="1"/>
  <c r="R1256" i="4"/>
  <c r="Q1256" i="4"/>
  <c r="P1256" i="4"/>
  <c r="K1256" i="4"/>
  <c r="J1256" i="4"/>
  <c r="D1256" i="4"/>
  <c r="C1256" i="4"/>
  <c r="A1256" i="4" s="1"/>
  <c r="R1255" i="4"/>
  <c r="Q1255" i="4"/>
  <c r="P1255" i="4"/>
  <c r="K1255" i="4"/>
  <c r="J1255" i="4"/>
  <c r="D1255" i="4"/>
  <c r="C1255" i="4"/>
  <c r="A1255" i="4" s="1"/>
  <c r="A1255" i="1" s="1"/>
  <c r="R1254" i="4"/>
  <c r="Q1254" i="4"/>
  <c r="P1254" i="4"/>
  <c r="K1254" i="4"/>
  <c r="J1254" i="4"/>
  <c r="D1254" i="4"/>
  <c r="C1254" i="4"/>
  <c r="A1254" i="4" s="1"/>
  <c r="R1253" i="4"/>
  <c r="Q1253" i="4"/>
  <c r="P1253" i="4"/>
  <c r="K1253" i="4"/>
  <c r="J1253" i="4"/>
  <c r="D1253" i="4"/>
  <c r="C1253" i="4"/>
  <c r="A1253" i="4" s="1"/>
  <c r="R1252" i="4"/>
  <c r="Q1252" i="4"/>
  <c r="P1252" i="4"/>
  <c r="K1252" i="4"/>
  <c r="J1252" i="4"/>
  <c r="D1252" i="4"/>
  <c r="C1252" i="4"/>
  <c r="A1252" i="4" s="1"/>
  <c r="R1251" i="4"/>
  <c r="Q1251" i="4"/>
  <c r="P1251" i="4"/>
  <c r="K1251" i="4"/>
  <c r="J1251" i="4"/>
  <c r="D1251" i="4"/>
  <c r="C1251" i="4"/>
  <c r="A1251" i="4" s="1"/>
  <c r="R1250" i="4"/>
  <c r="Q1250" i="4"/>
  <c r="P1250" i="4"/>
  <c r="K1250" i="4"/>
  <c r="J1250" i="4"/>
  <c r="D1250" i="4"/>
  <c r="C1250" i="4"/>
  <c r="A1250" i="4" s="1"/>
  <c r="R1249" i="4"/>
  <c r="Q1249" i="4"/>
  <c r="P1249" i="4"/>
  <c r="K1249" i="4"/>
  <c r="J1249" i="4"/>
  <c r="D1249" i="4"/>
  <c r="C1249" i="4"/>
  <c r="A1249" i="4" s="1"/>
  <c r="R1248" i="4"/>
  <c r="Q1248" i="4"/>
  <c r="P1248" i="4"/>
  <c r="K1248" i="4"/>
  <c r="J1248" i="4"/>
  <c r="D1248" i="4"/>
  <c r="C1248" i="4"/>
  <c r="A1248" i="4" s="1"/>
  <c r="R1247" i="4"/>
  <c r="Q1247" i="4"/>
  <c r="P1247" i="4"/>
  <c r="K1247" i="4"/>
  <c r="J1247" i="4"/>
  <c r="D1247" i="4"/>
  <c r="C1247" i="4"/>
  <c r="A1247" i="4" s="1"/>
  <c r="A1247" i="1" s="1"/>
  <c r="R1246" i="4"/>
  <c r="Q1246" i="4"/>
  <c r="P1246" i="4"/>
  <c r="K1246" i="4"/>
  <c r="J1246" i="4"/>
  <c r="D1246" i="4"/>
  <c r="C1246" i="4"/>
  <c r="A1246" i="4" s="1"/>
  <c r="R1245" i="4"/>
  <c r="Q1245" i="4"/>
  <c r="P1245" i="4"/>
  <c r="K1245" i="4"/>
  <c r="J1245" i="4"/>
  <c r="D1245" i="4"/>
  <c r="C1245" i="4"/>
  <c r="A1245" i="4" s="1"/>
  <c r="R1244" i="4"/>
  <c r="Q1244" i="4"/>
  <c r="P1244" i="4"/>
  <c r="K1244" i="4"/>
  <c r="J1244" i="4"/>
  <c r="D1244" i="4"/>
  <c r="C1244" i="4"/>
  <c r="A1244" i="4" s="1"/>
  <c r="R1243" i="4"/>
  <c r="Q1243" i="4"/>
  <c r="P1243" i="4"/>
  <c r="K1243" i="4"/>
  <c r="J1243" i="4"/>
  <c r="D1243" i="4"/>
  <c r="C1243" i="4"/>
  <c r="A1243" i="4" s="1"/>
  <c r="R1242" i="4"/>
  <c r="Q1242" i="4"/>
  <c r="P1242" i="4"/>
  <c r="K1242" i="4"/>
  <c r="J1242" i="4"/>
  <c r="D1242" i="4"/>
  <c r="C1242" i="4"/>
  <c r="A1242" i="4" s="1"/>
  <c r="R1241" i="4"/>
  <c r="Q1241" i="4"/>
  <c r="P1241" i="4"/>
  <c r="K1241" i="4"/>
  <c r="J1241" i="4"/>
  <c r="D1241" i="4"/>
  <c r="C1241" i="4"/>
  <c r="A1241" i="4" s="1"/>
  <c r="R1240" i="4"/>
  <c r="Q1240" i="4"/>
  <c r="P1240" i="4"/>
  <c r="K1240" i="4"/>
  <c r="J1240" i="4"/>
  <c r="D1240" i="4"/>
  <c r="C1240" i="4"/>
  <c r="A1240" i="4" s="1"/>
  <c r="R1239" i="4"/>
  <c r="Q1239" i="4"/>
  <c r="P1239" i="4"/>
  <c r="K1239" i="4"/>
  <c r="J1239" i="4"/>
  <c r="D1239" i="4"/>
  <c r="C1239" i="4"/>
  <c r="A1239" i="4" s="1"/>
  <c r="A1239" i="1" s="1"/>
  <c r="R1238" i="4"/>
  <c r="Q1238" i="4"/>
  <c r="P1238" i="4"/>
  <c r="K1238" i="4"/>
  <c r="J1238" i="4"/>
  <c r="D1238" i="4"/>
  <c r="C1238" i="4"/>
  <c r="A1238" i="4" s="1"/>
  <c r="R1237" i="4"/>
  <c r="Q1237" i="4"/>
  <c r="P1237" i="4"/>
  <c r="K1237" i="4"/>
  <c r="J1237" i="4"/>
  <c r="D1237" i="4"/>
  <c r="C1237" i="4"/>
  <c r="A1237" i="4" s="1"/>
  <c r="R1236" i="4"/>
  <c r="Q1236" i="4"/>
  <c r="P1236" i="4"/>
  <c r="K1236" i="4"/>
  <c r="J1236" i="4"/>
  <c r="D1236" i="4"/>
  <c r="C1236" i="4"/>
  <c r="A1236" i="4" s="1"/>
  <c r="R1235" i="4"/>
  <c r="Q1235" i="4"/>
  <c r="P1235" i="4"/>
  <c r="K1235" i="4"/>
  <c r="J1235" i="4"/>
  <c r="D1235" i="4"/>
  <c r="C1235" i="4"/>
  <c r="A1235" i="4" s="1"/>
  <c r="R1234" i="4"/>
  <c r="Q1234" i="4"/>
  <c r="P1234" i="4"/>
  <c r="K1234" i="4"/>
  <c r="J1234" i="4"/>
  <c r="D1234" i="4"/>
  <c r="C1234" i="4"/>
  <c r="A1234" i="4" s="1"/>
  <c r="R1233" i="4"/>
  <c r="Q1233" i="4"/>
  <c r="P1233" i="4"/>
  <c r="K1233" i="4"/>
  <c r="J1233" i="4"/>
  <c r="D1233" i="4"/>
  <c r="C1233" i="4"/>
  <c r="A1233" i="4" s="1"/>
  <c r="R1232" i="4"/>
  <c r="Q1232" i="4"/>
  <c r="P1232" i="4"/>
  <c r="K1232" i="4"/>
  <c r="J1232" i="4"/>
  <c r="D1232" i="4"/>
  <c r="C1232" i="4"/>
  <c r="A1232" i="4" s="1"/>
  <c r="R1231" i="4"/>
  <c r="Q1231" i="4"/>
  <c r="P1231" i="4"/>
  <c r="K1231" i="4"/>
  <c r="J1231" i="4"/>
  <c r="D1231" i="4"/>
  <c r="C1231" i="4"/>
  <c r="A1231" i="4" s="1"/>
  <c r="A1231" i="1" s="1"/>
  <c r="R1230" i="4"/>
  <c r="Q1230" i="4"/>
  <c r="P1230" i="4"/>
  <c r="K1230" i="4"/>
  <c r="J1230" i="4"/>
  <c r="D1230" i="4"/>
  <c r="C1230" i="4"/>
  <c r="A1230" i="4" s="1"/>
  <c r="R1229" i="4"/>
  <c r="Q1229" i="4"/>
  <c r="P1229" i="4"/>
  <c r="K1229" i="4"/>
  <c r="J1229" i="4"/>
  <c r="D1229" i="4"/>
  <c r="C1229" i="4"/>
  <c r="A1229" i="4" s="1"/>
  <c r="R1228" i="4"/>
  <c r="Q1228" i="4"/>
  <c r="P1228" i="4"/>
  <c r="K1228" i="4"/>
  <c r="J1228" i="4"/>
  <c r="D1228" i="4"/>
  <c r="C1228" i="4"/>
  <c r="A1228" i="4" s="1"/>
  <c r="R1227" i="4"/>
  <c r="Q1227" i="4"/>
  <c r="P1227" i="4"/>
  <c r="K1227" i="4"/>
  <c r="J1227" i="4"/>
  <c r="D1227" i="4"/>
  <c r="C1227" i="4"/>
  <c r="A1227" i="4" s="1"/>
  <c r="R1226" i="4"/>
  <c r="Q1226" i="4"/>
  <c r="P1226" i="4"/>
  <c r="K1226" i="4"/>
  <c r="J1226" i="4"/>
  <c r="D1226" i="4"/>
  <c r="C1226" i="4"/>
  <c r="A1226" i="4" s="1"/>
  <c r="R1225" i="4"/>
  <c r="Q1225" i="4"/>
  <c r="P1225" i="4"/>
  <c r="K1225" i="4"/>
  <c r="J1225" i="4"/>
  <c r="D1225" i="4"/>
  <c r="C1225" i="4"/>
  <c r="A1225" i="4" s="1"/>
  <c r="R1224" i="4"/>
  <c r="Q1224" i="4"/>
  <c r="P1224" i="4"/>
  <c r="K1224" i="4"/>
  <c r="J1224" i="4"/>
  <c r="D1224" i="4"/>
  <c r="C1224" i="4"/>
  <c r="A1224" i="4" s="1"/>
  <c r="R1223" i="4"/>
  <c r="Q1223" i="4"/>
  <c r="P1223" i="4"/>
  <c r="K1223" i="4"/>
  <c r="J1223" i="4"/>
  <c r="D1223" i="4"/>
  <c r="C1223" i="4"/>
  <c r="A1223" i="4" s="1"/>
  <c r="A1223" i="1" s="1"/>
  <c r="R1222" i="4"/>
  <c r="Q1222" i="4"/>
  <c r="P1222" i="4"/>
  <c r="K1222" i="4"/>
  <c r="J1222" i="4"/>
  <c r="D1222" i="4"/>
  <c r="C1222" i="4"/>
  <c r="A1222" i="4" s="1"/>
  <c r="R1221" i="4"/>
  <c r="Q1221" i="4"/>
  <c r="P1221" i="4"/>
  <c r="K1221" i="4"/>
  <c r="J1221" i="4"/>
  <c r="D1221" i="4"/>
  <c r="C1221" i="4"/>
  <c r="A1221" i="4" s="1"/>
  <c r="R1220" i="4"/>
  <c r="Q1220" i="4"/>
  <c r="P1220" i="4"/>
  <c r="K1220" i="4"/>
  <c r="J1220" i="4"/>
  <c r="D1220" i="4"/>
  <c r="C1220" i="4"/>
  <c r="A1220" i="4" s="1"/>
  <c r="R1219" i="4"/>
  <c r="Q1219" i="4"/>
  <c r="P1219" i="4"/>
  <c r="K1219" i="4"/>
  <c r="J1219" i="4"/>
  <c r="D1219" i="4"/>
  <c r="C1219" i="4"/>
  <c r="A1219" i="4" s="1"/>
  <c r="R1218" i="4"/>
  <c r="Q1218" i="4"/>
  <c r="P1218" i="4"/>
  <c r="K1218" i="4"/>
  <c r="J1218" i="4"/>
  <c r="D1218" i="4"/>
  <c r="C1218" i="4"/>
  <c r="A1218" i="4" s="1"/>
  <c r="R1217" i="4"/>
  <c r="Q1217" i="4"/>
  <c r="P1217" i="4"/>
  <c r="K1217" i="4"/>
  <c r="J1217" i="4"/>
  <c r="D1217" i="4"/>
  <c r="C1217" i="4"/>
  <c r="A1217" i="4" s="1"/>
  <c r="R1216" i="4"/>
  <c r="Q1216" i="4"/>
  <c r="P1216" i="4"/>
  <c r="K1216" i="4"/>
  <c r="J1216" i="4"/>
  <c r="D1216" i="4"/>
  <c r="C1216" i="4"/>
  <c r="A1216" i="4" s="1"/>
  <c r="R1215" i="4"/>
  <c r="Q1215" i="4"/>
  <c r="P1215" i="4"/>
  <c r="K1215" i="4"/>
  <c r="J1215" i="4"/>
  <c r="D1215" i="4"/>
  <c r="C1215" i="4"/>
  <c r="A1215" i="4" s="1"/>
  <c r="R1214" i="4"/>
  <c r="Q1214" i="4"/>
  <c r="P1214" i="4"/>
  <c r="K1214" i="4"/>
  <c r="J1214" i="4"/>
  <c r="D1214" i="4"/>
  <c r="C1214" i="4"/>
  <c r="A1214" i="4" s="1"/>
  <c r="R1213" i="4"/>
  <c r="Q1213" i="4"/>
  <c r="P1213" i="4"/>
  <c r="K1213" i="4"/>
  <c r="J1213" i="4"/>
  <c r="D1213" i="4"/>
  <c r="C1213" i="4"/>
  <c r="A1213" i="4" s="1"/>
  <c r="R1212" i="4"/>
  <c r="Q1212" i="4"/>
  <c r="P1212" i="4"/>
  <c r="K1212" i="4"/>
  <c r="J1212" i="4"/>
  <c r="D1212" i="4"/>
  <c r="C1212" i="4"/>
  <c r="A1212" i="4" s="1"/>
  <c r="R1211" i="4"/>
  <c r="Q1211" i="4"/>
  <c r="P1211" i="4"/>
  <c r="K1211" i="4"/>
  <c r="J1211" i="4"/>
  <c r="D1211" i="4"/>
  <c r="C1211" i="4"/>
  <c r="A1211" i="4" s="1"/>
  <c r="R1210" i="4"/>
  <c r="Q1210" i="4"/>
  <c r="P1210" i="4"/>
  <c r="K1210" i="4"/>
  <c r="J1210" i="4"/>
  <c r="D1210" i="4"/>
  <c r="C1210" i="4"/>
  <c r="A1210" i="4" s="1"/>
  <c r="R1209" i="4"/>
  <c r="Q1209" i="4"/>
  <c r="P1209" i="4"/>
  <c r="K1209" i="4"/>
  <c r="J1209" i="4"/>
  <c r="D1209" i="4"/>
  <c r="C1209" i="4"/>
  <c r="A1209" i="4" s="1"/>
  <c r="R1208" i="4"/>
  <c r="Q1208" i="4"/>
  <c r="P1208" i="4"/>
  <c r="K1208" i="4"/>
  <c r="J1208" i="4"/>
  <c r="D1208" i="4"/>
  <c r="C1208" i="4"/>
  <c r="A1208" i="4" s="1"/>
  <c r="R1207" i="4"/>
  <c r="Q1207" i="4"/>
  <c r="P1207" i="4"/>
  <c r="K1207" i="4"/>
  <c r="J1207" i="4"/>
  <c r="D1207" i="4"/>
  <c r="C1207" i="4"/>
  <c r="A1207" i="4" s="1"/>
  <c r="R1206" i="4"/>
  <c r="Q1206" i="4"/>
  <c r="P1206" i="4"/>
  <c r="K1206" i="4"/>
  <c r="J1206" i="4"/>
  <c r="D1206" i="4"/>
  <c r="C1206" i="4"/>
  <c r="A1206" i="4" s="1"/>
  <c r="R1205" i="4"/>
  <c r="Q1205" i="4"/>
  <c r="P1205" i="4"/>
  <c r="K1205" i="4"/>
  <c r="J1205" i="4"/>
  <c r="D1205" i="4"/>
  <c r="C1205" i="4"/>
  <c r="A1205" i="4" s="1"/>
  <c r="R1204" i="4"/>
  <c r="Q1204" i="4"/>
  <c r="P1204" i="4"/>
  <c r="K1204" i="4"/>
  <c r="J1204" i="4"/>
  <c r="D1204" i="4"/>
  <c r="C1204" i="4"/>
  <c r="A1204" i="4" s="1"/>
  <c r="R1203" i="4"/>
  <c r="Q1203" i="4"/>
  <c r="P1203" i="4"/>
  <c r="K1203" i="4"/>
  <c r="J1203" i="4"/>
  <c r="D1203" i="4"/>
  <c r="C1203" i="4"/>
  <c r="A1203" i="4" s="1"/>
  <c r="R1202" i="4"/>
  <c r="Q1202" i="4"/>
  <c r="P1202" i="4"/>
  <c r="K1202" i="4"/>
  <c r="J1202" i="4"/>
  <c r="D1202" i="4"/>
  <c r="C1202" i="4"/>
  <c r="A1202" i="4" s="1"/>
  <c r="R1201" i="4"/>
  <c r="Q1201" i="4"/>
  <c r="P1201" i="4"/>
  <c r="K1201" i="4"/>
  <c r="J1201" i="4"/>
  <c r="D1201" i="4"/>
  <c r="C1201" i="4"/>
  <c r="A1201" i="4" s="1"/>
  <c r="R1200" i="4"/>
  <c r="Q1200" i="4"/>
  <c r="P1200" i="4"/>
  <c r="K1200" i="4"/>
  <c r="J1200" i="4"/>
  <c r="D1200" i="4"/>
  <c r="C1200" i="4"/>
  <c r="A1200" i="4" s="1"/>
  <c r="R1199" i="4"/>
  <c r="Q1199" i="4"/>
  <c r="P1199" i="4"/>
  <c r="K1199" i="4"/>
  <c r="J1199" i="4"/>
  <c r="D1199" i="4"/>
  <c r="C1199" i="4"/>
  <c r="A1199" i="4" s="1"/>
  <c r="R1198" i="4"/>
  <c r="Q1198" i="4"/>
  <c r="P1198" i="4"/>
  <c r="K1198" i="4"/>
  <c r="J1198" i="4"/>
  <c r="D1198" i="4"/>
  <c r="C1198" i="4"/>
  <c r="A1198" i="4" s="1"/>
  <c r="R1197" i="4"/>
  <c r="Q1197" i="4"/>
  <c r="P1197" i="4"/>
  <c r="K1197" i="4"/>
  <c r="J1197" i="4"/>
  <c r="D1197" i="4"/>
  <c r="C1197" i="4"/>
  <c r="A1197" i="4" s="1"/>
  <c r="R1196" i="4"/>
  <c r="Q1196" i="4"/>
  <c r="P1196" i="4"/>
  <c r="K1196" i="4"/>
  <c r="J1196" i="4"/>
  <c r="D1196" i="4"/>
  <c r="C1196" i="4"/>
  <c r="A1196" i="4" s="1"/>
  <c r="R1195" i="4"/>
  <c r="Q1195" i="4"/>
  <c r="P1195" i="4"/>
  <c r="K1195" i="4"/>
  <c r="J1195" i="4"/>
  <c r="D1195" i="4"/>
  <c r="C1195" i="4"/>
  <c r="A1195" i="4" s="1"/>
  <c r="R1194" i="4"/>
  <c r="Q1194" i="4"/>
  <c r="P1194" i="4"/>
  <c r="K1194" i="4"/>
  <c r="J1194" i="4"/>
  <c r="D1194" i="4"/>
  <c r="C1194" i="4"/>
  <c r="A1194" i="4" s="1"/>
  <c r="R1193" i="4"/>
  <c r="Q1193" i="4"/>
  <c r="P1193" i="4"/>
  <c r="K1193" i="4"/>
  <c r="J1193" i="4"/>
  <c r="D1193" i="4"/>
  <c r="C1193" i="4"/>
  <c r="A1193" i="4" s="1"/>
  <c r="R1192" i="4"/>
  <c r="Q1192" i="4"/>
  <c r="P1192" i="4"/>
  <c r="K1192" i="4"/>
  <c r="J1192" i="4"/>
  <c r="D1192" i="4"/>
  <c r="C1192" i="4"/>
  <c r="A1192" i="4" s="1"/>
  <c r="R1191" i="4"/>
  <c r="Q1191" i="4"/>
  <c r="P1191" i="4"/>
  <c r="K1191" i="4"/>
  <c r="J1191" i="4"/>
  <c r="D1191" i="4"/>
  <c r="C1191" i="4"/>
  <c r="A1191" i="4" s="1"/>
  <c r="R1190" i="4"/>
  <c r="Q1190" i="4"/>
  <c r="P1190" i="4"/>
  <c r="K1190" i="4"/>
  <c r="J1190" i="4"/>
  <c r="D1190" i="4"/>
  <c r="C1190" i="4"/>
  <c r="A1190" i="4" s="1"/>
  <c r="R1189" i="4"/>
  <c r="Q1189" i="4"/>
  <c r="P1189" i="4"/>
  <c r="K1189" i="4"/>
  <c r="J1189" i="4"/>
  <c r="D1189" i="4"/>
  <c r="C1189" i="4"/>
  <c r="A1189" i="4" s="1"/>
  <c r="R1188" i="4"/>
  <c r="Q1188" i="4"/>
  <c r="P1188" i="4"/>
  <c r="K1188" i="4"/>
  <c r="J1188" i="4"/>
  <c r="D1188" i="4"/>
  <c r="C1188" i="4"/>
  <c r="A1188" i="4" s="1"/>
  <c r="R1187" i="4"/>
  <c r="Q1187" i="4"/>
  <c r="P1187" i="4"/>
  <c r="K1187" i="4"/>
  <c r="J1187" i="4"/>
  <c r="D1187" i="4"/>
  <c r="C1187" i="4"/>
  <c r="A1187" i="4" s="1"/>
  <c r="R1186" i="4"/>
  <c r="Q1186" i="4"/>
  <c r="P1186" i="4"/>
  <c r="K1186" i="4"/>
  <c r="J1186" i="4"/>
  <c r="D1186" i="4"/>
  <c r="C1186" i="4"/>
  <c r="A1186" i="4" s="1"/>
  <c r="R1185" i="4"/>
  <c r="Q1185" i="4"/>
  <c r="P1185" i="4"/>
  <c r="K1185" i="4"/>
  <c r="J1185" i="4"/>
  <c r="D1185" i="4"/>
  <c r="C1185" i="4"/>
  <c r="A1185" i="4" s="1"/>
  <c r="R1184" i="4"/>
  <c r="Q1184" i="4"/>
  <c r="P1184" i="4"/>
  <c r="K1184" i="4"/>
  <c r="J1184" i="4"/>
  <c r="D1184" i="4"/>
  <c r="C1184" i="4"/>
  <c r="A1184" i="4" s="1"/>
  <c r="R1183" i="4"/>
  <c r="Q1183" i="4"/>
  <c r="P1183" i="4"/>
  <c r="K1183" i="4"/>
  <c r="J1183" i="4"/>
  <c r="D1183" i="4"/>
  <c r="C1183" i="4"/>
  <c r="A1183" i="4" s="1"/>
  <c r="R1182" i="4"/>
  <c r="Q1182" i="4"/>
  <c r="P1182" i="4"/>
  <c r="K1182" i="4"/>
  <c r="J1182" i="4"/>
  <c r="D1182" i="4"/>
  <c r="C1182" i="4"/>
  <c r="A1182" i="4" s="1"/>
  <c r="R1181" i="4"/>
  <c r="Q1181" i="4"/>
  <c r="P1181" i="4"/>
  <c r="K1181" i="4"/>
  <c r="J1181" i="4"/>
  <c r="D1181" i="4"/>
  <c r="C1181" i="4"/>
  <c r="A1181" i="4" s="1"/>
  <c r="R1180" i="4"/>
  <c r="Q1180" i="4"/>
  <c r="P1180" i="4"/>
  <c r="K1180" i="4"/>
  <c r="J1180" i="4"/>
  <c r="D1180" i="4"/>
  <c r="C1180" i="4"/>
  <c r="A1180" i="4" s="1"/>
  <c r="R1179" i="4"/>
  <c r="Q1179" i="4"/>
  <c r="P1179" i="4"/>
  <c r="K1179" i="4"/>
  <c r="J1179" i="4"/>
  <c r="D1179" i="4"/>
  <c r="C1179" i="4"/>
  <c r="A1179" i="4" s="1"/>
  <c r="R1178" i="4"/>
  <c r="Q1178" i="4"/>
  <c r="P1178" i="4"/>
  <c r="K1178" i="4"/>
  <c r="J1178" i="4"/>
  <c r="D1178" i="4"/>
  <c r="C1178" i="4"/>
  <c r="A1178" i="4" s="1"/>
  <c r="R1177" i="4"/>
  <c r="Q1177" i="4"/>
  <c r="P1177" i="4"/>
  <c r="K1177" i="4"/>
  <c r="J1177" i="4"/>
  <c r="D1177" i="4"/>
  <c r="C1177" i="4"/>
  <c r="A1177" i="4" s="1"/>
  <c r="R1176" i="4"/>
  <c r="Q1176" i="4"/>
  <c r="P1176" i="4"/>
  <c r="K1176" i="4"/>
  <c r="J1176" i="4"/>
  <c r="D1176" i="4"/>
  <c r="C1176" i="4"/>
  <c r="A1176" i="4" s="1"/>
  <c r="R1175" i="4"/>
  <c r="Q1175" i="4"/>
  <c r="P1175" i="4"/>
  <c r="K1175" i="4"/>
  <c r="J1175" i="4"/>
  <c r="D1175" i="4"/>
  <c r="C1175" i="4"/>
  <c r="A1175" i="4" s="1"/>
  <c r="R1174" i="4"/>
  <c r="Q1174" i="4"/>
  <c r="P1174" i="4"/>
  <c r="K1174" i="4"/>
  <c r="J1174" i="4"/>
  <c r="D1174" i="4"/>
  <c r="C1174" i="4"/>
  <c r="A1174" i="4" s="1"/>
  <c r="R1173" i="4"/>
  <c r="Q1173" i="4"/>
  <c r="P1173" i="4"/>
  <c r="K1173" i="4"/>
  <c r="J1173" i="4"/>
  <c r="D1173" i="4"/>
  <c r="C1173" i="4"/>
  <c r="A1173" i="4" s="1"/>
  <c r="R1172" i="4"/>
  <c r="Q1172" i="4"/>
  <c r="P1172" i="4"/>
  <c r="K1172" i="4"/>
  <c r="J1172" i="4"/>
  <c r="D1172" i="4"/>
  <c r="C1172" i="4"/>
  <c r="A1172" i="4" s="1"/>
  <c r="R1171" i="4"/>
  <c r="Q1171" i="4"/>
  <c r="P1171" i="4"/>
  <c r="K1171" i="4"/>
  <c r="J1171" i="4"/>
  <c r="D1171" i="4"/>
  <c r="C1171" i="4"/>
  <c r="A1171" i="4" s="1"/>
  <c r="R1170" i="4"/>
  <c r="Q1170" i="4"/>
  <c r="P1170" i="4"/>
  <c r="K1170" i="4"/>
  <c r="J1170" i="4"/>
  <c r="D1170" i="4"/>
  <c r="C1170" i="4"/>
  <c r="A1170" i="4" s="1"/>
  <c r="R1169" i="4"/>
  <c r="Q1169" i="4"/>
  <c r="P1169" i="4"/>
  <c r="K1169" i="4"/>
  <c r="J1169" i="4"/>
  <c r="D1169" i="4"/>
  <c r="C1169" i="4"/>
  <c r="A1169" i="4" s="1"/>
  <c r="R1168" i="4"/>
  <c r="Q1168" i="4"/>
  <c r="P1168" i="4"/>
  <c r="K1168" i="4"/>
  <c r="J1168" i="4"/>
  <c r="D1168" i="4"/>
  <c r="C1168" i="4"/>
  <c r="A1168" i="4" s="1"/>
  <c r="R1167" i="4"/>
  <c r="Q1167" i="4"/>
  <c r="P1167" i="4"/>
  <c r="K1167" i="4"/>
  <c r="J1167" i="4"/>
  <c r="D1167" i="4"/>
  <c r="C1167" i="4"/>
  <c r="A1167" i="4" s="1"/>
  <c r="R1166" i="4"/>
  <c r="Q1166" i="4"/>
  <c r="P1166" i="4"/>
  <c r="K1166" i="4"/>
  <c r="J1166" i="4"/>
  <c r="D1166" i="4"/>
  <c r="C1166" i="4"/>
  <c r="A1166" i="4" s="1"/>
  <c r="R1165" i="4"/>
  <c r="Q1165" i="4"/>
  <c r="P1165" i="4"/>
  <c r="K1165" i="4"/>
  <c r="J1165" i="4"/>
  <c r="D1165" i="4"/>
  <c r="C1165" i="4"/>
  <c r="A1165" i="4" s="1"/>
  <c r="R1164" i="4"/>
  <c r="Q1164" i="4"/>
  <c r="P1164" i="4"/>
  <c r="K1164" i="4"/>
  <c r="J1164" i="4"/>
  <c r="D1164" i="4"/>
  <c r="C1164" i="4"/>
  <c r="A1164" i="4" s="1"/>
  <c r="R1163" i="4"/>
  <c r="Q1163" i="4"/>
  <c r="P1163" i="4"/>
  <c r="K1163" i="4"/>
  <c r="J1163" i="4"/>
  <c r="D1163" i="4"/>
  <c r="C1163" i="4"/>
  <c r="A1163" i="4" s="1"/>
  <c r="R1162" i="4"/>
  <c r="Q1162" i="4"/>
  <c r="P1162" i="4"/>
  <c r="K1162" i="4"/>
  <c r="J1162" i="4"/>
  <c r="D1162" i="4"/>
  <c r="C1162" i="4"/>
  <c r="A1162" i="4" s="1"/>
  <c r="R1161" i="4"/>
  <c r="Q1161" i="4"/>
  <c r="P1161" i="4"/>
  <c r="K1161" i="4"/>
  <c r="J1161" i="4"/>
  <c r="D1161" i="4"/>
  <c r="C1161" i="4"/>
  <c r="A1161" i="4" s="1"/>
  <c r="R1160" i="4"/>
  <c r="Q1160" i="4"/>
  <c r="P1160" i="4"/>
  <c r="K1160" i="4"/>
  <c r="J1160" i="4"/>
  <c r="D1160" i="4"/>
  <c r="C1160" i="4"/>
  <c r="A1160" i="4" s="1"/>
  <c r="R1159" i="4"/>
  <c r="Q1159" i="4"/>
  <c r="P1159" i="4"/>
  <c r="K1159" i="4"/>
  <c r="J1159" i="4"/>
  <c r="D1159" i="4"/>
  <c r="C1159" i="4"/>
  <c r="A1159" i="4" s="1"/>
  <c r="A1159" i="1" s="1"/>
  <c r="R1158" i="4"/>
  <c r="Q1158" i="4"/>
  <c r="P1158" i="4"/>
  <c r="K1158" i="4"/>
  <c r="J1158" i="4"/>
  <c r="D1158" i="4"/>
  <c r="C1158" i="4"/>
  <c r="A1158" i="4" s="1"/>
  <c r="R1157" i="4"/>
  <c r="Q1157" i="4"/>
  <c r="P1157" i="4"/>
  <c r="K1157" i="4"/>
  <c r="J1157" i="4"/>
  <c r="D1157" i="4"/>
  <c r="C1157" i="4"/>
  <c r="A1157" i="4" s="1"/>
  <c r="R1156" i="4"/>
  <c r="Q1156" i="4"/>
  <c r="P1156" i="4"/>
  <c r="K1156" i="4"/>
  <c r="J1156" i="4"/>
  <c r="D1156" i="4"/>
  <c r="C1156" i="4"/>
  <c r="A1156" i="4" s="1"/>
  <c r="R1155" i="4"/>
  <c r="Q1155" i="4"/>
  <c r="P1155" i="4"/>
  <c r="K1155" i="4"/>
  <c r="J1155" i="4"/>
  <c r="D1155" i="4"/>
  <c r="C1155" i="4"/>
  <c r="A1155" i="4" s="1"/>
  <c r="R1154" i="4"/>
  <c r="Q1154" i="4"/>
  <c r="P1154" i="4"/>
  <c r="K1154" i="4"/>
  <c r="J1154" i="4"/>
  <c r="D1154" i="4"/>
  <c r="C1154" i="4"/>
  <c r="A1154" i="4" s="1"/>
  <c r="R1153" i="4"/>
  <c r="Q1153" i="4"/>
  <c r="P1153" i="4"/>
  <c r="K1153" i="4"/>
  <c r="J1153" i="4"/>
  <c r="D1153" i="4"/>
  <c r="C1153" i="4"/>
  <c r="A1153" i="4" s="1"/>
  <c r="R1152" i="4"/>
  <c r="Q1152" i="4"/>
  <c r="P1152" i="4"/>
  <c r="K1152" i="4"/>
  <c r="J1152" i="4"/>
  <c r="D1152" i="4"/>
  <c r="C1152" i="4"/>
  <c r="A1152" i="4" s="1"/>
  <c r="R1151" i="4"/>
  <c r="Q1151" i="4"/>
  <c r="P1151" i="4"/>
  <c r="K1151" i="4"/>
  <c r="J1151" i="4"/>
  <c r="D1151" i="4"/>
  <c r="C1151" i="4"/>
  <c r="A1151" i="4" s="1"/>
  <c r="R1150" i="4"/>
  <c r="Q1150" i="4"/>
  <c r="P1150" i="4"/>
  <c r="K1150" i="4"/>
  <c r="J1150" i="4"/>
  <c r="D1150" i="4"/>
  <c r="C1150" i="4"/>
  <c r="A1150" i="4" s="1"/>
  <c r="R1149" i="4"/>
  <c r="Q1149" i="4"/>
  <c r="P1149" i="4"/>
  <c r="K1149" i="4"/>
  <c r="J1149" i="4"/>
  <c r="D1149" i="4"/>
  <c r="C1149" i="4"/>
  <c r="A1149" i="4" s="1"/>
  <c r="R1148" i="4"/>
  <c r="Q1148" i="4"/>
  <c r="P1148" i="4"/>
  <c r="K1148" i="4"/>
  <c r="J1148" i="4"/>
  <c r="D1148" i="4"/>
  <c r="C1148" i="4"/>
  <c r="A1148" i="4" s="1"/>
  <c r="R1147" i="4"/>
  <c r="Q1147" i="4"/>
  <c r="P1147" i="4"/>
  <c r="K1147" i="4"/>
  <c r="J1147" i="4"/>
  <c r="D1147" i="4"/>
  <c r="C1147" i="4"/>
  <c r="A1147" i="4" s="1"/>
  <c r="R1146" i="4"/>
  <c r="Q1146" i="4"/>
  <c r="P1146" i="4"/>
  <c r="K1146" i="4"/>
  <c r="J1146" i="4"/>
  <c r="D1146" i="4"/>
  <c r="C1146" i="4"/>
  <c r="A1146" i="4" s="1"/>
  <c r="R1145" i="4"/>
  <c r="Q1145" i="4"/>
  <c r="P1145" i="4"/>
  <c r="K1145" i="4"/>
  <c r="J1145" i="4"/>
  <c r="D1145" i="4"/>
  <c r="C1145" i="4"/>
  <c r="A1145" i="4" s="1"/>
  <c r="R1144" i="4"/>
  <c r="Q1144" i="4"/>
  <c r="P1144" i="4"/>
  <c r="K1144" i="4"/>
  <c r="J1144" i="4"/>
  <c r="D1144" i="4"/>
  <c r="C1144" i="4"/>
  <c r="A1144" i="4" s="1"/>
  <c r="R1143" i="4"/>
  <c r="Q1143" i="4"/>
  <c r="P1143" i="4"/>
  <c r="K1143" i="4"/>
  <c r="J1143" i="4"/>
  <c r="D1143" i="4"/>
  <c r="C1143" i="4"/>
  <c r="A1143" i="4" s="1"/>
  <c r="R1142" i="4"/>
  <c r="Q1142" i="4"/>
  <c r="P1142" i="4"/>
  <c r="K1142" i="4"/>
  <c r="J1142" i="4"/>
  <c r="D1142" i="4"/>
  <c r="C1142" i="4"/>
  <c r="A1142" i="4" s="1"/>
  <c r="R1141" i="4"/>
  <c r="Q1141" i="4"/>
  <c r="P1141" i="4"/>
  <c r="K1141" i="4"/>
  <c r="J1141" i="4"/>
  <c r="D1141" i="4"/>
  <c r="C1141" i="4"/>
  <c r="A1141" i="4" s="1"/>
  <c r="R1140" i="4"/>
  <c r="Q1140" i="4"/>
  <c r="P1140" i="4"/>
  <c r="K1140" i="4"/>
  <c r="J1140" i="4"/>
  <c r="D1140" i="4"/>
  <c r="C1140" i="4"/>
  <c r="A1140" i="4" s="1"/>
  <c r="R1139" i="4"/>
  <c r="Q1139" i="4"/>
  <c r="P1139" i="4"/>
  <c r="K1139" i="4"/>
  <c r="J1139" i="4"/>
  <c r="D1139" i="4"/>
  <c r="C1139" i="4"/>
  <c r="A1139" i="4" s="1"/>
  <c r="R1138" i="4"/>
  <c r="Q1138" i="4"/>
  <c r="P1138" i="4"/>
  <c r="K1138" i="4"/>
  <c r="J1138" i="4"/>
  <c r="D1138" i="4"/>
  <c r="C1138" i="4"/>
  <c r="A1138" i="4" s="1"/>
  <c r="R1137" i="4"/>
  <c r="Q1137" i="4"/>
  <c r="P1137" i="4"/>
  <c r="K1137" i="4"/>
  <c r="J1137" i="4"/>
  <c r="D1137" i="4"/>
  <c r="C1137" i="4"/>
  <c r="A1137" i="4" s="1"/>
  <c r="R1136" i="4"/>
  <c r="Q1136" i="4"/>
  <c r="P1136" i="4"/>
  <c r="K1136" i="4"/>
  <c r="J1136" i="4"/>
  <c r="D1136" i="4"/>
  <c r="C1136" i="4"/>
  <c r="A1136" i="4" s="1"/>
  <c r="R1135" i="4"/>
  <c r="Q1135" i="4"/>
  <c r="P1135" i="4"/>
  <c r="K1135" i="4"/>
  <c r="J1135" i="4"/>
  <c r="D1135" i="4"/>
  <c r="C1135" i="4"/>
  <c r="A1135" i="4" s="1"/>
  <c r="R1134" i="4"/>
  <c r="Q1134" i="4"/>
  <c r="P1134" i="4"/>
  <c r="K1134" i="4"/>
  <c r="J1134" i="4"/>
  <c r="D1134" i="4"/>
  <c r="C1134" i="4"/>
  <c r="A1134" i="4" s="1"/>
  <c r="R1133" i="4"/>
  <c r="Q1133" i="4"/>
  <c r="P1133" i="4"/>
  <c r="K1133" i="4"/>
  <c r="J1133" i="4"/>
  <c r="D1133" i="4"/>
  <c r="C1133" i="4"/>
  <c r="A1133" i="4" s="1"/>
  <c r="R1132" i="4"/>
  <c r="Q1132" i="4"/>
  <c r="P1132" i="4"/>
  <c r="K1132" i="4"/>
  <c r="J1132" i="4"/>
  <c r="D1132" i="4"/>
  <c r="C1132" i="4"/>
  <c r="A1132" i="4" s="1"/>
  <c r="R1131" i="4"/>
  <c r="Q1131" i="4"/>
  <c r="P1131" i="4"/>
  <c r="K1131" i="4"/>
  <c r="J1131" i="4"/>
  <c r="D1131" i="4"/>
  <c r="C1131" i="4"/>
  <c r="A1131" i="4" s="1"/>
  <c r="R1130" i="4"/>
  <c r="Q1130" i="4"/>
  <c r="P1130" i="4"/>
  <c r="K1130" i="4"/>
  <c r="J1130" i="4"/>
  <c r="D1130" i="4"/>
  <c r="C1130" i="4"/>
  <c r="A1130" i="4" s="1"/>
  <c r="R1129" i="4"/>
  <c r="Q1129" i="4"/>
  <c r="P1129" i="4"/>
  <c r="K1129" i="4"/>
  <c r="J1129" i="4"/>
  <c r="D1129" i="4"/>
  <c r="C1129" i="4"/>
  <c r="A1129" i="4" s="1"/>
  <c r="R1128" i="4"/>
  <c r="Q1128" i="4"/>
  <c r="P1128" i="4"/>
  <c r="K1128" i="4"/>
  <c r="J1128" i="4"/>
  <c r="D1128" i="4"/>
  <c r="C1128" i="4"/>
  <c r="A1128" i="4" s="1"/>
  <c r="R1127" i="4"/>
  <c r="Q1127" i="4"/>
  <c r="P1127" i="4"/>
  <c r="K1127" i="4"/>
  <c r="J1127" i="4"/>
  <c r="D1127" i="4"/>
  <c r="C1127" i="4"/>
  <c r="A1127" i="4" s="1"/>
  <c r="R1126" i="4"/>
  <c r="Q1126" i="4"/>
  <c r="P1126" i="4"/>
  <c r="K1126" i="4"/>
  <c r="J1126" i="4"/>
  <c r="D1126" i="4"/>
  <c r="C1126" i="4"/>
  <c r="A1126" i="4" s="1"/>
  <c r="R1125" i="4"/>
  <c r="Q1125" i="4"/>
  <c r="P1125" i="4"/>
  <c r="K1125" i="4"/>
  <c r="J1125" i="4"/>
  <c r="D1125" i="4"/>
  <c r="C1125" i="4"/>
  <c r="A1125" i="4" s="1"/>
  <c r="R1124" i="4"/>
  <c r="Q1124" i="4"/>
  <c r="P1124" i="4"/>
  <c r="K1124" i="4"/>
  <c r="J1124" i="4"/>
  <c r="D1124" i="4"/>
  <c r="C1124" i="4"/>
  <c r="A1124" i="4" s="1"/>
  <c r="R1123" i="4"/>
  <c r="Q1123" i="4"/>
  <c r="P1123" i="4"/>
  <c r="K1123" i="4"/>
  <c r="J1123" i="4"/>
  <c r="D1123" i="4"/>
  <c r="C1123" i="4"/>
  <c r="A1123" i="4" s="1"/>
  <c r="R1122" i="4"/>
  <c r="Q1122" i="4"/>
  <c r="P1122" i="4"/>
  <c r="K1122" i="4"/>
  <c r="J1122" i="4"/>
  <c r="D1122" i="4"/>
  <c r="C1122" i="4"/>
  <c r="A1122" i="4" s="1"/>
  <c r="R1121" i="4"/>
  <c r="Q1121" i="4"/>
  <c r="P1121" i="4"/>
  <c r="K1121" i="4"/>
  <c r="J1121" i="4"/>
  <c r="D1121" i="4"/>
  <c r="C1121" i="4"/>
  <c r="A1121" i="4" s="1"/>
  <c r="R1120" i="4"/>
  <c r="Q1120" i="4"/>
  <c r="P1120" i="4"/>
  <c r="K1120" i="4"/>
  <c r="J1120" i="4"/>
  <c r="D1120" i="4"/>
  <c r="C1120" i="4"/>
  <c r="A1120" i="4" s="1"/>
  <c r="R1119" i="4"/>
  <c r="Q1119" i="4"/>
  <c r="P1119" i="4"/>
  <c r="K1119" i="4"/>
  <c r="J1119" i="4"/>
  <c r="D1119" i="4"/>
  <c r="C1119" i="4"/>
  <c r="A1119" i="4" s="1"/>
  <c r="R1118" i="4"/>
  <c r="Q1118" i="4"/>
  <c r="P1118" i="4"/>
  <c r="K1118" i="4"/>
  <c r="J1118" i="4"/>
  <c r="D1118" i="4"/>
  <c r="C1118" i="4"/>
  <c r="A1118" i="4" s="1"/>
  <c r="R1117" i="4"/>
  <c r="Q1117" i="4"/>
  <c r="P1117" i="4"/>
  <c r="K1117" i="4"/>
  <c r="J1117" i="4"/>
  <c r="D1117" i="4"/>
  <c r="C1117" i="4"/>
  <c r="A1117" i="4" s="1"/>
  <c r="R1116" i="4"/>
  <c r="Q1116" i="4"/>
  <c r="P1116" i="4"/>
  <c r="K1116" i="4"/>
  <c r="J1116" i="4"/>
  <c r="D1116" i="4"/>
  <c r="C1116" i="4"/>
  <c r="A1116" i="4" s="1"/>
  <c r="R1115" i="4"/>
  <c r="Q1115" i="4"/>
  <c r="P1115" i="4"/>
  <c r="K1115" i="4"/>
  <c r="J1115" i="4"/>
  <c r="D1115" i="4"/>
  <c r="C1115" i="4"/>
  <c r="A1115" i="4" s="1"/>
  <c r="R1114" i="4"/>
  <c r="Q1114" i="4"/>
  <c r="P1114" i="4"/>
  <c r="K1114" i="4"/>
  <c r="J1114" i="4"/>
  <c r="D1114" i="4"/>
  <c r="C1114" i="4"/>
  <c r="A1114" i="4" s="1"/>
  <c r="R1113" i="4"/>
  <c r="Q1113" i="4"/>
  <c r="P1113" i="4"/>
  <c r="K1113" i="4"/>
  <c r="J1113" i="4"/>
  <c r="D1113" i="4"/>
  <c r="C1113" i="4"/>
  <c r="A1113" i="4" s="1"/>
  <c r="R1112" i="4"/>
  <c r="Q1112" i="4"/>
  <c r="P1112" i="4"/>
  <c r="K1112" i="4"/>
  <c r="J1112" i="4"/>
  <c r="D1112" i="4"/>
  <c r="C1112" i="4"/>
  <c r="A1112" i="4" s="1"/>
  <c r="R1111" i="4"/>
  <c r="Q1111" i="4"/>
  <c r="P1111" i="4"/>
  <c r="K1111" i="4"/>
  <c r="J1111" i="4"/>
  <c r="D1111" i="4"/>
  <c r="C1111" i="4"/>
  <c r="A1111" i="4" s="1"/>
  <c r="R1110" i="4"/>
  <c r="Q1110" i="4"/>
  <c r="P1110" i="4"/>
  <c r="K1110" i="4"/>
  <c r="J1110" i="4"/>
  <c r="D1110" i="4"/>
  <c r="C1110" i="4"/>
  <c r="A1110" i="4" s="1"/>
  <c r="R1109" i="4"/>
  <c r="Q1109" i="4"/>
  <c r="P1109" i="4"/>
  <c r="K1109" i="4"/>
  <c r="J1109" i="4"/>
  <c r="D1109" i="4"/>
  <c r="C1109" i="4"/>
  <c r="A1109" i="4" s="1"/>
  <c r="R1108" i="4"/>
  <c r="Q1108" i="4"/>
  <c r="P1108" i="4"/>
  <c r="K1108" i="4"/>
  <c r="J1108" i="4"/>
  <c r="D1108" i="4"/>
  <c r="C1108" i="4"/>
  <c r="A1108" i="4" s="1"/>
  <c r="R1107" i="4"/>
  <c r="Q1107" i="4"/>
  <c r="P1107" i="4"/>
  <c r="K1107" i="4"/>
  <c r="J1107" i="4"/>
  <c r="D1107" i="4"/>
  <c r="C1107" i="4"/>
  <c r="A1107" i="4" s="1"/>
  <c r="R1106" i="4"/>
  <c r="Q1106" i="4"/>
  <c r="P1106" i="4"/>
  <c r="K1106" i="4"/>
  <c r="J1106" i="4"/>
  <c r="D1106" i="4"/>
  <c r="C1106" i="4"/>
  <c r="A1106" i="4" s="1"/>
  <c r="R1105" i="4"/>
  <c r="Q1105" i="4"/>
  <c r="P1105" i="4"/>
  <c r="K1105" i="4"/>
  <c r="J1105" i="4"/>
  <c r="D1105" i="4"/>
  <c r="C1105" i="4"/>
  <c r="A1105" i="4" s="1"/>
  <c r="R1104" i="4"/>
  <c r="Q1104" i="4"/>
  <c r="P1104" i="4"/>
  <c r="K1104" i="4"/>
  <c r="J1104" i="4"/>
  <c r="D1104" i="4"/>
  <c r="C1104" i="4"/>
  <c r="A1104" i="4" s="1"/>
  <c r="R1103" i="4"/>
  <c r="Q1103" i="4"/>
  <c r="P1103" i="4"/>
  <c r="K1103" i="4"/>
  <c r="J1103" i="4"/>
  <c r="D1103" i="4"/>
  <c r="C1103" i="4"/>
  <c r="A1103" i="4" s="1"/>
  <c r="R1102" i="4"/>
  <c r="Q1102" i="4"/>
  <c r="P1102" i="4"/>
  <c r="K1102" i="4"/>
  <c r="J1102" i="4"/>
  <c r="D1102" i="4"/>
  <c r="C1102" i="4"/>
  <c r="A1102" i="4" s="1"/>
  <c r="R1101" i="4"/>
  <c r="Q1101" i="4"/>
  <c r="P1101" i="4"/>
  <c r="K1101" i="4"/>
  <c r="J1101" i="4"/>
  <c r="D1101" i="4"/>
  <c r="C1101" i="4"/>
  <c r="A1101" i="4" s="1"/>
  <c r="R1100" i="4"/>
  <c r="Q1100" i="4"/>
  <c r="P1100" i="4"/>
  <c r="K1100" i="4"/>
  <c r="J1100" i="4"/>
  <c r="D1100" i="4"/>
  <c r="C1100" i="4"/>
  <c r="A1100" i="4" s="1"/>
  <c r="R1099" i="4"/>
  <c r="Q1099" i="4"/>
  <c r="P1099" i="4"/>
  <c r="K1099" i="4"/>
  <c r="J1099" i="4"/>
  <c r="D1099" i="4"/>
  <c r="C1099" i="4"/>
  <c r="A1099" i="4" s="1"/>
  <c r="R1098" i="4"/>
  <c r="Q1098" i="4"/>
  <c r="P1098" i="4"/>
  <c r="K1098" i="4"/>
  <c r="J1098" i="4"/>
  <c r="D1098" i="4"/>
  <c r="C1098" i="4"/>
  <c r="A1098" i="4" s="1"/>
  <c r="R1097" i="4"/>
  <c r="Q1097" i="4"/>
  <c r="P1097" i="4"/>
  <c r="K1097" i="4"/>
  <c r="J1097" i="4"/>
  <c r="D1097" i="4"/>
  <c r="C1097" i="4"/>
  <c r="A1097" i="4" s="1"/>
  <c r="R1096" i="4"/>
  <c r="Q1096" i="4"/>
  <c r="P1096" i="4"/>
  <c r="K1096" i="4"/>
  <c r="J1096" i="4"/>
  <c r="D1096" i="4"/>
  <c r="C1096" i="4"/>
  <c r="A1096" i="4" s="1"/>
  <c r="R1095" i="4"/>
  <c r="Q1095" i="4"/>
  <c r="P1095" i="4"/>
  <c r="K1095" i="4"/>
  <c r="J1095" i="4"/>
  <c r="D1095" i="4"/>
  <c r="C1095" i="4"/>
  <c r="A1095" i="4" s="1"/>
  <c r="R1094" i="4"/>
  <c r="Q1094" i="4"/>
  <c r="P1094" i="4"/>
  <c r="K1094" i="4"/>
  <c r="J1094" i="4"/>
  <c r="D1094" i="4"/>
  <c r="C1094" i="4"/>
  <c r="A1094" i="4" s="1"/>
  <c r="R1093" i="4"/>
  <c r="Q1093" i="4"/>
  <c r="P1093" i="4"/>
  <c r="K1093" i="4"/>
  <c r="J1093" i="4"/>
  <c r="D1093" i="4"/>
  <c r="C1093" i="4"/>
  <c r="A1093" i="4" s="1"/>
  <c r="R1092" i="4"/>
  <c r="Q1092" i="4"/>
  <c r="P1092" i="4"/>
  <c r="K1092" i="4"/>
  <c r="J1092" i="4"/>
  <c r="D1092" i="4"/>
  <c r="C1092" i="4"/>
  <c r="A1092" i="4" s="1"/>
  <c r="R1091" i="4"/>
  <c r="Q1091" i="4"/>
  <c r="P1091" i="4"/>
  <c r="K1091" i="4"/>
  <c r="J1091" i="4"/>
  <c r="D1091" i="4"/>
  <c r="C1091" i="4"/>
  <c r="A1091" i="4" s="1"/>
  <c r="R1090" i="4"/>
  <c r="Q1090" i="4"/>
  <c r="P1090" i="4"/>
  <c r="K1090" i="4"/>
  <c r="J1090" i="4"/>
  <c r="D1090" i="4"/>
  <c r="C1090" i="4"/>
  <c r="A1090" i="4" s="1"/>
  <c r="R1089" i="4"/>
  <c r="Q1089" i="4"/>
  <c r="P1089" i="4"/>
  <c r="K1089" i="4"/>
  <c r="J1089" i="4"/>
  <c r="D1089" i="4"/>
  <c r="C1089" i="4"/>
  <c r="A1089" i="4" s="1"/>
  <c r="R1088" i="4"/>
  <c r="Q1088" i="4"/>
  <c r="P1088" i="4"/>
  <c r="K1088" i="4"/>
  <c r="J1088" i="4"/>
  <c r="D1088" i="4"/>
  <c r="C1088" i="4"/>
  <c r="A1088" i="4" s="1"/>
  <c r="R1087" i="4"/>
  <c r="Q1087" i="4"/>
  <c r="P1087" i="4"/>
  <c r="K1087" i="4"/>
  <c r="J1087" i="4"/>
  <c r="D1087" i="4"/>
  <c r="C1087" i="4"/>
  <c r="A1087" i="4" s="1"/>
  <c r="R1086" i="4"/>
  <c r="Q1086" i="4"/>
  <c r="P1086" i="4"/>
  <c r="K1086" i="4"/>
  <c r="J1086" i="4"/>
  <c r="D1086" i="4"/>
  <c r="C1086" i="4"/>
  <c r="A1086" i="4" s="1"/>
  <c r="R1085" i="4"/>
  <c r="Q1085" i="4"/>
  <c r="P1085" i="4"/>
  <c r="K1085" i="4"/>
  <c r="J1085" i="4"/>
  <c r="D1085" i="4"/>
  <c r="C1085" i="4"/>
  <c r="A1085" i="4" s="1"/>
  <c r="R1084" i="4"/>
  <c r="Q1084" i="4"/>
  <c r="P1084" i="4"/>
  <c r="K1084" i="4"/>
  <c r="J1084" i="4"/>
  <c r="D1084" i="4"/>
  <c r="C1084" i="4"/>
  <c r="A1084" i="4" s="1"/>
  <c r="R1083" i="4"/>
  <c r="Q1083" i="4"/>
  <c r="P1083" i="4"/>
  <c r="K1083" i="4"/>
  <c r="J1083" i="4"/>
  <c r="D1083" i="4"/>
  <c r="C1083" i="4"/>
  <c r="A1083" i="4" s="1"/>
  <c r="R1082" i="4"/>
  <c r="Q1082" i="4"/>
  <c r="P1082" i="4"/>
  <c r="K1082" i="4"/>
  <c r="J1082" i="4"/>
  <c r="D1082" i="4"/>
  <c r="C1082" i="4"/>
  <c r="A1082" i="4" s="1"/>
  <c r="R1081" i="4"/>
  <c r="Q1081" i="4"/>
  <c r="P1081" i="4"/>
  <c r="K1081" i="4"/>
  <c r="J1081" i="4"/>
  <c r="D1081" i="4"/>
  <c r="C1081" i="4"/>
  <c r="A1081" i="4" s="1"/>
  <c r="R1080" i="4"/>
  <c r="Q1080" i="4"/>
  <c r="P1080" i="4"/>
  <c r="K1080" i="4"/>
  <c r="J1080" i="4"/>
  <c r="D1080" i="4"/>
  <c r="C1080" i="4"/>
  <c r="A1080" i="4" s="1"/>
  <c r="R1079" i="4"/>
  <c r="Q1079" i="4"/>
  <c r="P1079" i="4"/>
  <c r="K1079" i="4"/>
  <c r="J1079" i="4"/>
  <c r="D1079" i="4"/>
  <c r="C1079" i="4"/>
  <c r="A1079" i="4" s="1"/>
  <c r="R1078" i="4"/>
  <c r="Q1078" i="4"/>
  <c r="P1078" i="4"/>
  <c r="K1078" i="4"/>
  <c r="J1078" i="4"/>
  <c r="D1078" i="4"/>
  <c r="C1078" i="4"/>
  <c r="A1078" i="4" s="1"/>
  <c r="R1077" i="4"/>
  <c r="Q1077" i="4"/>
  <c r="P1077" i="4"/>
  <c r="K1077" i="4"/>
  <c r="J1077" i="4"/>
  <c r="D1077" i="4"/>
  <c r="C1077" i="4"/>
  <c r="A1077" i="4" s="1"/>
  <c r="R1076" i="4"/>
  <c r="Q1076" i="4"/>
  <c r="P1076" i="4"/>
  <c r="K1076" i="4"/>
  <c r="J1076" i="4"/>
  <c r="D1076" i="4"/>
  <c r="C1076" i="4"/>
  <c r="A1076" i="4" s="1"/>
  <c r="R1075" i="4"/>
  <c r="Q1075" i="4"/>
  <c r="P1075" i="4"/>
  <c r="K1075" i="4"/>
  <c r="J1075" i="4"/>
  <c r="D1075" i="4"/>
  <c r="C1075" i="4"/>
  <c r="A1075" i="4" s="1"/>
  <c r="R1074" i="4"/>
  <c r="Q1074" i="4"/>
  <c r="P1074" i="4"/>
  <c r="K1074" i="4"/>
  <c r="J1074" i="4"/>
  <c r="D1074" i="4"/>
  <c r="C1074" i="4"/>
  <c r="A1074" i="4" s="1"/>
  <c r="R1073" i="4"/>
  <c r="Q1073" i="4"/>
  <c r="P1073" i="4"/>
  <c r="K1073" i="4"/>
  <c r="J1073" i="4"/>
  <c r="D1073" i="4"/>
  <c r="C1073" i="4"/>
  <c r="A1073" i="4" s="1"/>
  <c r="R1072" i="4"/>
  <c r="Q1072" i="4"/>
  <c r="P1072" i="4"/>
  <c r="K1072" i="4"/>
  <c r="J1072" i="4"/>
  <c r="D1072" i="4"/>
  <c r="C1072" i="4"/>
  <c r="A1072" i="4" s="1"/>
  <c r="R1071" i="4"/>
  <c r="Q1071" i="4"/>
  <c r="P1071" i="4"/>
  <c r="K1071" i="4"/>
  <c r="J1071" i="4"/>
  <c r="D1071" i="4"/>
  <c r="C1071" i="4"/>
  <c r="A1071" i="4" s="1"/>
  <c r="R1070" i="4"/>
  <c r="Q1070" i="4"/>
  <c r="P1070" i="4"/>
  <c r="K1070" i="4"/>
  <c r="J1070" i="4"/>
  <c r="D1070" i="4"/>
  <c r="C1070" i="4"/>
  <c r="A1070" i="4" s="1"/>
  <c r="R1069" i="4"/>
  <c r="Q1069" i="4"/>
  <c r="P1069" i="4"/>
  <c r="K1069" i="4"/>
  <c r="J1069" i="4"/>
  <c r="D1069" i="4"/>
  <c r="C1069" i="4"/>
  <c r="A1069" i="4"/>
  <c r="R1068" i="4"/>
  <c r="Q1068" i="4"/>
  <c r="P1068" i="4"/>
  <c r="K1068" i="4"/>
  <c r="J1068" i="4"/>
  <c r="D1068" i="4"/>
  <c r="C1068" i="4"/>
  <c r="A1068" i="4" s="1"/>
  <c r="R1067" i="4"/>
  <c r="Q1067" i="4"/>
  <c r="P1067" i="4"/>
  <c r="K1067" i="4"/>
  <c r="J1067" i="4"/>
  <c r="D1067" i="4"/>
  <c r="C1067" i="4"/>
  <c r="A1067" i="4" s="1"/>
  <c r="R1066" i="4"/>
  <c r="Q1066" i="4"/>
  <c r="P1066" i="4"/>
  <c r="K1066" i="4"/>
  <c r="J1066" i="4"/>
  <c r="D1066" i="4"/>
  <c r="C1066" i="4"/>
  <c r="A1066" i="4" s="1"/>
  <c r="R1065" i="4"/>
  <c r="Q1065" i="4"/>
  <c r="P1065" i="4"/>
  <c r="K1065" i="4"/>
  <c r="J1065" i="4"/>
  <c r="D1065" i="4"/>
  <c r="C1065" i="4"/>
  <c r="A1065" i="4" s="1"/>
  <c r="R1064" i="4"/>
  <c r="Q1064" i="4"/>
  <c r="P1064" i="4"/>
  <c r="K1064" i="4"/>
  <c r="J1064" i="4"/>
  <c r="D1064" i="4"/>
  <c r="C1064" i="4"/>
  <c r="A1064" i="4" s="1"/>
  <c r="R1063" i="4"/>
  <c r="Q1063" i="4"/>
  <c r="P1063" i="4"/>
  <c r="K1063" i="4"/>
  <c r="J1063" i="4"/>
  <c r="D1063" i="4"/>
  <c r="C1063" i="4"/>
  <c r="A1063" i="4"/>
  <c r="R1062" i="4"/>
  <c r="Q1062" i="4"/>
  <c r="P1062" i="4"/>
  <c r="K1062" i="4"/>
  <c r="J1062" i="4"/>
  <c r="D1062" i="4"/>
  <c r="C1062" i="4"/>
  <c r="A1062" i="4" s="1"/>
  <c r="R1061" i="4"/>
  <c r="Q1061" i="4"/>
  <c r="P1061" i="4"/>
  <c r="K1061" i="4"/>
  <c r="J1061" i="4"/>
  <c r="D1061" i="4"/>
  <c r="C1061" i="4"/>
  <c r="A1061" i="4" s="1"/>
  <c r="R1060" i="4"/>
  <c r="Q1060" i="4"/>
  <c r="P1060" i="4"/>
  <c r="K1060" i="4"/>
  <c r="J1060" i="4"/>
  <c r="D1060" i="4"/>
  <c r="C1060" i="4"/>
  <c r="A1060" i="4" s="1"/>
  <c r="R1059" i="4"/>
  <c r="Q1059" i="4"/>
  <c r="P1059" i="4"/>
  <c r="K1059" i="4"/>
  <c r="J1059" i="4"/>
  <c r="D1059" i="4"/>
  <c r="C1059" i="4"/>
  <c r="A1059" i="4" s="1"/>
  <c r="R1058" i="4"/>
  <c r="Q1058" i="4"/>
  <c r="P1058" i="4"/>
  <c r="K1058" i="4"/>
  <c r="J1058" i="4"/>
  <c r="D1058" i="4"/>
  <c r="C1058" i="4"/>
  <c r="A1058" i="4" s="1"/>
  <c r="R1057" i="4"/>
  <c r="Q1057" i="4"/>
  <c r="P1057" i="4"/>
  <c r="K1057" i="4"/>
  <c r="J1057" i="4"/>
  <c r="D1057" i="4"/>
  <c r="C1057" i="4"/>
  <c r="A1057" i="4" s="1"/>
  <c r="R1056" i="4"/>
  <c r="Q1056" i="4"/>
  <c r="P1056" i="4"/>
  <c r="K1056" i="4"/>
  <c r="J1056" i="4"/>
  <c r="D1056" i="4"/>
  <c r="C1056" i="4"/>
  <c r="A1056" i="4" s="1"/>
  <c r="R1055" i="4"/>
  <c r="Q1055" i="4"/>
  <c r="P1055" i="4"/>
  <c r="K1055" i="4"/>
  <c r="J1055" i="4"/>
  <c r="D1055" i="4"/>
  <c r="C1055" i="4"/>
  <c r="A1055" i="4" s="1"/>
  <c r="R1054" i="4"/>
  <c r="Q1054" i="4"/>
  <c r="P1054" i="4"/>
  <c r="K1054" i="4"/>
  <c r="J1054" i="4"/>
  <c r="D1054" i="4"/>
  <c r="C1054" i="4"/>
  <c r="A1054" i="4" s="1"/>
  <c r="R1053" i="4"/>
  <c r="Q1053" i="4"/>
  <c r="P1053" i="4"/>
  <c r="K1053" i="4"/>
  <c r="J1053" i="4"/>
  <c r="D1053" i="4"/>
  <c r="C1053" i="4"/>
  <c r="A1053" i="4" s="1"/>
  <c r="R1052" i="4"/>
  <c r="Q1052" i="4"/>
  <c r="P1052" i="4"/>
  <c r="K1052" i="4"/>
  <c r="J1052" i="4"/>
  <c r="D1052" i="4"/>
  <c r="C1052" i="4"/>
  <c r="A1052" i="4" s="1"/>
  <c r="R1051" i="4"/>
  <c r="Q1051" i="4"/>
  <c r="P1051" i="4"/>
  <c r="K1051" i="4"/>
  <c r="J1051" i="4"/>
  <c r="D1051" i="4"/>
  <c r="C1051" i="4"/>
  <c r="A1051" i="4" s="1"/>
  <c r="R1050" i="4"/>
  <c r="Q1050" i="4"/>
  <c r="P1050" i="4"/>
  <c r="K1050" i="4"/>
  <c r="J1050" i="4"/>
  <c r="D1050" i="4"/>
  <c r="C1050" i="4"/>
  <c r="A1050" i="4" s="1"/>
  <c r="R1049" i="4"/>
  <c r="Q1049" i="4"/>
  <c r="P1049" i="4"/>
  <c r="K1049" i="4"/>
  <c r="J1049" i="4"/>
  <c r="D1049" i="4"/>
  <c r="C1049" i="4"/>
  <c r="A1049" i="4" s="1"/>
  <c r="R1048" i="4"/>
  <c r="Q1048" i="4"/>
  <c r="P1048" i="4"/>
  <c r="K1048" i="4"/>
  <c r="J1048" i="4"/>
  <c r="D1048" i="4"/>
  <c r="C1048" i="4"/>
  <c r="A1048" i="4" s="1"/>
  <c r="R1047" i="4"/>
  <c r="Q1047" i="4"/>
  <c r="P1047" i="4"/>
  <c r="K1047" i="4"/>
  <c r="J1047" i="4"/>
  <c r="D1047" i="4"/>
  <c r="C1047" i="4"/>
  <c r="A1047" i="4" s="1"/>
  <c r="R1046" i="4"/>
  <c r="Q1046" i="4"/>
  <c r="P1046" i="4"/>
  <c r="K1046" i="4"/>
  <c r="J1046" i="4"/>
  <c r="D1046" i="4"/>
  <c r="C1046" i="4"/>
  <c r="A1046" i="4" s="1"/>
  <c r="R1045" i="4"/>
  <c r="Q1045" i="4"/>
  <c r="P1045" i="4"/>
  <c r="K1045" i="4"/>
  <c r="J1045" i="4"/>
  <c r="D1045" i="4"/>
  <c r="C1045" i="4"/>
  <c r="A1045" i="4" s="1"/>
  <c r="R1044" i="4"/>
  <c r="Q1044" i="4"/>
  <c r="P1044" i="4"/>
  <c r="K1044" i="4"/>
  <c r="J1044" i="4"/>
  <c r="D1044" i="4"/>
  <c r="C1044" i="4"/>
  <c r="A1044" i="4" s="1"/>
  <c r="R1043" i="4"/>
  <c r="Q1043" i="4"/>
  <c r="P1043" i="4"/>
  <c r="K1043" i="4"/>
  <c r="J1043" i="4"/>
  <c r="D1043" i="4"/>
  <c r="C1043" i="4"/>
  <c r="A1043" i="4" s="1"/>
  <c r="R1042" i="4"/>
  <c r="Q1042" i="4"/>
  <c r="P1042" i="4"/>
  <c r="K1042" i="4"/>
  <c r="J1042" i="4"/>
  <c r="D1042" i="4"/>
  <c r="C1042" i="4"/>
  <c r="A1042" i="4" s="1"/>
  <c r="R1041" i="4"/>
  <c r="Q1041" i="4"/>
  <c r="P1041" i="4"/>
  <c r="K1041" i="4"/>
  <c r="J1041" i="4"/>
  <c r="D1041" i="4"/>
  <c r="C1041" i="4"/>
  <c r="A1041" i="4" s="1"/>
  <c r="R1040" i="4"/>
  <c r="Q1040" i="4"/>
  <c r="P1040" i="4"/>
  <c r="K1040" i="4"/>
  <c r="J1040" i="4"/>
  <c r="D1040" i="4"/>
  <c r="C1040" i="4"/>
  <c r="A1040" i="4" s="1"/>
  <c r="R1039" i="4"/>
  <c r="Q1039" i="4"/>
  <c r="P1039" i="4"/>
  <c r="K1039" i="4"/>
  <c r="J1039" i="4"/>
  <c r="D1039" i="4"/>
  <c r="C1039" i="4"/>
  <c r="A1039" i="4" s="1"/>
  <c r="R1038" i="4"/>
  <c r="Q1038" i="4"/>
  <c r="P1038" i="4"/>
  <c r="K1038" i="4"/>
  <c r="J1038" i="4"/>
  <c r="D1038" i="4"/>
  <c r="C1038" i="4"/>
  <c r="A1038" i="4" s="1"/>
  <c r="R1037" i="4"/>
  <c r="Q1037" i="4"/>
  <c r="P1037" i="4"/>
  <c r="K1037" i="4"/>
  <c r="J1037" i="4"/>
  <c r="D1037" i="4"/>
  <c r="C1037" i="4"/>
  <c r="A1037" i="4" s="1"/>
  <c r="R1036" i="4"/>
  <c r="Q1036" i="4"/>
  <c r="P1036" i="4"/>
  <c r="K1036" i="4"/>
  <c r="J1036" i="4"/>
  <c r="D1036" i="4"/>
  <c r="C1036" i="4"/>
  <c r="A1036" i="4" s="1"/>
  <c r="R1035" i="4"/>
  <c r="Q1035" i="4"/>
  <c r="P1035" i="4"/>
  <c r="K1035" i="4"/>
  <c r="J1035" i="4"/>
  <c r="D1035" i="4"/>
  <c r="C1035" i="4"/>
  <c r="A1035" i="4" s="1"/>
  <c r="R1034" i="4"/>
  <c r="Q1034" i="4"/>
  <c r="P1034" i="4"/>
  <c r="K1034" i="4"/>
  <c r="J1034" i="4"/>
  <c r="D1034" i="4"/>
  <c r="C1034" i="4"/>
  <c r="A1034" i="4" s="1"/>
  <c r="R1033" i="4"/>
  <c r="Q1033" i="4"/>
  <c r="P1033" i="4"/>
  <c r="K1033" i="4"/>
  <c r="J1033" i="4"/>
  <c r="D1033" i="4"/>
  <c r="C1033" i="4"/>
  <c r="A1033" i="4" s="1"/>
  <c r="R1032" i="4"/>
  <c r="Q1032" i="4"/>
  <c r="P1032" i="4"/>
  <c r="K1032" i="4"/>
  <c r="J1032" i="4"/>
  <c r="D1032" i="4"/>
  <c r="C1032" i="4"/>
  <c r="A1032" i="4" s="1"/>
  <c r="R1031" i="4"/>
  <c r="Q1031" i="4"/>
  <c r="P1031" i="4"/>
  <c r="K1031" i="4"/>
  <c r="J1031" i="4"/>
  <c r="D1031" i="4"/>
  <c r="C1031" i="4"/>
  <c r="A1031" i="4" s="1"/>
  <c r="R1030" i="4"/>
  <c r="Q1030" i="4"/>
  <c r="P1030" i="4"/>
  <c r="K1030" i="4"/>
  <c r="J1030" i="4"/>
  <c r="D1030" i="4"/>
  <c r="C1030" i="4"/>
  <c r="A1030" i="4" s="1"/>
  <c r="R1029" i="4"/>
  <c r="Q1029" i="4"/>
  <c r="P1029" i="4"/>
  <c r="K1029" i="4"/>
  <c r="J1029" i="4"/>
  <c r="D1029" i="4"/>
  <c r="C1029" i="4"/>
  <c r="A1029" i="4" s="1"/>
  <c r="R1028" i="4"/>
  <c r="Q1028" i="4"/>
  <c r="P1028" i="4"/>
  <c r="K1028" i="4"/>
  <c r="J1028" i="4"/>
  <c r="D1028" i="4"/>
  <c r="C1028" i="4"/>
  <c r="A1028" i="4" s="1"/>
  <c r="R1027" i="4"/>
  <c r="Q1027" i="4"/>
  <c r="P1027" i="4"/>
  <c r="K1027" i="4"/>
  <c r="J1027" i="4"/>
  <c r="D1027" i="4"/>
  <c r="C1027" i="4"/>
  <c r="A1027" i="4" s="1"/>
  <c r="R1026" i="4"/>
  <c r="Q1026" i="4"/>
  <c r="P1026" i="4"/>
  <c r="K1026" i="4"/>
  <c r="J1026" i="4"/>
  <c r="D1026" i="4"/>
  <c r="C1026" i="4"/>
  <c r="A1026" i="4" s="1"/>
  <c r="R1025" i="4"/>
  <c r="Q1025" i="4"/>
  <c r="P1025" i="4"/>
  <c r="K1025" i="4"/>
  <c r="J1025" i="4"/>
  <c r="D1025" i="4"/>
  <c r="C1025" i="4"/>
  <c r="A1025" i="4" s="1"/>
  <c r="R1024" i="4"/>
  <c r="Q1024" i="4"/>
  <c r="P1024" i="4"/>
  <c r="K1024" i="4"/>
  <c r="J1024" i="4"/>
  <c r="D1024" i="4"/>
  <c r="C1024" i="4"/>
  <c r="A1024" i="4" s="1"/>
  <c r="R1023" i="4"/>
  <c r="Q1023" i="4"/>
  <c r="P1023" i="4"/>
  <c r="K1023" i="4"/>
  <c r="J1023" i="4"/>
  <c r="D1023" i="4"/>
  <c r="C1023" i="4"/>
  <c r="A1023" i="4" s="1"/>
  <c r="R1022" i="4"/>
  <c r="Q1022" i="4"/>
  <c r="P1022" i="4"/>
  <c r="K1022" i="4"/>
  <c r="J1022" i="4"/>
  <c r="D1022" i="4"/>
  <c r="C1022" i="4"/>
  <c r="A1022" i="4" s="1"/>
  <c r="R1021" i="4"/>
  <c r="Q1021" i="4"/>
  <c r="P1021" i="4"/>
  <c r="K1021" i="4"/>
  <c r="J1021" i="4"/>
  <c r="D1021" i="4"/>
  <c r="C1021" i="4"/>
  <c r="A1021" i="4" s="1"/>
  <c r="A1021" i="1" s="1"/>
  <c r="R1020" i="4"/>
  <c r="Q1020" i="4"/>
  <c r="P1020" i="4"/>
  <c r="K1020" i="4"/>
  <c r="J1020" i="4"/>
  <c r="D1020" i="4"/>
  <c r="C1020" i="4"/>
  <c r="A1020" i="4" s="1"/>
  <c r="R1019" i="4"/>
  <c r="Q1019" i="4"/>
  <c r="P1019" i="4"/>
  <c r="K1019" i="4"/>
  <c r="J1019" i="4"/>
  <c r="D1019" i="4"/>
  <c r="C1019" i="4"/>
  <c r="A1019" i="4" s="1"/>
  <c r="R1018" i="4"/>
  <c r="Q1018" i="4"/>
  <c r="P1018" i="4"/>
  <c r="K1018" i="4"/>
  <c r="J1018" i="4"/>
  <c r="D1018" i="4"/>
  <c r="C1018" i="4"/>
  <c r="A1018" i="4" s="1"/>
  <c r="R1017" i="4"/>
  <c r="Q1017" i="4"/>
  <c r="P1017" i="4"/>
  <c r="K1017" i="4"/>
  <c r="J1017" i="4"/>
  <c r="D1017" i="4"/>
  <c r="C1017" i="4"/>
  <c r="A1017" i="4" s="1"/>
  <c r="R1016" i="4"/>
  <c r="Q1016" i="4"/>
  <c r="P1016" i="4"/>
  <c r="K1016" i="4"/>
  <c r="J1016" i="4"/>
  <c r="D1016" i="4"/>
  <c r="C1016" i="4"/>
  <c r="A1016" i="4" s="1"/>
  <c r="R1015" i="4"/>
  <c r="Q1015" i="4"/>
  <c r="P1015" i="4"/>
  <c r="K1015" i="4"/>
  <c r="J1015" i="4"/>
  <c r="D1015" i="4"/>
  <c r="C1015" i="4"/>
  <c r="A1015" i="4" s="1"/>
  <c r="R1014" i="4"/>
  <c r="Q1014" i="4"/>
  <c r="P1014" i="4"/>
  <c r="K1014" i="4"/>
  <c r="J1014" i="4"/>
  <c r="D1014" i="4"/>
  <c r="C1014" i="4"/>
  <c r="A1014" i="4" s="1"/>
  <c r="R1013" i="4"/>
  <c r="Q1013" i="4"/>
  <c r="P1013" i="4"/>
  <c r="K1013" i="4"/>
  <c r="J1013" i="4"/>
  <c r="D1013" i="4"/>
  <c r="C1013" i="4"/>
  <c r="A1013" i="4" s="1"/>
  <c r="R1012" i="4"/>
  <c r="Q1012" i="4"/>
  <c r="P1012" i="4"/>
  <c r="K1012" i="4"/>
  <c r="J1012" i="4"/>
  <c r="D1012" i="4"/>
  <c r="C1012" i="4"/>
  <c r="A1012" i="4" s="1"/>
  <c r="R1011" i="4"/>
  <c r="Q1011" i="4"/>
  <c r="P1011" i="4"/>
  <c r="K1011" i="4"/>
  <c r="J1011" i="4"/>
  <c r="D1011" i="4"/>
  <c r="C1011" i="4"/>
  <c r="A1011" i="4" s="1"/>
  <c r="R1010" i="4"/>
  <c r="Q1010" i="4"/>
  <c r="P1010" i="4"/>
  <c r="K1010" i="4"/>
  <c r="J1010" i="4"/>
  <c r="D1010" i="4"/>
  <c r="C1010" i="4"/>
  <c r="A1010" i="4" s="1"/>
  <c r="R1009" i="4"/>
  <c r="Q1009" i="4"/>
  <c r="P1009" i="4"/>
  <c r="K1009" i="4"/>
  <c r="J1009" i="4"/>
  <c r="D1009" i="4"/>
  <c r="C1009" i="4"/>
  <c r="A1009" i="4" s="1"/>
  <c r="R1008" i="4"/>
  <c r="Q1008" i="4"/>
  <c r="P1008" i="4"/>
  <c r="K1008" i="4"/>
  <c r="J1008" i="4"/>
  <c r="D1008" i="4"/>
  <c r="C1008" i="4"/>
  <c r="A1008" i="4" s="1"/>
  <c r="R1007" i="4"/>
  <c r="Q1007" i="4"/>
  <c r="P1007" i="4"/>
  <c r="K1007" i="4"/>
  <c r="J1007" i="4"/>
  <c r="D1007" i="4"/>
  <c r="C1007" i="4"/>
  <c r="A1007" i="4" s="1"/>
  <c r="R1006" i="4"/>
  <c r="Q1006" i="4"/>
  <c r="P1006" i="4"/>
  <c r="K1006" i="4"/>
  <c r="J1006" i="4"/>
  <c r="D1006" i="4"/>
  <c r="C1006" i="4"/>
  <c r="A1006" i="4" s="1"/>
  <c r="R1005" i="4"/>
  <c r="Q1005" i="4"/>
  <c r="P1005" i="4"/>
  <c r="K1005" i="4"/>
  <c r="J1005" i="4"/>
  <c r="D1005" i="4"/>
  <c r="C1005" i="4"/>
  <c r="A1005" i="4" s="1"/>
  <c r="R1004" i="4"/>
  <c r="Q1004" i="4"/>
  <c r="P1004" i="4"/>
  <c r="K1004" i="4"/>
  <c r="J1004" i="4"/>
  <c r="D1004" i="4"/>
  <c r="C1004" i="4"/>
  <c r="A1004" i="4" s="1"/>
  <c r="R1003" i="4"/>
  <c r="Q1003" i="4"/>
  <c r="P1003" i="4"/>
  <c r="K1003" i="4"/>
  <c r="J1003" i="4"/>
  <c r="D1003" i="4"/>
  <c r="C1003" i="4"/>
  <c r="A1003" i="4" s="1"/>
  <c r="R1002" i="4"/>
  <c r="Q1002" i="4"/>
  <c r="P1002" i="4"/>
  <c r="K1002" i="4"/>
  <c r="J1002" i="4"/>
  <c r="D1002" i="4"/>
  <c r="C1002" i="4"/>
  <c r="A1002" i="4" s="1"/>
  <c r="R1001" i="4"/>
  <c r="Q1001" i="4"/>
  <c r="P1001" i="4"/>
  <c r="K1001" i="4"/>
  <c r="J1001" i="4"/>
  <c r="D1001" i="4"/>
  <c r="C1001" i="4"/>
  <c r="A1001" i="4" s="1"/>
  <c r="R1000" i="4"/>
  <c r="Q1000" i="4"/>
  <c r="P1000" i="4"/>
  <c r="K1000" i="4"/>
  <c r="J1000" i="4"/>
  <c r="D1000" i="4"/>
  <c r="C1000" i="4"/>
  <c r="A1000" i="4" s="1"/>
  <c r="R999" i="4"/>
  <c r="Q999" i="4"/>
  <c r="P999" i="4"/>
  <c r="K999" i="4"/>
  <c r="J999" i="4"/>
  <c r="D999" i="4"/>
  <c r="C999" i="4"/>
  <c r="A999" i="4" s="1"/>
  <c r="R998" i="4"/>
  <c r="Q998" i="4"/>
  <c r="P998" i="4"/>
  <c r="K998" i="4"/>
  <c r="J998" i="4"/>
  <c r="D998" i="4"/>
  <c r="C998" i="4"/>
  <c r="A998" i="4" s="1"/>
  <c r="R997" i="4"/>
  <c r="Q997" i="4"/>
  <c r="P997" i="4"/>
  <c r="K997" i="4"/>
  <c r="J997" i="4"/>
  <c r="D997" i="4"/>
  <c r="C997" i="4"/>
  <c r="A997" i="4" s="1"/>
  <c r="A997" i="1" s="1"/>
  <c r="R996" i="4"/>
  <c r="Q996" i="4"/>
  <c r="P996" i="4"/>
  <c r="K996" i="4"/>
  <c r="J996" i="4"/>
  <c r="D996" i="4"/>
  <c r="C996" i="4"/>
  <c r="A996" i="4" s="1"/>
  <c r="R995" i="4"/>
  <c r="Q995" i="4"/>
  <c r="P995" i="4"/>
  <c r="K995" i="4"/>
  <c r="J995" i="4"/>
  <c r="D995" i="4"/>
  <c r="C995" i="4"/>
  <c r="A995" i="4" s="1"/>
  <c r="R994" i="4"/>
  <c r="Q994" i="4"/>
  <c r="P994" i="4"/>
  <c r="K994" i="4"/>
  <c r="J994" i="4"/>
  <c r="D994" i="4"/>
  <c r="C994" i="4"/>
  <c r="A994" i="4" s="1"/>
  <c r="R993" i="4"/>
  <c r="Q993" i="4"/>
  <c r="P993" i="4"/>
  <c r="K993" i="4"/>
  <c r="J993" i="4"/>
  <c r="D993" i="4"/>
  <c r="C993" i="4"/>
  <c r="A993" i="4" s="1"/>
  <c r="R992" i="4"/>
  <c r="Q992" i="4"/>
  <c r="P992" i="4"/>
  <c r="K992" i="4"/>
  <c r="J992" i="4"/>
  <c r="D992" i="4"/>
  <c r="C992" i="4"/>
  <c r="A992" i="4" s="1"/>
  <c r="R991" i="4"/>
  <c r="Q991" i="4"/>
  <c r="P991" i="4"/>
  <c r="K991" i="4"/>
  <c r="J991" i="4"/>
  <c r="D991" i="4"/>
  <c r="C991" i="4"/>
  <c r="A991" i="4" s="1"/>
  <c r="R990" i="4"/>
  <c r="Q990" i="4"/>
  <c r="P990" i="4"/>
  <c r="K990" i="4"/>
  <c r="J990" i="4"/>
  <c r="D990" i="4"/>
  <c r="C990" i="4"/>
  <c r="A990" i="4" s="1"/>
  <c r="R989" i="4"/>
  <c r="Q989" i="4"/>
  <c r="P989" i="4"/>
  <c r="K989" i="4"/>
  <c r="J989" i="4"/>
  <c r="D989" i="4"/>
  <c r="C989" i="4"/>
  <c r="A989" i="4" s="1"/>
  <c r="R988" i="4"/>
  <c r="Q988" i="4"/>
  <c r="P988" i="4"/>
  <c r="K988" i="4"/>
  <c r="J988" i="4"/>
  <c r="D988" i="4"/>
  <c r="C988" i="4"/>
  <c r="A988" i="4" s="1"/>
  <c r="R987" i="4"/>
  <c r="Q987" i="4"/>
  <c r="P987" i="4"/>
  <c r="K987" i="4"/>
  <c r="J987" i="4"/>
  <c r="D987" i="4"/>
  <c r="C987" i="4"/>
  <c r="A987" i="4" s="1"/>
  <c r="R986" i="4"/>
  <c r="Q986" i="4"/>
  <c r="P986" i="4"/>
  <c r="K986" i="4"/>
  <c r="J986" i="4"/>
  <c r="D986" i="4"/>
  <c r="C986" i="4"/>
  <c r="A986" i="4" s="1"/>
  <c r="R985" i="4"/>
  <c r="Q985" i="4"/>
  <c r="P985" i="4"/>
  <c r="K985" i="4"/>
  <c r="J985" i="4"/>
  <c r="D985" i="4"/>
  <c r="C985" i="4"/>
  <c r="A985" i="4" s="1"/>
  <c r="R984" i="4"/>
  <c r="Q984" i="4"/>
  <c r="P984" i="4"/>
  <c r="K984" i="4"/>
  <c r="J984" i="4"/>
  <c r="D984" i="4"/>
  <c r="C984" i="4"/>
  <c r="A984" i="4" s="1"/>
  <c r="R983" i="4"/>
  <c r="Q983" i="4"/>
  <c r="P983" i="4"/>
  <c r="K983" i="4"/>
  <c r="J983" i="4"/>
  <c r="D983" i="4"/>
  <c r="C983" i="4"/>
  <c r="A983" i="4" s="1"/>
  <c r="R982" i="4"/>
  <c r="Q982" i="4"/>
  <c r="P982" i="4"/>
  <c r="K982" i="4"/>
  <c r="J982" i="4"/>
  <c r="D982" i="4"/>
  <c r="C982" i="4"/>
  <c r="A982" i="4" s="1"/>
  <c r="R981" i="4"/>
  <c r="Q981" i="4"/>
  <c r="P981" i="4"/>
  <c r="K981" i="4"/>
  <c r="J981" i="4"/>
  <c r="D981" i="4"/>
  <c r="C981" i="4"/>
  <c r="A981" i="4" s="1"/>
  <c r="R980" i="4"/>
  <c r="Q980" i="4"/>
  <c r="P980" i="4"/>
  <c r="K980" i="4"/>
  <c r="J980" i="4"/>
  <c r="D980" i="4"/>
  <c r="C980" i="4"/>
  <c r="A980" i="4" s="1"/>
  <c r="R979" i="4"/>
  <c r="Q979" i="4"/>
  <c r="P979" i="4"/>
  <c r="K979" i="4"/>
  <c r="J979" i="4"/>
  <c r="D979" i="4"/>
  <c r="C979" i="4"/>
  <c r="A979" i="4" s="1"/>
  <c r="R978" i="4"/>
  <c r="Q978" i="4"/>
  <c r="P978" i="4"/>
  <c r="K978" i="4"/>
  <c r="J978" i="4"/>
  <c r="D978" i="4"/>
  <c r="C978" i="4"/>
  <c r="A978" i="4" s="1"/>
  <c r="R977" i="4"/>
  <c r="Q977" i="4"/>
  <c r="P977" i="4"/>
  <c r="K977" i="4"/>
  <c r="J977" i="4"/>
  <c r="D977" i="4"/>
  <c r="C977" i="4"/>
  <c r="A977" i="4" s="1"/>
  <c r="R976" i="4"/>
  <c r="Q976" i="4"/>
  <c r="P976" i="4"/>
  <c r="K976" i="4"/>
  <c r="J976" i="4"/>
  <c r="D976" i="4"/>
  <c r="C976" i="4"/>
  <c r="A976" i="4" s="1"/>
  <c r="R975" i="4"/>
  <c r="Q975" i="4"/>
  <c r="P975" i="4"/>
  <c r="K975" i="4"/>
  <c r="J975" i="4"/>
  <c r="D975" i="4"/>
  <c r="C975" i="4"/>
  <c r="A975" i="4" s="1"/>
  <c r="R974" i="4"/>
  <c r="Q974" i="4"/>
  <c r="P974" i="4"/>
  <c r="K974" i="4"/>
  <c r="J974" i="4"/>
  <c r="D974" i="4"/>
  <c r="C974" i="4"/>
  <c r="A974" i="4" s="1"/>
  <c r="R973" i="4"/>
  <c r="Q973" i="4"/>
  <c r="P973" i="4"/>
  <c r="K973" i="4"/>
  <c r="J973" i="4"/>
  <c r="D973" i="4"/>
  <c r="C973" i="4"/>
  <c r="A973" i="4" s="1"/>
  <c r="R972" i="4"/>
  <c r="Q972" i="4"/>
  <c r="P972" i="4"/>
  <c r="K972" i="4"/>
  <c r="J972" i="4"/>
  <c r="D972" i="4"/>
  <c r="C972" i="4"/>
  <c r="A972" i="4" s="1"/>
  <c r="R971" i="4"/>
  <c r="Q971" i="4"/>
  <c r="P971" i="4"/>
  <c r="K971" i="4"/>
  <c r="J971" i="4"/>
  <c r="D971" i="4"/>
  <c r="C971" i="4"/>
  <c r="A971" i="4" s="1"/>
  <c r="R970" i="4"/>
  <c r="Q970" i="4"/>
  <c r="P970" i="4"/>
  <c r="K970" i="4"/>
  <c r="J970" i="4"/>
  <c r="D970" i="4"/>
  <c r="C970" i="4"/>
  <c r="A970" i="4" s="1"/>
  <c r="R969" i="4"/>
  <c r="Q969" i="4"/>
  <c r="P969" i="4"/>
  <c r="K969" i="4"/>
  <c r="J969" i="4"/>
  <c r="D969" i="4"/>
  <c r="C969" i="4"/>
  <c r="A969" i="4" s="1"/>
  <c r="R968" i="4"/>
  <c r="Q968" i="4"/>
  <c r="P968" i="4"/>
  <c r="K968" i="4"/>
  <c r="J968" i="4"/>
  <c r="D968" i="4"/>
  <c r="C968" i="4"/>
  <c r="A968" i="4" s="1"/>
  <c r="R967" i="4"/>
  <c r="Q967" i="4"/>
  <c r="P967" i="4"/>
  <c r="K967" i="4"/>
  <c r="J967" i="4"/>
  <c r="D967" i="4"/>
  <c r="C967" i="4"/>
  <c r="A967" i="4" s="1"/>
  <c r="R966" i="4"/>
  <c r="Q966" i="4"/>
  <c r="P966" i="4"/>
  <c r="K966" i="4"/>
  <c r="J966" i="4"/>
  <c r="D966" i="4"/>
  <c r="C966" i="4"/>
  <c r="A966" i="4" s="1"/>
  <c r="R965" i="4"/>
  <c r="Q965" i="4"/>
  <c r="P965" i="4"/>
  <c r="K965" i="4"/>
  <c r="J965" i="4"/>
  <c r="D965" i="4"/>
  <c r="C965" i="4"/>
  <c r="A965" i="4" s="1"/>
  <c r="R964" i="4"/>
  <c r="Q964" i="4"/>
  <c r="P964" i="4"/>
  <c r="K964" i="4"/>
  <c r="J964" i="4"/>
  <c r="D964" i="4"/>
  <c r="C964" i="4"/>
  <c r="A964" i="4" s="1"/>
  <c r="R963" i="4"/>
  <c r="Q963" i="4"/>
  <c r="P963" i="4"/>
  <c r="K963" i="4"/>
  <c r="J963" i="4"/>
  <c r="D963" i="4"/>
  <c r="C963" i="4"/>
  <c r="A963" i="4" s="1"/>
  <c r="R962" i="4"/>
  <c r="Q962" i="4"/>
  <c r="P962" i="4"/>
  <c r="K962" i="4"/>
  <c r="J962" i="4"/>
  <c r="D962" i="4"/>
  <c r="C962" i="4"/>
  <c r="A962" i="4" s="1"/>
  <c r="R961" i="4"/>
  <c r="Q961" i="4"/>
  <c r="P961" i="4"/>
  <c r="K961" i="4"/>
  <c r="J961" i="4"/>
  <c r="D961" i="4"/>
  <c r="C961" i="4"/>
  <c r="A961" i="4" s="1"/>
  <c r="R960" i="4"/>
  <c r="Q960" i="4"/>
  <c r="P960" i="4"/>
  <c r="K960" i="4"/>
  <c r="J960" i="4"/>
  <c r="D960" i="4"/>
  <c r="C960" i="4"/>
  <c r="A960" i="4" s="1"/>
  <c r="R959" i="4"/>
  <c r="Q959" i="4"/>
  <c r="P959" i="4"/>
  <c r="K959" i="4"/>
  <c r="J959" i="4"/>
  <c r="D959" i="4"/>
  <c r="C959" i="4"/>
  <c r="A959" i="4" s="1"/>
  <c r="R958" i="4"/>
  <c r="Q958" i="4"/>
  <c r="P958" i="4"/>
  <c r="K958" i="4"/>
  <c r="J958" i="4"/>
  <c r="D958" i="4"/>
  <c r="C958" i="4"/>
  <c r="A958" i="4" s="1"/>
  <c r="R957" i="4"/>
  <c r="Q957" i="4"/>
  <c r="P957" i="4"/>
  <c r="K957" i="4"/>
  <c r="J957" i="4"/>
  <c r="D957" i="4"/>
  <c r="C957" i="4"/>
  <c r="A957" i="4" s="1"/>
  <c r="R956" i="4"/>
  <c r="Q956" i="4"/>
  <c r="P956" i="4"/>
  <c r="K956" i="4"/>
  <c r="J956" i="4"/>
  <c r="D956" i="4"/>
  <c r="C956" i="4"/>
  <c r="A956" i="4" s="1"/>
  <c r="R955" i="4"/>
  <c r="Q955" i="4"/>
  <c r="P955" i="4"/>
  <c r="K955" i="4"/>
  <c r="J955" i="4"/>
  <c r="D955" i="4"/>
  <c r="C955" i="4"/>
  <c r="A955" i="4" s="1"/>
  <c r="R954" i="4"/>
  <c r="Q954" i="4"/>
  <c r="P954" i="4"/>
  <c r="K954" i="4"/>
  <c r="J954" i="4"/>
  <c r="D954" i="4"/>
  <c r="C954" i="4"/>
  <c r="A954" i="4" s="1"/>
  <c r="R953" i="4"/>
  <c r="Q953" i="4"/>
  <c r="P953" i="4"/>
  <c r="K953" i="4"/>
  <c r="J953" i="4"/>
  <c r="D953" i="4"/>
  <c r="C953" i="4"/>
  <c r="A953" i="4" s="1"/>
  <c r="R952" i="4"/>
  <c r="Q952" i="4"/>
  <c r="P952" i="4"/>
  <c r="K952" i="4"/>
  <c r="J952" i="4"/>
  <c r="D952" i="4"/>
  <c r="C952" i="4"/>
  <c r="A952" i="4" s="1"/>
  <c r="R951" i="4"/>
  <c r="Q951" i="4"/>
  <c r="P951" i="4"/>
  <c r="K951" i="4"/>
  <c r="J951" i="4"/>
  <c r="D951" i="4"/>
  <c r="C951" i="4"/>
  <c r="A951" i="4" s="1"/>
  <c r="R950" i="4"/>
  <c r="Q950" i="4"/>
  <c r="P950" i="4"/>
  <c r="K950" i="4"/>
  <c r="J950" i="4"/>
  <c r="D950" i="4"/>
  <c r="C950" i="4"/>
  <c r="A950" i="4" s="1"/>
  <c r="R949" i="4"/>
  <c r="Q949" i="4"/>
  <c r="P949" i="4"/>
  <c r="K949" i="4"/>
  <c r="J949" i="4"/>
  <c r="D949" i="4"/>
  <c r="C949" i="4"/>
  <c r="A949" i="4" s="1"/>
  <c r="R948" i="4"/>
  <c r="Q948" i="4"/>
  <c r="P948" i="4"/>
  <c r="K948" i="4"/>
  <c r="J948" i="4"/>
  <c r="D948" i="4"/>
  <c r="C948" i="4"/>
  <c r="A948" i="4" s="1"/>
  <c r="R947" i="4"/>
  <c r="Q947" i="4"/>
  <c r="P947" i="4"/>
  <c r="K947" i="4"/>
  <c r="J947" i="4"/>
  <c r="D947" i="4"/>
  <c r="C947" i="4"/>
  <c r="A947" i="4" s="1"/>
  <c r="R946" i="4"/>
  <c r="Q946" i="4"/>
  <c r="P946" i="4"/>
  <c r="K946" i="4"/>
  <c r="J946" i="4"/>
  <c r="D946" i="4"/>
  <c r="C946" i="4"/>
  <c r="A946" i="4" s="1"/>
  <c r="R945" i="4"/>
  <c r="Q945" i="4"/>
  <c r="P945" i="4"/>
  <c r="K945" i="4"/>
  <c r="J945" i="4"/>
  <c r="D945" i="4"/>
  <c r="C945" i="4"/>
  <c r="A945" i="4" s="1"/>
  <c r="R944" i="4"/>
  <c r="Q944" i="4"/>
  <c r="P944" i="4"/>
  <c r="K944" i="4"/>
  <c r="J944" i="4"/>
  <c r="D944" i="4"/>
  <c r="C944" i="4"/>
  <c r="A944" i="4" s="1"/>
  <c r="R943" i="4"/>
  <c r="Q943" i="4"/>
  <c r="P943" i="4"/>
  <c r="K943" i="4"/>
  <c r="J943" i="4"/>
  <c r="D943" i="4"/>
  <c r="C943" i="4"/>
  <c r="A943" i="4" s="1"/>
  <c r="R942" i="4"/>
  <c r="Q942" i="4"/>
  <c r="P942" i="4"/>
  <c r="K942" i="4"/>
  <c r="J942" i="4"/>
  <c r="D942" i="4"/>
  <c r="C942" i="4"/>
  <c r="A942" i="4" s="1"/>
  <c r="R941" i="4"/>
  <c r="Q941" i="4"/>
  <c r="P941" i="4"/>
  <c r="K941" i="4"/>
  <c r="J941" i="4"/>
  <c r="D941" i="4"/>
  <c r="C941" i="4"/>
  <c r="A941" i="4" s="1"/>
  <c r="R940" i="4"/>
  <c r="Q940" i="4"/>
  <c r="P940" i="4"/>
  <c r="K940" i="4"/>
  <c r="J940" i="4"/>
  <c r="D940" i="4"/>
  <c r="C940" i="4"/>
  <c r="A940" i="4" s="1"/>
  <c r="R939" i="4"/>
  <c r="Q939" i="4"/>
  <c r="P939" i="4"/>
  <c r="K939" i="4"/>
  <c r="J939" i="4"/>
  <c r="D939" i="4"/>
  <c r="C939" i="4"/>
  <c r="A939" i="4" s="1"/>
  <c r="R938" i="4"/>
  <c r="Q938" i="4"/>
  <c r="P938" i="4"/>
  <c r="K938" i="4"/>
  <c r="J938" i="4"/>
  <c r="D938" i="4"/>
  <c r="C938" i="4"/>
  <c r="A938" i="4" s="1"/>
  <c r="R937" i="4"/>
  <c r="Q937" i="4"/>
  <c r="P937" i="4"/>
  <c r="K937" i="4"/>
  <c r="J937" i="4"/>
  <c r="D937" i="4"/>
  <c r="C937" i="4"/>
  <c r="A937" i="4" s="1"/>
  <c r="R936" i="4"/>
  <c r="Q936" i="4"/>
  <c r="P936" i="4"/>
  <c r="K936" i="4"/>
  <c r="J936" i="4"/>
  <c r="D936" i="4"/>
  <c r="C936" i="4"/>
  <c r="A936" i="4" s="1"/>
  <c r="R935" i="4"/>
  <c r="Q935" i="4"/>
  <c r="P935" i="4"/>
  <c r="K935" i="4"/>
  <c r="J935" i="4"/>
  <c r="D935" i="4"/>
  <c r="C935" i="4"/>
  <c r="A935" i="4" s="1"/>
  <c r="R934" i="4"/>
  <c r="Q934" i="4"/>
  <c r="P934" i="4"/>
  <c r="K934" i="4"/>
  <c r="J934" i="4"/>
  <c r="D934" i="4"/>
  <c r="C934" i="4"/>
  <c r="A934" i="4" s="1"/>
  <c r="R933" i="4"/>
  <c r="Q933" i="4"/>
  <c r="P933" i="4"/>
  <c r="K933" i="4"/>
  <c r="J933" i="4"/>
  <c r="D933" i="4"/>
  <c r="C933" i="4"/>
  <c r="A933" i="4" s="1"/>
  <c r="R932" i="4"/>
  <c r="Q932" i="4"/>
  <c r="P932" i="4"/>
  <c r="K932" i="4"/>
  <c r="J932" i="4"/>
  <c r="D932" i="4"/>
  <c r="C932" i="4"/>
  <c r="A932" i="4" s="1"/>
  <c r="R931" i="4"/>
  <c r="Q931" i="4"/>
  <c r="P931" i="4"/>
  <c r="K931" i="4"/>
  <c r="J931" i="4"/>
  <c r="D931" i="4"/>
  <c r="C931" i="4"/>
  <c r="A931" i="4" s="1"/>
  <c r="R930" i="4"/>
  <c r="Q930" i="4"/>
  <c r="P930" i="4"/>
  <c r="K930" i="4"/>
  <c r="J930" i="4"/>
  <c r="D930" i="4"/>
  <c r="C930" i="4"/>
  <c r="A930" i="4" s="1"/>
  <c r="R929" i="4"/>
  <c r="Q929" i="4"/>
  <c r="P929" i="4"/>
  <c r="K929" i="4"/>
  <c r="J929" i="4"/>
  <c r="D929" i="4"/>
  <c r="C929" i="4"/>
  <c r="A929" i="4" s="1"/>
  <c r="R928" i="4"/>
  <c r="Q928" i="4"/>
  <c r="P928" i="4"/>
  <c r="K928" i="4"/>
  <c r="J928" i="4"/>
  <c r="D928" i="4"/>
  <c r="C928" i="4"/>
  <c r="A928" i="4" s="1"/>
  <c r="R927" i="4"/>
  <c r="Q927" i="4"/>
  <c r="P927" i="4"/>
  <c r="K927" i="4"/>
  <c r="J927" i="4"/>
  <c r="D927" i="4"/>
  <c r="C927" i="4"/>
  <c r="A927" i="4" s="1"/>
  <c r="R926" i="4"/>
  <c r="Q926" i="4"/>
  <c r="P926" i="4"/>
  <c r="K926" i="4"/>
  <c r="J926" i="4"/>
  <c r="D926" i="4"/>
  <c r="C926" i="4"/>
  <c r="A926" i="4" s="1"/>
  <c r="R925" i="4"/>
  <c r="Q925" i="4"/>
  <c r="P925" i="4"/>
  <c r="K925" i="4"/>
  <c r="J925" i="4"/>
  <c r="D925" i="4"/>
  <c r="C925" i="4"/>
  <c r="A925" i="4" s="1"/>
  <c r="R924" i="4"/>
  <c r="Q924" i="4"/>
  <c r="P924" i="4"/>
  <c r="K924" i="4"/>
  <c r="J924" i="4"/>
  <c r="D924" i="4"/>
  <c r="C924" i="4"/>
  <c r="A924" i="4" s="1"/>
  <c r="R923" i="4"/>
  <c r="Q923" i="4"/>
  <c r="P923" i="4"/>
  <c r="K923" i="4"/>
  <c r="J923" i="4"/>
  <c r="D923" i="4"/>
  <c r="C923" i="4"/>
  <c r="A923" i="4" s="1"/>
  <c r="R922" i="4"/>
  <c r="Q922" i="4"/>
  <c r="P922" i="4"/>
  <c r="K922" i="4"/>
  <c r="J922" i="4"/>
  <c r="D922" i="4"/>
  <c r="C922" i="4"/>
  <c r="A922" i="4" s="1"/>
  <c r="R921" i="4"/>
  <c r="Q921" i="4"/>
  <c r="P921" i="4"/>
  <c r="K921" i="4"/>
  <c r="J921" i="4"/>
  <c r="D921" i="4"/>
  <c r="C921" i="4"/>
  <c r="A921" i="4" s="1"/>
  <c r="R920" i="4"/>
  <c r="Q920" i="4"/>
  <c r="P920" i="4"/>
  <c r="K920" i="4"/>
  <c r="J920" i="4"/>
  <c r="D920" i="4"/>
  <c r="C920" i="4"/>
  <c r="A920" i="4" s="1"/>
  <c r="R919" i="4"/>
  <c r="Q919" i="4"/>
  <c r="P919" i="4"/>
  <c r="K919" i="4"/>
  <c r="J919" i="4"/>
  <c r="D919" i="4"/>
  <c r="C919" i="4"/>
  <c r="A919" i="4" s="1"/>
  <c r="R918" i="4"/>
  <c r="Q918" i="4"/>
  <c r="P918" i="4"/>
  <c r="K918" i="4"/>
  <c r="J918" i="4"/>
  <c r="D918" i="4"/>
  <c r="C918" i="4"/>
  <c r="A918" i="4" s="1"/>
  <c r="R917" i="4"/>
  <c r="Q917" i="4"/>
  <c r="P917" i="4"/>
  <c r="K917" i="4"/>
  <c r="J917" i="4"/>
  <c r="D917" i="4"/>
  <c r="C917" i="4"/>
  <c r="A917" i="4" s="1"/>
  <c r="R916" i="4"/>
  <c r="Q916" i="4"/>
  <c r="P916" i="4"/>
  <c r="K916" i="4"/>
  <c r="J916" i="4"/>
  <c r="D916" i="4"/>
  <c r="C916" i="4"/>
  <c r="A916" i="4" s="1"/>
  <c r="R915" i="4"/>
  <c r="Q915" i="4"/>
  <c r="P915" i="4"/>
  <c r="K915" i="4"/>
  <c r="J915" i="4"/>
  <c r="D915" i="4"/>
  <c r="C915" i="4"/>
  <c r="A915" i="4" s="1"/>
  <c r="R914" i="4"/>
  <c r="Q914" i="4"/>
  <c r="P914" i="4"/>
  <c r="K914" i="4"/>
  <c r="J914" i="4"/>
  <c r="D914" i="4"/>
  <c r="C914" i="4"/>
  <c r="A914" i="4" s="1"/>
  <c r="R913" i="4"/>
  <c r="Q913" i="4"/>
  <c r="P913" i="4"/>
  <c r="K913" i="4"/>
  <c r="J913" i="4"/>
  <c r="D913" i="4"/>
  <c r="C913" i="4"/>
  <c r="A913" i="4" s="1"/>
  <c r="R912" i="4"/>
  <c r="Q912" i="4"/>
  <c r="P912" i="4"/>
  <c r="K912" i="4"/>
  <c r="J912" i="4"/>
  <c r="D912" i="4"/>
  <c r="C912" i="4"/>
  <c r="A912" i="4" s="1"/>
  <c r="R911" i="4"/>
  <c r="Q911" i="4"/>
  <c r="P911" i="4"/>
  <c r="K911" i="4"/>
  <c r="J911" i="4"/>
  <c r="D911" i="4"/>
  <c r="C911" i="4"/>
  <c r="A911" i="4" s="1"/>
  <c r="R910" i="4"/>
  <c r="Q910" i="4"/>
  <c r="P910" i="4"/>
  <c r="K910" i="4"/>
  <c r="J910" i="4"/>
  <c r="D910" i="4"/>
  <c r="C910" i="4"/>
  <c r="A910" i="4" s="1"/>
  <c r="R909" i="4"/>
  <c r="Q909" i="4"/>
  <c r="P909" i="4"/>
  <c r="K909" i="4"/>
  <c r="J909" i="4"/>
  <c r="D909" i="4"/>
  <c r="C909" i="4"/>
  <c r="A909" i="4" s="1"/>
  <c r="R908" i="4"/>
  <c r="Q908" i="4"/>
  <c r="P908" i="4"/>
  <c r="K908" i="4"/>
  <c r="J908" i="4"/>
  <c r="D908" i="4"/>
  <c r="C908" i="4"/>
  <c r="A908" i="4" s="1"/>
  <c r="R907" i="4"/>
  <c r="Q907" i="4"/>
  <c r="P907" i="4"/>
  <c r="K907" i="4"/>
  <c r="J907" i="4"/>
  <c r="D907" i="4"/>
  <c r="C907" i="4"/>
  <c r="A907" i="4" s="1"/>
  <c r="R906" i="4"/>
  <c r="Q906" i="4"/>
  <c r="P906" i="4"/>
  <c r="K906" i="4"/>
  <c r="J906" i="4"/>
  <c r="D906" i="4"/>
  <c r="C906" i="4"/>
  <c r="A906" i="4" s="1"/>
  <c r="R905" i="4"/>
  <c r="Q905" i="4"/>
  <c r="P905" i="4"/>
  <c r="K905" i="4"/>
  <c r="J905" i="4"/>
  <c r="D905" i="4"/>
  <c r="C905" i="4"/>
  <c r="A905" i="4" s="1"/>
  <c r="R904" i="4"/>
  <c r="Q904" i="4"/>
  <c r="P904" i="4"/>
  <c r="K904" i="4"/>
  <c r="J904" i="4"/>
  <c r="D904" i="4"/>
  <c r="C904" i="4"/>
  <c r="A904" i="4" s="1"/>
  <c r="R903" i="4"/>
  <c r="Q903" i="4"/>
  <c r="P903" i="4"/>
  <c r="K903" i="4"/>
  <c r="J903" i="4"/>
  <c r="D903" i="4"/>
  <c r="C903" i="4"/>
  <c r="A903" i="4" s="1"/>
  <c r="R902" i="4"/>
  <c r="Q902" i="4"/>
  <c r="P902" i="4"/>
  <c r="K902" i="4"/>
  <c r="J902" i="4"/>
  <c r="D902" i="4"/>
  <c r="C902" i="4"/>
  <c r="A902" i="4" s="1"/>
  <c r="R901" i="4"/>
  <c r="Q901" i="4"/>
  <c r="P901" i="4"/>
  <c r="K901" i="4"/>
  <c r="J901" i="4"/>
  <c r="D901" i="4"/>
  <c r="C901" i="4"/>
  <c r="A901" i="4" s="1"/>
  <c r="R900" i="4"/>
  <c r="Q900" i="4"/>
  <c r="P900" i="4"/>
  <c r="K900" i="4"/>
  <c r="J900" i="4"/>
  <c r="D900" i="4"/>
  <c r="C900" i="4"/>
  <c r="A900" i="4" s="1"/>
  <c r="R899" i="4"/>
  <c r="Q899" i="4"/>
  <c r="P899" i="4"/>
  <c r="K899" i="4"/>
  <c r="J899" i="4"/>
  <c r="D899" i="4"/>
  <c r="C899" i="4"/>
  <c r="A899" i="4" s="1"/>
  <c r="R898" i="4"/>
  <c r="Q898" i="4"/>
  <c r="P898" i="4"/>
  <c r="K898" i="4"/>
  <c r="J898" i="4"/>
  <c r="D898" i="4"/>
  <c r="C898" i="4"/>
  <c r="A898" i="4" s="1"/>
  <c r="R897" i="4"/>
  <c r="Q897" i="4"/>
  <c r="P897" i="4"/>
  <c r="K897" i="4"/>
  <c r="J897" i="4"/>
  <c r="D897" i="4"/>
  <c r="C897" i="4"/>
  <c r="A897" i="4" s="1"/>
  <c r="R896" i="4"/>
  <c r="Q896" i="4"/>
  <c r="P896" i="4"/>
  <c r="K896" i="4"/>
  <c r="J896" i="4"/>
  <c r="D896" i="4"/>
  <c r="C896" i="4"/>
  <c r="A896" i="4" s="1"/>
  <c r="R895" i="4"/>
  <c r="Q895" i="4"/>
  <c r="P895" i="4"/>
  <c r="K895" i="4"/>
  <c r="J895" i="4"/>
  <c r="D895" i="4"/>
  <c r="C895" i="4"/>
  <c r="A895" i="4" s="1"/>
  <c r="R894" i="4"/>
  <c r="Q894" i="4"/>
  <c r="P894" i="4"/>
  <c r="K894" i="4"/>
  <c r="J894" i="4"/>
  <c r="D894" i="4"/>
  <c r="C894" i="4"/>
  <c r="A894" i="4" s="1"/>
  <c r="R893" i="4"/>
  <c r="Q893" i="4"/>
  <c r="P893" i="4"/>
  <c r="K893" i="4"/>
  <c r="J893" i="4"/>
  <c r="D893" i="4"/>
  <c r="C893" i="4"/>
  <c r="A893" i="4" s="1"/>
  <c r="R892" i="4"/>
  <c r="Q892" i="4"/>
  <c r="P892" i="4"/>
  <c r="K892" i="4"/>
  <c r="J892" i="4"/>
  <c r="D892" i="4"/>
  <c r="C892" i="4"/>
  <c r="A892" i="4" s="1"/>
  <c r="R891" i="4"/>
  <c r="Q891" i="4"/>
  <c r="P891" i="4"/>
  <c r="K891" i="4"/>
  <c r="J891" i="4"/>
  <c r="D891" i="4"/>
  <c r="C891" i="4"/>
  <c r="A891" i="4" s="1"/>
  <c r="R890" i="4"/>
  <c r="Q890" i="4"/>
  <c r="P890" i="4"/>
  <c r="K890" i="4"/>
  <c r="J890" i="4"/>
  <c r="D890" i="4"/>
  <c r="C890" i="4"/>
  <c r="A890" i="4" s="1"/>
  <c r="R889" i="4"/>
  <c r="Q889" i="4"/>
  <c r="P889" i="4"/>
  <c r="K889" i="4"/>
  <c r="J889" i="4"/>
  <c r="D889" i="4"/>
  <c r="C889" i="4"/>
  <c r="A889" i="4" s="1"/>
  <c r="R888" i="4"/>
  <c r="Q888" i="4"/>
  <c r="P888" i="4"/>
  <c r="K888" i="4"/>
  <c r="J888" i="4"/>
  <c r="D888" i="4"/>
  <c r="C888" i="4"/>
  <c r="A888" i="4" s="1"/>
  <c r="R887" i="4"/>
  <c r="Q887" i="4"/>
  <c r="P887" i="4"/>
  <c r="K887" i="4"/>
  <c r="J887" i="4"/>
  <c r="D887" i="4"/>
  <c r="C887" i="4"/>
  <c r="A887" i="4" s="1"/>
  <c r="R886" i="4"/>
  <c r="Q886" i="4"/>
  <c r="P886" i="4"/>
  <c r="K886" i="4"/>
  <c r="J886" i="4"/>
  <c r="D886" i="4"/>
  <c r="C886" i="4"/>
  <c r="A886" i="4" s="1"/>
  <c r="R885" i="4"/>
  <c r="Q885" i="4"/>
  <c r="P885" i="4"/>
  <c r="K885" i="4"/>
  <c r="J885" i="4"/>
  <c r="D885" i="4"/>
  <c r="C885" i="4"/>
  <c r="A885" i="4" s="1"/>
  <c r="R884" i="4"/>
  <c r="Q884" i="4"/>
  <c r="P884" i="4"/>
  <c r="K884" i="4"/>
  <c r="J884" i="4"/>
  <c r="D884" i="4"/>
  <c r="C884" i="4"/>
  <c r="A884" i="4" s="1"/>
  <c r="R883" i="4"/>
  <c r="Q883" i="4"/>
  <c r="P883" i="4"/>
  <c r="K883" i="4"/>
  <c r="J883" i="4"/>
  <c r="D883" i="4"/>
  <c r="C883" i="4"/>
  <c r="A883" i="4" s="1"/>
  <c r="R882" i="4"/>
  <c r="Q882" i="4"/>
  <c r="P882" i="4"/>
  <c r="K882" i="4"/>
  <c r="J882" i="4"/>
  <c r="D882" i="4"/>
  <c r="C882" i="4"/>
  <c r="A882" i="4" s="1"/>
  <c r="R881" i="4"/>
  <c r="Q881" i="4"/>
  <c r="P881" i="4"/>
  <c r="K881" i="4"/>
  <c r="J881" i="4"/>
  <c r="D881" i="4"/>
  <c r="C881" i="4"/>
  <c r="A881" i="4" s="1"/>
  <c r="R880" i="4"/>
  <c r="Q880" i="4"/>
  <c r="P880" i="4"/>
  <c r="K880" i="4"/>
  <c r="J880" i="4"/>
  <c r="D880" i="4"/>
  <c r="C880" i="4"/>
  <c r="A880" i="4" s="1"/>
  <c r="R879" i="4"/>
  <c r="Q879" i="4"/>
  <c r="P879" i="4"/>
  <c r="K879" i="4"/>
  <c r="J879" i="4"/>
  <c r="D879" i="4"/>
  <c r="C879" i="4"/>
  <c r="A879" i="4" s="1"/>
  <c r="R878" i="4"/>
  <c r="Q878" i="4"/>
  <c r="P878" i="4"/>
  <c r="K878" i="4"/>
  <c r="J878" i="4"/>
  <c r="D878" i="4"/>
  <c r="C878" i="4"/>
  <c r="A878" i="4" s="1"/>
  <c r="R877" i="4"/>
  <c r="Q877" i="4"/>
  <c r="P877" i="4"/>
  <c r="K877" i="4"/>
  <c r="J877" i="4"/>
  <c r="D877" i="4"/>
  <c r="C877" i="4"/>
  <c r="A877" i="4" s="1"/>
  <c r="R876" i="4"/>
  <c r="Q876" i="4"/>
  <c r="P876" i="4"/>
  <c r="K876" i="4"/>
  <c r="J876" i="4"/>
  <c r="D876" i="4"/>
  <c r="C876" i="4"/>
  <c r="A876" i="4" s="1"/>
  <c r="R875" i="4"/>
  <c r="Q875" i="4"/>
  <c r="P875" i="4"/>
  <c r="K875" i="4"/>
  <c r="J875" i="4"/>
  <c r="D875" i="4"/>
  <c r="C875" i="4"/>
  <c r="A875" i="4" s="1"/>
  <c r="R874" i="4"/>
  <c r="Q874" i="4"/>
  <c r="P874" i="4"/>
  <c r="K874" i="4"/>
  <c r="J874" i="4"/>
  <c r="D874" i="4"/>
  <c r="C874" i="4"/>
  <c r="A874" i="4" s="1"/>
  <c r="R873" i="4"/>
  <c r="Q873" i="4"/>
  <c r="P873" i="4"/>
  <c r="K873" i="4"/>
  <c r="J873" i="4"/>
  <c r="D873" i="4"/>
  <c r="C873" i="4"/>
  <c r="A873" i="4" s="1"/>
  <c r="R872" i="4"/>
  <c r="Q872" i="4"/>
  <c r="P872" i="4"/>
  <c r="K872" i="4"/>
  <c r="J872" i="4"/>
  <c r="D872" i="4"/>
  <c r="C872" i="4"/>
  <c r="A872" i="4" s="1"/>
  <c r="R871" i="4"/>
  <c r="Q871" i="4"/>
  <c r="P871" i="4"/>
  <c r="K871" i="4"/>
  <c r="J871" i="4"/>
  <c r="D871" i="4"/>
  <c r="C871" i="4"/>
  <c r="A871" i="4" s="1"/>
  <c r="R870" i="4"/>
  <c r="Q870" i="4"/>
  <c r="P870" i="4"/>
  <c r="K870" i="4"/>
  <c r="J870" i="4"/>
  <c r="D870" i="4"/>
  <c r="C870" i="4"/>
  <c r="A870" i="4" s="1"/>
  <c r="R869" i="4"/>
  <c r="Q869" i="4"/>
  <c r="P869" i="4"/>
  <c r="K869" i="4"/>
  <c r="J869" i="4"/>
  <c r="D869" i="4"/>
  <c r="C869" i="4"/>
  <c r="A869" i="4" s="1"/>
  <c r="R868" i="4"/>
  <c r="Q868" i="4"/>
  <c r="P868" i="4"/>
  <c r="K868" i="4"/>
  <c r="J868" i="4"/>
  <c r="D868" i="4"/>
  <c r="C868" i="4"/>
  <c r="A868" i="4" s="1"/>
  <c r="R867" i="4"/>
  <c r="Q867" i="4"/>
  <c r="P867" i="4"/>
  <c r="K867" i="4"/>
  <c r="J867" i="4"/>
  <c r="D867" i="4"/>
  <c r="C867" i="4"/>
  <c r="A867" i="4" s="1"/>
  <c r="R866" i="4"/>
  <c r="Q866" i="4"/>
  <c r="P866" i="4"/>
  <c r="K866" i="4"/>
  <c r="J866" i="4"/>
  <c r="D866" i="4"/>
  <c r="C866" i="4"/>
  <c r="A866" i="4" s="1"/>
  <c r="R865" i="4"/>
  <c r="Q865" i="4"/>
  <c r="P865" i="4"/>
  <c r="K865" i="4"/>
  <c r="J865" i="4"/>
  <c r="D865" i="4"/>
  <c r="C865" i="4"/>
  <c r="A865" i="4" s="1"/>
  <c r="R864" i="4"/>
  <c r="Q864" i="4"/>
  <c r="P864" i="4"/>
  <c r="K864" i="4"/>
  <c r="J864" i="4"/>
  <c r="D864" i="4"/>
  <c r="C864" i="4"/>
  <c r="A864" i="4" s="1"/>
  <c r="R863" i="4"/>
  <c r="Q863" i="4"/>
  <c r="P863" i="4"/>
  <c r="K863" i="4"/>
  <c r="J863" i="4"/>
  <c r="D863" i="4"/>
  <c r="C863" i="4"/>
  <c r="A863" i="4" s="1"/>
  <c r="R862" i="4"/>
  <c r="Q862" i="4"/>
  <c r="P862" i="4"/>
  <c r="K862" i="4"/>
  <c r="J862" i="4"/>
  <c r="D862" i="4"/>
  <c r="C862" i="4"/>
  <c r="A862" i="4" s="1"/>
  <c r="R861" i="4"/>
  <c r="Q861" i="4"/>
  <c r="P861" i="4"/>
  <c r="K861" i="4"/>
  <c r="J861" i="4"/>
  <c r="D861" i="4"/>
  <c r="C861" i="4"/>
  <c r="A861" i="4" s="1"/>
  <c r="R860" i="4"/>
  <c r="Q860" i="4"/>
  <c r="P860" i="4"/>
  <c r="K860" i="4"/>
  <c r="J860" i="4"/>
  <c r="D860" i="4"/>
  <c r="C860" i="4"/>
  <c r="A860" i="4" s="1"/>
  <c r="R859" i="4"/>
  <c r="Q859" i="4"/>
  <c r="P859" i="4"/>
  <c r="K859" i="4"/>
  <c r="J859" i="4"/>
  <c r="D859" i="4"/>
  <c r="C859" i="4"/>
  <c r="A859" i="4" s="1"/>
  <c r="R858" i="4"/>
  <c r="Q858" i="4"/>
  <c r="P858" i="4"/>
  <c r="K858" i="4"/>
  <c r="J858" i="4"/>
  <c r="D858" i="4"/>
  <c r="C858" i="4"/>
  <c r="A858" i="4" s="1"/>
  <c r="R857" i="4"/>
  <c r="Q857" i="4"/>
  <c r="P857" i="4"/>
  <c r="K857" i="4"/>
  <c r="J857" i="4"/>
  <c r="D857" i="4"/>
  <c r="C857" i="4"/>
  <c r="A857" i="4" s="1"/>
  <c r="R856" i="4"/>
  <c r="Q856" i="4"/>
  <c r="P856" i="4"/>
  <c r="K856" i="4"/>
  <c r="J856" i="4"/>
  <c r="D856" i="4"/>
  <c r="C856" i="4"/>
  <c r="A856" i="4" s="1"/>
  <c r="R855" i="4"/>
  <c r="Q855" i="4"/>
  <c r="P855" i="4"/>
  <c r="K855" i="4"/>
  <c r="J855" i="4"/>
  <c r="D855" i="4"/>
  <c r="C855" i="4"/>
  <c r="A855" i="4" s="1"/>
  <c r="R854" i="4"/>
  <c r="Q854" i="4"/>
  <c r="P854" i="4"/>
  <c r="K854" i="4"/>
  <c r="J854" i="4"/>
  <c r="D854" i="4"/>
  <c r="C854" i="4"/>
  <c r="A854" i="4" s="1"/>
  <c r="R853" i="4"/>
  <c r="Q853" i="4"/>
  <c r="P853" i="4"/>
  <c r="K853" i="4"/>
  <c r="J853" i="4"/>
  <c r="D853" i="4"/>
  <c r="C853" i="4"/>
  <c r="A853" i="4" s="1"/>
  <c r="R852" i="4"/>
  <c r="Q852" i="4"/>
  <c r="P852" i="4"/>
  <c r="K852" i="4"/>
  <c r="J852" i="4"/>
  <c r="D852" i="4"/>
  <c r="C852" i="4"/>
  <c r="A852" i="4" s="1"/>
  <c r="R851" i="4"/>
  <c r="Q851" i="4"/>
  <c r="P851" i="4"/>
  <c r="K851" i="4"/>
  <c r="J851" i="4"/>
  <c r="D851" i="4"/>
  <c r="C851" i="4"/>
  <c r="A851" i="4" s="1"/>
  <c r="R850" i="4"/>
  <c r="Q850" i="4"/>
  <c r="P850" i="4"/>
  <c r="K850" i="4"/>
  <c r="J850" i="4"/>
  <c r="D850" i="4"/>
  <c r="C850" i="4"/>
  <c r="A850" i="4" s="1"/>
  <c r="R849" i="4"/>
  <c r="Q849" i="4"/>
  <c r="P849" i="4"/>
  <c r="K849" i="4"/>
  <c r="J849" i="4"/>
  <c r="D849" i="4"/>
  <c r="C849" i="4"/>
  <c r="A849" i="4" s="1"/>
  <c r="R848" i="4"/>
  <c r="Q848" i="4"/>
  <c r="P848" i="4"/>
  <c r="K848" i="4"/>
  <c r="J848" i="4"/>
  <c r="D848" i="4"/>
  <c r="C848" i="4"/>
  <c r="A848" i="4" s="1"/>
  <c r="R847" i="4"/>
  <c r="Q847" i="4"/>
  <c r="P847" i="4"/>
  <c r="K847" i="4"/>
  <c r="J847" i="4"/>
  <c r="D847" i="4"/>
  <c r="C847" i="4"/>
  <c r="A847" i="4" s="1"/>
  <c r="R846" i="4"/>
  <c r="Q846" i="4"/>
  <c r="P846" i="4"/>
  <c r="K846" i="4"/>
  <c r="J846" i="4"/>
  <c r="D846" i="4"/>
  <c r="C846" i="4"/>
  <c r="A846" i="4" s="1"/>
  <c r="R845" i="4"/>
  <c r="Q845" i="4"/>
  <c r="P845" i="4"/>
  <c r="K845" i="4"/>
  <c r="J845" i="4"/>
  <c r="D845" i="4"/>
  <c r="C845" i="4"/>
  <c r="A845" i="4" s="1"/>
  <c r="R844" i="4"/>
  <c r="Q844" i="4"/>
  <c r="P844" i="4"/>
  <c r="K844" i="4"/>
  <c r="J844" i="4"/>
  <c r="D844" i="4"/>
  <c r="C844" i="4"/>
  <c r="A844" i="4" s="1"/>
  <c r="R843" i="4"/>
  <c r="Q843" i="4"/>
  <c r="P843" i="4"/>
  <c r="K843" i="4"/>
  <c r="J843" i="4"/>
  <c r="D843" i="4"/>
  <c r="C843" i="4"/>
  <c r="A843" i="4" s="1"/>
  <c r="R842" i="4"/>
  <c r="Q842" i="4"/>
  <c r="P842" i="4"/>
  <c r="K842" i="4"/>
  <c r="J842" i="4"/>
  <c r="D842" i="4"/>
  <c r="C842" i="4"/>
  <c r="A842" i="4" s="1"/>
  <c r="R841" i="4"/>
  <c r="Q841" i="4"/>
  <c r="P841" i="4"/>
  <c r="K841" i="4"/>
  <c r="J841" i="4"/>
  <c r="D841" i="4"/>
  <c r="C841" i="4"/>
  <c r="A841" i="4" s="1"/>
  <c r="R840" i="4"/>
  <c r="Q840" i="4"/>
  <c r="P840" i="4"/>
  <c r="K840" i="4"/>
  <c r="J840" i="4"/>
  <c r="D840" i="4"/>
  <c r="C840" i="4"/>
  <c r="A840" i="4" s="1"/>
  <c r="R839" i="4"/>
  <c r="Q839" i="4"/>
  <c r="P839" i="4"/>
  <c r="K839" i="4"/>
  <c r="J839" i="4"/>
  <c r="D839" i="4"/>
  <c r="C839" i="4"/>
  <c r="A839" i="4" s="1"/>
  <c r="R838" i="4"/>
  <c r="Q838" i="4"/>
  <c r="P838" i="4"/>
  <c r="K838" i="4"/>
  <c r="J838" i="4"/>
  <c r="D838" i="4"/>
  <c r="C838" i="4"/>
  <c r="A838" i="4" s="1"/>
  <c r="R837" i="4"/>
  <c r="Q837" i="4"/>
  <c r="P837" i="4"/>
  <c r="K837" i="4"/>
  <c r="J837" i="4"/>
  <c r="D837" i="4"/>
  <c r="C837" i="4"/>
  <c r="A837" i="4" s="1"/>
  <c r="R836" i="4"/>
  <c r="Q836" i="4"/>
  <c r="P836" i="4"/>
  <c r="K836" i="4"/>
  <c r="J836" i="4"/>
  <c r="D836" i="4"/>
  <c r="C836" i="4"/>
  <c r="A836" i="4" s="1"/>
  <c r="R835" i="4"/>
  <c r="Q835" i="4"/>
  <c r="P835" i="4"/>
  <c r="K835" i="4"/>
  <c r="J835" i="4"/>
  <c r="D835" i="4"/>
  <c r="C835" i="4"/>
  <c r="A835" i="4" s="1"/>
  <c r="R834" i="4"/>
  <c r="Q834" i="4"/>
  <c r="P834" i="4"/>
  <c r="K834" i="4"/>
  <c r="J834" i="4"/>
  <c r="D834" i="4"/>
  <c r="C834" i="4"/>
  <c r="A834" i="4" s="1"/>
  <c r="R833" i="4"/>
  <c r="Q833" i="4"/>
  <c r="P833" i="4"/>
  <c r="K833" i="4"/>
  <c r="J833" i="4"/>
  <c r="D833" i="4"/>
  <c r="C833" i="4"/>
  <c r="A833" i="4" s="1"/>
  <c r="R832" i="4"/>
  <c r="Q832" i="4"/>
  <c r="P832" i="4"/>
  <c r="K832" i="4"/>
  <c r="J832" i="4"/>
  <c r="D832" i="4"/>
  <c r="C832" i="4"/>
  <c r="A832" i="4" s="1"/>
  <c r="R831" i="4"/>
  <c r="Q831" i="4"/>
  <c r="P831" i="4"/>
  <c r="K831" i="4"/>
  <c r="J831" i="4"/>
  <c r="D831" i="4"/>
  <c r="C831" i="4"/>
  <c r="A831" i="4" s="1"/>
  <c r="R830" i="4"/>
  <c r="Q830" i="4"/>
  <c r="P830" i="4"/>
  <c r="K830" i="4"/>
  <c r="J830" i="4"/>
  <c r="D830" i="4"/>
  <c r="C830" i="4"/>
  <c r="A830" i="4" s="1"/>
  <c r="R829" i="4"/>
  <c r="Q829" i="4"/>
  <c r="P829" i="4"/>
  <c r="K829" i="4"/>
  <c r="J829" i="4"/>
  <c r="D829" i="4"/>
  <c r="C829" i="4"/>
  <c r="A829" i="4" s="1"/>
  <c r="R828" i="4"/>
  <c r="Q828" i="4"/>
  <c r="P828" i="4"/>
  <c r="K828" i="4"/>
  <c r="J828" i="4"/>
  <c r="D828" i="4"/>
  <c r="C828" i="4"/>
  <c r="A828" i="4" s="1"/>
  <c r="R827" i="4"/>
  <c r="Q827" i="4"/>
  <c r="P827" i="4"/>
  <c r="K827" i="4"/>
  <c r="J827" i="4"/>
  <c r="D827" i="4"/>
  <c r="C827" i="4"/>
  <c r="A827" i="4" s="1"/>
  <c r="R826" i="4"/>
  <c r="Q826" i="4"/>
  <c r="P826" i="4"/>
  <c r="K826" i="4"/>
  <c r="J826" i="4"/>
  <c r="D826" i="4"/>
  <c r="C826" i="4"/>
  <c r="A826" i="4" s="1"/>
  <c r="R825" i="4"/>
  <c r="Q825" i="4"/>
  <c r="P825" i="4"/>
  <c r="K825" i="4"/>
  <c r="J825" i="4"/>
  <c r="D825" i="4"/>
  <c r="C825" i="4"/>
  <c r="A825" i="4" s="1"/>
  <c r="R824" i="4"/>
  <c r="Q824" i="4"/>
  <c r="P824" i="4"/>
  <c r="K824" i="4"/>
  <c r="J824" i="4"/>
  <c r="D824" i="4"/>
  <c r="C824" i="4"/>
  <c r="A824" i="4" s="1"/>
  <c r="R823" i="4"/>
  <c r="Q823" i="4"/>
  <c r="P823" i="4"/>
  <c r="K823" i="4"/>
  <c r="J823" i="4"/>
  <c r="D823" i="4"/>
  <c r="C823" i="4"/>
  <c r="A823" i="4" s="1"/>
  <c r="R822" i="4"/>
  <c r="Q822" i="4"/>
  <c r="P822" i="4"/>
  <c r="K822" i="4"/>
  <c r="J822" i="4"/>
  <c r="D822" i="4"/>
  <c r="C822" i="4"/>
  <c r="A822" i="4" s="1"/>
  <c r="R821" i="4"/>
  <c r="Q821" i="4"/>
  <c r="P821" i="4"/>
  <c r="K821" i="4"/>
  <c r="J821" i="4"/>
  <c r="D821" i="4"/>
  <c r="C821" i="4"/>
  <c r="A821" i="4" s="1"/>
  <c r="R820" i="4"/>
  <c r="Q820" i="4"/>
  <c r="P820" i="4"/>
  <c r="K820" i="4"/>
  <c r="J820" i="4"/>
  <c r="D820" i="4"/>
  <c r="C820" i="4"/>
  <c r="A820" i="4" s="1"/>
  <c r="R819" i="4"/>
  <c r="Q819" i="4"/>
  <c r="P819" i="4"/>
  <c r="K819" i="4"/>
  <c r="J819" i="4"/>
  <c r="D819" i="4"/>
  <c r="C819" i="4"/>
  <c r="A819" i="4" s="1"/>
  <c r="R818" i="4"/>
  <c r="Q818" i="4"/>
  <c r="P818" i="4"/>
  <c r="K818" i="4"/>
  <c r="J818" i="4"/>
  <c r="D818" i="4"/>
  <c r="C818" i="4"/>
  <c r="A818" i="4" s="1"/>
  <c r="R817" i="4"/>
  <c r="Q817" i="4"/>
  <c r="P817" i="4"/>
  <c r="K817" i="4"/>
  <c r="J817" i="4"/>
  <c r="D817" i="4"/>
  <c r="C817" i="4"/>
  <c r="A817" i="4" s="1"/>
  <c r="R816" i="4"/>
  <c r="Q816" i="4"/>
  <c r="P816" i="4"/>
  <c r="K816" i="4"/>
  <c r="J816" i="4"/>
  <c r="D816" i="4"/>
  <c r="C816" i="4"/>
  <c r="A816" i="4" s="1"/>
  <c r="R815" i="4"/>
  <c r="Q815" i="4"/>
  <c r="P815" i="4"/>
  <c r="K815" i="4"/>
  <c r="J815" i="4"/>
  <c r="D815" i="4"/>
  <c r="C815" i="4"/>
  <c r="A815" i="4" s="1"/>
  <c r="R814" i="4"/>
  <c r="Q814" i="4"/>
  <c r="P814" i="4"/>
  <c r="K814" i="4"/>
  <c r="J814" i="4"/>
  <c r="D814" i="4"/>
  <c r="C814" i="4"/>
  <c r="A814" i="4" s="1"/>
  <c r="R813" i="4"/>
  <c r="Q813" i="4"/>
  <c r="P813" i="4"/>
  <c r="K813" i="4"/>
  <c r="J813" i="4"/>
  <c r="D813" i="4"/>
  <c r="C813" i="4"/>
  <c r="A813" i="4" s="1"/>
  <c r="R812" i="4"/>
  <c r="Q812" i="4"/>
  <c r="P812" i="4"/>
  <c r="K812" i="4"/>
  <c r="J812" i="4"/>
  <c r="D812" i="4"/>
  <c r="C812" i="4"/>
  <c r="A812" i="4" s="1"/>
  <c r="R811" i="4"/>
  <c r="Q811" i="4"/>
  <c r="P811" i="4"/>
  <c r="K811" i="4"/>
  <c r="J811" i="4"/>
  <c r="D811" i="4"/>
  <c r="C811" i="4"/>
  <c r="A811" i="4" s="1"/>
  <c r="R810" i="4"/>
  <c r="Q810" i="4"/>
  <c r="P810" i="4"/>
  <c r="K810" i="4"/>
  <c r="J810" i="4"/>
  <c r="D810" i="4"/>
  <c r="C810" i="4"/>
  <c r="A810" i="4" s="1"/>
  <c r="R809" i="4"/>
  <c r="Q809" i="4"/>
  <c r="P809" i="4"/>
  <c r="K809" i="4"/>
  <c r="J809" i="4"/>
  <c r="D809" i="4"/>
  <c r="C809" i="4"/>
  <c r="A809" i="4" s="1"/>
  <c r="R808" i="4"/>
  <c r="Q808" i="4"/>
  <c r="P808" i="4"/>
  <c r="K808" i="4"/>
  <c r="J808" i="4"/>
  <c r="D808" i="4"/>
  <c r="C808" i="4"/>
  <c r="A808" i="4" s="1"/>
  <c r="R807" i="4"/>
  <c r="Q807" i="4"/>
  <c r="P807" i="4"/>
  <c r="K807" i="4"/>
  <c r="J807" i="4"/>
  <c r="D807" i="4"/>
  <c r="C807" i="4"/>
  <c r="A807" i="4" s="1"/>
  <c r="R806" i="4"/>
  <c r="Q806" i="4"/>
  <c r="P806" i="4"/>
  <c r="K806" i="4"/>
  <c r="J806" i="4"/>
  <c r="D806" i="4"/>
  <c r="C806" i="4"/>
  <c r="A806" i="4" s="1"/>
  <c r="R805" i="4"/>
  <c r="Q805" i="4"/>
  <c r="P805" i="4"/>
  <c r="K805" i="4"/>
  <c r="J805" i="4"/>
  <c r="D805" i="4"/>
  <c r="C805" i="4"/>
  <c r="A805" i="4" s="1"/>
  <c r="R804" i="4"/>
  <c r="Q804" i="4"/>
  <c r="P804" i="4"/>
  <c r="K804" i="4"/>
  <c r="J804" i="4"/>
  <c r="D804" i="4"/>
  <c r="C804" i="4"/>
  <c r="A804" i="4" s="1"/>
  <c r="R803" i="4"/>
  <c r="Q803" i="4"/>
  <c r="P803" i="4"/>
  <c r="K803" i="4"/>
  <c r="J803" i="4"/>
  <c r="D803" i="4"/>
  <c r="C803" i="4"/>
  <c r="A803" i="4" s="1"/>
  <c r="R802" i="4"/>
  <c r="Q802" i="4"/>
  <c r="P802" i="4"/>
  <c r="K802" i="4"/>
  <c r="J802" i="4"/>
  <c r="D802" i="4"/>
  <c r="C802" i="4"/>
  <c r="A802" i="4" s="1"/>
  <c r="R801" i="4"/>
  <c r="Q801" i="4"/>
  <c r="P801" i="4"/>
  <c r="K801" i="4"/>
  <c r="J801" i="4"/>
  <c r="D801" i="4"/>
  <c r="C801" i="4"/>
  <c r="A801" i="4" s="1"/>
  <c r="R800" i="4"/>
  <c r="Q800" i="4"/>
  <c r="P800" i="4"/>
  <c r="K800" i="4"/>
  <c r="J800" i="4"/>
  <c r="D800" i="4"/>
  <c r="C800" i="4"/>
  <c r="A800" i="4" s="1"/>
  <c r="R799" i="4"/>
  <c r="Q799" i="4"/>
  <c r="P799" i="4"/>
  <c r="K799" i="4"/>
  <c r="J799" i="4"/>
  <c r="D799" i="4"/>
  <c r="C799" i="4"/>
  <c r="A799" i="4" s="1"/>
  <c r="R798" i="4"/>
  <c r="Q798" i="4"/>
  <c r="P798" i="4"/>
  <c r="K798" i="4"/>
  <c r="J798" i="4"/>
  <c r="D798" i="4"/>
  <c r="C798" i="4"/>
  <c r="A798" i="4" s="1"/>
  <c r="R797" i="4"/>
  <c r="Q797" i="4"/>
  <c r="P797" i="4"/>
  <c r="K797" i="4"/>
  <c r="J797" i="4"/>
  <c r="D797" i="4"/>
  <c r="C797" i="4"/>
  <c r="A797" i="4" s="1"/>
  <c r="R796" i="4"/>
  <c r="Q796" i="4"/>
  <c r="P796" i="4"/>
  <c r="K796" i="4"/>
  <c r="J796" i="4"/>
  <c r="D796" i="4"/>
  <c r="C796" i="4"/>
  <c r="A796" i="4" s="1"/>
  <c r="R795" i="4"/>
  <c r="Q795" i="4"/>
  <c r="P795" i="4"/>
  <c r="K795" i="4"/>
  <c r="J795" i="4"/>
  <c r="D795" i="4"/>
  <c r="C795" i="4"/>
  <c r="A795" i="4" s="1"/>
  <c r="R794" i="4"/>
  <c r="Q794" i="4"/>
  <c r="P794" i="4"/>
  <c r="K794" i="4"/>
  <c r="J794" i="4"/>
  <c r="D794" i="4"/>
  <c r="C794" i="4"/>
  <c r="A794" i="4" s="1"/>
  <c r="R793" i="4"/>
  <c r="Q793" i="4"/>
  <c r="P793" i="4"/>
  <c r="K793" i="4"/>
  <c r="J793" i="4"/>
  <c r="D793" i="4"/>
  <c r="C793" i="4"/>
  <c r="A793" i="4" s="1"/>
  <c r="R792" i="4"/>
  <c r="Q792" i="4"/>
  <c r="P792" i="4"/>
  <c r="K792" i="4"/>
  <c r="J792" i="4"/>
  <c r="D792" i="4"/>
  <c r="C792" i="4"/>
  <c r="A792" i="4" s="1"/>
  <c r="R791" i="4"/>
  <c r="Q791" i="4"/>
  <c r="P791" i="4"/>
  <c r="K791" i="4"/>
  <c r="J791" i="4"/>
  <c r="D791" i="4"/>
  <c r="C791" i="4"/>
  <c r="A791" i="4" s="1"/>
  <c r="R790" i="4"/>
  <c r="Q790" i="4"/>
  <c r="P790" i="4"/>
  <c r="K790" i="4"/>
  <c r="J790" i="4"/>
  <c r="D790" i="4"/>
  <c r="C790" i="4"/>
  <c r="A790" i="4" s="1"/>
  <c r="R789" i="4"/>
  <c r="Q789" i="4"/>
  <c r="P789" i="4"/>
  <c r="K789" i="4"/>
  <c r="J789" i="4"/>
  <c r="D789" i="4"/>
  <c r="C789" i="4"/>
  <c r="A789" i="4" s="1"/>
  <c r="A789" i="1" s="1"/>
  <c r="R788" i="4"/>
  <c r="Q788" i="4"/>
  <c r="P788" i="4"/>
  <c r="K788" i="4"/>
  <c r="J788" i="4"/>
  <c r="D788" i="4"/>
  <c r="C788" i="4"/>
  <c r="A788" i="4" s="1"/>
  <c r="R787" i="4"/>
  <c r="Q787" i="4"/>
  <c r="P787" i="4"/>
  <c r="K787" i="4"/>
  <c r="J787" i="4"/>
  <c r="D787" i="4"/>
  <c r="C787" i="4"/>
  <c r="A787" i="4" s="1"/>
  <c r="R786" i="4"/>
  <c r="Q786" i="4"/>
  <c r="P786" i="4"/>
  <c r="K786" i="4"/>
  <c r="J786" i="4"/>
  <c r="D786" i="4"/>
  <c r="C786" i="4"/>
  <c r="A786" i="4" s="1"/>
  <c r="R785" i="4"/>
  <c r="Q785" i="4"/>
  <c r="P785" i="4"/>
  <c r="K785" i="4"/>
  <c r="J785" i="4"/>
  <c r="D785" i="4"/>
  <c r="C785" i="4"/>
  <c r="A785" i="4" s="1"/>
  <c r="R784" i="4"/>
  <c r="Q784" i="4"/>
  <c r="P784" i="4"/>
  <c r="K784" i="4"/>
  <c r="J784" i="4"/>
  <c r="D784" i="4"/>
  <c r="C784" i="4"/>
  <c r="A784" i="4" s="1"/>
  <c r="R783" i="4"/>
  <c r="Q783" i="4"/>
  <c r="P783" i="4"/>
  <c r="K783" i="4"/>
  <c r="J783" i="4"/>
  <c r="D783" i="4"/>
  <c r="C783" i="4"/>
  <c r="A783" i="4" s="1"/>
  <c r="R782" i="4"/>
  <c r="Q782" i="4"/>
  <c r="P782" i="4"/>
  <c r="K782" i="4"/>
  <c r="J782" i="4"/>
  <c r="D782" i="4"/>
  <c r="C782" i="4"/>
  <c r="A782" i="4" s="1"/>
  <c r="R781" i="4"/>
  <c r="Q781" i="4"/>
  <c r="P781" i="4"/>
  <c r="K781" i="4"/>
  <c r="J781" i="4"/>
  <c r="D781" i="4"/>
  <c r="C781" i="4"/>
  <c r="A781" i="4" s="1"/>
  <c r="A781" i="1" s="1"/>
  <c r="R780" i="4"/>
  <c r="Q780" i="4"/>
  <c r="P780" i="4"/>
  <c r="K780" i="4"/>
  <c r="J780" i="4"/>
  <c r="D780" i="4"/>
  <c r="C780" i="4"/>
  <c r="A780" i="4" s="1"/>
  <c r="R779" i="4"/>
  <c r="Q779" i="4"/>
  <c r="P779" i="4"/>
  <c r="K779" i="4"/>
  <c r="J779" i="4"/>
  <c r="D779" i="4"/>
  <c r="C779" i="4"/>
  <c r="A779" i="4" s="1"/>
  <c r="R778" i="4"/>
  <c r="Q778" i="4"/>
  <c r="P778" i="4"/>
  <c r="K778" i="4"/>
  <c r="J778" i="4"/>
  <c r="D778" i="4"/>
  <c r="C778" i="4"/>
  <c r="A778" i="4" s="1"/>
  <c r="R777" i="4"/>
  <c r="Q777" i="4"/>
  <c r="P777" i="4"/>
  <c r="K777" i="4"/>
  <c r="J777" i="4"/>
  <c r="D777" i="4"/>
  <c r="C777" i="4"/>
  <c r="A777" i="4" s="1"/>
  <c r="R776" i="4"/>
  <c r="Q776" i="4"/>
  <c r="P776" i="4"/>
  <c r="K776" i="4"/>
  <c r="J776" i="4"/>
  <c r="D776" i="4"/>
  <c r="C776" i="4"/>
  <c r="A776" i="4" s="1"/>
  <c r="R775" i="4"/>
  <c r="Q775" i="4"/>
  <c r="P775" i="4"/>
  <c r="K775" i="4"/>
  <c r="J775" i="4"/>
  <c r="D775" i="4"/>
  <c r="C775" i="4"/>
  <c r="A775" i="4" s="1"/>
  <c r="R774" i="4"/>
  <c r="Q774" i="4"/>
  <c r="P774" i="4"/>
  <c r="K774" i="4"/>
  <c r="J774" i="4"/>
  <c r="D774" i="4"/>
  <c r="C774" i="4"/>
  <c r="A774" i="4" s="1"/>
  <c r="R773" i="4"/>
  <c r="Q773" i="4"/>
  <c r="P773" i="4"/>
  <c r="K773" i="4"/>
  <c r="J773" i="4"/>
  <c r="D773" i="4"/>
  <c r="C773" i="4"/>
  <c r="A773" i="4" s="1"/>
  <c r="R772" i="4"/>
  <c r="Q772" i="4"/>
  <c r="P772" i="4"/>
  <c r="K772" i="4"/>
  <c r="J772" i="4"/>
  <c r="D772" i="4"/>
  <c r="C772" i="4"/>
  <c r="A772" i="4" s="1"/>
  <c r="R771" i="4"/>
  <c r="Q771" i="4"/>
  <c r="P771" i="4"/>
  <c r="K771" i="4"/>
  <c r="J771" i="4"/>
  <c r="D771" i="4"/>
  <c r="C771" i="4"/>
  <c r="A771" i="4" s="1"/>
  <c r="R770" i="4"/>
  <c r="Q770" i="4"/>
  <c r="P770" i="4"/>
  <c r="K770" i="4"/>
  <c r="J770" i="4"/>
  <c r="D770" i="4"/>
  <c r="C770" i="4"/>
  <c r="A770" i="4" s="1"/>
  <c r="R769" i="4"/>
  <c r="Q769" i="4"/>
  <c r="P769" i="4"/>
  <c r="K769" i="4"/>
  <c r="J769" i="4"/>
  <c r="D769" i="4"/>
  <c r="C769" i="4"/>
  <c r="A769" i="4" s="1"/>
  <c r="R768" i="4"/>
  <c r="Q768" i="4"/>
  <c r="P768" i="4"/>
  <c r="K768" i="4"/>
  <c r="J768" i="4"/>
  <c r="D768" i="4"/>
  <c r="C768" i="4"/>
  <c r="A768" i="4" s="1"/>
  <c r="R767" i="4"/>
  <c r="Q767" i="4"/>
  <c r="P767" i="4"/>
  <c r="K767" i="4"/>
  <c r="J767" i="4"/>
  <c r="D767" i="4"/>
  <c r="C767" i="4"/>
  <c r="A767" i="4" s="1"/>
  <c r="R766" i="4"/>
  <c r="Q766" i="4"/>
  <c r="P766" i="4"/>
  <c r="K766" i="4"/>
  <c r="J766" i="4"/>
  <c r="D766" i="4"/>
  <c r="C766" i="4"/>
  <c r="A766" i="4" s="1"/>
  <c r="R765" i="4"/>
  <c r="Q765" i="4"/>
  <c r="P765" i="4"/>
  <c r="K765" i="4"/>
  <c r="J765" i="4"/>
  <c r="D765" i="4"/>
  <c r="C765" i="4"/>
  <c r="A765" i="4" s="1"/>
  <c r="A765" i="1" s="1"/>
  <c r="R764" i="4"/>
  <c r="Q764" i="4"/>
  <c r="P764" i="4"/>
  <c r="K764" i="4"/>
  <c r="J764" i="4"/>
  <c r="D764" i="4"/>
  <c r="C764" i="4"/>
  <c r="A764" i="4" s="1"/>
  <c r="R763" i="4"/>
  <c r="Q763" i="4"/>
  <c r="P763" i="4"/>
  <c r="K763" i="4"/>
  <c r="J763" i="4"/>
  <c r="D763" i="4"/>
  <c r="C763" i="4"/>
  <c r="A763" i="4" s="1"/>
  <c r="R762" i="4"/>
  <c r="Q762" i="4"/>
  <c r="P762" i="4"/>
  <c r="K762" i="4"/>
  <c r="J762" i="4"/>
  <c r="D762" i="4"/>
  <c r="C762" i="4"/>
  <c r="A762" i="4" s="1"/>
  <c r="R761" i="4"/>
  <c r="Q761" i="4"/>
  <c r="P761" i="4"/>
  <c r="K761" i="4"/>
  <c r="J761" i="4"/>
  <c r="D761" i="4"/>
  <c r="C761" i="4"/>
  <c r="A761" i="4" s="1"/>
  <c r="R760" i="4"/>
  <c r="Q760" i="4"/>
  <c r="P760" i="4"/>
  <c r="K760" i="4"/>
  <c r="J760" i="4"/>
  <c r="D760" i="4"/>
  <c r="C760" i="4"/>
  <c r="A760" i="4" s="1"/>
  <c r="R759" i="4"/>
  <c r="Q759" i="4"/>
  <c r="P759" i="4"/>
  <c r="K759" i="4"/>
  <c r="J759" i="4"/>
  <c r="D759" i="4"/>
  <c r="C759" i="4"/>
  <c r="A759" i="4" s="1"/>
  <c r="R758" i="4"/>
  <c r="Q758" i="4"/>
  <c r="P758" i="4"/>
  <c r="K758" i="4"/>
  <c r="J758" i="4"/>
  <c r="D758" i="4"/>
  <c r="C758" i="4"/>
  <c r="A758" i="4" s="1"/>
  <c r="R757" i="4"/>
  <c r="Q757" i="4"/>
  <c r="P757" i="4"/>
  <c r="K757" i="4"/>
  <c r="J757" i="4"/>
  <c r="D757" i="4"/>
  <c r="C757" i="4"/>
  <c r="A757" i="4" s="1"/>
  <c r="A757" i="1" s="1"/>
  <c r="R756" i="4"/>
  <c r="Q756" i="4"/>
  <c r="P756" i="4"/>
  <c r="K756" i="4"/>
  <c r="J756" i="4"/>
  <c r="D756" i="4"/>
  <c r="C756" i="4"/>
  <c r="A756" i="4" s="1"/>
  <c r="R755" i="4"/>
  <c r="Q755" i="4"/>
  <c r="P755" i="4"/>
  <c r="K755" i="4"/>
  <c r="J755" i="4"/>
  <c r="D755" i="4"/>
  <c r="C755" i="4"/>
  <c r="A755" i="4" s="1"/>
  <c r="R754" i="4"/>
  <c r="Q754" i="4"/>
  <c r="P754" i="4"/>
  <c r="K754" i="4"/>
  <c r="J754" i="4"/>
  <c r="D754" i="4"/>
  <c r="C754" i="4"/>
  <c r="A754" i="4" s="1"/>
  <c r="R753" i="4"/>
  <c r="Q753" i="4"/>
  <c r="P753" i="4"/>
  <c r="K753" i="4"/>
  <c r="J753" i="4"/>
  <c r="D753" i="4"/>
  <c r="C753" i="4"/>
  <c r="A753" i="4" s="1"/>
  <c r="R752" i="4"/>
  <c r="Q752" i="4"/>
  <c r="P752" i="4"/>
  <c r="K752" i="4"/>
  <c r="J752" i="4"/>
  <c r="D752" i="4"/>
  <c r="C752" i="4"/>
  <c r="A752" i="4" s="1"/>
  <c r="R751" i="4"/>
  <c r="Q751" i="4"/>
  <c r="P751" i="4"/>
  <c r="K751" i="4"/>
  <c r="J751" i="4"/>
  <c r="D751" i="4"/>
  <c r="C751" i="4"/>
  <c r="A751" i="4" s="1"/>
  <c r="R750" i="4"/>
  <c r="Q750" i="4"/>
  <c r="P750" i="4"/>
  <c r="K750" i="4"/>
  <c r="J750" i="4"/>
  <c r="D750" i="4"/>
  <c r="C750" i="4"/>
  <c r="A750" i="4" s="1"/>
  <c r="R749" i="4"/>
  <c r="Q749" i="4"/>
  <c r="P749" i="4"/>
  <c r="K749" i="4"/>
  <c r="J749" i="4"/>
  <c r="D749" i="4"/>
  <c r="C749" i="4"/>
  <c r="A749" i="4" s="1"/>
  <c r="A749" i="1" s="1"/>
  <c r="R748" i="4"/>
  <c r="Q748" i="4"/>
  <c r="P748" i="4"/>
  <c r="K748" i="4"/>
  <c r="J748" i="4"/>
  <c r="D748" i="4"/>
  <c r="C748" i="4"/>
  <c r="A748" i="4" s="1"/>
  <c r="R747" i="4"/>
  <c r="Q747" i="4"/>
  <c r="P747" i="4"/>
  <c r="K747" i="4"/>
  <c r="J747" i="4"/>
  <c r="D747" i="4"/>
  <c r="C747" i="4"/>
  <c r="A747" i="4" s="1"/>
  <c r="R746" i="4"/>
  <c r="Q746" i="4"/>
  <c r="P746" i="4"/>
  <c r="K746" i="4"/>
  <c r="J746" i="4"/>
  <c r="D746" i="4"/>
  <c r="C746" i="4"/>
  <c r="A746" i="4" s="1"/>
  <c r="R745" i="4"/>
  <c r="Q745" i="4"/>
  <c r="P745" i="4"/>
  <c r="K745" i="4"/>
  <c r="J745" i="4"/>
  <c r="D745" i="4"/>
  <c r="C745" i="4"/>
  <c r="A745" i="4" s="1"/>
  <c r="R744" i="4"/>
  <c r="Q744" i="4"/>
  <c r="P744" i="4"/>
  <c r="K744" i="4"/>
  <c r="J744" i="4"/>
  <c r="D744" i="4"/>
  <c r="C744" i="4"/>
  <c r="A744" i="4" s="1"/>
  <c r="R743" i="4"/>
  <c r="Q743" i="4"/>
  <c r="P743" i="4"/>
  <c r="K743" i="4"/>
  <c r="J743" i="4"/>
  <c r="D743" i="4"/>
  <c r="C743" i="4"/>
  <c r="A743" i="4" s="1"/>
  <c r="R742" i="4"/>
  <c r="Q742" i="4"/>
  <c r="P742" i="4"/>
  <c r="K742" i="4"/>
  <c r="J742" i="4"/>
  <c r="D742" i="4"/>
  <c r="C742" i="4"/>
  <c r="A742" i="4" s="1"/>
  <c r="R741" i="4"/>
  <c r="Q741" i="4"/>
  <c r="P741" i="4"/>
  <c r="K741" i="4"/>
  <c r="J741" i="4"/>
  <c r="D741" i="4"/>
  <c r="C741" i="4"/>
  <c r="A741" i="4" s="1"/>
  <c r="R740" i="4"/>
  <c r="Q740" i="4"/>
  <c r="P740" i="4"/>
  <c r="K740" i="4"/>
  <c r="J740" i="4"/>
  <c r="D740" i="4"/>
  <c r="C740" i="4"/>
  <c r="A740" i="4" s="1"/>
  <c r="R739" i="4"/>
  <c r="Q739" i="4"/>
  <c r="P739" i="4"/>
  <c r="K739" i="4"/>
  <c r="J739" i="4"/>
  <c r="D739" i="4"/>
  <c r="C739" i="4"/>
  <c r="A739" i="4" s="1"/>
  <c r="R738" i="4"/>
  <c r="Q738" i="4"/>
  <c r="P738" i="4"/>
  <c r="K738" i="4"/>
  <c r="J738" i="4"/>
  <c r="D738" i="4"/>
  <c r="C738" i="4"/>
  <c r="A738" i="4" s="1"/>
  <c r="R737" i="4"/>
  <c r="Q737" i="4"/>
  <c r="P737" i="4"/>
  <c r="K737" i="4"/>
  <c r="J737" i="4"/>
  <c r="D737" i="4"/>
  <c r="C737" i="4"/>
  <c r="A737" i="4" s="1"/>
  <c r="R736" i="4"/>
  <c r="Q736" i="4"/>
  <c r="P736" i="4"/>
  <c r="K736" i="4"/>
  <c r="J736" i="4"/>
  <c r="D736" i="4"/>
  <c r="C736" i="4"/>
  <c r="A736" i="4" s="1"/>
  <c r="R735" i="4"/>
  <c r="Q735" i="4"/>
  <c r="P735" i="4"/>
  <c r="K735" i="4"/>
  <c r="J735" i="4"/>
  <c r="D735" i="4"/>
  <c r="C735" i="4"/>
  <c r="A735" i="4" s="1"/>
  <c r="R734" i="4"/>
  <c r="Q734" i="4"/>
  <c r="P734" i="4"/>
  <c r="K734" i="4"/>
  <c r="J734" i="4"/>
  <c r="D734" i="4"/>
  <c r="C734" i="4"/>
  <c r="A734" i="4" s="1"/>
  <c r="R733" i="4"/>
  <c r="Q733" i="4"/>
  <c r="P733" i="4"/>
  <c r="K733" i="4"/>
  <c r="J733" i="4"/>
  <c r="D733" i="4"/>
  <c r="C733" i="4"/>
  <c r="A733" i="4" s="1"/>
  <c r="R732" i="4"/>
  <c r="Q732" i="4"/>
  <c r="P732" i="4"/>
  <c r="K732" i="4"/>
  <c r="J732" i="4"/>
  <c r="D732" i="4"/>
  <c r="C732" i="4"/>
  <c r="A732" i="4" s="1"/>
  <c r="R731" i="4"/>
  <c r="Q731" i="4"/>
  <c r="P731" i="4"/>
  <c r="K731" i="4"/>
  <c r="J731" i="4"/>
  <c r="D731" i="4"/>
  <c r="C731" i="4"/>
  <c r="A731" i="4" s="1"/>
  <c r="R730" i="4"/>
  <c r="Q730" i="4"/>
  <c r="P730" i="4"/>
  <c r="K730" i="4"/>
  <c r="J730" i="4"/>
  <c r="D730" i="4"/>
  <c r="C730" i="4"/>
  <c r="A730" i="4" s="1"/>
  <c r="R729" i="4"/>
  <c r="Q729" i="4"/>
  <c r="P729" i="4"/>
  <c r="K729" i="4"/>
  <c r="J729" i="4"/>
  <c r="D729" i="4"/>
  <c r="C729" i="4"/>
  <c r="A729" i="4" s="1"/>
  <c r="R728" i="4"/>
  <c r="Q728" i="4"/>
  <c r="P728" i="4"/>
  <c r="K728" i="4"/>
  <c r="J728" i="4"/>
  <c r="D728" i="4"/>
  <c r="C728" i="4"/>
  <c r="A728" i="4" s="1"/>
  <c r="R727" i="4"/>
  <c r="Q727" i="4"/>
  <c r="P727" i="4"/>
  <c r="K727" i="4"/>
  <c r="J727" i="4"/>
  <c r="D727" i="4"/>
  <c r="C727" i="4"/>
  <c r="A727" i="4" s="1"/>
  <c r="R726" i="4"/>
  <c r="Q726" i="4"/>
  <c r="P726" i="4"/>
  <c r="K726" i="4"/>
  <c r="J726" i="4"/>
  <c r="D726" i="4"/>
  <c r="C726" i="4"/>
  <c r="A726" i="4" s="1"/>
  <c r="R725" i="4"/>
  <c r="Q725" i="4"/>
  <c r="P725" i="4"/>
  <c r="K725" i="4"/>
  <c r="J725" i="4"/>
  <c r="D725" i="4"/>
  <c r="C725" i="4"/>
  <c r="A725" i="4" s="1"/>
  <c r="R724" i="4"/>
  <c r="Q724" i="4"/>
  <c r="P724" i="4"/>
  <c r="K724" i="4"/>
  <c r="J724" i="4"/>
  <c r="D724" i="4"/>
  <c r="C724" i="4"/>
  <c r="A724" i="4" s="1"/>
  <c r="R723" i="4"/>
  <c r="Q723" i="4"/>
  <c r="P723" i="4"/>
  <c r="K723" i="4"/>
  <c r="J723" i="4"/>
  <c r="D723" i="4"/>
  <c r="C723" i="4"/>
  <c r="A723" i="4" s="1"/>
  <c r="R722" i="4"/>
  <c r="Q722" i="4"/>
  <c r="P722" i="4"/>
  <c r="K722" i="4"/>
  <c r="J722" i="4"/>
  <c r="D722" i="4"/>
  <c r="C722" i="4"/>
  <c r="A722" i="4" s="1"/>
  <c r="R721" i="4"/>
  <c r="Q721" i="4"/>
  <c r="P721" i="4"/>
  <c r="K721" i="4"/>
  <c r="J721" i="4"/>
  <c r="D721" i="4"/>
  <c r="C721" i="4"/>
  <c r="A721" i="4" s="1"/>
  <c r="R720" i="4"/>
  <c r="Q720" i="4"/>
  <c r="P720" i="4"/>
  <c r="K720" i="4"/>
  <c r="J720" i="4"/>
  <c r="D720" i="4"/>
  <c r="C720" i="4"/>
  <c r="A720" i="4" s="1"/>
  <c r="R719" i="4"/>
  <c r="Q719" i="4"/>
  <c r="P719" i="4"/>
  <c r="K719" i="4"/>
  <c r="J719" i="4"/>
  <c r="D719" i="4"/>
  <c r="C719" i="4"/>
  <c r="A719" i="4" s="1"/>
  <c r="R718" i="4"/>
  <c r="Q718" i="4"/>
  <c r="P718" i="4"/>
  <c r="K718" i="4"/>
  <c r="J718" i="4"/>
  <c r="D718" i="4"/>
  <c r="C718" i="4"/>
  <c r="A718" i="4" s="1"/>
  <c r="R717" i="4"/>
  <c r="Q717" i="4"/>
  <c r="P717" i="4"/>
  <c r="K717" i="4"/>
  <c r="J717" i="4"/>
  <c r="D717" i="4"/>
  <c r="C717" i="4"/>
  <c r="A717" i="4" s="1"/>
  <c r="R716" i="4"/>
  <c r="Q716" i="4"/>
  <c r="P716" i="4"/>
  <c r="K716" i="4"/>
  <c r="J716" i="4"/>
  <c r="D716" i="4"/>
  <c r="C716" i="4"/>
  <c r="A716" i="4" s="1"/>
  <c r="R715" i="4"/>
  <c r="Q715" i="4"/>
  <c r="P715" i="4"/>
  <c r="K715" i="4"/>
  <c r="J715" i="4"/>
  <c r="D715" i="4"/>
  <c r="C715" i="4"/>
  <c r="A715" i="4" s="1"/>
  <c r="R714" i="4"/>
  <c r="Q714" i="4"/>
  <c r="P714" i="4"/>
  <c r="K714" i="4"/>
  <c r="J714" i="4"/>
  <c r="D714" i="4"/>
  <c r="C714" i="4"/>
  <c r="A714" i="4" s="1"/>
  <c r="A714" i="1" s="1"/>
  <c r="R713" i="4"/>
  <c r="Q713" i="4"/>
  <c r="P713" i="4"/>
  <c r="K713" i="4"/>
  <c r="J713" i="4"/>
  <c r="D713" i="4"/>
  <c r="C713" i="4"/>
  <c r="A713" i="4" s="1"/>
  <c r="R712" i="4"/>
  <c r="Q712" i="4"/>
  <c r="P712" i="4"/>
  <c r="K712" i="4"/>
  <c r="J712" i="4"/>
  <c r="D712" i="4"/>
  <c r="C712" i="4"/>
  <c r="A712" i="4" s="1"/>
  <c r="R711" i="4"/>
  <c r="Q711" i="4"/>
  <c r="P711" i="4"/>
  <c r="K711" i="4"/>
  <c r="J711" i="4"/>
  <c r="D711" i="4"/>
  <c r="C711" i="4"/>
  <c r="A711" i="4" s="1"/>
  <c r="R710" i="4"/>
  <c r="Q710" i="4"/>
  <c r="P710" i="4"/>
  <c r="K710" i="4"/>
  <c r="J710" i="4"/>
  <c r="D710" i="4"/>
  <c r="C710" i="4"/>
  <c r="A710" i="4" s="1"/>
  <c r="R709" i="4"/>
  <c r="Q709" i="4"/>
  <c r="P709" i="4"/>
  <c r="K709" i="4"/>
  <c r="J709" i="4"/>
  <c r="D709" i="4"/>
  <c r="C709" i="4"/>
  <c r="A709" i="4" s="1"/>
  <c r="R708" i="4"/>
  <c r="Q708" i="4"/>
  <c r="P708" i="4"/>
  <c r="K708" i="4"/>
  <c r="J708" i="4"/>
  <c r="D708" i="4"/>
  <c r="C708" i="4"/>
  <c r="A708" i="4" s="1"/>
  <c r="R707" i="4"/>
  <c r="Q707" i="4"/>
  <c r="P707" i="4"/>
  <c r="K707" i="4"/>
  <c r="J707" i="4"/>
  <c r="D707" i="4"/>
  <c r="C707" i="4"/>
  <c r="A707" i="4" s="1"/>
  <c r="R706" i="4"/>
  <c r="Q706" i="4"/>
  <c r="P706" i="4"/>
  <c r="K706" i="4"/>
  <c r="J706" i="4"/>
  <c r="D706" i="4"/>
  <c r="C706" i="4"/>
  <c r="A706" i="4" s="1"/>
  <c r="A706" i="1" s="1"/>
  <c r="R705" i="4"/>
  <c r="Q705" i="4"/>
  <c r="P705" i="4"/>
  <c r="K705" i="4"/>
  <c r="J705" i="4"/>
  <c r="D705" i="4"/>
  <c r="C705" i="4"/>
  <c r="A705" i="4" s="1"/>
  <c r="R704" i="4"/>
  <c r="Q704" i="4"/>
  <c r="P704" i="4"/>
  <c r="K704" i="4"/>
  <c r="J704" i="4"/>
  <c r="D704" i="4"/>
  <c r="C704" i="4"/>
  <c r="A704" i="4" s="1"/>
  <c r="R703" i="4"/>
  <c r="Q703" i="4"/>
  <c r="P703" i="4"/>
  <c r="K703" i="4"/>
  <c r="J703" i="4"/>
  <c r="D703" i="4"/>
  <c r="C703" i="4"/>
  <c r="A703" i="4" s="1"/>
  <c r="R702" i="4"/>
  <c r="Q702" i="4"/>
  <c r="P702" i="4"/>
  <c r="K702" i="4"/>
  <c r="J702" i="4"/>
  <c r="D702" i="4"/>
  <c r="C702" i="4"/>
  <c r="A702" i="4" s="1"/>
  <c r="R701" i="4"/>
  <c r="Q701" i="4"/>
  <c r="P701" i="4"/>
  <c r="K701" i="4"/>
  <c r="J701" i="4"/>
  <c r="D701" i="4"/>
  <c r="C701" i="4"/>
  <c r="A701" i="4" s="1"/>
  <c r="R700" i="4"/>
  <c r="Q700" i="4"/>
  <c r="P700" i="4"/>
  <c r="K700" i="4"/>
  <c r="J700" i="4"/>
  <c r="D700" i="4"/>
  <c r="C700" i="4"/>
  <c r="A700" i="4" s="1"/>
  <c r="R699" i="4"/>
  <c r="Q699" i="4"/>
  <c r="P699" i="4"/>
  <c r="K699" i="4"/>
  <c r="J699" i="4"/>
  <c r="D699" i="4"/>
  <c r="C699" i="4"/>
  <c r="A699" i="4" s="1"/>
  <c r="R698" i="4"/>
  <c r="Q698" i="4"/>
  <c r="P698" i="4"/>
  <c r="K698" i="4"/>
  <c r="J698" i="4"/>
  <c r="D698" i="4"/>
  <c r="C698" i="4"/>
  <c r="A698" i="4" s="1"/>
  <c r="A698" i="1" s="1"/>
  <c r="R697" i="4"/>
  <c r="Q697" i="4"/>
  <c r="P697" i="4"/>
  <c r="K697" i="4"/>
  <c r="J697" i="4"/>
  <c r="D697" i="4"/>
  <c r="C697" i="4"/>
  <c r="A697" i="4" s="1"/>
  <c r="R696" i="4"/>
  <c r="Q696" i="4"/>
  <c r="P696" i="4"/>
  <c r="K696" i="4"/>
  <c r="J696" i="4"/>
  <c r="D696" i="4"/>
  <c r="C696" i="4"/>
  <c r="A696" i="4" s="1"/>
  <c r="R695" i="4"/>
  <c r="Q695" i="4"/>
  <c r="P695" i="4"/>
  <c r="K695" i="4"/>
  <c r="J695" i="4"/>
  <c r="D695" i="4"/>
  <c r="C695" i="4"/>
  <c r="A695" i="4" s="1"/>
  <c r="R694" i="4"/>
  <c r="Q694" i="4"/>
  <c r="P694" i="4"/>
  <c r="K694" i="4"/>
  <c r="J694" i="4"/>
  <c r="D694" i="4"/>
  <c r="C694" i="4"/>
  <c r="A694" i="4" s="1"/>
  <c r="R693" i="4"/>
  <c r="Q693" i="4"/>
  <c r="P693" i="4"/>
  <c r="K693" i="4"/>
  <c r="J693" i="4"/>
  <c r="D693" i="4"/>
  <c r="C693" i="4"/>
  <c r="A693" i="4" s="1"/>
  <c r="R692" i="4"/>
  <c r="Q692" i="4"/>
  <c r="P692" i="4"/>
  <c r="K692" i="4"/>
  <c r="J692" i="4"/>
  <c r="D692" i="4"/>
  <c r="C692" i="4"/>
  <c r="A692" i="4" s="1"/>
  <c r="R691" i="4"/>
  <c r="Q691" i="4"/>
  <c r="P691" i="4"/>
  <c r="K691" i="4"/>
  <c r="J691" i="4"/>
  <c r="D691" i="4"/>
  <c r="C691" i="4"/>
  <c r="A691" i="4" s="1"/>
  <c r="R690" i="4"/>
  <c r="Q690" i="4"/>
  <c r="P690" i="4"/>
  <c r="K690" i="4"/>
  <c r="J690" i="4"/>
  <c r="D690" i="4"/>
  <c r="C690" i="4"/>
  <c r="A690" i="4" s="1"/>
  <c r="A690" i="1" s="1"/>
  <c r="R689" i="4"/>
  <c r="Q689" i="4"/>
  <c r="P689" i="4"/>
  <c r="K689" i="4"/>
  <c r="J689" i="4"/>
  <c r="D689" i="4"/>
  <c r="C689" i="4"/>
  <c r="A689" i="4" s="1"/>
  <c r="R688" i="4"/>
  <c r="Q688" i="4"/>
  <c r="P688" i="4"/>
  <c r="K688" i="4"/>
  <c r="J688" i="4"/>
  <c r="D688" i="4"/>
  <c r="C688" i="4"/>
  <c r="A688" i="4" s="1"/>
  <c r="R687" i="4"/>
  <c r="Q687" i="4"/>
  <c r="P687" i="4"/>
  <c r="K687" i="4"/>
  <c r="J687" i="4"/>
  <c r="D687" i="4"/>
  <c r="C687" i="4"/>
  <c r="A687" i="4" s="1"/>
  <c r="R686" i="4"/>
  <c r="Q686" i="4"/>
  <c r="P686" i="4"/>
  <c r="K686" i="4"/>
  <c r="J686" i="4"/>
  <c r="D686" i="4"/>
  <c r="C686" i="4"/>
  <c r="A686" i="4" s="1"/>
  <c r="R685" i="4"/>
  <c r="Q685" i="4"/>
  <c r="P685" i="4"/>
  <c r="K685" i="4"/>
  <c r="J685" i="4"/>
  <c r="D685" i="4"/>
  <c r="C685" i="4"/>
  <c r="A685" i="4" s="1"/>
  <c r="R684" i="4"/>
  <c r="Q684" i="4"/>
  <c r="P684" i="4"/>
  <c r="K684" i="4"/>
  <c r="J684" i="4"/>
  <c r="D684" i="4"/>
  <c r="C684" i="4"/>
  <c r="A684" i="4" s="1"/>
  <c r="R683" i="4"/>
  <c r="Q683" i="4"/>
  <c r="P683" i="4"/>
  <c r="K683" i="4"/>
  <c r="J683" i="4"/>
  <c r="D683" i="4"/>
  <c r="C683" i="4"/>
  <c r="A683" i="4" s="1"/>
  <c r="R682" i="4"/>
  <c r="Q682" i="4"/>
  <c r="P682" i="4"/>
  <c r="K682" i="4"/>
  <c r="J682" i="4"/>
  <c r="D682" i="4"/>
  <c r="C682" i="4"/>
  <c r="A682" i="4" s="1"/>
  <c r="A682" i="1" s="1"/>
  <c r="R681" i="4"/>
  <c r="Q681" i="4"/>
  <c r="P681" i="4"/>
  <c r="K681" i="4"/>
  <c r="J681" i="4"/>
  <c r="D681" i="4"/>
  <c r="C681" i="4"/>
  <c r="A681" i="4" s="1"/>
  <c r="R680" i="4"/>
  <c r="Q680" i="4"/>
  <c r="P680" i="4"/>
  <c r="K680" i="4"/>
  <c r="J680" i="4"/>
  <c r="D680" i="4"/>
  <c r="C680" i="4"/>
  <c r="A680" i="4" s="1"/>
  <c r="R679" i="4"/>
  <c r="Q679" i="4"/>
  <c r="P679" i="4"/>
  <c r="K679" i="4"/>
  <c r="J679" i="4"/>
  <c r="D679" i="4"/>
  <c r="C679" i="4"/>
  <c r="A679" i="4" s="1"/>
  <c r="R678" i="4"/>
  <c r="Q678" i="4"/>
  <c r="P678" i="4"/>
  <c r="K678" i="4"/>
  <c r="J678" i="4"/>
  <c r="D678" i="4"/>
  <c r="C678" i="4"/>
  <c r="A678" i="4" s="1"/>
  <c r="R677" i="4"/>
  <c r="Q677" i="4"/>
  <c r="P677" i="4"/>
  <c r="K677" i="4"/>
  <c r="J677" i="4"/>
  <c r="D677" i="4"/>
  <c r="C677" i="4"/>
  <c r="A677" i="4" s="1"/>
  <c r="R676" i="4"/>
  <c r="Q676" i="4"/>
  <c r="P676" i="4"/>
  <c r="K676" i="4"/>
  <c r="J676" i="4"/>
  <c r="D676" i="4"/>
  <c r="C676" i="4"/>
  <c r="A676" i="4" s="1"/>
  <c r="R675" i="4"/>
  <c r="Q675" i="4"/>
  <c r="P675" i="4"/>
  <c r="K675" i="4"/>
  <c r="J675" i="4"/>
  <c r="D675" i="4"/>
  <c r="C675" i="4"/>
  <c r="A675" i="4" s="1"/>
  <c r="R674" i="4"/>
  <c r="Q674" i="4"/>
  <c r="P674" i="4"/>
  <c r="K674" i="4"/>
  <c r="J674" i="4"/>
  <c r="D674" i="4"/>
  <c r="C674" i="4"/>
  <c r="A674" i="4" s="1"/>
  <c r="A674" i="1" s="1"/>
  <c r="R673" i="4"/>
  <c r="Q673" i="4"/>
  <c r="P673" i="4"/>
  <c r="K673" i="4"/>
  <c r="J673" i="4"/>
  <c r="D673" i="4"/>
  <c r="C673" i="4"/>
  <c r="A673" i="4" s="1"/>
  <c r="R672" i="4"/>
  <c r="Q672" i="4"/>
  <c r="P672" i="4"/>
  <c r="K672" i="4"/>
  <c r="J672" i="4"/>
  <c r="D672" i="4"/>
  <c r="C672" i="4"/>
  <c r="A672" i="4" s="1"/>
  <c r="R671" i="4"/>
  <c r="Q671" i="4"/>
  <c r="P671" i="4"/>
  <c r="K671" i="4"/>
  <c r="J671" i="4"/>
  <c r="D671" i="4"/>
  <c r="C671" i="4"/>
  <c r="A671" i="4" s="1"/>
  <c r="R670" i="4"/>
  <c r="Q670" i="4"/>
  <c r="P670" i="4"/>
  <c r="K670" i="4"/>
  <c r="J670" i="4"/>
  <c r="D670" i="4"/>
  <c r="C670" i="4"/>
  <c r="A670" i="4" s="1"/>
  <c r="R669" i="4"/>
  <c r="Q669" i="4"/>
  <c r="P669" i="4"/>
  <c r="K669" i="4"/>
  <c r="J669" i="4"/>
  <c r="D669" i="4"/>
  <c r="C669" i="4"/>
  <c r="A669" i="4" s="1"/>
  <c r="R668" i="4"/>
  <c r="Q668" i="4"/>
  <c r="P668" i="4"/>
  <c r="K668" i="4"/>
  <c r="J668" i="4"/>
  <c r="D668" i="4"/>
  <c r="C668" i="4"/>
  <c r="A668" i="4" s="1"/>
  <c r="R667" i="4"/>
  <c r="Q667" i="4"/>
  <c r="P667" i="4"/>
  <c r="K667" i="4"/>
  <c r="J667" i="4"/>
  <c r="D667" i="4"/>
  <c r="C667" i="4"/>
  <c r="A667" i="4" s="1"/>
  <c r="R666" i="4"/>
  <c r="Q666" i="4"/>
  <c r="P666" i="4"/>
  <c r="K666" i="4"/>
  <c r="J666" i="4"/>
  <c r="D666" i="4"/>
  <c r="C666" i="4"/>
  <c r="A666" i="4" s="1"/>
  <c r="A666" i="1" s="1"/>
  <c r="R665" i="4"/>
  <c r="Q665" i="4"/>
  <c r="P665" i="4"/>
  <c r="K665" i="4"/>
  <c r="J665" i="4"/>
  <c r="D665" i="4"/>
  <c r="C665" i="4"/>
  <c r="A665" i="4" s="1"/>
  <c r="R664" i="4"/>
  <c r="Q664" i="4"/>
  <c r="P664" i="4"/>
  <c r="K664" i="4"/>
  <c r="J664" i="4"/>
  <c r="D664" i="4"/>
  <c r="C664" i="4"/>
  <c r="A664" i="4" s="1"/>
  <c r="R663" i="4"/>
  <c r="Q663" i="4"/>
  <c r="P663" i="4"/>
  <c r="K663" i="4"/>
  <c r="J663" i="4"/>
  <c r="D663" i="4"/>
  <c r="C663" i="4"/>
  <c r="A663" i="4" s="1"/>
  <c r="R662" i="4"/>
  <c r="Q662" i="4"/>
  <c r="P662" i="4"/>
  <c r="K662" i="4"/>
  <c r="J662" i="4"/>
  <c r="D662" i="4"/>
  <c r="C662" i="4"/>
  <c r="A662" i="4" s="1"/>
  <c r="R661" i="4"/>
  <c r="Q661" i="4"/>
  <c r="P661" i="4"/>
  <c r="K661" i="4"/>
  <c r="J661" i="4"/>
  <c r="D661" i="4"/>
  <c r="C661" i="4"/>
  <c r="A661" i="4" s="1"/>
  <c r="R660" i="4"/>
  <c r="Q660" i="4"/>
  <c r="P660" i="4"/>
  <c r="K660" i="4"/>
  <c r="J660" i="4"/>
  <c r="D660" i="4"/>
  <c r="C660" i="4"/>
  <c r="A660" i="4" s="1"/>
  <c r="R659" i="4"/>
  <c r="Q659" i="4"/>
  <c r="P659" i="4"/>
  <c r="K659" i="4"/>
  <c r="J659" i="4"/>
  <c r="D659" i="4"/>
  <c r="C659" i="4"/>
  <c r="A659" i="4" s="1"/>
  <c r="R658" i="4"/>
  <c r="Q658" i="4"/>
  <c r="P658" i="4"/>
  <c r="K658" i="4"/>
  <c r="J658" i="4"/>
  <c r="D658" i="4"/>
  <c r="C658" i="4"/>
  <c r="A658" i="4" s="1"/>
  <c r="A658" i="1" s="1"/>
  <c r="R657" i="4"/>
  <c r="Q657" i="4"/>
  <c r="P657" i="4"/>
  <c r="K657" i="4"/>
  <c r="J657" i="4"/>
  <c r="D657" i="4"/>
  <c r="C657" i="4"/>
  <c r="A657" i="4" s="1"/>
  <c r="R656" i="4"/>
  <c r="Q656" i="4"/>
  <c r="P656" i="4"/>
  <c r="K656" i="4"/>
  <c r="J656" i="4"/>
  <c r="D656" i="4"/>
  <c r="C656" i="4"/>
  <c r="A656" i="4" s="1"/>
  <c r="R655" i="4"/>
  <c r="Q655" i="4"/>
  <c r="P655" i="4"/>
  <c r="K655" i="4"/>
  <c r="J655" i="4"/>
  <c r="D655" i="4"/>
  <c r="C655" i="4"/>
  <c r="A655" i="4" s="1"/>
  <c r="R654" i="4"/>
  <c r="Q654" i="4"/>
  <c r="P654" i="4"/>
  <c r="K654" i="4"/>
  <c r="J654" i="4"/>
  <c r="D654" i="4"/>
  <c r="C654" i="4"/>
  <c r="A654" i="4" s="1"/>
  <c r="R653" i="4"/>
  <c r="Q653" i="4"/>
  <c r="P653" i="4"/>
  <c r="K653" i="4"/>
  <c r="J653" i="4"/>
  <c r="D653" i="4"/>
  <c r="C653" i="4"/>
  <c r="A653" i="4" s="1"/>
  <c r="R652" i="4"/>
  <c r="Q652" i="4"/>
  <c r="P652" i="4"/>
  <c r="K652" i="4"/>
  <c r="J652" i="4"/>
  <c r="D652" i="4"/>
  <c r="C652" i="4"/>
  <c r="A652" i="4" s="1"/>
  <c r="R651" i="4"/>
  <c r="Q651" i="4"/>
  <c r="P651" i="4"/>
  <c r="K651" i="4"/>
  <c r="J651" i="4"/>
  <c r="D651" i="4"/>
  <c r="C651" i="4"/>
  <c r="A651" i="4" s="1"/>
  <c r="R650" i="4"/>
  <c r="Q650" i="4"/>
  <c r="P650" i="4"/>
  <c r="K650" i="4"/>
  <c r="J650" i="4"/>
  <c r="D650" i="4"/>
  <c r="C650" i="4"/>
  <c r="A650" i="4" s="1"/>
  <c r="A650" i="1" s="1"/>
  <c r="R649" i="4"/>
  <c r="Q649" i="4"/>
  <c r="P649" i="4"/>
  <c r="K649" i="4"/>
  <c r="J649" i="4"/>
  <c r="D649" i="4"/>
  <c r="C649" i="4"/>
  <c r="A649" i="4" s="1"/>
  <c r="R648" i="4"/>
  <c r="Q648" i="4"/>
  <c r="P648" i="4"/>
  <c r="K648" i="4"/>
  <c r="J648" i="4"/>
  <c r="D648" i="4"/>
  <c r="C648" i="4"/>
  <c r="A648" i="4" s="1"/>
  <c r="R647" i="4"/>
  <c r="Q647" i="4"/>
  <c r="P647" i="4"/>
  <c r="K647" i="4"/>
  <c r="J647" i="4"/>
  <c r="D647" i="4"/>
  <c r="C647" i="4"/>
  <c r="A647" i="4" s="1"/>
  <c r="R646" i="4"/>
  <c r="Q646" i="4"/>
  <c r="P646" i="4"/>
  <c r="K646" i="4"/>
  <c r="J646" i="4"/>
  <c r="D646" i="4"/>
  <c r="C646" i="4"/>
  <c r="A646" i="4" s="1"/>
  <c r="R645" i="4"/>
  <c r="Q645" i="4"/>
  <c r="P645" i="4"/>
  <c r="K645" i="4"/>
  <c r="J645" i="4"/>
  <c r="D645" i="4"/>
  <c r="C645" i="4"/>
  <c r="A645" i="4" s="1"/>
  <c r="R644" i="4"/>
  <c r="Q644" i="4"/>
  <c r="P644" i="4"/>
  <c r="K644" i="4"/>
  <c r="J644" i="4"/>
  <c r="D644" i="4"/>
  <c r="C644" i="4"/>
  <c r="A644" i="4" s="1"/>
  <c r="R643" i="4"/>
  <c r="Q643" i="4"/>
  <c r="P643" i="4"/>
  <c r="K643" i="4"/>
  <c r="J643" i="4"/>
  <c r="D643" i="4"/>
  <c r="C643" i="4"/>
  <c r="A643" i="4" s="1"/>
  <c r="R642" i="4"/>
  <c r="Q642" i="4"/>
  <c r="P642" i="4"/>
  <c r="K642" i="4"/>
  <c r="J642" i="4"/>
  <c r="D642" i="4"/>
  <c r="C642" i="4"/>
  <c r="A642" i="4" s="1"/>
  <c r="A642" i="1" s="1"/>
  <c r="R641" i="4"/>
  <c r="Q641" i="4"/>
  <c r="P641" i="4"/>
  <c r="K641" i="4"/>
  <c r="J641" i="4"/>
  <c r="D641" i="4"/>
  <c r="C641" i="4"/>
  <c r="A641" i="4" s="1"/>
  <c r="R640" i="4"/>
  <c r="Q640" i="4"/>
  <c r="P640" i="4"/>
  <c r="K640" i="4"/>
  <c r="J640" i="4"/>
  <c r="D640" i="4"/>
  <c r="C640" i="4"/>
  <c r="A640" i="4" s="1"/>
  <c r="R639" i="4"/>
  <c r="Q639" i="4"/>
  <c r="P639" i="4"/>
  <c r="K639" i="4"/>
  <c r="J639" i="4"/>
  <c r="D639" i="4"/>
  <c r="C639" i="4"/>
  <c r="A639" i="4" s="1"/>
  <c r="R638" i="4"/>
  <c r="Q638" i="4"/>
  <c r="P638" i="4"/>
  <c r="K638" i="4"/>
  <c r="J638" i="4"/>
  <c r="D638" i="4"/>
  <c r="C638" i="4"/>
  <c r="A638" i="4" s="1"/>
  <c r="R637" i="4"/>
  <c r="Q637" i="4"/>
  <c r="P637" i="4"/>
  <c r="K637" i="4"/>
  <c r="J637" i="4"/>
  <c r="D637" i="4"/>
  <c r="C637" i="4"/>
  <c r="A637" i="4" s="1"/>
  <c r="R636" i="4"/>
  <c r="Q636" i="4"/>
  <c r="P636" i="4"/>
  <c r="K636" i="4"/>
  <c r="J636" i="4"/>
  <c r="D636" i="4"/>
  <c r="C636" i="4"/>
  <c r="A636" i="4" s="1"/>
  <c r="R635" i="4"/>
  <c r="Q635" i="4"/>
  <c r="P635" i="4"/>
  <c r="K635" i="4"/>
  <c r="J635" i="4"/>
  <c r="D635" i="4"/>
  <c r="C635" i="4"/>
  <c r="A635" i="4" s="1"/>
  <c r="R634" i="4"/>
  <c r="Q634" i="4"/>
  <c r="P634" i="4"/>
  <c r="K634" i="4"/>
  <c r="J634" i="4"/>
  <c r="D634" i="4"/>
  <c r="C634" i="4"/>
  <c r="A634" i="4" s="1"/>
  <c r="A634" i="1" s="1"/>
  <c r="R633" i="4"/>
  <c r="Q633" i="4"/>
  <c r="P633" i="4"/>
  <c r="K633" i="4"/>
  <c r="J633" i="4"/>
  <c r="D633" i="4"/>
  <c r="C633" i="4"/>
  <c r="A633" i="4" s="1"/>
  <c r="R632" i="4"/>
  <c r="Q632" i="4"/>
  <c r="P632" i="4"/>
  <c r="K632" i="4"/>
  <c r="J632" i="4"/>
  <c r="D632" i="4"/>
  <c r="C632" i="4"/>
  <c r="A632" i="4" s="1"/>
  <c r="R631" i="4"/>
  <c r="Q631" i="4"/>
  <c r="P631" i="4"/>
  <c r="K631" i="4"/>
  <c r="J631" i="4"/>
  <c r="D631" i="4"/>
  <c r="C631" i="4"/>
  <c r="A631" i="4" s="1"/>
  <c r="R630" i="4"/>
  <c r="Q630" i="4"/>
  <c r="P630" i="4"/>
  <c r="K630" i="4"/>
  <c r="J630" i="4"/>
  <c r="D630" i="4"/>
  <c r="C630" i="4"/>
  <c r="A630" i="4" s="1"/>
  <c r="R629" i="4"/>
  <c r="Q629" i="4"/>
  <c r="P629" i="4"/>
  <c r="K629" i="4"/>
  <c r="J629" i="4"/>
  <c r="D629" i="4"/>
  <c r="C629" i="4"/>
  <c r="A629" i="4" s="1"/>
  <c r="R628" i="4"/>
  <c r="Q628" i="4"/>
  <c r="P628" i="4"/>
  <c r="K628" i="4"/>
  <c r="J628" i="4"/>
  <c r="D628" i="4"/>
  <c r="C628" i="4"/>
  <c r="A628" i="4" s="1"/>
  <c r="R627" i="4"/>
  <c r="Q627" i="4"/>
  <c r="P627" i="4"/>
  <c r="K627" i="4"/>
  <c r="J627" i="4"/>
  <c r="D627" i="4"/>
  <c r="C627" i="4"/>
  <c r="A627" i="4" s="1"/>
  <c r="R626" i="4"/>
  <c r="Q626" i="4"/>
  <c r="P626" i="4"/>
  <c r="K626" i="4"/>
  <c r="J626" i="4"/>
  <c r="D626" i="4"/>
  <c r="C626" i="4"/>
  <c r="A626" i="4" s="1"/>
  <c r="A626" i="1" s="1"/>
  <c r="R625" i="4"/>
  <c r="Q625" i="4"/>
  <c r="P625" i="4"/>
  <c r="K625" i="4"/>
  <c r="J625" i="4"/>
  <c r="D625" i="4"/>
  <c r="C625" i="4"/>
  <c r="A625" i="4" s="1"/>
  <c r="R624" i="4"/>
  <c r="Q624" i="4"/>
  <c r="P624" i="4"/>
  <c r="K624" i="4"/>
  <c r="J624" i="4"/>
  <c r="D624" i="4"/>
  <c r="C624" i="4"/>
  <c r="A624" i="4" s="1"/>
  <c r="R623" i="4"/>
  <c r="Q623" i="4"/>
  <c r="P623" i="4"/>
  <c r="K623" i="4"/>
  <c r="J623" i="4"/>
  <c r="D623" i="4"/>
  <c r="C623" i="4"/>
  <c r="A623" i="4" s="1"/>
  <c r="R622" i="4"/>
  <c r="Q622" i="4"/>
  <c r="P622" i="4"/>
  <c r="K622" i="4"/>
  <c r="J622" i="4"/>
  <c r="D622" i="4"/>
  <c r="C622" i="4"/>
  <c r="A622" i="4" s="1"/>
  <c r="R621" i="4"/>
  <c r="Q621" i="4"/>
  <c r="P621" i="4"/>
  <c r="K621" i="4"/>
  <c r="J621" i="4"/>
  <c r="D621" i="4"/>
  <c r="C621" i="4"/>
  <c r="A621" i="4" s="1"/>
  <c r="R620" i="4"/>
  <c r="Q620" i="4"/>
  <c r="P620" i="4"/>
  <c r="K620" i="4"/>
  <c r="J620" i="4"/>
  <c r="D620" i="4"/>
  <c r="C620" i="4"/>
  <c r="A620" i="4" s="1"/>
  <c r="R619" i="4"/>
  <c r="Q619" i="4"/>
  <c r="P619" i="4"/>
  <c r="K619" i="4"/>
  <c r="J619" i="4"/>
  <c r="D619" i="4"/>
  <c r="C619" i="4"/>
  <c r="A619" i="4" s="1"/>
  <c r="R618" i="4"/>
  <c r="Q618" i="4"/>
  <c r="P618" i="4"/>
  <c r="K618" i="4"/>
  <c r="J618" i="4"/>
  <c r="D618" i="4"/>
  <c r="C618" i="4"/>
  <c r="A618" i="4" s="1"/>
  <c r="A618" i="1" s="1"/>
  <c r="R617" i="4"/>
  <c r="Q617" i="4"/>
  <c r="P617" i="4"/>
  <c r="K617" i="4"/>
  <c r="J617" i="4"/>
  <c r="D617" i="4"/>
  <c r="C617" i="4"/>
  <c r="A617" i="4" s="1"/>
  <c r="R616" i="4"/>
  <c r="Q616" i="4"/>
  <c r="P616" i="4"/>
  <c r="K616" i="4"/>
  <c r="J616" i="4"/>
  <c r="D616" i="4"/>
  <c r="C616" i="4"/>
  <c r="A616" i="4" s="1"/>
  <c r="R615" i="4"/>
  <c r="Q615" i="4"/>
  <c r="P615" i="4"/>
  <c r="K615" i="4"/>
  <c r="J615" i="4"/>
  <c r="D615" i="4"/>
  <c r="C615" i="4"/>
  <c r="A615" i="4" s="1"/>
  <c r="R614" i="4"/>
  <c r="Q614" i="4"/>
  <c r="P614" i="4"/>
  <c r="K614" i="4"/>
  <c r="J614" i="4"/>
  <c r="D614" i="4"/>
  <c r="C614" i="4"/>
  <c r="A614" i="4" s="1"/>
  <c r="R613" i="4"/>
  <c r="Q613" i="4"/>
  <c r="P613" i="4"/>
  <c r="K613" i="4"/>
  <c r="J613" i="4"/>
  <c r="D613" i="4"/>
  <c r="C613" i="4"/>
  <c r="A613" i="4" s="1"/>
  <c r="R612" i="4"/>
  <c r="Q612" i="4"/>
  <c r="P612" i="4"/>
  <c r="K612" i="4"/>
  <c r="J612" i="4"/>
  <c r="D612" i="4"/>
  <c r="C612" i="4"/>
  <c r="A612" i="4" s="1"/>
  <c r="R611" i="4"/>
  <c r="Q611" i="4"/>
  <c r="P611" i="4"/>
  <c r="K611" i="4"/>
  <c r="J611" i="4"/>
  <c r="D611" i="4"/>
  <c r="C611" i="4"/>
  <c r="A611" i="4" s="1"/>
  <c r="R610" i="4"/>
  <c r="Q610" i="4"/>
  <c r="P610" i="4"/>
  <c r="K610" i="4"/>
  <c r="J610" i="4"/>
  <c r="D610" i="4"/>
  <c r="C610" i="4"/>
  <c r="A610" i="4" s="1"/>
  <c r="A610" i="1" s="1"/>
  <c r="R609" i="4"/>
  <c r="Q609" i="4"/>
  <c r="P609" i="4"/>
  <c r="K609" i="4"/>
  <c r="J609" i="4"/>
  <c r="D609" i="4"/>
  <c r="C609" i="4"/>
  <c r="A609" i="4" s="1"/>
  <c r="R608" i="4"/>
  <c r="Q608" i="4"/>
  <c r="P608" i="4"/>
  <c r="K608" i="4"/>
  <c r="J608" i="4"/>
  <c r="D608" i="4"/>
  <c r="C608" i="4"/>
  <c r="A608" i="4" s="1"/>
  <c r="R607" i="4"/>
  <c r="Q607" i="4"/>
  <c r="P607" i="4"/>
  <c r="K607" i="4"/>
  <c r="J607" i="4"/>
  <c r="D607" i="4"/>
  <c r="C607" i="4"/>
  <c r="A607" i="4" s="1"/>
  <c r="R606" i="4"/>
  <c r="Q606" i="4"/>
  <c r="P606" i="4"/>
  <c r="K606" i="4"/>
  <c r="J606" i="4"/>
  <c r="D606" i="4"/>
  <c r="C606" i="4"/>
  <c r="A606" i="4" s="1"/>
  <c r="R605" i="4"/>
  <c r="Q605" i="4"/>
  <c r="P605" i="4"/>
  <c r="K605" i="4"/>
  <c r="J605" i="4"/>
  <c r="D605" i="4"/>
  <c r="C605" i="4"/>
  <c r="A605" i="4" s="1"/>
  <c r="R604" i="4"/>
  <c r="Q604" i="4"/>
  <c r="P604" i="4"/>
  <c r="K604" i="4"/>
  <c r="J604" i="4"/>
  <c r="D604" i="4"/>
  <c r="C604" i="4"/>
  <c r="A604" i="4" s="1"/>
  <c r="R603" i="4"/>
  <c r="Q603" i="4"/>
  <c r="P603" i="4"/>
  <c r="K603" i="4"/>
  <c r="J603" i="4"/>
  <c r="D603" i="4"/>
  <c r="C603" i="4"/>
  <c r="A603" i="4" s="1"/>
  <c r="R602" i="4"/>
  <c r="Q602" i="4"/>
  <c r="P602" i="4"/>
  <c r="K602" i="4"/>
  <c r="J602" i="4"/>
  <c r="D602" i="4"/>
  <c r="C602" i="4"/>
  <c r="A602" i="4" s="1"/>
  <c r="R601" i="4"/>
  <c r="Q601" i="4"/>
  <c r="P601" i="4"/>
  <c r="K601" i="4"/>
  <c r="J601" i="4"/>
  <c r="D601" i="4"/>
  <c r="C601" i="4"/>
  <c r="A601" i="4" s="1"/>
  <c r="R600" i="4"/>
  <c r="Q600" i="4"/>
  <c r="P600" i="4"/>
  <c r="K600" i="4"/>
  <c r="J600" i="4"/>
  <c r="D600" i="4"/>
  <c r="C600" i="4"/>
  <c r="A600" i="4" s="1"/>
  <c r="R599" i="4"/>
  <c r="Q599" i="4"/>
  <c r="P599" i="4"/>
  <c r="K599" i="4"/>
  <c r="J599" i="4"/>
  <c r="D599" i="4"/>
  <c r="C599" i="4"/>
  <c r="A599" i="4" s="1"/>
  <c r="R598" i="4"/>
  <c r="Q598" i="4"/>
  <c r="P598" i="4"/>
  <c r="K598" i="4"/>
  <c r="J598" i="4"/>
  <c r="D598" i="4"/>
  <c r="C598" i="4"/>
  <c r="A598" i="4" s="1"/>
  <c r="R597" i="4"/>
  <c r="Q597" i="4"/>
  <c r="P597" i="4"/>
  <c r="K597" i="4"/>
  <c r="J597" i="4"/>
  <c r="D597" i="4"/>
  <c r="C597" i="4"/>
  <c r="A597" i="4" s="1"/>
  <c r="R596" i="4"/>
  <c r="Q596" i="4"/>
  <c r="P596" i="4"/>
  <c r="K596" i="4"/>
  <c r="J596" i="4"/>
  <c r="D596" i="4"/>
  <c r="C596" i="4"/>
  <c r="A596" i="4" s="1"/>
  <c r="R595" i="4"/>
  <c r="Q595" i="4"/>
  <c r="P595" i="4"/>
  <c r="K595" i="4"/>
  <c r="J595" i="4"/>
  <c r="D595" i="4"/>
  <c r="C595" i="4"/>
  <c r="A595" i="4" s="1"/>
  <c r="R594" i="4"/>
  <c r="Q594" i="4"/>
  <c r="P594" i="4"/>
  <c r="K594" i="4"/>
  <c r="J594" i="4"/>
  <c r="D594" i="4"/>
  <c r="C594" i="4"/>
  <c r="A594" i="4" s="1"/>
  <c r="R593" i="4"/>
  <c r="Q593" i="4"/>
  <c r="P593" i="4"/>
  <c r="K593" i="4"/>
  <c r="J593" i="4"/>
  <c r="D593" i="4"/>
  <c r="C593" i="4"/>
  <c r="A593" i="4" s="1"/>
  <c r="R592" i="4"/>
  <c r="Q592" i="4"/>
  <c r="P592" i="4"/>
  <c r="K592" i="4"/>
  <c r="J592" i="4"/>
  <c r="D592" i="4"/>
  <c r="C592" i="4"/>
  <c r="A592" i="4" s="1"/>
  <c r="R591" i="4"/>
  <c r="Q591" i="4"/>
  <c r="P591" i="4"/>
  <c r="K591" i="4"/>
  <c r="J591" i="4"/>
  <c r="D591" i="4"/>
  <c r="C591" i="4"/>
  <c r="A591" i="4" s="1"/>
  <c r="R590" i="4"/>
  <c r="Q590" i="4"/>
  <c r="P590" i="4"/>
  <c r="K590" i="4"/>
  <c r="J590" i="4"/>
  <c r="D590" i="4"/>
  <c r="C590" i="4"/>
  <c r="A590" i="4" s="1"/>
  <c r="R589" i="4"/>
  <c r="Q589" i="4"/>
  <c r="P589" i="4"/>
  <c r="K589" i="4"/>
  <c r="J589" i="4"/>
  <c r="D589" i="4"/>
  <c r="C589" i="4"/>
  <c r="A589" i="4" s="1"/>
  <c r="R588" i="4"/>
  <c r="Q588" i="4"/>
  <c r="P588" i="4"/>
  <c r="K588" i="4"/>
  <c r="J588" i="4"/>
  <c r="D588" i="4"/>
  <c r="C588" i="4"/>
  <c r="A588" i="4" s="1"/>
  <c r="R587" i="4"/>
  <c r="Q587" i="4"/>
  <c r="P587" i="4"/>
  <c r="K587" i="4"/>
  <c r="J587" i="4"/>
  <c r="D587" i="4"/>
  <c r="C587" i="4"/>
  <c r="A587" i="4" s="1"/>
  <c r="R586" i="4"/>
  <c r="Q586" i="4"/>
  <c r="P586" i="4"/>
  <c r="K586" i="4"/>
  <c r="J586" i="4"/>
  <c r="D586" i="4"/>
  <c r="C586" i="4"/>
  <c r="A586" i="4" s="1"/>
  <c r="A586" i="1" s="1"/>
  <c r="R585" i="4"/>
  <c r="Q585" i="4"/>
  <c r="P585" i="4"/>
  <c r="K585" i="4"/>
  <c r="J585" i="4"/>
  <c r="D585" i="4"/>
  <c r="C585" i="4"/>
  <c r="A585" i="4" s="1"/>
  <c r="R584" i="4"/>
  <c r="Q584" i="4"/>
  <c r="P584" i="4"/>
  <c r="K584" i="4"/>
  <c r="J584" i="4"/>
  <c r="D584" i="4"/>
  <c r="C584" i="4"/>
  <c r="A584" i="4" s="1"/>
  <c r="R583" i="4"/>
  <c r="Q583" i="4"/>
  <c r="P583" i="4"/>
  <c r="K583" i="4"/>
  <c r="J583" i="4"/>
  <c r="D583" i="4"/>
  <c r="C583" i="4"/>
  <c r="A583" i="4" s="1"/>
  <c r="R582" i="4"/>
  <c r="Q582" i="4"/>
  <c r="P582" i="4"/>
  <c r="K582" i="4"/>
  <c r="J582" i="4"/>
  <c r="D582" i="4"/>
  <c r="C582" i="4"/>
  <c r="A582" i="4" s="1"/>
  <c r="R581" i="4"/>
  <c r="Q581" i="4"/>
  <c r="P581" i="4"/>
  <c r="K581" i="4"/>
  <c r="J581" i="4"/>
  <c r="D581" i="4"/>
  <c r="C581" i="4"/>
  <c r="A581" i="4" s="1"/>
  <c r="R580" i="4"/>
  <c r="Q580" i="4"/>
  <c r="P580" i="4"/>
  <c r="K580" i="4"/>
  <c r="J580" i="4"/>
  <c r="D580" i="4"/>
  <c r="C580" i="4"/>
  <c r="A580" i="4" s="1"/>
  <c r="R579" i="4"/>
  <c r="Q579" i="4"/>
  <c r="P579" i="4"/>
  <c r="K579" i="4"/>
  <c r="J579" i="4"/>
  <c r="D579" i="4"/>
  <c r="C579" i="4"/>
  <c r="A579" i="4" s="1"/>
  <c r="R578" i="4"/>
  <c r="Q578" i="4"/>
  <c r="P578" i="4"/>
  <c r="K578" i="4"/>
  <c r="J578" i="4"/>
  <c r="D578" i="4"/>
  <c r="C578" i="4"/>
  <c r="A578" i="4" s="1"/>
  <c r="A578" i="1" s="1"/>
  <c r="R577" i="4"/>
  <c r="Q577" i="4"/>
  <c r="P577" i="4"/>
  <c r="K577" i="4"/>
  <c r="J577" i="4"/>
  <c r="D577" i="4"/>
  <c r="C577" i="4"/>
  <c r="A577" i="4" s="1"/>
  <c r="R576" i="4"/>
  <c r="Q576" i="4"/>
  <c r="P576" i="4"/>
  <c r="K576" i="4"/>
  <c r="J576" i="4"/>
  <c r="D576" i="4"/>
  <c r="C576" i="4"/>
  <c r="A576" i="4" s="1"/>
  <c r="R575" i="4"/>
  <c r="Q575" i="4"/>
  <c r="P575" i="4"/>
  <c r="K575" i="4"/>
  <c r="J575" i="4"/>
  <c r="D575" i="4"/>
  <c r="C575" i="4"/>
  <c r="A575" i="4" s="1"/>
  <c r="R574" i="4"/>
  <c r="Q574" i="4"/>
  <c r="P574" i="4"/>
  <c r="K574" i="4"/>
  <c r="J574" i="4"/>
  <c r="D574" i="4"/>
  <c r="C574" i="4"/>
  <c r="A574" i="4" s="1"/>
  <c r="R573" i="4"/>
  <c r="Q573" i="4"/>
  <c r="P573" i="4"/>
  <c r="K573" i="4"/>
  <c r="J573" i="4"/>
  <c r="D573" i="4"/>
  <c r="C573" i="4"/>
  <c r="A573" i="4" s="1"/>
  <c r="R572" i="4"/>
  <c r="Q572" i="4"/>
  <c r="P572" i="4"/>
  <c r="K572" i="4"/>
  <c r="J572" i="4"/>
  <c r="D572" i="4"/>
  <c r="C572" i="4"/>
  <c r="A572" i="4" s="1"/>
  <c r="R571" i="4"/>
  <c r="Q571" i="4"/>
  <c r="P571" i="4"/>
  <c r="K571" i="4"/>
  <c r="J571" i="4"/>
  <c r="D571" i="4"/>
  <c r="C571" i="4"/>
  <c r="A571" i="4" s="1"/>
  <c r="R570" i="4"/>
  <c r="Q570" i="4"/>
  <c r="P570" i="4"/>
  <c r="K570" i="4"/>
  <c r="J570" i="4"/>
  <c r="D570" i="4"/>
  <c r="C570" i="4"/>
  <c r="A570" i="4" s="1"/>
  <c r="A570" i="1" s="1"/>
  <c r="R569" i="4"/>
  <c r="Q569" i="4"/>
  <c r="P569" i="4"/>
  <c r="K569" i="4"/>
  <c r="J569" i="4"/>
  <c r="D569" i="4"/>
  <c r="C569" i="4"/>
  <c r="A569" i="4" s="1"/>
  <c r="R568" i="4"/>
  <c r="Q568" i="4"/>
  <c r="P568" i="4"/>
  <c r="K568" i="4"/>
  <c r="J568" i="4"/>
  <c r="D568" i="4"/>
  <c r="C568" i="4"/>
  <c r="A568" i="4" s="1"/>
  <c r="R567" i="4"/>
  <c r="Q567" i="4"/>
  <c r="P567" i="4"/>
  <c r="K567" i="4"/>
  <c r="J567" i="4"/>
  <c r="D567" i="4"/>
  <c r="C567" i="4"/>
  <c r="A567" i="4" s="1"/>
  <c r="R566" i="4"/>
  <c r="Q566" i="4"/>
  <c r="P566" i="4"/>
  <c r="K566" i="4"/>
  <c r="J566" i="4"/>
  <c r="D566" i="4"/>
  <c r="C566" i="4"/>
  <c r="A566" i="4" s="1"/>
  <c r="R565" i="4"/>
  <c r="Q565" i="4"/>
  <c r="P565" i="4"/>
  <c r="K565" i="4"/>
  <c r="J565" i="4"/>
  <c r="D565" i="4"/>
  <c r="C565" i="4"/>
  <c r="A565" i="4" s="1"/>
  <c r="R564" i="4"/>
  <c r="Q564" i="4"/>
  <c r="P564" i="4"/>
  <c r="K564" i="4"/>
  <c r="J564" i="4"/>
  <c r="D564" i="4"/>
  <c r="C564" i="4"/>
  <c r="A564" i="4" s="1"/>
  <c r="R563" i="4"/>
  <c r="Q563" i="4"/>
  <c r="P563" i="4"/>
  <c r="K563" i="4"/>
  <c r="J563" i="4"/>
  <c r="D563" i="4"/>
  <c r="C563" i="4"/>
  <c r="A563" i="4" s="1"/>
  <c r="R562" i="4"/>
  <c r="Q562" i="4"/>
  <c r="P562" i="4"/>
  <c r="K562" i="4"/>
  <c r="J562" i="4"/>
  <c r="D562" i="4"/>
  <c r="C562" i="4"/>
  <c r="A562" i="4" s="1"/>
  <c r="R561" i="4"/>
  <c r="Q561" i="4"/>
  <c r="P561" i="4"/>
  <c r="K561" i="4"/>
  <c r="J561" i="4"/>
  <c r="D561" i="4"/>
  <c r="C561" i="4"/>
  <c r="A561" i="4" s="1"/>
  <c r="R560" i="4"/>
  <c r="Q560" i="4"/>
  <c r="P560" i="4"/>
  <c r="K560" i="4"/>
  <c r="J560" i="4"/>
  <c r="D560" i="4"/>
  <c r="C560" i="4"/>
  <c r="A560" i="4" s="1"/>
  <c r="R559" i="4"/>
  <c r="Q559" i="4"/>
  <c r="P559" i="4"/>
  <c r="K559" i="4"/>
  <c r="J559" i="4"/>
  <c r="D559" i="4"/>
  <c r="C559" i="4"/>
  <c r="A559" i="4" s="1"/>
  <c r="R558" i="4"/>
  <c r="Q558" i="4"/>
  <c r="P558" i="4"/>
  <c r="K558" i="4"/>
  <c r="J558" i="4"/>
  <c r="D558" i="4"/>
  <c r="C558" i="4"/>
  <c r="A558" i="4" s="1"/>
  <c r="R557" i="4"/>
  <c r="Q557" i="4"/>
  <c r="P557" i="4"/>
  <c r="K557" i="4"/>
  <c r="J557" i="4"/>
  <c r="D557" i="4"/>
  <c r="C557" i="4"/>
  <c r="A557" i="4" s="1"/>
  <c r="R556" i="4"/>
  <c r="Q556" i="4"/>
  <c r="P556" i="4"/>
  <c r="K556" i="4"/>
  <c r="J556" i="4"/>
  <c r="D556" i="4"/>
  <c r="C556" i="4"/>
  <c r="A556" i="4" s="1"/>
  <c r="R555" i="4"/>
  <c r="Q555" i="4"/>
  <c r="P555" i="4"/>
  <c r="K555" i="4"/>
  <c r="J555" i="4"/>
  <c r="D555" i="4"/>
  <c r="C555" i="4"/>
  <c r="A555" i="4" s="1"/>
  <c r="R554" i="4"/>
  <c r="Q554" i="4"/>
  <c r="P554" i="4"/>
  <c r="K554" i="4"/>
  <c r="J554" i="4"/>
  <c r="D554" i="4"/>
  <c r="C554" i="4"/>
  <c r="A554" i="4" s="1"/>
  <c r="R553" i="4"/>
  <c r="Q553" i="4"/>
  <c r="P553" i="4"/>
  <c r="K553" i="4"/>
  <c r="J553" i="4"/>
  <c r="D553" i="4"/>
  <c r="C553" i="4"/>
  <c r="A553" i="4" s="1"/>
  <c r="R552" i="4"/>
  <c r="Q552" i="4"/>
  <c r="P552" i="4"/>
  <c r="K552" i="4"/>
  <c r="J552" i="4"/>
  <c r="D552" i="4"/>
  <c r="C552" i="4"/>
  <c r="A552" i="4" s="1"/>
  <c r="R551" i="4"/>
  <c r="Q551" i="4"/>
  <c r="P551" i="4"/>
  <c r="K551" i="4"/>
  <c r="J551" i="4"/>
  <c r="D551" i="4"/>
  <c r="C551" i="4"/>
  <c r="A551" i="4" s="1"/>
  <c r="R550" i="4"/>
  <c r="Q550" i="4"/>
  <c r="P550" i="4"/>
  <c r="K550" i="4"/>
  <c r="J550" i="4"/>
  <c r="D550" i="4"/>
  <c r="C550" i="4"/>
  <c r="A550" i="4" s="1"/>
  <c r="R549" i="4"/>
  <c r="Q549" i="4"/>
  <c r="P549" i="4"/>
  <c r="K549" i="4"/>
  <c r="J549" i="4"/>
  <c r="D549" i="4"/>
  <c r="C549" i="4"/>
  <c r="A549" i="4" s="1"/>
  <c r="R548" i="4"/>
  <c r="Q548" i="4"/>
  <c r="P548" i="4"/>
  <c r="K548" i="4"/>
  <c r="J548" i="4"/>
  <c r="D548" i="4"/>
  <c r="C548" i="4"/>
  <c r="A548" i="4" s="1"/>
  <c r="R547" i="4"/>
  <c r="Q547" i="4"/>
  <c r="P547" i="4"/>
  <c r="K547" i="4"/>
  <c r="J547" i="4"/>
  <c r="D547" i="4"/>
  <c r="C547" i="4"/>
  <c r="A547" i="4" s="1"/>
  <c r="R546" i="4"/>
  <c r="Q546" i="4"/>
  <c r="P546" i="4"/>
  <c r="K546" i="4"/>
  <c r="J546" i="4"/>
  <c r="D546" i="4"/>
  <c r="C546" i="4"/>
  <c r="A546" i="4" s="1"/>
  <c r="A546" i="1" s="1"/>
  <c r="R545" i="4"/>
  <c r="Q545" i="4"/>
  <c r="P545" i="4"/>
  <c r="K545" i="4"/>
  <c r="J545" i="4"/>
  <c r="D545" i="4"/>
  <c r="C545" i="4"/>
  <c r="A545" i="4" s="1"/>
  <c r="R544" i="4"/>
  <c r="Q544" i="4"/>
  <c r="P544" i="4"/>
  <c r="K544" i="4"/>
  <c r="J544" i="4"/>
  <c r="D544" i="4"/>
  <c r="C544" i="4"/>
  <c r="A544" i="4" s="1"/>
  <c r="R543" i="4"/>
  <c r="Q543" i="4"/>
  <c r="P543" i="4"/>
  <c r="K543" i="4"/>
  <c r="J543" i="4"/>
  <c r="D543" i="4"/>
  <c r="C543" i="4"/>
  <c r="A543" i="4" s="1"/>
  <c r="R542" i="4"/>
  <c r="Q542" i="4"/>
  <c r="P542" i="4"/>
  <c r="K542" i="4"/>
  <c r="J542" i="4"/>
  <c r="D542" i="4"/>
  <c r="C542" i="4"/>
  <c r="A542" i="4" s="1"/>
  <c r="R541" i="4"/>
  <c r="Q541" i="4"/>
  <c r="P541" i="4"/>
  <c r="K541" i="4"/>
  <c r="J541" i="4"/>
  <c r="D541" i="4"/>
  <c r="C541" i="4"/>
  <c r="A541" i="4" s="1"/>
  <c r="R540" i="4"/>
  <c r="Q540" i="4"/>
  <c r="P540" i="4"/>
  <c r="K540" i="4"/>
  <c r="J540" i="4"/>
  <c r="D540" i="4"/>
  <c r="C540" i="4"/>
  <c r="A540" i="4" s="1"/>
  <c r="R539" i="4"/>
  <c r="Q539" i="4"/>
  <c r="P539" i="4"/>
  <c r="K539" i="4"/>
  <c r="J539" i="4"/>
  <c r="D539" i="4"/>
  <c r="C539" i="4"/>
  <c r="A539" i="4" s="1"/>
  <c r="R538" i="4"/>
  <c r="Q538" i="4"/>
  <c r="P538" i="4"/>
  <c r="K538" i="4"/>
  <c r="J538" i="4"/>
  <c r="D538" i="4"/>
  <c r="C538" i="4"/>
  <c r="A538" i="4" s="1"/>
  <c r="A538" i="1" s="1"/>
  <c r="R537" i="4"/>
  <c r="Q537" i="4"/>
  <c r="P537" i="4"/>
  <c r="K537" i="4"/>
  <c r="J537" i="4"/>
  <c r="D537" i="4"/>
  <c r="C537" i="4"/>
  <c r="A537" i="4" s="1"/>
  <c r="R536" i="4"/>
  <c r="Q536" i="4"/>
  <c r="P536" i="4"/>
  <c r="K536" i="4"/>
  <c r="J536" i="4"/>
  <c r="D536" i="4"/>
  <c r="C536" i="4"/>
  <c r="A536" i="4" s="1"/>
  <c r="R535" i="4"/>
  <c r="Q535" i="4"/>
  <c r="P535" i="4"/>
  <c r="K535" i="4"/>
  <c r="J535" i="4"/>
  <c r="D535" i="4"/>
  <c r="C535" i="4"/>
  <c r="A535" i="4" s="1"/>
  <c r="R534" i="4"/>
  <c r="Q534" i="4"/>
  <c r="P534" i="4"/>
  <c r="K534" i="4"/>
  <c r="J534" i="4"/>
  <c r="D534" i="4"/>
  <c r="C534" i="4"/>
  <c r="A534" i="4" s="1"/>
  <c r="R533" i="4"/>
  <c r="Q533" i="4"/>
  <c r="P533" i="4"/>
  <c r="K533" i="4"/>
  <c r="J533" i="4"/>
  <c r="D533" i="4"/>
  <c r="C533" i="4"/>
  <c r="A533" i="4" s="1"/>
  <c r="R532" i="4"/>
  <c r="Q532" i="4"/>
  <c r="P532" i="4"/>
  <c r="K532" i="4"/>
  <c r="J532" i="4"/>
  <c r="D532" i="4"/>
  <c r="C532" i="4"/>
  <c r="A532" i="4" s="1"/>
  <c r="R531" i="4"/>
  <c r="Q531" i="4"/>
  <c r="P531" i="4"/>
  <c r="K531" i="4"/>
  <c r="J531" i="4"/>
  <c r="D531" i="4"/>
  <c r="C531" i="4"/>
  <c r="A531" i="4" s="1"/>
  <c r="R530" i="4"/>
  <c r="Q530" i="4"/>
  <c r="P530" i="4"/>
  <c r="K530" i="4"/>
  <c r="J530" i="4"/>
  <c r="D530" i="4"/>
  <c r="C530" i="4"/>
  <c r="A530" i="4" s="1"/>
  <c r="R529" i="4"/>
  <c r="Q529" i="4"/>
  <c r="P529" i="4"/>
  <c r="K529" i="4"/>
  <c r="J529" i="4"/>
  <c r="D529" i="4"/>
  <c r="C529" i="4"/>
  <c r="A529" i="4" s="1"/>
  <c r="R528" i="4"/>
  <c r="Q528" i="4"/>
  <c r="P528" i="4"/>
  <c r="K528" i="4"/>
  <c r="J528" i="4"/>
  <c r="D528" i="4"/>
  <c r="C528" i="4"/>
  <c r="A528" i="4" s="1"/>
  <c r="R527" i="4"/>
  <c r="Q527" i="4"/>
  <c r="P527" i="4"/>
  <c r="K527" i="4"/>
  <c r="J527" i="4"/>
  <c r="D527" i="4"/>
  <c r="C527" i="4"/>
  <c r="A527" i="4" s="1"/>
  <c r="R526" i="4"/>
  <c r="Q526" i="4"/>
  <c r="P526" i="4"/>
  <c r="K526" i="4"/>
  <c r="J526" i="4"/>
  <c r="D526" i="4"/>
  <c r="C526" i="4"/>
  <c r="A526" i="4" s="1"/>
  <c r="R525" i="4"/>
  <c r="Q525" i="4"/>
  <c r="P525" i="4"/>
  <c r="K525" i="4"/>
  <c r="J525" i="4"/>
  <c r="D525" i="4"/>
  <c r="C525" i="4"/>
  <c r="A525" i="4" s="1"/>
  <c r="R524" i="4"/>
  <c r="Q524" i="4"/>
  <c r="P524" i="4"/>
  <c r="K524" i="4"/>
  <c r="J524" i="4"/>
  <c r="D524" i="4"/>
  <c r="C524" i="4"/>
  <c r="A524" i="4" s="1"/>
  <c r="R523" i="4"/>
  <c r="Q523" i="4"/>
  <c r="P523" i="4"/>
  <c r="K523" i="4"/>
  <c r="J523" i="4"/>
  <c r="D523" i="4"/>
  <c r="C523" i="4"/>
  <c r="A523" i="4" s="1"/>
  <c r="R522" i="4"/>
  <c r="Q522" i="4"/>
  <c r="P522" i="4"/>
  <c r="K522" i="4"/>
  <c r="J522" i="4"/>
  <c r="D522" i="4"/>
  <c r="C522" i="4"/>
  <c r="A522" i="4" s="1"/>
  <c r="R521" i="4"/>
  <c r="Q521" i="4"/>
  <c r="P521" i="4"/>
  <c r="K521" i="4"/>
  <c r="J521" i="4"/>
  <c r="D521" i="4"/>
  <c r="C521" i="4"/>
  <c r="A521" i="4" s="1"/>
  <c r="R520" i="4"/>
  <c r="Q520" i="4"/>
  <c r="P520" i="4"/>
  <c r="K520" i="4"/>
  <c r="J520" i="4"/>
  <c r="D520" i="4"/>
  <c r="C520" i="4"/>
  <c r="A520" i="4" s="1"/>
  <c r="R519" i="4"/>
  <c r="Q519" i="4"/>
  <c r="P519" i="4"/>
  <c r="K519" i="4"/>
  <c r="J519" i="4"/>
  <c r="D519" i="4"/>
  <c r="C519" i="4"/>
  <c r="A519" i="4" s="1"/>
  <c r="R518" i="4"/>
  <c r="Q518" i="4"/>
  <c r="P518" i="4"/>
  <c r="K518" i="4"/>
  <c r="J518" i="4"/>
  <c r="D518" i="4"/>
  <c r="C518" i="4"/>
  <c r="A518" i="4" s="1"/>
  <c r="R517" i="4"/>
  <c r="Q517" i="4"/>
  <c r="P517" i="4"/>
  <c r="K517" i="4"/>
  <c r="J517" i="4"/>
  <c r="D517" i="4"/>
  <c r="C517" i="4"/>
  <c r="A517" i="4" s="1"/>
  <c r="R516" i="4"/>
  <c r="Q516" i="4"/>
  <c r="P516" i="4"/>
  <c r="K516" i="4"/>
  <c r="J516" i="4"/>
  <c r="D516" i="4"/>
  <c r="C516" i="4"/>
  <c r="A516" i="4" s="1"/>
  <c r="R515" i="4"/>
  <c r="Q515" i="4"/>
  <c r="P515" i="4"/>
  <c r="K515" i="4"/>
  <c r="J515" i="4"/>
  <c r="D515" i="4"/>
  <c r="C515" i="4"/>
  <c r="A515" i="4" s="1"/>
  <c r="R514" i="4"/>
  <c r="Q514" i="4"/>
  <c r="P514" i="4"/>
  <c r="K514" i="4"/>
  <c r="J514" i="4"/>
  <c r="D514" i="4"/>
  <c r="C514" i="4"/>
  <c r="A514" i="4" s="1"/>
  <c r="R513" i="4"/>
  <c r="Q513" i="4"/>
  <c r="P513" i="4"/>
  <c r="K513" i="4"/>
  <c r="J513" i="4"/>
  <c r="D513" i="4"/>
  <c r="C513" i="4"/>
  <c r="A513" i="4" s="1"/>
  <c r="R512" i="4"/>
  <c r="Q512" i="4"/>
  <c r="P512" i="4"/>
  <c r="K512" i="4"/>
  <c r="J512" i="4"/>
  <c r="D512" i="4"/>
  <c r="C512" i="4"/>
  <c r="A512" i="4" s="1"/>
  <c r="R511" i="4"/>
  <c r="Q511" i="4"/>
  <c r="P511" i="4"/>
  <c r="K511" i="4"/>
  <c r="J511" i="4"/>
  <c r="D511" i="4"/>
  <c r="C511" i="4"/>
  <c r="A511" i="4" s="1"/>
  <c r="R510" i="4"/>
  <c r="Q510" i="4"/>
  <c r="P510" i="4"/>
  <c r="K510" i="4"/>
  <c r="J510" i="4"/>
  <c r="D510" i="4"/>
  <c r="C510" i="4"/>
  <c r="A510" i="4" s="1"/>
  <c r="R509" i="4"/>
  <c r="Q509" i="4"/>
  <c r="P509" i="4"/>
  <c r="K509" i="4"/>
  <c r="J509" i="4"/>
  <c r="D509" i="4"/>
  <c r="C509" i="4"/>
  <c r="A509" i="4" s="1"/>
  <c r="R508" i="4"/>
  <c r="Q508" i="4"/>
  <c r="P508" i="4"/>
  <c r="K508" i="4"/>
  <c r="J508" i="4"/>
  <c r="D508" i="4"/>
  <c r="C508" i="4"/>
  <c r="A508" i="4" s="1"/>
  <c r="R507" i="4"/>
  <c r="Q507" i="4"/>
  <c r="P507" i="4"/>
  <c r="K507" i="4"/>
  <c r="J507" i="4"/>
  <c r="D507" i="4"/>
  <c r="C507" i="4"/>
  <c r="A507" i="4" s="1"/>
  <c r="R506" i="4"/>
  <c r="Q506" i="4"/>
  <c r="P506" i="4"/>
  <c r="K506" i="4"/>
  <c r="J506" i="4"/>
  <c r="D506" i="4"/>
  <c r="C506" i="4"/>
  <c r="A506" i="4" s="1"/>
  <c r="R505" i="4"/>
  <c r="Q505" i="4"/>
  <c r="P505" i="4"/>
  <c r="K505" i="4"/>
  <c r="J505" i="4"/>
  <c r="D505" i="4"/>
  <c r="C505" i="4"/>
  <c r="A505" i="4" s="1"/>
  <c r="R504" i="4"/>
  <c r="Q504" i="4"/>
  <c r="P504" i="4"/>
  <c r="K504" i="4"/>
  <c r="J504" i="4"/>
  <c r="D504" i="4"/>
  <c r="C504" i="4"/>
  <c r="A504" i="4" s="1"/>
  <c r="R503" i="4"/>
  <c r="Q503" i="4"/>
  <c r="P503" i="4"/>
  <c r="K503" i="4"/>
  <c r="J503" i="4"/>
  <c r="D503" i="4"/>
  <c r="C503" i="4"/>
  <c r="A503" i="4" s="1"/>
  <c r="R502" i="4"/>
  <c r="Q502" i="4"/>
  <c r="P502" i="4"/>
  <c r="K502" i="4"/>
  <c r="J502" i="4"/>
  <c r="D502" i="4"/>
  <c r="C502" i="4"/>
  <c r="A502" i="4" s="1"/>
  <c r="R501" i="4"/>
  <c r="Q501" i="4"/>
  <c r="P501" i="4"/>
  <c r="K501" i="4"/>
  <c r="J501" i="4"/>
  <c r="D501" i="4"/>
  <c r="C501" i="4"/>
  <c r="A501" i="4" s="1"/>
  <c r="R500" i="4"/>
  <c r="Q500" i="4"/>
  <c r="P500" i="4"/>
  <c r="K500" i="4"/>
  <c r="J500" i="4"/>
  <c r="D500" i="4"/>
  <c r="C500" i="4"/>
  <c r="A500" i="4" s="1"/>
  <c r="R499" i="4"/>
  <c r="Q499" i="4"/>
  <c r="P499" i="4"/>
  <c r="K499" i="4"/>
  <c r="J499" i="4"/>
  <c r="D499" i="4"/>
  <c r="C499" i="4"/>
  <c r="A499" i="4" s="1"/>
  <c r="R498" i="4"/>
  <c r="Q498" i="4"/>
  <c r="P498" i="4"/>
  <c r="K498" i="4"/>
  <c r="J498" i="4"/>
  <c r="D498" i="4"/>
  <c r="C498" i="4"/>
  <c r="A498" i="4" s="1"/>
  <c r="R497" i="4"/>
  <c r="Q497" i="4"/>
  <c r="P497" i="4"/>
  <c r="K497" i="4"/>
  <c r="J497" i="4"/>
  <c r="D497" i="4"/>
  <c r="C497" i="4"/>
  <c r="A497" i="4" s="1"/>
  <c r="R496" i="4"/>
  <c r="Q496" i="4"/>
  <c r="P496" i="4"/>
  <c r="K496" i="4"/>
  <c r="J496" i="4"/>
  <c r="D496" i="4"/>
  <c r="C496" i="4"/>
  <c r="A496" i="4" s="1"/>
  <c r="R495" i="4"/>
  <c r="Q495" i="4"/>
  <c r="P495" i="4"/>
  <c r="K495" i="4"/>
  <c r="J495" i="4"/>
  <c r="D495" i="4"/>
  <c r="C495" i="4"/>
  <c r="A495" i="4" s="1"/>
  <c r="R494" i="4"/>
  <c r="Q494" i="4"/>
  <c r="P494" i="4"/>
  <c r="K494" i="4"/>
  <c r="J494" i="4"/>
  <c r="D494" i="4"/>
  <c r="C494" i="4"/>
  <c r="A494" i="4" s="1"/>
  <c r="R493" i="4"/>
  <c r="Q493" i="4"/>
  <c r="P493" i="4"/>
  <c r="K493" i="4"/>
  <c r="J493" i="4"/>
  <c r="D493" i="4"/>
  <c r="C493" i="4"/>
  <c r="A493" i="4" s="1"/>
  <c r="R492" i="4"/>
  <c r="Q492" i="4"/>
  <c r="P492" i="4"/>
  <c r="K492" i="4"/>
  <c r="J492" i="4"/>
  <c r="D492" i="4"/>
  <c r="C492" i="4"/>
  <c r="A492" i="4" s="1"/>
  <c r="R491" i="4"/>
  <c r="Q491" i="4"/>
  <c r="P491" i="4"/>
  <c r="K491" i="4"/>
  <c r="J491" i="4"/>
  <c r="D491" i="4"/>
  <c r="C491" i="4"/>
  <c r="A491" i="4" s="1"/>
  <c r="R490" i="4"/>
  <c r="Q490" i="4"/>
  <c r="P490" i="4"/>
  <c r="K490" i="4"/>
  <c r="J490" i="4"/>
  <c r="D490" i="4"/>
  <c r="C490" i="4"/>
  <c r="A490" i="4" s="1"/>
  <c r="R489" i="4"/>
  <c r="Q489" i="4"/>
  <c r="P489" i="4"/>
  <c r="K489" i="4"/>
  <c r="J489" i="4"/>
  <c r="D489" i="4"/>
  <c r="C489" i="4"/>
  <c r="A489" i="4" s="1"/>
  <c r="R488" i="4"/>
  <c r="Q488" i="4"/>
  <c r="P488" i="4"/>
  <c r="K488" i="4"/>
  <c r="J488" i="4"/>
  <c r="D488" i="4"/>
  <c r="C488" i="4"/>
  <c r="A488" i="4" s="1"/>
  <c r="R487" i="4"/>
  <c r="Q487" i="4"/>
  <c r="P487" i="4"/>
  <c r="K487" i="4"/>
  <c r="J487" i="4"/>
  <c r="D487" i="4"/>
  <c r="C487" i="4"/>
  <c r="A487" i="4" s="1"/>
  <c r="R486" i="4"/>
  <c r="Q486" i="4"/>
  <c r="P486" i="4"/>
  <c r="K486" i="4"/>
  <c r="J486" i="4"/>
  <c r="D486" i="4"/>
  <c r="C486" i="4"/>
  <c r="A486" i="4" s="1"/>
  <c r="R485" i="4"/>
  <c r="Q485" i="4"/>
  <c r="P485" i="4"/>
  <c r="K485" i="4"/>
  <c r="J485" i="4"/>
  <c r="D485" i="4"/>
  <c r="C485" i="4"/>
  <c r="A485" i="4" s="1"/>
  <c r="R484" i="4"/>
  <c r="Q484" i="4"/>
  <c r="P484" i="4"/>
  <c r="K484" i="4"/>
  <c r="J484" i="4"/>
  <c r="D484" i="4"/>
  <c r="C484" i="4"/>
  <c r="A484" i="4" s="1"/>
  <c r="R483" i="4"/>
  <c r="Q483" i="4"/>
  <c r="P483" i="4"/>
  <c r="K483" i="4"/>
  <c r="J483" i="4"/>
  <c r="D483" i="4"/>
  <c r="C483" i="4"/>
  <c r="A483" i="4" s="1"/>
  <c r="R482" i="4"/>
  <c r="Q482" i="4"/>
  <c r="P482" i="4"/>
  <c r="K482" i="4"/>
  <c r="J482" i="4"/>
  <c r="D482" i="4"/>
  <c r="C482" i="4"/>
  <c r="A482" i="4" s="1"/>
  <c r="R481" i="4"/>
  <c r="Q481" i="4"/>
  <c r="P481" i="4"/>
  <c r="K481" i="4"/>
  <c r="J481" i="4"/>
  <c r="D481" i="4"/>
  <c r="C481" i="4"/>
  <c r="A481" i="4" s="1"/>
  <c r="R480" i="4"/>
  <c r="Q480" i="4"/>
  <c r="P480" i="4"/>
  <c r="K480" i="4"/>
  <c r="J480" i="4"/>
  <c r="D480" i="4"/>
  <c r="C480" i="4"/>
  <c r="A480" i="4" s="1"/>
  <c r="R479" i="4"/>
  <c r="Q479" i="4"/>
  <c r="P479" i="4"/>
  <c r="K479" i="4"/>
  <c r="J479" i="4"/>
  <c r="D479" i="4"/>
  <c r="C479" i="4"/>
  <c r="A479" i="4" s="1"/>
  <c r="R478" i="4"/>
  <c r="Q478" i="4"/>
  <c r="P478" i="4"/>
  <c r="K478" i="4"/>
  <c r="J478" i="4"/>
  <c r="D478" i="4"/>
  <c r="C478" i="4"/>
  <c r="A478" i="4" s="1"/>
  <c r="R477" i="4"/>
  <c r="Q477" i="4"/>
  <c r="P477" i="4"/>
  <c r="K477" i="4"/>
  <c r="J477" i="4"/>
  <c r="D477" i="4"/>
  <c r="C477" i="4"/>
  <c r="A477" i="4" s="1"/>
  <c r="R476" i="4"/>
  <c r="Q476" i="4"/>
  <c r="P476" i="4"/>
  <c r="K476" i="4"/>
  <c r="J476" i="4"/>
  <c r="D476" i="4"/>
  <c r="C476" i="4"/>
  <c r="A476" i="4" s="1"/>
  <c r="R475" i="4"/>
  <c r="Q475" i="4"/>
  <c r="P475" i="4"/>
  <c r="K475" i="4"/>
  <c r="J475" i="4"/>
  <c r="D475" i="4"/>
  <c r="C475" i="4"/>
  <c r="A475" i="4" s="1"/>
  <c r="R474" i="4"/>
  <c r="Q474" i="4"/>
  <c r="P474" i="4"/>
  <c r="K474" i="4"/>
  <c r="J474" i="4"/>
  <c r="D474" i="4"/>
  <c r="C474" i="4"/>
  <c r="A474" i="4" s="1"/>
  <c r="A474" i="1" s="1"/>
  <c r="R473" i="4"/>
  <c r="Q473" i="4"/>
  <c r="P473" i="4"/>
  <c r="K473" i="4"/>
  <c r="J473" i="4"/>
  <c r="D473" i="4"/>
  <c r="C473" i="4"/>
  <c r="A473" i="4" s="1"/>
  <c r="R472" i="4"/>
  <c r="Q472" i="4"/>
  <c r="P472" i="4"/>
  <c r="K472" i="4"/>
  <c r="J472" i="4"/>
  <c r="D472" i="4"/>
  <c r="C472" i="4"/>
  <c r="A472" i="4" s="1"/>
  <c r="R471" i="4"/>
  <c r="Q471" i="4"/>
  <c r="P471" i="4"/>
  <c r="K471" i="4"/>
  <c r="J471" i="4"/>
  <c r="D471" i="4"/>
  <c r="C471" i="4"/>
  <c r="A471" i="4" s="1"/>
  <c r="R470" i="4"/>
  <c r="Q470" i="4"/>
  <c r="P470" i="4"/>
  <c r="K470" i="4"/>
  <c r="J470" i="4"/>
  <c r="D470" i="4"/>
  <c r="C470" i="4"/>
  <c r="A470" i="4" s="1"/>
  <c r="R469" i="4"/>
  <c r="Q469" i="4"/>
  <c r="P469" i="4"/>
  <c r="K469" i="4"/>
  <c r="J469" i="4"/>
  <c r="D469" i="4"/>
  <c r="C469" i="4"/>
  <c r="A469" i="4" s="1"/>
  <c r="R468" i="4"/>
  <c r="Q468" i="4"/>
  <c r="P468" i="4"/>
  <c r="K468" i="4"/>
  <c r="J468" i="4"/>
  <c r="D468" i="4"/>
  <c r="C468" i="4"/>
  <c r="A468" i="4" s="1"/>
  <c r="R467" i="4"/>
  <c r="Q467" i="4"/>
  <c r="P467" i="4"/>
  <c r="K467" i="4"/>
  <c r="J467" i="4"/>
  <c r="D467" i="4"/>
  <c r="C467" i="4"/>
  <c r="A467" i="4" s="1"/>
  <c r="R466" i="4"/>
  <c r="Q466" i="4"/>
  <c r="P466" i="4"/>
  <c r="K466" i="4"/>
  <c r="J466" i="4"/>
  <c r="D466" i="4"/>
  <c r="C466" i="4"/>
  <c r="A466" i="4" s="1"/>
  <c r="A466" i="1" s="1"/>
  <c r="R465" i="4"/>
  <c r="Q465" i="4"/>
  <c r="P465" i="4"/>
  <c r="K465" i="4"/>
  <c r="J465" i="4"/>
  <c r="D465" i="4"/>
  <c r="C465" i="4"/>
  <c r="A465" i="4" s="1"/>
  <c r="R464" i="4"/>
  <c r="Q464" i="4"/>
  <c r="P464" i="4"/>
  <c r="K464" i="4"/>
  <c r="J464" i="4"/>
  <c r="D464" i="4"/>
  <c r="C464" i="4"/>
  <c r="A464" i="4" s="1"/>
  <c r="R463" i="4"/>
  <c r="Q463" i="4"/>
  <c r="P463" i="4"/>
  <c r="K463" i="4"/>
  <c r="J463" i="4"/>
  <c r="D463" i="4"/>
  <c r="C463" i="4"/>
  <c r="A463" i="4" s="1"/>
  <c r="R462" i="4"/>
  <c r="Q462" i="4"/>
  <c r="P462" i="4"/>
  <c r="K462" i="4"/>
  <c r="J462" i="4"/>
  <c r="D462" i="4"/>
  <c r="C462" i="4"/>
  <c r="A462" i="4" s="1"/>
  <c r="R461" i="4"/>
  <c r="Q461" i="4"/>
  <c r="P461" i="4"/>
  <c r="K461" i="4"/>
  <c r="J461" i="4"/>
  <c r="D461" i="4"/>
  <c r="C461" i="4"/>
  <c r="A461" i="4" s="1"/>
  <c r="R460" i="4"/>
  <c r="Q460" i="4"/>
  <c r="P460" i="4"/>
  <c r="K460" i="4"/>
  <c r="J460" i="4"/>
  <c r="D460" i="4"/>
  <c r="C460" i="4"/>
  <c r="A460" i="4" s="1"/>
  <c r="R459" i="4"/>
  <c r="Q459" i="4"/>
  <c r="P459" i="4"/>
  <c r="K459" i="4"/>
  <c r="J459" i="4"/>
  <c r="D459" i="4"/>
  <c r="C459" i="4"/>
  <c r="A459" i="4" s="1"/>
  <c r="R458" i="4"/>
  <c r="Q458" i="4"/>
  <c r="P458" i="4"/>
  <c r="K458" i="4"/>
  <c r="J458" i="4"/>
  <c r="D458" i="4"/>
  <c r="C458" i="4"/>
  <c r="A458" i="4" s="1"/>
  <c r="A458" i="1" s="1"/>
  <c r="R457" i="4"/>
  <c r="Q457" i="4"/>
  <c r="P457" i="4"/>
  <c r="K457" i="4"/>
  <c r="J457" i="4"/>
  <c r="D457" i="4"/>
  <c r="C457" i="4"/>
  <c r="A457" i="4" s="1"/>
  <c r="R456" i="4"/>
  <c r="Q456" i="4"/>
  <c r="P456" i="4"/>
  <c r="K456" i="4"/>
  <c r="J456" i="4"/>
  <c r="D456" i="4"/>
  <c r="C456" i="4"/>
  <c r="A456" i="4" s="1"/>
  <c r="R455" i="4"/>
  <c r="Q455" i="4"/>
  <c r="P455" i="4"/>
  <c r="K455" i="4"/>
  <c r="J455" i="4"/>
  <c r="D455" i="4"/>
  <c r="C455" i="4"/>
  <c r="A455" i="4" s="1"/>
  <c r="R454" i="4"/>
  <c r="Q454" i="4"/>
  <c r="P454" i="4"/>
  <c r="K454" i="4"/>
  <c r="J454" i="4"/>
  <c r="D454" i="4"/>
  <c r="C454" i="4"/>
  <c r="A454" i="4" s="1"/>
  <c r="R453" i="4"/>
  <c r="Q453" i="4"/>
  <c r="P453" i="4"/>
  <c r="K453" i="4"/>
  <c r="J453" i="4"/>
  <c r="D453" i="4"/>
  <c r="C453" i="4"/>
  <c r="A453" i="4" s="1"/>
  <c r="R452" i="4"/>
  <c r="Q452" i="4"/>
  <c r="P452" i="4"/>
  <c r="K452" i="4"/>
  <c r="J452" i="4"/>
  <c r="D452" i="4"/>
  <c r="C452" i="4"/>
  <c r="A452" i="4" s="1"/>
  <c r="R451" i="4"/>
  <c r="Q451" i="4"/>
  <c r="P451" i="4"/>
  <c r="K451" i="4"/>
  <c r="J451" i="4"/>
  <c r="D451" i="4"/>
  <c r="C451" i="4"/>
  <c r="A451" i="4" s="1"/>
  <c r="R450" i="4"/>
  <c r="Q450" i="4"/>
  <c r="P450" i="4"/>
  <c r="K450" i="4"/>
  <c r="J450" i="4"/>
  <c r="D450" i="4"/>
  <c r="C450" i="4"/>
  <c r="A450" i="4" s="1"/>
  <c r="A450" i="1" s="1"/>
  <c r="R449" i="4"/>
  <c r="Q449" i="4"/>
  <c r="P449" i="4"/>
  <c r="K449" i="4"/>
  <c r="J449" i="4"/>
  <c r="D449" i="4"/>
  <c r="C449" i="4"/>
  <c r="A449" i="4" s="1"/>
  <c r="R448" i="4"/>
  <c r="Q448" i="4"/>
  <c r="P448" i="4"/>
  <c r="K448" i="4"/>
  <c r="J448" i="4"/>
  <c r="D448" i="4"/>
  <c r="C448" i="4"/>
  <c r="A448" i="4" s="1"/>
  <c r="R447" i="4"/>
  <c r="Q447" i="4"/>
  <c r="P447" i="4"/>
  <c r="K447" i="4"/>
  <c r="J447" i="4"/>
  <c r="D447" i="4"/>
  <c r="C447" i="4"/>
  <c r="A447" i="4" s="1"/>
  <c r="R446" i="4"/>
  <c r="Q446" i="4"/>
  <c r="P446" i="4"/>
  <c r="K446" i="4"/>
  <c r="J446" i="4"/>
  <c r="D446" i="4"/>
  <c r="C446" i="4"/>
  <c r="A446" i="4" s="1"/>
  <c r="R445" i="4"/>
  <c r="Q445" i="4"/>
  <c r="P445" i="4"/>
  <c r="K445" i="4"/>
  <c r="J445" i="4"/>
  <c r="D445" i="4"/>
  <c r="C445" i="4"/>
  <c r="A445" i="4" s="1"/>
  <c r="R444" i="4"/>
  <c r="Q444" i="4"/>
  <c r="P444" i="4"/>
  <c r="K444" i="4"/>
  <c r="J444" i="4"/>
  <c r="D444" i="4"/>
  <c r="C444" i="4"/>
  <c r="A444" i="4" s="1"/>
  <c r="R443" i="4"/>
  <c r="Q443" i="4"/>
  <c r="P443" i="4"/>
  <c r="K443" i="4"/>
  <c r="J443" i="4"/>
  <c r="D443" i="4"/>
  <c r="C443" i="4"/>
  <c r="A443" i="4" s="1"/>
  <c r="R442" i="4"/>
  <c r="Q442" i="4"/>
  <c r="P442" i="4"/>
  <c r="K442" i="4"/>
  <c r="J442" i="4"/>
  <c r="D442" i="4"/>
  <c r="C442" i="4"/>
  <c r="A442" i="4" s="1"/>
  <c r="A442" i="1" s="1"/>
  <c r="R441" i="4"/>
  <c r="Q441" i="4"/>
  <c r="P441" i="4"/>
  <c r="K441" i="4"/>
  <c r="J441" i="4"/>
  <c r="D441" i="4"/>
  <c r="C441" i="4"/>
  <c r="A441" i="4" s="1"/>
  <c r="R440" i="4"/>
  <c r="Q440" i="4"/>
  <c r="P440" i="4"/>
  <c r="K440" i="4"/>
  <c r="J440" i="4"/>
  <c r="D440" i="4"/>
  <c r="C440" i="4"/>
  <c r="A440" i="4" s="1"/>
  <c r="R439" i="4"/>
  <c r="Q439" i="4"/>
  <c r="P439" i="4"/>
  <c r="K439" i="4"/>
  <c r="J439" i="4"/>
  <c r="D439" i="4"/>
  <c r="C439" i="4"/>
  <c r="A439" i="4" s="1"/>
  <c r="R438" i="4"/>
  <c r="Q438" i="4"/>
  <c r="P438" i="4"/>
  <c r="K438" i="4"/>
  <c r="J438" i="4"/>
  <c r="D438" i="4"/>
  <c r="C438" i="4"/>
  <c r="A438" i="4" s="1"/>
  <c r="R437" i="4"/>
  <c r="Q437" i="4"/>
  <c r="P437" i="4"/>
  <c r="K437" i="4"/>
  <c r="J437" i="4"/>
  <c r="D437" i="4"/>
  <c r="C437" i="4"/>
  <c r="A437" i="4" s="1"/>
  <c r="R436" i="4"/>
  <c r="Q436" i="4"/>
  <c r="P436" i="4"/>
  <c r="K436" i="4"/>
  <c r="J436" i="4"/>
  <c r="D436" i="4"/>
  <c r="C436" i="4"/>
  <c r="A436" i="4" s="1"/>
  <c r="R435" i="4"/>
  <c r="Q435" i="4"/>
  <c r="P435" i="4"/>
  <c r="K435" i="4"/>
  <c r="J435" i="4"/>
  <c r="D435" i="4"/>
  <c r="C435" i="4"/>
  <c r="A435" i="4" s="1"/>
  <c r="R434" i="4"/>
  <c r="Q434" i="4"/>
  <c r="P434" i="4"/>
  <c r="K434" i="4"/>
  <c r="J434" i="4"/>
  <c r="D434" i="4"/>
  <c r="C434" i="4"/>
  <c r="A434" i="4" s="1"/>
  <c r="A434" i="1" s="1"/>
  <c r="R433" i="4"/>
  <c r="Q433" i="4"/>
  <c r="P433" i="4"/>
  <c r="K433" i="4"/>
  <c r="J433" i="4"/>
  <c r="D433" i="4"/>
  <c r="C433" i="4"/>
  <c r="A433" i="4" s="1"/>
  <c r="R432" i="4"/>
  <c r="Q432" i="4"/>
  <c r="P432" i="4"/>
  <c r="K432" i="4"/>
  <c r="J432" i="4"/>
  <c r="D432" i="4"/>
  <c r="C432" i="4"/>
  <c r="A432" i="4" s="1"/>
  <c r="R431" i="4"/>
  <c r="Q431" i="4"/>
  <c r="P431" i="4"/>
  <c r="K431" i="4"/>
  <c r="J431" i="4"/>
  <c r="D431" i="4"/>
  <c r="C431" i="4"/>
  <c r="A431" i="4" s="1"/>
  <c r="R430" i="4"/>
  <c r="Q430" i="4"/>
  <c r="P430" i="4"/>
  <c r="K430" i="4"/>
  <c r="J430" i="4"/>
  <c r="D430" i="4"/>
  <c r="C430" i="4"/>
  <c r="A430" i="4" s="1"/>
  <c r="R429" i="4"/>
  <c r="Q429" i="4"/>
  <c r="P429" i="4"/>
  <c r="K429" i="4"/>
  <c r="J429" i="4"/>
  <c r="D429" i="4"/>
  <c r="C429" i="4"/>
  <c r="A429" i="4" s="1"/>
  <c r="R428" i="4"/>
  <c r="Q428" i="4"/>
  <c r="P428" i="4"/>
  <c r="K428" i="4"/>
  <c r="J428" i="4"/>
  <c r="D428" i="4"/>
  <c r="C428" i="4"/>
  <c r="A428" i="4" s="1"/>
  <c r="R427" i="4"/>
  <c r="Q427" i="4"/>
  <c r="P427" i="4"/>
  <c r="K427" i="4"/>
  <c r="J427" i="4"/>
  <c r="D427" i="4"/>
  <c r="C427" i="4"/>
  <c r="A427" i="4" s="1"/>
  <c r="R426" i="4"/>
  <c r="Q426" i="4"/>
  <c r="P426" i="4"/>
  <c r="K426" i="4"/>
  <c r="J426" i="4"/>
  <c r="D426" i="4"/>
  <c r="C426" i="4"/>
  <c r="A426" i="4" s="1"/>
  <c r="A426" i="1" s="1"/>
  <c r="R425" i="4"/>
  <c r="Q425" i="4"/>
  <c r="P425" i="4"/>
  <c r="K425" i="4"/>
  <c r="J425" i="4"/>
  <c r="D425" i="4"/>
  <c r="C425" i="4"/>
  <c r="A425" i="4" s="1"/>
  <c r="R424" i="4"/>
  <c r="Q424" i="4"/>
  <c r="P424" i="4"/>
  <c r="K424" i="4"/>
  <c r="J424" i="4"/>
  <c r="D424" i="4"/>
  <c r="C424" i="4"/>
  <c r="A424" i="4" s="1"/>
  <c r="R423" i="4"/>
  <c r="Q423" i="4"/>
  <c r="P423" i="4"/>
  <c r="K423" i="4"/>
  <c r="J423" i="4"/>
  <c r="D423" i="4"/>
  <c r="C423" i="4"/>
  <c r="A423" i="4" s="1"/>
  <c r="R422" i="4"/>
  <c r="Q422" i="4"/>
  <c r="P422" i="4"/>
  <c r="K422" i="4"/>
  <c r="J422" i="4"/>
  <c r="D422" i="4"/>
  <c r="C422" i="4"/>
  <c r="A422" i="4" s="1"/>
  <c r="R421" i="4"/>
  <c r="Q421" i="4"/>
  <c r="P421" i="4"/>
  <c r="K421" i="4"/>
  <c r="J421" i="4"/>
  <c r="D421" i="4"/>
  <c r="C421" i="4"/>
  <c r="A421" i="4" s="1"/>
  <c r="R420" i="4"/>
  <c r="Q420" i="4"/>
  <c r="P420" i="4"/>
  <c r="K420" i="4"/>
  <c r="J420" i="4"/>
  <c r="D420" i="4"/>
  <c r="C420" i="4"/>
  <c r="A420" i="4" s="1"/>
  <c r="R419" i="4"/>
  <c r="Q419" i="4"/>
  <c r="P419" i="4"/>
  <c r="K419" i="4"/>
  <c r="J419" i="4"/>
  <c r="D419" i="4"/>
  <c r="C419" i="4"/>
  <c r="A419" i="4" s="1"/>
  <c r="R418" i="4"/>
  <c r="Q418" i="4"/>
  <c r="P418" i="4"/>
  <c r="K418" i="4"/>
  <c r="J418" i="4"/>
  <c r="D418" i="4"/>
  <c r="C418" i="4"/>
  <c r="A418" i="4" s="1"/>
  <c r="A418" i="1" s="1"/>
  <c r="R417" i="4"/>
  <c r="Q417" i="4"/>
  <c r="P417" i="4"/>
  <c r="K417" i="4"/>
  <c r="J417" i="4"/>
  <c r="D417" i="4"/>
  <c r="C417" i="4"/>
  <c r="A417" i="4" s="1"/>
  <c r="R416" i="4"/>
  <c r="Q416" i="4"/>
  <c r="P416" i="4"/>
  <c r="K416" i="4"/>
  <c r="J416" i="4"/>
  <c r="D416" i="4"/>
  <c r="C416" i="4"/>
  <c r="A416" i="4" s="1"/>
  <c r="R415" i="4"/>
  <c r="Q415" i="4"/>
  <c r="P415" i="4"/>
  <c r="K415" i="4"/>
  <c r="J415" i="4"/>
  <c r="D415" i="4"/>
  <c r="C415" i="4"/>
  <c r="A415" i="4" s="1"/>
  <c r="R414" i="4"/>
  <c r="Q414" i="4"/>
  <c r="P414" i="4"/>
  <c r="K414" i="4"/>
  <c r="J414" i="4"/>
  <c r="D414" i="4"/>
  <c r="C414" i="4"/>
  <c r="A414" i="4" s="1"/>
  <c r="R413" i="4"/>
  <c r="Q413" i="4"/>
  <c r="P413" i="4"/>
  <c r="K413" i="4"/>
  <c r="J413" i="4"/>
  <c r="D413" i="4"/>
  <c r="C413" i="4"/>
  <c r="A413" i="4" s="1"/>
  <c r="R412" i="4"/>
  <c r="Q412" i="4"/>
  <c r="P412" i="4"/>
  <c r="K412" i="4"/>
  <c r="J412" i="4"/>
  <c r="D412" i="4"/>
  <c r="C412" i="4"/>
  <c r="A412" i="4" s="1"/>
  <c r="R411" i="4"/>
  <c r="Q411" i="4"/>
  <c r="P411" i="4"/>
  <c r="K411" i="4"/>
  <c r="J411" i="4"/>
  <c r="D411" i="4"/>
  <c r="C411" i="4"/>
  <c r="A411" i="4" s="1"/>
  <c r="R410" i="4"/>
  <c r="Q410" i="4"/>
  <c r="P410" i="4"/>
  <c r="K410" i="4"/>
  <c r="J410" i="4"/>
  <c r="D410" i="4"/>
  <c r="C410" i="4"/>
  <c r="A410" i="4" s="1"/>
  <c r="A410" i="1" s="1"/>
  <c r="R409" i="4"/>
  <c r="Q409" i="4"/>
  <c r="P409" i="4"/>
  <c r="K409" i="4"/>
  <c r="J409" i="4"/>
  <c r="D409" i="4"/>
  <c r="C409" i="4"/>
  <c r="A409" i="4" s="1"/>
  <c r="R408" i="4"/>
  <c r="Q408" i="4"/>
  <c r="P408" i="4"/>
  <c r="K408" i="4"/>
  <c r="J408" i="4"/>
  <c r="D408" i="4"/>
  <c r="C408" i="4"/>
  <c r="A408" i="4" s="1"/>
  <c r="R407" i="4"/>
  <c r="Q407" i="4"/>
  <c r="P407" i="4"/>
  <c r="K407" i="4"/>
  <c r="J407" i="4"/>
  <c r="D407" i="4"/>
  <c r="C407" i="4"/>
  <c r="A407" i="4" s="1"/>
  <c r="R406" i="4"/>
  <c r="Q406" i="4"/>
  <c r="P406" i="4"/>
  <c r="K406" i="4"/>
  <c r="J406" i="4"/>
  <c r="D406" i="4"/>
  <c r="C406" i="4"/>
  <c r="A406" i="4" s="1"/>
  <c r="R405" i="4"/>
  <c r="Q405" i="4"/>
  <c r="P405" i="4"/>
  <c r="K405" i="4"/>
  <c r="J405" i="4"/>
  <c r="D405" i="4"/>
  <c r="C405" i="4"/>
  <c r="A405" i="4" s="1"/>
  <c r="R404" i="4"/>
  <c r="Q404" i="4"/>
  <c r="P404" i="4"/>
  <c r="K404" i="4"/>
  <c r="J404" i="4"/>
  <c r="D404" i="4"/>
  <c r="C404" i="4"/>
  <c r="A404" i="4" s="1"/>
  <c r="R403" i="4"/>
  <c r="Q403" i="4"/>
  <c r="P403" i="4"/>
  <c r="K403" i="4"/>
  <c r="J403" i="4"/>
  <c r="D403" i="4"/>
  <c r="C403" i="4"/>
  <c r="A403" i="4" s="1"/>
  <c r="R402" i="4"/>
  <c r="Q402" i="4"/>
  <c r="P402" i="4"/>
  <c r="K402" i="4"/>
  <c r="J402" i="4"/>
  <c r="D402" i="4"/>
  <c r="C402" i="4"/>
  <c r="A402" i="4" s="1"/>
  <c r="A402" i="1" s="1"/>
  <c r="R401" i="4"/>
  <c r="Q401" i="4"/>
  <c r="P401" i="4"/>
  <c r="K401" i="4"/>
  <c r="J401" i="4"/>
  <c r="D401" i="4"/>
  <c r="C401" i="4"/>
  <c r="A401" i="4" s="1"/>
  <c r="R400" i="4"/>
  <c r="Q400" i="4"/>
  <c r="P400" i="4"/>
  <c r="K400" i="4"/>
  <c r="J400" i="4"/>
  <c r="D400" i="4"/>
  <c r="C400" i="4"/>
  <c r="A400" i="4" s="1"/>
  <c r="R399" i="4"/>
  <c r="Q399" i="4"/>
  <c r="P399" i="4"/>
  <c r="K399" i="4"/>
  <c r="J399" i="4"/>
  <c r="D399" i="4"/>
  <c r="C399" i="4"/>
  <c r="A399" i="4" s="1"/>
  <c r="R398" i="4"/>
  <c r="Q398" i="4"/>
  <c r="P398" i="4"/>
  <c r="K398" i="4"/>
  <c r="J398" i="4"/>
  <c r="D398" i="4"/>
  <c r="C398" i="4"/>
  <c r="A398" i="4" s="1"/>
  <c r="R397" i="4"/>
  <c r="Q397" i="4"/>
  <c r="P397" i="4"/>
  <c r="K397" i="4"/>
  <c r="J397" i="4"/>
  <c r="D397" i="4"/>
  <c r="C397" i="4"/>
  <c r="A397" i="4" s="1"/>
  <c r="R396" i="4"/>
  <c r="Q396" i="4"/>
  <c r="P396" i="4"/>
  <c r="K396" i="4"/>
  <c r="J396" i="4"/>
  <c r="D396" i="4"/>
  <c r="C396" i="4"/>
  <c r="A396" i="4" s="1"/>
  <c r="R395" i="4"/>
  <c r="Q395" i="4"/>
  <c r="P395" i="4"/>
  <c r="K395" i="4"/>
  <c r="J395" i="4"/>
  <c r="D395" i="4"/>
  <c r="C395" i="4"/>
  <c r="A395" i="4" s="1"/>
  <c r="R394" i="4"/>
  <c r="Q394" i="4"/>
  <c r="P394" i="4"/>
  <c r="K394" i="4"/>
  <c r="J394" i="4"/>
  <c r="D394" i="4"/>
  <c r="C394" i="4"/>
  <c r="A394" i="4" s="1"/>
  <c r="R393" i="4"/>
  <c r="Q393" i="4"/>
  <c r="P393" i="4"/>
  <c r="K393" i="4"/>
  <c r="J393" i="4"/>
  <c r="D393" i="4"/>
  <c r="C393" i="4"/>
  <c r="A393" i="4" s="1"/>
  <c r="R392" i="4"/>
  <c r="Q392" i="4"/>
  <c r="P392" i="4"/>
  <c r="K392" i="4"/>
  <c r="J392" i="4"/>
  <c r="D392" i="4"/>
  <c r="C392" i="4"/>
  <c r="A392" i="4" s="1"/>
  <c r="R391" i="4"/>
  <c r="Q391" i="4"/>
  <c r="P391" i="4"/>
  <c r="K391" i="4"/>
  <c r="J391" i="4"/>
  <c r="D391" i="4"/>
  <c r="C391" i="4"/>
  <c r="A391" i="4" s="1"/>
  <c r="R390" i="4"/>
  <c r="Q390" i="4"/>
  <c r="P390" i="4"/>
  <c r="K390" i="4"/>
  <c r="J390" i="4"/>
  <c r="D390" i="4"/>
  <c r="C390" i="4"/>
  <c r="A390" i="4" s="1"/>
  <c r="R389" i="4"/>
  <c r="Q389" i="4"/>
  <c r="P389" i="4"/>
  <c r="K389" i="4"/>
  <c r="J389" i="4"/>
  <c r="D389" i="4"/>
  <c r="C389" i="4"/>
  <c r="A389" i="4" s="1"/>
  <c r="R388" i="4"/>
  <c r="Q388" i="4"/>
  <c r="P388" i="4"/>
  <c r="K388" i="4"/>
  <c r="J388" i="4"/>
  <c r="D388" i="4"/>
  <c r="C388" i="4"/>
  <c r="A388" i="4" s="1"/>
  <c r="R387" i="4"/>
  <c r="Q387" i="4"/>
  <c r="P387" i="4"/>
  <c r="K387" i="4"/>
  <c r="J387" i="4"/>
  <c r="D387" i="4"/>
  <c r="C387" i="4"/>
  <c r="A387" i="4" s="1"/>
  <c r="R386" i="4"/>
  <c r="Q386" i="4"/>
  <c r="P386" i="4"/>
  <c r="K386" i="4"/>
  <c r="J386" i="4"/>
  <c r="D386" i="4"/>
  <c r="C386" i="4"/>
  <c r="A386" i="4" s="1"/>
  <c r="A386" i="1" s="1"/>
  <c r="R385" i="4"/>
  <c r="Q385" i="4"/>
  <c r="P385" i="4"/>
  <c r="K385" i="4"/>
  <c r="J385" i="4"/>
  <c r="D385" i="4"/>
  <c r="C385" i="4"/>
  <c r="A385" i="4" s="1"/>
  <c r="R384" i="4"/>
  <c r="Q384" i="4"/>
  <c r="P384" i="4"/>
  <c r="K384" i="4"/>
  <c r="J384" i="4"/>
  <c r="D384" i="4"/>
  <c r="C384" i="4"/>
  <c r="A384" i="4" s="1"/>
  <c r="R383" i="4"/>
  <c r="Q383" i="4"/>
  <c r="P383" i="4"/>
  <c r="K383" i="4"/>
  <c r="J383" i="4"/>
  <c r="D383" i="4"/>
  <c r="C383" i="4"/>
  <c r="A383" i="4" s="1"/>
  <c r="R382" i="4"/>
  <c r="Q382" i="4"/>
  <c r="P382" i="4"/>
  <c r="K382" i="4"/>
  <c r="J382" i="4"/>
  <c r="D382" i="4"/>
  <c r="C382" i="4"/>
  <c r="A382" i="4"/>
  <c r="R381" i="4"/>
  <c r="Q381" i="4"/>
  <c r="P381" i="4"/>
  <c r="K381" i="4"/>
  <c r="J381" i="4"/>
  <c r="D381" i="4"/>
  <c r="C381" i="4"/>
  <c r="A381" i="4" s="1"/>
  <c r="R380" i="4"/>
  <c r="Q380" i="4"/>
  <c r="P380" i="4"/>
  <c r="K380" i="4"/>
  <c r="J380" i="4"/>
  <c r="D380" i="4"/>
  <c r="C380" i="4"/>
  <c r="A380" i="4"/>
  <c r="R379" i="4"/>
  <c r="Q379" i="4"/>
  <c r="P379" i="4"/>
  <c r="K379" i="4"/>
  <c r="J379" i="4"/>
  <c r="D379" i="4"/>
  <c r="C379" i="4"/>
  <c r="A379" i="4" s="1"/>
  <c r="R378" i="4"/>
  <c r="Q378" i="4"/>
  <c r="P378" i="4"/>
  <c r="K378" i="4"/>
  <c r="J378" i="4"/>
  <c r="D378" i="4"/>
  <c r="C378" i="4"/>
  <c r="A378" i="4" s="1"/>
  <c r="A378" i="1" s="1"/>
  <c r="R377" i="4"/>
  <c r="Q377" i="4"/>
  <c r="P377" i="4"/>
  <c r="K377" i="4"/>
  <c r="J377" i="4"/>
  <c r="D377" i="4"/>
  <c r="C377" i="4"/>
  <c r="A377" i="4" s="1"/>
  <c r="R376" i="4"/>
  <c r="Q376" i="4"/>
  <c r="P376" i="4"/>
  <c r="K376" i="4"/>
  <c r="J376" i="4"/>
  <c r="D376" i="4"/>
  <c r="C376" i="4"/>
  <c r="A376" i="4" s="1"/>
  <c r="R375" i="4"/>
  <c r="Q375" i="4"/>
  <c r="P375" i="4"/>
  <c r="K375" i="4"/>
  <c r="J375" i="4"/>
  <c r="D375" i="4"/>
  <c r="C375" i="4"/>
  <c r="A375" i="4" s="1"/>
  <c r="R374" i="4"/>
  <c r="Q374" i="4"/>
  <c r="P374" i="4"/>
  <c r="K374" i="4"/>
  <c r="J374" i="4"/>
  <c r="D374" i="4"/>
  <c r="C374" i="4"/>
  <c r="A374" i="4" s="1"/>
  <c r="R373" i="4"/>
  <c r="Q373" i="4"/>
  <c r="P373" i="4"/>
  <c r="K373" i="4"/>
  <c r="J373" i="4"/>
  <c r="D373" i="4"/>
  <c r="C373" i="4"/>
  <c r="A373" i="4" s="1"/>
  <c r="R372" i="4"/>
  <c r="Q372" i="4"/>
  <c r="P372" i="4"/>
  <c r="K372" i="4"/>
  <c r="J372" i="4"/>
  <c r="D372" i="4"/>
  <c r="C372" i="4"/>
  <c r="A372" i="4" s="1"/>
  <c r="R371" i="4"/>
  <c r="Q371" i="4"/>
  <c r="P371" i="4"/>
  <c r="K371" i="4"/>
  <c r="J371" i="4"/>
  <c r="D371" i="4"/>
  <c r="C371" i="4"/>
  <c r="A371" i="4" s="1"/>
  <c r="R370" i="4"/>
  <c r="Q370" i="4"/>
  <c r="P370" i="4"/>
  <c r="K370" i="4"/>
  <c r="J370" i="4"/>
  <c r="D370" i="4"/>
  <c r="C370" i="4"/>
  <c r="A370" i="4" s="1"/>
  <c r="A370" i="1" s="1"/>
  <c r="R369" i="4"/>
  <c r="Q369" i="4"/>
  <c r="P369" i="4"/>
  <c r="K369" i="4"/>
  <c r="J369" i="4"/>
  <c r="D369" i="4"/>
  <c r="C369" i="4"/>
  <c r="A369" i="4" s="1"/>
  <c r="R368" i="4"/>
  <c r="Q368" i="4"/>
  <c r="P368" i="4"/>
  <c r="K368" i="4"/>
  <c r="J368" i="4"/>
  <c r="D368" i="4"/>
  <c r="C368" i="4"/>
  <c r="A368" i="4" s="1"/>
  <c r="R367" i="4"/>
  <c r="Q367" i="4"/>
  <c r="P367" i="4"/>
  <c r="K367" i="4"/>
  <c r="J367" i="4"/>
  <c r="D367" i="4"/>
  <c r="C367" i="4"/>
  <c r="A367" i="4" s="1"/>
  <c r="R366" i="4"/>
  <c r="Q366" i="4"/>
  <c r="P366" i="4"/>
  <c r="K366" i="4"/>
  <c r="J366" i="4"/>
  <c r="D366" i="4"/>
  <c r="C366" i="4"/>
  <c r="A366" i="4" s="1"/>
  <c r="R365" i="4"/>
  <c r="Q365" i="4"/>
  <c r="P365" i="4"/>
  <c r="K365" i="4"/>
  <c r="J365" i="4"/>
  <c r="D365" i="4"/>
  <c r="C365" i="4"/>
  <c r="A365" i="4" s="1"/>
  <c r="R364" i="4"/>
  <c r="Q364" i="4"/>
  <c r="P364" i="4"/>
  <c r="K364" i="4"/>
  <c r="J364" i="4"/>
  <c r="D364" i="4"/>
  <c r="C364" i="4"/>
  <c r="A364" i="4" s="1"/>
  <c r="R363" i="4"/>
  <c r="Q363" i="4"/>
  <c r="P363" i="4"/>
  <c r="K363" i="4"/>
  <c r="J363" i="4"/>
  <c r="D363" i="4"/>
  <c r="C363" i="4"/>
  <c r="A363" i="4" s="1"/>
  <c r="R362" i="4"/>
  <c r="Q362" i="4"/>
  <c r="P362" i="4"/>
  <c r="K362" i="4"/>
  <c r="J362" i="4"/>
  <c r="D362" i="4"/>
  <c r="C362" i="4"/>
  <c r="A362" i="4" s="1"/>
  <c r="R361" i="4"/>
  <c r="Q361" i="4"/>
  <c r="P361" i="4"/>
  <c r="K361" i="4"/>
  <c r="J361" i="4"/>
  <c r="D361" i="4"/>
  <c r="C361" i="4"/>
  <c r="A361" i="4" s="1"/>
  <c r="R360" i="4"/>
  <c r="Q360" i="4"/>
  <c r="P360" i="4"/>
  <c r="K360" i="4"/>
  <c r="J360" i="4"/>
  <c r="D360" i="4"/>
  <c r="C360" i="4"/>
  <c r="A360" i="4" s="1"/>
  <c r="R359" i="4"/>
  <c r="Q359" i="4"/>
  <c r="P359" i="4"/>
  <c r="K359" i="4"/>
  <c r="J359" i="4"/>
  <c r="D359" i="4"/>
  <c r="C359" i="4"/>
  <c r="A359" i="4" s="1"/>
  <c r="R358" i="4"/>
  <c r="Q358" i="4"/>
  <c r="P358" i="4"/>
  <c r="K358" i="4"/>
  <c r="J358" i="4"/>
  <c r="D358" i="4"/>
  <c r="C358" i="4"/>
  <c r="A358" i="4" s="1"/>
  <c r="R357" i="4"/>
  <c r="Q357" i="4"/>
  <c r="P357" i="4"/>
  <c r="K357" i="4"/>
  <c r="J357" i="4"/>
  <c r="D357" i="4"/>
  <c r="C357" i="4"/>
  <c r="A357" i="4" s="1"/>
  <c r="R356" i="4"/>
  <c r="Q356" i="4"/>
  <c r="P356" i="4"/>
  <c r="K356" i="4"/>
  <c r="J356" i="4"/>
  <c r="D356" i="4"/>
  <c r="C356" i="4"/>
  <c r="A356" i="4" s="1"/>
  <c r="R355" i="4"/>
  <c r="Q355" i="4"/>
  <c r="P355" i="4"/>
  <c r="K355" i="4"/>
  <c r="J355" i="4"/>
  <c r="D355" i="4"/>
  <c r="C355" i="4"/>
  <c r="A355" i="4" s="1"/>
  <c r="R354" i="4"/>
  <c r="Q354" i="4"/>
  <c r="P354" i="4"/>
  <c r="K354" i="4"/>
  <c r="J354" i="4"/>
  <c r="D354" i="4"/>
  <c r="C354" i="4"/>
  <c r="A354" i="4" s="1"/>
  <c r="A354" i="1" s="1"/>
  <c r="R353" i="4"/>
  <c r="Q353" i="4"/>
  <c r="P353" i="4"/>
  <c r="K353" i="4"/>
  <c r="J353" i="4"/>
  <c r="D353" i="4"/>
  <c r="C353" i="4"/>
  <c r="A353" i="4" s="1"/>
  <c r="R352" i="4"/>
  <c r="Q352" i="4"/>
  <c r="P352" i="4"/>
  <c r="K352" i="4"/>
  <c r="J352" i="4"/>
  <c r="D352" i="4"/>
  <c r="C352" i="4"/>
  <c r="A352" i="4" s="1"/>
  <c r="R351" i="4"/>
  <c r="Q351" i="4"/>
  <c r="P351" i="4"/>
  <c r="K351" i="4"/>
  <c r="J351" i="4"/>
  <c r="D351" i="4"/>
  <c r="C351" i="4"/>
  <c r="A351" i="4" s="1"/>
  <c r="R350" i="4"/>
  <c r="Q350" i="4"/>
  <c r="P350" i="4"/>
  <c r="K350" i="4"/>
  <c r="J350" i="4"/>
  <c r="D350" i="4"/>
  <c r="C350" i="4"/>
  <c r="A350" i="4" s="1"/>
  <c r="R349" i="4"/>
  <c r="Q349" i="4"/>
  <c r="P349" i="4"/>
  <c r="K349" i="4"/>
  <c r="J349" i="4"/>
  <c r="D349" i="4"/>
  <c r="C349" i="4"/>
  <c r="A349" i="4" s="1"/>
  <c r="R348" i="4"/>
  <c r="Q348" i="4"/>
  <c r="P348" i="4"/>
  <c r="K348" i="4"/>
  <c r="J348" i="4"/>
  <c r="D348" i="4"/>
  <c r="C348" i="4"/>
  <c r="A348" i="4" s="1"/>
  <c r="R347" i="4"/>
  <c r="Q347" i="4"/>
  <c r="P347" i="4"/>
  <c r="K347" i="4"/>
  <c r="J347" i="4"/>
  <c r="D347" i="4"/>
  <c r="C347" i="4"/>
  <c r="A347" i="4" s="1"/>
  <c r="R346" i="4"/>
  <c r="Q346" i="4"/>
  <c r="P346" i="4"/>
  <c r="K346" i="4"/>
  <c r="J346" i="4"/>
  <c r="D346" i="4"/>
  <c r="C346" i="4"/>
  <c r="A346" i="4" s="1"/>
  <c r="A346" i="1" s="1"/>
  <c r="R345" i="4"/>
  <c r="Q345" i="4"/>
  <c r="P345" i="4"/>
  <c r="K345" i="4"/>
  <c r="J345" i="4"/>
  <c r="D345" i="4"/>
  <c r="C345" i="4"/>
  <c r="A345" i="4" s="1"/>
  <c r="R344" i="4"/>
  <c r="Q344" i="4"/>
  <c r="P344" i="4"/>
  <c r="K344" i="4"/>
  <c r="J344" i="4"/>
  <c r="D344" i="4"/>
  <c r="C344" i="4"/>
  <c r="A344" i="4" s="1"/>
  <c r="R343" i="4"/>
  <c r="Q343" i="4"/>
  <c r="P343" i="4"/>
  <c r="K343" i="4"/>
  <c r="J343" i="4"/>
  <c r="D343" i="4"/>
  <c r="C343" i="4"/>
  <c r="A343" i="4" s="1"/>
  <c r="R342" i="4"/>
  <c r="Q342" i="4"/>
  <c r="P342" i="4"/>
  <c r="K342" i="4"/>
  <c r="J342" i="4"/>
  <c r="D342" i="4"/>
  <c r="C342" i="4"/>
  <c r="A342" i="4" s="1"/>
  <c r="R341" i="4"/>
  <c r="Q341" i="4"/>
  <c r="P341" i="4"/>
  <c r="K341" i="4"/>
  <c r="J341" i="4"/>
  <c r="D341" i="4"/>
  <c r="C341" i="4"/>
  <c r="A341" i="4" s="1"/>
  <c r="R340" i="4"/>
  <c r="Q340" i="4"/>
  <c r="P340" i="4"/>
  <c r="K340" i="4"/>
  <c r="J340" i="4"/>
  <c r="D340" i="4"/>
  <c r="C340" i="4"/>
  <c r="A340" i="4" s="1"/>
  <c r="R339" i="4"/>
  <c r="Q339" i="4"/>
  <c r="P339" i="4"/>
  <c r="K339" i="4"/>
  <c r="J339" i="4"/>
  <c r="D339" i="4"/>
  <c r="C339" i="4"/>
  <c r="A339" i="4" s="1"/>
  <c r="R338" i="4"/>
  <c r="Q338" i="4"/>
  <c r="P338" i="4"/>
  <c r="K338" i="4"/>
  <c r="J338" i="4"/>
  <c r="D338" i="4"/>
  <c r="C338" i="4"/>
  <c r="A338" i="4" s="1"/>
  <c r="A338" i="1" s="1"/>
  <c r="R337" i="4"/>
  <c r="Q337" i="4"/>
  <c r="P337" i="4"/>
  <c r="K337" i="4"/>
  <c r="J337" i="4"/>
  <c r="D337" i="4"/>
  <c r="C337" i="4"/>
  <c r="A337" i="4" s="1"/>
  <c r="R336" i="4"/>
  <c r="Q336" i="4"/>
  <c r="P336" i="4"/>
  <c r="K336" i="4"/>
  <c r="J336" i="4"/>
  <c r="D336" i="4"/>
  <c r="C336" i="4"/>
  <c r="A336" i="4" s="1"/>
  <c r="R335" i="4"/>
  <c r="Q335" i="4"/>
  <c r="P335" i="4"/>
  <c r="K335" i="4"/>
  <c r="J335" i="4"/>
  <c r="D335" i="4"/>
  <c r="C335" i="4"/>
  <c r="A335" i="4" s="1"/>
  <c r="R334" i="4"/>
  <c r="Q334" i="4"/>
  <c r="P334" i="4"/>
  <c r="K334" i="4"/>
  <c r="J334" i="4"/>
  <c r="D334" i="4"/>
  <c r="C334" i="4"/>
  <c r="A334" i="4" s="1"/>
  <c r="R333" i="4"/>
  <c r="Q333" i="4"/>
  <c r="P333" i="4"/>
  <c r="K333" i="4"/>
  <c r="J333" i="4"/>
  <c r="D333" i="4"/>
  <c r="C333" i="4"/>
  <c r="A333" i="4" s="1"/>
  <c r="R332" i="4"/>
  <c r="Q332" i="4"/>
  <c r="P332" i="4"/>
  <c r="K332" i="4"/>
  <c r="J332" i="4"/>
  <c r="D332" i="4"/>
  <c r="C332" i="4"/>
  <c r="A332" i="4" s="1"/>
  <c r="R331" i="4"/>
  <c r="Q331" i="4"/>
  <c r="P331" i="4"/>
  <c r="K331" i="4"/>
  <c r="J331" i="4"/>
  <c r="D331" i="4"/>
  <c r="C331" i="4"/>
  <c r="A331" i="4" s="1"/>
  <c r="R330" i="4"/>
  <c r="Q330" i="4"/>
  <c r="P330" i="4"/>
  <c r="K330" i="4"/>
  <c r="J330" i="4"/>
  <c r="D330" i="4"/>
  <c r="C330" i="4"/>
  <c r="A330" i="4" s="1"/>
  <c r="A330" i="1" s="1"/>
  <c r="R329" i="4"/>
  <c r="Q329" i="4"/>
  <c r="P329" i="4"/>
  <c r="K329" i="4"/>
  <c r="J329" i="4"/>
  <c r="D329" i="4"/>
  <c r="C329" i="4"/>
  <c r="A329" i="4" s="1"/>
  <c r="R328" i="4"/>
  <c r="Q328" i="4"/>
  <c r="P328" i="4"/>
  <c r="K328" i="4"/>
  <c r="J328" i="4"/>
  <c r="D328" i="4"/>
  <c r="C328" i="4"/>
  <c r="A328" i="4" s="1"/>
  <c r="R327" i="4"/>
  <c r="Q327" i="4"/>
  <c r="P327" i="4"/>
  <c r="K327" i="4"/>
  <c r="J327" i="4"/>
  <c r="D327" i="4"/>
  <c r="C327" i="4"/>
  <c r="A327" i="4" s="1"/>
  <c r="R326" i="4"/>
  <c r="Q326" i="4"/>
  <c r="P326" i="4"/>
  <c r="K326" i="4"/>
  <c r="J326" i="4"/>
  <c r="D326" i="4"/>
  <c r="C326" i="4"/>
  <c r="A326" i="4" s="1"/>
  <c r="R325" i="4"/>
  <c r="Q325" i="4"/>
  <c r="P325" i="4"/>
  <c r="K325" i="4"/>
  <c r="J325" i="4"/>
  <c r="D325" i="4"/>
  <c r="C325" i="4"/>
  <c r="A325" i="4" s="1"/>
  <c r="R324" i="4"/>
  <c r="Q324" i="4"/>
  <c r="P324" i="4"/>
  <c r="K324" i="4"/>
  <c r="J324" i="4"/>
  <c r="D324" i="4"/>
  <c r="C324" i="4"/>
  <c r="A324" i="4" s="1"/>
  <c r="R323" i="4"/>
  <c r="Q323" i="4"/>
  <c r="P323" i="4"/>
  <c r="K323" i="4"/>
  <c r="J323" i="4"/>
  <c r="D323" i="4"/>
  <c r="C323" i="4"/>
  <c r="A323" i="4" s="1"/>
  <c r="R322" i="4"/>
  <c r="Q322" i="4"/>
  <c r="P322" i="4"/>
  <c r="K322" i="4"/>
  <c r="J322" i="4"/>
  <c r="D322" i="4"/>
  <c r="C322" i="4"/>
  <c r="A322" i="4" s="1"/>
  <c r="A322" i="1" s="1"/>
  <c r="R321" i="4"/>
  <c r="Q321" i="4"/>
  <c r="P321" i="4"/>
  <c r="K321" i="4"/>
  <c r="J321" i="4"/>
  <c r="D321" i="4"/>
  <c r="C321" i="4"/>
  <c r="A321" i="4" s="1"/>
  <c r="R320" i="4"/>
  <c r="Q320" i="4"/>
  <c r="P320" i="4"/>
  <c r="K320" i="4"/>
  <c r="J320" i="4"/>
  <c r="D320" i="4"/>
  <c r="C320" i="4"/>
  <c r="A320" i="4" s="1"/>
  <c r="R319" i="4"/>
  <c r="Q319" i="4"/>
  <c r="P319" i="4"/>
  <c r="K319" i="4"/>
  <c r="J319" i="4"/>
  <c r="D319" i="4"/>
  <c r="C319" i="4"/>
  <c r="A319" i="4" s="1"/>
  <c r="R318" i="4"/>
  <c r="Q318" i="4"/>
  <c r="P318" i="4"/>
  <c r="K318" i="4"/>
  <c r="J318" i="4"/>
  <c r="D318" i="4"/>
  <c r="C318" i="4"/>
  <c r="A318" i="4" s="1"/>
  <c r="R317" i="4"/>
  <c r="Q317" i="4"/>
  <c r="P317" i="4"/>
  <c r="K317" i="4"/>
  <c r="J317" i="4"/>
  <c r="D317" i="4"/>
  <c r="C317" i="4"/>
  <c r="A317" i="4" s="1"/>
  <c r="R316" i="4"/>
  <c r="Q316" i="4"/>
  <c r="P316" i="4"/>
  <c r="K316" i="4"/>
  <c r="J316" i="4"/>
  <c r="D316" i="4"/>
  <c r="C316" i="4"/>
  <c r="A316" i="4" s="1"/>
  <c r="R315" i="4"/>
  <c r="Q315" i="4"/>
  <c r="P315" i="4"/>
  <c r="K315" i="4"/>
  <c r="J315" i="4"/>
  <c r="D315" i="4"/>
  <c r="C315" i="4"/>
  <c r="A315" i="4" s="1"/>
  <c r="R314" i="4"/>
  <c r="Q314" i="4"/>
  <c r="P314" i="4"/>
  <c r="K314" i="4"/>
  <c r="J314" i="4"/>
  <c r="D314" i="4"/>
  <c r="C314" i="4"/>
  <c r="A314" i="4" s="1"/>
  <c r="A314" i="1" s="1"/>
  <c r="R313" i="4"/>
  <c r="Q313" i="4"/>
  <c r="P313" i="4"/>
  <c r="K313" i="4"/>
  <c r="J313" i="4"/>
  <c r="D313" i="4"/>
  <c r="C313" i="4"/>
  <c r="A313" i="4" s="1"/>
  <c r="R312" i="4"/>
  <c r="Q312" i="4"/>
  <c r="P312" i="4"/>
  <c r="K312" i="4"/>
  <c r="J312" i="4"/>
  <c r="D312" i="4"/>
  <c r="C312" i="4"/>
  <c r="A312" i="4" s="1"/>
  <c r="R311" i="4"/>
  <c r="Q311" i="4"/>
  <c r="P311" i="4"/>
  <c r="K311" i="4"/>
  <c r="J311" i="4"/>
  <c r="D311" i="4"/>
  <c r="C311" i="4"/>
  <c r="A311" i="4" s="1"/>
  <c r="R310" i="4"/>
  <c r="Q310" i="4"/>
  <c r="P310" i="4"/>
  <c r="K310" i="4"/>
  <c r="J310" i="4"/>
  <c r="D310" i="4"/>
  <c r="C310" i="4"/>
  <c r="A310" i="4" s="1"/>
  <c r="R309" i="4"/>
  <c r="Q309" i="4"/>
  <c r="P309" i="4"/>
  <c r="K309" i="4"/>
  <c r="J309" i="4"/>
  <c r="D309" i="4"/>
  <c r="C309" i="4"/>
  <c r="A309" i="4" s="1"/>
  <c r="R308" i="4"/>
  <c r="Q308" i="4"/>
  <c r="P308" i="4"/>
  <c r="K308" i="4"/>
  <c r="J308" i="4"/>
  <c r="D308" i="4"/>
  <c r="C308" i="4"/>
  <c r="A308" i="4" s="1"/>
  <c r="R307" i="4"/>
  <c r="Q307" i="4"/>
  <c r="P307" i="4"/>
  <c r="K307" i="4"/>
  <c r="J307" i="4"/>
  <c r="D307" i="4"/>
  <c r="C307" i="4"/>
  <c r="A307" i="4" s="1"/>
  <c r="R306" i="4"/>
  <c r="Q306" i="4"/>
  <c r="P306" i="4"/>
  <c r="K306" i="4"/>
  <c r="J306" i="4"/>
  <c r="D306" i="4"/>
  <c r="C306" i="4"/>
  <c r="A306" i="4" s="1"/>
  <c r="A306" i="1" s="1"/>
  <c r="R305" i="4"/>
  <c r="Q305" i="4"/>
  <c r="P305" i="4"/>
  <c r="K305" i="4"/>
  <c r="J305" i="4"/>
  <c r="D305" i="4"/>
  <c r="C305" i="4"/>
  <c r="A305" i="4" s="1"/>
  <c r="R304" i="4"/>
  <c r="Q304" i="4"/>
  <c r="P304" i="4"/>
  <c r="K304" i="4"/>
  <c r="J304" i="4"/>
  <c r="D304" i="4"/>
  <c r="C304" i="4"/>
  <c r="A304" i="4" s="1"/>
  <c r="R303" i="4"/>
  <c r="Q303" i="4"/>
  <c r="P303" i="4"/>
  <c r="K303" i="4"/>
  <c r="J303" i="4"/>
  <c r="D303" i="4"/>
  <c r="C303" i="4"/>
  <c r="A303" i="4" s="1"/>
  <c r="R302" i="4"/>
  <c r="Q302" i="4"/>
  <c r="P302" i="4"/>
  <c r="K302" i="4"/>
  <c r="J302" i="4"/>
  <c r="D302" i="4"/>
  <c r="C302" i="4"/>
  <c r="A302" i="4" s="1"/>
  <c r="R301" i="4"/>
  <c r="Q301" i="4"/>
  <c r="P301" i="4"/>
  <c r="K301" i="4"/>
  <c r="J301" i="4"/>
  <c r="D301" i="4"/>
  <c r="C301" i="4"/>
  <c r="A301" i="4" s="1"/>
  <c r="R300" i="4"/>
  <c r="Q300" i="4"/>
  <c r="P300" i="4"/>
  <c r="K300" i="4"/>
  <c r="J300" i="4"/>
  <c r="D300" i="4"/>
  <c r="C300" i="4"/>
  <c r="A300" i="4" s="1"/>
  <c r="R299" i="4"/>
  <c r="Q299" i="4"/>
  <c r="P299" i="4"/>
  <c r="K299" i="4"/>
  <c r="J299" i="4"/>
  <c r="D299" i="4"/>
  <c r="C299" i="4"/>
  <c r="A299" i="4" s="1"/>
  <c r="R298" i="4"/>
  <c r="Q298" i="4"/>
  <c r="P298" i="4"/>
  <c r="K298" i="4"/>
  <c r="J298" i="4"/>
  <c r="D298" i="4"/>
  <c r="C298" i="4"/>
  <c r="A298" i="4" s="1"/>
  <c r="A298" i="1" s="1"/>
  <c r="R297" i="4"/>
  <c r="Q297" i="4"/>
  <c r="P297" i="4"/>
  <c r="K297" i="4"/>
  <c r="J297" i="4"/>
  <c r="D297" i="4"/>
  <c r="C297" i="4"/>
  <c r="A297" i="4" s="1"/>
  <c r="R296" i="4"/>
  <c r="Q296" i="4"/>
  <c r="P296" i="4"/>
  <c r="K296" i="4"/>
  <c r="J296" i="4"/>
  <c r="D296" i="4"/>
  <c r="C296" i="4"/>
  <c r="A296" i="4" s="1"/>
  <c r="R295" i="4"/>
  <c r="Q295" i="4"/>
  <c r="P295" i="4"/>
  <c r="K295" i="4"/>
  <c r="J295" i="4"/>
  <c r="D295" i="4"/>
  <c r="C295" i="4"/>
  <c r="A295" i="4" s="1"/>
  <c r="R294" i="4"/>
  <c r="Q294" i="4"/>
  <c r="P294" i="4"/>
  <c r="K294" i="4"/>
  <c r="J294" i="4"/>
  <c r="D294" i="4"/>
  <c r="C294" i="4"/>
  <c r="A294" i="4" s="1"/>
  <c r="R293" i="4"/>
  <c r="Q293" i="4"/>
  <c r="P293" i="4"/>
  <c r="K293" i="4"/>
  <c r="J293" i="4"/>
  <c r="D293" i="4"/>
  <c r="C293" i="4"/>
  <c r="A293" i="4" s="1"/>
  <c r="R292" i="4"/>
  <c r="Q292" i="4"/>
  <c r="P292" i="4"/>
  <c r="K292" i="4"/>
  <c r="J292" i="4"/>
  <c r="D292" i="4"/>
  <c r="C292" i="4"/>
  <c r="A292" i="4" s="1"/>
  <c r="R291" i="4"/>
  <c r="Q291" i="4"/>
  <c r="P291" i="4"/>
  <c r="K291" i="4"/>
  <c r="J291" i="4"/>
  <c r="D291" i="4"/>
  <c r="C291" i="4"/>
  <c r="A291" i="4" s="1"/>
  <c r="R290" i="4"/>
  <c r="Q290" i="4"/>
  <c r="P290" i="4"/>
  <c r="K290" i="4"/>
  <c r="J290" i="4"/>
  <c r="D290" i="4"/>
  <c r="C290" i="4"/>
  <c r="A290" i="4" s="1"/>
  <c r="A290" i="1" s="1"/>
  <c r="R289" i="4"/>
  <c r="Q289" i="4"/>
  <c r="P289" i="4"/>
  <c r="K289" i="4"/>
  <c r="J289" i="4"/>
  <c r="D289" i="4"/>
  <c r="C289" i="4"/>
  <c r="A289" i="4" s="1"/>
  <c r="R288" i="4"/>
  <c r="Q288" i="4"/>
  <c r="P288" i="4"/>
  <c r="K288" i="4"/>
  <c r="J288" i="4"/>
  <c r="D288" i="4"/>
  <c r="C288" i="4"/>
  <c r="A288" i="4" s="1"/>
  <c r="R287" i="4"/>
  <c r="Q287" i="4"/>
  <c r="P287" i="4"/>
  <c r="K287" i="4"/>
  <c r="J287" i="4"/>
  <c r="D287" i="4"/>
  <c r="C287" i="4"/>
  <c r="A287" i="4" s="1"/>
  <c r="R286" i="4"/>
  <c r="Q286" i="4"/>
  <c r="P286" i="4"/>
  <c r="K286" i="4"/>
  <c r="J286" i="4"/>
  <c r="D286" i="4"/>
  <c r="C286" i="4"/>
  <c r="A286" i="4" s="1"/>
  <c r="R285" i="4"/>
  <c r="Q285" i="4"/>
  <c r="P285" i="4"/>
  <c r="K285" i="4"/>
  <c r="J285" i="4"/>
  <c r="D285" i="4"/>
  <c r="C285" i="4"/>
  <c r="A285" i="4" s="1"/>
  <c r="R284" i="4"/>
  <c r="Q284" i="4"/>
  <c r="P284" i="4"/>
  <c r="K284" i="4"/>
  <c r="J284" i="4"/>
  <c r="D284" i="4"/>
  <c r="C284" i="4"/>
  <c r="A284" i="4" s="1"/>
  <c r="R283" i="4"/>
  <c r="Q283" i="4"/>
  <c r="P283" i="4"/>
  <c r="K283" i="4"/>
  <c r="J283" i="4"/>
  <c r="D283" i="4"/>
  <c r="C283" i="4"/>
  <c r="A283" i="4" s="1"/>
  <c r="R282" i="4"/>
  <c r="Q282" i="4"/>
  <c r="P282" i="4"/>
  <c r="K282" i="4"/>
  <c r="J282" i="4"/>
  <c r="D282" i="4"/>
  <c r="C282" i="4"/>
  <c r="A282" i="4" s="1"/>
  <c r="A282" i="1" s="1"/>
  <c r="R281" i="4"/>
  <c r="Q281" i="4"/>
  <c r="P281" i="4"/>
  <c r="K281" i="4"/>
  <c r="J281" i="4"/>
  <c r="D281" i="4"/>
  <c r="C281" i="4"/>
  <c r="A281" i="4" s="1"/>
  <c r="R280" i="4"/>
  <c r="Q280" i="4"/>
  <c r="P280" i="4"/>
  <c r="K280" i="4"/>
  <c r="J280" i="4"/>
  <c r="D280" i="4"/>
  <c r="C280" i="4"/>
  <c r="A280" i="4" s="1"/>
  <c r="R279" i="4"/>
  <c r="Q279" i="4"/>
  <c r="P279" i="4"/>
  <c r="K279" i="4"/>
  <c r="J279" i="4"/>
  <c r="D279" i="4"/>
  <c r="C279" i="4"/>
  <c r="A279" i="4" s="1"/>
  <c r="R278" i="4"/>
  <c r="Q278" i="4"/>
  <c r="P278" i="4"/>
  <c r="K278" i="4"/>
  <c r="J278" i="4"/>
  <c r="D278" i="4"/>
  <c r="C278" i="4"/>
  <c r="A278" i="4" s="1"/>
  <c r="R277" i="4"/>
  <c r="Q277" i="4"/>
  <c r="P277" i="4"/>
  <c r="K277" i="4"/>
  <c r="J277" i="4"/>
  <c r="D277" i="4"/>
  <c r="C277" i="4"/>
  <c r="A277" i="4" s="1"/>
  <c r="R276" i="4"/>
  <c r="Q276" i="4"/>
  <c r="P276" i="4"/>
  <c r="K276" i="4"/>
  <c r="J276" i="4"/>
  <c r="D276" i="4"/>
  <c r="C276" i="4"/>
  <c r="A276" i="4" s="1"/>
  <c r="R275" i="4"/>
  <c r="Q275" i="4"/>
  <c r="P275" i="4"/>
  <c r="K275" i="4"/>
  <c r="J275" i="4"/>
  <c r="D275" i="4"/>
  <c r="C275" i="4"/>
  <c r="A275" i="4" s="1"/>
  <c r="R274" i="4"/>
  <c r="Q274" i="4"/>
  <c r="P274" i="4"/>
  <c r="K274" i="4"/>
  <c r="J274" i="4"/>
  <c r="D274" i="4"/>
  <c r="C274" i="4"/>
  <c r="A274" i="4" s="1"/>
  <c r="A274" i="1" s="1"/>
  <c r="R273" i="4"/>
  <c r="Q273" i="4"/>
  <c r="P273" i="4"/>
  <c r="K273" i="4"/>
  <c r="J273" i="4"/>
  <c r="D273" i="4"/>
  <c r="C273" i="4"/>
  <c r="A273" i="4" s="1"/>
  <c r="R272" i="4"/>
  <c r="Q272" i="4"/>
  <c r="P272" i="4"/>
  <c r="K272" i="4"/>
  <c r="J272" i="4"/>
  <c r="D272" i="4"/>
  <c r="C272" i="4"/>
  <c r="A272" i="4" s="1"/>
  <c r="R271" i="4"/>
  <c r="Q271" i="4"/>
  <c r="P271" i="4"/>
  <c r="K271" i="4"/>
  <c r="J271" i="4"/>
  <c r="D271" i="4"/>
  <c r="C271" i="4"/>
  <c r="A271" i="4" s="1"/>
  <c r="R270" i="4"/>
  <c r="Q270" i="4"/>
  <c r="P270" i="4"/>
  <c r="K270" i="4"/>
  <c r="J270" i="4"/>
  <c r="D270" i="4"/>
  <c r="C270" i="4"/>
  <c r="A270" i="4" s="1"/>
  <c r="R269" i="4"/>
  <c r="Q269" i="4"/>
  <c r="P269" i="4"/>
  <c r="K269" i="4"/>
  <c r="J269" i="4"/>
  <c r="D269" i="4"/>
  <c r="C269" i="4"/>
  <c r="A269" i="4" s="1"/>
  <c r="R268" i="4"/>
  <c r="Q268" i="4"/>
  <c r="P268" i="4"/>
  <c r="K268" i="4"/>
  <c r="J268" i="4"/>
  <c r="D268" i="4"/>
  <c r="C268" i="4"/>
  <c r="A268" i="4" s="1"/>
  <c r="R267" i="4"/>
  <c r="Q267" i="4"/>
  <c r="P267" i="4"/>
  <c r="K267" i="4"/>
  <c r="J267" i="4"/>
  <c r="D267" i="4"/>
  <c r="C267" i="4"/>
  <c r="A267" i="4" s="1"/>
  <c r="R266" i="4"/>
  <c r="Q266" i="4"/>
  <c r="P266" i="4"/>
  <c r="K266" i="4"/>
  <c r="J266" i="4"/>
  <c r="D266" i="4"/>
  <c r="C266" i="4"/>
  <c r="A266" i="4" s="1"/>
  <c r="A266" i="1" s="1"/>
  <c r="R265" i="4"/>
  <c r="Q265" i="4"/>
  <c r="P265" i="4"/>
  <c r="K265" i="4"/>
  <c r="J265" i="4"/>
  <c r="D265" i="4"/>
  <c r="C265" i="4"/>
  <c r="A265" i="4" s="1"/>
  <c r="R264" i="4"/>
  <c r="Q264" i="4"/>
  <c r="P264" i="4"/>
  <c r="K264" i="4"/>
  <c r="J264" i="4"/>
  <c r="D264" i="4"/>
  <c r="C264" i="4"/>
  <c r="A264" i="4" s="1"/>
  <c r="R263" i="4"/>
  <c r="Q263" i="4"/>
  <c r="P263" i="4"/>
  <c r="K263" i="4"/>
  <c r="J263" i="4"/>
  <c r="D263" i="4"/>
  <c r="C263" i="4"/>
  <c r="A263" i="4" s="1"/>
  <c r="R262" i="4"/>
  <c r="Q262" i="4"/>
  <c r="P262" i="4"/>
  <c r="K262" i="4"/>
  <c r="J262" i="4"/>
  <c r="D262" i="4"/>
  <c r="C262" i="4"/>
  <c r="A262" i="4" s="1"/>
  <c r="R261" i="4"/>
  <c r="Q261" i="4"/>
  <c r="P261" i="4"/>
  <c r="K261" i="4"/>
  <c r="J261" i="4"/>
  <c r="D261" i="4"/>
  <c r="C261" i="4"/>
  <c r="A261" i="4" s="1"/>
  <c r="R260" i="4"/>
  <c r="Q260" i="4"/>
  <c r="P260" i="4"/>
  <c r="K260" i="4"/>
  <c r="J260" i="4"/>
  <c r="D260" i="4"/>
  <c r="C260" i="4"/>
  <c r="A260" i="4" s="1"/>
  <c r="R259" i="4"/>
  <c r="Q259" i="4"/>
  <c r="P259" i="4"/>
  <c r="K259" i="4"/>
  <c r="J259" i="4"/>
  <c r="D259" i="4"/>
  <c r="C259" i="4"/>
  <c r="A259" i="4" s="1"/>
  <c r="R258" i="4"/>
  <c r="Q258" i="4"/>
  <c r="P258" i="4"/>
  <c r="K258" i="4"/>
  <c r="J258" i="4"/>
  <c r="D258" i="4"/>
  <c r="C258" i="4"/>
  <c r="A258" i="4" s="1"/>
  <c r="A258" i="1" s="1"/>
  <c r="R257" i="4"/>
  <c r="Q257" i="4"/>
  <c r="P257" i="4"/>
  <c r="K257" i="4"/>
  <c r="J257" i="4"/>
  <c r="D257" i="4"/>
  <c r="C257" i="4"/>
  <c r="A257" i="4" s="1"/>
  <c r="R256" i="4"/>
  <c r="Q256" i="4"/>
  <c r="P256" i="4"/>
  <c r="K256" i="4"/>
  <c r="J256" i="4"/>
  <c r="D256" i="4"/>
  <c r="C256" i="4"/>
  <c r="A256" i="4" s="1"/>
  <c r="R255" i="4"/>
  <c r="Q255" i="4"/>
  <c r="P255" i="4"/>
  <c r="K255" i="4"/>
  <c r="J255" i="4"/>
  <c r="D255" i="4"/>
  <c r="C255" i="4"/>
  <c r="A255" i="4" s="1"/>
  <c r="R254" i="4"/>
  <c r="Q254" i="4"/>
  <c r="P254" i="4"/>
  <c r="K254" i="4"/>
  <c r="J254" i="4"/>
  <c r="D254" i="4"/>
  <c r="C254" i="4"/>
  <c r="A254" i="4" s="1"/>
  <c r="R253" i="4"/>
  <c r="Q253" i="4"/>
  <c r="P253" i="4"/>
  <c r="K253" i="4"/>
  <c r="J253" i="4"/>
  <c r="D253" i="4"/>
  <c r="C253" i="4"/>
  <c r="A253" i="4" s="1"/>
  <c r="R252" i="4"/>
  <c r="Q252" i="4"/>
  <c r="P252" i="4"/>
  <c r="K252" i="4"/>
  <c r="J252" i="4"/>
  <c r="D252" i="4"/>
  <c r="C252" i="4"/>
  <c r="A252" i="4" s="1"/>
  <c r="R251" i="4"/>
  <c r="Q251" i="4"/>
  <c r="P251" i="4"/>
  <c r="K251" i="4"/>
  <c r="J251" i="4"/>
  <c r="D251" i="4"/>
  <c r="C251" i="4"/>
  <c r="A251" i="4" s="1"/>
  <c r="R250" i="4"/>
  <c r="Q250" i="4"/>
  <c r="P250" i="4"/>
  <c r="K250" i="4"/>
  <c r="J250" i="4"/>
  <c r="D250" i="4"/>
  <c r="C250" i="4"/>
  <c r="A250" i="4" s="1"/>
  <c r="A250" i="1" s="1"/>
  <c r="R249" i="4"/>
  <c r="Q249" i="4"/>
  <c r="P249" i="4"/>
  <c r="K249" i="4"/>
  <c r="J249" i="4"/>
  <c r="D249" i="4"/>
  <c r="C249" i="4"/>
  <c r="A249" i="4" s="1"/>
  <c r="R248" i="4"/>
  <c r="Q248" i="4"/>
  <c r="P248" i="4"/>
  <c r="K248" i="4"/>
  <c r="J248" i="4"/>
  <c r="D248" i="4"/>
  <c r="C248" i="4"/>
  <c r="A248" i="4" s="1"/>
  <c r="R247" i="4"/>
  <c r="Q247" i="4"/>
  <c r="P247" i="4"/>
  <c r="K247" i="4"/>
  <c r="J247" i="4"/>
  <c r="D247" i="4"/>
  <c r="C247" i="4"/>
  <c r="A247" i="4" s="1"/>
  <c r="R246" i="4"/>
  <c r="Q246" i="4"/>
  <c r="P246" i="4"/>
  <c r="K246" i="4"/>
  <c r="J246" i="4"/>
  <c r="D246" i="4"/>
  <c r="C246" i="4"/>
  <c r="A246" i="4" s="1"/>
  <c r="R245" i="4"/>
  <c r="Q245" i="4"/>
  <c r="P245" i="4"/>
  <c r="K245" i="4"/>
  <c r="J245" i="4"/>
  <c r="D245" i="4"/>
  <c r="C245" i="4"/>
  <c r="A245" i="4" s="1"/>
  <c r="R244" i="4"/>
  <c r="Q244" i="4"/>
  <c r="P244" i="4"/>
  <c r="K244" i="4"/>
  <c r="J244" i="4"/>
  <c r="D244" i="4"/>
  <c r="C244" i="4"/>
  <c r="A244" i="4" s="1"/>
  <c r="R243" i="4"/>
  <c r="Q243" i="4"/>
  <c r="P243" i="4"/>
  <c r="K243" i="4"/>
  <c r="J243" i="4"/>
  <c r="D243" i="4"/>
  <c r="C243" i="4"/>
  <c r="A243" i="4" s="1"/>
  <c r="R242" i="4"/>
  <c r="Q242" i="4"/>
  <c r="P242" i="4"/>
  <c r="K242" i="4"/>
  <c r="J242" i="4"/>
  <c r="D242" i="4"/>
  <c r="C242" i="4"/>
  <c r="A242" i="4" s="1"/>
  <c r="A242" i="1" s="1"/>
  <c r="R241" i="4"/>
  <c r="Q241" i="4"/>
  <c r="P241" i="4"/>
  <c r="K241" i="4"/>
  <c r="J241" i="4"/>
  <c r="D241" i="4"/>
  <c r="C241" i="4"/>
  <c r="A241" i="4" s="1"/>
  <c r="R240" i="4"/>
  <c r="Q240" i="4"/>
  <c r="P240" i="4"/>
  <c r="K240" i="4"/>
  <c r="J240" i="4"/>
  <c r="D240" i="4"/>
  <c r="C240" i="4"/>
  <c r="A240" i="4" s="1"/>
  <c r="R239" i="4"/>
  <c r="Q239" i="4"/>
  <c r="P239" i="4"/>
  <c r="K239" i="4"/>
  <c r="J239" i="4"/>
  <c r="D239" i="4"/>
  <c r="C239" i="4"/>
  <c r="A239" i="4" s="1"/>
  <c r="R238" i="4"/>
  <c r="Q238" i="4"/>
  <c r="P238" i="4"/>
  <c r="K238" i="4"/>
  <c r="J238" i="4"/>
  <c r="D238" i="4"/>
  <c r="C238" i="4"/>
  <c r="A238" i="4" s="1"/>
  <c r="R237" i="4"/>
  <c r="Q237" i="4"/>
  <c r="P237" i="4"/>
  <c r="K237" i="4"/>
  <c r="J237" i="4"/>
  <c r="D237" i="4"/>
  <c r="C237" i="4"/>
  <c r="A237" i="4" s="1"/>
  <c r="R236" i="4"/>
  <c r="Q236" i="4"/>
  <c r="P236" i="4"/>
  <c r="K236" i="4"/>
  <c r="J236" i="4"/>
  <c r="D236" i="4"/>
  <c r="C236" i="4"/>
  <c r="A236" i="4" s="1"/>
  <c r="R235" i="4"/>
  <c r="Q235" i="4"/>
  <c r="P235" i="4"/>
  <c r="K235" i="4"/>
  <c r="J235" i="4"/>
  <c r="D235" i="4"/>
  <c r="C235" i="4"/>
  <c r="A235" i="4" s="1"/>
  <c r="R234" i="4"/>
  <c r="Q234" i="4"/>
  <c r="P234" i="4"/>
  <c r="K234" i="4"/>
  <c r="J234" i="4"/>
  <c r="D234" i="4"/>
  <c r="C234" i="4"/>
  <c r="A234" i="4" s="1"/>
  <c r="A234" i="1" s="1"/>
  <c r="R233" i="4"/>
  <c r="Q233" i="4"/>
  <c r="P233" i="4"/>
  <c r="K233" i="4"/>
  <c r="J233" i="4"/>
  <c r="D233" i="4"/>
  <c r="C233" i="4"/>
  <c r="A233" i="4" s="1"/>
  <c r="R232" i="4"/>
  <c r="Q232" i="4"/>
  <c r="P232" i="4"/>
  <c r="K232" i="4"/>
  <c r="J232" i="4"/>
  <c r="D232" i="4"/>
  <c r="C232" i="4"/>
  <c r="A232" i="4" s="1"/>
  <c r="R231" i="4"/>
  <c r="Q231" i="4"/>
  <c r="P231" i="4"/>
  <c r="K231" i="4"/>
  <c r="J231" i="4"/>
  <c r="D231" i="4"/>
  <c r="C231" i="4"/>
  <c r="A231" i="4" s="1"/>
  <c r="R230" i="4"/>
  <c r="Q230" i="4"/>
  <c r="P230" i="4"/>
  <c r="K230" i="4"/>
  <c r="J230" i="4"/>
  <c r="D230" i="4"/>
  <c r="C230" i="4"/>
  <c r="A230" i="4" s="1"/>
  <c r="R229" i="4"/>
  <c r="Q229" i="4"/>
  <c r="P229" i="4"/>
  <c r="K229" i="4"/>
  <c r="J229" i="4"/>
  <c r="D229" i="4"/>
  <c r="C229" i="4"/>
  <c r="A229" i="4" s="1"/>
  <c r="R228" i="4"/>
  <c r="Q228" i="4"/>
  <c r="P228" i="4"/>
  <c r="K228" i="4"/>
  <c r="J228" i="4"/>
  <c r="D228" i="4"/>
  <c r="C228" i="4"/>
  <c r="A228" i="4" s="1"/>
  <c r="R227" i="4"/>
  <c r="Q227" i="4"/>
  <c r="P227" i="4"/>
  <c r="K227" i="4"/>
  <c r="J227" i="4"/>
  <c r="D227" i="4"/>
  <c r="C227" i="4"/>
  <c r="A227" i="4" s="1"/>
  <c r="R226" i="4"/>
  <c r="Q226" i="4"/>
  <c r="P226" i="4"/>
  <c r="K226" i="4"/>
  <c r="J226" i="4"/>
  <c r="D226" i="4"/>
  <c r="C226" i="4"/>
  <c r="A226" i="4" s="1"/>
  <c r="R225" i="4"/>
  <c r="Q225" i="4"/>
  <c r="P225" i="4"/>
  <c r="K225" i="4"/>
  <c r="J225" i="4"/>
  <c r="D225" i="4"/>
  <c r="C225" i="4"/>
  <c r="A225" i="4" s="1"/>
  <c r="R224" i="4"/>
  <c r="Q224" i="4"/>
  <c r="P224" i="4"/>
  <c r="K224" i="4"/>
  <c r="J224" i="4"/>
  <c r="D224" i="4"/>
  <c r="C224" i="4"/>
  <c r="A224" i="4" s="1"/>
  <c r="R223" i="4"/>
  <c r="Q223" i="4"/>
  <c r="P223" i="4"/>
  <c r="K223" i="4"/>
  <c r="J223" i="4"/>
  <c r="D223" i="4"/>
  <c r="C223" i="4"/>
  <c r="A223" i="4" s="1"/>
  <c r="R222" i="4"/>
  <c r="Q222" i="4"/>
  <c r="P222" i="4"/>
  <c r="K222" i="4"/>
  <c r="J222" i="4"/>
  <c r="D222" i="4"/>
  <c r="C222" i="4"/>
  <c r="A222" i="4" s="1"/>
  <c r="R221" i="4"/>
  <c r="Q221" i="4"/>
  <c r="P221" i="4"/>
  <c r="K221" i="4"/>
  <c r="J221" i="4"/>
  <c r="D221" i="4"/>
  <c r="C221" i="4"/>
  <c r="A221" i="4" s="1"/>
  <c r="R220" i="4"/>
  <c r="Q220" i="4"/>
  <c r="P220" i="4"/>
  <c r="K220" i="4"/>
  <c r="J220" i="4"/>
  <c r="D220" i="4"/>
  <c r="C220" i="4"/>
  <c r="A220" i="4" s="1"/>
  <c r="R219" i="4"/>
  <c r="Q219" i="4"/>
  <c r="P219" i="4"/>
  <c r="K219" i="4"/>
  <c r="J219" i="4"/>
  <c r="D219" i="4"/>
  <c r="C219" i="4"/>
  <c r="A219" i="4" s="1"/>
  <c r="R218" i="4"/>
  <c r="Q218" i="4"/>
  <c r="P218" i="4"/>
  <c r="K218" i="4"/>
  <c r="J218" i="4"/>
  <c r="D218" i="4"/>
  <c r="C218" i="4"/>
  <c r="A218" i="4" s="1"/>
  <c r="A218" i="1" s="1"/>
  <c r="R217" i="4"/>
  <c r="Q217" i="4"/>
  <c r="P217" i="4"/>
  <c r="K217" i="4"/>
  <c r="J217" i="4"/>
  <c r="D217" i="4"/>
  <c r="C217" i="4"/>
  <c r="A217" i="4" s="1"/>
  <c r="R216" i="4"/>
  <c r="Q216" i="4"/>
  <c r="P216" i="4"/>
  <c r="K216" i="4"/>
  <c r="J216" i="4"/>
  <c r="D216" i="4"/>
  <c r="C216" i="4"/>
  <c r="A216" i="4" s="1"/>
  <c r="R215" i="4"/>
  <c r="Q215" i="4"/>
  <c r="P215" i="4"/>
  <c r="K215" i="4"/>
  <c r="J215" i="4"/>
  <c r="D215" i="4"/>
  <c r="C215" i="4"/>
  <c r="A215" i="4" s="1"/>
  <c r="R214" i="4"/>
  <c r="Q214" i="4"/>
  <c r="P214" i="4"/>
  <c r="K214" i="4"/>
  <c r="J214" i="4"/>
  <c r="D214" i="4"/>
  <c r="C214" i="4"/>
  <c r="A214" i="4" s="1"/>
  <c r="R213" i="4"/>
  <c r="Q213" i="4"/>
  <c r="P213" i="4"/>
  <c r="K213" i="4"/>
  <c r="J213" i="4"/>
  <c r="D213" i="4"/>
  <c r="C213" i="4"/>
  <c r="A213" i="4" s="1"/>
  <c r="R212" i="4"/>
  <c r="Q212" i="4"/>
  <c r="P212" i="4"/>
  <c r="K212" i="4"/>
  <c r="J212" i="4"/>
  <c r="D212" i="4"/>
  <c r="C212" i="4"/>
  <c r="A212" i="4" s="1"/>
  <c r="R211" i="4"/>
  <c r="Q211" i="4"/>
  <c r="P211" i="4"/>
  <c r="K211" i="4"/>
  <c r="J211" i="4"/>
  <c r="D211" i="4"/>
  <c r="C211" i="4"/>
  <c r="A211" i="4" s="1"/>
  <c r="R210" i="4"/>
  <c r="Q210" i="4"/>
  <c r="P210" i="4"/>
  <c r="K210" i="4"/>
  <c r="J210" i="4"/>
  <c r="D210" i="4"/>
  <c r="C210" i="4"/>
  <c r="A210" i="4" s="1"/>
  <c r="R209" i="4"/>
  <c r="Q209" i="4"/>
  <c r="P209" i="4"/>
  <c r="K209" i="4"/>
  <c r="J209" i="4"/>
  <c r="D209" i="4"/>
  <c r="C209" i="4"/>
  <c r="A209" i="4" s="1"/>
  <c r="R208" i="4"/>
  <c r="Q208" i="4"/>
  <c r="P208" i="4"/>
  <c r="K208" i="4"/>
  <c r="J208" i="4"/>
  <c r="D208" i="4"/>
  <c r="C208" i="4"/>
  <c r="A208" i="4" s="1"/>
  <c r="R207" i="4"/>
  <c r="Q207" i="4"/>
  <c r="P207" i="4"/>
  <c r="K207" i="4"/>
  <c r="J207" i="4"/>
  <c r="D207" i="4"/>
  <c r="C207" i="4"/>
  <c r="A207" i="4" s="1"/>
  <c r="R206" i="4"/>
  <c r="Q206" i="4"/>
  <c r="P206" i="4"/>
  <c r="K206" i="4"/>
  <c r="J206" i="4"/>
  <c r="D206" i="4"/>
  <c r="C206" i="4"/>
  <c r="A206" i="4" s="1"/>
  <c r="R205" i="4"/>
  <c r="Q205" i="4"/>
  <c r="P205" i="4"/>
  <c r="K205" i="4"/>
  <c r="J205" i="4"/>
  <c r="D205" i="4"/>
  <c r="C205" i="4"/>
  <c r="A205" i="4" s="1"/>
  <c r="R204" i="4"/>
  <c r="Q204" i="4"/>
  <c r="P204" i="4"/>
  <c r="K204" i="4"/>
  <c r="J204" i="4"/>
  <c r="D204" i="4"/>
  <c r="C204" i="4"/>
  <c r="A204" i="4" s="1"/>
  <c r="R203" i="4"/>
  <c r="Q203" i="4"/>
  <c r="P203" i="4"/>
  <c r="K203" i="4"/>
  <c r="J203" i="4"/>
  <c r="D203" i="4"/>
  <c r="C203" i="4"/>
  <c r="A203" i="4" s="1"/>
  <c r="R202" i="4"/>
  <c r="Q202" i="4"/>
  <c r="P202" i="4"/>
  <c r="K202" i="4"/>
  <c r="J202" i="4"/>
  <c r="D202" i="4"/>
  <c r="C202" i="4"/>
  <c r="A202" i="4" s="1"/>
  <c r="A202" i="1" s="1"/>
  <c r="R201" i="4"/>
  <c r="Q201" i="4"/>
  <c r="P201" i="4"/>
  <c r="K201" i="4"/>
  <c r="J201" i="4"/>
  <c r="D201" i="4"/>
  <c r="C201" i="4"/>
  <c r="A201" i="4" s="1"/>
  <c r="R200" i="4"/>
  <c r="Q200" i="4"/>
  <c r="P200" i="4"/>
  <c r="K200" i="4"/>
  <c r="J200" i="4"/>
  <c r="D200" i="4"/>
  <c r="C200" i="4"/>
  <c r="A200" i="4" s="1"/>
  <c r="R199" i="4"/>
  <c r="Q199" i="4"/>
  <c r="P199" i="4"/>
  <c r="K199" i="4"/>
  <c r="J199" i="4"/>
  <c r="D199" i="4"/>
  <c r="C199" i="4"/>
  <c r="A199" i="4" s="1"/>
  <c r="R198" i="4"/>
  <c r="Q198" i="4"/>
  <c r="P198" i="4"/>
  <c r="K198" i="4"/>
  <c r="J198" i="4"/>
  <c r="D198" i="4"/>
  <c r="C198" i="4"/>
  <c r="A198" i="4" s="1"/>
  <c r="R197" i="4"/>
  <c r="Q197" i="4"/>
  <c r="P197" i="4"/>
  <c r="K197" i="4"/>
  <c r="J197" i="4"/>
  <c r="D197" i="4"/>
  <c r="C197" i="4"/>
  <c r="A197" i="4" s="1"/>
  <c r="R196" i="4"/>
  <c r="Q196" i="4"/>
  <c r="P196" i="4"/>
  <c r="K196" i="4"/>
  <c r="J196" i="4"/>
  <c r="D196" i="4"/>
  <c r="C196" i="4"/>
  <c r="A196" i="4" s="1"/>
  <c r="R195" i="4"/>
  <c r="Q195" i="4"/>
  <c r="P195" i="4"/>
  <c r="K195" i="4"/>
  <c r="J195" i="4"/>
  <c r="D195" i="4"/>
  <c r="C195" i="4"/>
  <c r="A195" i="4" s="1"/>
  <c r="R194" i="4"/>
  <c r="Q194" i="4"/>
  <c r="P194" i="4"/>
  <c r="K194" i="4"/>
  <c r="J194" i="4"/>
  <c r="D194" i="4"/>
  <c r="C194" i="4"/>
  <c r="A194" i="4" s="1"/>
  <c r="R193" i="4"/>
  <c r="Q193" i="4"/>
  <c r="P193" i="4"/>
  <c r="K193" i="4"/>
  <c r="J193" i="4"/>
  <c r="D193" i="4"/>
  <c r="C193" i="4"/>
  <c r="A193" i="4" s="1"/>
  <c r="R192" i="4"/>
  <c r="Q192" i="4"/>
  <c r="P192" i="4"/>
  <c r="K192" i="4"/>
  <c r="J192" i="4"/>
  <c r="D192" i="4"/>
  <c r="C192" i="4"/>
  <c r="A192" i="4" s="1"/>
  <c r="R191" i="4"/>
  <c r="Q191" i="4"/>
  <c r="P191" i="4"/>
  <c r="K191" i="4"/>
  <c r="J191" i="4"/>
  <c r="D191" i="4"/>
  <c r="C191" i="4"/>
  <c r="A191" i="4" s="1"/>
  <c r="R190" i="4"/>
  <c r="Q190" i="4"/>
  <c r="P190" i="4"/>
  <c r="K190" i="4"/>
  <c r="J190" i="4"/>
  <c r="D190" i="4"/>
  <c r="C190" i="4"/>
  <c r="A190" i="4" s="1"/>
  <c r="R189" i="4"/>
  <c r="Q189" i="4"/>
  <c r="P189" i="4"/>
  <c r="K189" i="4"/>
  <c r="J189" i="4"/>
  <c r="D189" i="4"/>
  <c r="C189" i="4"/>
  <c r="A189" i="4" s="1"/>
  <c r="R188" i="4"/>
  <c r="Q188" i="4"/>
  <c r="P188" i="4"/>
  <c r="K188" i="4"/>
  <c r="J188" i="4"/>
  <c r="D188" i="4"/>
  <c r="C188" i="4"/>
  <c r="A188" i="4" s="1"/>
  <c r="R187" i="4"/>
  <c r="Q187" i="4"/>
  <c r="P187" i="4"/>
  <c r="K187" i="4"/>
  <c r="J187" i="4"/>
  <c r="D187" i="4"/>
  <c r="C187" i="4"/>
  <c r="A187" i="4" s="1"/>
  <c r="R186" i="4"/>
  <c r="Q186" i="4"/>
  <c r="P186" i="4"/>
  <c r="K186" i="4"/>
  <c r="J186" i="4"/>
  <c r="D186" i="4"/>
  <c r="C186" i="4"/>
  <c r="A186" i="4" s="1"/>
  <c r="R185" i="4"/>
  <c r="Q185" i="4"/>
  <c r="P185" i="4"/>
  <c r="K185" i="4"/>
  <c r="J185" i="4"/>
  <c r="D185" i="4"/>
  <c r="C185" i="4"/>
  <c r="A185" i="4" s="1"/>
  <c r="R184" i="4"/>
  <c r="Q184" i="4"/>
  <c r="P184" i="4"/>
  <c r="K184" i="4"/>
  <c r="J184" i="4"/>
  <c r="D184" i="4"/>
  <c r="C184" i="4"/>
  <c r="A184" i="4" s="1"/>
  <c r="R183" i="4"/>
  <c r="Q183" i="4"/>
  <c r="P183" i="4"/>
  <c r="K183" i="4"/>
  <c r="J183" i="4"/>
  <c r="D183" i="4"/>
  <c r="C183" i="4"/>
  <c r="A183" i="4" s="1"/>
  <c r="R182" i="4"/>
  <c r="Q182" i="4"/>
  <c r="P182" i="4"/>
  <c r="K182" i="4"/>
  <c r="J182" i="4"/>
  <c r="D182" i="4"/>
  <c r="C182" i="4"/>
  <c r="A182" i="4" s="1"/>
  <c r="R181" i="4"/>
  <c r="Q181" i="4"/>
  <c r="P181" i="4"/>
  <c r="K181" i="4"/>
  <c r="J181" i="4"/>
  <c r="D181" i="4"/>
  <c r="C181" i="4"/>
  <c r="A181" i="4" s="1"/>
  <c r="R180" i="4"/>
  <c r="Q180" i="4"/>
  <c r="P180" i="4"/>
  <c r="K180" i="4"/>
  <c r="J180" i="4"/>
  <c r="D180" i="4"/>
  <c r="C180" i="4"/>
  <c r="A180" i="4" s="1"/>
  <c r="R179" i="4"/>
  <c r="Q179" i="4"/>
  <c r="P179" i="4"/>
  <c r="K179" i="4"/>
  <c r="J179" i="4"/>
  <c r="D179" i="4"/>
  <c r="C179" i="4"/>
  <c r="A179" i="4" s="1"/>
  <c r="R178" i="4"/>
  <c r="Q178" i="4"/>
  <c r="P178" i="4"/>
  <c r="K178" i="4"/>
  <c r="J178" i="4"/>
  <c r="D178" i="4"/>
  <c r="C178" i="4"/>
  <c r="A178" i="4" s="1"/>
  <c r="R177" i="4"/>
  <c r="Q177" i="4"/>
  <c r="P177" i="4"/>
  <c r="K177" i="4"/>
  <c r="J177" i="4"/>
  <c r="D177" i="4"/>
  <c r="C177" i="4"/>
  <c r="A177" i="4" s="1"/>
  <c r="R176" i="4"/>
  <c r="Q176" i="4"/>
  <c r="P176" i="4"/>
  <c r="K176" i="4"/>
  <c r="J176" i="4"/>
  <c r="D176" i="4"/>
  <c r="C176" i="4"/>
  <c r="A176" i="4" s="1"/>
  <c r="R175" i="4"/>
  <c r="Q175" i="4"/>
  <c r="P175" i="4"/>
  <c r="K175" i="4"/>
  <c r="J175" i="4"/>
  <c r="D175" i="4"/>
  <c r="C175" i="4"/>
  <c r="A175" i="4" s="1"/>
  <c r="R174" i="4"/>
  <c r="Q174" i="4"/>
  <c r="P174" i="4"/>
  <c r="K174" i="4"/>
  <c r="J174" i="4"/>
  <c r="D174" i="4"/>
  <c r="C174" i="4"/>
  <c r="A174" i="4" s="1"/>
  <c r="R173" i="4"/>
  <c r="Q173" i="4"/>
  <c r="P173" i="4"/>
  <c r="K173" i="4"/>
  <c r="J173" i="4"/>
  <c r="D173" i="4"/>
  <c r="C173" i="4"/>
  <c r="A173" i="4" s="1"/>
  <c r="R172" i="4"/>
  <c r="Q172" i="4"/>
  <c r="P172" i="4"/>
  <c r="K172" i="4"/>
  <c r="J172" i="4"/>
  <c r="D172" i="4"/>
  <c r="C172" i="4"/>
  <c r="A172" i="4" s="1"/>
  <c r="R171" i="4"/>
  <c r="Q171" i="4"/>
  <c r="P171" i="4"/>
  <c r="K171" i="4"/>
  <c r="J171" i="4"/>
  <c r="D171" i="4"/>
  <c r="C171" i="4"/>
  <c r="A171" i="4" s="1"/>
  <c r="R170" i="4"/>
  <c r="Q170" i="4"/>
  <c r="P170" i="4"/>
  <c r="K170" i="4"/>
  <c r="J170" i="4"/>
  <c r="D170" i="4"/>
  <c r="C170" i="4"/>
  <c r="A170" i="4" s="1"/>
  <c r="R169" i="4"/>
  <c r="Q169" i="4"/>
  <c r="P169" i="4"/>
  <c r="K169" i="4"/>
  <c r="J169" i="4"/>
  <c r="D169" i="4"/>
  <c r="C169" i="4"/>
  <c r="A169" i="4" s="1"/>
  <c r="R168" i="4"/>
  <c r="Q168" i="4"/>
  <c r="P168" i="4"/>
  <c r="K168" i="4"/>
  <c r="J168" i="4"/>
  <c r="D168" i="4"/>
  <c r="C168" i="4"/>
  <c r="A168" i="4" s="1"/>
  <c r="R167" i="4"/>
  <c r="Q167" i="4"/>
  <c r="P167" i="4"/>
  <c r="K167" i="4"/>
  <c r="J167" i="4"/>
  <c r="D167" i="4"/>
  <c r="C167" i="4"/>
  <c r="A167" i="4" s="1"/>
  <c r="R166" i="4"/>
  <c r="Q166" i="4"/>
  <c r="P166" i="4"/>
  <c r="K166" i="4"/>
  <c r="J166" i="4"/>
  <c r="D166" i="4"/>
  <c r="C166" i="4"/>
  <c r="A166" i="4" s="1"/>
  <c r="R165" i="4"/>
  <c r="Q165" i="4"/>
  <c r="P165" i="4"/>
  <c r="K165" i="4"/>
  <c r="J165" i="4"/>
  <c r="D165" i="4"/>
  <c r="C165" i="4"/>
  <c r="A165" i="4" s="1"/>
  <c r="R164" i="4"/>
  <c r="Q164" i="4"/>
  <c r="P164" i="4"/>
  <c r="K164" i="4"/>
  <c r="J164" i="4"/>
  <c r="D164" i="4"/>
  <c r="C164" i="4"/>
  <c r="A164" i="4" s="1"/>
  <c r="R163" i="4"/>
  <c r="Q163" i="4"/>
  <c r="P163" i="4"/>
  <c r="K163" i="4"/>
  <c r="J163" i="4"/>
  <c r="D163" i="4"/>
  <c r="C163" i="4"/>
  <c r="A163" i="4" s="1"/>
  <c r="R162" i="4"/>
  <c r="Q162" i="4"/>
  <c r="P162" i="4"/>
  <c r="K162" i="4"/>
  <c r="J162" i="4"/>
  <c r="D162" i="4"/>
  <c r="C162" i="4"/>
  <c r="A162" i="4" s="1"/>
  <c r="A162" i="1" s="1"/>
  <c r="R161" i="4"/>
  <c r="Q161" i="4"/>
  <c r="P161" i="4"/>
  <c r="K161" i="4"/>
  <c r="J161" i="4"/>
  <c r="D161" i="4"/>
  <c r="C161" i="4"/>
  <c r="A161" i="4" s="1"/>
  <c r="R160" i="4"/>
  <c r="Q160" i="4"/>
  <c r="P160" i="4"/>
  <c r="K160" i="4"/>
  <c r="J160" i="4"/>
  <c r="D160" i="4"/>
  <c r="C160" i="4"/>
  <c r="A160" i="4" s="1"/>
  <c r="R159" i="4"/>
  <c r="Q159" i="4"/>
  <c r="P159" i="4"/>
  <c r="K159" i="4"/>
  <c r="J159" i="4"/>
  <c r="D159" i="4"/>
  <c r="C159" i="4"/>
  <c r="A159" i="4" s="1"/>
  <c r="R158" i="4"/>
  <c r="Q158" i="4"/>
  <c r="P158" i="4"/>
  <c r="K158" i="4"/>
  <c r="J158" i="4"/>
  <c r="D158" i="4"/>
  <c r="C158" i="4"/>
  <c r="A158" i="4" s="1"/>
  <c r="R157" i="4"/>
  <c r="Q157" i="4"/>
  <c r="P157" i="4"/>
  <c r="K157" i="4"/>
  <c r="J157" i="4"/>
  <c r="D157" i="4"/>
  <c r="C157" i="4"/>
  <c r="A157" i="4" s="1"/>
  <c r="R156" i="4"/>
  <c r="Q156" i="4"/>
  <c r="P156" i="4"/>
  <c r="K156" i="4"/>
  <c r="J156" i="4"/>
  <c r="D156" i="4"/>
  <c r="C156" i="4"/>
  <c r="A156" i="4" s="1"/>
  <c r="R155" i="4"/>
  <c r="Q155" i="4"/>
  <c r="P155" i="4"/>
  <c r="K155" i="4"/>
  <c r="J155" i="4"/>
  <c r="D155" i="4"/>
  <c r="C155" i="4"/>
  <c r="A155" i="4" s="1"/>
  <c r="R154" i="4"/>
  <c r="Q154" i="4"/>
  <c r="P154" i="4"/>
  <c r="K154" i="4"/>
  <c r="J154" i="4"/>
  <c r="D154" i="4"/>
  <c r="C154" i="4"/>
  <c r="A154" i="4" s="1"/>
  <c r="A154" i="1" s="1"/>
  <c r="R153" i="4"/>
  <c r="Q153" i="4"/>
  <c r="P153" i="4"/>
  <c r="K153" i="4"/>
  <c r="J153" i="4"/>
  <c r="D153" i="4"/>
  <c r="C153" i="4"/>
  <c r="A153" i="4" s="1"/>
  <c r="R152" i="4"/>
  <c r="Q152" i="4"/>
  <c r="P152" i="4"/>
  <c r="K152" i="4"/>
  <c r="J152" i="4"/>
  <c r="D152" i="4"/>
  <c r="C152" i="4"/>
  <c r="A152" i="4" s="1"/>
  <c r="R151" i="4"/>
  <c r="Q151" i="4"/>
  <c r="P151" i="4"/>
  <c r="K151" i="4"/>
  <c r="J151" i="4"/>
  <c r="D151" i="4"/>
  <c r="C151" i="4"/>
  <c r="A151" i="4" s="1"/>
  <c r="R150" i="4"/>
  <c r="Q150" i="4"/>
  <c r="P150" i="4"/>
  <c r="K150" i="4"/>
  <c r="J150" i="4"/>
  <c r="D150" i="4"/>
  <c r="C150" i="4"/>
  <c r="A150" i="4" s="1"/>
  <c r="R149" i="4"/>
  <c r="Q149" i="4"/>
  <c r="P149" i="4"/>
  <c r="K149" i="4"/>
  <c r="J149" i="4"/>
  <c r="D149" i="4"/>
  <c r="C149" i="4"/>
  <c r="A149" i="4" s="1"/>
  <c r="R148" i="4"/>
  <c r="Q148" i="4"/>
  <c r="P148" i="4"/>
  <c r="K148" i="4"/>
  <c r="J148" i="4"/>
  <c r="D148" i="4"/>
  <c r="C148" i="4"/>
  <c r="A148" i="4" s="1"/>
  <c r="R147" i="4"/>
  <c r="Q147" i="4"/>
  <c r="P147" i="4"/>
  <c r="K147" i="4"/>
  <c r="J147" i="4"/>
  <c r="D147" i="4"/>
  <c r="C147" i="4"/>
  <c r="A147" i="4" s="1"/>
  <c r="R146" i="4"/>
  <c r="Q146" i="4"/>
  <c r="P146" i="4"/>
  <c r="K146" i="4"/>
  <c r="J146" i="4"/>
  <c r="D146" i="4"/>
  <c r="C146" i="4"/>
  <c r="A146" i="4" s="1"/>
  <c r="R145" i="4"/>
  <c r="Q145" i="4"/>
  <c r="P145" i="4"/>
  <c r="K145" i="4"/>
  <c r="J145" i="4"/>
  <c r="D145" i="4"/>
  <c r="C145" i="4"/>
  <c r="A145" i="4" s="1"/>
  <c r="R144" i="4"/>
  <c r="Q144" i="4"/>
  <c r="P144" i="4"/>
  <c r="K144" i="4"/>
  <c r="J144" i="4"/>
  <c r="D144" i="4"/>
  <c r="C144" i="4"/>
  <c r="A144" i="4" s="1"/>
  <c r="R143" i="4"/>
  <c r="Q143" i="4"/>
  <c r="P143" i="4"/>
  <c r="K143" i="4"/>
  <c r="J143" i="4"/>
  <c r="D143" i="4"/>
  <c r="C143" i="4"/>
  <c r="A143" i="4" s="1"/>
  <c r="R142" i="4"/>
  <c r="Q142" i="4"/>
  <c r="P142" i="4"/>
  <c r="K142" i="4"/>
  <c r="J142" i="4"/>
  <c r="D142" i="4"/>
  <c r="C142" i="4"/>
  <c r="A142" i="4" s="1"/>
  <c r="R141" i="4"/>
  <c r="Q141" i="4"/>
  <c r="P141" i="4"/>
  <c r="K141" i="4"/>
  <c r="J141" i="4"/>
  <c r="D141" i="4"/>
  <c r="C141" i="4"/>
  <c r="A141" i="4" s="1"/>
  <c r="R140" i="4"/>
  <c r="Q140" i="4"/>
  <c r="P140" i="4"/>
  <c r="K140" i="4"/>
  <c r="J140" i="4"/>
  <c r="D140" i="4"/>
  <c r="C140" i="4"/>
  <c r="A140" i="4" s="1"/>
  <c r="R139" i="4"/>
  <c r="Q139" i="4"/>
  <c r="P139" i="4"/>
  <c r="K139" i="4"/>
  <c r="J139" i="4"/>
  <c r="D139" i="4"/>
  <c r="C139" i="4"/>
  <c r="A139" i="4" s="1"/>
  <c r="R138" i="4"/>
  <c r="Q138" i="4"/>
  <c r="P138" i="4"/>
  <c r="K138" i="4"/>
  <c r="J138" i="4"/>
  <c r="D138" i="4"/>
  <c r="C138" i="4"/>
  <c r="A138" i="4" s="1"/>
  <c r="R137" i="4"/>
  <c r="Q137" i="4"/>
  <c r="P137" i="4"/>
  <c r="K137" i="4"/>
  <c r="J137" i="4"/>
  <c r="D137" i="4"/>
  <c r="C137" i="4"/>
  <c r="A137" i="4" s="1"/>
  <c r="R136" i="4"/>
  <c r="Q136" i="4"/>
  <c r="P136" i="4"/>
  <c r="K136" i="4"/>
  <c r="J136" i="4"/>
  <c r="D136" i="4"/>
  <c r="C136" i="4"/>
  <c r="A136" i="4" s="1"/>
  <c r="R135" i="4"/>
  <c r="Q135" i="4"/>
  <c r="P135" i="4"/>
  <c r="K135" i="4"/>
  <c r="J135" i="4"/>
  <c r="D135" i="4"/>
  <c r="C135" i="4"/>
  <c r="A135" i="4" s="1"/>
  <c r="R134" i="4"/>
  <c r="Q134" i="4"/>
  <c r="P134" i="4"/>
  <c r="K134" i="4"/>
  <c r="J134" i="4"/>
  <c r="D134" i="4"/>
  <c r="C134" i="4"/>
  <c r="A134" i="4" s="1"/>
  <c r="R133" i="4"/>
  <c r="Q133" i="4"/>
  <c r="P133" i="4"/>
  <c r="K133" i="4"/>
  <c r="J133" i="4"/>
  <c r="D133" i="4"/>
  <c r="C133" i="4"/>
  <c r="A133" i="4" s="1"/>
  <c r="R132" i="4"/>
  <c r="Q132" i="4"/>
  <c r="P132" i="4"/>
  <c r="K132" i="4"/>
  <c r="J132" i="4"/>
  <c r="D132" i="4"/>
  <c r="C132" i="4"/>
  <c r="A132" i="4" s="1"/>
  <c r="R131" i="4"/>
  <c r="Q131" i="4"/>
  <c r="P131" i="4"/>
  <c r="K131" i="4"/>
  <c r="J131" i="4"/>
  <c r="D131" i="4"/>
  <c r="C131" i="4"/>
  <c r="A131" i="4" s="1"/>
  <c r="R130" i="4"/>
  <c r="Q130" i="4"/>
  <c r="P130" i="4"/>
  <c r="K130" i="4"/>
  <c r="J130" i="4"/>
  <c r="D130" i="4"/>
  <c r="C130" i="4"/>
  <c r="A130" i="4" s="1"/>
  <c r="R129" i="4"/>
  <c r="Q129" i="4"/>
  <c r="P129" i="4"/>
  <c r="K129" i="4"/>
  <c r="J129" i="4"/>
  <c r="D129" i="4"/>
  <c r="C129" i="4"/>
  <c r="A129" i="4" s="1"/>
  <c r="R128" i="4"/>
  <c r="Q128" i="4"/>
  <c r="P128" i="4"/>
  <c r="K128" i="4"/>
  <c r="J128" i="4"/>
  <c r="D128" i="4"/>
  <c r="C128" i="4"/>
  <c r="A128" i="4" s="1"/>
  <c r="R127" i="4"/>
  <c r="Q127" i="4"/>
  <c r="P127" i="4"/>
  <c r="K127" i="4"/>
  <c r="J127" i="4"/>
  <c r="D127" i="4"/>
  <c r="C127" i="4"/>
  <c r="A127" i="4" s="1"/>
  <c r="R126" i="4"/>
  <c r="Q126" i="4"/>
  <c r="P126" i="4"/>
  <c r="K126" i="4"/>
  <c r="J126" i="4"/>
  <c r="D126" i="4"/>
  <c r="C126" i="4"/>
  <c r="A126" i="4" s="1"/>
  <c r="R125" i="4"/>
  <c r="Q125" i="4"/>
  <c r="P125" i="4"/>
  <c r="K125" i="4"/>
  <c r="J125" i="4"/>
  <c r="D125" i="4"/>
  <c r="C125" i="4"/>
  <c r="A125" i="4" s="1"/>
  <c r="R124" i="4"/>
  <c r="Q124" i="4"/>
  <c r="P124" i="4"/>
  <c r="K124" i="4"/>
  <c r="J124" i="4"/>
  <c r="D124" i="4"/>
  <c r="C124" i="4"/>
  <c r="A124" i="4" s="1"/>
  <c r="R123" i="4"/>
  <c r="Q123" i="4"/>
  <c r="P123" i="4"/>
  <c r="K123" i="4"/>
  <c r="J123" i="4"/>
  <c r="D123" i="4"/>
  <c r="C123" i="4"/>
  <c r="A123" i="4" s="1"/>
  <c r="R122" i="4"/>
  <c r="Q122" i="4"/>
  <c r="P122" i="4"/>
  <c r="K122" i="4"/>
  <c r="J122" i="4"/>
  <c r="D122" i="4"/>
  <c r="C122" i="4"/>
  <c r="A122" i="4" s="1"/>
  <c r="R121" i="4"/>
  <c r="Q121" i="4"/>
  <c r="P121" i="4"/>
  <c r="K121" i="4"/>
  <c r="J121" i="4"/>
  <c r="D121" i="4"/>
  <c r="C121" i="4"/>
  <c r="A121" i="4" s="1"/>
  <c r="R120" i="4"/>
  <c r="Q120" i="4"/>
  <c r="P120" i="4"/>
  <c r="K120" i="4"/>
  <c r="J120" i="4"/>
  <c r="D120" i="4"/>
  <c r="C120" i="4"/>
  <c r="A120" i="4" s="1"/>
  <c r="R119" i="4"/>
  <c r="Q119" i="4"/>
  <c r="P119" i="4"/>
  <c r="K119" i="4"/>
  <c r="J119" i="4"/>
  <c r="D119" i="4"/>
  <c r="C119" i="4"/>
  <c r="A119" i="4" s="1"/>
  <c r="R118" i="4"/>
  <c r="Q118" i="4"/>
  <c r="P118" i="4"/>
  <c r="K118" i="4"/>
  <c r="J118" i="4"/>
  <c r="D118" i="4"/>
  <c r="C118" i="4"/>
  <c r="A118" i="4" s="1"/>
  <c r="R117" i="4"/>
  <c r="Q117" i="4"/>
  <c r="P117" i="4"/>
  <c r="K117" i="4"/>
  <c r="J117" i="4"/>
  <c r="D117" i="4"/>
  <c r="C117" i="4"/>
  <c r="A117" i="4" s="1"/>
  <c r="A117" i="1" s="1"/>
  <c r="R116" i="4"/>
  <c r="Q116" i="4"/>
  <c r="P116" i="4"/>
  <c r="K116" i="4"/>
  <c r="J116" i="4"/>
  <c r="D116" i="4"/>
  <c r="C116" i="4"/>
  <c r="A116" i="4" s="1"/>
  <c r="R115" i="4"/>
  <c r="Q115" i="4"/>
  <c r="P115" i="4"/>
  <c r="K115" i="4"/>
  <c r="J115" i="4"/>
  <c r="D115" i="4"/>
  <c r="C115" i="4"/>
  <c r="A115" i="4" s="1"/>
  <c r="R114" i="4"/>
  <c r="Q114" i="4"/>
  <c r="P114" i="4"/>
  <c r="K114" i="4"/>
  <c r="J114" i="4"/>
  <c r="D114" i="4"/>
  <c r="C114" i="4"/>
  <c r="A114" i="4" s="1"/>
  <c r="R113" i="4"/>
  <c r="Q113" i="4"/>
  <c r="P113" i="4"/>
  <c r="K113" i="4"/>
  <c r="J113" i="4"/>
  <c r="D113" i="4"/>
  <c r="C113" i="4"/>
  <c r="A113" i="4" s="1"/>
  <c r="R112" i="4"/>
  <c r="Q112" i="4"/>
  <c r="P112" i="4"/>
  <c r="K112" i="4"/>
  <c r="J112" i="4"/>
  <c r="D112" i="4"/>
  <c r="C112" i="4"/>
  <c r="A112" i="4" s="1"/>
  <c r="R111" i="4"/>
  <c r="Q111" i="4"/>
  <c r="P111" i="4"/>
  <c r="K111" i="4"/>
  <c r="J111" i="4"/>
  <c r="D111" i="4"/>
  <c r="C111" i="4"/>
  <c r="A111" i="4" s="1"/>
  <c r="R110" i="4"/>
  <c r="Q110" i="4"/>
  <c r="P110" i="4"/>
  <c r="K110" i="4"/>
  <c r="J110" i="4"/>
  <c r="D110" i="4"/>
  <c r="C110" i="4"/>
  <c r="A110" i="4" s="1"/>
  <c r="R109" i="4"/>
  <c r="Q109" i="4"/>
  <c r="P109" i="4"/>
  <c r="K109" i="4"/>
  <c r="J109" i="4"/>
  <c r="D109" i="4"/>
  <c r="C109" i="4"/>
  <c r="A109" i="4" s="1"/>
  <c r="R108" i="4"/>
  <c r="Q108" i="4"/>
  <c r="P108" i="4"/>
  <c r="K108" i="4"/>
  <c r="J108" i="4"/>
  <c r="D108" i="4"/>
  <c r="C108" i="4"/>
  <c r="A108" i="4" s="1"/>
  <c r="R107" i="4"/>
  <c r="Q107" i="4"/>
  <c r="P107" i="4"/>
  <c r="K107" i="4"/>
  <c r="J107" i="4"/>
  <c r="D107" i="4"/>
  <c r="C107" i="4"/>
  <c r="A107" i="4" s="1"/>
  <c r="R106" i="4"/>
  <c r="Q106" i="4"/>
  <c r="P106" i="4"/>
  <c r="K106" i="4"/>
  <c r="J106" i="4"/>
  <c r="D106" i="4"/>
  <c r="C106" i="4"/>
  <c r="A106" i="4" s="1"/>
  <c r="R105" i="4"/>
  <c r="Q105" i="4"/>
  <c r="P105" i="4"/>
  <c r="K105" i="4"/>
  <c r="J105" i="4"/>
  <c r="D105" i="4"/>
  <c r="C105" i="4"/>
  <c r="A105" i="4" s="1"/>
  <c r="R104" i="4"/>
  <c r="Q104" i="4"/>
  <c r="P104" i="4"/>
  <c r="K104" i="4"/>
  <c r="J104" i="4"/>
  <c r="D104" i="4"/>
  <c r="C104" i="4"/>
  <c r="A104" i="4" s="1"/>
  <c r="R103" i="4"/>
  <c r="Q103" i="4"/>
  <c r="P103" i="4"/>
  <c r="K103" i="4"/>
  <c r="J103" i="4"/>
  <c r="D103" i="4"/>
  <c r="C103" i="4"/>
  <c r="A103" i="4" s="1"/>
  <c r="R102" i="4"/>
  <c r="Q102" i="4"/>
  <c r="P102" i="4"/>
  <c r="K102" i="4"/>
  <c r="J102" i="4"/>
  <c r="D102" i="4"/>
  <c r="C102" i="4"/>
  <c r="A102" i="4" s="1"/>
  <c r="R101" i="4"/>
  <c r="Q101" i="4"/>
  <c r="P101" i="4"/>
  <c r="K101" i="4"/>
  <c r="J101" i="4"/>
  <c r="D101" i="4"/>
  <c r="C101" i="4"/>
  <c r="A101" i="4" s="1"/>
  <c r="A101" i="1" s="1"/>
  <c r="R100" i="4"/>
  <c r="Q100" i="4"/>
  <c r="P100" i="4"/>
  <c r="K100" i="4"/>
  <c r="J100" i="4"/>
  <c r="D100" i="4"/>
  <c r="C100" i="4"/>
  <c r="A100" i="4" s="1"/>
  <c r="R99" i="4"/>
  <c r="Q99" i="4"/>
  <c r="P99" i="4"/>
  <c r="K99" i="4"/>
  <c r="J99" i="4"/>
  <c r="D99" i="4"/>
  <c r="C99" i="4"/>
  <c r="A99" i="4" s="1"/>
  <c r="R98" i="4"/>
  <c r="Q98" i="4"/>
  <c r="P98" i="4"/>
  <c r="K98" i="4"/>
  <c r="J98" i="4"/>
  <c r="D98" i="4"/>
  <c r="C98" i="4"/>
  <c r="A98" i="4" s="1"/>
  <c r="R97" i="4"/>
  <c r="Q97" i="4"/>
  <c r="P97" i="4"/>
  <c r="K97" i="4"/>
  <c r="J97" i="4"/>
  <c r="D97" i="4"/>
  <c r="C97" i="4"/>
  <c r="A97" i="4" s="1"/>
  <c r="R96" i="4"/>
  <c r="Q96" i="4"/>
  <c r="P96" i="4"/>
  <c r="K96" i="4"/>
  <c r="J96" i="4"/>
  <c r="D96" i="4"/>
  <c r="C96" i="4"/>
  <c r="A96" i="4" s="1"/>
  <c r="R95" i="4"/>
  <c r="Q95" i="4"/>
  <c r="P95" i="4"/>
  <c r="K95" i="4"/>
  <c r="J95" i="4"/>
  <c r="D95" i="4"/>
  <c r="C95" i="4"/>
  <c r="A95" i="4" s="1"/>
  <c r="R94" i="4"/>
  <c r="Q94" i="4"/>
  <c r="P94" i="4"/>
  <c r="K94" i="4"/>
  <c r="J94" i="4"/>
  <c r="D94" i="4"/>
  <c r="C94" i="4"/>
  <c r="A94" i="4" s="1"/>
  <c r="R93" i="4"/>
  <c r="Q93" i="4"/>
  <c r="P93" i="4"/>
  <c r="K93" i="4"/>
  <c r="J93" i="4"/>
  <c r="D93" i="4"/>
  <c r="C93" i="4"/>
  <c r="A93" i="4" s="1"/>
  <c r="R92" i="4"/>
  <c r="Q92" i="4"/>
  <c r="P92" i="4"/>
  <c r="K92" i="4"/>
  <c r="J92" i="4"/>
  <c r="D92" i="4"/>
  <c r="C92" i="4"/>
  <c r="A92" i="4" s="1"/>
  <c r="R91" i="4"/>
  <c r="Q91" i="4"/>
  <c r="P91" i="4"/>
  <c r="K91" i="4"/>
  <c r="J91" i="4"/>
  <c r="D91" i="4"/>
  <c r="C91" i="4"/>
  <c r="A91" i="4" s="1"/>
  <c r="R90" i="4"/>
  <c r="Q90" i="4"/>
  <c r="P90" i="4"/>
  <c r="K90" i="4"/>
  <c r="J90" i="4"/>
  <c r="D90" i="4"/>
  <c r="C90" i="4"/>
  <c r="A90" i="4" s="1"/>
  <c r="R89" i="4"/>
  <c r="Q89" i="4"/>
  <c r="P89" i="4"/>
  <c r="K89" i="4"/>
  <c r="J89" i="4"/>
  <c r="D89" i="4"/>
  <c r="C89" i="4"/>
  <c r="A89" i="4" s="1"/>
  <c r="R88" i="4"/>
  <c r="Q88" i="4"/>
  <c r="P88" i="4"/>
  <c r="K88" i="4"/>
  <c r="J88" i="4"/>
  <c r="D88" i="4"/>
  <c r="C88" i="4"/>
  <c r="A88" i="4" s="1"/>
  <c r="R87" i="4"/>
  <c r="Q87" i="4"/>
  <c r="P87" i="4"/>
  <c r="K87" i="4"/>
  <c r="J87" i="4"/>
  <c r="D87" i="4"/>
  <c r="C87" i="4"/>
  <c r="A87" i="4" s="1"/>
  <c r="R86" i="4"/>
  <c r="Q86" i="4"/>
  <c r="P86" i="4"/>
  <c r="K86" i="4"/>
  <c r="J86" i="4"/>
  <c r="D86" i="4"/>
  <c r="C86" i="4"/>
  <c r="A86" i="4" s="1"/>
  <c r="R85" i="4"/>
  <c r="Q85" i="4"/>
  <c r="P85" i="4"/>
  <c r="K85" i="4"/>
  <c r="J85" i="4"/>
  <c r="D85" i="4"/>
  <c r="C85" i="4"/>
  <c r="A85" i="4" s="1"/>
  <c r="R84" i="4"/>
  <c r="Q84" i="4"/>
  <c r="P84" i="4"/>
  <c r="K84" i="4"/>
  <c r="J84" i="4"/>
  <c r="D84" i="4"/>
  <c r="C84" i="4"/>
  <c r="A84" i="4" s="1"/>
  <c r="R83" i="4"/>
  <c r="Q83" i="4"/>
  <c r="P83" i="4"/>
  <c r="K83" i="4"/>
  <c r="J83" i="4"/>
  <c r="D83" i="4"/>
  <c r="C83" i="4"/>
  <c r="A83" i="4" s="1"/>
  <c r="R82" i="4"/>
  <c r="Q82" i="4"/>
  <c r="P82" i="4"/>
  <c r="K82" i="4"/>
  <c r="J82" i="4"/>
  <c r="D82" i="4"/>
  <c r="C82" i="4"/>
  <c r="A82" i="4" s="1"/>
  <c r="R81" i="4"/>
  <c r="Q81" i="4"/>
  <c r="P81" i="4"/>
  <c r="K81" i="4"/>
  <c r="J81" i="4"/>
  <c r="D81" i="4"/>
  <c r="C81" i="4"/>
  <c r="A81" i="4" s="1"/>
  <c r="R80" i="4"/>
  <c r="Q80" i="4"/>
  <c r="P80" i="4"/>
  <c r="K80" i="4"/>
  <c r="J80" i="4"/>
  <c r="D80" i="4"/>
  <c r="C80" i="4"/>
  <c r="A80" i="4" s="1"/>
  <c r="R79" i="4"/>
  <c r="Q79" i="4"/>
  <c r="P79" i="4"/>
  <c r="K79" i="4"/>
  <c r="J79" i="4"/>
  <c r="D79" i="4"/>
  <c r="C79" i="4"/>
  <c r="A79" i="4" s="1"/>
  <c r="R78" i="4"/>
  <c r="Q78" i="4"/>
  <c r="P78" i="4"/>
  <c r="K78" i="4"/>
  <c r="J78" i="4"/>
  <c r="D78" i="4"/>
  <c r="C78" i="4"/>
  <c r="A78" i="4" s="1"/>
  <c r="R77" i="4"/>
  <c r="Q77" i="4"/>
  <c r="P77" i="4"/>
  <c r="K77" i="4"/>
  <c r="J77" i="4"/>
  <c r="D77" i="4"/>
  <c r="C77" i="4"/>
  <c r="A77" i="4" s="1"/>
  <c r="R76" i="4"/>
  <c r="Q76" i="4"/>
  <c r="P76" i="4"/>
  <c r="K76" i="4"/>
  <c r="J76" i="4"/>
  <c r="D76" i="4"/>
  <c r="C76" i="4"/>
  <c r="A76" i="4" s="1"/>
  <c r="R75" i="4"/>
  <c r="Q75" i="4"/>
  <c r="P75" i="4"/>
  <c r="K75" i="4"/>
  <c r="J75" i="4"/>
  <c r="D75" i="4"/>
  <c r="C75" i="4"/>
  <c r="A75" i="4" s="1"/>
  <c r="R74" i="4"/>
  <c r="Q74" i="4"/>
  <c r="P74" i="4"/>
  <c r="K74" i="4"/>
  <c r="J74" i="4"/>
  <c r="D74" i="4"/>
  <c r="C74" i="4"/>
  <c r="A74" i="4" s="1"/>
  <c r="R73" i="4"/>
  <c r="Q73" i="4"/>
  <c r="P73" i="4"/>
  <c r="K73" i="4"/>
  <c r="J73" i="4"/>
  <c r="D73" i="4"/>
  <c r="C73" i="4"/>
  <c r="A73" i="4" s="1"/>
  <c r="R72" i="4"/>
  <c r="Q72" i="4"/>
  <c r="P72" i="4"/>
  <c r="K72" i="4"/>
  <c r="J72" i="4"/>
  <c r="D72" i="4"/>
  <c r="C72" i="4"/>
  <c r="A72" i="4" s="1"/>
  <c r="R71" i="4"/>
  <c r="Q71" i="4"/>
  <c r="P71" i="4"/>
  <c r="K71" i="4"/>
  <c r="J71" i="4"/>
  <c r="D71" i="4"/>
  <c r="C71" i="4"/>
  <c r="A71" i="4" s="1"/>
  <c r="R70" i="4"/>
  <c r="Q70" i="4"/>
  <c r="P70" i="4"/>
  <c r="K70" i="4"/>
  <c r="J70" i="4"/>
  <c r="D70" i="4"/>
  <c r="C70" i="4"/>
  <c r="A70" i="4" s="1"/>
  <c r="R69" i="4"/>
  <c r="Q69" i="4"/>
  <c r="P69" i="4"/>
  <c r="K69" i="4"/>
  <c r="J69" i="4"/>
  <c r="D69" i="4"/>
  <c r="C69" i="4"/>
  <c r="A69" i="4" s="1"/>
  <c r="R68" i="4"/>
  <c r="Q68" i="4"/>
  <c r="P68" i="4"/>
  <c r="K68" i="4"/>
  <c r="J68" i="4"/>
  <c r="D68" i="4"/>
  <c r="C68" i="4"/>
  <c r="A68" i="4" s="1"/>
  <c r="R67" i="4"/>
  <c r="Q67" i="4"/>
  <c r="P67" i="4"/>
  <c r="K67" i="4"/>
  <c r="J67" i="4"/>
  <c r="D67" i="4"/>
  <c r="C67" i="4"/>
  <c r="A67" i="4" s="1"/>
  <c r="R66" i="4"/>
  <c r="Q66" i="4"/>
  <c r="P66" i="4"/>
  <c r="K66" i="4"/>
  <c r="J66" i="4"/>
  <c r="D66" i="4"/>
  <c r="C66" i="4"/>
  <c r="A66" i="4" s="1"/>
  <c r="R65" i="4"/>
  <c r="Q65" i="4"/>
  <c r="P65" i="4"/>
  <c r="K65" i="4"/>
  <c r="J65" i="4"/>
  <c r="D65" i="4"/>
  <c r="C65" i="4"/>
  <c r="A65" i="4" s="1"/>
  <c r="R64" i="4"/>
  <c r="Q64" i="4"/>
  <c r="P64" i="4"/>
  <c r="K64" i="4"/>
  <c r="J64" i="4"/>
  <c r="D64" i="4"/>
  <c r="C64" i="4"/>
  <c r="A64" i="4" s="1"/>
  <c r="R63" i="4"/>
  <c r="Q63" i="4"/>
  <c r="P63" i="4"/>
  <c r="K63" i="4"/>
  <c r="J63" i="4"/>
  <c r="D63" i="4"/>
  <c r="C63" i="4"/>
  <c r="A63" i="4" s="1"/>
  <c r="R62" i="4"/>
  <c r="Q62" i="4"/>
  <c r="P62" i="4"/>
  <c r="K62" i="4"/>
  <c r="J62" i="4"/>
  <c r="D62" i="4"/>
  <c r="C62" i="4"/>
  <c r="A62" i="4" s="1"/>
  <c r="R61" i="4"/>
  <c r="Q61" i="4"/>
  <c r="P61" i="4"/>
  <c r="K61" i="4"/>
  <c r="J61" i="4"/>
  <c r="D61" i="4"/>
  <c r="C61" i="4"/>
  <c r="A61" i="4" s="1"/>
  <c r="R60" i="4"/>
  <c r="Q60" i="4"/>
  <c r="P60" i="4"/>
  <c r="K60" i="4"/>
  <c r="J60" i="4"/>
  <c r="D60" i="4"/>
  <c r="C60" i="4"/>
  <c r="A60" i="4" s="1"/>
  <c r="R59" i="4"/>
  <c r="Q59" i="4"/>
  <c r="P59" i="4"/>
  <c r="K59" i="4"/>
  <c r="J59" i="4"/>
  <c r="D59" i="4"/>
  <c r="C59" i="4"/>
  <c r="A59" i="4" s="1"/>
  <c r="R58" i="4"/>
  <c r="Q58" i="4"/>
  <c r="P58" i="4"/>
  <c r="K58" i="4"/>
  <c r="J58" i="4"/>
  <c r="D58" i="4"/>
  <c r="C58" i="4"/>
  <c r="A58" i="4" s="1"/>
  <c r="R57" i="4"/>
  <c r="Q57" i="4"/>
  <c r="P57" i="4"/>
  <c r="K57" i="4"/>
  <c r="J57" i="4"/>
  <c r="D57" i="4"/>
  <c r="C57" i="4"/>
  <c r="A57" i="4" s="1"/>
  <c r="R56" i="4"/>
  <c r="Q56" i="4"/>
  <c r="P56" i="4"/>
  <c r="K56" i="4"/>
  <c r="J56" i="4"/>
  <c r="D56" i="4"/>
  <c r="C56" i="4"/>
  <c r="A56" i="4" s="1"/>
  <c r="R55" i="4"/>
  <c r="Q55" i="4"/>
  <c r="P55" i="4"/>
  <c r="K55" i="4"/>
  <c r="J55" i="4"/>
  <c r="D55" i="4"/>
  <c r="C55" i="4"/>
  <c r="A55" i="4" s="1"/>
  <c r="R54" i="4"/>
  <c r="Q54" i="4"/>
  <c r="P54" i="4"/>
  <c r="K54" i="4"/>
  <c r="J54" i="4"/>
  <c r="D54" i="4"/>
  <c r="C54" i="4"/>
  <c r="A54" i="4" s="1"/>
  <c r="R53" i="4"/>
  <c r="Q53" i="4"/>
  <c r="P53" i="4"/>
  <c r="K53" i="4"/>
  <c r="J53" i="4"/>
  <c r="D53" i="4"/>
  <c r="C53" i="4"/>
  <c r="A53" i="4" s="1"/>
  <c r="R52" i="4"/>
  <c r="Q52" i="4"/>
  <c r="P52" i="4"/>
  <c r="K52" i="4"/>
  <c r="J52" i="4"/>
  <c r="D52" i="4"/>
  <c r="C52" i="4"/>
  <c r="A52" i="4" s="1"/>
  <c r="R51" i="4"/>
  <c r="Q51" i="4"/>
  <c r="P51" i="4"/>
  <c r="K51" i="4"/>
  <c r="J51" i="4"/>
  <c r="D51" i="4"/>
  <c r="C51" i="4"/>
  <c r="A51" i="4" s="1"/>
  <c r="R50" i="4"/>
  <c r="Q50" i="4"/>
  <c r="P50" i="4"/>
  <c r="K50" i="4"/>
  <c r="J50" i="4"/>
  <c r="D50" i="4"/>
  <c r="C50" i="4"/>
  <c r="A50" i="4" s="1"/>
  <c r="R49" i="4"/>
  <c r="Q49" i="4"/>
  <c r="P49" i="4"/>
  <c r="K49" i="4"/>
  <c r="J49" i="4"/>
  <c r="D49" i="4"/>
  <c r="C49" i="4"/>
  <c r="A49" i="4" s="1"/>
  <c r="R48" i="4"/>
  <c r="Q48" i="4"/>
  <c r="P48" i="4"/>
  <c r="K48" i="4"/>
  <c r="J48" i="4"/>
  <c r="D48" i="4"/>
  <c r="C48" i="4"/>
  <c r="A48" i="4" s="1"/>
  <c r="R47" i="4"/>
  <c r="Q47" i="4"/>
  <c r="P47" i="4"/>
  <c r="K47" i="4"/>
  <c r="J47" i="4"/>
  <c r="D47" i="4"/>
  <c r="C47" i="4"/>
  <c r="A47" i="4" s="1"/>
  <c r="R46" i="4"/>
  <c r="Q46" i="4"/>
  <c r="P46" i="4"/>
  <c r="K46" i="4"/>
  <c r="J46" i="4"/>
  <c r="D46" i="4"/>
  <c r="C46" i="4"/>
  <c r="A46" i="4" s="1"/>
  <c r="R45" i="4"/>
  <c r="Q45" i="4"/>
  <c r="P45" i="4"/>
  <c r="K45" i="4"/>
  <c r="J45" i="4"/>
  <c r="D45" i="4"/>
  <c r="C45" i="4"/>
  <c r="A45" i="4" s="1"/>
  <c r="R44" i="4"/>
  <c r="Q44" i="4"/>
  <c r="P44" i="4"/>
  <c r="K44" i="4"/>
  <c r="J44" i="4"/>
  <c r="D44" i="4"/>
  <c r="C44" i="4"/>
  <c r="A44" i="4" s="1"/>
  <c r="R43" i="4"/>
  <c r="Q43" i="4"/>
  <c r="P43" i="4"/>
  <c r="K43" i="4"/>
  <c r="J43" i="4"/>
  <c r="D43" i="4"/>
  <c r="C43" i="4"/>
  <c r="A43" i="4" s="1"/>
  <c r="R42" i="4"/>
  <c r="Q42" i="4"/>
  <c r="P42" i="4"/>
  <c r="K42" i="4"/>
  <c r="J42" i="4"/>
  <c r="D42" i="4"/>
  <c r="C42" i="4"/>
  <c r="A42" i="4" s="1"/>
  <c r="R41" i="4"/>
  <c r="Q41" i="4"/>
  <c r="P41" i="4"/>
  <c r="K41" i="4"/>
  <c r="J41" i="4"/>
  <c r="D41" i="4"/>
  <c r="C41" i="4"/>
  <c r="A41" i="4" s="1"/>
  <c r="R40" i="4"/>
  <c r="Q40" i="4"/>
  <c r="P40" i="4"/>
  <c r="K40" i="4"/>
  <c r="J40" i="4"/>
  <c r="D40" i="4"/>
  <c r="C40" i="4"/>
  <c r="A40" i="4" s="1"/>
  <c r="R39" i="4"/>
  <c r="Q39" i="4"/>
  <c r="P39" i="4"/>
  <c r="K39" i="4"/>
  <c r="J39" i="4"/>
  <c r="D39" i="4"/>
  <c r="C39" i="4"/>
  <c r="A39" i="4" s="1"/>
  <c r="R38" i="4"/>
  <c r="Q38" i="4"/>
  <c r="P38" i="4"/>
  <c r="K38" i="4"/>
  <c r="J38" i="4"/>
  <c r="D38" i="4"/>
  <c r="C38" i="4"/>
  <c r="A38" i="4" s="1"/>
  <c r="R37" i="4"/>
  <c r="Q37" i="4"/>
  <c r="P37" i="4"/>
  <c r="K37" i="4"/>
  <c r="J37" i="4"/>
  <c r="D37" i="4"/>
  <c r="C37" i="4"/>
  <c r="A37" i="4" s="1"/>
  <c r="R36" i="4"/>
  <c r="Q36" i="4"/>
  <c r="P36" i="4"/>
  <c r="K36" i="4"/>
  <c r="J36" i="4"/>
  <c r="D36" i="4"/>
  <c r="C36" i="4"/>
  <c r="A36" i="4" s="1"/>
  <c r="R35" i="4"/>
  <c r="Q35" i="4"/>
  <c r="P35" i="4"/>
  <c r="K35" i="4"/>
  <c r="J35" i="4"/>
  <c r="D35" i="4"/>
  <c r="C35" i="4"/>
  <c r="A35" i="4" s="1"/>
  <c r="R34" i="4"/>
  <c r="Q34" i="4"/>
  <c r="P34" i="4"/>
  <c r="K34" i="4"/>
  <c r="J34" i="4"/>
  <c r="D34" i="4"/>
  <c r="C34" i="4"/>
  <c r="A34" i="4" s="1"/>
  <c r="R33" i="4"/>
  <c r="Q33" i="4"/>
  <c r="P33" i="4"/>
  <c r="K33" i="4"/>
  <c r="J33" i="4"/>
  <c r="D33" i="4"/>
  <c r="C33" i="4"/>
  <c r="A33" i="4" s="1"/>
  <c r="R32" i="4"/>
  <c r="Q32" i="4"/>
  <c r="P32" i="4"/>
  <c r="K32" i="4"/>
  <c r="J32" i="4"/>
  <c r="D32" i="4"/>
  <c r="C32" i="4"/>
  <c r="A32" i="4" s="1"/>
  <c r="R31" i="4"/>
  <c r="Q31" i="4"/>
  <c r="P31" i="4"/>
  <c r="K31" i="4"/>
  <c r="J31" i="4"/>
  <c r="D31" i="4"/>
  <c r="C31" i="4"/>
  <c r="A31" i="4" s="1"/>
  <c r="R30" i="4"/>
  <c r="Q30" i="4"/>
  <c r="P30" i="4"/>
  <c r="K30" i="4"/>
  <c r="J30" i="4"/>
  <c r="D30" i="4"/>
  <c r="C30" i="4"/>
  <c r="A30" i="4" s="1"/>
  <c r="R29" i="4"/>
  <c r="Q29" i="4"/>
  <c r="P29" i="4"/>
  <c r="K29" i="4"/>
  <c r="J29" i="4"/>
  <c r="D29" i="4"/>
  <c r="C29" i="4"/>
  <c r="A29" i="4" s="1"/>
  <c r="R28" i="4"/>
  <c r="Q28" i="4"/>
  <c r="P28" i="4"/>
  <c r="K28" i="4"/>
  <c r="J28" i="4"/>
  <c r="D28" i="4"/>
  <c r="C28" i="4"/>
  <c r="A28" i="4" s="1"/>
  <c r="R27" i="4"/>
  <c r="Q27" i="4"/>
  <c r="P27" i="4"/>
  <c r="K27" i="4"/>
  <c r="J27" i="4"/>
  <c r="D27" i="4"/>
  <c r="C27" i="4"/>
  <c r="A27" i="4" s="1"/>
  <c r="R26" i="4"/>
  <c r="Q26" i="4"/>
  <c r="P26" i="4"/>
  <c r="K26" i="4"/>
  <c r="J26" i="4"/>
  <c r="D26" i="4"/>
  <c r="C26" i="4"/>
  <c r="A26" i="4" s="1"/>
  <c r="R25" i="4"/>
  <c r="Q25" i="4"/>
  <c r="P25" i="4"/>
  <c r="K25" i="4"/>
  <c r="J25" i="4"/>
  <c r="D25" i="4"/>
  <c r="C25" i="4"/>
  <c r="A25" i="4" s="1"/>
  <c r="R24" i="4"/>
  <c r="Q24" i="4"/>
  <c r="P24" i="4"/>
  <c r="K24" i="4"/>
  <c r="J24" i="4"/>
  <c r="D24" i="4"/>
  <c r="C24" i="4"/>
  <c r="A24" i="4" s="1"/>
  <c r="R23" i="4"/>
  <c r="Q23" i="4"/>
  <c r="P23" i="4"/>
  <c r="K23" i="4"/>
  <c r="J23" i="4"/>
  <c r="D23" i="4"/>
  <c r="C23" i="4"/>
  <c r="A23" i="4" s="1"/>
  <c r="R22" i="4"/>
  <c r="Q22" i="4"/>
  <c r="P22" i="4"/>
  <c r="K22" i="4"/>
  <c r="J22" i="4"/>
  <c r="D22" i="4"/>
  <c r="C22" i="4"/>
  <c r="A22" i="4" s="1"/>
  <c r="R21" i="4"/>
  <c r="Q21" i="4"/>
  <c r="P21" i="4"/>
  <c r="K21" i="4"/>
  <c r="J21" i="4"/>
  <c r="D21" i="4"/>
  <c r="C21" i="4"/>
  <c r="A21" i="4" s="1"/>
  <c r="R20" i="4"/>
  <c r="Q20" i="4"/>
  <c r="P20" i="4"/>
  <c r="K20" i="4"/>
  <c r="J20" i="4"/>
  <c r="D20" i="4"/>
  <c r="C20" i="4"/>
  <c r="A20" i="4" s="1"/>
  <c r="R19" i="4"/>
  <c r="Q19" i="4"/>
  <c r="P19" i="4"/>
  <c r="K19" i="4"/>
  <c r="J19" i="4"/>
  <c r="D19" i="4"/>
  <c r="C19" i="4"/>
  <c r="A19" i="4" s="1"/>
  <c r="R18" i="4"/>
  <c r="Q18" i="4"/>
  <c r="P18" i="4"/>
  <c r="K18" i="4"/>
  <c r="J18" i="4"/>
  <c r="D18" i="4"/>
  <c r="C18" i="4"/>
  <c r="A18" i="4" s="1"/>
  <c r="R17" i="4"/>
  <c r="Q17" i="4"/>
  <c r="P17" i="4"/>
  <c r="K17" i="4"/>
  <c r="J17" i="4"/>
  <c r="D17" i="4"/>
  <c r="C17" i="4"/>
  <c r="A17" i="4" s="1"/>
  <c r="R16" i="4"/>
  <c r="Q16" i="4"/>
  <c r="P16" i="4"/>
  <c r="K16" i="4"/>
  <c r="J16" i="4"/>
  <c r="D16" i="4"/>
  <c r="C16" i="4"/>
  <c r="A16" i="4" s="1"/>
  <c r="R15" i="4"/>
  <c r="Q15" i="4"/>
  <c r="P15" i="4"/>
  <c r="K15" i="4"/>
  <c r="J15" i="4"/>
  <c r="D15" i="4"/>
  <c r="C15" i="4"/>
  <c r="A15" i="4" s="1"/>
  <c r="R14" i="4"/>
  <c r="Q14" i="4"/>
  <c r="P14" i="4"/>
  <c r="K14" i="4"/>
  <c r="J14" i="4"/>
  <c r="D14" i="4"/>
  <c r="C14" i="4"/>
  <c r="A14" i="4" s="1"/>
  <c r="R13" i="4"/>
  <c r="Q13" i="4"/>
  <c r="P13" i="4"/>
  <c r="K13" i="4"/>
  <c r="J13" i="4"/>
  <c r="D13" i="4"/>
  <c r="C13" i="4"/>
  <c r="A13" i="4" s="1"/>
  <c r="R12" i="4"/>
  <c r="Q12" i="4"/>
  <c r="P12" i="4"/>
  <c r="K12" i="4"/>
  <c r="J12" i="4"/>
  <c r="D12" i="4"/>
  <c r="C12" i="4"/>
  <c r="A12" i="4" s="1"/>
  <c r="R11" i="4"/>
  <c r="Q11" i="4"/>
  <c r="P11" i="4"/>
  <c r="K11" i="4"/>
  <c r="J11" i="4"/>
  <c r="D11" i="4"/>
  <c r="C11" i="4"/>
  <c r="A11" i="4" s="1"/>
  <c r="R10" i="4"/>
  <c r="Q10" i="4"/>
  <c r="P10" i="4"/>
  <c r="K10" i="4"/>
  <c r="J10" i="4"/>
  <c r="D10" i="4"/>
  <c r="C10" i="4"/>
  <c r="R9" i="4"/>
  <c r="Q9" i="4"/>
  <c r="P9" i="4"/>
  <c r="K9" i="4"/>
  <c r="J9" i="4"/>
  <c r="D9" i="4"/>
  <c r="C9" i="4"/>
  <c r="R8" i="4"/>
  <c r="Q8" i="4"/>
  <c r="P8" i="4"/>
  <c r="K8" i="4"/>
  <c r="J8" i="4"/>
  <c r="D8" i="4"/>
  <c r="C8" i="4"/>
  <c r="R7" i="4"/>
  <c r="Q7" i="4"/>
  <c r="P7" i="4"/>
  <c r="K7" i="4"/>
  <c r="J7" i="4"/>
  <c r="D7" i="4"/>
  <c r="C7" i="4"/>
  <c r="R6" i="4"/>
  <c r="Q6" i="4"/>
  <c r="P6" i="4"/>
  <c r="K6" i="4"/>
  <c r="J6" i="4"/>
  <c r="D6" i="4"/>
  <c r="C6" i="4"/>
  <c r="A1838" i="2"/>
  <c r="A1835" i="2"/>
  <c r="A1829" i="2"/>
  <c r="A1825" i="2"/>
  <c r="A1815" i="2"/>
  <c r="A1813" i="2"/>
  <c r="A1809" i="2"/>
  <c r="A1807" i="2"/>
  <c r="A1797" i="2"/>
  <c r="A1795" i="2"/>
  <c r="A1793" i="2"/>
  <c r="A1791" i="2"/>
  <c r="A1783" i="2"/>
  <c r="A1781" i="2"/>
  <c r="A1779" i="2"/>
  <c r="A1775" i="2"/>
  <c r="A1771" i="2"/>
  <c r="A1767" i="2"/>
  <c r="A1765" i="2"/>
  <c r="A1763" i="2"/>
  <c r="A1759" i="2"/>
  <c r="A1755" i="2"/>
  <c r="A1751" i="2"/>
  <c r="A1747" i="2"/>
  <c r="A1746" i="2"/>
  <c r="A1744" i="2"/>
  <c r="A1743" i="2"/>
  <c r="A1741" i="2"/>
  <c r="A1740" i="2"/>
  <c r="A1737" i="2"/>
  <c r="A1736" i="2"/>
  <c r="A1734" i="2"/>
  <c r="A1733" i="2"/>
  <c r="A1731" i="2"/>
  <c r="A1730" i="2"/>
  <c r="A1728" i="2"/>
  <c r="A1727" i="2"/>
  <c r="A1724" i="2"/>
  <c r="A1721" i="2"/>
  <c r="A1720" i="2"/>
  <c r="A1719" i="2"/>
  <c r="A1717" i="2"/>
  <c r="A1714" i="2"/>
  <c r="A1712" i="2"/>
  <c r="A1711" i="2"/>
  <c r="A1708" i="2"/>
  <c r="A1705" i="2"/>
  <c r="A1704" i="2"/>
  <c r="A1703" i="2"/>
  <c r="A1702" i="2"/>
  <c r="A1699" i="2"/>
  <c r="A1698" i="2"/>
  <c r="A1695" i="2"/>
  <c r="A1655" i="2"/>
  <c r="A1654" i="2"/>
  <c r="A1651" i="2"/>
  <c r="A1650" i="2"/>
  <c r="A1647" i="2"/>
  <c r="A1646" i="2"/>
  <c r="A1643" i="2"/>
  <c r="A1642" i="2"/>
  <c r="A1639" i="2"/>
  <c r="A1638" i="2"/>
  <c r="A1635" i="2"/>
  <c r="A1634" i="2"/>
  <c r="A1631" i="2"/>
  <c r="A1630" i="2"/>
  <c r="A1627" i="2"/>
  <c r="A1626" i="2"/>
  <c r="A1623" i="2"/>
  <c r="A1622" i="2"/>
  <c r="A1620" i="2"/>
  <c r="A1619" i="2"/>
  <c r="A1616" i="2"/>
  <c r="A1615" i="2"/>
  <c r="A1612" i="2"/>
  <c r="A1611" i="2"/>
  <c r="A1608" i="2"/>
  <c r="A1607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7" i="2"/>
  <c r="A1576" i="2"/>
  <c r="A1575" i="2"/>
  <c r="A1573" i="2"/>
  <c r="A1571" i="2"/>
  <c r="A1569" i="2"/>
  <c r="A1568" i="2"/>
  <c r="A1567" i="2"/>
  <c r="A1565" i="2"/>
  <c r="A1560" i="2"/>
  <c r="A1559" i="2"/>
  <c r="A1552" i="2"/>
  <c r="A1551" i="2"/>
  <c r="A1544" i="2"/>
  <c r="A1543" i="2"/>
  <c r="A1536" i="2"/>
  <c r="A1535" i="2"/>
  <c r="A1528" i="2"/>
  <c r="A1527" i="2"/>
  <c r="A1520" i="2"/>
  <c r="A1519" i="2"/>
  <c r="A1512" i="2"/>
  <c r="A1511" i="2"/>
  <c r="A1504" i="2"/>
  <c r="A1503" i="2"/>
  <c r="A1494" i="2"/>
  <c r="A1493" i="2"/>
  <c r="A1491" i="2"/>
  <c r="A1485" i="2"/>
  <c r="A1484" i="2"/>
  <c r="A1365" i="2"/>
  <c r="A1361" i="2"/>
  <c r="A1357" i="2"/>
  <c r="A1323" i="2"/>
  <c r="A1319" i="2"/>
  <c r="A1313" i="2"/>
  <c r="A1311" i="2"/>
  <c r="A1305" i="2"/>
  <c r="A1301" i="2"/>
  <c r="A1299" i="2"/>
  <c r="A1297" i="2"/>
  <c r="A1296" i="2"/>
  <c r="A1295" i="2"/>
  <c r="A1294" i="2"/>
  <c r="A1290" i="2"/>
  <c r="A1289" i="2"/>
  <c r="A1288" i="2"/>
  <c r="A1287" i="2"/>
  <c r="A1285" i="2"/>
  <c r="A1282" i="2"/>
  <c r="A1281" i="2"/>
  <c r="A1280" i="2"/>
  <c r="A1279" i="2"/>
  <c r="A1278" i="2"/>
  <c r="A1274" i="2"/>
  <c r="A1273" i="2"/>
  <c r="A1272" i="2"/>
  <c r="A1271" i="2"/>
  <c r="A1269" i="2"/>
  <c r="A1266" i="2"/>
  <c r="A1265" i="2"/>
  <c r="A1264" i="2"/>
  <c r="A1263" i="2"/>
  <c r="A1262" i="2"/>
  <c r="A1258" i="2"/>
  <c r="A1257" i="2"/>
  <c r="A1256" i="2"/>
  <c r="A1255" i="2"/>
  <c r="A1250" i="2"/>
  <c r="A1249" i="2"/>
  <c r="A1248" i="2"/>
  <c r="A1247" i="2"/>
  <c r="A1246" i="2"/>
  <c r="A1242" i="2"/>
  <c r="A1241" i="2"/>
  <c r="A1240" i="2"/>
  <c r="A1239" i="2"/>
  <c r="A1234" i="2"/>
  <c r="A1233" i="2"/>
  <c r="A1232" i="2"/>
  <c r="A1231" i="2"/>
  <c r="A1230" i="2"/>
  <c r="A1226" i="2"/>
  <c r="A1225" i="2"/>
  <c r="A1224" i="2"/>
  <c r="A1223" i="2"/>
  <c r="A1221" i="2"/>
  <c r="A1218" i="2"/>
  <c r="A1217" i="2"/>
  <c r="A1216" i="2"/>
  <c r="A1215" i="2"/>
  <c r="A1214" i="2"/>
  <c r="A1210" i="2"/>
  <c r="A1209" i="2"/>
  <c r="A1208" i="2"/>
  <c r="A1207" i="2"/>
  <c r="A1205" i="2"/>
  <c r="A1202" i="2"/>
  <c r="A1201" i="2"/>
  <c r="A1200" i="2"/>
  <c r="A1199" i="2"/>
  <c r="A1198" i="2"/>
  <c r="A1197" i="2"/>
  <c r="A1196" i="2"/>
  <c r="A1194" i="2"/>
  <c r="A1193" i="2"/>
  <c r="A1192" i="2"/>
  <c r="A1191" i="2"/>
  <c r="A1190" i="2"/>
  <c r="A1189" i="2"/>
  <c r="A1188" i="2"/>
  <c r="A1186" i="2"/>
  <c r="A1185" i="2"/>
  <c r="A1184" i="2"/>
  <c r="A1183" i="2"/>
  <c r="A1182" i="2"/>
  <c r="A1181" i="2"/>
  <c r="A1180" i="2"/>
  <c r="A1178" i="2"/>
  <c r="A1177" i="2"/>
  <c r="A1176" i="2"/>
  <c r="A1175" i="2"/>
  <c r="A1174" i="2"/>
  <c r="A1173" i="2"/>
  <c r="A1172" i="2"/>
  <c r="A1170" i="2"/>
  <c r="A1169" i="2"/>
  <c r="A1168" i="2"/>
  <c r="A1167" i="2"/>
  <c r="A1165" i="2"/>
  <c r="A1161" i="2"/>
  <c r="A1159" i="2"/>
  <c r="A1157" i="2"/>
  <c r="A1143" i="2"/>
  <c r="A1127" i="2"/>
  <c r="A1125" i="2"/>
  <c r="A1111" i="2"/>
  <c r="A1095" i="2"/>
  <c r="A1087" i="2"/>
  <c r="A1079" i="2"/>
  <c r="A1071" i="2"/>
  <c r="A1064" i="2"/>
  <c r="A1063" i="2"/>
  <c r="A1060" i="2"/>
  <c r="A1057" i="2"/>
  <c r="A1056" i="2"/>
  <c r="A1055" i="2"/>
  <c r="A1054" i="2"/>
  <c r="A1053" i="2"/>
  <c r="A1052" i="2"/>
  <c r="A1050" i="2"/>
  <c r="A1049" i="2"/>
  <c r="A1048" i="2"/>
  <c r="A1046" i="2"/>
  <c r="A1044" i="2"/>
  <c r="A1042" i="2"/>
  <c r="A1040" i="2"/>
  <c r="A1038" i="2"/>
  <c r="A1037" i="2"/>
  <c r="A1036" i="2"/>
  <c r="A1034" i="2"/>
  <c r="A1032" i="2"/>
  <c r="A1030" i="2"/>
  <c r="A1029" i="2"/>
  <c r="A1028" i="2"/>
  <c r="A1026" i="2"/>
  <c r="A1024" i="2"/>
  <c r="A1022" i="2"/>
  <c r="A1021" i="2"/>
  <c r="A1020" i="2"/>
  <c r="A1018" i="2"/>
  <c r="A1016" i="2"/>
  <c r="A1014" i="2"/>
  <c r="A1013" i="2"/>
  <c r="A1012" i="2"/>
  <c r="A1010" i="2"/>
  <c r="A1008" i="2"/>
  <c r="A1006" i="2"/>
  <c r="A1005" i="2"/>
  <c r="A1004" i="2"/>
  <c r="A1002" i="2"/>
  <c r="A1000" i="2"/>
  <c r="A998" i="2"/>
  <c r="A996" i="2"/>
  <c r="A994" i="2"/>
  <c r="A992" i="2"/>
  <c r="A990" i="2"/>
  <c r="A988" i="2"/>
  <c r="A984" i="2"/>
  <c r="A980" i="2"/>
  <c r="A974" i="2"/>
  <c r="A968" i="2"/>
  <c r="A964" i="2"/>
  <c r="A958" i="2"/>
  <c r="A956" i="2"/>
  <c r="A952" i="2"/>
  <c r="A950" i="2"/>
  <c r="A948" i="2"/>
  <c r="A946" i="2"/>
  <c r="A942" i="2"/>
  <c r="A940" i="2"/>
  <c r="A936" i="2"/>
  <c r="A934" i="2"/>
  <c r="A932" i="2"/>
  <c r="A930" i="2"/>
  <c r="A926" i="2"/>
  <c r="A924" i="2"/>
  <c r="A920" i="2"/>
  <c r="A916" i="2"/>
  <c r="A910" i="2"/>
  <c r="A908" i="2"/>
  <c r="A906" i="2"/>
  <c r="A905" i="2"/>
  <c r="A902" i="2"/>
  <c r="A897" i="2"/>
  <c r="A894" i="2"/>
  <c r="A890" i="2"/>
  <c r="A889" i="2"/>
  <c r="A886" i="2"/>
  <c r="A882" i="2"/>
  <c r="A881" i="2"/>
  <c r="A878" i="2"/>
  <c r="A875" i="2"/>
  <c r="A873" i="2"/>
  <c r="A870" i="2"/>
  <c r="A866" i="2"/>
  <c r="A865" i="2"/>
  <c r="A862" i="2"/>
  <c r="A860" i="2"/>
  <c r="A859" i="2"/>
  <c r="A856" i="2"/>
  <c r="A854" i="2"/>
  <c r="A853" i="2"/>
  <c r="A852" i="2"/>
  <c r="A850" i="2"/>
  <c r="A849" i="2"/>
  <c r="A846" i="2"/>
  <c r="A844" i="2"/>
  <c r="A843" i="2"/>
  <c r="A840" i="2"/>
  <c r="A838" i="2"/>
  <c r="A837" i="2"/>
  <c r="A836" i="2"/>
  <c r="A834" i="2"/>
  <c r="A833" i="2"/>
  <c r="A830" i="2"/>
  <c r="A828" i="2"/>
  <c r="A827" i="2"/>
  <c r="A824" i="2"/>
  <c r="A822" i="2"/>
  <c r="A821" i="2"/>
  <c r="A820" i="2"/>
  <c r="A818" i="2"/>
  <c r="A817" i="2"/>
  <c r="A814" i="2"/>
  <c r="A812" i="2"/>
  <c r="A811" i="2"/>
  <c r="A808" i="2"/>
  <c r="A806" i="2"/>
  <c r="A805" i="2"/>
  <c r="A804" i="2"/>
  <c r="A802" i="2"/>
  <c r="A801" i="2"/>
  <c r="A799" i="2"/>
  <c r="A796" i="2"/>
  <c r="A795" i="2"/>
  <c r="A790" i="2"/>
  <c r="A789" i="2"/>
  <c r="A788" i="2"/>
  <c r="A786" i="2"/>
  <c r="A785" i="2"/>
  <c r="A783" i="2"/>
  <c r="A780" i="2"/>
  <c r="A779" i="2"/>
  <c r="A774" i="2"/>
  <c r="A773" i="2"/>
  <c r="A770" i="2"/>
  <c r="A769" i="2"/>
  <c r="A767" i="2"/>
  <c r="A764" i="2"/>
  <c r="A763" i="2"/>
  <c r="A762" i="2"/>
  <c r="A757" i="2"/>
  <c r="A756" i="2"/>
  <c r="A754" i="2"/>
  <c r="A753" i="2"/>
  <c r="A748" i="2"/>
  <c r="A747" i="2"/>
  <c r="A745" i="2"/>
  <c r="A743" i="2"/>
  <c r="A741" i="2"/>
  <c r="A740" i="2"/>
  <c r="A737" i="2"/>
  <c r="A735" i="2"/>
  <c r="A733" i="2"/>
  <c r="A732" i="2"/>
  <c r="A731" i="2"/>
  <c r="A729" i="2"/>
  <c r="A727" i="2"/>
  <c r="A725" i="2"/>
  <c r="A724" i="2"/>
  <c r="A721" i="2"/>
  <c r="A719" i="2"/>
  <c r="A717" i="2"/>
  <c r="A715" i="2"/>
  <c r="A705" i="2"/>
  <c r="A703" i="2"/>
  <c r="A699" i="2"/>
  <c r="A689" i="2"/>
  <c r="A687" i="2"/>
  <c r="A683" i="2"/>
  <c r="A673" i="2"/>
  <c r="A667" i="2"/>
  <c r="A659" i="2"/>
  <c r="A657" i="2"/>
  <c r="A645" i="2"/>
  <c r="A637" i="2"/>
  <c r="A634" i="2"/>
  <c r="A627" i="2"/>
  <c r="A613" i="2"/>
  <c r="A609" i="2"/>
  <c r="A595" i="2"/>
  <c r="A581" i="2"/>
  <c r="A577" i="2"/>
  <c r="A573" i="2"/>
  <c r="A563" i="2"/>
  <c r="A559" i="2"/>
  <c r="A558" i="2"/>
  <c r="A553" i="2"/>
  <c r="A551" i="2"/>
  <c r="A550" i="2"/>
  <c r="A549" i="2"/>
  <c r="A545" i="2"/>
  <c r="A544" i="2"/>
  <c r="A543" i="2"/>
  <c r="A542" i="2"/>
  <c r="A541" i="2"/>
  <c r="A539" i="2"/>
  <c r="A537" i="2"/>
  <c r="A535" i="2"/>
  <c r="A534" i="2"/>
  <c r="A533" i="2"/>
  <c r="A531" i="2"/>
  <c r="A529" i="2"/>
  <c r="A528" i="2"/>
  <c r="A527" i="2"/>
  <c r="A522" i="2"/>
  <c r="A520" i="2"/>
  <c r="A518" i="2"/>
  <c r="A517" i="2"/>
  <c r="A514" i="2"/>
  <c r="A512" i="2"/>
  <c r="A510" i="2"/>
  <c r="A509" i="2"/>
  <c r="A506" i="2"/>
  <c r="A504" i="2"/>
  <c r="A501" i="2"/>
  <c r="A498" i="2"/>
  <c r="A496" i="2"/>
  <c r="A494" i="2"/>
  <c r="A490" i="2"/>
  <c r="A488" i="2"/>
  <c r="A486" i="2"/>
  <c r="A485" i="2"/>
  <c r="A482" i="2"/>
  <c r="A480" i="2"/>
  <c r="A478" i="2"/>
  <c r="A477" i="2"/>
  <c r="A474" i="2"/>
  <c r="A472" i="2"/>
  <c r="A469" i="2"/>
  <c r="A466" i="2"/>
  <c r="A464" i="2"/>
  <c r="A462" i="2"/>
  <c r="A458" i="2"/>
  <c r="A456" i="2"/>
  <c r="A454" i="2"/>
  <c r="A453" i="2"/>
  <c r="A450" i="2"/>
  <c r="A448" i="2"/>
  <c r="A446" i="2"/>
  <c r="A445" i="2"/>
  <c r="A442" i="2"/>
  <c r="A440" i="2"/>
  <c r="A434" i="2"/>
  <c r="A408" i="2"/>
  <c r="A344" i="2"/>
  <c r="A318" i="2"/>
  <c r="A317" i="2"/>
  <c r="A316" i="2"/>
  <c r="A314" i="2"/>
  <c r="A313" i="2"/>
  <c r="A312" i="2"/>
  <c r="A310" i="2"/>
  <c r="A309" i="2"/>
  <c r="A303" i="2"/>
  <c r="A302" i="2"/>
  <c r="A301" i="2"/>
  <c r="A299" i="2"/>
  <c r="A295" i="2"/>
  <c r="A294" i="2"/>
  <c r="A293" i="2"/>
  <c r="A287" i="2"/>
  <c r="A286" i="2"/>
  <c r="A285" i="2"/>
  <c r="A283" i="2"/>
  <c r="A279" i="2"/>
  <c r="A278" i="2"/>
  <c r="A277" i="2"/>
  <c r="A275" i="2"/>
  <c r="A271" i="2"/>
  <c r="A270" i="2"/>
  <c r="A269" i="2"/>
  <c r="A267" i="2"/>
  <c r="A263" i="2"/>
  <c r="A262" i="2"/>
  <c r="A261" i="2"/>
  <c r="A259" i="2"/>
  <c r="A255" i="2"/>
  <c r="A254" i="2"/>
  <c r="A253" i="2"/>
  <c r="A251" i="2"/>
  <c r="A247" i="2"/>
  <c r="A246" i="2"/>
  <c r="A245" i="2"/>
  <c r="A243" i="2"/>
  <c r="A239" i="2"/>
  <c r="A238" i="2"/>
  <c r="A237" i="2"/>
  <c r="A231" i="2"/>
  <c r="A230" i="2"/>
  <c r="A229" i="2"/>
  <c r="A227" i="2"/>
  <c r="A223" i="2"/>
  <c r="A222" i="2"/>
  <c r="A221" i="2"/>
  <c r="A219" i="2"/>
  <c r="A215" i="2"/>
  <c r="A214" i="2"/>
  <c r="A213" i="2"/>
  <c r="A211" i="2"/>
  <c r="A207" i="2"/>
  <c r="A206" i="2"/>
  <c r="A205" i="2"/>
  <c r="A199" i="2"/>
  <c r="A198" i="2"/>
  <c r="A197" i="2"/>
  <c r="A195" i="2"/>
  <c r="A191" i="2"/>
  <c r="A190" i="2"/>
  <c r="A189" i="2"/>
  <c r="A187" i="2"/>
  <c r="A183" i="2"/>
  <c r="A182" i="2"/>
  <c r="A181" i="2"/>
  <c r="A179" i="2"/>
  <c r="A175" i="2"/>
  <c r="A174" i="2"/>
  <c r="A173" i="2"/>
  <c r="A169" i="2"/>
  <c r="A167" i="2"/>
  <c r="A166" i="2"/>
  <c r="A163" i="2"/>
  <c r="A162" i="2"/>
  <c r="A158" i="2"/>
  <c r="A157" i="2"/>
  <c r="A156" i="2"/>
  <c r="A154" i="2"/>
  <c r="A153" i="2"/>
  <c r="A151" i="2"/>
  <c r="A150" i="2"/>
  <c r="A149" i="2"/>
  <c r="A148" i="2"/>
  <c r="A146" i="2"/>
  <c r="A142" i="2"/>
  <c r="A141" i="2"/>
  <c r="A140" i="2"/>
  <c r="A138" i="2"/>
  <c r="A137" i="2"/>
  <c r="A135" i="2"/>
  <c r="A134" i="2"/>
  <c r="A133" i="2"/>
  <c r="A132" i="2"/>
  <c r="A130" i="2"/>
  <c r="A126" i="2"/>
  <c r="A125" i="2"/>
  <c r="A124" i="2"/>
  <c r="A122" i="2"/>
  <c r="A121" i="2"/>
  <c r="A119" i="2"/>
  <c r="A118" i="2"/>
  <c r="A117" i="2"/>
  <c r="A116" i="2"/>
  <c r="A114" i="2"/>
  <c r="A110" i="2"/>
  <c r="A109" i="2"/>
  <c r="A108" i="2"/>
  <c r="A106" i="2"/>
  <c r="A105" i="2"/>
  <c r="A103" i="2"/>
  <c r="A102" i="2"/>
  <c r="A101" i="2"/>
  <c r="A100" i="2"/>
  <c r="A98" i="2"/>
  <c r="A94" i="2"/>
  <c r="A93" i="2"/>
  <c r="A92" i="2"/>
  <c r="A90" i="2"/>
  <c r="A89" i="2"/>
  <c r="A87" i="2"/>
  <c r="A86" i="2"/>
  <c r="A85" i="2"/>
  <c r="A82" i="2"/>
  <c r="A78" i="2"/>
  <c r="A77" i="2"/>
  <c r="A76" i="2"/>
  <c r="A74" i="2"/>
  <c r="A73" i="2"/>
  <c r="A71" i="2"/>
  <c r="A70" i="2"/>
  <c r="A69" i="2"/>
  <c r="A66" i="2"/>
  <c r="A62" i="2"/>
  <c r="A61" i="2"/>
  <c r="A60" i="2"/>
  <c r="A58" i="2"/>
  <c r="A57" i="2"/>
  <c r="A55" i="2"/>
  <c r="A54" i="2"/>
  <c r="A53" i="2"/>
  <c r="A52" i="2"/>
  <c r="A50" i="2"/>
  <c r="A48" i="2"/>
  <c r="A46" i="2"/>
  <c r="A45" i="2"/>
  <c r="A44" i="2"/>
  <c r="A42" i="2"/>
  <c r="A41" i="2"/>
  <c r="A39" i="2"/>
  <c r="A38" i="2"/>
  <c r="A37" i="2"/>
  <c r="A36" i="2"/>
  <c r="A34" i="2"/>
  <c r="A32" i="2"/>
  <c r="A30" i="2"/>
  <c r="A28" i="2"/>
  <c r="A26" i="2"/>
  <c r="A22" i="2"/>
  <c r="A18" i="2"/>
  <c r="A16" i="2"/>
  <c r="A14" i="2"/>
  <c r="A12" i="2"/>
  <c r="A10" i="2"/>
  <c r="A8" i="2"/>
  <c r="B6" i="2"/>
  <c r="A1981" i="1"/>
  <c r="A1965" i="1"/>
  <c r="A1949" i="1"/>
  <c r="A1933" i="1"/>
  <c r="A1917" i="1"/>
  <c r="A1904" i="1"/>
  <c r="A1896" i="1"/>
  <c r="A1880" i="1"/>
  <c r="A1864" i="1"/>
  <c r="A1816" i="1"/>
  <c r="A1741" i="1"/>
  <c r="A1725" i="1"/>
  <c r="A1709" i="1"/>
  <c r="A1693" i="1"/>
  <c r="A1547" i="1"/>
  <c r="A1515" i="1"/>
  <c r="T4" i="1"/>
  <c r="S4" i="1"/>
  <c r="P11" i="5" l="1"/>
  <c r="R11" i="5"/>
  <c r="C11" i="5"/>
  <c r="F11" i="5"/>
  <c r="H11" i="5"/>
  <c r="J11" i="5"/>
  <c r="L11" i="5"/>
  <c r="N11" i="5"/>
  <c r="A10" i="4"/>
  <c r="P7" i="5"/>
  <c r="R7" i="5"/>
  <c r="O7" i="5"/>
  <c r="N7" i="5"/>
  <c r="B6" i="1"/>
  <c r="R9" i="5"/>
  <c r="Q9" i="5"/>
  <c r="E10" i="5"/>
  <c r="G10" i="5"/>
  <c r="I10" i="5"/>
  <c r="M10" i="5"/>
  <c r="O10" i="5"/>
  <c r="Q10" i="5"/>
  <c r="J4" i="4"/>
  <c r="E9" i="5"/>
  <c r="A9" i="4"/>
  <c r="D4" i="4"/>
  <c r="D4" i="1" s="1"/>
  <c r="F9" i="5"/>
  <c r="C9" i="5"/>
  <c r="H9" i="5"/>
  <c r="I9" i="5"/>
  <c r="J9" i="5"/>
  <c r="L9" i="5"/>
  <c r="M9" i="5"/>
  <c r="N9" i="5"/>
  <c r="P9" i="5"/>
  <c r="R4" i="4"/>
  <c r="Q4" i="4"/>
  <c r="P4" i="4"/>
  <c r="K4" i="4"/>
  <c r="A8" i="4"/>
  <c r="A7" i="4"/>
  <c r="C7" i="5"/>
  <c r="F7" i="5"/>
  <c r="G7" i="5"/>
  <c r="H7" i="5"/>
  <c r="J7" i="5"/>
  <c r="L7" i="5"/>
  <c r="A6" i="4"/>
  <c r="E6" i="5"/>
  <c r="I6" i="5"/>
  <c r="Q6" i="5"/>
  <c r="M6" i="5"/>
  <c r="A178" i="1"/>
  <c r="A662" i="1"/>
  <c r="A549" i="1"/>
  <c r="A845" i="1"/>
  <c r="A909" i="1"/>
  <c r="A973" i="1"/>
  <c r="A482" i="1"/>
  <c r="A562" i="1"/>
  <c r="A793" i="1"/>
  <c r="C4" i="4"/>
  <c r="A767" i="1"/>
  <c r="A1063" i="1"/>
  <c r="A1151" i="1"/>
  <c r="A1367" i="1"/>
  <c r="A1459" i="1"/>
  <c r="R8" i="5"/>
  <c r="J8" i="5"/>
  <c r="Q8" i="5"/>
  <c r="I8" i="5"/>
  <c r="P8" i="5"/>
  <c r="H8" i="5"/>
  <c r="O8" i="5"/>
  <c r="G8" i="5"/>
  <c r="N8" i="5"/>
  <c r="F8" i="5"/>
  <c r="M8" i="5"/>
  <c r="E8" i="5"/>
  <c r="L8" i="5"/>
  <c r="C8" i="5"/>
  <c r="R16" i="5"/>
  <c r="J16" i="5"/>
  <c r="Q16" i="5"/>
  <c r="I16" i="5"/>
  <c r="P16" i="5"/>
  <c r="H16" i="5"/>
  <c r="O16" i="5"/>
  <c r="G16" i="5"/>
  <c r="N16" i="5"/>
  <c r="F16" i="5"/>
  <c r="M16" i="5"/>
  <c r="E16" i="5"/>
  <c r="L16" i="5"/>
  <c r="C16" i="5"/>
  <c r="R24" i="5"/>
  <c r="J24" i="5"/>
  <c r="Q24" i="5"/>
  <c r="I24" i="5"/>
  <c r="P24" i="5"/>
  <c r="H24" i="5"/>
  <c r="O24" i="5"/>
  <c r="G24" i="5"/>
  <c r="N24" i="5"/>
  <c r="F24" i="5"/>
  <c r="M24" i="5"/>
  <c r="E24" i="5"/>
  <c r="L24" i="5"/>
  <c r="C24" i="5"/>
  <c r="R32" i="5"/>
  <c r="J32" i="5"/>
  <c r="Q32" i="5"/>
  <c r="I32" i="5"/>
  <c r="P32" i="5"/>
  <c r="H32" i="5"/>
  <c r="O32" i="5"/>
  <c r="G32" i="5"/>
  <c r="N32" i="5"/>
  <c r="F32" i="5"/>
  <c r="M32" i="5"/>
  <c r="E32" i="5"/>
  <c r="L32" i="5"/>
  <c r="C32" i="5"/>
  <c r="R40" i="5"/>
  <c r="J40" i="5"/>
  <c r="Q40" i="5"/>
  <c r="I40" i="5"/>
  <c r="P40" i="5"/>
  <c r="H40" i="5"/>
  <c r="O40" i="5"/>
  <c r="G40" i="5"/>
  <c r="N40" i="5"/>
  <c r="F40" i="5"/>
  <c r="M40" i="5"/>
  <c r="E40" i="5"/>
  <c r="L40" i="5"/>
  <c r="C40" i="5"/>
  <c r="A40" i="5" s="1"/>
  <c r="A40" i="1" s="1"/>
  <c r="R48" i="5"/>
  <c r="J48" i="5"/>
  <c r="Q48" i="5"/>
  <c r="I48" i="5"/>
  <c r="P48" i="5"/>
  <c r="H48" i="5"/>
  <c r="O48" i="5"/>
  <c r="G48" i="5"/>
  <c r="N48" i="5"/>
  <c r="F48" i="5"/>
  <c r="M48" i="5"/>
  <c r="E48" i="5"/>
  <c r="L48" i="5"/>
  <c r="C48" i="5"/>
  <c r="A51" i="5"/>
  <c r="A51" i="1" s="1"/>
  <c r="R56" i="5"/>
  <c r="J56" i="5"/>
  <c r="Q56" i="5"/>
  <c r="I56" i="5"/>
  <c r="P56" i="5"/>
  <c r="H56" i="5"/>
  <c r="O56" i="5"/>
  <c r="G56" i="5"/>
  <c r="N56" i="5"/>
  <c r="F56" i="5"/>
  <c r="M56" i="5"/>
  <c r="E56" i="5"/>
  <c r="L56" i="5"/>
  <c r="C56" i="5"/>
  <c r="R64" i="5"/>
  <c r="J64" i="5"/>
  <c r="Q64" i="5"/>
  <c r="I64" i="5"/>
  <c r="P64" i="5"/>
  <c r="H64" i="5"/>
  <c r="O64" i="5"/>
  <c r="G64" i="5"/>
  <c r="N64" i="5"/>
  <c r="F64" i="5"/>
  <c r="M64" i="5"/>
  <c r="E64" i="5"/>
  <c r="L64" i="5"/>
  <c r="C64" i="5"/>
  <c r="R72" i="5"/>
  <c r="J72" i="5"/>
  <c r="Q72" i="5"/>
  <c r="I72" i="5"/>
  <c r="P72" i="5"/>
  <c r="H72" i="5"/>
  <c r="O72" i="5"/>
  <c r="G72" i="5"/>
  <c r="N72" i="5"/>
  <c r="F72" i="5"/>
  <c r="M72" i="5"/>
  <c r="E72" i="5"/>
  <c r="L72" i="5"/>
  <c r="C72" i="5"/>
  <c r="R80" i="5"/>
  <c r="J80" i="5"/>
  <c r="Q80" i="5"/>
  <c r="I80" i="5"/>
  <c r="P80" i="5"/>
  <c r="H80" i="5"/>
  <c r="O80" i="5"/>
  <c r="G80" i="5"/>
  <c r="N80" i="5"/>
  <c r="F80" i="5"/>
  <c r="M80" i="5"/>
  <c r="E80" i="5"/>
  <c r="L80" i="5"/>
  <c r="C80" i="5"/>
  <c r="K8" i="5"/>
  <c r="K16" i="5"/>
  <c r="K24" i="5"/>
  <c r="K32" i="5"/>
  <c r="K40" i="5"/>
  <c r="K48" i="5"/>
  <c r="K56" i="5"/>
  <c r="K64" i="5"/>
  <c r="K72" i="5"/>
  <c r="K80" i="5"/>
  <c r="A109" i="5"/>
  <c r="A109" i="1" s="1"/>
  <c r="A1474" i="4"/>
  <c r="A1482" i="4"/>
  <c r="A1490" i="4"/>
  <c r="A1498" i="4"/>
  <c r="A1506" i="4"/>
  <c r="A1514" i="4"/>
  <c r="A1522" i="4"/>
  <c r="A1530" i="4"/>
  <c r="A1538" i="4"/>
  <c r="A1546" i="4"/>
  <c r="A1554" i="4"/>
  <c r="A1562" i="4"/>
  <c r="A1570" i="4"/>
  <c r="A1578" i="4"/>
  <c r="A1586" i="4"/>
  <c r="A1594" i="4"/>
  <c r="A1602" i="4"/>
  <c r="A1610" i="4"/>
  <c r="A1618" i="4"/>
  <c r="A1626" i="4"/>
  <c r="A1634" i="4"/>
  <c r="A1642" i="4"/>
  <c r="A1650" i="4"/>
  <c r="A1658" i="4"/>
  <c r="A1666" i="4"/>
  <c r="A1674" i="4"/>
  <c r="A1682" i="4"/>
  <c r="A1690" i="4"/>
  <c r="A1698" i="4"/>
  <c r="A1706" i="4"/>
  <c r="A1714" i="4"/>
  <c r="A1722" i="4"/>
  <c r="A1730" i="4"/>
  <c r="A1738" i="4"/>
  <c r="A1746" i="4"/>
  <c r="A1754" i="4"/>
  <c r="A1762" i="4"/>
  <c r="A1770" i="4"/>
  <c r="A1778" i="4"/>
  <c r="A1786" i="4"/>
  <c r="A1794" i="4"/>
  <c r="A1802" i="4"/>
  <c r="A1810" i="4"/>
  <c r="A1818" i="4"/>
  <c r="A1826" i="4"/>
  <c r="A1834" i="4"/>
  <c r="A1842" i="4"/>
  <c r="A1850" i="4"/>
  <c r="A1858" i="4"/>
  <c r="A1866" i="4"/>
  <c r="A1874" i="4"/>
  <c r="A1882" i="4"/>
  <c r="A1890" i="4"/>
  <c r="A1898" i="4"/>
  <c r="A1906" i="4"/>
  <c r="A1914" i="4"/>
  <c r="A1922" i="4"/>
  <c r="A1930" i="4"/>
  <c r="A1938" i="4"/>
  <c r="A1946" i="4"/>
  <c r="A1954" i="4"/>
  <c r="A1962" i="4"/>
  <c r="A1970" i="4"/>
  <c r="A1978" i="4"/>
  <c r="A1986" i="4"/>
  <c r="A1994" i="4"/>
  <c r="A2002" i="4"/>
  <c r="A1473" i="4"/>
  <c r="A1481" i="4"/>
  <c r="A1489" i="4"/>
  <c r="A1497" i="4"/>
  <c r="A1505" i="4"/>
  <c r="A1513" i="4"/>
  <c r="A1471" i="4"/>
  <c r="A1479" i="4"/>
  <c r="A1487" i="4"/>
  <c r="A1495" i="4"/>
  <c r="A1503" i="4"/>
  <c r="A1511" i="4"/>
  <c r="A1519" i="4"/>
  <c r="A1527" i="4"/>
  <c r="A1535" i="4"/>
  <c r="A1543" i="4"/>
  <c r="A1551" i="4"/>
  <c r="A1559" i="4"/>
  <c r="A1567" i="4"/>
  <c r="A1575" i="4"/>
  <c r="A1583" i="4"/>
  <c r="A1591" i="4"/>
  <c r="A1599" i="4"/>
  <c r="A1607" i="4"/>
  <c r="A1615" i="4"/>
  <c r="A1623" i="4"/>
  <c r="A1631" i="4"/>
  <c r="A1639" i="4"/>
  <c r="A1647" i="4"/>
  <c r="A1655" i="4"/>
  <c r="A1663" i="4"/>
  <c r="A1671" i="4"/>
  <c r="A1679" i="4"/>
  <c r="A1687" i="4"/>
  <c r="A1695" i="4"/>
  <c r="A1703" i="4"/>
  <c r="A1711" i="4"/>
  <c r="A1719" i="4"/>
  <c r="A1727" i="4"/>
  <c r="A1735" i="4"/>
  <c r="A1743" i="4"/>
  <c r="A1751" i="4"/>
  <c r="A1759" i="4"/>
  <c r="A1767" i="4"/>
  <c r="A1775" i="4"/>
  <c r="A1783" i="4"/>
  <c r="A1791" i="4"/>
  <c r="A1799" i="4"/>
  <c r="A1807" i="4"/>
  <c r="A1815" i="4"/>
  <c r="A1823" i="4"/>
  <c r="A1831" i="4"/>
  <c r="A1839" i="4"/>
  <c r="A1847" i="4"/>
  <c r="A1855" i="4"/>
  <c r="A1863" i="4"/>
  <c r="A1871" i="4"/>
  <c r="A1879" i="4"/>
  <c r="A1887" i="4"/>
  <c r="A93" i="5"/>
  <c r="A93" i="1" s="1"/>
  <c r="A125" i="5"/>
  <c r="A125" i="1" s="1"/>
  <c r="A1470" i="4"/>
  <c r="A1478" i="4"/>
  <c r="A1486" i="4"/>
  <c r="A1494" i="4"/>
  <c r="A1502" i="4"/>
  <c r="A1510" i="4"/>
  <c r="A1518" i="4"/>
  <c r="A1526" i="4"/>
  <c r="A1534" i="4"/>
  <c r="A1542" i="4"/>
  <c r="A1550" i="4"/>
  <c r="A1558" i="4"/>
  <c r="A1566" i="4"/>
  <c r="A1574" i="4"/>
  <c r="A1582" i="4"/>
  <c r="A1590" i="4"/>
  <c r="A1598" i="4"/>
  <c r="A1606" i="4"/>
  <c r="A1614" i="4"/>
  <c r="A1622" i="4"/>
  <c r="A1630" i="4"/>
  <c r="A1638" i="4"/>
  <c r="A1638" i="1" s="1"/>
  <c r="A1646" i="4"/>
  <c r="A1646" i="1" s="1"/>
  <c r="A1654" i="4"/>
  <c r="A1654" i="1" s="1"/>
  <c r="A1662" i="4"/>
  <c r="A1662" i="1" s="1"/>
  <c r="A1670" i="4"/>
  <c r="A1670" i="1" s="1"/>
  <c r="A1678" i="4"/>
  <c r="A1678" i="1" s="1"/>
  <c r="A1686" i="4"/>
  <c r="A1686" i="1" s="1"/>
  <c r="A1694" i="4"/>
  <c r="A1702" i="4"/>
  <c r="A1710" i="4"/>
  <c r="A1718" i="4"/>
  <c r="A1726" i="4"/>
  <c r="A37" i="5"/>
  <c r="A37" i="1" s="1"/>
  <c r="A47" i="5"/>
  <c r="A47" i="1" s="1"/>
  <c r="F6" i="5"/>
  <c r="N6" i="5"/>
  <c r="E7" i="5"/>
  <c r="M7" i="5"/>
  <c r="K9" i="5"/>
  <c r="J10" i="5"/>
  <c r="R10" i="5"/>
  <c r="I11" i="5"/>
  <c r="Q11" i="5"/>
  <c r="H12" i="5"/>
  <c r="P12" i="5"/>
  <c r="G13" i="5"/>
  <c r="O13" i="5"/>
  <c r="A13" i="5" s="1"/>
  <c r="A13" i="1" s="1"/>
  <c r="F14" i="5"/>
  <c r="N14" i="5"/>
  <c r="E15" i="5"/>
  <c r="A15" i="5" s="1"/>
  <c r="A15" i="1" s="1"/>
  <c r="M15" i="5"/>
  <c r="K17" i="5"/>
  <c r="J18" i="5"/>
  <c r="R18" i="5"/>
  <c r="I19" i="5"/>
  <c r="Q19" i="5"/>
  <c r="H20" i="5"/>
  <c r="P20" i="5"/>
  <c r="G21" i="5"/>
  <c r="A21" i="5" s="1"/>
  <c r="A21" i="1" s="1"/>
  <c r="O21" i="5"/>
  <c r="F22" i="5"/>
  <c r="N22" i="5"/>
  <c r="E23" i="5"/>
  <c r="A23" i="5" s="1"/>
  <c r="A23" i="1" s="1"/>
  <c r="M23" i="5"/>
  <c r="K25" i="5"/>
  <c r="J26" i="5"/>
  <c r="R26" i="5"/>
  <c r="I27" i="5"/>
  <c r="Q27" i="5"/>
  <c r="H28" i="5"/>
  <c r="P28" i="5"/>
  <c r="G29" i="5"/>
  <c r="A29" i="5" s="1"/>
  <c r="A29" i="1" s="1"/>
  <c r="O29" i="5"/>
  <c r="F30" i="5"/>
  <c r="N30" i="5"/>
  <c r="E31" i="5"/>
  <c r="A31" i="5" s="1"/>
  <c r="A31" i="1" s="1"/>
  <c r="M31" i="5"/>
  <c r="K33" i="5"/>
  <c r="J34" i="5"/>
  <c r="R34" i="5"/>
  <c r="I35" i="5"/>
  <c r="Q35" i="5"/>
  <c r="H36" i="5"/>
  <c r="P36" i="5"/>
  <c r="G37" i="5"/>
  <c r="O37" i="5"/>
  <c r="F38" i="5"/>
  <c r="N38" i="5"/>
  <c r="E39" i="5"/>
  <c r="M39" i="5"/>
  <c r="K41" i="5"/>
  <c r="J42" i="5"/>
  <c r="R42" i="5"/>
  <c r="I43" i="5"/>
  <c r="Q43" i="5"/>
  <c r="H44" i="5"/>
  <c r="P44" i="5"/>
  <c r="G45" i="5"/>
  <c r="A45" i="5" s="1"/>
  <c r="A45" i="1" s="1"/>
  <c r="O45" i="5"/>
  <c r="F46" i="5"/>
  <c r="N46" i="5"/>
  <c r="E47" i="5"/>
  <c r="M47" i="5"/>
  <c r="K49" i="5"/>
  <c r="J50" i="5"/>
  <c r="R50" i="5"/>
  <c r="I51" i="5"/>
  <c r="Q51" i="5"/>
  <c r="H52" i="5"/>
  <c r="P52" i="5"/>
  <c r="G53" i="5"/>
  <c r="A53" i="5" s="1"/>
  <c r="A53" i="1" s="1"/>
  <c r="O53" i="5"/>
  <c r="F54" i="5"/>
  <c r="N54" i="5"/>
  <c r="E55" i="5"/>
  <c r="A55" i="5" s="1"/>
  <c r="A55" i="1" s="1"/>
  <c r="M55" i="5"/>
  <c r="K57" i="5"/>
  <c r="J58" i="5"/>
  <c r="R58" i="5"/>
  <c r="I59" i="5"/>
  <c r="Q59" i="5"/>
  <c r="H60" i="5"/>
  <c r="P60" i="5"/>
  <c r="G61" i="5"/>
  <c r="A61" i="5" s="1"/>
  <c r="A61" i="1" s="1"/>
  <c r="O61" i="5"/>
  <c r="F62" i="5"/>
  <c r="N62" i="5"/>
  <c r="E63" i="5"/>
  <c r="A63" i="5" s="1"/>
  <c r="A63" i="1" s="1"/>
  <c r="M63" i="5"/>
  <c r="K65" i="5"/>
  <c r="J66" i="5"/>
  <c r="R66" i="5"/>
  <c r="I67" i="5"/>
  <c r="Q67" i="5"/>
  <c r="H68" i="5"/>
  <c r="P68" i="5"/>
  <c r="G69" i="5"/>
  <c r="O69" i="5"/>
  <c r="A69" i="5" s="1"/>
  <c r="A69" i="1" s="1"/>
  <c r="F70" i="5"/>
  <c r="N70" i="5"/>
  <c r="E71" i="5"/>
  <c r="M71" i="5"/>
  <c r="K73" i="5"/>
  <c r="J74" i="5"/>
  <c r="R74" i="5"/>
  <c r="I75" i="5"/>
  <c r="Q75" i="5"/>
  <c r="H76" i="5"/>
  <c r="P76" i="5"/>
  <c r="G77" i="5"/>
  <c r="O77" i="5"/>
  <c r="A77" i="5" s="1"/>
  <c r="A77" i="1" s="1"/>
  <c r="F78" i="5"/>
  <c r="N78" i="5"/>
  <c r="E79" i="5"/>
  <c r="A79" i="5" s="1"/>
  <c r="A79" i="1" s="1"/>
  <c r="M79" i="5"/>
  <c r="K81" i="5"/>
  <c r="J82" i="5"/>
  <c r="R82" i="5"/>
  <c r="I83" i="5"/>
  <c r="Q83" i="5"/>
  <c r="H84" i="5"/>
  <c r="P84" i="5"/>
  <c r="O85" i="5"/>
  <c r="A85" i="5" s="1"/>
  <c r="A85" i="1" s="1"/>
  <c r="F86" i="5"/>
  <c r="N86" i="5"/>
  <c r="E87" i="5"/>
  <c r="A87" i="5" s="1"/>
  <c r="A87" i="1" s="1"/>
  <c r="M87" i="5"/>
  <c r="C88" i="5"/>
  <c r="L88" i="5"/>
  <c r="K89" i="5"/>
  <c r="J90" i="5"/>
  <c r="R90" i="5"/>
  <c r="I91" i="5"/>
  <c r="Q91" i="5"/>
  <c r="H92" i="5"/>
  <c r="P92" i="5"/>
  <c r="F94" i="5"/>
  <c r="N94" i="5"/>
  <c r="E95" i="5"/>
  <c r="M95" i="5"/>
  <c r="C96" i="5"/>
  <c r="L96" i="5"/>
  <c r="K97" i="5"/>
  <c r="J98" i="5"/>
  <c r="R98" i="5"/>
  <c r="I99" i="5"/>
  <c r="Q99" i="5"/>
  <c r="H100" i="5"/>
  <c r="P100" i="5"/>
  <c r="F102" i="5"/>
  <c r="N102" i="5"/>
  <c r="E103" i="5"/>
  <c r="A103" i="5" s="1"/>
  <c r="A103" i="1" s="1"/>
  <c r="M103" i="5"/>
  <c r="C104" i="5"/>
  <c r="A104" i="5" s="1"/>
  <c r="A104" i="1" s="1"/>
  <c r="L104" i="5"/>
  <c r="K105" i="5"/>
  <c r="J106" i="5"/>
  <c r="R106" i="5"/>
  <c r="I107" i="5"/>
  <c r="Q107" i="5"/>
  <c r="H108" i="5"/>
  <c r="P108" i="5"/>
  <c r="F110" i="5"/>
  <c r="N110" i="5"/>
  <c r="E111" i="5"/>
  <c r="M111" i="5"/>
  <c r="C112" i="5"/>
  <c r="L112" i="5"/>
  <c r="K113" i="5"/>
  <c r="J114" i="5"/>
  <c r="R114" i="5"/>
  <c r="I115" i="5"/>
  <c r="Q115" i="5"/>
  <c r="H116" i="5"/>
  <c r="P116" i="5"/>
  <c r="F118" i="5"/>
  <c r="N118" i="5"/>
  <c r="E119" i="5"/>
  <c r="A119" i="5" s="1"/>
  <c r="A119" i="1" s="1"/>
  <c r="M119" i="5"/>
  <c r="C120" i="5"/>
  <c r="L120" i="5"/>
  <c r="K121" i="5"/>
  <c r="J122" i="5"/>
  <c r="R122" i="5"/>
  <c r="I123" i="5"/>
  <c r="Q123" i="5"/>
  <c r="H124" i="5"/>
  <c r="P124" i="5"/>
  <c r="F126" i="5"/>
  <c r="N126" i="5"/>
  <c r="E127" i="5"/>
  <c r="A127" i="5" s="1"/>
  <c r="A127" i="1" s="1"/>
  <c r="M127" i="5"/>
  <c r="C128" i="5"/>
  <c r="L128" i="5"/>
  <c r="K129" i="5"/>
  <c r="J130" i="5"/>
  <c r="R130" i="5"/>
  <c r="I131" i="5"/>
  <c r="Q131" i="5"/>
  <c r="H132" i="5"/>
  <c r="P132" i="5"/>
  <c r="H134" i="5"/>
  <c r="R134" i="5"/>
  <c r="O136" i="5"/>
  <c r="G136" i="5"/>
  <c r="M136" i="5"/>
  <c r="E136" i="5"/>
  <c r="N136" i="5"/>
  <c r="H137" i="5"/>
  <c r="R137" i="5"/>
  <c r="E139" i="5"/>
  <c r="O139" i="5"/>
  <c r="E142" i="5"/>
  <c r="A142" i="5" s="1"/>
  <c r="A142" i="1" s="1"/>
  <c r="P142" i="5"/>
  <c r="J143" i="5"/>
  <c r="O144" i="5"/>
  <c r="G144" i="5"/>
  <c r="M144" i="5"/>
  <c r="E144" i="5"/>
  <c r="N144" i="5"/>
  <c r="H145" i="5"/>
  <c r="R145" i="5"/>
  <c r="C149" i="5"/>
  <c r="O149" i="5"/>
  <c r="I151" i="5"/>
  <c r="O152" i="5"/>
  <c r="G152" i="5"/>
  <c r="N152" i="5"/>
  <c r="F152" i="5"/>
  <c r="M152" i="5"/>
  <c r="E152" i="5"/>
  <c r="Q152" i="5"/>
  <c r="K153" i="5"/>
  <c r="F157" i="5"/>
  <c r="Q158" i="5"/>
  <c r="I158" i="5"/>
  <c r="P158" i="5"/>
  <c r="H158" i="5"/>
  <c r="O158" i="5"/>
  <c r="G158" i="5"/>
  <c r="N158" i="5"/>
  <c r="K159" i="5"/>
  <c r="H160" i="5"/>
  <c r="K165" i="5"/>
  <c r="E166" i="5"/>
  <c r="G169" i="5"/>
  <c r="R169" i="5"/>
  <c r="R173" i="5"/>
  <c r="J173" i="5"/>
  <c r="Q173" i="5"/>
  <c r="I173" i="5"/>
  <c r="P173" i="5"/>
  <c r="H173" i="5"/>
  <c r="O173" i="5"/>
  <c r="G173" i="5"/>
  <c r="P176" i="5"/>
  <c r="A178" i="5"/>
  <c r="A180" i="5"/>
  <c r="A180" i="1" s="1"/>
  <c r="J182" i="5"/>
  <c r="I183" i="5"/>
  <c r="H184" i="5"/>
  <c r="R189" i="5"/>
  <c r="J189" i="5"/>
  <c r="Q189" i="5"/>
  <c r="I189" i="5"/>
  <c r="P189" i="5"/>
  <c r="H189" i="5"/>
  <c r="O189" i="5"/>
  <c r="A189" i="5" s="1"/>
  <c r="A189" i="1" s="1"/>
  <c r="G189" i="5"/>
  <c r="O192" i="5"/>
  <c r="G192" i="5"/>
  <c r="N192" i="5"/>
  <c r="F192" i="5"/>
  <c r="M192" i="5"/>
  <c r="E192" i="5"/>
  <c r="L192" i="5"/>
  <c r="C192" i="5"/>
  <c r="Q192" i="5"/>
  <c r="I192" i="5"/>
  <c r="E197" i="5"/>
  <c r="K199" i="5"/>
  <c r="Q463" i="5"/>
  <c r="I463" i="5"/>
  <c r="N463" i="5"/>
  <c r="F463" i="5"/>
  <c r="L463" i="5"/>
  <c r="K463" i="5"/>
  <c r="J463" i="5"/>
  <c r="H463" i="5"/>
  <c r="R463" i="5"/>
  <c r="G463" i="5"/>
  <c r="P463" i="5"/>
  <c r="E463" i="5"/>
  <c r="O463" i="5"/>
  <c r="C463" i="5"/>
  <c r="A463" i="5" s="1"/>
  <c r="A463" i="1" s="1"/>
  <c r="R551" i="5"/>
  <c r="J551" i="5"/>
  <c r="Q551" i="5"/>
  <c r="I551" i="5"/>
  <c r="P551" i="5"/>
  <c r="H551" i="5"/>
  <c r="O551" i="5"/>
  <c r="G551" i="5"/>
  <c r="N551" i="5"/>
  <c r="F551" i="5"/>
  <c r="M551" i="5"/>
  <c r="E551" i="5"/>
  <c r="L551" i="5"/>
  <c r="C551" i="5"/>
  <c r="A551" i="5" s="1"/>
  <c r="A551" i="1" s="1"/>
  <c r="K551" i="5"/>
  <c r="G6" i="5"/>
  <c r="O6" i="5"/>
  <c r="K10" i="5"/>
  <c r="I12" i="5"/>
  <c r="Q12" i="5"/>
  <c r="G14" i="5"/>
  <c r="O14" i="5"/>
  <c r="K18" i="5"/>
  <c r="I20" i="5"/>
  <c r="Q20" i="5"/>
  <c r="G22" i="5"/>
  <c r="O22" i="5"/>
  <c r="K26" i="5"/>
  <c r="I28" i="5"/>
  <c r="Q28" i="5"/>
  <c r="G30" i="5"/>
  <c r="O30" i="5"/>
  <c r="K34" i="5"/>
  <c r="I36" i="5"/>
  <c r="Q36" i="5"/>
  <c r="G38" i="5"/>
  <c r="O38" i="5"/>
  <c r="K42" i="5"/>
  <c r="I44" i="5"/>
  <c r="Q44" i="5"/>
  <c r="G46" i="5"/>
  <c r="O46" i="5"/>
  <c r="K50" i="5"/>
  <c r="I52" i="5"/>
  <c r="Q52" i="5"/>
  <c r="G54" i="5"/>
  <c r="O54" i="5"/>
  <c r="K58" i="5"/>
  <c r="I60" i="5"/>
  <c r="Q60" i="5"/>
  <c r="G62" i="5"/>
  <c r="O62" i="5"/>
  <c r="K66" i="5"/>
  <c r="I68" i="5"/>
  <c r="Q68" i="5"/>
  <c r="G70" i="5"/>
  <c r="O70" i="5"/>
  <c r="K74" i="5"/>
  <c r="I76" i="5"/>
  <c r="Q76" i="5"/>
  <c r="G78" i="5"/>
  <c r="O78" i="5"/>
  <c r="K82" i="5"/>
  <c r="I84" i="5"/>
  <c r="Q84" i="5"/>
  <c r="G86" i="5"/>
  <c r="O86" i="5"/>
  <c r="E88" i="5"/>
  <c r="M88" i="5"/>
  <c r="K90" i="5"/>
  <c r="I92" i="5"/>
  <c r="Q92" i="5"/>
  <c r="G94" i="5"/>
  <c r="O94" i="5"/>
  <c r="E96" i="5"/>
  <c r="M96" i="5"/>
  <c r="K98" i="5"/>
  <c r="I100" i="5"/>
  <c r="Q100" i="5"/>
  <c r="G102" i="5"/>
  <c r="O102" i="5"/>
  <c r="E104" i="5"/>
  <c r="M104" i="5"/>
  <c r="K106" i="5"/>
  <c r="I108" i="5"/>
  <c r="Q108" i="5"/>
  <c r="G110" i="5"/>
  <c r="O110" i="5"/>
  <c r="E112" i="5"/>
  <c r="M112" i="5"/>
  <c r="K114" i="5"/>
  <c r="I116" i="5"/>
  <c r="Q116" i="5"/>
  <c r="G118" i="5"/>
  <c r="O118" i="5"/>
  <c r="E120" i="5"/>
  <c r="M120" i="5"/>
  <c r="K122" i="5"/>
  <c r="I124" i="5"/>
  <c r="Q124" i="5"/>
  <c r="G126" i="5"/>
  <c r="O126" i="5"/>
  <c r="E128" i="5"/>
  <c r="M128" i="5"/>
  <c r="K130" i="5"/>
  <c r="I132" i="5"/>
  <c r="Q132" i="5"/>
  <c r="J134" i="5"/>
  <c r="I137" i="5"/>
  <c r="F139" i="5"/>
  <c r="P139" i="5"/>
  <c r="R141" i="5"/>
  <c r="J141" i="5"/>
  <c r="P141" i="5"/>
  <c r="H141" i="5"/>
  <c r="M141" i="5"/>
  <c r="K143" i="5"/>
  <c r="I145" i="5"/>
  <c r="E149" i="5"/>
  <c r="J151" i="5"/>
  <c r="O153" i="5"/>
  <c r="G157" i="5"/>
  <c r="L159" i="5"/>
  <c r="N161" i="5"/>
  <c r="F161" i="5"/>
  <c r="M161" i="5"/>
  <c r="E161" i="5"/>
  <c r="L161" i="5"/>
  <c r="C161" i="5"/>
  <c r="Q161" i="5"/>
  <c r="L165" i="5"/>
  <c r="P167" i="5"/>
  <c r="H167" i="5"/>
  <c r="O167" i="5"/>
  <c r="G167" i="5"/>
  <c r="N167" i="5"/>
  <c r="F167" i="5"/>
  <c r="Q167" i="5"/>
  <c r="H169" i="5"/>
  <c r="Q174" i="5"/>
  <c r="I174" i="5"/>
  <c r="P174" i="5"/>
  <c r="H174" i="5"/>
  <c r="O174" i="5"/>
  <c r="G174" i="5"/>
  <c r="N174" i="5"/>
  <c r="F174" i="5"/>
  <c r="Q176" i="5"/>
  <c r="K182" i="5"/>
  <c r="I184" i="5"/>
  <c r="Q190" i="5"/>
  <c r="I190" i="5"/>
  <c r="P190" i="5"/>
  <c r="H190" i="5"/>
  <c r="O190" i="5"/>
  <c r="G190" i="5"/>
  <c r="N190" i="5"/>
  <c r="F190" i="5"/>
  <c r="P191" i="5"/>
  <c r="H191" i="5"/>
  <c r="O191" i="5"/>
  <c r="G191" i="5"/>
  <c r="N191" i="5"/>
  <c r="F191" i="5"/>
  <c r="M191" i="5"/>
  <c r="E191" i="5"/>
  <c r="R191" i="5"/>
  <c r="J191" i="5"/>
  <c r="F197" i="5"/>
  <c r="L199" i="5"/>
  <c r="R205" i="5"/>
  <c r="J205" i="5"/>
  <c r="Q205" i="5"/>
  <c r="I205" i="5"/>
  <c r="P205" i="5"/>
  <c r="H205" i="5"/>
  <c r="O205" i="5"/>
  <c r="G205" i="5"/>
  <c r="M205" i="5"/>
  <c r="E205" i="5"/>
  <c r="L205" i="5"/>
  <c r="C205" i="5"/>
  <c r="R221" i="5"/>
  <c r="J221" i="5"/>
  <c r="Q221" i="5"/>
  <c r="I221" i="5"/>
  <c r="P221" i="5"/>
  <c r="H221" i="5"/>
  <c r="O221" i="5"/>
  <c r="G221" i="5"/>
  <c r="M221" i="5"/>
  <c r="E221" i="5"/>
  <c r="L221" i="5"/>
  <c r="C221" i="5"/>
  <c r="R253" i="5"/>
  <c r="J253" i="5"/>
  <c r="Q253" i="5"/>
  <c r="I253" i="5"/>
  <c r="P253" i="5"/>
  <c r="H253" i="5"/>
  <c r="O253" i="5"/>
  <c r="G253" i="5"/>
  <c r="N253" i="5"/>
  <c r="F253" i="5"/>
  <c r="M253" i="5"/>
  <c r="E253" i="5"/>
  <c r="L253" i="5"/>
  <c r="C253" i="5"/>
  <c r="R285" i="5"/>
  <c r="J285" i="5"/>
  <c r="Q285" i="5"/>
  <c r="I285" i="5"/>
  <c r="P285" i="5"/>
  <c r="H285" i="5"/>
  <c r="O285" i="5"/>
  <c r="G285" i="5"/>
  <c r="N285" i="5"/>
  <c r="F285" i="5"/>
  <c r="M285" i="5"/>
  <c r="E285" i="5"/>
  <c r="L285" i="5"/>
  <c r="C285" i="5"/>
  <c r="R317" i="5"/>
  <c r="J317" i="5"/>
  <c r="Q317" i="5"/>
  <c r="I317" i="5"/>
  <c r="P317" i="5"/>
  <c r="H317" i="5"/>
  <c r="O317" i="5"/>
  <c r="G317" i="5"/>
  <c r="N317" i="5"/>
  <c r="F317" i="5"/>
  <c r="M317" i="5"/>
  <c r="E317" i="5"/>
  <c r="L317" i="5"/>
  <c r="C317" i="5"/>
  <c r="R349" i="5"/>
  <c r="J349" i="5"/>
  <c r="Q349" i="5"/>
  <c r="I349" i="5"/>
  <c r="P349" i="5"/>
  <c r="H349" i="5"/>
  <c r="O349" i="5"/>
  <c r="G349" i="5"/>
  <c r="N349" i="5"/>
  <c r="F349" i="5"/>
  <c r="M349" i="5"/>
  <c r="E349" i="5"/>
  <c r="L349" i="5"/>
  <c r="C349" i="5"/>
  <c r="A362" i="5"/>
  <c r="A362" i="1" s="1"/>
  <c r="R381" i="5"/>
  <c r="J381" i="5"/>
  <c r="Q381" i="5"/>
  <c r="I381" i="5"/>
  <c r="P381" i="5"/>
  <c r="H381" i="5"/>
  <c r="O381" i="5"/>
  <c r="G381" i="5"/>
  <c r="N381" i="5"/>
  <c r="F381" i="5"/>
  <c r="M381" i="5"/>
  <c r="E381" i="5"/>
  <c r="L381" i="5"/>
  <c r="C381" i="5"/>
  <c r="A394" i="5"/>
  <c r="A394" i="1" s="1"/>
  <c r="R413" i="5"/>
  <c r="J413" i="5"/>
  <c r="Q413" i="5"/>
  <c r="I413" i="5"/>
  <c r="P413" i="5"/>
  <c r="H413" i="5"/>
  <c r="O413" i="5"/>
  <c r="G413" i="5"/>
  <c r="N413" i="5"/>
  <c r="F413" i="5"/>
  <c r="M413" i="5"/>
  <c r="E413" i="5"/>
  <c r="L413" i="5"/>
  <c r="C413" i="5"/>
  <c r="M463" i="5"/>
  <c r="R591" i="5"/>
  <c r="J591" i="5"/>
  <c r="Q591" i="5"/>
  <c r="I591" i="5"/>
  <c r="P591" i="5"/>
  <c r="H591" i="5"/>
  <c r="O591" i="5"/>
  <c r="G591" i="5"/>
  <c r="N591" i="5"/>
  <c r="F591" i="5"/>
  <c r="M591" i="5"/>
  <c r="E591" i="5"/>
  <c r="L591" i="5"/>
  <c r="C591" i="5"/>
  <c r="K591" i="5"/>
  <c r="H6" i="5"/>
  <c r="P6" i="5"/>
  <c r="C10" i="5"/>
  <c r="L10" i="5"/>
  <c r="K11" i="5"/>
  <c r="J12" i="5"/>
  <c r="R12" i="5"/>
  <c r="H14" i="5"/>
  <c r="P14" i="5"/>
  <c r="C18" i="5"/>
  <c r="L18" i="5"/>
  <c r="K19" i="5"/>
  <c r="J20" i="5"/>
  <c r="R20" i="5"/>
  <c r="H22" i="5"/>
  <c r="P22" i="5"/>
  <c r="C26" i="5"/>
  <c r="A26" i="5" s="1"/>
  <c r="A26" i="1" s="1"/>
  <c r="L26" i="5"/>
  <c r="K27" i="5"/>
  <c r="J28" i="5"/>
  <c r="R28" i="5"/>
  <c r="H30" i="5"/>
  <c r="P30" i="5"/>
  <c r="C34" i="5"/>
  <c r="L34" i="5"/>
  <c r="K35" i="5"/>
  <c r="J36" i="5"/>
  <c r="R36" i="5"/>
  <c r="H38" i="5"/>
  <c r="P38" i="5"/>
  <c r="C42" i="5"/>
  <c r="L42" i="5"/>
  <c r="K43" i="5"/>
  <c r="J44" i="5"/>
  <c r="R44" i="5"/>
  <c r="H46" i="5"/>
  <c r="P46" i="5"/>
  <c r="C50" i="5"/>
  <c r="L50" i="5"/>
  <c r="K51" i="5"/>
  <c r="J52" i="5"/>
  <c r="R52" i="5"/>
  <c r="H54" i="5"/>
  <c r="P54" i="5"/>
  <c r="C58" i="5"/>
  <c r="L58" i="5"/>
  <c r="K59" i="5"/>
  <c r="J60" i="5"/>
  <c r="R60" i="5"/>
  <c r="H62" i="5"/>
  <c r="P62" i="5"/>
  <c r="C66" i="5"/>
  <c r="L66" i="5"/>
  <c r="K67" i="5"/>
  <c r="J68" i="5"/>
  <c r="R68" i="5"/>
  <c r="H70" i="5"/>
  <c r="P70" i="5"/>
  <c r="C74" i="5"/>
  <c r="A74" i="5" s="1"/>
  <c r="A74" i="1" s="1"/>
  <c r="L74" i="5"/>
  <c r="K75" i="5"/>
  <c r="J76" i="5"/>
  <c r="R76" i="5"/>
  <c r="H78" i="5"/>
  <c r="P78" i="5"/>
  <c r="C82" i="5"/>
  <c r="L82" i="5"/>
  <c r="K83" i="5"/>
  <c r="J84" i="5"/>
  <c r="R84" i="5"/>
  <c r="H86" i="5"/>
  <c r="P86" i="5"/>
  <c r="F88" i="5"/>
  <c r="N88" i="5"/>
  <c r="C90" i="5"/>
  <c r="L90" i="5"/>
  <c r="K91" i="5"/>
  <c r="J92" i="5"/>
  <c r="R92" i="5"/>
  <c r="H94" i="5"/>
  <c r="P94" i="5"/>
  <c r="F96" i="5"/>
  <c r="N96" i="5"/>
  <c r="C98" i="5"/>
  <c r="L98" i="5"/>
  <c r="K99" i="5"/>
  <c r="J100" i="5"/>
  <c r="R100" i="5"/>
  <c r="H102" i="5"/>
  <c r="P102" i="5"/>
  <c r="F104" i="5"/>
  <c r="N104" i="5"/>
  <c r="C106" i="5"/>
  <c r="L106" i="5"/>
  <c r="K107" i="5"/>
  <c r="J108" i="5"/>
  <c r="R108" i="5"/>
  <c r="H110" i="5"/>
  <c r="P110" i="5"/>
  <c r="F112" i="5"/>
  <c r="N112" i="5"/>
  <c r="C114" i="5"/>
  <c r="L114" i="5"/>
  <c r="K115" i="5"/>
  <c r="J116" i="5"/>
  <c r="R116" i="5"/>
  <c r="H118" i="5"/>
  <c r="P118" i="5"/>
  <c r="F120" i="5"/>
  <c r="N120" i="5"/>
  <c r="C122" i="5"/>
  <c r="L122" i="5"/>
  <c r="K123" i="5"/>
  <c r="J124" i="5"/>
  <c r="R124" i="5"/>
  <c r="H126" i="5"/>
  <c r="P126" i="5"/>
  <c r="F128" i="5"/>
  <c r="N128" i="5"/>
  <c r="C130" i="5"/>
  <c r="L130" i="5"/>
  <c r="K131" i="5"/>
  <c r="J132" i="5"/>
  <c r="R132" i="5"/>
  <c r="P135" i="5"/>
  <c r="H135" i="5"/>
  <c r="N135" i="5"/>
  <c r="L135" i="5"/>
  <c r="J137" i="5"/>
  <c r="G139" i="5"/>
  <c r="Q139" i="5"/>
  <c r="C141" i="5"/>
  <c r="N141" i="5"/>
  <c r="J145" i="5"/>
  <c r="F149" i="5"/>
  <c r="Q150" i="5"/>
  <c r="I150" i="5"/>
  <c r="P150" i="5"/>
  <c r="H150" i="5"/>
  <c r="O150" i="5"/>
  <c r="G150" i="5"/>
  <c r="N150" i="5"/>
  <c r="K151" i="5"/>
  <c r="K157" i="5"/>
  <c r="J160" i="5"/>
  <c r="G161" i="5"/>
  <c r="R161" i="5"/>
  <c r="J166" i="5"/>
  <c r="C167" i="5"/>
  <c r="R167" i="5"/>
  <c r="I169" i="5"/>
  <c r="C174" i="5"/>
  <c r="P175" i="5"/>
  <c r="A175" i="5" s="1"/>
  <c r="A175" i="1" s="1"/>
  <c r="H175" i="5"/>
  <c r="O175" i="5"/>
  <c r="G175" i="5"/>
  <c r="N175" i="5"/>
  <c r="F175" i="5"/>
  <c r="M175" i="5"/>
  <c r="E175" i="5"/>
  <c r="L182" i="5"/>
  <c r="K183" i="5"/>
  <c r="J184" i="5"/>
  <c r="C190" i="5"/>
  <c r="C191" i="5"/>
  <c r="K197" i="5"/>
  <c r="F205" i="5"/>
  <c r="O208" i="5"/>
  <c r="G208" i="5"/>
  <c r="N208" i="5"/>
  <c r="F208" i="5"/>
  <c r="M208" i="5"/>
  <c r="E208" i="5"/>
  <c r="L208" i="5"/>
  <c r="C208" i="5"/>
  <c r="R208" i="5"/>
  <c r="J208" i="5"/>
  <c r="Q208" i="5"/>
  <c r="I208" i="5"/>
  <c r="F221" i="5"/>
  <c r="O224" i="5"/>
  <c r="G224" i="5"/>
  <c r="N224" i="5"/>
  <c r="F224" i="5"/>
  <c r="M224" i="5"/>
  <c r="E224" i="5"/>
  <c r="L224" i="5"/>
  <c r="C224" i="5"/>
  <c r="R224" i="5"/>
  <c r="J224" i="5"/>
  <c r="Q224" i="5"/>
  <c r="I224" i="5"/>
  <c r="K253" i="5"/>
  <c r="K285" i="5"/>
  <c r="K317" i="5"/>
  <c r="K349" i="5"/>
  <c r="A379" i="5"/>
  <c r="A379" i="1" s="1"/>
  <c r="K381" i="5"/>
  <c r="L449" i="5"/>
  <c r="C449" i="5"/>
  <c r="K449" i="5"/>
  <c r="J449" i="5"/>
  <c r="R449" i="5"/>
  <c r="I449" i="5"/>
  <c r="Q449" i="5"/>
  <c r="H449" i="5"/>
  <c r="P449" i="5"/>
  <c r="G449" i="5"/>
  <c r="O449" i="5"/>
  <c r="F449" i="5"/>
  <c r="N449" i="5"/>
  <c r="E449" i="5"/>
  <c r="M508" i="5"/>
  <c r="E508" i="5"/>
  <c r="L508" i="5"/>
  <c r="C508" i="5"/>
  <c r="R508" i="5"/>
  <c r="J508" i="5"/>
  <c r="Q508" i="5"/>
  <c r="I508" i="5"/>
  <c r="P508" i="5"/>
  <c r="H508" i="5"/>
  <c r="O508" i="5"/>
  <c r="N508" i="5"/>
  <c r="K508" i="5"/>
  <c r="G508" i="5"/>
  <c r="F508" i="5"/>
  <c r="K12" i="5"/>
  <c r="K20" i="5"/>
  <c r="K28" i="5"/>
  <c r="K36" i="5"/>
  <c r="K44" i="5"/>
  <c r="K52" i="5"/>
  <c r="K60" i="5"/>
  <c r="K68" i="5"/>
  <c r="K76" i="5"/>
  <c r="K84" i="5"/>
  <c r="G88" i="5"/>
  <c r="O88" i="5"/>
  <c r="K92" i="5"/>
  <c r="G96" i="5"/>
  <c r="O96" i="5"/>
  <c r="K100" i="5"/>
  <c r="G104" i="5"/>
  <c r="O104" i="5"/>
  <c r="K108" i="5"/>
  <c r="G112" i="5"/>
  <c r="O112" i="5"/>
  <c r="K116" i="5"/>
  <c r="G120" i="5"/>
  <c r="O120" i="5"/>
  <c r="K124" i="5"/>
  <c r="G128" i="5"/>
  <c r="O128" i="5"/>
  <c r="K132" i="5"/>
  <c r="Q134" i="5"/>
  <c r="I134" i="5"/>
  <c r="L134" i="5"/>
  <c r="H139" i="5"/>
  <c r="P143" i="5"/>
  <c r="H143" i="5"/>
  <c r="N143" i="5"/>
  <c r="F143" i="5"/>
  <c r="M143" i="5"/>
  <c r="K145" i="5"/>
  <c r="G149" i="5"/>
  <c r="L151" i="5"/>
  <c r="N153" i="5"/>
  <c r="F153" i="5"/>
  <c r="M153" i="5"/>
  <c r="E153" i="5"/>
  <c r="L153" i="5"/>
  <c r="C153" i="5"/>
  <c r="Q153" i="5"/>
  <c r="P159" i="5"/>
  <c r="H159" i="5"/>
  <c r="O159" i="5"/>
  <c r="G159" i="5"/>
  <c r="N159" i="5"/>
  <c r="F159" i="5"/>
  <c r="Q159" i="5"/>
  <c r="R165" i="5"/>
  <c r="J165" i="5"/>
  <c r="Q165" i="5"/>
  <c r="I165" i="5"/>
  <c r="P165" i="5"/>
  <c r="H165" i="5"/>
  <c r="N165" i="5"/>
  <c r="J169" i="5"/>
  <c r="O176" i="5"/>
  <c r="G176" i="5"/>
  <c r="N176" i="5"/>
  <c r="F176" i="5"/>
  <c r="M176" i="5"/>
  <c r="E176" i="5"/>
  <c r="L176" i="5"/>
  <c r="C176" i="5"/>
  <c r="M182" i="5"/>
  <c r="K184" i="5"/>
  <c r="A194" i="5"/>
  <c r="A194" i="1" s="1"/>
  <c r="A196" i="5"/>
  <c r="A196" i="1" s="1"/>
  <c r="M197" i="5"/>
  <c r="A210" i="5"/>
  <c r="A210" i="1" s="1"/>
  <c r="A226" i="5"/>
  <c r="A226" i="1" s="1"/>
  <c r="R261" i="5"/>
  <c r="J261" i="5"/>
  <c r="Q261" i="5"/>
  <c r="I261" i="5"/>
  <c r="P261" i="5"/>
  <c r="H261" i="5"/>
  <c r="O261" i="5"/>
  <c r="G261" i="5"/>
  <c r="N261" i="5"/>
  <c r="F261" i="5"/>
  <c r="M261" i="5"/>
  <c r="E261" i="5"/>
  <c r="L261" i="5"/>
  <c r="C261" i="5"/>
  <c r="R293" i="5"/>
  <c r="J293" i="5"/>
  <c r="Q293" i="5"/>
  <c r="I293" i="5"/>
  <c r="P293" i="5"/>
  <c r="H293" i="5"/>
  <c r="O293" i="5"/>
  <c r="G293" i="5"/>
  <c r="N293" i="5"/>
  <c r="F293" i="5"/>
  <c r="M293" i="5"/>
  <c r="E293" i="5"/>
  <c r="L293" i="5"/>
  <c r="C293" i="5"/>
  <c r="R325" i="5"/>
  <c r="J325" i="5"/>
  <c r="Q325" i="5"/>
  <c r="I325" i="5"/>
  <c r="P325" i="5"/>
  <c r="H325" i="5"/>
  <c r="O325" i="5"/>
  <c r="G325" i="5"/>
  <c r="N325" i="5"/>
  <c r="F325" i="5"/>
  <c r="M325" i="5"/>
  <c r="E325" i="5"/>
  <c r="L325" i="5"/>
  <c r="C325" i="5"/>
  <c r="R357" i="5"/>
  <c r="J357" i="5"/>
  <c r="Q357" i="5"/>
  <c r="I357" i="5"/>
  <c r="P357" i="5"/>
  <c r="H357" i="5"/>
  <c r="O357" i="5"/>
  <c r="G357" i="5"/>
  <c r="N357" i="5"/>
  <c r="F357" i="5"/>
  <c r="M357" i="5"/>
  <c r="E357" i="5"/>
  <c r="L357" i="5"/>
  <c r="C357" i="5"/>
  <c r="A357" i="5" s="1"/>
  <c r="A357" i="1" s="1"/>
  <c r="R389" i="5"/>
  <c r="J389" i="5"/>
  <c r="Q389" i="5"/>
  <c r="I389" i="5"/>
  <c r="P389" i="5"/>
  <c r="H389" i="5"/>
  <c r="O389" i="5"/>
  <c r="G389" i="5"/>
  <c r="N389" i="5"/>
  <c r="F389" i="5"/>
  <c r="M389" i="5"/>
  <c r="E389" i="5"/>
  <c r="L389" i="5"/>
  <c r="C389" i="5"/>
  <c r="A396" i="5"/>
  <c r="A396" i="1" s="1"/>
  <c r="L441" i="5"/>
  <c r="C441" i="5"/>
  <c r="K441" i="5"/>
  <c r="J441" i="5"/>
  <c r="R441" i="5"/>
  <c r="I441" i="5"/>
  <c r="Q441" i="5"/>
  <c r="H441" i="5"/>
  <c r="P441" i="5"/>
  <c r="G441" i="5"/>
  <c r="O441" i="5"/>
  <c r="F441" i="5"/>
  <c r="N441" i="5"/>
  <c r="E441" i="5"/>
  <c r="A444" i="5"/>
  <c r="A444" i="1" s="1"/>
  <c r="Q495" i="5"/>
  <c r="I495" i="5"/>
  <c r="O495" i="5"/>
  <c r="G495" i="5"/>
  <c r="N495" i="5"/>
  <c r="F495" i="5"/>
  <c r="M495" i="5"/>
  <c r="E495" i="5"/>
  <c r="R495" i="5"/>
  <c r="P495" i="5"/>
  <c r="L495" i="5"/>
  <c r="K495" i="5"/>
  <c r="J495" i="5"/>
  <c r="H495" i="5"/>
  <c r="C495" i="5"/>
  <c r="A574" i="5"/>
  <c r="A574" i="1" s="1"/>
  <c r="R583" i="5"/>
  <c r="J583" i="5"/>
  <c r="Q583" i="5"/>
  <c r="I583" i="5"/>
  <c r="P583" i="5"/>
  <c r="H583" i="5"/>
  <c r="O583" i="5"/>
  <c r="G583" i="5"/>
  <c r="N583" i="5"/>
  <c r="F583" i="5"/>
  <c r="M583" i="5"/>
  <c r="E583" i="5"/>
  <c r="L583" i="5"/>
  <c r="C583" i="5"/>
  <c r="K583" i="5"/>
  <c r="J6" i="5"/>
  <c r="R6" i="5"/>
  <c r="I7" i="5"/>
  <c r="Q7" i="5"/>
  <c r="G9" i="5"/>
  <c r="F10" i="5"/>
  <c r="N10" i="5"/>
  <c r="E11" i="5"/>
  <c r="A11" i="5" s="1"/>
  <c r="A11" i="1" s="1"/>
  <c r="M11" i="5"/>
  <c r="C12" i="5"/>
  <c r="L12" i="5"/>
  <c r="J14" i="5"/>
  <c r="R14" i="5"/>
  <c r="I15" i="5"/>
  <c r="Q15" i="5"/>
  <c r="G17" i="5"/>
  <c r="F18" i="5"/>
  <c r="N18" i="5"/>
  <c r="E19" i="5"/>
  <c r="A19" i="5" s="1"/>
  <c r="A19" i="1" s="1"/>
  <c r="M19" i="5"/>
  <c r="C20" i="5"/>
  <c r="L20" i="5"/>
  <c r="J22" i="5"/>
  <c r="R22" i="5"/>
  <c r="I23" i="5"/>
  <c r="Q23" i="5"/>
  <c r="G25" i="5"/>
  <c r="A25" i="5" s="1"/>
  <c r="A25" i="1" s="1"/>
  <c r="F26" i="5"/>
  <c r="N26" i="5"/>
  <c r="E27" i="5"/>
  <c r="A27" i="5" s="1"/>
  <c r="A27" i="1" s="1"/>
  <c r="M27" i="5"/>
  <c r="C28" i="5"/>
  <c r="L28" i="5"/>
  <c r="J30" i="5"/>
  <c r="R30" i="5"/>
  <c r="I31" i="5"/>
  <c r="Q31" i="5"/>
  <c r="G33" i="5"/>
  <c r="A33" i="5" s="1"/>
  <c r="A33" i="1" s="1"/>
  <c r="F34" i="5"/>
  <c r="N34" i="5"/>
  <c r="E35" i="5"/>
  <c r="A35" i="5" s="1"/>
  <c r="A35" i="1" s="1"/>
  <c r="M35" i="5"/>
  <c r="C36" i="5"/>
  <c r="L36" i="5"/>
  <c r="J38" i="5"/>
  <c r="R38" i="5"/>
  <c r="I39" i="5"/>
  <c r="A39" i="5" s="1"/>
  <c r="A39" i="1" s="1"/>
  <c r="Q39" i="5"/>
  <c r="G41" i="5"/>
  <c r="A41" i="5" s="1"/>
  <c r="A41" i="1" s="1"/>
  <c r="F42" i="5"/>
  <c r="N42" i="5"/>
  <c r="E43" i="5"/>
  <c r="A43" i="5" s="1"/>
  <c r="A43" i="1" s="1"/>
  <c r="M43" i="5"/>
  <c r="C44" i="5"/>
  <c r="L44" i="5"/>
  <c r="J46" i="5"/>
  <c r="R46" i="5"/>
  <c r="I47" i="5"/>
  <c r="Q47" i="5"/>
  <c r="G49" i="5"/>
  <c r="A49" i="5" s="1"/>
  <c r="A49" i="1" s="1"/>
  <c r="F50" i="5"/>
  <c r="N50" i="5"/>
  <c r="E51" i="5"/>
  <c r="M51" i="5"/>
  <c r="C52" i="5"/>
  <c r="A52" i="5" s="1"/>
  <c r="A52" i="1" s="1"/>
  <c r="L52" i="5"/>
  <c r="J54" i="5"/>
  <c r="R54" i="5"/>
  <c r="I55" i="5"/>
  <c r="Q55" i="5"/>
  <c r="G57" i="5"/>
  <c r="A57" i="5" s="1"/>
  <c r="A57" i="1" s="1"/>
  <c r="F58" i="5"/>
  <c r="N58" i="5"/>
  <c r="E59" i="5"/>
  <c r="A59" i="5" s="1"/>
  <c r="A59" i="1" s="1"/>
  <c r="M59" i="5"/>
  <c r="C60" i="5"/>
  <c r="L60" i="5"/>
  <c r="J62" i="5"/>
  <c r="R62" i="5"/>
  <c r="I63" i="5"/>
  <c r="Q63" i="5"/>
  <c r="G65" i="5"/>
  <c r="F66" i="5"/>
  <c r="N66" i="5"/>
  <c r="E67" i="5"/>
  <c r="A67" i="5" s="1"/>
  <c r="A67" i="1" s="1"/>
  <c r="M67" i="5"/>
  <c r="C68" i="5"/>
  <c r="L68" i="5"/>
  <c r="J70" i="5"/>
  <c r="R70" i="5"/>
  <c r="I71" i="5"/>
  <c r="A71" i="5" s="1"/>
  <c r="A71" i="1" s="1"/>
  <c r="Q71" i="5"/>
  <c r="G73" i="5"/>
  <c r="F74" i="5"/>
  <c r="N74" i="5"/>
  <c r="E75" i="5"/>
  <c r="A75" i="5" s="1"/>
  <c r="A75" i="1" s="1"/>
  <c r="M75" i="5"/>
  <c r="C76" i="5"/>
  <c r="L76" i="5"/>
  <c r="J78" i="5"/>
  <c r="R78" i="5"/>
  <c r="I79" i="5"/>
  <c r="Q79" i="5"/>
  <c r="G81" i="5"/>
  <c r="F82" i="5"/>
  <c r="N82" i="5"/>
  <c r="E83" i="5"/>
  <c r="A83" i="5" s="1"/>
  <c r="A83" i="1" s="1"/>
  <c r="M83" i="5"/>
  <c r="C84" i="5"/>
  <c r="L84" i="5"/>
  <c r="J86" i="5"/>
  <c r="R86" i="5"/>
  <c r="I87" i="5"/>
  <c r="Q87" i="5"/>
  <c r="H88" i="5"/>
  <c r="P88" i="5"/>
  <c r="G89" i="5"/>
  <c r="F90" i="5"/>
  <c r="N90" i="5"/>
  <c r="E91" i="5"/>
  <c r="A91" i="5" s="1"/>
  <c r="A91" i="1" s="1"/>
  <c r="M91" i="5"/>
  <c r="C92" i="5"/>
  <c r="L92" i="5"/>
  <c r="J94" i="5"/>
  <c r="R94" i="5"/>
  <c r="I95" i="5"/>
  <c r="A95" i="5" s="1"/>
  <c r="A95" i="1" s="1"/>
  <c r="Q95" i="5"/>
  <c r="H96" i="5"/>
  <c r="P96" i="5"/>
  <c r="G97" i="5"/>
  <c r="O97" i="5"/>
  <c r="F98" i="5"/>
  <c r="N98" i="5"/>
  <c r="E99" i="5"/>
  <c r="A99" i="5" s="1"/>
  <c r="A99" i="1" s="1"/>
  <c r="M99" i="5"/>
  <c r="C100" i="5"/>
  <c r="L100" i="5"/>
  <c r="J102" i="5"/>
  <c r="R102" i="5"/>
  <c r="I103" i="5"/>
  <c r="Q103" i="5"/>
  <c r="H104" i="5"/>
  <c r="P104" i="5"/>
  <c r="G105" i="5"/>
  <c r="O105" i="5"/>
  <c r="F106" i="5"/>
  <c r="N106" i="5"/>
  <c r="E107" i="5"/>
  <c r="A107" i="5" s="1"/>
  <c r="A107" i="1" s="1"/>
  <c r="M107" i="5"/>
  <c r="C108" i="5"/>
  <c r="L108" i="5"/>
  <c r="J110" i="5"/>
  <c r="R110" i="5"/>
  <c r="I111" i="5"/>
  <c r="A111" i="5" s="1"/>
  <c r="A111" i="1" s="1"/>
  <c r="Q111" i="5"/>
  <c r="H112" i="5"/>
  <c r="P112" i="5"/>
  <c r="G113" i="5"/>
  <c r="A113" i="5" s="1"/>
  <c r="A113" i="1" s="1"/>
  <c r="O113" i="5"/>
  <c r="F114" i="5"/>
  <c r="N114" i="5"/>
  <c r="E115" i="5"/>
  <c r="A115" i="5" s="1"/>
  <c r="A115" i="1" s="1"/>
  <c r="M115" i="5"/>
  <c r="C116" i="5"/>
  <c r="L116" i="5"/>
  <c r="J118" i="5"/>
  <c r="R118" i="5"/>
  <c r="I119" i="5"/>
  <c r="Q119" i="5"/>
  <c r="H120" i="5"/>
  <c r="P120" i="5"/>
  <c r="G121" i="5"/>
  <c r="O121" i="5"/>
  <c r="F122" i="5"/>
  <c r="N122" i="5"/>
  <c r="E123" i="5"/>
  <c r="A123" i="5" s="1"/>
  <c r="A123" i="1" s="1"/>
  <c r="M123" i="5"/>
  <c r="C124" i="5"/>
  <c r="L124" i="5"/>
  <c r="J126" i="5"/>
  <c r="R126" i="5"/>
  <c r="I127" i="5"/>
  <c r="Q127" i="5"/>
  <c r="H128" i="5"/>
  <c r="P128" i="5"/>
  <c r="G129" i="5"/>
  <c r="O129" i="5"/>
  <c r="F130" i="5"/>
  <c r="N130" i="5"/>
  <c r="E131" i="5"/>
  <c r="A131" i="5" s="1"/>
  <c r="A131" i="1" s="1"/>
  <c r="M131" i="5"/>
  <c r="C132" i="5"/>
  <c r="L132" i="5"/>
  <c r="R133" i="5"/>
  <c r="J133" i="5"/>
  <c r="A133" i="5" s="1"/>
  <c r="A133" i="1" s="1"/>
  <c r="L133" i="5"/>
  <c r="C134" i="5"/>
  <c r="M134" i="5"/>
  <c r="E135" i="5"/>
  <c r="A135" i="5" s="1"/>
  <c r="A135" i="1" s="1"/>
  <c r="O135" i="5"/>
  <c r="I136" i="5"/>
  <c r="I139" i="5"/>
  <c r="F141" i="5"/>
  <c r="Q141" i="5"/>
  <c r="C143" i="5"/>
  <c r="O143" i="5"/>
  <c r="I144" i="5"/>
  <c r="K149" i="5"/>
  <c r="E150" i="5"/>
  <c r="A150" i="5" s="1"/>
  <c r="A150" i="1" s="1"/>
  <c r="J152" i="5"/>
  <c r="G153" i="5"/>
  <c r="R153" i="5"/>
  <c r="J158" i="5"/>
  <c r="C159" i="5"/>
  <c r="R159" i="5"/>
  <c r="I161" i="5"/>
  <c r="C165" i="5"/>
  <c r="O165" i="5"/>
  <c r="I167" i="5"/>
  <c r="O168" i="5"/>
  <c r="G168" i="5"/>
  <c r="N168" i="5"/>
  <c r="F168" i="5"/>
  <c r="M168" i="5"/>
  <c r="E168" i="5"/>
  <c r="A168" i="5" s="1"/>
  <c r="A168" i="1" s="1"/>
  <c r="Q168" i="5"/>
  <c r="K169" i="5"/>
  <c r="A170" i="5"/>
  <c r="A170" i="1" s="1"/>
  <c r="K173" i="5"/>
  <c r="A173" i="5" s="1"/>
  <c r="A173" i="1" s="1"/>
  <c r="J174" i="5"/>
  <c r="I175" i="5"/>
  <c r="H176" i="5"/>
  <c r="R181" i="5"/>
  <c r="J181" i="5"/>
  <c r="Q181" i="5"/>
  <c r="I181" i="5"/>
  <c r="P181" i="5"/>
  <c r="H181" i="5"/>
  <c r="O181" i="5"/>
  <c r="G181" i="5"/>
  <c r="A181" i="5" s="1"/>
  <c r="A181" i="1" s="1"/>
  <c r="P184" i="5"/>
  <c r="A186" i="5"/>
  <c r="A186" i="1" s="1"/>
  <c r="K189" i="5"/>
  <c r="J190" i="5"/>
  <c r="K191" i="5"/>
  <c r="P192" i="5"/>
  <c r="O200" i="5"/>
  <c r="G200" i="5"/>
  <c r="N200" i="5"/>
  <c r="F200" i="5"/>
  <c r="M200" i="5"/>
  <c r="E200" i="5"/>
  <c r="L200" i="5"/>
  <c r="C200" i="5"/>
  <c r="Q200" i="5"/>
  <c r="I200" i="5"/>
  <c r="N205" i="5"/>
  <c r="K208" i="5"/>
  <c r="N221" i="5"/>
  <c r="K224" i="5"/>
  <c r="K261" i="5"/>
  <c r="A291" i="5"/>
  <c r="A291" i="1" s="1"/>
  <c r="K293" i="5"/>
  <c r="K325" i="5"/>
  <c r="A355" i="5"/>
  <c r="A355" i="1" s="1"/>
  <c r="K357" i="5"/>
  <c r="K389" i="5"/>
  <c r="L433" i="5"/>
  <c r="C433" i="5"/>
  <c r="K433" i="5"/>
  <c r="J433" i="5"/>
  <c r="R433" i="5"/>
  <c r="I433" i="5"/>
  <c r="Q433" i="5"/>
  <c r="H433" i="5"/>
  <c r="P433" i="5"/>
  <c r="G433" i="5"/>
  <c r="O433" i="5"/>
  <c r="F433" i="5"/>
  <c r="N433" i="5"/>
  <c r="E433" i="5"/>
  <c r="M441" i="5"/>
  <c r="O457" i="5"/>
  <c r="G457" i="5"/>
  <c r="L457" i="5"/>
  <c r="C457" i="5"/>
  <c r="M457" i="5"/>
  <c r="K457" i="5"/>
  <c r="J457" i="5"/>
  <c r="I457" i="5"/>
  <c r="R457" i="5"/>
  <c r="H457" i="5"/>
  <c r="Q457" i="5"/>
  <c r="F457" i="5"/>
  <c r="P457" i="5"/>
  <c r="E457" i="5"/>
  <c r="R762" i="5"/>
  <c r="J762" i="5"/>
  <c r="P762" i="5"/>
  <c r="H762" i="5"/>
  <c r="N762" i="5"/>
  <c r="F762" i="5"/>
  <c r="M762" i="5"/>
  <c r="L762" i="5"/>
  <c r="K762" i="5"/>
  <c r="I762" i="5"/>
  <c r="G762" i="5"/>
  <c r="E762" i="5"/>
  <c r="Q762" i="5"/>
  <c r="C762" i="5"/>
  <c r="O762" i="5"/>
  <c r="K6" i="5"/>
  <c r="E12" i="5"/>
  <c r="M12" i="5"/>
  <c r="K14" i="5"/>
  <c r="E20" i="5"/>
  <c r="M20" i="5"/>
  <c r="K22" i="5"/>
  <c r="E28" i="5"/>
  <c r="M28" i="5"/>
  <c r="K30" i="5"/>
  <c r="E36" i="5"/>
  <c r="M36" i="5"/>
  <c r="K38" i="5"/>
  <c r="E44" i="5"/>
  <c r="M44" i="5"/>
  <c r="K46" i="5"/>
  <c r="E52" i="5"/>
  <c r="M52" i="5"/>
  <c r="K54" i="5"/>
  <c r="E60" i="5"/>
  <c r="M60" i="5"/>
  <c r="K62" i="5"/>
  <c r="E68" i="5"/>
  <c r="M68" i="5"/>
  <c r="K70" i="5"/>
  <c r="E76" i="5"/>
  <c r="M76" i="5"/>
  <c r="K78" i="5"/>
  <c r="E84" i="5"/>
  <c r="M84" i="5"/>
  <c r="K86" i="5"/>
  <c r="I88" i="5"/>
  <c r="Q88" i="5"/>
  <c r="E92" i="5"/>
  <c r="M92" i="5"/>
  <c r="K94" i="5"/>
  <c r="I96" i="5"/>
  <c r="Q96" i="5"/>
  <c r="E100" i="5"/>
  <c r="M100" i="5"/>
  <c r="K102" i="5"/>
  <c r="I104" i="5"/>
  <c r="Q104" i="5"/>
  <c r="E108" i="5"/>
  <c r="M108" i="5"/>
  <c r="K110" i="5"/>
  <c r="I112" i="5"/>
  <c r="Q112" i="5"/>
  <c r="E116" i="5"/>
  <c r="M116" i="5"/>
  <c r="K118" i="5"/>
  <c r="I120" i="5"/>
  <c r="Q120" i="5"/>
  <c r="E124" i="5"/>
  <c r="M124" i="5"/>
  <c r="K126" i="5"/>
  <c r="I128" i="5"/>
  <c r="Q128" i="5"/>
  <c r="E132" i="5"/>
  <c r="M132" i="5"/>
  <c r="E134" i="5"/>
  <c r="N134" i="5"/>
  <c r="N137" i="5"/>
  <c r="F137" i="5"/>
  <c r="L137" i="5"/>
  <c r="C137" i="5"/>
  <c r="O137" i="5"/>
  <c r="K139" i="5"/>
  <c r="E143" i="5"/>
  <c r="Q143" i="5"/>
  <c r="N145" i="5"/>
  <c r="F145" i="5"/>
  <c r="L145" i="5"/>
  <c r="C145" i="5"/>
  <c r="O145" i="5"/>
  <c r="L149" i="5"/>
  <c r="P151" i="5"/>
  <c r="H151" i="5"/>
  <c r="O151" i="5"/>
  <c r="G151" i="5"/>
  <c r="N151" i="5"/>
  <c r="F151" i="5"/>
  <c r="Q151" i="5"/>
  <c r="H153" i="5"/>
  <c r="R157" i="5"/>
  <c r="J157" i="5"/>
  <c r="Q157" i="5"/>
  <c r="I157" i="5"/>
  <c r="P157" i="5"/>
  <c r="H157" i="5"/>
  <c r="N157" i="5"/>
  <c r="E159" i="5"/>
  <c r="E165" i="5"/>
  <c r="O169" i="5"/>
  <c r="Q182" i="5"/>
  <c r="I182" i="5"/>
  <c r="P182" i="5"/>
  <c r="H182" i="5"/>
  <c r="O182" i="5"/>
  <c r="G182" i="5"/>
  <c r="N182" i="5"/>
  <c r="F182" i="5"/>
  <c r="Q184" i="5"/>
  <c r="P199" i="5"/>
  <c r="H199" i="5"/>
  <c r="O199" i="5"/>
  <c r="G199" i="5"/>
  <c r="N199" i="5"/>
  <c r="F199" i="5"/>
  <c r="M199" i="5"/>
  <c r="E199" i="5"/>
  <c r="R199" i="5"/>
  <c r="J199" i="5"/>
  <c r="R213" i="5"/>
  <c r="J213" i="5"/>
  <c r="Q213" i="5"/>
  <c r="I213" i="5"/>
  <c r="P213" i="5"/>
  <c r="H213" i="5"/>
  <c r="O213" i="5"/>
  <c r="G213" i="5"/>
  <c r="M213" i="5"/>
  <c r="E213" i="5"/>
  <c r="L213" i="5"/>
  <c r="C213" i="5"/>
  <c r="R229" i="5"/>
  <c r="J229" i="5"/>
  <c r="Q229" i="5"/>
  <c r="I229" i="5"/>
  <c r="P229" i="5"/>
  <c r="H229" i="5"/>
  <c r="O229" i="5"/>
  <c r="G229" i="5"/>
  <c r="M229" i="5"/>
  <c r="E229" i="5"/>
  <c r="L229" i="5"/>
  <c r="C229" i="5"/>
  <c r="R269" i="5"/>
  <c r="J269" i="5"/>
  <c r="Q269" i="5"/>
  <c r="I269" i="5"/>
  <c r="P269" i="5"/>
  <c r="H269" i="5"/>
  <c r="O269" i="5"/>
  <c r="G269" i="5"/>
  <c r="N269" i="5"/>
  <c r="F269" i="5"/>
  <c r="M269" i="5"/>
  <c r="E269" i="5"/>
  <c r="L269" i="5"/>
  <c r="C269" i="5"/>
  <c r="R301" i="5"/>
  <c r="J301" i="5"/>
  <c r="Q301" i="5"/>
  <c r="I301" i="5"/>
  <c r="P301" i="5"/>
  <c r="H301" i="5"/>
  <c r="O301" i="5"/>
  <c r="G301" i="5"/>
  <c r="N301" i="5"/>
  <c r="F301" i="5"/>
  <c r="M301" i="5"/>
  <c r="E301" i="5"/>
  <c r="L301" i="5"/>
  <c r="C301" i="5"/>
  <c r="R333" i="5"/>
  <c r="J333" i="5"/>
  <c r="Q333" i="5"/>
  <c r="I333" i="5"/>
  <c r="P333" i="5"/>
  <c r="H333" i="5"/>
  <c r="O333" i="5"/>
  <c r="G333" i="5"/>
  <c r="N333" i="5"/>
  <c r="F333" i="5"/>
  <c r="M333" i="5"/>
  <c r="E333" i="5"/>
  <c r="L333" i="5"/>
  <c r="C333" i="5"/>
  <c r="R365" i="5"/>
  <c r="J365" i="5"/>
  <c r="Q365" i="5"/>
  <c r="I365" i="5"/>
  <c r="P365" i="5"/>
  <c r="H365" i="5"/>
  <c r="O365" i="5"/>
  <c r="G365" i="5"/>
  <c r="N365" i="5"/>
  <c r="F365" i="5"/>
  <c r="M365" i="5"/>
  <c r="E365" i="5"/>
  <c r="L365" i="5"/>
  <c r="C365" i="5"/>
  <c r="R397" i="5"/>
  <c r="J397" i="5"/>
  <c r="Q397" i="5"/>
  <c r="I397" i="5"/>
  <c r="P397" i="5"/>
  <c r="H397" i="5"/>
  <c r="O397" i="5"/>
  <c r="G397" i="5"/>
  <c r="N397" i="5"/>
  <c r="F397" i="5"/>
  <c r="M397" i="5"/>
  <c r="E397" i="5"/>
  <c r="L397" i="5"/>
  <c r="C397" i="5"/>
  <c r="L425" i="5"/>
  <c r="C425" i="5"/>
  <c r="K425" i="5"/>
  <c r="J425" i="5"/>
  <c r="R425" i="5"/>
  <c r="I425" i="5"/>
  <c r="Q425" i="5"/>
  <c r="H425" i="5"/>
  <c r="P425" i="5"/>
  <c r="G425" i="5"/>
  <c r="O425" i="5"/>
  <c r="F425" i="5"/>
  <c r="N425" i="5"/>
  <c r="E425" i="5"/>
  <c r="M524" i="5"/>
  <c r="E524" i="5"/>
  <c r="L524" i="5"/>
  <c r="C524" i="5"/>
  <c r="R524" i="5"/>
  <c r="J524" i="5"/>
  <c r="Q524" i="5"/>
  <c r="I524" i="5"/>
  <c r="P524" i="5"/>
  <c r="H524" i="5"/>
  <c r="O524" i="5"/>
  <c r="N524" i="5"/>
  <c r="K524" i="5"/>
  <c r="G524" i="5"/>
  <c r="F524" i="5"/>
  <c r="R607" i="5"/>
  <c r="J607" i="5"/>
  <c r="Q607" i="5"/>
  <c r="I607" i="5"/>
  <c r="P607" i="5"/>
  <c r="H607" i="5"/>
  <c r="O607" i="5"/>
  <c r="G607" i="5"/>
  <c r="N607" i="5"/>
  <c r="F607" i="5"/>
  <c r="M607" i="5"/>
  <c r="E607" i="5"/>
  <c r="L607" i="5"/>
  <c r="C607" i="5"/>
  <c r="K607" i="5"/>
  <c r="C6" i="5"/>
  <c r="H10" i="5"/>
  <c r="G11" i="5"/>
  <c r="F12" i="5"/>
  <c r="C14" i="5"/>
  <c r="H18" i="5"/>
  <c r="G19" i="5"/>
  <c r="F20" i="5"/>
  <c r="C22" i="5"/>
  <c r="A22" i="5" s="1"/>
  <c r="A22" i="1" s="1"/>
  <c r="H26" i="5"/>
  <c r="G27" i="5"/>
  <c r="F28" i="5"/>
  <c r="C30" i="5"/>
  <c r="H34" i="5"/>
  <c r="G35" i="5"/>
  <c r="F36" i="5"/>
  <c r="C38" i="5"/>
  <c r="H42" i="5"/>
  <c r="G43" i="5"/>
  <c r="F44" i="5"/>
  <c r="C46" i="5"/>
  <c r="H50" i="5"/>
  <c r="G51" i="5"/>
  <c r="F52" i="5"/>
  <c r="C54" i="5"/>
  <c r="H58" i="5"/>
  <c r="G59" i="5"/>
  <c r="F60" i="5"/>
  <c r="C62" i="5"/>
  <c r="H66" i="5"/>
  <c r="G67" i="5"/>
  <c r="F68" i="5"/>
  <c r="C70" i="5"/>
  <c r="H74" i="5"/>
  <c r="G75" i="5"/>
  <c r="F76" i="5"/>
  <c r="C78" i="5"/>
  <c r="H82" i="5"/>
  <c r="G83" i="5"/>
  <c r="F84" i="5"/>
  <c r="C86" i="5"/>
  <c r="A86" i="5" s="1"/>
  <c r="A86" i="1" s="1"/>
  <c r="J88" i="5"/>
  <c r="R88" i="5"/>
  <c r="H90" i="5"/>
  <c r="G91" i="5"/>
  <c r="F92" i="5"/>
  <c r="C94" i="5"/>
  <c r="J96" i="5"/>
  <c r="R96" i="5"/>
  <c r="I97" i="5"/>
  <c r="H98" i="5"/>
  <c r="G99" i="5"/>
  <c r="F100" i="5"/>
  <c r="C102" i="5"/>
  <c r="J104" i="5"/>
  <c r="R104" i="5"/>
  <c r="I105" i="5"/>
  <c r="H106" i="5"/>
  <c r="G107" i="5"/>
  <c r="F108" i="5"/>
  <c r="C110" i="5"/>
  <c r="J112" i="5"/>
  <c r="R112" i="5"/>
  <c r="I113" i="5"/>
  <c r="H114" i="5"/>
  <c r="G115" i="5"/>
  <c r="F116" i="5"/>
  <c r="C118" i="5"/>
  <c r="A118" i="5" s="1"/>
  <c r="A118" i="1" s="1"/>
  <c r="J120" i="5"/>
  <c r="R120" i="5"/>
  <c r="I121" i="5"/>
  <c r="H122" i="5"/>
  <c r="G123" i="5"/>
  <c r="F124" i="5"/>
  <c r="C126" i="5"/>
  <c r="J128" i="5"/>
  <c r="R128" i="5"/>
  <c r="I129" i="5"/>
  <c r="H130" i="5"/>
  <c r="G131" i="5"/>
  <c r="F132" i="5"/>
  <c r="F134" i="5"/>
  <c r="O134" i="5"/>
  <c r="G135" i="5"/>
  <c r="R135" i="5"/>
  <c r="K136" i="5"/>
  <c r="E137" i="5"/>
  <c r="P137" i="5"/>
  <c r="I141" i="5"/>
  <c r="Q142" i="5"/>
  <c r="I142" i="5"/>
  <c r="O142" i="5"/>
  <c r="G142" i="5"/>
  <c r="M142" i="5"/>
  <c r="G143" i="5"/>
  <c r="R143" i="5"/>
  <c r="K144" i="5"/>
  <c r="E145" i="5"/>
  <c r="P145" i="5"/>
  <c r="J150" i="5"/>
  <c r="C151" i="5"/>
  <c r="R151" i="5"/>
  <c r="L152" i="5"/>
  <c r="I153" i="5"/>
  <c r="C157" i="5"/>
  <c r="O157" i="5"/>
  <c r="I159" i="5"/>
  <c r="O160" i="5"/>
  <c r="G160" i="5"/>
  <c r="N160" i="5"/>
  <c r="F160" i="5"/>
  <c r="M160" i="5"/>
  <c r="E160" i="5"/>
  <c r="A160" i="5" s="1"/>
  <c r="A160" i="1" s="1"/>
  <c r="Q160" i="5"/>
  <c r="K161" i="5"/>
  <c r="F165" i="5"/>
  <c r="Q166" i="5"/>
  <c r="I166" i="5"/>
  <c r="P166" i="5"/>
  <c r="H166" i="5"/>
  <c r="O166" i="5"/>
  <c r="G166" i="5"/>
  <c r="A166" i="5" s="1"/>
  <c r="A166" i="1" s="1"/>
  <c r="N166" i="5"/>
  <c r="K167" i="5"/>
  <c r="L174" i="5"/>
  <c r="K175" i="5"/>
  <c r="J176" i="5"/>
  <c r="C182" i="5"/>
  <c r="P183" i="5"/>
  <c r="H183" i="5"/>
  <c r="O183" i="5"/>
  <c r="G183" i="5"/>
  <c r="N183" i="5"/>
  <c r="F183" i="5"/>
  <c r="M183" i="5"/>
  <c r="E183" i="5"/>
  <c r="A183" i="5" s="1"/>
  <c r="A183" i="1" s="1"/>
  <c r="L190" i="5"/>
  <c r="Q191" i="5"/>
  <c r="C199" i="5"/>
  <c r="F213" i="5"/>
  <c r="O216" i="5"/>
  <c r="G216" i="5"/>
  <c r="N216" i="5"/>
  <c r="F216" i="5"/>
  <c r="M216" i="5"/>
  <c r="E216" i="5"/>
  <c r="L216" i="5"/>
  <c r="C216" i="5"/>
  <c r="R216" i="5"/>
  <c r="J216" i="5"/>
  <c r="Q216" i="5"/>
  <c r="I216" i="5"/>
  <c r="F229" i="5"/>
  <c r="K269" i="5"/>
  <c r="K301" i="5"/>
  <c r="K333" i="5"/>
  <c r="K365" i="5"/>
  <c r="K397" i="5"/>
  <c r="L417" i="5"/>
  <c r="C417" i="5"/>
  <c r="K417" i="5"/>
  <c r="J417" i="5"/>
  <c r="R417" i="5"/>
  <c r="I417" i="5"/>
  <c r="Q417" i="5"/>
  <c r="H417" i="5"/>
  <c r="P417" i="5"/>
  <c r="G417" i="5"/>
  <c r="O417" i="5"/>
  <c r="F417" i="5"/>
  <c r="N417" i="5"/>
  <c r="E417" i="5"/>
  <c r="M425" i="5"/>
  <c r="P756" i="5"/>
  <c r="H756" i="5"/>
  <c r="N756" i="5"/>
  <c r="F756" i="5"/>
  <c r="L756" i="5"/>
  <c r="C756" i="5"/>
  <c r="O756" i="5"/>
  <c r="M756" i="5"/>
  <c r="K756" i="5"/>
  <c r="J756" i="5"/>
  <c r="I756" i="5"/>
  <c r="G756" i="5"/>
  <c r="R756" i="5"/>
  <c r="E756" i="5"/>
  <c r="Q756" i="5"/>
  <c r="L139" i="5"/>
  <c r="C139" i="5"/>
  <c r="R139" i="5"/>
  <c r="J139" i="5"/>
  <c r="N139" i="5"/>
  <c r="R149" i="5"/>
  <c r="J149" i="5"/>
  <c r="Q149" i="5"/>
  <c r="I149" i="5"/>
  <c r="P149" i="5"/>
  <c r="H149" i="5"/>
  <c r="N149" i="5"/>
  <c r="N169" i="5"/>
  <c r="F169" i="5"/>
  <c r="M169" i="5"/>
  <c r="E169" i="5"/>
  <c r="L169" i="5"/>
  <c r="C169" i="5"/>
  <c r="Q169" i="5"/>
  <c r="O184" i="5"/>
  <c r="G184" i="5"/>
  <c r="N184" i="5"/>
  <c r="F184" i="5"/>
  <c r="M184" i="5"/>
  <c r="E184" i="5"/>
  <c r="L184" i="5"/>
  <c r="C184" i="5"/>
  <c r="R197" i="5"/>
  <c r="J197" i="5"/>
  <c r="Q197" i="5"/>
  <c r="I197" i="5"/>
  <c r="P197" i="5"/>
  <c r="H197" i="5"/>
  <c r="O197" i="5"/>
  <c r="G197" i="5"/>
  <c r="L197" i="5"/>
  <c r="C197" i="5"/>
  <c r="A220" i="5"/>
  <c r="A220" i="1" s="1"/>
  <c r="R237" i="5"/>
  <c r="J237" i="5"/>
  <c r="Q237" i="5"/>
  <c r="I237" i="5"/>
  <c r="P237" i="5"/>
  <c r="H237" i="5"/>
  <c r="O237" i="5"/>
  <c r="G237" i="5"/>
  <c r="N237" i="5"/>
  <c r="F237" i="5"/>
  <c r="M237" i="5"/>
  <c r="E237" i="5"/>
  <c r="L237" i="5"/>
  <c r="C237" i="5"/>
  <c r="R245" i="5"/>
  <c r="J245" i="5"/>
  <c r="Q245" i="5"/>
  <c r="I245" i="5"/>
  <c r="P245" i="5"/>
  <c r="H245" i="5"/>
  <c r="O245" i="5"/>
  <c r="G245" i="5"/>
  <c r="N245" i="5"/>
  <c r="F245" i="5"/>
  <c r="M245" i="5"/>
  <c r="E245" i="5"/>
  <c r="L245" i="5"/>
  <c r="C245" i="5"/>
  <c r="R277" i="5"/>
  <c r="J277" i="5"/>
  <c r="Q277" i="5"/>
  <c r="I277" i="5"/>
  <c r="P277" i="5"/>
  <c r="H277" i="5"/>
  <c r="O277" i="5"/>
  <c r="G277" i="5"/>
  <c r="N277" i="5"/>
  <c r="F277" i="5"/>
  <c r="M277" i="5"/>
  <c r="E277" i="5"/>
  <c r="L277" i="5"/>
  <c r="C277" i="5"/>
  <c r="R309" i="5"/>
  <c r="J309" i="5"/>
  <c r="Q309" i="5"/>
  <c r="I309" i="5"/>
  <c r="P309" i="5"/>
  <c r="H309" i="5"/>
  <c r="O309" i="5"/>
  <c r="G309" i="5"/>
  <c r="N309" i="5"/>
  <c r="F309" i="5"/>
  <c r="M309" i="5"/>
  <c r="E309" i="5"/>
  <c r="L309" i="5"/>
  <c r="C309" i="5"/>
  <c r="R341" i="5"/>
  <c r="J341" i="5"/>
  <c r="Q341" i="5"/>
  <c r="I341" i="5"/>
  <c r="P341" i="5"/>
  <c r="H341" i="5"/>
  <c r="O341" i="5"/>
  <c r="G341" i="5"/>
  <c r="N341" i="5"/>
  <c r="F341" i="5"/>
  <c r="M341" i="5"/>
  <c r="E341" i="5"/>
  <c r="L341" i="5"/>
  <c r="C341" i="5"/>
  <c r="R373" i="5"/>
  <c r="J373" i="5"/>
  <c r="Q373" i="5"/>
  <c r="I373" i="5"/>
  <c r="P373" i="5"/>
  <c r="H373" i="5"/>
  <c r="O373" i="5"/>
  <c r="G373" i="5"/>
  <c r="N373" i="5"/>
  <c r="F373" i="5"/>
  <c r="M373" i="5"/>
  <c r="E373" i="5"/>
  <c r="L373" i="5"/>
  <c r="C373" i="5"/>
  <c r="A373" i="5" s="1"/>
  <c r="A373" i="1" s="1"/>
  <c r="R405" i="5"/>
  <c r="J405" i="5"/>
  <c r="Q405" i="5"/>
  <c r="I405" i="5"/>
  <c r="P405" i="5"/>
  <c r="H405" i="5"/>
  <c r="O405" i="5"/>
  <c r="G405" i="5"/>
  <c r="N405" i="5"/>
  <c r="F405" i="5"/>
  <c r="M405" i="5"/>
  <c r="E405" i="5"/>
  <c r="L405" i="5"/>
  <c r="C405" i="5"/>
  <c r="R599" i="5"/>
  <c r="J599" i="5"/>
  <c r="Q599" i="5"/>
  <c r="I599" i="5"/>
  <c r="P599" i="5"/>
  <c r="H599" i="5"/>
  <c r="O599" i="5"/>
  <c r="G599" i="5"/>
  <c r="N599" i="5"/>
  <c r="F599" i="5"/>
  <c r="M599" i="5"/>
  <c r="E599" i="5"/>
  <c r="L599" i="5"/>
  <c r="C599" i="5"/>
  <c r="K599" i="5"/>
  <c r="K198" i="5"/>
  <c r="K206" i="5"/>
  <c r="J207" i="5"/>
  <c r="R207" i="5"/>
  <c r="K214" i="5"/>
  <c r="J215" i="5"/>
  <c r="R215" i="5"/>
  <c r="K222" i="5"/>
  <c r="J223" i="5"/>
  <c r="R223" i="5"/>
  <c r="K230" i="5"/>
  <c r="J231" i="5"/>
  <c r="R231" i="5"/>
  <c r="I232" i="5"/>
  <c r="Q232" i="5"/>
  <c r="K238" i="5"/>
  <c r="J239" i="5"/>
  <c r="R239" i="5"/>
  <c r="I240" i="5"/>
  <c r="Q240" i="5"/>
  <c r="K246" i="5"/>
  <c r="J247" i="5"/>
  <c r="R247" i="5"/>
  <c r="I248" i="5"/>
  <c r="Q248" i="5"/>
  <c r="K254" i="5"/>
  <c r="J255" i="5"/>
  <c r="R255" i="5"/>
  <c r="I256" i="5"/>
  <c r="Q256" i="5"/>
  <c r="K262" i="5"/>
  <c r="J263" i="5"/>
  <c r="R263" i="5"/>
  <c r="I264" i="5"/>
  <c r="Q264" i="5"/>
  <c r="K270" i="5"/>
  <c r="J271" i="5"/>
  <c r="R271" i="5"/>
  <c r="I272" i="5"/>
  <c r="Q272" i="5"/>
  <c r="K278" i="5"/>
  <c r="J279" i="5"/>
  <c r="R279" i="5"/>
  <c r="I280" i="5"/>
  <c r="Q280" i="5"/>
  <c r="K286" i="5"/>
  <c r="J287" i="5"/>
  <c r="R287" i="5"/>
  <c r="I288" i="5"/>
  <c r="Q288" i="5"/>
  <c r="K294" i="5"/>
  <c r="J295" i="5"/>
  <c r="R295" i="5"/>
  <c r="I296" i="5"/>
  <c r="Q296" i="5"/>
  <c r="K302" i="5"/>
  <c r="J303" i="5"/>
  <c r="R303" i="5"/>
  <c r="I304" i="5"/>
  <c r="Q304" i="5"/>
  <c r="K310" i="5"/>
  <c r="J311" i="5"/>
  <c r="R311" i="5"/>
  <c r="I312" i="5"/>
  <c r="Q312" i="5"/>
  <c r="K318" i="5"/>
  <c r="J319" i="5"/>
  <c r="R319" i="5"/>
  <c r="I320" i="5"/>
  <c r="Q320" i="5"/>
  <c r="K326" i="5"/>
  <c r="J327" i="5"/>
  <c r="R327" i="5"/>
  <c r="I328" i="5"/>
  <c r="Q328" i="5"/>
  <c r="K334" i="5"/>
  <c r="J335" i="5"/>
  <c r="R335" i="5"/>
  <c r="I336" i="5"/>
  <c r="Q336" i="5"/>
  <c r="K342" i="5"/>
  <c r="J343" i="5"/>
  <c r="R343" i="5"/>
  <c r="I344" i="5"/>
  <c r="Q344" i="5"/>
  <c r="K350" i="5"/>
  <c r="J351" i="5"/>
  <c r="R351" i="5"/>
  <c r="I352" i="5"/>
  <c r="Q352" i="5"/>
  <c r="K358" i="5"/>
  <c r="J359" i="5"/>
  <c r="R359" i="5"/>
  <c r="I360" i="5"/>
  <c r="Q360" i="5"/>
  <c r="K366" i="5"/>
  <c r="J367" i="5"/>
  <c r="R367" i="5"/>
  <c r="I368" i="5"/>
  <c r="Q368" i="5"/>
  <c r="K374" i="5"/>
  <c r="J375" i="5"/>
  <c r="R375" i="5"/>
  <c r="I376" i="5"/>
  <c r="Q376" i="5"/>
  <c r="K382" i="5"/>
  <c r="J383" i="5"/>
  <c r="R383" i="5"/>
  <c r="I384" i="5"/>
  <c r="Q384" i="5"/>
  <c r="K390" i="5"/>
  <c r="J391" i="5"/>
  <c r="R391" i="5"/>
  <c r="I392" i="5"/>
  <c r="Q392" i="5"/>
  <c r="K398" i="5"/>
  <c r="J399" i="5"/>
  <c r="R399" i="5"/>
  <c r="I400" i="5"/>
  <c r="Q400" i="5"/>
  <c r="K406" i="5"/>
  <c r="J407" i="5"/>
  <c r="R407" i="5"/>
  <c r="I408" i="5"/>
  <c r="Q408" i="5"/>
  <c r="K414" i="5"/>
  <c r="M416" i="5"/>
  <c r="E416" i="5"/>
  <c r="L416" i="5"/>
  <c r="J422" i="5"/>
  <c r="M424" i="5"/>
  <c r="E424" i="5"/>
  <c r="L424" i="5"/>
  <c r="J430" i="5"/>
  <c r="M432" i="5"/>
  <c r="E432" i="5"/>
  <c r="L432" i="5"/>
  <c r="J438" i="5"/>
  <c r="M440" i="5"/>
  <c r="E440" i="5"/>
  <c r="L440" i="5"/>
  <c r="J446" i="5"/>
  <c r="M448" i="5"/>
  <c r="E448" i="5"/>
  <c r="L448" i="5"/>
  <c r="R454" i="5"/>
  <c r="J454" i="5"/>
  <c r="O454" i="5"/>
  <c r="G454" i="5"/>
  <c r="M454" i="5"/>
  <c r="K456" i="5"/>
  <c r="L460" i="5"/>
  <c r="C460" i="5"/>
  <c r="Q460" i="5"/>
  <c r="I460" i="5"/>
  <c r="N460" i="5"/>
  <c r="K462" i="5"/>
  <c r="K468" i="5"/>
  <c r="L476" i="5"/>
  <c r="C476" i="5"/>
  <c r="Q476" i="5"/>
  <c r="I476" i="5"/>
  <c r="P476" i="5"/>
  <c r="H476" i="5"/>
  <c r="O476" i="5"/>
  <c r="R478" i="5"/>
  <c r="J478" i="5"/>
  <c r="O478" i="5"/>
  <c r="G478" i="5"/>
  <c r="N478" i="5"/>
  <c r="F478" i="5"/>
  <c r="A478" i="5" s="1"/>
  <c r="A478" i="1" s="1"/>
  <c r="P478" i="5"/>
  <c r="M486" i="5"/>
  <c r="A491" i="5"/>
  <c r="A491" i="1" s="1"/>
  <c r="L492" i="5"/>
  <c r="C492" i="5"/>
  <c r="R492" i="5"/>
  <c r="J492" i="5"/>
  <c r="Q492" i="5"/>
  <c r="I492" i="5"/>
  <c r="P492" i="5"/>
  <c r="H492" i="5"/>
  <c r="Q496" i="5"/>
  <c r="P496" i="5"/>
  <c r="H496" i="5"/>
  <c r="N496" i="5"/>
  <c r="F496" i="5"/>
  <c r="M496" i="5"/>
  <c r="E496" i="5"/>
  <c r="L496" i="5"/>
  <c r="C496" i="5"/>
  <c r="A506" i="5"/>
  <c r="A506" i="1" s="1"/>
  <c r="A522" i="5"/>
  <c r="A522" i="1" s="1"/>
  <c r="R615" i="5"/>
  <c r="J615" i="5"/>
  <c r="Q615" i="5"/>
  <c r="I615" i="5"/>
  <c r="P615" i="5"/>
  <c r="H615" i="5"/>
  <c r="O615" i="5"/>
  <c r="G615" i="5"/>
  <c r="N615" i="5"/>
  <c r="F615" i="5"/>
  <c r="M615" i="5"/>
  <c r="E615" i="5"/>
  <c r="L615" i="5"/>
  <c r="C615" i="5"/>
  <c r="R623" i="5"/>
  <c r="J623" i="5"/>
  <c r="Q623" i="5"/>
  <c r="I623" i="5"/>
  <c r="P623" i="5"/>
  <c r="H623" i="5"/>
  <c r="O623" i="5"/>
  <c r="G623" i="5"/>
  <c r="N623" i="5"/>
  <c r="F623" i="5"/>
  <c r="M623" i="5"/>
  <c r="E623" i="5"/>
  <c r="L623" i="5"/>
  <c r="C623" i="5"/>
  <c r="R631" i="5"/>
  <c r="J631" i="5"/>
  <c r="Q631" i="5"/>
  <c r="I631" i="5"/>
  <c r="P631" i="5"/>
  <c r="H631" i="5"/>
  <c r="O631" i="5"/>
  <c r="G631" i="5"/>
  <c r="N631" i="5"/>
  <c r="F631" i="5"/>
  <c r="M631" i="5"/>
  <c r="E631" i="5"/>
  <c r="L631" i="5"/>
  <c r="C631" i="5"/>
  <c r="R639" i="5"/>
  <c r="J639" i="5"/>
  <c r="Q639" i="5"/>
  <c r="I639" i="5"/>
  <c r="P639" i="5"/>
  <c r="H639" i="5"/>
  <c r="O639" i="5"/>
  <c r="G639" i="5"/>
  <c r="N639" i="5"/>
  <c r="F639" i="5"/>
  <c r="M639" i="5"/>
  <c r="E639" i="5"/>
  <c r="L639" i="5"/>
  <c r="C639" i="5"/>
  <c r="R647" i="5"/>
  <c r="J647" i="5"/>
  <c r="Q647" i="5"/>
  <c r="I647" i="5"/>
  <c r="P647" i="5"/>
  <c r="H647" i="5"/>
  <c r="O647" i="5"/>
  <c r="G647" i="5"/>
  <c r="N647" i="5"/>
  <c r="F647" i="5"/>
  <c r="M647" i="5"/>
  <c r="E647" i="5"/>
  <c r="L647" i="5"/>
  <c r="C647" i="5"/>
  <c r="R655" i="5"/>
  <c r="J655" i="5"/>
  <c r="Q655" i="5"/>
  <c r="I655" i="5"/>
  <c r="P655" i="5"/>
  <c r="H655" i="5"/>
  <c r="O655" i="5"/>
  <c r="G655" i="5"/>
  <c r="N655" i="5"/>
  <c r="F655" i="5"/>
  <c r="M655" i="5"/>
  <c r="E655" i="5"/>
  <c r="L655" i="5"/>
  <c r="C655" i="5"/>
  <c r="R663" i="5"/>
  <c r="J663" i="5"/>
  <c r="Q663" i="5"/>
  <c r="I663" i="5"/>
  <c r="P663" i="5"/>
  <c r="H663" i="5"/>
  <c r="O663" i="5"/>
  <c r="G663" i="5"/>
  <c r="N663" i="5"/>
  <c r="F663" i="5"/>
  <c r="M663" i="5"/>
  <c r="E663" i="5"/>
  <c r="L663" i="5"/>
  <c r="C663" i="5"/>
  <c r="R671" i="5"/>
  <c r="J671" i="5"/>
  <c r="Q671" i="5"/>
  <c r="I671" i="5"/>
  <c r="P671" i="5"/>
  <c r="H671" i="5"/>
  <c r="O671" i="5"/>
  <c r="G671" i="5"/>
  <c r="N671" i="5"/>
  <c r="F671" i="5"/>
  <c r="M671" i="5"/>
  <c r="E671" i="5"/>
  <c r="L671" i="5"/>
  <c r="C671" i="5"/>
  <c r="R679" i="5"/>
  <c r="J679" i="5"/>
  <c r="Q679" i="5"/>
  <c r="I679" i="5"/>
  <c r="P679" i="5"/>
  <c r="H679" i="5"/>
  <c r="O679" i="5"/>
  <c r="G679" i="5"/>
  <c r="N679" i="5"/>
  <c r="F679" i="5"/>
  <c r="M679" i="5"/>
  <c r="E679" i="5"/>
  <c r="L679" i="5"/>
  <c r="C679" i="5"/>
  <c r="R687" i="5"/>
  <c r="J687" i="5"/>
  <c r="Q687" i="5"/>
  <c r="I687" i="5"/>
  <c r="P687" i="5"/>
  <c r="H687" i="5"/>
  <c r="O687" i="5"/>
  <c r="G687" i="5"/>
  <c r="N687" i="5"/>
  <c r="F687" i="5"/>
  <c r="M687" i="5"/>
  <c r="E687" i="5"/>
  <c r="L687" i="5"/>
  <c r="C687" i="5"/>
  <c r="R695" i="5"/>
  <c r="J695" i="5"/>
  <c r="Q695" i="5"/>
  <c r="I695" i="5"/>
  <c r="P695" i="5"/>
  <c r="H695" i="5"/>
  <c r="O695" i="5"/>
  <c r="G695" i="5"/>
  <c r="N695" i="5"/>
  <c r="F695" i="5"/>
  <c r="M695" i="5"/>
  <c r="E695" i="5"/>
  <c r="L695" i="5"/>
  <c r="C695" i="5"/>
  <c r="R703" i="5"/>
  <c r="J703" i="5"/>
  <c r="Q703" i="5"/>
  <c r="I703" i="5"/>
  <c r="P703" i="5"/>
  <c r="H703" i="5"/>
  <c r="O703" i="5"/>
  <c r="G703" i="5"/>
  <c r="N703" i="5"/>
  <c r="F703" i="5"/>
  <c r="M703" i="5"/>
  <c r="E703" i="5"/>
  <c r="L703" i="5"/>
  <c r="C703" i="5"/>
  <c r="R711" i="5"/>
  <c r="J711" i="5"/>
  <c r="Q711" i="5"/>
  <c r="I711" i="5"/>
  <c r="P711" i="5"/>
  <c r="H711" i="5"/>
  <c r="O711" i="5"/>
  <c r="G711" i="5"/>
  <c r="N711" i="5"/>
  <c r="F711" i="5"/>
  <c r="M711" i="5"/>
  <c r="E711" i="5"/>
  <c r="L711" i="5"/>
  <c r="C711" i="5"/>
  <c r="L760" i="5"/>
  <c r="C760" i="5"/>
  <c r="R760" i="5"/>
  <c r="J760" i="5"/>
  <c r="P760" i="5"/>
  <c r="H760" i="5"/>
  <c r="N760" i="5"/>
  <c r="M760" i="5"/>
  <c r="K760" i="5"/>
  <c r="I760" i="5"/>
  <c r="G760" i="5"/>
  <c r="F760" i="5"/>
  <c r="Q760" i="5"/>
  <c r="E760" i="5"/>
  <c r="A775" i="5"/>
  <c r="A775" i="1" s="1"/>
  <c r="K207" i="5"/>
  <c r="K215" i="5"/>
  <c r="K223" i="5"/>
  <c r="K231" i="5"/>
  <c r="J232" i="5"/>
  <c r="R232" i="5"/>
  <c r="K239" i="5"/>
  <c r="J240" i="5"/>
  <c r="R240" i="5"/>
  <c r="K247" i="5"/>
  <c r="J248" i="5"/>
  <c r="R248" i="5"/>
  <c r="K255" i="5"/>
  <c r="J256" i="5"/>
  <c r="R256" i="5"/>
  <c r="K263" i="5"/>
  <c r="A263" i="5" s="1"/>
  <c r="A263" i="1" s="1"/>
  <c r="J264" i="5"/>
  <c r="R264" i="5"/>
  <c r="K271" i="5"/>
  <c r="J272" i="5"/>
  <c r="R272" i="5"/>
  <c r="K279" i="5"/>
  <c r="J280" i="5"/>
  <c r="R280" i="5"/>
  <c r="K287" i="5"/>
  <c r="J288" i="5"/>
  <c r="R288" i="5"/>
  <c r="K295" i="5"/>
  <c r="J296" i="5"/>
  <c r="R296" i="5"/>
  <c r="K303" i="5"/>
  <c r="J304" i="5"/>
  <c r="R304" i="5"/>
  <c r="K311" i="5"/>
  <c r="J312" i="5"/>
  <c r="R312" i="5"/>
  <c r="K319" i="5"/>
  <c r="J320" i="5"/>
  <c r="R320" i="5"/>
  <c r="K327" i="5"/>
  <c r="J328" i="5"/>
  <c r="R328" i="5"/>
  <c r="K335" i="5"/>
  <c r="J336" i="5"/>
  <c r="R336" i="5"/>
  <c r="K343" i="5"/>
  <c r="J344" i="5"/>
  <c r="R344" i="5"/>
  <c r="K351" i="5"/>
  <c r="J352" i="5"/>
  <c r="R352" i="5"/>
  <c r="K359" i="5"/>
  <c r="J360" i="5"/>
  <c r="R360" i="5"/>
  <c r="K367" i="5"/>
  <c r="J368" i="5"/>
  <c r="R368" i="5"/>
  <c r="K375" i="5"/>
  <c r="J376" i="5"/>
  <c r="R376" i="5"/>
  <c r="K383" i="5"/>
  <c r="J384" i="5"/>
  <c r="R384" i="5"/>
  <c r="K391" i="5"/>
  <c r="J392" i="5"/>
  <c r="R392" i="5"/>
  <c r="K399" i="5"/>
  <c r="J400" i="5"/>
  <c r="R400" i="5"/>
  <c r="K407" i="5"/>
  <c r="J408" i="5"/>
  <c r="R408" i="5"/>
  <c r="N415" i="5"/>
  <c r="F415" i="5"/>
  <c r="L415" i="5"/>
  <c r="N423" i="5"/>
  <c r="F423" i="5"/>
  <c r="A423" i="5" s="1"/>
  <c r="A423" i="1" s="1"/>
  <c r="L423" i="5"/>
  <c r="N431" i="5"/>
  <c r="F431" i="5"/>
  <c r="L431" i="5"/>
  <c r="N439" i="5"/>
  <c r="F439" i="5"/>
  <c r="L439" i="5"/>
  <c r="N447" i="5"/>
  <c r="F447" i="5"/>
  <c r="L447" i="5"/>
  <c r="O465" i="5"/>
  <c r="G465" i="5"/>
  <c r="L465" i="5"/>
  <c r="C465" i="5"/>
  <c r="N465" i="5"/>
  <c r="Q471" i="5"/>
  <c r="I471" i="5"/>
  <c r="N471" i="5"/>
  <c r="F471" i="5"/>
  <c r="M471" i="5"/>
  <c r="A490" i="5"/>
  <c r="A490" i="1" s="1"/>
  <c r="Q512" i="5"/>
  <c r="I512" i="5"/>
  <c r="P512" i="5"/>
  <c r="H512" i="5"/>
  <c r="N512" i="5"/>
  <c r="F512" i="5"/>
  <c r="M512" i="5"/>
  <c r="E512" i="5"/>
  <c r="L512" i="5"/>
  <c r="C512" i="5"/>
  <c r="Q528" i="5"/>
  <c r="I528" i="5"/>
  <c r="P528" i="5"/>
  <c r="H528" i="5"/>
  <c r="N528" i="5"/>
  <c r="F528" i="5"/>
  <c r="M528" i="5"/>
  <c r="E528" i="5"/>
  <c r="L528" i="5"/>
  <c r="C528" i="5"/>
  <c r="A528" i="5" s="1"/>
  <c r="A528" i="1" s="1"/>
  <c r="R559" i="5"/>
  <c r="J559" i="5"/>
  <c r="Q559" i="5"/>
  <c r="I559" i="5"/>
  <c r="P559" i="5"/>
  <c r="H559" i="5"/>
  <c r="O559" i="5"/>
  <c r="G559" i="5"/>
  <c r="N559" i="5"/>
  <c r="F559" i="5"/>
  <c r="M559" i="5"/>
  <c r="E559" i="5"/>
  <c r="L559" i="5"/>
  <c r="C559" i="5"/>
  <c r="A565" i="5"/>
  <c r="A565" i="1" s="1"/>
  <c r="A594" i="5"/>
  <c r="A594" i="1" s="1"/>
  <c r="A602" i="5"/>
  <c r="A602" i="1" s="1"/>
  <c r="K615" i="5"/>
  <c r="K623" i="5"/>
  <c r="K631" i="5"/>
  <c r="K639" i="5"/>
  <c r="K647" i="5"/>
  <c r="K655" i="5"/>
  <c r="K663" i="5"/>
  <c r="K671" i="5"/>
  <c r="K679" i="5"/>
  <c r="K687" i="5"/>
  <c r="K695" i="5"/>
  <c r="K703" i="5"/>
  <c r="K711" i="5"/>
  <c r="O760" i="5"/>
  <c r="R1003" i="5"/>
  <c r="J1003" i="5"/>
  <c r="Q1003" i="5"/>
  <c r="I1003" i="5"/>
  <c r="P1003" i="5"/>
  <c r="H1003" i="5"/>
  <c r="O1003" i="5"/>
  <c r="G1003" i="5"/>
  <c r="N1003" i="5"/>
  <c r="F1003" i="5"/>
  <c r="M1003" i="5"/>
  <c r="E1003" i="5"/>
  <c r="L1003" i="5"/>
  <c r="C1003" i="5"/>
  <c r="K1003" i="5"/>
  <c r="K232" i="5"/>
  <c r="K240" i="5"/>
  <c r="K248" i="5"/>
  <c r="K256" i="5"/>
  <c r="K264" i="5"/>
  <c r="K272" i="5"/>
  <c r="K280" i="5"/>
  <c r="K288" i="5"/>
  <c r="K296" i="5"/>
  <c r="K304" i="5"/>
  <c r="K312" i="5"/>
  <c r="K320" i="5"/>
  <c r="K328" i="5"/>
  <c r="K336" i="5"/>
  <c r="K344" i="5"/>
  <c r="K352" i="5"/>
  <c r="K360" i="5"/>
  <c r="K368" i="5"/>
  <c r="K376" i="5"/>
  <c r="K384" i="5"/>
  <c r="K392" i="5"/>
  <c r="K400" i="5"/>
  <c r="K408" i="5"/>
  <c r="O422" i="5"/>
  <c r="G422" i="5"/>
  <c r="L422" i="5"/>
  <c r="O430" i="5"/>
  <c r="G430" i="5"/>
  <c r="L430" i="5"/>
  <c r="O438" i="5"/>
  <c r="G438" i="5"/>
  <c r="L438" i="5"/>
  <c r="O446" i="5"/>
  <c r="G446" i="5"/>
  <c r="L446" i="5"/>
  <c r="P456" i="5"/>
  <c r="H456" i="5"/>
  <c r="M456" i="5"/>
  <c r="E456" i="5"/>
  <c r="N456" i="5"/>
  <c r="R462" i="5"/>
  <c r="J462" i="5"/>
  <c r="O462" i="5"/>
  <c r="G462" i="5"/>
  <c r="M462" i="5"/>
  <c r="L468" i="5"/>
  <c r="C468" i="5"/>
  <c r="Q468" i="5"/>
  <c r="I468" i="5"/>
  <c r="N468" i="5"/>
  <c r="R486" i="5"/>
  <c r="J486" i="5"/>
  <c r="P486" i="5"/>
  <c r="H486" i="5"/>
  <c r="O486" i="5"/>
  <c r="G486" i="5"/>
  <c r="N486" i="5"/>
  <c r="F486" i="5"/>
  <c r="R511" i="5"/>
  <c r="J511" i="5"/>
  <c r="Q511" i="5"/>
  <c r="I511" i="5"/>
  <c r="O511" i="5"/>
  <c r="G511" i="5"/>
  <c r="N511" i="5"/>
  <c r="F511" i="5"/>
  <c r="M511" i="5"/>
  <c r="E511" i="5"/>
  <c r="R527" i="5"/>
  <c r="J527" i="5"/>
  <c r="Q527" i="5"/>
  <c r="I527" i="5"/>
  <c r="O527" i="5"/>
  <c r="G527" i="5"/>
  <c r="N527" i="5"/>
  <c r="F527" i="5"/>
  <c r="M527" i="5"/>
  <c r="E527" i="5"/>
  <c r="M532" i="5"/>
  <c r="E532" i="5"/>
  <c r="L532" i="5"/>
  <c r="C532" i="5"/>
  <c r="R532" i="5"/>
  <c r="J532" i="5"/>
  <c r="Q532" i="5"/>
  <c r="I532" i="5"/>
  <c r="P532" i="5"/>
  <c r="H532" i="5"/>
  <c r="O532" i="5"/>
  <c r="G532" i="5"/>
  <c r="A646" i="5"/>
  <c r="A646" i="1" s="1"/>
  <c r="A662" i="5"/>
  <c r="A710" i="5"/>
  <c r="A710" i="1" s="1"/>
  <c r="O766" i="5"/>
  <c r="G766" i="5"/>
  <c r="N766" i="5"/>
  <c r="F766" i="5"/>
  <c r="L766" i="5"/>
  <c r="C766" i="5"/>
  <c r="R766" i="5"/>
  <c r="J766" i="5"/>
  <c r="Q766" i="5"/>
  <c r="P766" i="5"/>
  <c r="M766" i="5"/>
  <c r="K766" i="5"/>
  <c r="I766" i="5"/>
  <c r="H766" i="5"/>
  <c r="E766" i="5"/>
  <c r="A773" i="5"/>
  <c r="A773" i="1" s="1"/>
  <c r="M776" i="5"/>
  <c r="E776" i="5"/>
  <c r="L776" i="5"/>
  <c r="C776" i="5"/>
  <c r="R776" i="5"/>
  <c r="J776" i="5"/>
  <c r="P776" i="5"/>
  <c r="H776" i="5"/>
  <c r="Q776" i="5"/>
  <c r="O776" i="5"/>
  <c r="N776" i="5"/>
  <c r="K776" i="5"/>
  <c r="I776" i="5"/>
  <c r="G776" i="5"/>
  <c r="F776" i="5"/>
  <c r="K177" i="5"/>
  <c r="K185" i="5"/>
  <c r="K193" i="5"/>
  <c r="F198" i="5"/>
  <c r="A198" i="5" s="1"/>
  <c r="A198" i="1" s="1"/>
  <c r="N198" i="5"/>
  <c r="K201" i="5"/>
  <c r="F206" i="5"/>
  <c r="N206" i="5"/>
  <c r="E207" i="5"/>
  <c r="M207" i="5"/>
  <c r="K209" i="5"/>
  <c r="F214" i="5"/>
  <c r="N214" i="5"/>
  <c r="E215" i="5"/>
  <c r="A215" i="5" s="1"/>
  <c r="A215" i="1" s="1"/>
  <c r="M215" i="5"/>
  <c r="K217" i="5"/>
  <c r="F222" i="5"/>
  <c r="N222" i="5"/>
  <c r="E223" i="5"/>
  <c r="A223" i="5" s="1"/>
  <c r="A223" i="1" s="1"/>
  <c r="M223" i="5"/>
  <c r="K225" i="5"/>
  <c r="F230" i="5"/>
  <c r="A230" i="5" s="1"/>
  <c r="A230" i="1" s="1"/>
  <c r="N230" i="5"/>
  <c r="E231" i="5"/>
  <c r="A231" i="5" s="1"/>
  <c r="A231" i="1" s="1"/>
  <c r="M231" i="5"/>
  <c r="C232" i="5"/>
  <c r="L232" i="5"/>
  <c r="K233" i="5"/>
  <c r="F238" i="5"/>
  <c r="N238" i="5"/>
  <c r="E239" i="5"/>
  <c r="A239" i="5" s="1"/>
  <c r="A239" i="1" s="1"/>
  <c r="M239" i="5"/>
  <c r="C240" i="5"/>
  <c r="L240" i="5"/>
  <c r="K241" i="5"/>
  <c r="F246" i="5"/>
  <c r="N246" i="5"/>
  <c r="E247" i="5"/>
  <c r="A247" i="5" s="1"/>
  <c r="A247" i="1" s="1"/>
  <c r="M247" i="5"/>
  <c r="C248" i="5"/>
  <c r="L248" i="5"/>
  <c r="K249" i="5"/>
  <c r="F254" i="5"/>
  <c r="N254" i="5"/>
  <c r="E255" i="5"/>
  <c r="A255" i="5" s="1"/>
  <c r="A255" i="1" s="1"/>
  <c r="M255" i="5"/>
  <c r="C256" i="5"/>
  <c r="L256" i="5"/>
  <c r="K257" i="5"/>
  <c r="F262" i="5"/>
  <c r="N262" i="5"/>
  <c r="E263" i="5"/>
  <c r="M263" i="5"/>
  <c r="C264" i="5"/>
  <c r="L264" i="5"/>
  <c r="K265" i="5"/>
  <c r="F270" i="5"/>
  <c r="N270" i="5"/>
  <c r="E271" i="5"/>
  <c r="M271" i="5"/>
  <c r="C272" i="5"/>
  <c r="L272" i="5"/>
  <c r="K273" i="5"/>
  <c r="F278" i="5"/>
  <c r="N278" i="5"/>
  <c r="E279" i="5"/>
  <c r="A279" i="5" s="1"/>
  <c r="A279" i="1" s="1"/>
  <c r="M279" i="5"/>
  <c r="C280" i="5"/>
  <c r="L280" i="5"/>
  <c r="K281" i="5"/>
  <c r="F286" i="5"/>
  <c r="N286" i="5"/>
  <c r="E287" i="5"/>
  <c r="M287" i="5"/>
  <c r="C288" i="5"/>
  <c r="L288" i="5"/>
  <c r="K289" i="5"/>
  <c r="F294" i="5"/>
  <c r="N294" i="5"/>
  <c r="E295" i="5"/>
  <c r="A295" i="5" s="1"/>
  <c r="A295" i="1" s="1"/>
  <c r="M295" i="5"/>
  <c r="C296" i="5"/>
  <c r="L296" i="5"/>
  <c r="K297" i="5"/>
  <c r="F302" i="5"/>
  <c r="N302" i="5"/>
  <c r="E303" i="5"/>
  <c r="A303" i="5" s="1"/>
  <c r="A303" i="1" s="1"/>
  <c r="M303" i="5"/>
  <c r="C304" i="5"/>
  <c r="L304" i="5"/>
  <c r="K305" i="5"/>
  <c r="F310" i="5"/>
  <c r="N310" i="5"/>
  <c r="E311" i="5"/>
  <c r="A311" i="5" s="1"/>
  <c r="A311" i="1" s="1"/>
  <c r="M311" i="5"/>
  <c r="C312" i="5"/>
  <c r="L312" i="5"/>
  <c r="K313" i="5"/>
  <c r="F318" i="5"/>
  <c r="N318" i="5"/>
  <c r="E319" i="5"/>
  <c r="A319" i="5" s="1"/>
  <c r="A319" i="1" s="1"/>
  <c r="M319" i="5"/>
  <c r="C320" i="5"/>
  <c r="L320" i="5"/>
  <c r="K321" i="5"/>
  <c r="F326" i="5"/>
  <c r="N326" i="5"/>
  <c r="E327" i="5"/>
  <c r="A327" i="5" s="1"/>
  <c r="A327" i="1" s="1"/>
  <c r="M327" i="5"/>
  <c r="C328" i="5"/>
  <c r="L328" i="5"/>
  <c r="K329" i="5"/>
  <c r="F334" i="5"/>
  <c r="N334" i="5"/>
  <c r="E335" i="5"/>
  <c r="A335" i="5" s="1"/>
  <c r="A335" i="1" s="1"/>
  <c r="M335" i="5"/>
  <c r="C336" i="5"/>
  <c r="L336" i="5"/>
  <c r="K337" i="5"/>
  <c r="F342" i="5"/>
  <c r="N342" i="5"/>
  <c r="E343" i="5"/>
  <c r="A343" i="5" s="1"/>
  <c r="A343" i="1" s="1"/>
  <c r="M343" i="5"/>
  <c r="C344" i="5"/>
  <c r="L344" i="5"/>
  <c r="K345" i="5"/>
  <c r="F350" i="5"/>
  <c r="N350" i="5"/>
  <c r="E351" i="5"/>
  <c r="A351" i="5" s="1"/>
  <c r="A351" i="1" s="1"/>
  <c r="M351" i="5"/>
  <c r="C352" i="5"/>
  <c r="L352" i="5"/>
  <c r="K353" i="5"/>
  <c r="F358" i="5"/>
  <c r="N358" i="5"/>
  <c r="E359" i="5"/>
  <c r="A359" i="5" s="1"/>
  <c r="A359" i="1" s="1"/>
  <c r="M359" i="5"/>
  <c r="C360" i="5"/>
  <c r="L360" i="5"/>
  <c r="K361" i="5"/>
  <c r="F366" i="5"/>
  <c r="N366" i="5"/>
  <c r="E367" i="5"/>
  <c r="A367" i="5" s="1"/>
  <c r="A367" i="1" s="1"/>
  <c r="M367" i="5"/>
  <c r="C368" i="5"/>
  <c r="L368" i="5"/>
  <c r="K369" i="5"/>
  <c r="F374" i="5"/>
  <c r="N374" i="5"/>
  <c r="E375" i="5"/>
  <c r="A375" i="5" s="1"/>
  <c r="A375" i="1" s="1"/>
  <c r="M375" i="5"/>
  <c r="C376" i="5"/>
  <c r="L376" i="5"/>
  <c r="K377" i="5"/>
  <c r="F382" i="5"/>
  <c r="N382" i="5"/>
  <c r="E383" i="5"/>
  <c r="M383" i="5"/>
  <c r="C384" i="5"/>
  <c r="L384" i="5"/>
  <c r="K385" i="5"/>
  <c r="F390" i="5"/>
  <c r="N390" i="5"/>
  <c r="E391" i="5"/>
  <c r="A391" i="5" s="1"/>
  <c r="A391" i="1" s="1"/>
  <c r="M391" i="5"/>
  <c r="C392" i="5"/>
  <c r="L392" i="5"/>
  <c r="K393" i="5"/>
  <c r="F398" i="5"/>
  <c r="N398" i="5"/>
  <c r="E399" i="5"/>
  <c r="M399" i="5"/>
  <c r="C400" i="5"/>
  <c r="L400" i="5"/>
  <c r="K401" i="5"/>
  <c r="F406" i="5"/>
  <c r="N406" i="5"/>
  <c r="E407" i="5"/>
  <c r="M407" i="5"/>
  <c r="C408" i="5"/>
  <c r="L408" i="5"/>
  <c r="K409" i="5"/>
  <c r="F414" i="5"/>
  <c r="N414" i="5"/>
  <c r="E415" i="5"/>
  <c r="A415" i="5" s="1"/>
  <c r="A415" i="1" s="1"/>
  <c r="O415" i="5"/>
  <c r="G416" i="5"/>
  <c r="P416" i="5"/>
  <c r="P421" i="5"/>
  <c r="H421" i="5"/>
  <c r="L421" i="5"/>
  <c r="C422" i="5"/>
  <c r="M422" i="5"/>
  <c r="E423" i="5"/>
  <c r="O423" i="5"/>
  <c r="G424" i="5"/>
  <c r="P424" i="5"/>
  <c r="P429" i="5"/>
  <c r="H429" i="5"/>
  <c r="L429" i="5"/>
  <c r="C430" i="5"/>
  <c r="M430" i="5"/>
  <c r="E431" i="5"/>
  <c r="A431" i="5" s="1"/>
  <c r="A431" i="1" s="1"/>
  <c r="O431" i="5"/>
  <c r="G432" i="5"/>
  <c r="P432" i="5"/>
  <c r="P437" i="5"/>
  <c r="H437" i="5"/>
  <c r="L437" i="5"/>
  <c r="C438" i="5"/>
  <c r="M438" i="5"/>
  <c r="E439" i="5"/>
  <c r="A439" i="5" s="1"/>
  <c r="A439" i="1" s="1"/>
  <c r="O439" i="5"/>
  <c r="G440" i="5"/>
  <c r="P440" i="5"/>
  <c r="P445" i="5"/>
  <c r="H445" i="5"/>
  <c r="L445" i="5"/>
  <c r="C446" i="5"/>
  <c r="M446" i="5"/>
  <c r="E447" i="5"/>
  <c r="A447" i="5" s="1"/>
  <c r="A447" i="1" s="1"/>
  <c r="O447" i="5"/>
  <c r="G448" i="5"/>
  <c r="P448" i="5"/>
  <c r="K453" i="5"/>
  <c r="P453" i="5"/>
  <c r="H453" i="5"/>
  <c r="M453" i="5"/>
  <c r="F454" i="5"/>
  <c r="Q454" i="5"/>
  <c r="C456" i="5"/>
  <c r="O456" i="5"/>
  <c r="M459" i="5"/>
  <c r="E459" i="5"/>
  <c r="R459" i="5"/>
  <c r="J459" i="5"/>
  <c r="N459" i="5"/>
  <c r="G460" i="5"/>
  <c r="R460" i="5"/>
  <c r="C462" i="5"/>
  <c r="N462" i="5"/>
  <c r="F465" i="5"/>
  <c r="Q465" i="5"/>
  <c r="E468" i="5"/>
  <c r="O468" i="5"/>
  <c r="E471" i="5"/>
  <c r="A471" i="5" s="1"/>
  <c r="A471" i="1" s="1"/>
  <c r="P471" i="5"/>
  <c r="G476" i="5"/>
  <c r="H478" i="5"/>
  <c r="Q479" i="5"/>
  <c r="I479" i="5"/>
  <c r="N479" i="5"/>
  <c r="F479" i="5"/>
  <c r="M479" i="5"/>
  <c r="E479" i="5"/>
  <c r="P479" i="5"/>
  <c r="M483" i="5"/>
  <c r="E483" i="5"/>
  <c r="K483" i="5"/>
  <c r="R483" i="5"/>
  <c r="J483" i="5"/>
  <c r="Q483" i="5"/>
  <c r="I483" i="5"/>
  <c r="P483" i="5"/>
  <c r="C486" i="5"/>
  <c r="Q487" i="5"/>
  <c r="I487" i="5"/>
  <c r="O487" i="5"/>
  <c r="G487" i="5"/>
  <c r="N487" i="5"/>
  <c r="F487" i="5"/>
  <c r="M487" i="5"/>
  <c r="E487" i="5"/>
  <c r="G492" i="5"/>
  <c r="J496" i="5"/>
  <c r="M500" i="5"/>
  <c r="E500" i="5"/>
  <c r="L500" i="5"/>
  <c r="C500" i="5"/>
  <c r="R500" i="5"/>
  <c r="J500" i="5"/>
  <c r="Q500" i="5"/>
  <c r="I500" i="5"/>
  <c r="P500" i="5"/>
  <c r="H500" i="5"/>
  <c r="C511" i="5"/>
  <c r="J512" i="5"/>
  <c r="M516" i="5"/>
  <c r="E516" i="5"/>
  <c r="L516" i="5"/>
  <c r="C516" i="5"/>
  <c r="R516" i="5"/>
  <c r="J516" i="5"/>
  <c r="Q516" i="5"/>
  <c r="I516" i="5"/>
  <c r="P516" i="5"/>
  <c r="H516" i="5"/>
  <c r="C527" i="5"/>
  <c r="J528" i="5"/>
  <c r="A530" i="5"/>
  <c r="A530" i="1" s="1"/>
  <c r="F532" i="5"/>
  <c r="R535" i="5"/>
  <c r="J535" i="5"/>
  <c r="Q535" i="5"/>
  <c r="I535" i="5"/>
  <c r="P535" i="5"/>
  <c r="H535" i="5"/>
  <c r="O535" i="5"/>
  <c r="G535" i="5"/>
  <c r="N535" i="5"/>
  <c r="F535" i="5"/>
  <c r="M535" i="5"/>
  <c r="E535" i="5"/>
  <c r="L535" i="5"/>
  <c r="C535" i="5"/>
  <c r="A554" i="5"/>
  <c r="A554" i="1" s="1"/>
  <c r="R567" i="5"/>
  <c r="J567" i="5"/>
  <c r="Q567" i="5"/>
  <c r="I567" i="5"/>
  <c r="P567" i="5"/>
  <c r="H567" i="5"/>
  <c r="O567" i="5"/>
  <c r="G567" i="5"/>
  <c r="N567" i="5"/>
  <c r="F567" i="5"/>
  <c r="M567" i="5"/>
  <c r="E567" i="5"/>
  <c r="L567" i="5"/>
  <c r="C567" i="5"/>
  <c r="A567" i="5" s="1"/>
  <c r="A567" i="1" s="1"/>
  <c r="Q1029" i="5"/>
  <c r="I1029" i="5"/>
  <c r="M1029" i="5"/>
  <c r="E1029" i="5"/>
  <c r="L1029" i="5"/>
  <c r="K1029" i="5"/>
  <c r="J1029" i="5"/>
  <c r="H1029" i="5"/>
  <c r="R1029" i="5"/>
  <c r="G1029" i="5"/>
  <c r="P1029" i="5"/>
  <c r="F1029" i="5"/>
  <c r="O1029" i="5"/>
  <c r="C1029" i="5"/>
  <c r="N1029" i="5"/>
  <c r="K138" i="5"/>
  <c r="I140" i="5"/>
  <c r="A140" i="5" s="1"/>
  <c r="A140" i="1" s="1"/>
  <c r="Q140" i="5"/>
  <c r="K146" i="5"/>
  <c r="J147" i="5"/>
  <c r="R147" i="5"/>
  <c r="I148" i="5"/>
  <c r="A148" i="5" s="1"/>
  <c r="A148" i="1" s="1"/>
  <c r="Q148" i="5"/>
  <c r="J155" i="5"/>
  <c r="R155" i="5"/>
  <c r="I156" i="5"/>
  <c r="A156" i="5" s="1"/>
  <c r="A156" i="1" s="1"/>
  <c r="Q156" i="5"/>
  <c r="J163" i="5"/>
  <c r="R163" i="5"/>
  <c r="I164" i="5"/>
  <c r="Q164" i="5"/>
  <c r="A164" i="5" s="1"/>
  <c r="A164" i="1" s="1"/>
  <c r="J171" i="5"/>
  <c r="R171" i="5"/>
  <c r="I172" i="5"/>
  <c r="A172" i="5" s="1"/>
  <c r="A172" i="1" s="1"/>
  <c r="Q172" i="5"/>
  <c r="C177" i="5"/>
  <c r="A177" i="5" s="1"/>
  <c r="A177" i="1" s="1"/>
  <c r="L177" i="5"/>
  <c r="J179" i="5"/>
  <c r="R179" i="5"/>
  <c r="I180" i="5"/>
  <c r="Q180" i="5"/>
  <c r="C185" i="5"/>
  <c r="A185" i="5" s="1"/>
  <c r="A185" i="1" s="1"/>
  <c r="L185" i="5"/>
  <c r="J187" i="5"/>
  <c r="R187" i="5"/>
  <c r="I188" i="5"/>
  <c r="A188" i="5" s="1"/>
  <c r="A188" i="1" s="1"/>
  <c r="Q188" i="5"/>
  <c r="C193" i="5"/>
  <c r="L193" i="5"/>
  <c r="J195" i="5"/>
  <c r="R195" i="5"/>
  <c r="I196" i="5"/>
  <c r="Q196" i="5"/>
  <c r="G198" i="5"/>
  <c r="O198" i="5"/>
  <c r="C201" i="5"/>
  <c r="L201" i="5"/>
  <c r="J203" i="5"/>
  <c r="R203" i="5"/>
  <c r="I204" i="5"/>
  <c r="A204" i="5" s="1"/>
  <c r="A204" i="1" s="1"/>
  <c r="Q204" i="5"/>
  <c r="G206" i="5"/>
  <c r="O206" i="5"/>
  <c r="F207" i="5"/>
  <c r="N207" i="5"/>
  <c r="C209" i="5"/>
  <c r="A209" i="5" s="1"/>
  <c r="A209" i="1" s="1"/>
  <c r="L209" i="5"/>
  <c r="J211" i="5"/>
  <c r="R211" i="5"/>
  <c r="I212" i="5"/>
  <c r="A212" i="5" s="1"/>
  <c r="A212" i="1" s="1"/>
  <c r="Q212" i="5"/>
  <c r="G214" i="5"/>
  <c r="O214" i="5"/>
  <c r="F215" i="5"/>
  <c r="N215" i="5"/>
  <c r="C217" i="5"/>
  <c r="L217" i="5"/>
  <c r="J219" i="5"/>
  <c r="R219" i="5"/>
  <c r="I220" i="5"/>
  <c r="Q220" i="5"/>
  <c r="G222" i="5"/>
  <c r="O222" i="5"/>
  <c r="F223" i="5"/>
  <c r="N223" i="5"/>
  <c r="C225" i="5"/>
  <c r="L225" i="5"/>
  <c r="J227" i="5"/>
  <c r="R227" i="5"/>
  <c r="I228" i="5"/>
  <c r="A228" i="5" s="1"/>
  <c r="A228" i="1" s="1"/>
  <c r="Q228" i="5"/>
  <c r="G230" i="5"/>
  <c r="O230" i="5"/>
  <c r="F231" i="5"/>
  <c r="N231" i="5"/>
  <c r="E232" i="5"/>
  <c r="M232" i="5"/>
  <c r="C233" i="5"/>
  <c r="L233" i="5"/>
  <c r="J235" i="5"/>
  <c r="R235" i="5"/>
  <c r="I236" i="5"/>
  <c r="A236" i="5" s="1"/>
  <c r="A236" i="1" s="1"/>
  <c r="Q236" i="5"/>
  <c r="G238" i="5"/>
  <c r="O238" i="5"/>
  <c r="F239" i="5"/>
  <c r="N239" i="5"/>
  <c r="E240" i="5"/>
  <c r="M240" i="5"/>
  <c r="C241" i="5"/>
  <c r="L241" i="5"/>
  <c r="J243" i="5"/>
  <c r="R243" i="5"/>
  <c r="I244" i="5"/>
  <c r="A244" i="5" s="1"/>
  <c r="A244" i="1" s="1"/>
  <c r="Q244" i="5"/>
  <c r="G246" i="5"/>
  <c r="O246" i="5"/>
  <c r="F247" i="5"/>
  <c r="N247" i="5"/>
  <c r="E248" i="5"/>
  <c r="M248" i="5"/>
  <c r="C249" i="5"/>
  <c r="A249" i="5" s="1"/>
  <c r="A249" i="1" s="1"/>
  <c r="L249" i="5"/>
  <c r="J251" i="5"/>
  <c r="A251" i="5" s="1"/>
  <c r="A251" i="1" s="1"/>
  <c r="R251" i="5"/>
  <c r="I252" i="5"/>
  <c r="Q252" i="5"/>
  <c r="A252" i="5" s="1"/>
  <c r="A252" i="1" s="1"/>
  <c r="G254" i="5"/>
  <c r="O254" i="5"/>
  <c r="F255" i="5"/>
  <c r="N255" i="5"/>
  <c r="E256" i="5"/>
  <c r="M256" i="5"/>
  <c r="C257" i="5"/>
  <c r="L257" i="5"/>
  <c r="J259" i="5"/>
  <c r="A259" i="5" s="1"/>
  <c r="A259" i="1" s="1"/>
  <c r="R259" i="5"/>
  <c r="I260" i="5"/>
  <c r="A260" i="5" s="1"/>
  <c r="A260" i="1" s="1"/>
  <c r="Q260" i="5"/>
  <c r="G262" i="5"/>
  <c r="O262" i="5"/>
  <c r="F263" i="5"/>
  <c r="N263" i="5"/>
  <c r="E264" i="5"/>
  <c r="M264" i="5"/>
  <c r="C265" i="5"/>
  <c r="A265" i="5" s="1"/>
  <c r="A265" i="1" s="1"/>
  <c r="L265" i="5"/>
  <c r="J267" i="5"/>
  <c r="A267" i="5" s="1"/>
  <c r="A267" i="1" s="1"/>
  <c r="R267" i="5"/>
  <c r="I268" i="5"/>
  <c r="A268" i="5" s="1"/>
  <c r="A268" i="1" s="1"/>
  <c r="Q268" i="5"/>
  <c r="G270" i="5"/>
  <c r="O270" i="5"/>
  <c r="F271" i="5"/>
  <c r="A271" i="5" s="1"/>
  <c r="A271" i="1" s="1"/>
  <c r="N271" i="5"/>
  <c r="E272" i="5"/>
  <c r="M272" i="5"/>
  <c r="C273" i="5"/>
  <c r="L273" i="5"/>
  <c r="J275" i="5"/>
  <c r="A275" i="5" s="1"/>
  <c r="A275" i="1" s="1"/>
  <c r="R275" i="5"/>
  <c r="I276" i="5"/>
  <c r="A276" i="5" s="1"/>
  <c r="A276" i="1" s="1"/>
  <c r="Q276" i="5"/>
  <c r="G278" i="5"/>
  <c r="O278" i="5"/>
  <c r="F279" i="5"/>
  <c r="N279" i="5"/>
  <c r="E280" i="5"/>
  <c r="M280" i="5"/>
  <c r="C281" i="5"/>
  <c r="A281" i="5" s="1"/>
  <c r="A281" i="1" s="1"/>
  <c r="L281" i="5"/>
  <c r="J283" i="5"/>
  <c r="A283" i="5" s="1"/>
  <c r="A283" i="1" s="1"/>
  <c r="R283" i="5"/>
  <c r="I284" i="5"/>
  <c r="A284" i="5" s="1"/>
  <c r="A284" i="1" s="1"/>
  <c r="Q284" i="5"/>
  <c r="G286" i="5"/>
  <c r="O286" i="5"/>
  <c r="F287" i="5"/>
  <c r="A287" i="5" s="1"/>
  <c r="A287" i="1" s="1"/>
  <c r="N287" i="5"/>
  <c r="E288" i="5"/>
  <c r="M288" i="5"/>
  <c r="C289" i="5"/>
  <c r="L289" i="5"/>
  <c r="J291" i="5"/>
  <c r="R291" i="5"/>
  <c r="I292" i="5"/>
  <c r="A292" i="5" s="1"/>
  <c r="A292" i="1" s="1"/>
  <c r="Q292" i="5"/>
  <c r="G294" i="5"/>
  <c r="O294" i="5"/>
  <c r="F295" i="5"/>
  <c r="N295" i="5"/>
  <c r="E296" i="5"/>
  <c r="M296" i="5"/>
  <c r="C297" i="5"/>
  <c r="A297" i="5" s="1"/>
  <c r="A297" i="1" s="1"/>
  <c r="L297" i="5"/>
  <c r="J299" i="5"/>
  <c r="A299" i="5" s="1"/>
  <c r="A299" i="1" s="1"/>
  <c r="R299" i="5"/>
  <c r="I300" i="5"/>
  <c r="A300" i="5" s="1"/>
  <c r="A300" i="1" s="1"/>
  <c r="Q300" i="5"/>
  <c r="G302" i="5"/>
  <c r="O302" i="5"/>
  <c r="F303" i="5"/>
  <c r="N303" i="5"/>
  <c r="E304" i="5"/>
  <c r="M304" i="5"/>
  <c r="C305" i="5"/>
  <c r="L305" i="5"/>
  <c r="J307" i="5"/>
  <c r="A307" i="5" s="1"/>
  <c r="A307" i="1" s="1"/>
  <c r="R307" i="5"/>
  <c r="I308" i="5"/>
  <c r="A308" i="5" s="1"/>
  <c r="A308" i="1" s="1"/>
  <c r="Q308" i="5"/>
  <c r="G310" i="5"/>
  <c r="O310" i="5"/>
  <c r="F311" i="5"/>
  <c r="N311" i="5"/>
  <c r="E312" i="5"/>
  <c r="M312" i="5"/>
  <c r="C313" i="5"/>
  <c r="A313" i="5" s="1"/>
  <c r="A313" i="1" s="1"/>
  <c r="L313" i="5"/>
  <c r="J315" i="5"/>
  <c r="A315" i="5" s="1"/>
  <c r="A315" i="1" s="1"/>
  <c r="R315" i="5"/>
  <c r="I316" i="5"/>
  <c r="A316" i="5" s="1"/>
  <c r="A316" i="1" s="1"/>
  <c r="Q316" i="5"/>
  <c r="G318" i="5"/>
  <c r="O318" i="5"/>
  <c r="F319" i="5"/>
  <c r="N319" i="5"/>
  <c r="E320" i="5"/>
  <c r="M320" i="5"/>
  <c r="C321" i="5"/>
  <c r="L321" i="5"/>
  <c r="J323" i="5"/>
  <c r="A323" i="5" s="1"/>
  <c r="A323" i="1" s="1"/>
  <c r="R323" i="5"/>
  <c r="I324" i="5"/>
  <c r="A324" i="5" s="1"/>
  <c r="A324" i="1" s="1"/>
  <c r="Q324" i="5"/>
  <c r="G326" i="5"/>
  <c r="O326" i="5"/>
  <c r="F327" i="5"/>
  <c r="N327" i="5"/>
  <c r="E328" i="5"/>
  <c r="M328" i="5"/>
  <c r="C329" i="5"/>
  <c r="A329" i="5" s="1"/>
  <c r="A329" i="1" s="1"/>
  <c r="L329" i="5"/>
  <c r="J331" i="5"/>
  <c r="A331" i="5" s="1"/>
  <c r="A331" i="1" s="1"/>
  <c r="R331" i="5"/>
  <c r="I332" i="5"/>
  <c r="Q332" i="5"/>
  <c r="G334" i="5"/>
  <c r="O334" i="5"/>
  <c r="F335" i="5"/>
  <c r="N335" i="5"/>
  <c r="E336" i="5"/>
  <c r="M336" i="5"/>
  <c r="C337" i="5"/>
  <c r="L337" i="5"/>
  <c r="J339" i="5"/>
  <c r="A339" i="5" s="1"/>
  <c r="A339" i="1" s="1"/>
  <c r="R339" i="5"/>
  <c r="I340" i="5"/>
  <c r="A340" i="5" s="1"/>
  <c r="A340" i="1" s="1"/>
  <c r="Q340" i="5"/>
  <c r="G342" i="5"/>
  <c r="O342" i="5"/>
  <c r="F343" i="5"/>
  <c r="N343" i="5"/>
  <c r="E344" i="5"/>
  <c r="M344" i="5"/>
  <c r="C345" i="5"/>
  <c r="A345" i="5" s="1"/>
  <c r="A345" i="1" s="1"/>
  <c r="L345" i="5"/>
  <c r="J347" i="5"/>
  <c r="A347" i="5" s="1"/>
  <c r="A347" i="1" s="1"/>
  <c r="R347" i="5"/>
  <c r="I348" i="5"/>
  <c r="Q348" i="5"/>
  <c r="G350" i="5"/>
  <c r="O350" i="5"/>
  <c r="F351" i="5"/>
  <c r="N351" i="5"/>
  <c r="E352" i="5"/>
  <c r="M352" i="5"/>
  <c r="C353" i="5"/>
  <c r="L353" i="5"/>
  <c r="J355" i="5"/>
  <c r="R355" i="5"/>
  <c r="I356" i="5"/>
  <c r="A356" i="5" s="1"/>
  <c r="A356" i="1" s="1"/>
  <c r="Q356" i="5"/>
  <c r="G358" i="5"/>
  <c r="O358" i="5"/>
  <c r="F359" i="5"/>
  <c r="N359" i="5"/>
  <c r="E360" i="5"/>
  <c r="M360" i="5"/>
  <c r="C361" i="5"/>
  <c r="A361" i="5" s="1"/>
  <c r="A361" i="1" s="1"/>
  <c r="L361" i="5"/>
  <c r="J363" i="5"/>
  <c r="A363" i="5" s="1"/>
  <c r="A363" i="1" s="1"/>
  <c r="R363" i="5"/>
  <c r="I364" i="5"/>
  <c r="A364" i="5" s="1"/>
  <c r="A364" i="1" s="1"/>
  <c r="Q364" i="5"/>
  <c r="G366" i="5"/>
  <c r="O366" i="5"/>
  <c r="F367" i="5"/>
  <c r="N367" i="5"/>
  <c r="E368" i="5"/>
  <c r="M368" i="5"/>
  <c r="C369" i="5"/>
  <c r="L369" i="5"/>
  <c r="J371" i="5"/>
  <c r="A371" i="5" s="1"/>
  <c r="A371" i="1" s="1"/>
  <c r="R371" i="5"/>
  <c r="I372" i="5"/>
  <c r="A372" i="5" s="1"/>
  <c r="A372" i="1" s="1"/>
  <c r="Q372" i="5"/>
  <c r="G374" i="5"/>
  <c r="O374" i="5"/>
  <c r="F375" i="5"/>
  <c r="N375" i="5"/>
  <c r="E376" i="5"/>
  <c r="M376" i="5"/>
  <c r="C377" i="5"/>
  <c r="A377" i="5" s="1"/>
  <c r="A377" i="1" s="1"/>
  <c r="L377" i="5"/>
  <c r="J379" i="5"/>
  <c r="R379" i="5"/>
  <c r="I380" i="5"/>
  <c r="Q380" i="5"/>
  <c r="A380" i="5" s="1"/>
  <c r="A380" i="1" s="1"/>
  <c r="G382" i="5"/>
  <c r="O382" i="5"/>
  <c r="F383" i="5"/>
  <c r="A383" i="5" s="1"/>
  <c r="A383" i="1" s="1"/>
  <c r="N383" i="5"/>
  <c r="E384" i="5"/>
  <c r="M384" i="5"/>
  <c r="C385" i="5"/>
  <c r="L385" i="5"/>
  <c r="J387" i="5"/>
  <c r="A387" i="5" s="1"/>
  <c r="A387" i="1" s="1"/>
  <c r="R387" i="5"/>
  <c r="I388" i="5"/>
  <c r="A388" i="5" s="1"/>
  <c r="A388" i="1" s="1"/>
  <c r="Q388" i="5"/>
  <c r="G390" i="5"/>
  <c r="O390" i="5"/>
  <c r="F391" i="5"/>
  <c r="N391" i="5"/>
  <c r="E392" i="5"/>
  <c r="M392" i="5"/>
  <c r="C393" i="5"/>
  <c r="A393" i="5" s="1"/>
  <c r="A393" i="1" s="1"/>
  <c r="L393" i="5"/>
  <c r="J395" i="5"/>
  <c r="A395" i="5" s="1"/>
  <c r="A395" i="1" s="1"/>
  <c r="R395" i="5"/>
  <c r="I396" i="5"/>
  <c r="Q396" i="5"/>
  <c r="G398" i="5"/>
  <c r="O398" i="5"/>
  <c r="F399" i="5"/>
  <c r="A399" i="5" s="1"/>
  <c r="A399" i="1" s="1"/>
  <c r="N399" i="5"/>
  <c r="E400" i="5"/>
  <c r="M400" i="5"/>
  <c r="C401" i="5"/>
  <c r="L401" i="5"/>
  <c r="J403" i="5"/>
  <c r="A403" i="5" s="1"/>
  <c r="A403" i="1" s="1"/>
  <c r="R403" i="5"/>
  <c r="I404" i="5"/>
  <c r="A404" i="5" s="1"/>
  <c r="A404" i="1" s="1"/>
  <c r="Q404" i="5"/>
  <c r="G406" i="5"/>
  <c r="O406" i="5"/>
  <c r="F407" i="5"/>
  <c r="N407" i="5"/>
  <c r="E408" i="5"/>
  <c r="M408" i="5"/>
  <c r="C409" i="5"/>
  <c r="A409" i="5" s="1"/>
  <c r="A409" i="1" s="1"/>
  <c r="L409" i="5"/>
  <c r="J411" i="5"/>
  <c r="A411" i="5" s="1"/>
  <c r="A411" i="1" s="1"/>
  <c r="R411" i="5"/>
  <c r="I412" i="5"/>
  <c r="Q412" i="5"/>
  <c r="G414" i="5"/>
  <c r="O414" i="5"/>
  <c r="G415" i="5"/>
  <c r="P415" i="5"/>
  <c r="H416" i="5"/>
  <c r="Q416" i="5"/>
  <c r="Q420" i="5"/>
  <c r="I420" i="5"/>
  <c r="A420" i="5" s="1"/>
  <c r="A420" i="1" s="1"/>
  <c r="L420" i="5"/>
  <c r="C421" i="5"/>
  <c r="M421" i="5"/>
  <c r="E422" i="5"/>
  <c r="N422" i="5"/>
  <c r="G423" i="5"/>
  <c r="P423" i="5"/>
  <c r="H424" i="5"/>
  <c r="Q424" i="5"/>
  <c r="Q428" i="5"/>
  <c r="I428" i="5"/>
  <c r="A428" i="5" s="1"/>
  <c r="A428" i="1" s="1"/>
  <c r="L428" i="5"/>
  <c r="C429" i="5"/>
  <c r="M429" i="5"/>
  <c r="E430" i="5"/>
  <c r="N430" i="5"/>
  <c r="G431" i="5"/>
  <c r="P431" i="5"/>
  <c r="H432" i="5"/>
  <c r="Q432" i="5"/>
  <c r="Q436" i="5"/>
  <c r="I436" i="5"/>
  <c r="A436" i="5" s="1"/>
  <c r="A436" i="1" s="1"/>
  <c r="L436" i="5"/>
  <c r="C437" i="5"/>
  <c r="M437" i="5"/>
  <c r="E438" i="5"/>
  <c r="N438" i="5"/>
  <c r="G439" i="5"/>
  <c r="P439" i="5"/>
  <c r="H440" i="5"/>
  <c r="Q440" i="5"/>
  <c r="Q444" i="5"/>
  <c r="I444" i="5"/>
  <c r="L444" i="5"/>
  <c r="C445" i="5"/>
  <c r="A445" i="5" s="1"/>
  <c r="A445" i="1" s="1"/>
  <c r="M445" i="5"/>
  <c r="E446" i="5"/>
  <c r="N446" i="5"/>
  <c r="G447" i="5"/>
  <c r="P447" i="5"/>
  <c r="H448" i="5"/>
  <c r="Q448" i="5"/>
  <c r="Q452" i="5"/>
  <c r="I452" i="5"/>
  <c r="A452" i="5" s="1"/>
  <c r="A452" i="1" s="1"/>
  <c r="L452" i="5"/>
  <c r="C453" i="5"/>
  <c r="N453" i="5"/>
  <c r="H454" i="5"/>
  <c r="F456" i="5"/>
  <c r="Q456" i="5"/>
  <c r="C459" i="5"/>
  <c r="O459" i="5"/>
  <c r="H460" i="5"/>
  <c r="E462" i="5"/>
  <c r="P462" i="5"/>
  <c r="P464" i="5"/>
  <c r="H464" i="5"/>
  <c r="M464" i="5"/>
  <c r="E464" i="5"/>
  <c r="A464" i="5" s="1"/>
  <c r="A464" i="1" s="1"/>
  <c r="N464" i="5"/>
  <c r="H465" i="5"/>
  <c r="R465" i="5"/>
  <c r="F468" i="5"/>
  <c r="P468" i="5"/>
  <c r="R470" i="5"/>
  <c r="J470" i="5"/>
  <c r="O470" i="5"/>
  <c r="G470" i="5"/>
  <c r="A470" i="5" s="1"/>
  <c r="A470" i="1" s="1"/>
  <c r="M470" i="5"/>
  <c r="G471" i="5"/>
  <c r="R471" i="5"/>
  <c r="K472" i="5"/>
  <c r="J476" i="5"/>
  <c r="I478" i="5"/>
  <c r="C479" i="5"/>
  <c r="R479" i="5"/>
  <c r="N480" i="5"/>
  <c r="C483" i="5"/>
  <c r="L484" i="5"/>
  <c r="C484" i="5"/>
  <c r="R484" i="5"/>
  <c r="J484" i="5"/>
  <c r="Q484" i="5"/>
  <c r="I484" i="5"/>
  <c r="P484" i="5"/>
  <c r="H484" i="5"/>
  <c r="E486" i="5"/>
  <c r="C487" i="5"/>
  <c r="P488" i="5"/>
  <c r="H488" i="5"/>
  <c r="N488" i="5"/>
  <c r="F488" i="5"/>
  <c r="M488" i="5"/>
  <c r="E488" i="5"/>
  <c r="L488" i="5"/>
  <c r="C488" i="5"/>
  <c r="K492" i="5"/>
  <c r="M494" i="5"/>
  <c r="K496" i="5"/>
  <c r="A498" i="5"/>
  <c r="A498" i="1" s="1"/>
  <c r="F500" i="5"/>
  <c r="H511" i="5"/>
  <c r="K512" i="5"/>
  <c r="A514" i="5"/>
  <c r="A514" i="1" s="1"/>
  <c r="F516" i="5"/>
  <c r="H527" i="5"/>
  <c r="K528" i="5"/>
  <c r="K532" i="5"/>
  <c r="K535" i="5"/>
  <c r="K567" i="5"/>
  <c r="Q731" i="5"/>
  <c r="I731" i="5"/>
  <c r="M731" i="5"/>
  <c r="E731" i="5"/>
  <c r="L731" i="5"/>
  <c r="K731" i="5"/>
  <c r="J731" i="5"/>
  <c r="H731" i="5"/>
  <c r="R731" i="5"/>
  <c r="G731" i="5"/>
  <c r="P731" i="5"/>
  <c r="F731" i="5"/>
  <c r="O731" i="5"/>
  <c r="C731" i="5"/>
  <c r="A733" i="5"/>
  <c r="A733" i="1" s="1"/>
  <c r="A761" i="5"/>
  <c r="A761" i="1" s="1"/>
  <c r="K147" i="5"/>
  <c r="K155" i="5"/>
  <c r="K163" i="5"/>
  <c r="K171" i="5"/>
  <c r="E177" i="5"/>
  <c r="M177" i="5"/>
  <c r="K179" i="5"/>
  <c r="E185" i="5"/>
  <c r="M185" i="5"/>
  <c r="K187" i="5"/>
  <c r="E193" i="5"/>
  <c r="M193" i="5"/>
  <c r="K195" i="5"/>
  <c r="H198" i="5"/>
  <c r="P198" i="5"/>
  <c r="E201" i="5"/>
  <c r="M201" i="5"/>
  <c r="K203" i="5"/>
  <c r="J204" i="5"/>
  <c r="R204" i="5"/>
  <c r="H206" i="5"/>
  <c r="P206" i="5"/>
  <c r="G207" i="5"/>
  <c r="A207" i="5" s="1"/>
  <c r="A207" i="1" s="1"/>
  <c r="O207" i="5"/>
  <c r="E209" i="5"/>
  <c r="M209" i="5"/>
  <c r="K211" i="5"/>
  <c r="J212" i="5"/>
  <c r="R212" i="5"/>
  <c r="H214" i="5"/>
  <c r="P214" i="5"/>
  <c r="G215" i="5"/>
  <c r="O215" i="5"/>
  <c r="E217" i="5"/>
  <c r="M217" i="5"/>
  <c r="K219" i="5"/>
  <c r="J220" i="5"/>
  <c r="R220" i="5"/>
  <c r="H222" i="5"/>
  <c r="P222" i="5"/>
  <c r="G223" i="5"/>
  <c r="O223" i="5"/>
  <c r="E225" i="5"/>
  <c r="M225" i="5"/>
  <c r="K227" i="5"/>
  <c r="J228" i="5"/>
  <c r="R228" i="5"/>
  <c r="H230" i="5"/>
  <c r="P230" i="5"/>
  <c r="G231" i="5"/>
  <c r="O231" i="5"/>
  <c r="F232" i="5"/>
  <c r="N232" i="5"/>
  <c r="E233" i="5"/>
  <c r="M233" i="5"/>
  <c r="K235" i="5"/>
  <c r="J236" i="5"/>
  <c r="R236" i="5"/>
  <c r="H238" i="5"/>
  <c r="P238" i="5"/>
  <c r="G239" i="5"/>
  <c r="O239" i="5"/>
  <c r="F240" i="5"/>
  <c r="N240" i="5"/>
  <c r="E241" i="5"/>
  <c r="M241" i="5"/>
  <c r="K243" i="5"/>
  <c r="J244" i="5"/>
  <c r="R244" i="5"/>
  <c r="H246" i="5"/>
  <c r="P246" i="5"/>
  <c r="G247" i="5"/>
  <c r="O247" i="5"/>
  <c r="F248" i="5"/>
  <c r="N248" i="5"/>
  <c r="E249" i="5"/>
  <c r="M249" i="5"/>
  <c r="J252" i="5"/>
  <c r="R252" i="5"/>
  <c r="H254" i="5"/>
  <c r="P254" i="5"/>
  <c r="G255" i="5"/>
  <c r="O255" i="5"/>
  <c r="F256" i="5"/>
  <c r="N256" i="5"/>
  <c r="E257" i="5"/>
  <c r="M257" i="5"/>
  <c r="J260" i="5"/>
  <c r="R260" i="5"/>
  <c r="H262" i="5"/>
  <c r="P262" i="5"/>
  <c r="G263" i="5"/>
  <c r="O263" i="5"/>
  <c r="F264" i="5"/>
  <c r="N264" i="5"/>
  <c r="E265" i="5"/>
  <c r="M265" i="5"/>
  <c r="J268" i="5"/>
  <c r="R268" i="5"/>
  <c r="H270" i="5"/>
  <c r="P270" i="5"/>
  <c r="G271" i="5"/>
  <c r="O271" i="5"/>
  <c r="F272" i="5"/>
  <c r="N272" i="5"/>
  <c r="E273" i="5"/>
  <c r="M273" i="5"/>
  <c r="J276" i="5"/>
  <c r="R276" i="5"/>
  <c r="H278" i="5"/>
  <c r="P278" i="5"/>
  <c r="G279" i="5"/>
  <c r="O279" i="5"/>
  <c r="F280" i="5"/>
  <c r="N280" i="5"/>
  <c r="E281" i="5"/>
  <c r="M281" i="5"/>
  <c r="J284" i="5"/>
  <c r="R284" i="5"/>
  <c r="H286" i="5"/>
  <c r="P286" i="5"/>
  <c r="G287" i="5"/>
  <c r="O287" i="5"/>
  <c r="F288" i="5"/>
  <c r="N288" i="5"/>
  <c r="E289" i="5"/>
  <c r="M289" i="5"/>
  <c r="J292" i="5"/>
  <c r="R292" i="5"/>
  <c r="H294" i="5"/>
  <c r="P294" i="5"/>
  <c r="G295" i="5"/>
  <c r="O295" i="5"/>
  <c r="F296" i="5"/>
  <c r="N296" i="5"/>
  <c r="E297" i="5"/>
  <c r="M297" i="5"/>
  <c r="J300" i="5"/>
  <c r="R300" i="5"/>
  <c r="H302" i="5"/>
  <c r="P302" i="5"/>
  <c r="G303" i="5"/>
  <c r="O303" i="5"/>
  <c r="F304" i="5"/>
  <c r="N304" i="5"/>
  <c r="E305" i="5"/>
  <c r="M305" i="5"/>
  <c r="J308" i="5"/>
  <c r="R308" i="5"/>
  <c r="H310" i="5"/>
  <c r="P310" i="5"/>
  <c r="G311" i="5"/>
  <c r="O311" i="5"/>
  <c r="F312" i="5"/>
  <c r="N312" i="5"/>
  <c r="E313" i="5"/>
  <c r="M313" i="5"/>
  <c r="J316" i="5"/>
  <c r="R316" i="5"/>
  <c r="H318" i="5"/>
  <c r="P318" i="5"/>
  <c r="G319" i="5"/>
  <c r="O319" i="5"/>
  <c r="F320" i="5"/>
  <c r="N320" i="5"/>
  <c r="E321" i="5"/>
  <c r="M321" i="5"/>
  <c r="J324" i="5"/>
  <c r="R324" i="5"/>
  <c r="H326" i="5"/>
  <c r="P326" i="5"/>
  <c r="G327" i="5"/>
  <c r="O327" i="5"/>
  <c r="F328" i="5"/>
  <c r="N328" i="5"/>
  <c r="E329" i="5"/>
  <c r="M329" i="5"/>
  <c r="J332" i="5"/>
  <c r="A332" i="5" s="1"/>
  <c r="A332" i="1" s="1"/>
  <c r="R332" i="5"/>
  <c r="H334" i="5"/>
  <c r="P334" i="5"/>
  <c r="G335" i="5"/>
  <c r="O335" i="5"/>
  <c r="F336" i="5"/>
  <c r="N336" i="5"/>
  <c r="E337" i="5"/>
  <c r="M337" i="5"/>
  <c r="J340" i="5"/>
  <c r="R340" i="5"/>
  <c r="H342" i="5"/>
  <c r="P342" i="5"/>
  <c r="G343" i="5"/>
  <c r="O343" i="5"/>
  <c r="F344" i="5"/>
  <c r="N344" i="5"/>
  <c r="E345" i="5"/>
  <c r="M345" i="5"/>
  <c r="J348" i="5"/>
  <c r="R348" i="5"/>
  <c r="A348" i="5" s="1"/>
  <c r="A348" i="1" s="1"/>
  <c r="H350" i="5"/>
  <c r="P350" i="5"/>
  <c r="G351" i="5"/>
  <c r="O351" i="5"/>
  <c r="F352" i="5"/>
  <c r="N352" i="5"/>
  <c r="E353" i="5"/>
  <c r="M353" i="5"/>
  <c r="J356" i="5"/>
  <c r="R356" i="5"/>
  <c r="H358" i="5"/>
  <c r="P358" i="5"/>
  <c r="G359" i="5"/>
  <c r="O359" i="5"/>
  <c r="F360" i="5"/>
  <c r="N360" i="5"/>
  <c r="E361" i="5"/>
  <c r="M361" i="5"/>
  <c r="J364" i="5"/>
  <c r="R364" i="5"/>
  <c r="H366" i="5"/>
  <c r="P366" i="5"/>
  <c r="G367" i="5"/>
  <c r="O367" i="5"/>
  <c r="F368" i="5"/>
  <c r="N368" i="5"/>
  <c r="E369" i="5"/>
  <c r="M369" i="5"/>
  <c r="J372" i="5"/>
  <c r="R372" i="5"/>
  <c r="H374" i="5"/>
  <c r="P374" i="5"/>
  <c r="G375" i="5"/>
  <c r="O375" i="5"/>
  <c r="F376" i="5"/>
  <c r="N376" i="5"/>
  <c r="E377" i="5"/>
  <c r="M377" i="5"/>
  <c r="J380" i="5"/>
  <c r="R380" i="5"/>
  <c r="H382" i="5"/>
  <c r="P382" i="5"/>
  <c r="G383" i="5"/>
  <c r="O383" i="5"/>
  <c r="F384" i="5"/>
  <c r="N384" i="5"/>
  <c r="E385" i="5"/>
  <c r="M385" i="5"/>
  <c r="J388" i="5"/>
  <c r="R388" i="5"/>
  <c r="H390" i="5"/>
  <c r="P390" i="5"/>
  <c r="G391" i="5"/>
  <c r="O391" i="5"/>
  <c r="F392" i="5"/>
  <c r="N392" i="5"/>
  <c r="E393" i="5"/>
  <c r="M393" i="5"/>
  <c r="J396" i="5"/>
  <c r="R396" i="5"/>
  <c r="H398" i="5"/>
  <c r="P398" i="5"/>
  <c r="G399" i="5"/>
  <c r="O399" i="5"/>
  <c r="F400" i="5"/>
  <c r="N400" i="5"/>
  <c r="E401" i="5"/>
  <c r="M401" i="5"/>
  <c r="J404" i="5"/>
  <c r="R404" i="5"/>
  <c r="H406" i="5"/>
  <c r="P406" i="5"/>
  <c r="G407" i="5"/>
  <c r="A407" i="5" s="1"/>
  <c r="A407" i="1" s="1"/>
  <c r="O407" i="5"/>
  <c r="F408" i="5"/>
  <c r="N408" i="5"/>
  <c r="E409" i="5"/>
  <c r="M409" i="5"/>
  <c r="J412" i="5"/>
  <c r="R412" i="5"/>
  <c r="A412" i="5" s="1"/>
  <c r="A412" i="1" s="1"/>
  <c r="H414" i="5"/>
  <c r="P414" i="5"/>
  <c r="H415" i="5"/>
  <c r="Q415" i="5"/>
  <c r="I416" i="5"/>
  <c r="R416" i="5"/>
  <c r="R419" i="5"/>
  <c r="J419" i="5"/>
  <c r="L419" i="5"/>
  <c r="E421" i="5"/>
  <c r="N421" i="5"/>
  <c r="F422" i="5"/>
  <c r="P422" i="5"/>
  <c r="H423" i="5"/>
  <c r="Q423" i="5"/>
  <c r="I424" i="5"/>
  <c r="R424" i="5"/>
  <c r="R427" i="5"/>
  <c r="J427" i="5"/>
  <c r="L427" i="5"/>
  <c r="E429" i="5"/>
  <c r="N429" i="5"/>
  <c r="F430" i="5"/>
  <c r="P430" i="5"/>
  <c r="H431" i="5"/>
  <c r="Q431" i="5"/>
  <c r="I432" i="5"/>
  <c r="R432" i="5"/>
  <c r="R435" i="5"/>
  <c r="J435" i="5"/>
  <c r="L435" i="5"/>
  <c r="E437" i="5"/>
  <c r="N437" i="5"/>
  <c r="F438" i="5"/>
  <c r="P438" i="5"/>
  <c r="H439" i="5"/>
  <c r="Q439" i="5"/>
  <c r="I440" i="5"/>
  <c r="R440" i="5"/>
  <c r="R443" i="5"/>
  <c r="J443" i="5"/>
  <c r="L443" i="5"/>
  <c r="E445" i="5"/>
  <c r="N445" i="5"/>
  <c r="F446" i="5"/>
  <c r="P446" i="5"/>
  <c r="H447" i="5"/>
  <c r="Q447" i="5"/>
  <c r="I448" i="5"/>
  <c r="R448" i="5"/>
  <c r="R451" i="5"/>
  <c r="J451" i="5"/>
  <c r="L451" i="5"/>
  <c r="E453" i="5"/>
  <c r="O453" i="5"/>
  <c r="I454" i="5"/>
  <c r="A454" i="5" s="1"/>
  <c r="A454" i="1" s="1"/>
  <c r="Q455" i="5"/>
  <c r="I455" i="5"/>
  <c r="N455" i="5"/>
  <c r="F455" i="5"/>
  <c r="A455" i="5" s="1"/>
  <c r="A455" i="1" s="1"/>
  <c r="M455" i="5"/>
  <c r="G456" i="5"/>
  <c r="R456" i="5"/>
  <c r="F459" i="5"/>
  <c r="P459" i="5"/>
  <c r="J460" i="5"/>
  <c r="F462" i="5"/>
  <c r="Q462" i="5"/>
  <c r="I465" i="5"/>
  <c r="M467" i="5"/>
  <c r="E467" i="5"/>
  <c r="R467" i="5"/>
  <c r="A467" i="5" s="1"/>
  <c r="A467" i="1" s="1"/>
  <c r="J467" i="5"/>
  <c r="N467" i="5"/>
  <c r="G468" i="5"/>
  <c r="R468" i="5"/>
  <c r="H471" i="5"/>
  <c r="M475" i="5"/>
  <c r="E475" i="5"/>
  <c r="A475" i="5" s="1"/>
  <c r="A475" i="1" s="1"/>
  <c r="R475" i="5"/>
  <c r="J475" i="5"/>
  <c r="Q475" i="5"/>
  <c r="I475" i="5"/>
  <c r="O475" i="5"/>
  <c r="K476" i="5"/>
  <c r="K478" i="5"/>
  <c r="G479" i="5"/>
  <c r="A482" i="5"/>
  <c r="F483" i="5"/>
  <c r="E484" i="5"/>
  <c r="I486" i="5"/>
  <c r="H487" i="5"/>
  <c r="M492" i="5"/>
  <c r="O496" i="5"/>
  <c r="G500" i="5"/>
  <c r="Q504" i="5"/>
  <c r="I504" i="5"/>
  <c r="P504" i="5"/>
  <c r="H504" i="5"/>
  <c r="N504" i="5"/>
  <c r="F504" i="5"/>
  <c r="M504" i="5"/>
  <c r="E504" i="5"/>
  <c r="L504" i="5"/>
  <c r="C504" i="5"/>
  <c r="K511" i="5"/>
  <c r="O512" i="5"/>
  <c r="G516" i="5"/>
  <c r="Q520" i="5"/>
  <c r="I520" i="5"/>
  <c r="P520" i="5"/>
  <c r="H520" i="5"/>
  <c r="N520" i="5"/>
  <c r="F520" i="5"/>
  <c r="M520" i="5"/>
  <c r="E520" i="5"/>
  <c r="L520" i="5"/>
  <c r="C520" i="5"/>
  <c r="K527" i="5"/>
  <c r="O528" i="5"/>
  <c r="N532" i="5"/>
  <c r="R543" i="5"/>
  <c r="J543" i="5"/>
  <c r="Q543" i="5"/>
  <c r="I543" i="5"/>
  <c r="P543" i="5"/>
  <c r="H543" i="5"/>
  <c r="O543" i="5"/>
  <c r="G543" i="5"/>
  <c r="N543" i="5"/>
  <c r="F543" i="5"/>
  <c r="M543" i="5"/>
  <c r="E543" i="5"/>
  <c r="L543" i="5"/>
  <c r="C543" i="5"/>
  <c r="A549" i="5"/>
  <c r="A562" i="5"/>
  <c r="R575" i="5"/>
  <c r="J575" i="5"/>
  <c r="Q575" i="5"/>
  <c r="I575" i="5"/>
  <c r="P575" i="5"/>
  <c r="H575" i="5"/>
  <c r="O575" i="5"/>
  <c r="G575" i="5"/>
  <c r="N575" i="5"/>
  <c r="F575" i="5"/>
  <c r="M575" i="5"/>
  <c r="E575" i="5"/>
  <c r="L575" i="5"/>
  <c r="C575" i="5"/>
  <c r="N731" i="5"/>
  <c r="A741" i="5"/>
  <c r="A741" i="1" s="1"/>
  <c r="A1017" i="5"/>
  <c r="A1017" i="1" s="1"/>
  <c r="E138" i="5"/>
  <c r="A138" i="5" s="1"/>
  <c r="A138" i="1" s="1"/>
  <c r="E146" i="5"/>
  <c r="A146" i="5" s="1"/>
  <c r="A146" i="1" s="1"/>
  <c r="C147" i="5"/>
  <c r="C155" i="5"/>
  <c r="A155" i="5" s="1"/>
  <c r="A155" i="1" s="1"/>
  <c r="C163" i="5"/>
  <c r="C171" i="5"/>
  <c r="A171" i="5" s="1"/>
  <c r="A171" i="1" s="1"/>
  <c r="F177" i="5"/>
  <c r="C179" i="5"/>
  <c r="F185" i="5"/>
  <c r="C187" i="5"/>
  <c r="F193" i="5"/>
  <c r="C195" i="5"/>
  <c r="I198" i="5"/>
  <c r="F201" i="5"/>
  <c r="C203" i="5"/>
  <c r="I206" i="5"/>
  <c r="H207" i="5"/>
  <c r="F209" i="5"/>
  <c r="C211" i="5"/>
  <c r="I214" i="5"/>
  <c r="H215" i="5"/>
  <c r="F217" i="5"/>
  <c r="C219" i="5"/>
  <c r="A219" i="5" s="1"/>
  <c r="A219" i="1" s="1"/>
  <c r="I222" i="5"/>
  <c r="H223" i="5"/>
  <c r="F225" i="5"/>
  <c r="C227" i="5"/>
  <c r="A227" i="5" s="1"/>
  <c r="A227" i="1" s="1"/>
  <c r="I230" i="5"/>
  <c r="H231" i="5"/>
  <c r="G232" i="5"/>
  <c r="F233" i="5"/>
  <c r="C235" i="5"/>
  <c r="A235" i="5" s="1"/>
  <c r="A235" i="1" s="1"/>
  <c r="I238" i="5"/>
  <c r="H239" i="5"/>
  <c r="G240" i="5"/>
  <c r="F241" i="5"/>
  <c r="C243" i="5"/>
  <c r="A243" i="5" s="1"/>
  <c r="A243" i="1" s="1"/>
  <c r="I246" i="5"/>
  <c r="H247" i="5"/>
  <c r="G248" i="5"/>
  <c r="F249" i="5"/>
  <c r="I254" i="5"/>
  <c r="H255" i="5"/>
  <c r="G256" i="5"/>
  <c r="F257" i="5"/>
  <c r="I262" i="5"/>
  <c r="H263" i="5"/>
  <c r="G264" i="5"/>
  <c r="F265" i="5"/>
  <c r="I270" i="5"/>
  <c r="H271" i="5"/>
  <c r="G272" i="5"/>
  <c r="F273" i="5"/>
  <c r="I278" i="5"/>
  <c r="H279" i="5"/>
  <c r="G280" i="5"/>
  <c r="F281" i="5"/>
  <c r="I286" i="5"/>
  <c r="H287" i="5"/>
  <c r="G288" i="5"/>
  <c r="F289" i="5"/>
  <c r="I294" i="5"/>
  <c r="H295" i="5"/>
  <c r="G296" i="5"/>
  <c r="F297" i="5"/>
  <c r="I302" i="5"/>
  <c r="H303" i="5"/>
  <c r="G304" i="5"/>
  <c r="F305" i="5"/>
  <c r="I310" i="5"/>
  <c r="H311" i="5"/>
  <c r="G312" i="5"/>
  <c r="F313" i="5"/>
  <c r="I318" i="5"/>
  <c r="H319" i="5"/>
  <c r="G320" i="5"/>
  <c r="F321" i="5"/>
  <c r="I326" i="5"/>
  <c r="H327" i="5"/>
  <c r="G328" i="5"/>
  <c r="F329" i="5"/>
  <c r="I334" i="5"/>
  <c r="H335" i="5"/>
  <c r="G336" i="5"/>
  <c r="F337" i="5"/>
  <c r="I342" i="5"/>
  <c r="H343" i="5"/>
  <c r="G344" i="5"/>
  <c r="F345" i="5"/>
  <c r="I350" i="5"/>
  <c r="H351" i="5"/>
  <c r="G352" i="5"/>
  <c r="F353" i="5"/>
  <c r="I358" i="5"/>
  <c r="H359" i="5"/>
  <c r="G360" i="5"/>
  <c r="F361" i="5"/>
  <c r="I366" i="5"/>
  <c r="H367" i="5"/>
  <c r="G368" i="5"/>
  <c r="F369" i="5"/>
  <c r="I374" i="5"/>
  <c r="H375" i="5"/>
  <c r="G376" i="5"/>
  <c r="F377" i="5"/>
  <c r="I382" i="5"/>
  <c r="H383" i="5"/>
  <c r="G384" i="5"/>
  <c r="F385" i="5"/>
  <c r="I390" i="5"/>
  <c r="H391" i="5"/>
  <c r="G392" i="5"/>
  <c r="F393" i="5"/>
  <c r="I398" i="5"/>
  <c r="H399" i="5"/>
  <c r="G400" i="5"/>
  <c r="F401" i="5"/>
  <c r="I406" i="5"/>
  <c r="H407" i="5"/>
  <c r="G408" i="5"/>
  <c r="F409" i="5"/>
  <c r="I414" i="5"/>
  <c r="I415" i="5"/>
  <c r="R415" i="5"/>
  <c r="J416" i="5"/>
  <c r="A419" i="5"/>
  <c r="A419" i="1" s="1"/>
  <c r="F421" i="5"/>
  <c r="O421" i="5"/>
  <c r="H422" i="5"/>
  <c r="Q422" i="5"/>
  <c r="I423" i="5"/>
  <c r="R423" i="5"/>
  <c r="J424" i="5"/>
  <c r="A427" i="5"/>
  <c r="A427" i="1" s="1"/>
  <c r="F429" i="5"/>
  <c r="O429" i="5"/>
  <c r="H430" i="5"/>
  <c r="Q430" i="5"/>
  <c r="I431" i="5"/>
  <c r="R431" i="5"/>
  <c r="J432" i="5"/>
  <c r="A435" i="5"/>
  <c r="A435" i="1" s="1"/>
  <c r="F437" i="5"/>
  <c r="O437" i="5"/>
  <c r="H438" i="5"/>
  <c r="Q438" i="5"/>
  <c r="I439" i="5"/>
  <c r="R439" i="5"/>
  <c r="J440" i="5"/>
  <c r="A443" i="5"/>
  <c r="A443" i="1" s="1"/>
  <c r="F445" i="5"/>
  <c r="O445" i="5"/>
  <c r="H446" i="5"/>
  <c r="Q446" i="5"/>
  <c r="I447" i="5"/>
  <c r="R447" i="5"/>
  <c r="J448" i="5"/>
  <c r="A451" i="5"/>
  <c r="A451" i="1" s="1"/>
  <c r="F453" i="5"/>
  <c r="Q453" i="5"/>
  <c r="K454" i="5"/>
  <c r="I456" i="5"/>
  <c r="G459" i="5"/>
  <c r="Q459" i="5"/>
  <c r="K460" i="5"/>
  <c r="H462" i="5"/>
  <c r="J465" i="5"/>
  <c r="H468" i="5"/>
  <c r="J471" i="5"/>
  <c r="P472" i="5"/>
  <c r="H472" i="5"/>
  <c r="M472" i="5"/>
  <c r="E472" i="5"/>
  <c r="A472" i="5" s="1"/>
  <c r="A472" i="1" s="1"/>
  <c r="N472" i="5"/>
  <c r="M476" i="5"/>
  <c r="L478" i="5"/>
  <c r="H479" i="5"/>
  <c r="P480" i="5"/>
  <c r="H480" i="5"/>
  <c r="M480" i="5"/>
  <c r="E480" i="5"/>
  <c r="L480" i="5"/>
  <c r="C480" i="5"/>
  <c r="Q480" i="5"/>
  <c r="G483" i="5"/>
  <c r="K486" i="5"/>
  <c r="J487" i="5"/>
  <c r="N492" i="5"/>
  <c r="R494" i="5"/>
  <c r="J494" i="5"/>
  <c r="P494" i="5"/>
  <c r="H494" i="5"/>
  <c r="O494" i="5"/>
  <c r="G494" i="5"/>
  <c r="N494" i="5"/>
  <c r="F494" i="5"/>
  <c r="A494" i="5" s="1"/>
  <c r="A494" i="1" s="1"/>
  <c r="R496" i="5"/>
  <c r="K500" i="5"/>
  <c r="R503" i="5"/>
  <c r="J503" i="5"/>
  <c r="Q503" i="5"/>
  <c r="I503" i="5"/>
  <c r="O503" i="5"/>
  <c r="G503" i="5"/>
  <c r="N503" i="5"/>
  <c r="F503" i="5"/>
  <c r="M503" i="5"/>
  <c r="E503" i="5"/>
  <c r="A503" i="5" s="1"/>
  <c r="A503" i="1" s="1"/>
  <c r="L511" i="5"/>
  <c r="R512" i="5"/>
  <c r="K516" i="5"/>
  <c r="R519" i="5"/>
  <c r="J519" i="5"/>
  <c r="Q519" i="5"/>
  <c r="I519" i="5"/>
  <c r="O519" i="5"/>
  <c r="G519" i="5"/>
  <c r="N519" i="5"/>
  <c r="F519" i="5"/>
  <c r="M519" i="5"/>
  <c r="E519" i="5"/>
  <c r="A519" i="5" s="1"/>
  <c r="A519" i="1" s="1"/>
  <c r="L527" i="5"/>
  <c r="R528" i="5"/>
  <c r="A629" i="5"/>
  <c r="A629" i="1" s="1"/>
  <c r="A645" i="5"/>
  <c r="A645" i="1" s="1"/>
  <c r="A693" i="5"/>
  <c r="A693" i="1" s="1"/>
  <c r="A709" i="5"/>
  <c r="A709" i="1" s="1"/>
  <c r="M743" i="5"/>
  <c r="E743" i="5"/>
  <c r="Q743" i="5"/>
  <c r="I743" i="5"/>
  <c r="L743" i="5"/>
  <c r="K743" i="5"/>
  <c r="J743" i="5"/>
  <c r="H743" i="5"/>
  <c r="R743" i="5"/>
  <c r="G743" i="5"/>
  <c r="P743" i="5"/>
  <c r="F743" i="5"/>
  <c r="O743" i="5"/>
  <c r="C743" i="5"/>
  <c r="K536" i="5"/>
  <c r="G540" i="5"/>
  <c r="O540" i="5"/>
  <c r="K544" i="5"/>
  <c r="G548" i="5"/>
  <c r="O548" i="5"/>
  <c r="K552" i="5"/>
  <c r="G556" i="5"/>
  <c r="O556" i="5"/>
  <c r="K560" i="5"/>
  <c r="G564" i="5"/>
  <c r="O564" i="5"/>
  <c r="K568" i="5"/>
  <c r="G572" i="5"/>
  <c r="O572" i="5"/>
  <c r="K576" i="5"/>
  <c r="G580" i="5"/>
  <c r="O580" i="5"/>
  <c r="K584" i="5"/>
  <c r="G588" i="5"/>
  <c r="O588" i="5"/>
  <c r="K592" i="5"/>
  <c r="G596" i="5"/>
  <c r="O596" i="5"/>
  <c r="K600" i="5"/>
  <c r="G604" i="5"/>
  <c r="O604" i="5"/>
  <c r="K608" i="5"/>
  <c r="G612" i="5"/>
  <c r="O612" i="5"/>
  <c r="K616" i="5"/>
  <c r="G620" i="5"/>
  <c r="O620" i="5"/>
  <c r="K624" i="5"/>
  <c r="G628" i="5"/>
  <c r="O628" i="5"/>
  <c r="K632" i="5"/>
  <c r="G636" i="5"/>
  <c r="O636" i="5"/>
  <c r="K640" i="5"/>
  <c r="G644" i="5"/>
  <c r="O644" i="5"/>
  <c r="K648" i="5"/>
  <c r="G652" i="5"/>
  <c r="O652" i="5"/>
  <c r="K656" i="5"/>
  <c r="G660" i="5"/>
  <c r="O660" i="5"/>
  <c r="K664" i="5"/>
  <c r="G668" i="5"/>
  <c r="O668" i="5"/>
  <c r="K672" i="5"/>
  <c r="G676" i="5"/>
  <c r="O676" i="5"/>
  <c r="K680" i="5"/>
  <c r="G684" i="5"/>
  <c r="O684" i="5"/>
  <c r="K688" i="5"/>
  <c r="G692" i="5"/>
  <c r="O692" i="5"/>
  <c r="K696" i="5"/>
  <c r="G700" i="5"/>
  <c r="O700" i="5"/>
  <c r="K704" i="5"/>
  <c r="G708" i="5"/>
  <c r="O708" i="5"/>
  <c r="K712" i="5"/>
  <c r="G716" i="5"/>
  <c r="O716" i="5"/>
  <c r="G720" i="5"/>
  <c r="Q720" i="5"/>
  <c r="L728" i="5"/>
  <c r="C728" i="5"/>
  <c r="P728" i="5"/>
  <c r="H728" i="5"/>
  <c r="N728" i="5"/>
  <c r="I732" i="5"/>
  <c r="N734" i="5"/>
  <c r="F734" i="5"/>
  <c r="R734" i="5"/>
  <c r="J734" i="5"/>
  <c r="M734" i="5"/>
  <c r="H738" i="5"/>
  <c r="J755" i="5"/>
  <c r="A809" i="5"/>
  <c r="A809" i="1" s="1"/>
  <c r="A857" i="5"/>
  <c r="A857" i="1" s="1"/>
  <c r="A861" i="5"/>
  <c r="A861" i="1" s="1"/>
  <c r="A869" i="5"/>
  <c r="A869" i="1" s="1"/>
  <c r="A877" i="5"/>
  <c r="A877" i="1" s="1"/>
  <c r="A885" i="5"/>
  <c r="A885" i="1" s="1"/>
  <c r="A889" i="5"/>
  <c r="A889" i="1" s="1"/>
  <c r="A905" i="5"/>
  <c r="A905" i="1" s="1"/>
  <c r="A953" i="5"/>
  <c r="A953" i="1" s="1"/>
  <c r="A969" i="5"/>
  <c r="A969" i="1" s="1"/>
  <c r="A973" i="5"/>
  <c r="A981" i="5"/>
  <c r="A981" i="1" s="1"/>
  <c r="A989" i="5"/>
  <c r="A989" i="1" s="1"/>
  <c r="Q1061" i="5"/>
  <c r="I1061" i="5"/>
  <c r="M1061" i="5"/>
  <c r="E1061" i="5"/>
  <c r="L1061" i="5"/>
  <c r="K1061" i="5"/>
  <c r="J1061" i="5"/>
  <c r="H1061" i="5"/>
  <c r="R1061" i="5"/>
  <c r="G1061" i="5"/>
  <c r="P1061" i="5"/>
  <c r="F1061" i="5"/>
  <c r="O1061" i="5"/>
  <c r="C1061" i="5"/>
  <c r="M1065" i="5"/>
  <c r="E1065" i="5"/>
  <c r="R1065" i="5"/>
  <c r="J1065" i="5"/>
  <c r="Q1065" i="5"/>
  <c r="I1065" i="5"/>
  <c r="O1065" i="5"/>
  <c r="G1065" i="5"/>
  <c r="P1065" i="5"/>
  <c r="N1065" i="5"/>
  <c r="L1065" i="5"/>
  <c r="K1065" i="5"/>
  <c r="H1065" i="5"/>
  <c r="F1065" i="5"/>
  <c r="C1065" i="5"/>
  <c r="M1073" i="5"/>
  <c r="E1073" i="5"/>
  <c r="R1073" i="5"/>
  <c r="J1073" i="5"/>
  <c r="Q1073" i="5"/>
  <c r="I1073" i="5"/>
  <c r="O1073" i="5"/>
  <c r="G1073" i="5"/>
  <c r="P1073" i="5"/>
  <c r="N1073" i="5"/>
  <c r="L1073" i="5"/>
  <c r="K1073" i="5"/>
  <c r="H1073" i="5"/>
  <c r="F1073" i="5"/>
  <c r="C1073" i="5"/>
  <c r="K473" i="5"/>
  <c r="K481" i="5"/>
  <c r="K489" i="5"/>
  <c r="I491" i="5"/>
  <c r="Q491" i="5"/>
  <c r="K497" i="5"/>
  <c r="I499" i="5"/>
  <c r="Q499" i="5"/>
  <c r="F502" i="5"/>
  <c r="A502" i="5" s="1"/>
  <c r="A502" i="1" s="1"/>
  <c r="N502" i="5"/>
  <c r="K505" i="5"/>
  <c r="I507" i="5"/>
  <c r="Q507" i="5"/>
  <c r="F510" i="5"/>
  <c r="A510" i="5" s="1"/>
  <c r="A510" i="1" s="1"/>
  <c r="N510" i="5"/>
  <c r="K513" i="5"/>
  <c r="I515" i="5"/>
  <c r="Q515" i="5"/>
  <c r="F518" i="5"/>
  <c r="A518" i="5" s="1"/>
  <c r="A518" i="1" s="1"/>
  <c r="N518" i="5"/>
  <c r="K521" i="5"/>
  <c r="I523" i="5"/>
  <c r="Q523" i="5"/>
  <c r="F526" i="5"/>
  <c r="N526" i="5"/>
  <c r="A526" i="5" s="1"/>
  <c r="A526" i="1" s="1"/>
  <c r="K529" i="5"/>
  <c r="I531" i="5"/>
  <c r="Q531" i="5"/>
  <c r="F534" i="5"/>
  <c r="N534" i="5"/>
  <c r="C536" i="5"/>
  <c r="L536" i="5"/>
  <c r="K537" i="5"/>
  <c r="I539" i="5"/>
  <c r="Q539" i="5"/>
  <c r="H540" i="5"/>
  <c r="P540" i="5"/>
  <c r="F542" i="5"/>
  <c r="A542" i="5" s="1"/>
  <c r="A542" i="1" s="1"/>
  <c r="N542" i="5"/>
  <c r="C544" i="5"/>
  <c r="L544" i="5"/>
  <c r="K545" i="5"/>
  <c r="I547" i="5"/>
  <c r="Q547" i="5"/>
  <c r="H548" i="5"/>
  <c r="P548" i="5"/>
  <c r="F550" i="5"/>
  <c r="N550" i="5"/>
  <c r="C552" i="5"/>
  <c r="L552" i="5"/>
  <c r="K553" i="5"/>
  <c r="I555" i="5"/>
  <c r="Q555" i="5"/>
  <c r="H556" i="5"/>
  <c r="P556" i="5"/>
  <c r="F558" i="5"/>
  <c r="N558" i="5"/>
  <c r="C560" i="5"/>
  <c r="L560" i="5"/>
  <c r="K561" i="5"/>
  <c r="I563" i="5"/>
  <c r="Q563" i="5"/>
  <c r="H564" i="5"/>
  <c r="P564" i="5"/>
  <c r="F566" i="5"/>
  <c r="A566" i="5" s="1"/>
  <c r="A566" i="1" s="1"/>
  <c r="N566" i="5"/>
  <c r="C568" i="5"/>
  <c r="L568" i="5"/>
  <c r="K569" i="5"/>
  <c r="I571" i="5"/>
  <c r="Q571" i="5"/>
  <c r="H572" i="5"/>
  <c r="P572" i="5"/>
  <c r="F574" i="5"/>
  <c r="N574" i="5"/>
  <c r="C576" i="5"/>
  <c r="L576" i="5"/>
  <c r="K577" i="5"/>
  <c r="I579" i="5"/>
  <c r="Q579" i="5"/>
  <c r="H580" i="5"/>
  <c r="P580" i="5"/>
  <c r="F582" i="5"/>
  <c r="A582" i="5" s="1"/>
  <c r="A582" i="1" s="1"/>
  <c r="N582" i="5"/>
  <c r="C584" i="5"/>
  <c r="L584" i="5"/>
  <c r="K585" i="5"/>
  <c r="I587" i="5"/>
  <c r="Q587" i="5"/>
  <c r="A587" i="5" s="1"/>
  <c r="A587" i="1" s="1"/>
  <c r="H588" i="5"/>
  <c r="P588" i="5"/>
  <c r="F590" i="5"/>
  <c r="N590" i="5"/>
  <c r="C592" i="5"/>
  <c r="L592" i="5"/>
  <c r="K593" i="5"/>
  <c r="I595" i="5"/>
  <c r="Q595" i="5"/>
  <c r="H596" i="5"/>
  <c r="P596" i="5"/>
  <c r="F598" i="5"/>
  <c r="A598" i="5" s="1"/>
  <c r="A598" i="1" s="1"/>
  <c r="N598" i="5"/>
  <c r="C600" i="5"/>
  <c r="L600" i="5"/>
  <c r="K601" i="5"/>
  <c r="I603" i="5"/>
  <c r="A603" i="5" s="1"/>
  <c r="A603" i="1" s="1"/>
  <c r="Q603" i="5"/>
  <c r="H604" i="5"/>
  <c r="P604" i="5"/>
  <c r="F606" i="5"/>
  <c r="A606" i="5" s="1"/>
  <c r="A606" i="1" s="1"/>
  <c r="N606" i="5"/>
  <c r="C608" i="5"/>
  <c r="L608" i="5"/>
  <c r="K609" i="5"/>
  <c r="I611" i="5"/>
  <c r="Q611" i="5"/>
  <c r="H612" i="5"/>
  <c r="P612" i="5"/>
  <c r="F614" i="5"/>
  <c r="A614" i="5" s="1"/>
  <c r="A614" i="1" s="1"/>
  <c r="N614" i="5"/>
  <c r="C616" i="5"/>
  <c r="L616" i="5"/>
  <c r="K617" i="5"/>
  <c r="I619" i="5"/>
  <c r="Q619" i="5"/>
  <c r="H620" i="5"/>
  <c r="P620" i="5"/>
  <c r="F622" i="5"/>
  <c r="A622" i="5" s="1"/>
  <c r="A622" i="1" s="1"/>
  <c r="N622" i="5"/>
  <c r="C624" i="5"/>
  <c r="L624" i="5"/>
  <c r="K625" i="5"/>
  <c r="I627" i="5"/>
  <c r="Q627" i="5"/>
  <c r="H628" i="5"/>
  <c r="P628" i="5"/>
  <c r="F630" i="5"/>
  <c r="A630" i="5" s="1"/>
  <c r="A630" i="1" s="1"/>
  <c r="N630" i="5"/>
  <c r="C632" i="5"/>
  <c r="L632" i="5"/>
  <c r="K633" i="5"/>
  <c r="I635" i="5"/>
  <c r="Q635" i="5"/>
  <c r="H636" i="5"/>
  <c r="P636" i="5"/>
  <c r="F638" i="5"/>
  <c r="A638" i="5" s="1"/>
  <c r="A638" i="1" s="1"/>
  <c r="N638" i="5"/>
  <c r="C640" i="5"/>
  <c r="L640" i="5"/>
  <c r="K641" i="5"/>
  <c r="I643" i="5"/>
  <c r="Q643" i="5"/>
  <c r="H644" i="5"/>
  <c r="P644" i="5"/>
  <c r="F646" i="5"/>
  <c r="N646" i="5"/>
  <c r="C648" i="5"/>
  <c r="L648" i="5"/>
  <c r="K649" i="5"/>
  <c r="I651" i="5"/>
  <c r="Q651" i="5"/>
  <c r="H652" i="5"/>
  <c r="P652" i="5"/>
  <c r="F654" i="5"/>
  <c r="N654" i="5"/>
  <c r="C656" i="5"/>
  <c r="L656" i="5"/>
  <c r="K657" i="5"/>
  <c r="I659" i="5"/>
  <c r="Q659" i="5"/>
  <c r="H660" i="5"/>
  <c r="P660" i="5"/>
  <c r="F662" i="5"/>
  <c r="N662" i="5"/>
  <c r="C664" i="5"/>
  <c r="L664" i="5"/>
  <c r="K665" i="5"/>
  <c r="I667" i="5"/>
  <c r="Q667" i="5"/>
  <c r="H668" i="5"/>
  <c r="P668" i="5"/>
  <c r="F670" i="5"/>
  <c r="A670" i="5" s="1"/>
  <c r="A670" i="1" s="1"/>
  <c r="N670" i="5"/>
  <c r="C672" i="5"/>
  <c r="L672" i="5"/>
  <c r="K673" i="5"/>
  <c r="I675" i="5"/>
  <c r="Q675" i="5"/>
  <c r="H676" i="5"/>
  <c r="P676" i="5"/>
  <c r="F678" i="5"/>
  <c r="A678" i="5" s="1"/>
  <c r="A678" i="1" s="1"/>
  <c r="N678" i="5"/>
  <c r="C680" i="5"/>
  <c r="L680" i="5"/>
  <c r="K681" i="5"/>
  <c r="I683" i="5"/>
  <c r="Q683" i="5"/>
  <c r="H684" i="5"/>
  <c r="P684" i="5"/>
  <c r="F686" i="5"/>
  <c r="A686" i="5" s="1"/>
  <c r="A686" i="1" s="1"/>
  <c r="N686" i="5"/>
  <c r="C688" i="5"/>
  <c r="L688" i="5"/>
  <c r="K689" i="5"/>
  <c r="I691" i="5"/>
  <c r="Q691" i="5"/>
  <c r="H692" i="5"/>
  <c r="P692" i="5"/>
  <c r="F694" i="5"/>
  <c r="A694" i="5" s="1"/>
  <c r="A694" i="1" s="1"/>
  <c r="N694" i="5"/>
  <c r="C696" i="5"/>
  <c r="L696" i="5"/>
  <c r="K697" i="5"/>
  <c r="I699" i="5"/>
  <c r="Q699" i="5"/>
  <c r="H700" i="5"/>
  <c r="P700" i="5"/>
  <c r="F702" i="5"/>
  <c r="A702" i="5" s="1"/>
  <c r="A702" i="1" s="1"/>
  <c r="N702" i="5"/>
  <c r="C704" i="5"/>
  <c r="L704" i="5"/>
  <c r="K705" i="5"/>
  <c r="I707" i="5"/>
  <c r="Q707" i="5"/>
  <c r="H708" i="5"/>
  <c r="P708" i="5"/>
  <c r="F710" i="5"/>
  <c r="N710" i="5"/>
  <c r="C712" i="5"/>
  <c r="L712" i="5"/>
  <c r="K713" i="5"/>
  <c r="I715" i="5"/>
  <c r="Q715" i="5"/>
  <c r="H716" i="5"/>
  <c r="P716" i="5"/>
  <c r="F718" i="5"/>
  <c r="O718" i="5"/>
  <c r="I720" i="5"/>
  <c r="R720" i="5"/>
  <c r="R722" i="5"/>
  <c r="J722" i="5"/>
  <c r="N722" i="5"/>
  <c r="F722" i="5"/>
  <c r="M722" i="5"/>
  <c r="G723" i="5"/>
  <c r="R723" i="5"/>
  <c r="G726" i="5"/>
  <c r="Q726" i="5"/>
  <c r="E728" i="5"/>
  <c r="O728" i="5"/>
  <c r="J732" i="5"/>
  <c r="C734" i="5"/>
  <c r="O734" i="5"/>
  <c r="I738" i="5"/>
  <c r="Q739" i="5"/>
  <c r="I739" i="5"/>
  <c r="M739" i="5"/>
  <c r="E739" i="5"/>
  <c r="N739" i="5"/>
  <c r="G740" i="5"/>
  <c r="R740" i="5"/>
  <c r="H747" i="5"/>
  <c r="P748" i="5"/>
  <c r="H748" i="5"/>
  <c r="N748" i="5"/>
  <c r="F748" i="5"/>
  <c r="L748" i="5"/>
  <c r="C748" i="5"/>
  <c r="Q748" i="5"/>
  <c r="L752" i="5"/>
  <c r="C752" i="5"/>
  <c r="R752" i="5"/>
  <c r="J752" i="5"/>
  <c r="P752" i="5"/>
  <c r="H752" i="5"/>
  <c r="O752" i="5"/>
  <c r="R754" i="5"/>
  <c r="J754" i="5"/>
  <c r="P754" i="5"/>
  <c r="H754" i="5"/>
  <c r="N754" i="5"/>
  <c r="F754" i="5"/>
  <c r="O754" i="5"/>
  <c r="K755" i="5"/>
  <c r="N758" i="5"/>
  <c r="F758" i="5"/>
  <c r="L758" i="5"/>
  <c r="C758" i="5"/>
  <c r="R758" i="5"/>
  <c r="J758" i="5"/>
  <c r="P758" i="5"/>
  <c r="K779" i="5"/>
  <c r="Q788" i="5"/>
  <c r="I788" i="5"/>
  <c r="P788" i="5"/>
  <c r="H788" i="5"/>
  <c r="N788" i="5"/>
  <c r="F788" i="5"/>
  <c r="M788" i="5"/>
  <c r="E788" i="5"/>
  <c r="L788" i="5"/>
  <c r="C788" i="5"/>
  <c r="M792" i="5"/>
  <c r="E792" i="5"/>
  <c r="L792" i="5"/>
  <c r="C792" i="5"/>
  <c r="R792" i="5"/>
  <c r="J792" i="5"/>
  <c r="Q792" i="5"/>
  <c r="I792" i="5"/>
  <c r="P792" i="5"/>
  <c r="H792" i="5"/>
  <c r="K795" i="5"/>
  <c r="A855" i="5"/>
  <c r="A855" i="1" s="1"/>
  <c r="A919" i="5"/>
  <c r="A919" i="1" s="1"/>
  <c r="A983" i="5"/>
  <c r="A983" i="1" s="1"/>
  <c r="R1011" i="5"/>
  <c r="J1011" i="5"/>
  <c r="Q1011" i="5"/>
  <c r="I1011" i="5"/>
  <c r="P1011" i="5"/>
  <c r="H1011" i="5"/>
  <c r="O1011" i="5"/>
  <c r="G1011" i="5"/>
  <c r="N1011" i="5"/>
  <c r="F1011" i="5"/>
  <c r="M1011" i="5"/>
  <c r="E1011" i="5"/>
  <c r="L1011" i="5"/>
  <c r="C1011" i="5"/>
  <c r="Q1053" i="5"/>
  <c r="I1053" i="5"/>
  <c r="M1053" i="5"/>
  <c r="E1053" i="5"/>
  <c r="L1053" i="5"/>
  <c r="K1053" i="5"/>
  <c r="J1053" i="5"/>
  <c r="H1053" i="5"/>
  <c r="R1053" i="5"/>
  <c r="G1053" i="5"/>
  <c r="P1053" i="5"/>
  <c r="F1053" i="5"/>
  <c r="O1053" i="5"/>
  <c r="C1053" i="5"/>
  <c r="N1061" i="5"/>
  <c r="H461" i="5"/>
  <c r="A461" i="5" s="1"/>
  <c r="A461" i="1" s="1"/>
  <c r="P461" i="5"/>
  <c r="H469" i="5"/>
  <c r="A469" i="5" s="1"/>
  <c r="A469" i="1" s="1"/>
  <c r="P469" i="5"/>
  <c r="C473" i="5"/>
  <c r="L473" i="5"/>
  <c r="H477" i="5"/>
  <c r="P477" i="5"/>
  <c r="C481" i="5"/>
  <c r="L481" i="5"/>
  <c r="H485" i="5"/>
  <c r="A485" i="5" s="1"/>
  <c r="A485" i="1" s="1"/>
  <c r="P485" i="5"/>
  <c r="C489" i="5"/>
  <c r="L489" i="5"/>
  <c r="J491" i="5"/>
  <c r="R491" i="5"/>
  <c r="H493" i="5"/>
  <c r="A493" i="5" s="1"/>
  <c r="A493" i="1" s="1"/>
  <c r="P493" i="5"/>
  <c r="C497" i="5"/>
  <c r="A497" i="5" s="1"/>
  <c r="A497" i="1" s="1"/>
  <c r="L497" i="5"/>
  <c r="J499" i="5"/>
  <c r="R499" i="5"/>
  <c r="H501" i="5"/>
  <c r="P501" i="5"/>
  <c r="G502" i="5"/>
  <c r="O502" i="5"/>
  <c r="C505" i="5"/>
  <c r="L505" i="5"/>
  <c r="J507" i="5"/>
  <c r="R507" i="5"/>
  <c r="H509" i="5"/>
  <c r="A509" i="5" s="1"/>
  <c r="A509" i="1" s="1"/>
  <c r="P509" i="5"/>
  <c r="G510" i="5"/>
  <c r="O510" i="5"/>
  <c r="C513" i="5"/>
  <c r="A513" i="5" s="1"/>
  <c r="A513" i="1" s="1"/>
  <c r="L513" i="5"/>
  <c r="J515" i="5"/>
  <c r="R515" i="5"/>
  <c r="H517" i="5"/>
  <c r="P517" i="5"/>
  <c r="G518" i="5"/>
  <c r="O518" i="5"/>
  <c r="C521" i="5"/>
  <c r="L521" i="5"/>
  <c r="J523" i="5"/>
  <c r="R523" i="5"/>
  <c r="H525" i="5"/>
  <c r="A525" i="5" s="1"/>
  <c r="A525" i="1" s="1"/>
  <c r="P525" i="5"/>
  <c r="G526" i="5"/>
  <c r="O526" i="5"/>
  <c r="C529" i="5"/>
  <c r="A529" i="5" s="1"/>
  <c r="A529" i="1" s="1"/>
  <c r="L529" i="5"/>
  <c r="J531" i="5"/>
  <c r="R531" i="5"/>
  <c r="H533" i="5"/>
  <c r="A533" i="5" s="1"/>
  <c r="A533" i="1" s="1"/>
  <c r="P533" i="5"/>
  <c r="G534" i="5"/>
  <c r="A534" i="5" s="1"/>
  <c r="A534" i="1" s="1"/>
  <c r="O534" i="5"/>
  <c r="E536" i="5"/>
  <c r="M536" i="5"/>
  <c r="C537" i="5"/>
  <c r="L537" i="5"/>
  <c r="J539" i="5"/>
  <c r="R539" i="5"/>
  <c r="I540" i="5"/>
  <c r="Q540" i="5"/>
  <c r="H541" i="5"/>
  <c r="A541" i="5" s="1"/>
  <c r="A541" i="1" s="1"/>
  <c r="P541" i="5"/>
  <c r="G542" i="5"/>
  <c r="O542" i="5"/>
  <c r="E544" i="5"/>
  <c r="M544" i="5"/>
  <c r="C545" i="5"/>
  <c r="L545" i="5"/>
  <c r="J547" i="5"/>
  <c r="R547" i="5"/>
  <c r="I548" i="5"/>
  <c r="Q548" i="5"/>
  <c r="H549" i="5"/>
  <c r="P549" i="5"/>
  <c r="G550" i="5"/>
  <c r="O550" i="5"/>
  <c r="E552" i="5"/>
  <c r="M552" i="5"/>
  <c r="C553" i="5"/>
  <c r="L553" i="5"/>
  <c r="J555" i="5"/>
  <c r="R555" i="5"/>
  <c r="I556" i="5"/>
  <c r="Q556" i="5"/>
  <c r="H557" i="5"/>
  <c r="A557" i="5" s="1"/>
  <c r="A557" i="1" s="1"/>
  <c r="P557" i="5"/>
  <c r="G558" i="5"/>
  <c r="A558" i="5" s="1"/>
  <c r="A558" i="1" s="1"/>
  <c r="O558" i="5"/>
  <c r="E560" i="5"/>
  <c r="M560" i="5"/>
  <c r="C561" i="5"/>
  <c r="L561" i="5"/>
  <c r="J563" i="5"/>
  <c r="R563" i="5"/>
  <c r="I564" i="5"/>
  <c r="Q564" i="5"/>
  <c r="H565" i="5"/>
  <c r="P565" i="5"/>
  <c r="G566" i="5"/>
  <c r="O566" i="5"/>
  <c r="E568" i="5"/>
  <c r="M568" i="5"/>
  <c r="C569" i="5"/>
  <c r="L569" i="5"/>
  <c r="J571" i="5"/>
  <c r="R571" i="5"/>
  <c r="I572" i="5"/>
  <c r="Q572" i="5"/>
  <c r="H573" i="5"/>
  <c r="A573" i="5" s="1"/>
  <c r="A573" i="1" s="1"/>
  <c r="P573" i="5"/>
  <c r="G574" i="5"/>
  <c r="O574" i="5"/>
  <c r="E576" i="5"/>
  <c r="M576" i="5"/>
  <c r="C577" i="5"/>
  <c r="L577" i="5"/>
  <c r="J579" i="5"/>
  <c r="R579" i="5"/>
  <c r="I580" i="5"/>
  <c r="Q580" i="5"/>
  <c r="H581" i="5"/>
  <c r="A581" i="5" s="1"/>
  <c r="A581" i="1" s="1"/>
  <c r="P581" i="5"/>
  <c r="G582" i="5"/>
  <c r="O582" i="5"/>
  <c r="E584" i="5"/>
  <c r="M584" i="5"/>
  <c r="C585" i="5"/>
  <c r="L585" i="5"/>
  <c r="J587" i="5"/>
  <c r="R587" i="5"/>
  <c r="I588" i="5"/>
  <c r="Q588" i="5"/>
  <c r="H589" i="5"/>
  <c r="A589" i="5" s="1"/>
  <c r="A589" i="1" s="1"/>
  <c r="P589" i="5"/>
  <c r="G590" i="5"/>
  <c r="A590" i="5" s="1"/>
  <c r="A590" i="1" s="1"/>
  <c r="O590" i="5"/>
  <c r="E592" i="5"/>
  <c r="M592" i="5"/>
  <c r="C593" i="5"/>
  <c r="L593" i="5"/>
  <c r="J595" i="5"/>
  <c r="R595" i="5"/>
  <c r="I596" i="5"/>
  <c r="Q596" i="5"/>
  <c r="H597" i="5"/>
  <c r="P597" i="5"/>
  <c r="A597" i="5" s="1"/>
  <c r="A597" i="1" s="1"/>
  <c r="G598" i="5"/>
  <c r="O598" i="5"/>
  <c r="E600" i="5"/>
  <c r="M600" i="5"/>
  <c r="C601" i="5"/>
  <c r="L601" i="5"/>
  <c r="J603" i="5"/>
  <c r="R603" i="5"/>
  <c r="I604" i="5"/>
  <c r="Q604" i="5"/>
  <c r="H605" i="5"/>
  <c r="A605" i="5" s="1"/>
  <c r="A605" i="1" s="1"/>
  <c r="P605" i="5"/>
  <c r="G606" i="5"/>
  <c r="O606" i="5"/>
  <c r="E608" i="5"/>
  <c r="M608" i="5"/>
  <c r="C609" i="5"/>
  <c r="L609" i="5"/>
  <c r="J611" i="5"/>
  <c r="R611" i="5"/>
  <c r="I612" i="5"/>
  <c r="Q612" i="5"/>
  <c r="H613" i="5"/>
  <c r="A613" i="5" s="1"/>
  <c r="A613" i="1" s="1"/>
  <c r="P613" i="5"/>
  <c r="G614" i="5"/>
  <c r="O614" i="5"/>
  <c r="E616" i="5"/>
  <c r="M616" i="5"/>
  <c r="C617" i="5"/>
  <c r="L617" i="5"/>
  <c r="J619" i="5"/>
  <c r="R619" i="5"/>
  <c r="I620" i="5"/>
  <c r="Q620" i="5"/>
  <c r="H621" i="5"/>
  <c r="A621" i="5" s="1"/>
  <c r="A621" i="1" s="1"/>
  <c r="P621" i="5"/>
  <c r="G622" i="5"/>
  <c r="O622" i="5"/>
  <c r="E624" i="5"/>
  <c r="M624" i="5"/>
  <c r="C625" i="5"/>
  <c r="L625" i="5"/>
  <c r="J627" i="5"/>
  <c r="R627" i="5"/>
  <c r="I628" i="5"/>
  <c r="Q628" i="5"/>
  <c r="H629" i="5"/>
  <c r="P629" i="5"/>
  <c r="G630" i="5"/>
  <c r="O630" i="5"/>
  <c r="E632" i="5"/>
  <c r="M632" i="5"/>
  <c r="C633" i="5"/>
  <c r="L633" i="5"/>
  <c r="J635" i="5"/>
  <c r="R635" i="5"/>
  <c r="I636" i="5"/>
  <c r="Q636" i="5"/>
  <c r="H637" i="5"/>
  <c r="A637" i="5" s="1"/>
  <c r="A637" i="1" s="1"/>
  <c r="P637" i="5"/>
  <c r="G638" i="5"/>
  <c r="O638" i="5"/>
  <c r="E640" i="5"/>
  <c r="M640" i="5"/>
  <c r="C641" i="5"/>
  <c r="L641" i="5"/>
  <c r="J643" i="5"/>
  <c r="R643" i="5"/>
  <c r="I644" i="5"/>
  <c r="Q644" i="5"/>
  <c r="H645" i="5"/>
  <c r="P645" i="5"/>
  <c r="G646" i="5"/>
  <c r="O646" i="5"/>
  <c r="E648" i="5"/>
  <c r="M648" i="5"/>
  <c r="C649" i="5"/>
  <c r="L649" i="5"/>
  <c r="J651" i="5"/>
  <c r="R651" i="5"/>
  <c r="I652" i="5"/>
  <c r="Q652" i="5"/>
  <c r="H653" i="5"/>
  <c r="A653" i="5" s="1"/>
  <c r="A653" i="1" s="1"/>
  <c r="P653" i="5"/>
  <c r="G654" i="5"/>
  <c r="A654" i="5" s="1"/>
  <c r="A654" i="1" s="1"/>
  <c r="O654" i="5"/>
  <c r="E656" i="5"/>
  <c r="M656" i="5"/>
  <c r="C657" i="5"/>
  <c r="L657" i="5"/>
  <c r="J659" i="5"/>
  <c r="R659" i="5"/>
  <c r="I660" i="5"/>
  <c r="Q660" i="5"/>
  <c r="H661" i="5"/>
  <c r="A661" i="5" s="1"/>
  <c r="A661" i="1" s="1"/>
  <c r="P661" i="5"/>
  <c r="G662" i="5"/>
  <c r="O662" i="5"/>
  <c r="E664" i="5"/>
  <c r="M664" i="5"/>
  <c r="C665" i="5"/>
  <c r="L665" i="5"/>
  <c r="J667" i="5"/>
  <c r="R667" i="5"/>
  <c r="I668" i="5"/>
  <c r="Q668" i="5"/>
  <c r="H669" i="5"/>
  <c r="A669" i="5" s="1"/>
  <c r="A669" i="1" s="1"/>
  <c r="P669" i="5"/>
  <c r="G670" i="5"/>
  <c r="O670" i="5"/>
  <c r="E672" i="5"/>
  <c r="M672" i="5"/>
  <c r="C673" i="5"/>
  <c r="L673" i="5"/>
  <c r="J675" i="5"/>
  <c r="R675" i="5"/>
  <c r="I676" i="5"/>
  <c r="Q676" i="5"/>
  <c r="H677" i="5"/>
  <c r="A677" i="5" s="1"/>
  <c r="A677" i="1" s="1"/>
  <c r="P677" i="5"/>
  <c r="G678" i="5"/>
  <c r="O678" i="5"/>
  <c r="E680" i="5"/>
  <c r="M680" i="5"/>
  <c r="C681" i="5"/>
  <c r="L681" i="5"/>
  <c r="J683" i="5"/>
  <c r="R683" i="5"/>
  <c r="I684" i="5"/>
  <c r="Q684" i="5"/>
  <c r="H685" i="5"/>
  <c r="A685" i="5" s="1"/>
  <c r="A685" i="1" s="1"/>
  <c r="P685" i="5"/>
  <c r="G686" i="5"/>
  <c r="O686" i="5"/>
  <c r="E688" i="5"/>
  <c r="M688" i="5"/>
  <c r="C689" i="5"/>
  <c r="L689" i="5"/>
  <c r="J691" i="5"/>
  <c r="R691" i="5"/>
  <c r="I692" i="5"/>
  <c r="Q692" i="5"/>
  <c r="H693" i="5"/>
  <c r="P693" i="5"/>
  <c r="G694" i="5"/>
  <c r="O694" i="5"/>
  <c r="E696" i="5"/>
  <c r="M696" i="5"/>
  <c r="C697" i="5"/>
  <c r="L697" i="5"/>
  <c r="J699" i="5"/>
  <c r="R699" i="5"/>
  <c r="I700" i="5"/>
  <c r="Q700" i="5"/>
  <c r="H701" i="5"/>
  <c r="A701" i="5" s="1"/>
  <c r="A701" i="1" s="1"/>
  <c r="P701" i="5"/>
  <c r="G702" i="5"/>
  <c r="O702" i="5"/>
  <c r="E704" i="5"/>
  <c r="M704" i="5"/>
  <c r="C705" i="5"/>
  <c r="L705" i="5"/>
  <c r="J707" i="5"/>
  <c r="R707" i="5"/>
  <c r="I708" i="5"/>
  <c r="Q708" i="5"/>
  <c r="H709" i="5"/>
  <c r="P709" i="5"/>
  <c r="G710" i="5"/>
  <c r="O710" i="5"/>
  <c r="E712" i="5"/>
  <c r="M712" i="5"/>
  <c r="C713" i="5"/>
  <c r="L713" i="5"/>
  <c r="J715" i="5"/>
  <c r="R715" i="5"/>
  <c r="I716" i="5"/>
  <c r="Q716" i="5"/>
  <c r="H717" i="5"/>
  <c r="A717" i="5" s="1"/>
  <c r="A717" i="1" s="1"/>
  <c r="P717" i="5"/>
  <c r="G718" i="5"/>
  <c r="A718" i="5" s="1"/>
  <c r="A718" i="1" s="1"/>
  <c r="P718" i="5"/>
  <c r="H719" i="5"/>
  <c r="J720" i="5"/>
  <c r="C722" i="5"/>
  <c r="O722" i="5"/>
  <c r="H723" i="5"/>
  <c r="H726" i="5"/>
  <c r="A726" i="5" s="1"/>
  <c r="A726" i="1" s="1"/>
  <c r="F728" i="5"/>
  <c r="Q728" i="5"/>
  <c r="R730" i="5"/>
  <c r="J730" i="5"/>
  <c r="N730" i="5"/>
  <c r="F730" i="5"/>
  <c r="M730" i="5"/>
  <c r="K732" i="5"/>
  <c r="E734" i="5"/>
  <c r="P734" i="5"/>
  <c r="L736" i="5"/>
  <c r="C736" i="5"/>
  <c r="P736" i="5"/>
  <c r="H736" i="5"/>
  <c r="N736" i="5"/>
  <c r="K738" i="5"/>
  <c r="C739" i="5"/>
  <c r="O739" i="5"/>
  <c r="I740" i="5"/>
  <c r="N742" i="5"/>
  <c r="F742" i="5"/>
  <c r="R742" i="5"/>
  <c r="J742" i="5"/>
  <c r="A742" i="5" s="1"/>
  <c r="A742" i="1" s="1"/>
  <c r="M742" i="5"/>
  <c r="J747" i="5"/>
  <c r="E748" i="5"/>
  <c r="R748" i="5"/>
  <c r="E752" i="5"/>
  <c r="Q752" i="5"/>
  <c r="C754" i="5"/>
  <c r="Q754" i="5"/>
  <c r="L755" i="5"/>
  <c r="E758" i="5"/>
  <c r="Q758" i="5"/>
  <c r="Q763" i="5"/>
  <c r="I763" i="5"/>
  <c r="O763" i="5"/>
  <c r="G763" i="5"/>
  <c r="M763" i="5"/>
  <c r="E763" i="5"/>
  <c r="P763" i="5"/>
  <c r="R771" i="5"/>
  <c r="J771" i="5"/>
  <c r="Q771" i="5"/>
  <c r="I771" i="5"/>
  <c r="O771" i="5"/>
  <c r="G771" i="5"/>
  <c r="M771" i="5"/>
  <c r="A771" i="5" s="1"/>
  <c r="A771" i="1" s="1"/>
  <c r="E771" i="5"/>
  <c r="L779" i="5"/>
  <c r="R787" i="5"/>
  <c r="J787" i="5"/>
  <c r="Q787" i="5"/>
  <c r="I787" i="5"/>
  <c r="O787" i="5"/>
  <c r="G787" i="5"/>
  <c r="N787" i="5"/>
  <c r="F787" i="5"/>
  <c r="A787" i="5" s="1"/>
  <c r="A787" i="1" s="1"/>
  <c r="M787" i="5"/>
  <c r="E787" i="5"/>
  <c r="G788" i="5"/>
  <c r="F792" i="5"/>
  <c r="L795" i="5"/>
  <c r="K1011" i="5"/>
  <c r="N1053" i="5"/>
  <c r="A1209" i="5"/>
  <c r="A1209" i="1" s="1"/>
  <c r="K491" i="5"/>
  <c r="K499" i="5"/>
  <c r="H502" i="5"/>
  <c r="P502" i="5"/>
  <c r="K507" i="5"/>
  <c r="H510" i="5"/>
  <c r="P510" i="5"/>
  <c r="K515" i="5"/>
  <c r="H518" i="5"/>
  <c r="P518" i="5"/>
  <c r="K523" i="5"/>
  <c r="H526" i="5"/>
  <c r="P526" i="5"/>
  <c r="K531" i="5"/>
  <c r="H534" i="5"/>
  <c r="P534" i="5"/>
  <c r="F536" i="5"/>
  <c r="N536" i="5"/>
  <c r="K539" i="5"/>
  <c r="J540" i="5"/>
  <c r="R540" i="5"/>
  <c r="H542" i="5"/>
  <c r="P542" i="5"/>
  <c r="F544" i="5"/>
  <c r="N544" i="5"/>
  <c r="K547" i="5"/>
  <c r="J548" i="5"/>
  <c r="R548" i="5"/>
  <c r="H550" i="5"/>
  <c r="P550" i="5"/>
  <c r="F552" i="5"/>
  <c r="N552" i="5"/>
  <c r="K555" i="5"/>
  <c r="J556" i="5"/>
  <c r="R556" i="5"/>
  <c r="H558" i="5"/>
  <c r="P558" i="5"/>
  <c r="F560" i="5"/>
  <c r="N560" i="5"/>
  <c r="K563" i="5"/>
  <c r="J564" i="5"/>
  <c r="R564" i="5"/>
  <c r="H566" i="5"/>
  <c r="P566" i="5"/>
  <c r="F568" i="5"/>
  <c r="N568" i="5"/>
  <c r="K571" i="5"/>
  <c r="J572" i="5"/>
  <c r="R572" i="5"/>
  <c r="H574" i="5"/>
  <c r="P574" i="5"/>
  <c r="F576" i="5"/>
  <c r="N576" i="5"/>
  <c r="K579" i="5"/>
  <c r="J580" i="5"/>
  <c r="R580" i="5"/>
  <c r="H582" i="5"/>
  <c r="P582" i="5"/>
  <c r="F584" i="5"/>
  <c r="N584" i="5"/>
  <c r="E585" i="5"/>
  <c r="M585" i="5"/>
  <c r="K587" i="5"/>
  <c r="J588" i="5"/>
  <c r="R588" i="5"/>
  <c r="H590" i="5"/>
  <c r="P590" i="5"/>
  <c r="F592" i="5"/>
  <c r="N592" i="5"/>
  <c r="E593" i="5"/>
  <c r="M593" i="5"/>
  <c r="K595" i="5"/>
  <c r="J596" i="5"/>
  <c r="R596" i="5"/>
  <c r="H598" i="5"/>
  <c r="P598" i="5"/>
  <c r="F600" i="5"/>
  <c r="N600" i="5"/>
  <c r="E601" i="5"/>
  <c r="M601" i="5"/>
  <c r="K603" i="5"/>
  <c r="J604" i="5"/>
  <c r="R604" i="5"/>
  <c r="H606" i="5"/>
  <c r="P606" i="5"/>
  <c r="F608" i="5"/>
  <c r="N608" i="5"/>
  <c r="M609" i="5"/>
  <c r="K611" i="5"/>
  <c r="J612" i="5"/>
  <c r="R612" i="5"/>
  <c r="H614" i="5"/>
  <c r="P614" i="5"/>
  <c r="F616" i="5"/>
  <c r="N616" i="5"/>
  <c r="E617" i="5"/>
  <c r="M617" i="5"/>
  <c r="K619" i="5"/>
  <c r="J620" i="5"/>
  <c r="R620" i="5"/>
  <c r="H622" i="5"/>
  <c r="P622" i="5"/>
  <c r="F624" i="5"/>
  <c r="N624" i="5"/>
  <c r="E625" i="5"/>
  <c r="M625" i="5"/>
  <c r="K627" i="5"/>
  <c r="J628" i="5"/>
  <c r="R628" i="5"/>
  <c r="H630" i="5"/>
  <c r="P630" i="5"/>
  <c r="F632" i="5"/>
  <c r="N632" i="5"/>
  <c r="E633" i="5"/>
  <c r="M633" i="5"/>
  <c r="K635" i="5"/>
  <c r="J636" i="5"/>
  <c r="R636" i="5"/>
  <c r="H638" i="5"/>
  <c r="P638" i="5"/>
  <c r="F640" i="5"/>
  <c r="N640" i="5"/>
  <c r="E641" i="5"/>
  <c r="M641" i="5"/>
  <c r="K643" i="5"/>
  <c r="J644" i="5"/>
  <c r="R644" i="5"/>
  <c r="H646" i="5"/>
  <c r="P646" i="5"/>
  <c r="F648" i="5"/>
  <c r="N648" i="5"/>
  <c r="E649" i="5"/>
  <c r="M649" i="5"/>
  <c r="K651" i="5"/>
  <c r="J652" i="5"/>
  <c r="R652" i="5"/>
  <c r="H654" i="5"/>
  <c r="P654" i="5"/>
  <c r="F656" i="5"/>
  <c r="N656" i="5"/>
  <c r="E657" i="5"/>
  <c r="M657" i="5"/>
  <c r="K659" i="5"/>
  <c r="J660" i="5"/>
  <c r="R660" i="5"/>
  <c r="H662" i="5"/>
  <c r="P662" i="5"/>
  <c r="F664" i="5"/>
  <c r="N664" i="5"/>
  <c r="E665" i="5"/>
  <c r="M665" i="5"/>
  <c r="K667" i="5"/>
  <c r="J668" i="5"/>
  <c r="R668" i="5"/>
  <c r="H670" i="5"/>
  <c r="P670" i="5"/>
  <c r="F672" i="5"/>
  <c r="N672" i="5"/>
  <c r="E673" i="5"/>
  <c r="M673" i="5"/>
  <c r="K675" i="5"/>
  <c r="J676" i="5"/>
  <c r="R676" i="5"/>
  <c r="H678" i="5"/>
  <c r="P678" i="5"/>
  <c r="F680" i="5"/>
  <c r="N680" i="5"/>
  <c r="E681" i="5"/>
  <c r="M681" i="5"/>
  <c r="K683" i="5"/>
  <c r="J684" i="5"/>
  <c r="R684" i="5"/>
  <c r="H686" i="5"/>
  <c r="P686" i="5"/>
  <c r="F688" i="5"/>
  <c r="N688" i="5"/>
  <c r="E689" i="5"/>
  <c r="M689" i="5"/>
  <c r="K691" i="5"/>
  <c r="J692" i="5"/>
  <c r="R692" i="5"/>
  <c r="H694" i="5"/>
  <c r="P694" i="5"/>
  <c r="F696" i="5"/>
  <c r="N696" i="5"/>
  <c r="E697" i="5"/>
  <c r="M697" i="5"/>
  <c r="K699" i="5"/>
  <c r="J700" i="5"/>
  <c r="R700" i="5"/>
  <c r="H702" i="5"/>
  <c r="P702" i="5"/>
  <c r="F704" i="5"/>
  <c r="N704" i="5"/>
  <c r="E705" i="5"/>
  <c r="M705" i="5"/>
  <c r="K707" i="5"/>
  <c r="J708" i="5"/>
  <c r="R708" i="5"/>
  <c r="H710" i="5"/>
  <c r="P710" i="5"/>
  <c r="F712" i="5"/>
  <c r="N712" i="5"/>
  <c r="E713" i="5"/>
  <c r="M713" i="5"/>
  <c r="K715" i="5"/>
  <c r="J716" i="5"/>
  <c r="R716" i="5"/>
  <c r="H718" i="5"/>
  <c r="Q718" i="5"/>
  <c r="O721" i="5"/>
  <c r="G721" i="5"/>
  <c r="L721" i="5"/>
  <c r="E722" i="5"/>
  <c r="P722" i="5"/>
  <c r="J723" i="5"/>
  <c r="P724" i="5"/>
  <c r="H724" i="5"/>
  <c r="L724" i="5"/>
  <c r="C724" i="5"/>
  <c r="N724" i="5"/>
  <c r="I726" i="5"/>
  <c r="M727" i="5"/>
  <c r="E727" i="5"/>
  <c r="A727" i="5" s="1"/>
  <c r="A727" i="1" s="1"/>
  <c r="Q727" i="5"/>
  <c r="I727" i="5"/>
  <c r="N727" i="5"/>
  <c r="G728" i="5"/>
  <c r="R728" i="5"/>
  <c r="A730" i="5"/>
  <c r="A730" i="1" s="1"/>
  <c r="G734" i="5"/>
  <c r="Q734" i="5"/>
  <c r="F739" i="5"/>
  <c r="P739" i="5"/>
  <c r="J740" i="5"/>
  <c r="L744" i="5"/>
  <c r="C744" i="5"/>
  <c r="A744" i="5" s="1"/>
  <c r="A744" i="1" s="1"/>
  <c r="R744" i="5"/>
  <c r="J744" i="5"/>
  <c r="P744" i="5"/>
  <c r="H744" i="5"/>
  <c r="O744" i="5"/>
  <c r="R746" i="5"/>
  <c r="J746" i="5"/>
  <c r="P746" i="5"/>
  <c r="H746" i="5"/>
  <c r="N746" i="5"/>
  <c r="F746" i="5"/>
  <c r="O746" i="5"/>
  <c r="K747" i="5"/>
  <c r="G748" i="5"/>
  <c r="N750" i="5"/>
  <c r="F750" i="5"/>
  <c r="L750" i="5"/>
  <c r="C750" i="5"/>
  <c r="R750" i="5"/>
  <c r="J750" i="5"/>
  <c r="P750" i="5"/>
  <c r="F752" i="5"/>
  <c r="E754" i="5"/>
  <c r="G758" i="5"/>
  <c r="M768" i="5"/>
  <c r="E768" i="5"/>
  <c r="L768" i="5"/>
  <c r="C768" i="5"/>
  <c r="R768" i="5"/>
  <c r="J768" i="5"/>
  <c r="P768" i="5"/>
  <c r="H768" i="5"/>
  <c r="Q772" i="5"/>
  <c r="I772" i="5"/>
  <c r="P772" i="5"/>
  <c r="H772" i="5"/>
  <c r="N772" i="5"/>
  <c r="F772" i="5"/>
  <c r="L772" i="5"/>
  <c r="C772" i="5"/>
  <c r="O774" i="5"/>
  <c r="G774" i="5"/>
  <c r="N774" i="5"/>
  <c r="F774" i="5"/>
  <c r="L774" i="5"/>
  <c r="C774" i="5"/>
  <c r="R774" i="5"/>
  <c r="J774" i="5"/>
  <c r="A783" i="5"/>
  <c r="A783" i="1" s="1"/>
  <c r="J788" i="5"/>
  <c r="G792" i="5"/>
  <c r="A1005" i="5"/>
  <c r="A1005" i="1" s="1"/>
  <c r="R1019" i="5"/>
  <c r="J1019" i="5"/>
  <c r="Q1019" i="5"/>
  <c r="I1019" i="5"/>
  <c r="P1019" i="5"/>
  <c r="H1019" i="5"/>
  <c r="O1019" i="5"/>
  <c r="G1019" i="5"/>
  <c r="N1019" i="5"/>
  <c r="F1019" i="5"/>
  <c r="M1019" i="5"/>
  <c r="E1019" i="5"/>
  <c r="L1019" i="5"/>
  <c r="C1019" i="5"/>
  <c r="Q1045" i="5"/>
  <c r="I1045" i="5"/>
  <c r="M1045" i="5"/>
  <c r="E1045" i="5"/>
  <c r="L1045" i="5"/>
  <c r="K1045" i="5"/>
  <c r="J1045" i="5"/>
  <c r="H1045" i="5"/>
  <c r="R1045" i="5"/>
  <c r="G1045" i="5"/>
  <c r="P1045" i="5"/>
  <c r="F1045" i="5"/>
  <c r="O1045" i="5"/>
  <c r="C1045" i="5"/>
  <c r="K540" i="5"/>
  <c r="K548" i="5"/>
  <c r="K556" i="5"/>
  <c r="K564" i="5"/>
  <c r="K572" i="5"/>
  <c r="K580" i="5"/>
  <c r="K588" i="5"/>
  <c r="K596" i="5"/>
  <c r="K604" i="5"/>
  <c r="K612" i="5"/>
  <c r="K620" i="5"/>
  <c r="K628" i="5"/>
  <c r="K636" i="5"/>
  <c r="K644" i="5"/>
  <c r="K652" i="5"/>
  <c r="K660" i="5"/>
  <c r="K668" i="5"/>
  <c r="K676" i="5"/>
  <c r="K684" i="5"/>
  <c r="K692" i="5"/>
  <c r="K700" i="5"/>
  <c r="K708" i="5"/>
  <c r="K716" i="5"/>
  <c r="P720" i="5"/>
  <c r="H720" i="5"/>
  <c r="L720" i="5"/>
  <c r="P732" i="5"/>
  <c r="H732" i="5"/>
  <c r="L732" i="5"/>
  <c r="C732" i="5"/>
  <c r="N732" i="5"/>
  <c r="R738" i="5"/>
  <c r="J738" i="5"/>
  <c r="N738" i="5"/>
  <c r="F738" i="5"/>
  <c r="M738" i="5"/>
  <c r="Q755" i="5"/>
  <c r="I755" i="5"/>
  <c r="O755" i="5"/>
  <c r="G755" i="5"/>
  <c r="M755" i="5"/>
  <c r="E755" i="5"/>
  <c r="P755" i="5"/>
  <c r="R803" i="5"/>
  <c r="J803" i="5"/>
  <c r="Q803" i="5"/>
  <c r="I803" i="5"/>
  <c r="P803" i="5"/>
  <c r="H803" i="5"/>
  <c r="O803" i="5"/>
  <c r="G803" i="5"/>
  <c r="N803" i="5"/>
  <c r="F803" i="5"/>
  <c r="M803" i="5"/>
  <c r="E803" i="5"/>
  <c r="L803" i="5"/>
  <c r="C803" i="5"/>
  <c r="R811" i="5"/>
  <c r="J811" i="5"/>
  <c r="Q811" i="5"/>
  <c r="I811" i="5"/>
  <c r="P811" i="5"/>
  <c r="H811" i="5"/>
  <c r="O811" i="5"/>
  <c r="G811" i="5"/>
  <c r="N811" i="5"/>
  <c r="F811" i="5"/>
  <c r="M811" i="5"/>
  <c r="E811" i="5"/>
  <c r="L811" i="5"/>
  <c r="C811" i="5"/>
  <c r="R819" i="5"/>
  <c r="J819" i="5"/>
  <c r="Q819" i="5"/>
  <c r="I819" i="5"/>
  <c r="P819" i="5"/>
  <c r="H819" i="5"/>
  <c r="O819" i="5"/>
  <c r="G819" i="5"/>
  <c r="N819" i="5"/>
  <c r="F819" i="5"/>
  <c r="M819" i="5"/>
  <c r="E819" i="5"/>
  <c r="L819" i="5"/>
  <c r="C819" i="5"/>
  <c r="A819" i="5" s="1"/>
  <c r="A819" i="1" s="1"/>
  <c r="R827" i="5"/>
  <c r="J827" i="5"/>
  <c r="Q827" i="5"/>
  <c r="I827" i="5"/>
  <c r="P827" i="5"/>
  <c r="H827" i="5"/>
  <c r="O827" i="5"/>
  <c r="G827" i="5"/>
  <c r="N827" i="5"/>
  <c r="F827" i="5"/>
  <c r="M827" i="5"/>
  <c r="E827" i="5"/>
  <c r="L827" i="5"/>
  <c r="C827" i="5"/>
  <c r="R835" i="5"/>
  <c r="J835" i="5"/>
  <c r="Q835" i="5"/>
  <c r="I835" i="5"/>
  <c r="P835" i="5"/>
  <c r="H835" i="5"/>
  <c r="O835" i="5"/>
  <c r="G835" i="5"/>
  <c r="N835" i="5"/>
  <c r="F835" i="5"/>
  <c r="M835" i="5"/>
  <c r="E835" i="5"/>
  <c r="L835" i="5"/>
  <c r="C835" i="5"/>
  <c r="R843" i="5"/>
  <c r="J843" i="5"/>
  <c r="Q843" i="5"/>
  <c r="I843" i="5"/>
  <c r="P843" i="5"/>
  <c r="H843" i="5"/>
  <c r="O843" i="5"/>
  <c r="G843" i="5"/>
  <c r="N843" i="5"/>
  <c r="F843" i="5"/>
  <c r="M843" i="5"/>
  <c r="E843" i="5"/>
  <c r="L843" i="5"/>
  <c r="C843" i="5"/>
  <c r="R851" i="5"/>
  <c r="J851" i="5"/>
  <c r="Q851" i="5"/>
  <c r="I851" i="5"/>
  <c r="P851" i="5"/>
  <c r="H851" i="5"/>
  <c r="O851" i="5"/>
  <c r="G851" i="5"/>
  <c r="N851" i="5"/>
  <c r="F851" i="5"/>
  <c r="M851" i="5"/>
  <c r="E851" i="5"/>
  <c r="L851" i="5"/>
  <c r="C851" i="5"/>
  <c r="R859" i="5"/>
  <c r="J859" i="5"/>
  <c r="Q859" i="5"/>
  <c r="I859" i="5"/>
  <c r="P859" i="5"/>
  <c r="H859" i="5"/>
  <c r="O859" i="5"/>
  <c r="G859" i="5"/>
  <c r="N859" i="5"/>
  <c r="F859" i="5"/>
  <c r="M859" i="5"/>
  <c r="E859" i="5"/>
  <c r="L859" i="5"/>
  <c r="C859" i="5"/>
  <c r="R867" i="5"/>
  <c r="J867" i="5"/>
  <c r="Q867" i="5"/>
  <c r="I867" i="5"/>
  <c r="P867" i="5"/>
  <c r="H867" i="5"/>
  <c r="O867" i="5"/>
  <c r="G867" i="5"/>
  <c r="N867" i="5"/>
  <c r="F867" i="5"/>
  <c r="M867" i="5"/>
  <c r="E867" i="5"/>
  <c r="L867" i="5"/>
  <c r="C867" i="5"/>
  <c r="R875" i="5"/>
  <c r="J875" i="5"/>
  <c r="Q875" i="5"/>
  <c r="I875" i="5"/>
  <c r="P875" i="5"/>
  <c r="H875" i="5"/>
  <c r="O875" i="5"/>
  <c r="G875" i="5"/>
  <c r="N875" i="5"/>
  <c r="F875" i="5"/>
  <c r="M875" i="5"/>
  <c r="E875" i="5"/>
  <c r="L875" i="5"/>
  <c r="C875" i="5"/>
  <c r="R883" i="5"/>
  <c r="J883" i="5"/>
  <c r="Q883" i="5"/>
  <c r="I883" i="5"/>
  <c r="P883" i="5"/>
  <c r="H883" i="5"/>
  <c r="O883" i="5"/>
  <c r="G883" i="5"/>
  <c r="N883" i="5"/>
  <c r="F883" i="5"/>
  <c r="M883" i="5"/>
  <c r="E883" i="5"/>
  <c r="L883" i="5"/>
  <c r="C883" i="5"/>
  <c r="R891" i="5"/>
  <c r="J891" i="5"/>
  <c r="Q891" i="5"/>
  <c r="I891" i="5"/>
  <c r="P891" i="5"/>
  <c r="H891" i="5"/>
  <c r="O891" i="5"/>
  <c r="G891" i="5"/>
  <c r="N891" i="5"/>
  <c r="F891" i="5"/>
  <c r="M891" i="5"/>
  <c r="E891" i="5"/>
  <c r="L891" i="5"/>
  <c r="C891" i="5"/>
  <c r="R899" i="5"/>
  <c r="J899" i="5"/>
  <c r="Q899" i="5"/>
  <c r="I899" i="5"/>
  <c r="P899" i="5"/>
  <c r="H899" i="5"/>
  <c r="O899" i="5"/>
  <c r="G899" i="5"/>
  <c r="N899" i="5"/>
  <c r="F899" i="5"/>
  <c r="M899" i="5"/>
  <c r="E899" i="5"/>
  <c r="L899" i="5"/>
  <c r="C899" i="5"/>
  <c r="R907" i="5"/>
  <c r="J907" i="5"/>
  <c r="Q907" i="5"/>
  <c r="I907" i="5"/>
  <c r="P907" i="5"/>
  <c r="H907" i="5"/>
  <c r="O907" i="5"/>
  <c r="G907" i="5"/>
  <c r="N907" i="5"/>
  <c r="F907" i="5"/>
  <c r="M907" i="5"/>
  <c r="E907" i="5"/>
  <c r="L907" i="5"/>
  <c r="C907" i="5"/>
  <c r="R915" i="5"/>
  <c r="J915" i="5"/>
  <c r="Q915" i="5"/>
  <c r="I915" i="5"/>
  <c r="P915" i="5"/>
  <c r="H915" i="5"/>
  <c r="O915" i="5"/>
  <c r="G915" i="5"/>
  <c r="N915" i="5"/>
  <c r="F915" i="5"/>
  <c r="M915" i="5"/>
  <c r="E915" i="5"/>
  <c r="L915" i="5"/>
  <c r="C915" i="5"/>
  <c r="R923" i="5"/>
  <c r="J923" i="5"/>
  <c r="Q923" i="5"/>
  <c r="I923" i="5"/>
  <c r="P923" i="5"/>
  <c r="H923" i="5"/>
  <c r="O923" i="5"/>
  <c r="G923" i="5"/>
  <c r="N923" i="5"/>
  <c r="F923" i="5"/>
  <c r="M923" i="5"/>
  <c r="E923" i="5"/>
  <c r="L923" i="5"/>
  <c r="C923" i="5"/>
  <c r="R931" i="5"/>
  <c r="J931" i="5"/>
  <c r="Q931" i="5"/>
  <c r="I931" i="5"/>
  <c r="P931" i="5"/>
  <c r="H931" i="5"/>
  <c r="O931" i="5"/>
  <c r="G931" i="5"/>
  <c r="N931" i="5"/>
  <c r="F931" i="5"/>
  <c r="M931" i="5"/>
  <c r="E931" i="5"/>
  <c r="L931" i="5"/>
  <c r="C931" i="5"/>
  <c r="R939" i="5"/>
  <c r="J939" i="5"/>
  <c r="Q939" i="5"/>
  <c r="I939" i="5"/>
  <c r="P939" i="5"/>
  <c r="H939" i="5"/>
  <c r="O939" i="5"/>
  <c r="G939" i="5"/>
  <c r="N939" i="5"/>
  <c r="F939" i="5"/>
  <c r="M939" i="5"/>
  <c r="E939" i="5"/>
  <c r="L939" i="5"/>
  <c r="C939" i="5"/>
  <c r="R947" i="5"/>
  <c r="J947" i="5"/>
  <c r="Q947" i="5"/>
  <c r="I947" i="5"/>
  <c r="P947" i="5"/>
  <c r="H947" i="5"/>
  <c r="O947" i="5"/>
  <c r="G947" i="5"/>
  <c r="N947" i="5"/>
  <c r="F947" i="5"/>
  <c r="M947" i="5"/>
  <c r="E947" i="5"/>
  <c r="L947" i="5"/>
  <c r="C947" i="5"/>
  <c r="A947" i="5" s="1"/>
  <c r="A947" i="1" s="1"/>
  <c r="R955" i="5"/>
  <c r="J955" i="5"/>
  <c r="Q955" i="5"/>
  <c r="I955" i="5"/>
  <c r="P955" i="5"/>
  <c r="H955" i="5"/>
  <c r="O955" i="5"/>
  <c r="G955" i="5"/>
  <c r="N955" i="5"/>
  <c r="F955" i="5"/>
  <c r="M955" i="5"/>
  <c r="E955" i="5"/>
  <c r="L955" i="5"/>
  <c r="C955" i="5"/>
  <c r="R963" i="5"/>
  <c r="J963" i="5"/>
  <c r="Q963" i="5"/>
  <c r="I963" i="5"/>
  <c r="P963" i="5"/>
  <c r="H963" i="5"/>
  <c r="O963" i="5"/>
  <c r="G963" i="5"/>
  <c r="N963" i="5"/>
  <c r="F963" i="5"/>
  <c r="M963" i="5"/>
  <c r="E963" i="5"/>
  <c r="L963" i="5"/>
  <c r="C963" i="5"/>
  <c r="R971" i="5"/>
  <c r="J971" i="5"/>
  <c r="Q971" i="5"/>
  <c r="I971" i="5"/>
  <c r="P971" i="5"/>
  <c r="H971" i="5"/>
  <c r="O971" i="5"/>
  <c r="G971" i="5"/>
  <c r="N971" i="5"/>
  <c r="F971" i="5"/>
  <c r="M971" i="5"/>
  <c r="E971" i="5"/>
  <c r="L971" i="5"/>
  <c r="C971" i="5"/>
  <c r="R979" i="5"/>
  <c r="J979" i="5"/>
  <c r="Q979" i="5"/>
  <c r="I979" i="5"/>
  <c r="P979" i="5"/>
  <c r="H979" i="5"/>
  <c r="O979" i="5"/>
  <c r="G979" i="5"/>
  <c r="N979" i="5"/>
  <c r="F979" i="5"/>
  <c r="M979" i="5"/>
  <c r="E979" i="5"/>
  <c r="L979" i="5"/>
  <c r="C979" i="5"/>
  <c r="R987" i="5"/>
  <c r="J987" i="5"/>
  <c r="Q987" i="5"/>
  <c r="I987" i="5"/>
  <c r="P987" i="5"/>
  <c r="H987" i="5"/>
  <c r="O987" i="5"/>
  <c r="G987" i="5"/>
  <c r="N987" i="5"/>
  <c r="F987" i="5"/>
  <c r="M987" i="5"/>
  <c r="E987" i="5"/>
  <c r="L987" i="5"/>
  <c r="C987" i="5"/>
  <c r="R1377" i="5"/>
  <c r="J1377" i="5"/>
  <c r="Q1377" i="5"/>
  <c r="I1377" i="5"/>
  <c r="P1377" i="5"/>
  <c r="H1377" i="5"/>
  <c r="O1377" i="5"/>
  <c r="G1377" i="5"/>
  <c r="N1377" i="5"/>
  <c r="F1377" i="5"/>
  <c r="M1377" i="5"/>
  <c r="E1377" i="5"/>
  <c r="L1377" i="5"/>
  <c r="K1377" i="5"/>
  <c r="C1377" i="5"/>
  <c r="G473" i="5"/>
  <c r="G481" i="5"/>
  <c r="G489" i="5"/>
  <c r="E491" i="5"/>
  <c r="G497" i="5"/>
  <c r="E499" i="5"/>
  <c r="A499" i="5" s="1"/>
  <c r="A499" i="1" s="1"/>
  <c r="J502" i="5"/>
  <c r="R502" i="5"/>
  <c r="G505" i="5"/>
  <c r="E507" i="5"/>
  <c r="A507" i="5" s="1"/>
  <c r="A507" i="1" s="1"/>
  <c r="J510" i="5"/>
  <c r="R510" i="5"/>
  <c r="G513" i="5"/>
  <c r="E515" i="5"/>
  <c r="A515" i="5" s="1"/>
  <c r="A515" i="1" s="1"/>
  <c r="J518" i="5"/>
  <c r="R518" i="5"/>
  <c r="G521" i="5"/>
  <c r="E523" i="5"/>
  <c r="A523" i="5" s="1"/>
  <c r="A523" i="1" s="1"/>
  <c r="J526" i="5"/>
  <c r="R526" i="5"/>
  <c r="G529" i="5"/>
  <c r="E531" i="5"/>
  <c r="A531" i="5" s="1"/>
  <c r="A531" i="1" s="1"/>
  <c r="J534" i="5"/>
  <c r="R534" i="5"/>
  <c r="H536" i="5"/>
  <c r="P536" i="5"/>
  <c r="G537" i="5"/>
  <c r="E539" i="5"/>
  <c r="A539" i="5" s="1"/>
  <c r="A539" i="1" s="1"/>
  <c r="C540" i="5"/>
  <c r="L540" i="5"/>
  <c r="J542" i="5"/>
  <c r="R542" i="5"/>
  <c r="H544" i="5"/>
  <c r="P544" i="5"/>
  <c r="G545" i="5"/>
  <c r="E547" i="5"/>
  <c r="A547" i="5" s="1"/>
  <c r="A547" i="1" s="1"/>
  <c r="C548" i="5"/>
  <c r="L548" i="5"/>
  <c r="J550" i="5"/>
  <c r="A550" i="5" s="1"/>
  <c r="A550" i="1" s="1"/>
  <c r="R550" i="5"/>
  <c r="H552" i="5"/>
  <c r="P552" i="5"/>
  <c r="G553" i="5"/>
  <c r="E555" i="5"/>
  <c r="A555" i="5" s="1"/>
  <c r="A555" i="1" s="1"/>
  <c r="C556" i="5"/>
  <c r="L556" i="5"/>
  <c r="J558" i="5"/>
  <c r="R558" i="5"/>
  <c r="H560" i="5"/>
  <c r="P560" i="5"/>
  <c r="G561" i="5"/>
  <c r="E563" i="5"/>
  <c r="A563" i="5" s="1"/>
  <c r="A563" i="1" s="1"/>
  <c r="C564" i="5"/>
  <c r="L564" i="5"/>
  <c r="J566" i="5"/>
  <c r="R566" i="5"/>
  <c r="H568" i="5"/>
  <c r="P568" i="5"/>
  <c r="G569" i="5"/>
  <c r="E571" i="5"/>
  <c r="A571" i="5" s="1"/>
  <c r="A571" i="1" s="1"/>
  <c r="C572" i="5"/>
  <c r="L572" i="5"/>
  <c r="J574" i="5"/>
  <c r="R574" i="5"/>
  <c r="H576" i="5"/>
  <c r="P576" i="5"/>
  <c r="G577" i="5"/>
  <c r="E579" i="5"/>
  <c r="A579" i="5" s="1"/>
  <c r="A579" i="1" s="1"/>
  <c r="C580" i="5"/>
  <c r="L580" i="5"/>
  <c r="J582" i="5"/>
  <c r="R582" i="5"/>
  <c r="H584" i="5"/>
  <c r="P584" i="5"/>
  <c r="G585" i="5"/>
  <c r="E587" i="5"/>
  <c r="C588" i="5"/>
  <c r="L588" i="5"/>
  <c r="J590" i="5"/>
  <c r="R590" i="5"/>
  <c r="H592" i="5"/>
  <c r="P592" i="5"/>
  <c r="G593" i="5"/>
  <c r="E595" i="5"/>
  <c r="A595" i="5" s="1"/>
  <c r="A595" i="1" s="1"/>
  <c r="C596" i="5"/>
  <c r="L596" i="5"/>
  <c r="J598" i="5"/>
  <c r="R598" i="5"/>
  <c r="H600" i="5"/>
  <c r="P600" i="5"/>
  <c r="G601" i="5"/>
  <c r="E603" i="5"/>
  <c r="C604" i="5"/>
  <c r="L604" i="5"/>
  <c r="J606" i="5"/>
  <c r="R606" i="5"/>
  <c r="H608" i="5"/>
  <c r="P608" i="5"/>
  <c r="G609" i="5"/>
  <c r="E611" i="5"/>
  <c r="A611" i="5" s="1"/>
  <c r="A611" i="1" s="1"/>
  <c r="C612" i="5"/>
  <c r="L612" i="5"/>
  <c r="J614" i="5"/>
  <c r="R614" i="5"/>
  <c r="H616" i="5"/>
  <c r="P616" i="5"/>
  <c r="G617" i="5"/>
  <c r="E619" i="5"/>
  <c r="A619" i="5" s="1"/>
  <c r="A619" i="1" s="1"/>
  <c r="C620" i="5"/>
  <c r="L620" i="5"/>
  <c r="J622" i="5"/>
  <c r="R622" i="5"/>
  <c r="H624" i="5"/>
  <c r="P624" i="5"/>
  <c r="G625" i="5"/>
  <c r="E627" i="5"/>
  <c r="A627" i="5" s="1"/>
  <c r="A627" i="1" s="1"/>
  <c r="C628" i="5"/>
  <c r="L628" i="5"/>
  <c r="J630" i="5"/>
  <c r="R630" i="5"/>
  <c r="H632" i="5"/>
  <c r="P632" i="5"/>
  <c r="G633" i="5"/>
  <c r="E635" i="5"/>
  <c r="A635" i="5" s="1"/>
  <c r="A635" i="1" s="1"/>
  <c r="C636" i="5"/>
  <c r="L636" i="5"/>
  <c r="J638" i="5"/>
  <c r="R638" i="5"/>
  <c r="H640" i="5"/>
  <c r="P640" i="5"/>
  <c r="G641" i="5"/>
  <c r="E643" i="5"/>
  <c r="A643" i="5" s="1"/>
  <c r="A643" i="1" s="1"/>
  <c r="C644" i="5"/>
  <c r="L644" i="5"/>
  <c r="J646" i="5"/>
  <c r="R646" i="5"/>
  <c r="H648" i="5"/>
  <c r="P648" i="5"/>
  <c r="G649" i="5"/>
  <c r="E651" i="5"/>
  <c r="A651" i="5" s="1"/>
  <c r="A651" i="1" s="1"/>
  <c r="C652" i="5"/>
  <c r="L652" i="5"/>
  <c r="J654" i="5"/>
  <c r="R654" i="5"/>
  <c r="H656" i="5"/>
  <c r="P656" i="5"/>
  <c r="G657" i="5"/>
  <c r="E659" i="5"/>
  <c r="A659" i="5" s="1"/>
  <c r="A659" i="1" s="1"/>
  <c r="C660" i="5"/>
  <c r="L660" i="5"/>
  <c r="J662" i="5"/>
  <c r="R662" i="5"/>
  <c r="H664" i="5"/>
  <c r="P664" i="5"/>
  <c r="G665" i="5"/>
  <c r="E667" i="5"/>
  <c r="A667" i="5" s="1"/>
  <c r="A667" i="1" s="1"/>
  <c r="C668" i="5"/>
  <c r="L668" i="5"/>
  <c r="J670" i="5"/>
  <c r="R670" i="5"/>
  <c r="H672" i="5"/>
  <c r="P672" i="5"/>
  <c r="G673" i="5"/>
  <c r="E675" i="5"/>
  <c r="A675" i="5" s="1"/>
  <c r="A675" i="1" s="1"/>
  <c r="C676" i="5"/>
  <c r="L676" i="5"/>
  <c r="J678" i="5"/>
  <c r="R678" i="5"/>
  <c r="H680" i="5"/>
  <c r="P680" i="5"/>
  <c r="G681" i="5"/>
  <c r="E683" i="5"/>
  <c r="A683" i="5" s="1"/>
  <c r="A683" i="1" s="1"/>
  <c r="C684" i="5"/>
  <c r="L684" i="5"/>
  <c r="J686" i="5"/>
  <c r="R686" i="5"/>
  <c r="H688" i="5"/>
  <c r="P688" i="5"/>
  <c r="G689" i="5"/>
  <c r="E691" i="5"/>
  <c r="A691" i="5" s="1"/>
  <c r="A691" i="1" s="1"/>
  <c r="C692" i="5"/>
  <c r="L692" i="5"/>
  <c r="J694" i="5"/>
  <c r="R694" i="5"/>
  <c r="H696" i="5"/>
  <c r="P696" i="5"/>
  <c r="G697" i="5"/>
  <c r="E699" i="5"/>
  <c r="A699" i="5" s="1"/>
  <c r="A699" i="1" s="1"/>
  <c r="C700" i="5"/>
  <c r="L700" i="5"/>
  <c r="J702" i="5"/>
  <c r="R702" i="5"/>
  <c r="H704" i="5"/>
  <c r="P704" i="5"/>
  <c r="G705" i="5"/>
  <c r="E707" i="5"/>
  <c r="A707" i="5" s="1"/>
  <c r="A707" i="1" s="1"/>
  <c r="C708" i="5"/>
  <c r="L708" i="5"/>
  <c r="J710" i="5"/>
  <c r="R710" i="5"/>
  <c r="H712" i="5"/>
  <c r="P712" i="5"/>
  <c r="G713" i="5"/>
  <c r="E715" i="5"/>
  <c r="A715" i="5" s="1"/>
  <c r="A715" i="1" s="1"/>
  <c r="C716" i="5"/>
  <c r="L716" i="5"/>
  <c r="Q719" i="5"/>
  <c r="I719" i="5"/>
  <c r="L719" i="5"/>
  <c r="A719" i="5" s="1"/>
  <c r="A719" i="1" s="1"/>
  <c r="C720" i="5"/>
  <c r="M720" i="5"/>
  <c r="E721" i="5"/>
  <c r="A721" i="5" s="1"/>
  <c r="A721" i="1" s="1"/>
  <c r="N721" i="5"/>
  <c r="H722" i="5"/>
  <c r="F724" i="5"/>
  <c r="Q724" i="5"/>
  <c r="F727" i="5"/>
  <c r="P727" i="5"/>
  <c r="J728" i="5"/>
  <c r="E732" i="5"/>
  <c r="O732" i="5"/>
  <c r="I734" i="5"/>
  <c r="M735" i="5"/>
  <c r="E735" i="5"/>
  <c r="Q735" i="5"/>
  <c r="I735" i="5"/>
  <c r="N735" i="5"/>
  <c r="C738" i="5"/>
  <c r="O738" i="5"/>
  <c r="H739" i="5"/>
  <c r="F744" i="5"/>
  <c r="E746" i="5"/>
  <c r="A746" i="5" s="1"/>
  <c r="A746" i="1" s="1"/>
  <c r="J748" i="5"/>
  <c r="G750" i="5"/>
  <c r="I752" i="5"/>
  <c r="I754" i="5"/>
  <c r="C755" i="5"/>
  <c r="R755" i="5"/>
  <c r="I758" i="5"/>
  <c r="P764" i="5"/>
  <c r="H764" i="5"/>
  <c r="N764" i="5"/>
  <c r="F764" i="5"/>
  <c r="L764" i="5"/>
  <c r="C764" i="5"/>
  <c r="Q764" i="5"/>
  <c r="G768" i="5"/>
  <c r="G772" i="5"/>
  <c r="Q780" i="5"/>
  <c r="I780" i="5"/>
  <c r="P780" i="5"/>
  <c r="H780" i="5"/>
  <c r="N780" i="5"/>
  <c r="F780" i="5"/>
  <c r="M780" i="5"/>
  <c r="E780" i="5"/>
  <c r="L780" i="5"/>
  <c r="C780" i="5"/>
  <c r="M784" i="5"/>
  <c r="E784" i="5"/>
  <c r="L784" i="5"/>
  <c r="C784" i="5"/>
  <c r="R784" i="5"/>
  <c r="J784" i="5"/>
  <c r="Q784" i="5"/>
  <c r="I784" i="5"/>
  <c r="P784" i="5"/>
  <c r="H784" i="5"/>
  <c r="O788" i="5"/>
  <c r="N792" i="5"/>
  <c r="A797" i="5"/>
  <c r="A797" i="1" s="1"/>
  <c r="K803" i="5"/>
  <c r="A805" i="5"/>
  <c r="A805" i="1" s="1"/>
  <c r="K811" i="5"/>
  <c r="A813" i="5"/>
  <c r="A813" i="1" s="1"/>
  <c r="K819" i="5"/>
  <c r="A821" i="5"/>
  <c r="A821" i="1" s="1"/>
  <c r="K827" i="5"/>
  <c r="A829" i="5"/>
  <c r="A829" i="1" s="1"/>
  <c r="K835" i="5"/>
  <c r="A837" i="5"/>
  <c r="A837" i="1" s="1"/>
  <c r="K843" i="5"/>
  <c r="A845" i="5"/>
  <c r="K851" i="5"/>
  <c r="A853" i="5"/>
  <c r="A853" i="1" s="1"/>
  <c r="K859" i="5"/>
  <c r="K867" i="5"/>
  <c r="K875" i="5"/>
  <c r="K883" i="5"/>
  <c r="K891" i="5"/>
  <c r="A893" i="5"/>
  <c r="A893" i="1" s="1"/>
  <c r="K899" i="5"/>
  <c r="A901" i="5"/>
  <c r="A901" i="1" s="1"/>
  <c r="K907" i="5"/>
  <c r="A909" i="5"/>
  <c r="K915" i="5"/>
  <c r="A917" i="5"/>
  <c r="A917" i="1" s="1"/>
  <c r="K923" i="5"/>
  <c r="A925" i="5"/>
  <c r="A925" i="1" s="1"/>
  <c r="K931" i="5"/>
  <c r="A933" i="5"/>
  <c r="A933" i="1" s="1"/>
  <c r="K939" i="5"/>
  <c r="A941" i="5"/>
  <c r="A941" i="1" s="1"/>
  <c r="K947" i="5"/>
  <c r="A949" i="5"/>
  <c r="A949" i="1" s="1"/>
  <c r="K955" i="5"/>
  <c r="A957" i="5"/>
  <c r="A957" i="1" s="1"/>
  <c r="K963" i="5"/>
  <c r="A965" i="5"/>
  <c r="A965" i="1" s="1"/>
  <c r="K971" i="5"/>
  <c r="R995" i="5"/>
  <c r="J995" i="5"/>
  <c r="Q995" i="5"/>
  <c r="I995" i="5"/>
  <c r="P995" i="5"/>
  <c r="H995" i="5"/>
  <c r="O995" i="5"/>
  <c r="G995" i="5"/>
  <c r="N995" i="5"/>
  <c r="F995" i="5"/>
  <c r="M995" i="5"/>
  <c r="E995" i="5"/>
  <c r="L995" i="5"/>
  <c r="C995" i="5"/>
  <c r="A1013" i="5"/>
  <c r="A1013" i="1" s="1"/>
  <c r="Q1037" i="5"/>
  <c r="I1037" i="5"/>
  <c r="M1037" i="5"/>
  <c r="E1037" i="5"/>
  <c r="L1037" i="5"/>
  <c r="K1037" i="5"/>
  <c r="J1037" i="5"/>
  <c r="H1037" i="5"/>
  <c r="R1037" i="5"/>
  <c r="G1037" i="5"/>
  <c r="P1037" i="5"/>
  <c r="F1037" i="5"/>
  <c r="O1037" i="5"/>
  <c r="C1037" i="5"/>
  <c r="A1071" i="5"/>
  <c r="A1071" i="1" s="1"/>
  <c r="I536" i="5"/>
  <c r="E540" i="5"/>
  <c r="I544" i="5"/>
  <c r="E548" i="5"/>
  <c r="I552" i="5"/>
  <c r="E556" i="5"/>
  <c r="I560" i="5"/>
  <c r="E564" i="5"/>
  <c r="I568" i="5"/>
  <c r="E572" i="5"/>
  <c r="I576" i="5"/>
  <c r="E580" i="5"/>
  <c r="I584" i="5"/>
  <c r="E588" i="5"/>
  <c r="I592" i="5"/>
  <c r="E596" i="5"/>
  <c r="I600" i="5"/>
  <c r="E604" i="5"/>
  <c r="I608" i="5"/>
  <c r="E612" i="5"/>
  <c r="I616" i="5"/>
  <c r="E620" i="5"/>
  <c r="I624" i="5"/>
  <c r="E628" i="5"/>
  <c r="I632" i="5"/>
  <c r="E636" i="5"/>
  <c r="I640" i="5"/>
  <c r="E644" i="5"/>
  <c r="I648" i="5"/>
  <c r="E652" i="5"/>
  <c r="I656" i="5"/>
  <c r="E660" i="5"/>
  <c r="I664" i="5"/>
  <c r="E668" i="5"/>
  <c r="I672" i="5"/>
  <c r="E676" i="5"/>
  <c r="I680" i="5"/>
  <c r="E684" i="5"/>
  <c r="I688" i="5"/>
  <c r="E692" i="5"/>
  <c r="I696" i="5"/>
  <c r="E700" i="5"/>
  <c r="I704" i="5"/>
  <c r="E708" i="5"/>
  <c r="I712" i="5"/>
  <c r="E716" i="5"/>
  <c r="R718" i="5"/>
  <c r="J718" i="5"/>
  <c r="L718" i="5"/>
  <c r="E720" i="5"/>
  <c r="N720" i="5"/>
  <c r="Q723" i="5"/>
  <c r="I723" i="5"/>
  <c r="M723" i="5"/>
  <c r="E723" i="5"/>
  <c r="A723" i="5" s="1"/>
  <c r="A723" i="1" s="1"/>
  <c r="N723" i="5"/>
  <c r="N726" i="5"/>
  <c r="F726" i="5"/>
  <c r="R726" i="5"/>
  <c r="J726" i="5"/>
  <c r="M726" i="5"/>
  <c r="K728" i="5"/>
  <c r="F732" i="5"/>
  <c r="Q732" i="5"/>
  <c r="K734" i="5"/>
  <c r="E738" i="5"/>
  <c r="P738" i="5"/>
  <c r="P740" i="5"/>
  <c r="H740" i="5"/>
  <c r="L740" i="5"/>
  <c r="C740" i="5"/>
  <c r="A740" i="5" s="1"/>
  <c r="A740" i="1" s="1"/>
  <c r="N740" i="5"/>
  <c r="Q747" i="5"/>
  <c r="I747" i="5"/>
  <c r="O747" i="5"/>
  <c r="G747" i="5"/>
  <c r="M747" i="5"/>
  <c r="E747" i="5"/>
  <c r="A747" i="5" s="1"/>
  <c r="A747" i="1" s="1"/>
  <c r="P747" i="5"/>
  <c r="F755" i="5"/>
  <c r="R779" i="5"/>
  <c r="J779" i="5"/>
  <c r="Q779" i="5"/>
  <c r="I779" i="5"/>
  <c r="O779" i="5"/>
  <c r="G779" i="5"/>
  <c r="N779" i="5"/>
  <c r="F779" i="5"/>
  <c r="M779" i="5"/>
  <c r="E779" i="5"/>
  <c r="A779" i="5" s="1"/>
  <c r="A779" i="1" s="1"/>
  <c r="R795" i="5"/>
  <c r="J795" i="5"/>
  <c r="Q795" i="5"/>
  <c r="I795" i="5"/>
  <c r="O795" i="5"/>
  <c r="G795" i="5"/>
  <c r="N795" i="5"/>
  <c r="F795" i="5"/>
  <c r="A795" i="5" s="1"/>
  <c r="A795" i="1" s="1"/>
  <c r="M795" i="5"/>
  <c r="E795" i="5"/>
  <c r="K995" i="5"/>
  <c r="R1321" i="5"/>
  <c r="J1321" i="5"/>
  <c r="Q1321" i="5"/>
  <c r="I1321" i="5"/>
  <c r="P1321" i="5"/>
  <c r="H1321" i="5"/>
  <c r="O1321" i="5"/>
  <c r="G1321" i="5"/>
  <c r="N1321" i="5"/>
  <c r="F1321" i="5"/>
  <c r="M1321" i="5"/>
  <c r="E1321" i="5"/>
  <c r="L1321" i="5"/>
  <c r="K1321" i="5"/>
  <c r="C1321" i="5"/>
  <c r="K796" i="5"/>
  <c r="G800" i="5"/>
  <c r="O800" i="5"/>
  <c r="K804" i="5"/>
  <c r="G808" i="5"/>
  <c r="O808" i="5"/>
  <c r="K812" i="5"/>
  <c r="G816" i="5"/>
  <c r="O816" i="5"/>
  <c r="K820" i="5"/>
  <c r="G824" i="5"/>
  <c r="O824" i="5"/>
  <c r="K828" i="5"/>
  <c r="G832" i="5"/>
  <c r="O832" i="5"/>
  <c r="K836" i="5"/>
  <c r="G840" i="5"/>
  <c r="O840" i="5"/>
  <c r="K844" i="5"/>
  <c r="G848" i="5"/>
  <c r="O848" i="5"/>
  <c r="K852" i="5"/>
  <c r="G856" i="5"/>
  <c r="O856" i="5"/>
  <c r="K860" i="5"/>
  <c r="G864" i="5"/>
  <c r="O864" i="5"/>
  <c r="K868" i="5"/>
  <c r="G872" i="5"/>
  <c r="O872" i="5"/>
  <c r="K876" i="5"/>
  <c r="G880" i="5"/>
  <c r="O880" i="5"/>
  <c r="K884" i="5"/>
  <c r="G888" i="5"/>
  <c r="O888" i="5"/>
  <c r="K892" i="5"/>
  <c r="G896" i="5"/>
  <c r="O896" i="5"/>
  <c r="K900" i="5"/>
  <c r="G904" i="5"/>
  <c r="O904" i="5"/>
  <c r="K908" i="5"/>
  <c r="G912" i="5"/>
  <c r="O912" i="5"/>
  <c r="K916" i="5"/>
  <c r="G920" i="5"/>
  <c r="O920" i="5"/>
  <c r="K924" i="5"/>
  <c r="G928" i="5"/>
  <c r="O928" i="5"/>
  <c r="K932" i="5"/>
  <c r="G936" i="5"/>
  <c r="O936" i="5"/>
  <c r="K940" i="5"/>
  <c r="G944" i="5"/>
  <c r="O944" i="5"/>
  <c r="K948" i="5"/>
  <c r="G952" i="5"/>
  <c r="O952" i="5"/>
  <c r="K956" i="5"/>
  <c r="G960" i="5"/>
  <c r="O960" i="5"/>
  <c r="K964" i="5"/>
  <c r="G968" i="5"/>
  <c r="O968" i="5"/>
  <c r="K972" i="5"/>
  <c r="G976" i="5"/>
  <c r="O976" i="5"/>
  <c r="K980" i="5"/>
  <c r="G984" i="5"/>
  <c r="O984" i="5"/>
  <c r="K988" i="5"/>
  <c r="O992" i="5"/>
  <c r="K996" i="5"/>
  <c r="K1004" i="5"/>
  <c r="K1012" i="5"/>
  <c r="K1020" i="5"/>
  <c r="L1026" i="5"/>
  <c r="C1026" i="5"/>
  <c r="P1026" i="5"/>
  <c r="H1026" i="5"/>
  <c r="N1026" i="5"/>
  <c r="I1030" i="5"/>
  <c r="L1034" i="5"/>
  <c r="C1034" i="5"/>
  <c r="P1034" i="5"/>
  <c r="H1034" i="5"/>
  <c r="N1034" i="5"/>
  <c r="I1038" i="5"/>
  <c r="L1042" i="5"/>
  <c r="C1042" i="5"/>
  <c r="P1042" i="5"/>
  <c r="H1042" i="5"/>
  <c r="N1042" i="5"/>
  <c r="I1046" i="5"/>
  <c r="L1050" i="5"/>
  <c r="C1050" i="5"/>
  <c r="P1050" i="5"/>
  <c r="H1050" i="5"/>
  <c r="N1050" i="5"/>
  <c r="L1058" i="5"/>
  <c r="C1058" i="5"/>
  <c r="P1058" i="5"/>
  <c r="H1058" i="5"/>
  <c r="N1058" i="5"/>
  <c r="L1066" i="5"/>
  <c r="C1066" i="5"/>
  <c r="Q1066" i="5"/>
  <c r="I1066" i="5"/>
  <c r="P1066" i="5"/>
  <c r="H1066" i="5"/>
  <c r="N1066" i="5"/>
  <c r="F1066" i="5"/>
  <c r="P1070" i="5"/>
  <c r="H1070" i="5"/>
  <c r="M1070" i="5"/>
  <c r="E1070" i="5"/>
  <c r="L1070" i="5"/>
  <c r="C1070" i="5"/>
  <c r="R1070" i="5"/>
  <c r="J1070" i="5"/>
  <c r="L1074" i="5"/>
  <c r="C1074" i="5"/>
  <c r="Q1074" i="5"/>
  <c r="I1074" i="5"/>
  <c r="P1074" i="5"/>
  <c r="H1074" i="5"/>
  <c r="N1074" i="5"/>
  <c r="F1074" i="5"/>
  <c r="R1092" i="5"/>
  <c r="J1092" i="5"/>
  <c r="Q1092" i="5"/>
  <c r="I1092" i="5"/>
  <c r="P1092" i="5"/>
  <c r="H1092" i="5"/>
  <c r="O1092" i="5"/>
  <c r="G1092" i="5"/>
  <c r="N1092" i="5"/>
  <c r="F1092" i="5"/>
  <c r="M1092" i="5"/>
  <c r="E1092" i="5"/>
  <c r="L1092" i="5"/>
  <c r="C1092" i="5"/>
  <c r="R1108" i="5"/>
  <c r="J1108" i="5"/>
  <c r="Q1108" i="5"/>
  <c r="I1108" i="5"/>
  <c r="P1108" i="5"/>
  <c r="H1108" i="5"/>
  <c r="O1108" i="5"/>
  <c r="G1108" i="5"/>
  <c r="N1108" i="5"/>
  <c r="F1108" i="5"/>
  <c r="M1108" i="5"/>
  <c r="E1108" i="5"/>
  <c r="L1108" i="5"/>
  <c r="C1108" i="5"/>
  <c r="A1115" i="5"/>
  <c r="A1115" i="1" s="1"/>
  <c r="R1124" i="5"/>
  <c r="J1124" i="5"/>
  <c r="Q1124" i="5"/>
  <c r="I1124" i="5"/>
  <c r="P1124" i="5"/>
  <c r="H1124" i="5"/>
  <c r="O1124" i="5"/>
  <c r="G1124" i="5"/>
  <c r="N1124" i="5"/>
  <c r="F1124" i="5"/>
  <c r="M1124" i="5"/>
  <c r="E1124" i="5"/>
  <c r="L1124" i="5"/>
  <c r="C1124" i="5"/>
  <c r="A1124" i="5" s="1"/>
  <c r="A1124" i="1" s="1"/>
  <c r="R1140" i="5"/>
  <c r="J1140" i="5"/>
  <c r="Q1140" i="5"/>
  <c r="I1140" i="5"/>
  <c r="P1140" i="5"/>
  <c r="H1140" i="5"/>
  <c r="O1140" i="5"/>
  <c r="G1140" i="5"/>
  <c r="N1140" i="5"/>
  <c r="F1140" i="5"/>
  <c r="M1140" i="5"/>
  <c r="E1140" i="5"/>
  <c r="L1140" i="5"/>
  <c r="C1140" i="5"/>
  <c r="R1164" i="5"/>
  <c r="J1164" i="5"/>
  <c r="Q1164" i="5"/>
  <c r="I1164" i="5"/>
  <c r="P1164" i="5"/>
  <c r="H1164" i="5"/>
  <c r="O1164" i="5"/>
  <c r="G1164" i="5"/>
  <c r="N1164" i="5"/>
  <c r="F1164" i="5"/>
  <c r="M1164" i="5"/>
  <c r="E1164" i="5"/>
  <c r="L1164" i="5"/>
  <c r="C1164" i="5"/>
  <c r="A1175" i="5"/>
  <c r="A1175" i="1" s="1"/>
  <c r="R1196" i="5"/>
  <c r="J1196" i="5"/>
  <c r="Q1196" i="5"/>
  <c r="I1196" i="5"/>
  <c r="P1196" i="5"/>
  <c r="H1196" i="5"/>
  <c r="O1196" i="5"/>
  <c r="G1196" i="5"/>
  <c r="N1196" i="5"/>
  <c r="F1196" i="5"/>
  <c r="M1196" i="5"/>
  <c r="E1196" i="5"/>
  <c r="L1196" i="5"/>
  <c r="C1196" i="5"/>
  <c r="L1278" i="5"/>
  <c r="C1278" i="5"/>
  <c r="R1278" i="5"/>
  <c r="J1278" i="5"/>
  <c r="P1278" i="5"/>
  <c r="H1278" i="5"/>
  <c r="N1278" i="5"/>
  <c r="M1278" i="5"/>
  <c r="K1278" i="5"/>
  <c r="I1278" i="5"/>
  <c r="G1278" i="5"/>
  <c r="F1278" i="5"/>
  <c r="Q1278" i="5"/>
  <c r="E1278" i="5"/>
  <c r="O1432" i="5"/>
  <c r="G1432" i="5"/>
  <c r="N1432" i="5"/>
  <c r="F1432" i="5"/>
  <c r="K1432" i="5"/>
  <c r="J1432" i="5"/>
  <c r="I1432" i="5"/>
  <c r="R1432" i="5"/>
  <c r="H1432" i="5"/>
  <c r="Q1432" i="5"/>
  <c r="E1432" i="5"/>
  <c r="P1432" i="5"/>
  <c r="C1432" i="5"/>
  <c r="M1432" i="5"/>
  <c r="L1432" i="5"/>
  <c r="K725" i="5"/>
  <c r="A725" i="5" s="1"/>
  <c r="A725" i="1" s="1"/>
  <c r="G729" i="5"/>
  <c r="A729" i="5" s="1"/>
  <c r="A729" i="1" s="1"/>
  <c r="O729" i="5"/>
  <c r="G737" i="5"/>
  <c r="A737" i="5" s="1"/>
  <c r="A737" i="1" s="1"/>
  <c r="O737" i="5"/>
  <c r="G745" i="5"/>
  <c r="A745" i="5" s="1"/>
  <c r="A745" i="1" s="1"/>
  <c r="O745" i="5"/>
  <c r="I751" i="5"/>
  <c r="Q751" i="5"/>
  <c r="G753" i="5"/>
  <c r="A753" i="5" s="1"/>
  <c r="A753" i="1" s="1"/>
  <c r="O753" i="5"/>
  <c r="I759" i="5"/>
  <c r="Q759" i="5"/>
  <c r="G761" i="5"/>
  <c r="O761" i="5"/>
  <c r="I767" i="5"/>
  <c r="Q767" i="5"/>
  <c r="G769" i="5"/>
  <c r="A769" i="5" s="1"/>
  <c r="A769" i="1" s="1"/>
  <c r="O769" i="5"/>
  <c r="F770" i="5"/>
  <c r="A770" i="5" s="1"/>
  <c r="A770" i="1" s="1"/>
  <c r="N770" i="5"/>
  <c r="I775" i="5"/>
  <c r="Q775" i="5"/>
  <c r="G777" i="5"/>
  <c r="A777" i="5" s="1"/>
  <c r="A777" i="1" s="1"/>
  <c r="O777" i="5"/>
  <c r="F778" i="5"/>
  <c r="A778" i="5" s="1"/>
  <c r="A778" i="1" s="1"/>
  <c r="N778" i="5"/>
  <c r="J782" i="5"/>
  <c r="R782" i="5"/>
  <c r="I783" i="5"/>
  <c r="Q783" i="5"/>
  <c r="G785" i="5"/>
  <c r="A785" i="5" s="1"/>
  <c r="A785" i="1" s="1"/>
  <c r="O785" i="5"/>
  <c r="F786" i="5"/>
  <c r="A786" i="5" s="1"/>
  <c r="A786" i="1" s="1"/>
  <c r="N786" i="5"/>
  <c r="J790" i="5"/>
  <c r="R790" i="5"/>
  <c r="I791" i="5"/>
  <c r="Q791" i="5"/>
  <c r="G793" i="5"/>
  <c r="A793" i="5" s="1"/>
  <c r="O793" i="5"/>
  <c r="F794" i="5"/>
  <c r="A794" i="5" s="1"/>
  <c r="A794" i="1" s="1"/>
  <c r="N794" i="5"/>
  <c r="C796" i="5"/>
  <c r="L796" i="5"/>
  <c r="J798" i="5"/>
  <c r="R798" i="5"/>
  <c r="I799" i="5"/>
  <c r="Q799" i="5"/>
  <c r="H800" i="5"/>
  <c r="P800" i="5"/>
  <c r="G801" i="5"/>
  <c r="A801" i="5" s="1"/>
  <c r="A801" i="1" s="1"/>
  <c r="O801" i="5"/>
  <c r="F802" i="5"/>
  <c r="A802" i="5" s="1"/>
  <c r="A802" i="1" s="1"/>
  <c r="N802" i="5"/>
  <c r="C804" i="5"/>
  <c r="L804" i="5"/>
  <c r="J806" i="5"/>
  <c r="R806" i="5"/>
  <c r="I807" i="5"/>
  <c r="Q807" i="5"/>
  <c r="H808" i="5"/>
  <c r="P808" i="5"/>
  <c r="G809" i="5"/>
  <c r="O809" i="5"/>
  <c r="F810" i="5"/>
  <c r="A810" i="5" s="1"/>
  <c r="A810" i="1" s="1"/>
  <c r="N810" i="5"/>
  <c r="C812" i="5"/>
  <c r="L812" i="5"/>
  <c r="J814" i="5"/>
  <c r="R814" i="5"/>
  <c r="I815" i="5"/>
  <c r="Q815" i="5"/>
  <c r="H816" i="5"/>
  <c r="P816" i="5"/>
  <c r="G817" i="5"/>
  <c r="A817" i="5" s="1"/>
  <c r="A817" i="1" s="1"/>
  <c r="O817" i="5"/>
  <c r="F818" i="5"/>
  <c r="N818" i="5"/>
  <c r="C820" i="5"/>
  <c r="L820" i="5"/>
  <c r="J822" i="5"/>
  <c r="R822" i="5"/>
  <c r="I823" i="5"/>
  <c r="Q823" i="5"/>
  <c r="H824" i="5"/>
  <c r="P824" i="5"/>
  <c r="G825" i="5"/>
  <c r="A825" i="5" s="1"/>
  <c r="A825" i="1" s="1"/>
  <c r="O825" i="5"/>
  <c r="F826" i="5"/>
  <c r="A826" i="5" s="1"/>
  <c r="A826" i="1" s="1"/>
  <c r="N826" i="5"/>
  <c r="C828" i="5"/>
  <c r="L828" i="5"/>
  <c r="J830" i="5"/>
  <c r="R830" i="5"/>
  <c r="I831" i="5"/>
  <c r="Q831" i="5"/>
  <c r="H832" i="5"/>
  <c r="P832" i="5"/>
  <c r="G833" i="5"/>
  <c r="A833" i="5" s="1"/>
  <c r="A833" i="1" s="1"/>
  <c r="O833" i="5"/>
  <c r="F834" i="5"/>
  <c r="N834" i="5"/>
  <c r="C836" i="5"/>
  <c r="L836" i="5"/>
  <c r="J838" i="5"/>
  <c r="R838" i="5"/>
  <c r="I839" i="5"/>
  <c r="Q839" i="5"/>
  <c r="H840" i="5"/>
  <c r="P840" i="5"/>
  <c r="G841" i="5"/>
  <c r="A841" i="5" s="1"/>
  <c r="A841" i="1" s="1"/>
  <c r="O841" i="5"/>
  <c r="F842" i="5"/>
  <c r="A842" i="5" s="1"/>
  <c r="A842" i="1" s="1"/>
  <c r="N842" i="5"/>
  <c r="C844" i="5"/>
  <c r="L844" i="5"/>
  <c r="J846" i="5"/>
  <c r="R846" i="5"/>
  <c r="I847" i="5"/>
  <c r="Q847" i="5"/>
  <c r="H848" i="5"/>
  <c r="P848" i="5"/>
  <c r="G849" i="5"/>
  <c r="A849" i="5" s="1"/>
  <c r="A849" i="1" s="1"/>
  <c r="O849" i="5"/>
  <c r="F850" i="5"/>
  <c r="A850" i="5" s="1"/>
  <c r="A850" i="1" s="1"/>
  <c r="N850" i="5"/>
  <c r="C852" i="5"/>
  <c r="L852" i="5"/>
  <c r="J854" i="5"/>
  <c r="R854" i="5"/>
  <c r="I855" i="5"/>
  <c r="Q855" i="5"/>
  <c r="H856" i="5"/>
  <c r="P856" i="5"/>
  <c r="G857" i="5"/>
  <c r="O857" i="5"/>
  <c r="F858" i="5"/>
  <c r="A858" i="5" s="1"/>
  <c r="A858" i="1" s="1"/>
  <c r="N858" i="5"/>
  <c r="C860" i="5"/>
  <c r="L860" i="5"/>
  <c r="J862" i="5"/>
  <c r="R862" i="5"/>
  <c r="I863" i="5"/>
  <c r="Q863" i="5"/>
  <c r="H864" i="5"/>
  <c r="P864" i="5"/>
  <c r="G865" i="5"/>
  <c r="A865" i="5" s="1"/>
  <c r="A865" i="1" s="1"/>
  <c r="O865" i="5"/>
  <c r="F866" i="5"/>
  <c r="A866" i="5" s="1"/>
  <c r="A866" i="1" s="1"/>
  <c r="N866" i="5"/>
  <c r="C868" i="5"/>
  <c r="L868" i="5"/>
  <c r="J870" i="5"/>
  <c r="R870" i="5"/>
  <c r="I871" i="5"/>
  <c r="Q871" i="5"/>
  <c r="H872" i="5"/>
  <c r="P872" i="5"/>
  <c r="G873" i="5"/>
  <c r="A873" i="5" s="1"/>
  <c r="A873" i="1" s="1"/>
  <c r="O873" i="5"/>
  <c r="F874" i="5"/>
  <c r="A874" i="5" s="1"/>
  <c r="A874" i="1" s="1"/>
  <c r="N874" i="5"/>
  <c r="C876" i="5"/>
  <c r="L876" i="5"/>
  <c r="J878" i="5"/>
  <c r="R878" i="5"/>
  <c r="I879" i="5"/>
  <c r="Q879" i="5"/>
  <c r="H880" i="5"/>
  <c r="P880" i="5"/>
  <c r="G881" i="5"/>
  <c r="A881" i="5" s="1"/>
  <c r="A881" i="1" s="1"/>
  <c r="O881" i="5"/>
  <c r="F882" i="5"/>
  <c r="N882" i="5"/>
  <c r="C884" i="5"/>
  <c r="L884" i="5"/>
  <c r="J886" i="5"/>
  <c r="R886" i="5"/>
  <c r="I887" i="5"/>
  <c r="Q887" i="5"/>
  <c r="H888" i="5"/>
  <c r="P888" i="5"/>
  <c r="G889" i="5"/>
  <c r="O889" i="5"/>
  <c r="F890" i="5"/>
  <c r="A890" i="5" s="1"/>
  <c r="A890" i="1" s="1"/>
  <c r="N890" i="5"/>
  <c r="C892" i="5"/>
  <c r="L892" i="5"/>
  <c r="J894" i="5"/>
  <c r="R894" i="5"/>
  <c r="I895" i="5"/>
  <c r="Q895" i="5"/>
  <c r="H896" i="5"/>
  <c r="P896" i="5"/>
  <c r="G897" i="5"/>
  <c r="A897" i="5" s="1"/>
  <c r="A897" i="1" s="1"/>
  <c r="O897" i="5"/>
  <c r="F898" i="5"/>
  <c r="N898" i="5"/>
  <c r="C900" i="5"/>
  <c r="L900" i="5"/>
  <c r="J902" i="5"/>
  <c r="R902" i="5"/>
  <c r="I903" i="5"/>
  <c r="Q903" i="5"/>
  <c r="H904" i="5"/>
  <c r="P904" i="5"/>
  <c r="G905" i="5"/>
  <c r="O905" i="5"/>
  <c r="F906" i="5"/>
  <c r="A906" i="5" s="1"/>
  <c r="A906" i="1" s="1"/>
  <c r="N906" i="5"/>
  <c r="C908" i="5"/>
  <c r="L908" i="5"/>
  <c r="J910" i="5"/>
  <c r="R910" i="5"/>
  <c r="I911" i="5"/>
  <c r="Q911" i="5"/>
  <c r="H912" i="5"/>
  <c r="P912" i="5"/>
  <c r="G913" i="5"/>
  <c r="A913" i="5" s="1"/>
  <c r="A913" i="1" s="1"/>
  <c r="O913" i="5"/>
  <c r="F914" i="5"/>
  <c r="A914" i="5" s="1"/>
  <c r="A914" i="1" s="1"/>
  <c r="N914" i="5"/>
  <c r="C916" i="5"/>
  <c r="L916" i="5"/>
  <c r="J918" i="5"/>
  <c r="R918" i="5"/>
  <c r="I919" i="5"/>
  <c r="Q919" i="5"/>
  <c r="H920" i="5"/>
  <c r="P920" i="5"/>
  <c r="G921" i="5"/>
  <c r="A921" i="5" s="1"/>
  <c r="A921" i="1" s="1"/>
  <c r="O921" i="5"/>
  <c r="F922" i="5"/>
  <c r="A922" i="5" s="1"/>
  <c r="A922" i="1" s="1"/>
  <c r="N922" i="5"/>
  <c r="C924" i="5"/>
  <c r="L924" i="5"/>
  <c r="J926" i="5"/>
  <c r="R926" i="5"/>
  <c r="I927" i="5"/>
  <c r="Q927" i="5"/>
  <c r="H928" i="5"/>
  <c r="P928" i="5"/>
  <c r="G929" i="5"/>
  <c r="A929" i="5" s="1"/>
  <c r="A929" i="1" s="1"/>
  <c r="O929" i="5"/>
  <c r="F930" i="5"/>
  <c r="A930" i="5" s="1"/>
  <c r="A930" i="1" s="1"/>
  <c r="N930" i="5"/>
  <c r="C932" i="5"/>
  <c r="L932" i="5"/>
  <c r="J934" i="5"/>
  <c r="R934" i="5"/>
  <c r="I935" i="5"/>
  <c r="Q935" i="5"/>
  <c r="H936" i="5"/>
  <c r="P936" i="5"/>
  <c r="G937" i="5"/>
  <c r="A937" i="5" s="1"/>
  <c r="A937" i="1" s="1"/>
  <c r="O937" i="5"/>
  <c r="F938" i="5"/>
  <c r="A938" i="5" s="1"/>
  <c r="A938" i="1" s="1"/>
  <c r="N938" i="5"/>
  <c r="C940" i="5"/>
  <c r="L940" i="5"/>
  <c r="J942" i="5"/>
  <c r="R942" i="5"/>
  <c r="I943" i="5"/>
  <c r="Q943" i="5"/>
  <c r="H944" i="5"/>
  <c r="P944" i="5"/>
  <c r="G945" i="5"/>
  <c r="A945" i="5" s="1"/>
  <c r="A945" i="1" s="1"/>
  <c r="O945" i="5"/>
  <c r="F946" i="5"/>
  <c r="N946" i="5"/>
  <c r="C948" i="5"/>
  <c r="L948" i="5"/>
  <c r="J950" i="5"/>
  <c r="R950" i="5"/>
  <c r="I951" i="5"/>
  <c r="Q951" i="5"/>
  <c r="H952" i="5"/>
  <c r="P952" i="5"/>
  <c r="G953" i="5"/>
  <c r="O953" i="5"/>
  <c r="F954" i="5"/>
  <c r="A954" i="5" s="1"/>
  <c r="A954" i="1" s="1"/>
  <c r="N954" i="5"/>
  <c r="C956" i="5"/>
  <c r="L956" i="5"/>
  <c r="J958" i="5"/>
  <c r="R958" i="5"/>
  <c r="I959" i="5"/>
  <c r="Q959" i="5"/>
  <c r="H960" i="5"/>
  <c r="P960" i="5"/>
  <c r="G961" i="5"/>
  <c r="A961" i="5" s="1"/>
  <c r="A961" i="1" s="1"/>
  <c r="O961" i="5"/>
  <c r="F962" i="5"/>
  <c r="N962" i="5"/>
  <c r="C964" i="5"/>
  <c r="L964" i="5"/>
  <c r="J966" i="5"/>
  <c r="R966" i="5"/>
  <c r="I967" i="5"/>
  <c r="Q967" i="5"/>
  <c r="H968" i="5"/>
  <c r="P968" i="5"/>
  <c r="G969" i="5"/>
  <c r="O969" i="5"/>
  <c r="F970" i="5"/>
  <c r="A970" i="5" s="1"/>
  <c r="A970" i="1" s="1"/>
  <c r="N970" i="5"/>
  <c r="C972" i="5"/>
  <c r="L972" i="5"/>
  <c r="J974" i="5"/>
  <c r="R974" i="5"/>
  <c r="I975" i="5"/>
  <c r="Q975" i="5"/>
  <c r="H976" i="5"/>
  <c r="P976" i="5"/>
  <c r="G977" i="5"/>
  <c r="A977" i="5" s="1"/>
  <c r="A977" i="1" s="1"/>
  <c r="O977" i="5"/>
  <c r="F978" i="5"/>
  <c r="A978" i="5" s="1"/>
  <c r="A978" i="1" s="1"/>
  <c r="N978" i="5"/>
  <c r="C980" i="5"/>
  <c r="L980" i="5"/>
  <c r="J982" i="5"/>
  <c r="R982" i="5"/>
  <c r="I983" i="5"/>
  <c r="Q983" i="5"/>
  <c r="H984" i="5"/>
  <c r="P984" i="5"/>
  <c r="G985" i="5"/>
  <c r="A985" i="5" s="1"/>
  <c r="A985" i="1" s="1"/>
  <c r="O985" i="5"/>
  <c r="F986" i="5"/>
  <c r="A986" i="5" s="1"/>
  <c r="A986" i="1" s="1"/>
  <c r="N986" i="5"/>
  <c r="C988" i="5"/>
  <c r="L988" i="5"/>
  <c r="J990" i="5"/>
  <c r="R990" i="5"/>
  <c r="I991" i="5"/>
  <c r="Q991" i="5"/>
  <c r="H992" i="5"/>
  <c r="P992" i="5"/>
  <c r="G993" i="5"/>
  <c r="A993" i="5" s="1"/>
  <c r="A993" i="1" s="1"/>
  <c r="O993" i="5"/>
  <c r="F994" i="5"/>
  <c r="A994" i="5" s="1"/>
  <c r="A994" i="1" s="1"/>
  <c r="N994" i="5"/>
  <c r="C996" i="5"/>
  <c r="L996" i="5"/>
  <c r="J998" i="5"/>
  <c r="R998" i="5"/>
  <c r="I999" i="5"/>
  <c r="Q999" i="5"/>
  <c r="H1000" i="5"/>
  <c r="P1000" i="5"/>
  <c r="G1001" i="5"/>
  <c r="A1001" i="5" s="1"/>
  <c r="A1001" i="1" s="1"/>
  <c r="O1001" i="5"/>
  <c r="F1002" i="5"/>
  <c r="A1002" i="5" s="1"/>
  <c r="A1002" i="1" s="1"/>
  <c r="N1002" i="5"/>
  <c r="C1004" i="5"/>
  <c r="L1004" i="5"/>
  <c r="J1006" i="5"/>
  <c r="R1006" i="5"/>
  <c r="I1007" i="5"/>
  <c r="Q1007" i="5"/>
  <c r="H1008" i="5"/>
  <c r="P1008" i="5"/>
  <c r="G1009" i="5"/>
  <c r="A1009" i="5" s="1"/>
  <c r="A1009" i="1" s="1"/>
  <c r="O1009" i="5"/>
  <c r="F1010" i="5"/>
  <c r="A1010" i="5" s="1"/>
  <c r="A1010" i="1" s="1"/>
  <c r="N1010" i="5"/>
  <c r="C1012" i="5"/>
  <c r="L1012" i="5"/>
  <c r="J1014" i="5"/>
  <c r="R1014" i="5"/>
  <c r="I1015" i="5"/>
  <c r="A1015" i="5" s="1"/>
  <c r="A1015" i="1" s="1"/>
  <c r="Q1015" i="5"/>
  <c r="H1016" i="5"/>
  <c r="P1016" i="5"/>
  <c r="G1017" i="5"/>
  <c r="O1017" i="5"/>
  <c r="F1018" i="5"/>
  <c r="A1018" i="5" s="1"/>
  <c r="A1018" i="1" s="1"/>
  <c r="N1018" i="5"/>
  <c r="C1020" i="5"/>
  <c r="L1020" i="5"/>
  <c r="G1024" i="5"/>
  <c r="Q1024" i="5"/>
  <c r="E1026" i="5"/>
  <c r="O1026" i="5"/>
  <c r="J1030" i="5"/>
  <c r="G1032" i="5"/>
  <c r="Q1032" i="5"/>
  <c r="E1034" i="5"/>
  <c r="O1034" i="5"/>
  <c r="J1038" i="5"/>
  <c r="G1040" i="5"/>
  <c r="Q1040" i="5"/>
  <c r="E1042" i="5"/>
  <c r="O1042" i="5"/>
  <c r="J1046" i="5"/>
  <c r="G1048" i="5"/>
  <c r="Q1048" i="5"/>
  <c r="E1050" i="5"/>
  <c r="O1050" i="5"/>
  <c r="J1054" i="5"/>
  <c r="G1056" i="5"/>
  <c r="Q1056" i="5"/>
  <c r="E1058" i="5"/>
  <c r="O1058" i="5"/>
  <c r="J1062" i="5"/>
  <c r="G1064" i="5"/>
  <c r="E1066" i="5"/>
  <c r="I1068" i="5"/>
  <c r="F1070" i="5"/>
  <c r="E1074" i="5"/>
  <c r="K1076" i="5"/>
  <c r="K1078" i="5"/>
  <c r="K1084" i="5"/>
  <c r="K1092" i="5"/>
  <c r="K1108" i="5"/>
  <c r="K1124" i="5"/>
  <c r="K1140" i="5"/>
  <c r="K1164" i="5"/>
  <c r="K1196" i="5"/>
  <c r="A1215" i="5"/>
  <c r="A1215" i="1" s="1"/>
  <c r="O1278" i="5"/>
  <c r="K782" i="5"/>
  <c r="K790" i="5"/>
  <c r="E796" i="5"/>
  <c r="M796" i="5"/>
  <c r="K798" i="5"/>
  <c r="I800" i="5"/>
  <c r="Q800" i="5"/>
  <c r="E804" i="5"/>
  <c r="M804" i="5"/>
  <c r="K806" i="5"/>
  <c r="I808" i="5"/>
  <c r="Q808" i="5"/>
  <c r="E812" i="5"/>
  <c r="M812" i="5"/>
  <c r="K814" i="5"/>
  <c r="I816" i="5"/>
  <c r="Q816" i="5"/>
  <c r="E820" i="5"/>
  <c r="M820" i="5"/>
  <c r="K822" i="5"/>
  <c r="I824" i="5"/>
  <c r="Q824" i="5"/>
  <c r="E828" i="5"/>
  <c r="M828" i="5"/>
  <c r="K830" i="5"/>
  <c r="I832" i="5"/>
  <c r="Q832" i="5"/>
  <c r="E836" i="5"/>
  <c r="M836" i="5"/>
  <c r="K838" i="5"/>
  <c r="I840" i="5"/>
  <c r="Q840" i="5"/>
  <c r="E844" i="5"/>
  <c r="M844" i="5"/>
  <c r="K846" i="5"/>
  <c r="I848" i="5"/>
  <c r="Q848" i="5"/>
  <c r="E852" i="5"/>
  <c r="M852" i="5"/>
  <c r="K854" i="5"/>
  <c r="I856" i="5"/>
  <c r="Q856" i="5"/>
  <c r="E860" i="5"/>
  <c r="M860" i="5"/>
  <c r="K862" i="5"/>
  <c r="I864" i="5"/>
  <c r="Q864" i="5"/>
  <c r="E868" i="5"/>
  <c r="M868" i="5"/>
  <c r="K870" i="5"/>
  <c r="I872" i="5"/>
  <c r="Q872" i="5"/>
  <c r="E876" i="5"/>
  <c r="M876" i="5"/>
  <c r="K878" i="5"/>
  <c r="I880" i="5"/>
  <c r="Q880" i="5"/>
  <c r="E884" i="5"/>
  <c r="M884" i="5"/>
  <c r="K886" i="5"/>
  <c r="I888" i="5"/>
  <c r="Q888" i="5"/>
  <c r="E892" i="5"/>
  <c r="M892" i="5"/>
  <c r="K894" i="5"/>
  <c r="I896" i="5"/>
  <c r="Q896" i="5"/>
  <c r="E900" i="5"/>
  <c r="M900" i="5"/>
  <c r="K902" i="5"/>
  <c r="I904" i="5"/>
  <c r="Q904" i="5"/>
  <c r="E908" i="5"/>
  <c r="M908" i="5"/>
  <c r="K910" i="5"/>
  <c r="I912" i="5"/>
  <c r="Q912" i="5"/>
  <c r="E916" i="5"/>
  <c r="M916" i="5"/>
  <c r="K918" i="5"/>
  <c r="I920" i="5"/>
  <c r="Q920" i="5"/>
  <c r="E924" i="5"/>
  <c r="M924" i="5"/>
  <c r="K926" i="5"/>
  <c r="I928" i="5"/>
  <c r="Q928" i="5"/>
  <c r="E932" i="5"/>
  <c r="M932" i="5"/>
  <c r="K934" i="5"/>
  <c r="I936" i="5"/>
  <c r="Q936" i="5"/>
  <c r="E940" i="5"/>
  <c r="M940" i="5"/>
  <c r="K942" i="5"/>
  <c r="I944" i="5"/>
  <c r="Q944" i="5"/>
  <c r="E948" i="5"/>
  <c r="M948" i="5"/>
  <c r="K950" i="5"/>
  <c r="I952" i="5"/>
  <c r="Q952" i="5"/>
  <c r="E956" i="5"/>
  <c r="M956" i="5"/>
  <c r="K958" i="5"/>
  <c r="I960" i="5"/>
  <c r="Q960" i="5"/>
  <c r="E964" i="5"/>
  <c r="M964" i="5"/>
  <c r="K966" i="5"/>
  <c r="I968" i="5"/>
  <c r="Q968" i="5"/>
  <c r="E972" i="5"/>
  <c r="M972" i="5"/>
  <c r="K974" i="5"/>
  <c r="I976" i="5"/>
  <c r="Q976" i="5"/>
  <c r="E980" i="5"/>
  <c r="M980" i="5"/>
  <c r="K982" i="5"/>
  <c r="I984" i="5"/>
  <c r="Q984" i="5"/>
  <c r="E988" i="5"/>
  <c r="M988" i="5"/>
  <c r="K990" i="5"/>
  <c r="I992" i="5"/>
  <c r="Q992" i="5"/>
  <c r="E996" i="5"/>
  <c r="M996" i="5"/>
  <c r="K998" i="5"/>
  <c r="I1000" i="5"/>
  <c r="Q1000" i="5"/>
  <c r="E1004" i="5"/>
  <c r="M1004" i="5"/>
  <c r="K1006" i="5"/>
  <c r="I1008" i="5"/>
  <c r="Q1008" i="5"/>
  <c r="E1012" i="5"/>
  <c r="M1012" i="5"/>
  <c r="K1014" i="5"/>
  <c r="I1016" i="5"/>
  <c r="Q1016" i="5"/>
  <c r="E1020" i="5"/>
  <c r="M1020" i="5"/>
  <c r="P1022" i="5"/>
  <c r="H1022" i="5"/>
  <c r="L1022" i="5"/>
  <c r="F1026" i="5"/>
  <c r="Q1026" i="5"/>
  <c r="R1028" i="5"/>
  <c r="J1028" i="5"/>
  <c r="N1028" i="5"/>
  <c r="F1028" i="5"/>
  <c r="M1028" i="5"/>
  <c r="K1030" i="5"/>
  <c r="F1034" i="5"/>
  <c r="Q1034" i="5"/>
  <c r="R1036" i="5"/>
  <c r="J1036" i="5"/>
  <c r="N1036" i="5"/>
  <c r="F1036" i="5"/>
  <c r="M1036" i="5"/>
  <c r="K1038" i="5"/>
  <c r="F1042" i="5"/>
  <c r="Q1042" i="5"/>
  <c r="R1044" i="5"/>
  <c r="J1044" i="5"/>
  <c r="N1044" i="5"/>
  <c r="F1044" i="5"/>
  <c r="M1044" i="5"/>
  <c r="K1046" i="5"/>
  <c r="F1050" i="5"/>
  <c r="Q1050" i="5"/>
  <c r="R1052" i="5"/>
  <c r="J1052" i="5"/>
  <c r="N1052" i="5"/>
  <c r="F1052" i="5"/>
  <c r="M1052" i="5"/>
  <c r="K1054" i="5"/>
  <c r="F1058" i="5"/>
  <c r="Q1058" i="5"/>
  <c r="R1060" i="5"/>
  <c r="J1060" i="5"/>
  <c r="N1060" i="5"/>
  <c r="F1060" i="5"/>
  <c r="M1060" i="5"/>
  <c r="K1062" i="5"/>
  <c r="G1066" i="5"/>
  <c r="G1070" i="5"/>
  <c r="L1082" i="5"/>
  <c r="C1082" i="5"/>
  <c r="R1082" i="5"/>
  <c r="J1082" i="5"/>
  <c r="Q1082" i="5"/>
  <c r="I1082" i="5"/>
  <c r="P1082" i="5"/>
  <c r="H1082" i="5"/>
  <c r="N1082" i="5"/>
  <c r="F1082" i="5"/>
  <c r="R1156" i="5"/>
  <c r="J1156" i="5"/>
  <c r="Q1156" i="5"/>
  <c r="I1156" i="5"/>
  <c r="P1156" i="5"/>
  <c r="H1156" i="5"/>
  <c r="O1156" i="5"/>
  <c r="G1156" i="5"/>
  <c r="N1156" i="5"/>
  <c r="F1156" i="5"/>
  <c r="M1156" i="5"/>
  <c r="E1156" i="5"/>
  <c r="L1156" i="5"/>
  <c r="C1156" i="5"/>
  <c r="A1167" i="5"/>
  <c r="A1167" i="1" s="1"/>
  <c r="R1188" i="5"/>
  <c r="J1188" i="5"/>
  <c r="Q1188" i="5"/>
  <c r="I1188" i="5"/>
  <c r="P1188" i="5"/>
  <c r="H1188" i="5"/>
  <c r="O1188" i="5"/>
  <c r="G1188" i="5"/>
  <c r="N1188" i="5"/>
  <c r="F1188" i="5"/>
  <c r="M1188" i="5"/>
  <c r="E1188" i="5"/>
  <c r="L1188" i="5"/>
  <c r="C1188" i="5"/>
  <c r="A1199" i="5"/>
  <c r="A1199" i="1" s="1"/>
  <c r="A1207" i="5"/>
  <c r="A1207" i="1" s="1"/>
  <c r="K751" i="5"/>
  <c r="K759" i="5"/>
  <c r="K767" i="5"/>
  <c r="H770" i="5"/>
  <c r="P770" i="5"/>
  <c r="K775" i="5"/>
  <c r="H778" i="5"/>
  <c r="P778" i="5"/>
  <c r="C782" i="5"/>
  <c r="L782" i="5"/>
  <c r="K783" i="5"/>
  <c r="H786" i="5"/>
  <c r="P786" i="5"/>
  <c r="C790" i="5"/>
  <c r="L790" i="5"/>
  <c r="K791" i="5"/>
  <c r="H794" i="5"/>
  <c r="P794" i="5"/>
  <c r="F796" i="5"/>
  <c r="N796" i="5"/>
  <c r="C798" i="5"/>
  <c r="L798" i="5"/>
  <c r="K799" i="5"/>
  <c r="J800" i="5"/>
  <c r="R800" i="5"/>
  <c r="H802" i="5"/>
  <c r="P802" i="5"/>
  <c r="F804" i="5"/>
  <c r="N804" i="5"/>
  <c r="C806" i="5"/>
  <c r="L806" i="5"/>
  <c r="K807" i="5"/>
  <c r="J808" i="5"/>
  <c r="R808" i="5"/>
  <c r="H810" i="5"/>
  <c r="P810" i="5"/>
  <c r="F812" i="5"/>
  <c r="N812" i="5"/>
  <c r="C814" i="5"/>
  <c r="L814" i="5"/>
  <c r="K815" i="5"/>
  <c r="J816" i="5"/>
  <c r="R816" i="5"/>
  <c r="H818" i="5"/>
  <c r="P818" i="5"/>
  <c r="A818" i="5" s="1"/>
  <c r="A818" i="1" s="1"/>
  <c r="F820" i="5"/>
  <c r="N820" i="5"/>
  <c r="C822" i="5"/>
  <c r="L822" i="5"/>
  <c r="K823" i="5"/>
  <c r="J824" i="5"/>
  <c r="R824" i="5"/>
  <c r="H826" i="5"/>
  <c r="P826" i="5"/>
  <c r="F828" i="5"/>
  <c r="N828" i="5"/>
  <c r="C830" i="5"/>
  <c r="L830" i="5"/>
  <c r="K831" i="5"/>
  <c r="J832" i="5"/>
  <c r="R832" i="5"/>
  <c r="H834" i="5"/>
  <c r="P834" i="5"/>
  <c r="F836" i="5"/>
  <c r="N836" i="5"/>
  <c r="C838" i="5"/>
  <c r="L838" i="5"/>
  <c r="K839" i="5"/>
  <c r="J840" i="5"/>
  <c r="R840" i="5"/>
  <c r="H842" i="5"/>
  <c r="P842" i="5"/>
  <c r="F844" i="5"/>
  <c r="N844" i="5"/>
  <c r="C846" i="5"/>
  <c r="L846" i="5"/>
  <c r="K847" i="5"/>
  <c r="J848" i="5"/>
  <c r="R848" i="5"/>
  <c r="H850" i="5"/>
  <c r="P850" i="5"/>
  <c r="F852" i="5"/>
  <c r="N852" i="5"/>
  <c r="C854" i="5"/>
  <c r="L854" i="5"/>
  <c r="K855" i="5"/>
  <c r="J856" i="5"/>
  <c r="R856" i="5"/>
  <c r="H858" i="5"/>
  <c r="P858" i="5"/>
  <c r="F860" i="5"/>
  <c r="N860" i="5"/>
  <c r="C862" i="5"/>
  <c r="L862" i="5"/>
  <c r="K863" i="5"/>
  <c r="J864" i="5"/>
  <c r="R864" i="5"/>
  <c r="H866" i="5"/>
  <c r="P866" i="5"/>
  <c r="F868" i="5"/>
  <c r="N868" i="5"/>
  <c r="C870" i="5"/>
  <c r="L870" i="5"/>
  <c r="K871" i="5"/>
  <c r="J872" i="5"/>
  <c r="R872" i="5"/>
  <c r="H874" i="5"/>
  <c r="P874" i="5"/>
  <c r="F876" i="5"/>
  <c r="N876" i="5"/>
  <c r="C878" i="5"/>
  <c r="L878" i="5"/>
  <c r="K879" i="5"/>
  <c r="J880" i="5"/>
  <c r="R880" i="5"/>
  <c r="H882" i="5"/>
  <c r="P882" i="5"/>
  <c r="A882" i="5" s="1"/>
  <c r="A882" i="1" s="1"/>
  <c r="F884" i="5"/>
  <c r="N884" i="5"/>
  <c r="C886" i="5"/>
  <c r="L886" i="5"/>
  <c r="K887" i="5"/>
  <c r="J888" i="5"/>
  <c r="R888" i="5"/>
  <c r="H890" i="5"/>
  <c r="P890" i="5"/>
  <c r="F892" i="5"/>
  <c r="N892" i="5"/>
  <c r="C894" i="5"/>
  <c r="L894" i="5"/>
  <c r="K895" i="5"/>
  <c r="J896" i="5"/>
  <c r="R896" i="5"/>
  <c r="H898" i="5"/>
  <c r="P898" i="5"/>
  <c r="F900" i="5"/>
  <c r="N900" i="5"/>
  <c r="C902" i="5"/>
  <c r="L902" i="5"/>
  <c r="K903" i="5"/>
  <c r="J904" i="5"/>
  <c r="R904" i="5"/>
  <c r="H906" i="5"/>
  <c r="P906" i="5"/>
  <c r="F908" i="5"/>
  <c r="N908" i="5"/>
  <c r="C910" i="5"/>
  <c r="L910" i="5"/>
  <c r="K911" i="5"/>
  <c r="J912" i="5"/>
  <c r="R912" i="5"/>
  <c r="H914" i="5"/>
  <c r="P914" i="5"/>
  <c r="F916" i="5"/>
  <c r="N916" i="5"/>
  <c r="C918" i="5"/>
  <c r="L918" i="5"/>
  <c r="K919" i="5"/>
  <c r="J920" i="5"/>
  <c r="R920" i="5"/>
  <c r="H922" i="5"/>
  <c r="P922" i="5"/>
  <c r="F924" i="5"/>
  <c r="N924" i="5"/>
  <c r="C926" i="5"/>
  <c r="L926" i="5"/>
  <c r="K927" i="5"/>
  <c r="J928" i="5"/>
  <c r="R928" i="5"/>
  <c r="H930" i="5"/>
  <c r="P930" i="5"/>
  <c r="F932" i="5"/>
  <c r="N932" i="5"/>
  <c r="C934" i="5"/>
  <c r="L934" i="5"/>
  <c r="K935" i="5"/>
  <c r="J936" i="5"/>
  <c r="R936" i="5"/>
  <c r="H938" i="5"/>
  <c r="P938" i="5"/>
  <c r="F940" i="5"/>
  <c r="N940" i="5"/>
  <c r="C942" i="5"/>
  <c r="L942" i="5"/>
  <c r="K943" i="5"/>
  <c r="J944" i="5"/>
  <c r="R944" i="5"/>
  <c r="H946" i="5"/>
  <c r="P946" i="5"/>
  <c r="A946" i="5" s="1"/>
  <c r="A946" i="1" s="1"/>
  <c r="F948" i="5"/>
  <c r="N948" i="5"/>
  <c r="C950" i="5"/>
  <c r="L950" i="5"/>
  <c r="K951" i="5"/>
  <c r="J952" i="5"/>
  <c r="R952" i="5"/>
  <c r="H954" i="5"/>
  <c r="P954" i="5"/>
  <c r="F956" i="5"/>
  <c r="N956" i="5"/>
  <c r="C958" i="5"/>
  <c r="L958" i="5"/>
  <c r="K959" i="5"/>
  <c r="J960" i="5"/>
  <c r="R960" i="5"/>
  <c r="H962" i="5"/>
  <c r="P962" i="5"/>
  <c r="F964" i="5"/>
  <c r="N964" i="5"/>
  <c r="C966" i="5"/>
  <c r="L966" i="5"/>
  <c r="K967" i="5"/>
  <c r="J968" i="5"/>
  <c r="R968" i="5"/>
  <c r="H970" i="5"/>
  <c r="P970" i="5"/>
  <c r="F972" i="5"/>
  <c r="N972" i="5"/>
  <c r="C974" i="5"/>
  <c r="L974" i="5"/>
  <c r="K975" i="5"/>
  <c r="J976" i="5"/>
  <c r="R976" i="5"/>
  <c r="H978" i="5"/>
  <c r="P978" i="5"/>
  <c r="F980" i="5"/>
  <c r="N980" i="5"/>
  <c r="C982" i="5"/>
  <c r="L982" i="5"/>
  <c r="K983" i="5"/>
  <c r="J984" i="5"/>
  <c r="R984" i="5"/>
  <c r="H986" i="5"/>
  <c r="P986" i="5"/>
  <c r="F988" i="5"/>
  <c r="N988" i="5"/>
  <c r="C990" i="5"/>
  <c r="L990" i="5"/>
  <c r="K991" i="5"/>
  <c r="J992" i="5"/>
  <c r="R992" i="5"/>
  <c r="H994" i="5"/>
  <c r="P994" i="5"/>
  <c r="F996" i="5"/>
  <c r="N996" i="5"/>
  <c r="C998" i="5"/>
  <c r="L998" i="5"/>
  <c r="K999" i="5"/>
  <c r="J1000" i="5"/>
  <c r="R1000" i="5"/>
  <c r="H1002" i="5"/>
  <c r="P1002" i="5"/>
  <c r="F1004" i="5"/>
  <c r="N1004" i="5"/>
  <c r="C1006" i="5"/>
  <c r="L1006" i="5"/>
  <c r="K1007" i="5"/>
  <c r="J1008" i="5"/>
  <c r="R1008" i="5"/>
  <c r="H1010" i="5"/>
  <c r="P1010" i="5"/>
  <c r="F1012" i="5"/>
  <c r="N1012" i="5"/>
  <c r="C1014" i="5"/>
  <c r="L1014" i="5"/>
  <c r="K1015" i="5"/>
  <c r="J1016" i="5"/>
  <c r="R1016" i="5"/>
  <c r="H1018" i="5"/>
  <c r="P1018" i="5"/>
  <c r="F1020" i="5"/>
  <c r="N1020" i="5"/>
  <c r="C1022" i="5"/>
  <c r="M1022" i="5"/>
  <c r="I1024" i="5"/>
  <c r="M1025" i="5"/>
  <c r="E1025" i="5"/>
  <c r="A1025" i="5" s="1"/>
  <c r="A1025" i="1" s="1"/>
  <c r="Q1025" i="5"/>
  <c r="I1025" i="5"/>
  <c r="N1025" i="5"/>
  <c r="G1026" i="5"/>
  <c r="R1026" i="5"/>
  <c r="C1028" i="5"/>
  <c r="O1028" i="5"/>
  <c r="I1032" i="5"/>
  <c r="M1033" i="5"/>
  <c r="E1033" i="5"/>
  <c r="A1033" i="5" s="1"/>
  <c r="A1033" i="1" s="1"/>
  <c r="Q1033" i="5"/>
  <c r="I1033" i="5"/>
  <c r="N1033" i="5"/>
  <c r="G1034" i="5"/>
  <c r="R1034" i="5"/>
  <c r="C1036" i="5"/>
  <c r="A1036" i="5" s="1"/>
  <c r="A1036" i="1" s="1"/>
  <c r="O1036" i="5"/>
  <c r="I1040" i="5"/>
  <c r="M1041" i="5"/>
  <c r="E1041" i="5"/>
  <c r="A1041" i="5" s="1"/>
  <c r="A1041" i="1" s="1"/>
  <c r="Q1041" i="5"/>
  <c r="I1041" i="5"/>
  <c r="N1041" i="5"/>
  <c r="G1042" i="5"/>
  <c r="R1042" i="5"/>
  <c r="C1044" i="5"/>
  <c r="A1044" i="5" s="1"/>
  <c r="A1044" i="1" s="1"/>
  <c r="O1044" i="5"/>
  <c r="I1048" i="5"/>
  <c r="M1049" i="5"/>
  <c r="E1049" i="5"/>
  <c r="A1049" i="5" s="1"/>
  <c r="A1049" i="1" s="1"/>
  <c r="Q1049" i="5"/>
  <c r="I1049" i="5"/>
  <c r="N1049" i="5"/>
  <c r="G1050" i="5"/>
  <c r="R1050" i="5"/>
  <c r="C1052" i="5"/>
  <c r="O1052" i="5"/>
  <c r="I1056" i="5"/>
  <c r="M1057" i="5"/>
  <c r="E1057" i="5"/>
  <c r="A1057" i="5" s="1"/>
  <c r="A1057" i="1" s="1"/>
  <c r="Q1057" i="5"/>
  <c r="I1057" i="5"/>
  <c r="N1057" i="5"/>
  <c r="G1058" i="5"/>
  <c r="R1058" i="5"/>
  <c r="C1060" i="5"/>
  <c r="O1060" i="5"/>
  <c r="L1064" i="5"/>
  <c r="J1066" i="5"/>
  <c r="M1068" i="5"/>
  <c r="I1070" i="5"/>
  <c r="J1074" i="5"/>
  <c r="E1082" i="5"/>
  <c r="K1156" i="5"/>
  <c r="K1188" i="5"/>
  <c r="R1220" i="5"/>
  <c r="J1220" i="5"/>
  <c r="Q1220" i="5"/>
  <c r="I1220" i="5"/>
  <c r="P1220" i="5"/>
  <c r="H1220" i="5"/>
  <c r="O1220" i="5"/>
  <c r="G1220" i="5"/>
  <c r="N1220" i="5"/>
  <c r="F1220" i="5"/>
  <c r="M1220" i="5"/>
  <c r="E1220" i="5"/>
  <c r="L1220" i="5"/>
  <c r="C1220" i="5"/>
  <c r="A1220" i="5" s="1"/>
  <c r="A1220" i="1" s="1"/>
  <c r="R1228" i="5"/>
  <c r="J1228" i="5"/>
  <c r="Q1228" i="5"/>
  <c r="I1228" i="5"/>
  <c r="P1228" i="5"/>
  <c r="H1228" i="5"/>
  <c r="O1228" i="5"/>
  <c r="G1228" i="5"/>
  <c r="N1228" i="5"/>
  <c r="F1228" i="5"/>
  <c r="M1228" i="5"/>
  <c r="E1228" i="5"/>
  <c r="L1228" i="5"/>
  <c r="C1228" i="5"/>
  <c r="R1236" i="5"/>
  <c r="J1236" i="5"/>
  <c r="Q1236" i="5"/>
  <c r="I1236" i="5"/>
  <c r="P1236" i="5"/>
  <c r="H1236" i="5"/>
  <c r="O1236" i="5"/>
  <c r="G1236" i="5"/>
  <c r="N1236" i="5"/>
  <c r="F1236" i="5"/>
  <c r="M1236" i="5"/>
  <c r="E1236" i="5"/>
  <c r="L1236" i="5"/>
  <c r="C1236" i="5"/>
  <c r="R1244" i="5"/>
  <c r="J1244" i="5"/>
  <c r="Q1244" i="5"/>
  <c r="I1244" i="5"/>
  <c r="P1244" i="5"/>
  <c r="H1244" i="5"/>
  <c r="O1244" i="5"/>
  <c r="G1244" i="5"/>
  <c r="N1244" i="5"/>
  <c r="F1244" i="5"/>
  <c r="M1244" i="5"/>
  <c r="E1244" i="5"/>
  <c r="L1244" i="5"/>
  <c r="C1244" i="5"/>
  <c r="R1252" i="5"/>
  <c r="J1252" i="5"/>
  <c r="Q1252" i="5"/>
  <c r="I1252" i="5"/>
  <c r="P1252" i="5"/>
  <c r="H1252" i="5"/>
  <c r="O1252" i="5"/>
  <c r="G1252" i="5"/>
  <c r="N1252" i="5"/>
  <c r="F1252" i="5"/>
  <c r="M1252" i="5"/>
  <c r="E1252" i="5"/>
  <c r="L1252" i="5"/>
  <c r="C1252" i="5"/>
  <c r="R1409" i="5"/>
  <c r="J1409" i="5"/>
  <c r="Q1409" i="5"/>
  <c r="I1409" i="5"/>
  <c r="P1409" i="5"/>
  <c r="H1409" i="5"/>
  <c r="O1409" i="5"/>
  <c r="G1409" i="5"/>
  <c r="N1409" i="5"/>
  <c r="F1409" i="5"/>
  <c r="M1409" i="5"/>
  <c r="E1409" i="5"/>
  <c r="L1409" i="5"/>
  <c r="K1409" i="5"/>
  <c r="C1409" i="5"/>
  <c r="K800" i="5"/>
  <c r="G804" i="5"/>
  <c r="O804" i="5"/>
  <c r="K808" i="5"/>
  <c r="G812" i="5"/>
  <c r="O812" i="5"/>
  <c r="K816" i="5"/>
  <c r="G820" i="5"/>
  <c r="O820" i="5"/>
  <c r="K824" i="5"/>
  <c r="G828" i="5"/>
  <c r="O828" i="5"/>
  <c r="K832" i="5"/>
  <c r="G836" i="5"/>
  <c r="O836" i="5"/>
  <c r="K840" i="5"/>
  <c r="G844" i="5"/>
  <c r="O844" i="5"/>
  <c r="K848" i="5"/>
  <c r="G852" i="5"/>
  <c r="O852" i="5"/>
  <c r="K856" i="5"/>
  <c r="G860" i="5"/>
  <c r="O860" i="5"/>
  <c r="K864" i="5"/>
  <c r="G868" i="5"/>
  <c r="O868" i="5"/>
  <c r="K872" i="5"/>
  <c r="G876" i="5"/>
  <c r="O876" i="5"/>
  <c r="K880" i="5"/>
  <c r="G884" i="5"/>
  <c r="O884" i="5"/>
  <c r="K888" i="5"/>
  <c r="G892" i="5"/>
  <c r="O892" i="5"/>
  <c r="K896" i="5"/>
  <c r="G900" i="5"/>
  <c r="O900" i="5"/>
  <c r="K904" i="5"/>
  <c r="G908" i="5"/>
  <c r="O908" i="5"/>
  <c r="K912" i="5"/>
  <c r="G916" i="5"/>
  <c r="O916" i="5"/>
  <c r="K920" i="5"/>
  <c r="G924" i="5"/>
  <c r="O924" i="5"/>
  <c r="K928" i="5"/>
  <c r="G932" i="5"/>
  <c r="O932" i="5"/>
  <c r="K936" i="5"/>
  <c r="G940" i="5"/>
  <c r="O940" i="5"/>
  <c r="K944" i="5"/>
  <c r="G948" i="5"/>
  <c r="O948" i="5"/>
  <c r="K952" i="5"/>
  <c r="G956" i="5"/>
  <c r="O956" i="5"/>
  <c r="K960" i="5"/>
  <c r="G964" i="5"/>
  <c r="O964" i="5"/>
  <c r="K968" i="5"/>
  <c r="G972" i="5"/>
  <c r="O972" i="5"/>
  <c r="K976" i="5"/>
  <c r="G980" i="5"/>
  <c r="O980" i="5"/>
  <c r="K984" i="5"/>
  <c r="G988" i="5"/>
  <c r="O988" i="5"/>
  <c r="K992" i="5"/>
  <c r="G996" i="5"/>
  <c r="O996" i="5"/>
  <c r="K1000" i="5"/>
  <c r="G1004" i="5"/>
  <c r="O1004" i="5"/>
  <c r="K1008" i="5"/>
  <c r="G1012" i="5"/>
  <c r="O1012" i="5"/>
  <c r="K1016" i="5"/>
  <c r="G1020" i="5"/>
  <c r="O1020" i="5"/>
  <c r="I1026" i="5"/>
  <c r="P1030" i="5"/>
  <c r="H1030" i="5"/>
  <c r="L1030" i="5"/>
  <c r="C1030" i="5"/>
  <c r="N1030" i="5"/>
  <c r="I1034" i="5"/>
  <c r="P1038" i="5"/>
  <c r="H1038" i="5"/>
  <c r="L1038" i="5"/>
  <c r="C1038" i="5"/>
  <c r="N1038" i="5"/>
  <c r="I1042" i="5"/>
  <c r="P1046" i="5"/>
  <c r="H1046" i="5"/>
  <c r="L1046" i="5"/>
  <c r="C1046" i="5"/>
  <c r="N1046" i="5"/>
  <c r="I1050" i="5"/>
  <c r="P1054" i="5"/>
  <c r="H1054" i="5"/>
  <c r="L1054" i="5"/>
  <c r="C1054" i="5"/>
  <c r="N1054" i="5"/>
  <c r="I1058" i="5"/>
  <c r="P1062" i="5"/>
  <c r="H1062" i="5"/>
  <c r="L1062" i="5"/>
  <c r="C1062" i="5"/>
  <c r="N1062" i="5"/>
  <c r="K1066" i="5"/>
  <c r="G1082" i="5"/>
  <c r="A1091" i="5"/>
  <c r="A1091" i="1" s="1"/>
  <c r="R1100" i="5"/>
  <c r="J1100" i="5"/>
  <c r="Q1100" i="5"/>
  <c r="I1100" i="5"/>
  <c r="P1100" i="5"/>
  <c r="H1100" i="5"/>
  <c r="O1100" i="5"/>
  <c r="G1100" i="5"/>
  <c r="N1100" i="5"/>
  <c r="F1100" i="5"/>
  <c r="M1100" i="5"/>
  <c r="E1100" i="5"/>
  <c r="L1100" i="5"/>
  <c r="C1100" i="5"/>
  <c r="A1100" i="5" s="1"/>
  <c r="A1100" i="1" s="1"/>
  <c r="R1116" i="5"/>
  <c r="J1116" i="5"/>
  <c r="Q1116" i="5"/>
  <c r="I1116" i="5"/>
  <c r="P1116" i="5"/>
  <c r="H1116" i="5"/>
  <c r="O1116" i="5"/>
  <c r="G1116" i="5"/>
  <c r="N1116" i="5"/>
  <c r="F1116" i="5"/>
  <c r="M1116" i="5"/>
  <c r="E1116" i="5"/>
  <c r="L1116" i="5"/>
  <c r="C1116" i="5"/>
  <c r="A1123" i="5"/>
  <c r="A1123" i="1" s="1"/>
  <c r="R1132" i="5"/>
  <c r="J1132" i="5"/>
  <c r="Q1132" i="5"/>
  <c r="I1132" i="5"/>
  <c r="P1132" i="5"/>
  <c r="H1132" i="5"/>
  <c r="O1132" i="5"/>
  <c r="G1132" i="5"/>
  <c r="N1132" i="5"/>
  <c r="F1132" i="5"/>
  <c r="M1132" i="5"/>
  <c r="E1132" i="5"/>
  <c r="L1132" i="5"/>
  <c r="C1132" i="5"/>
  <c r="R1148" i="5"/>
  <c r="J1148" i="5"/>
  <c r="Q1148" i="5"/>
  <c r="I1148" i="5"/>
  <c r="P1148" i="5"/>
  <c r="H1148" i="5"/>
  <c r="O1148" i="5"/>
  <c r="G1148" i="5"/>
  <c r="N1148" i="5"/>
  <c r="F1148" i="5"/>
  <c r="M1148" i="5"/>
  <c r="E1148" i="5"/>
  <c r="L1148" i="5"/>
  <c r="C1148" i="5"/>
  <c r="R1180" i="5"/>
  <c r="J1180" i="5"/>
  <c r="Q1180" i="5"/>
  <c r="I1180" i="5"/>
  <c r="P1180" i="5"/>
  <c r="H1180" i="5"/>
  <c r="O1180" i="5"/>
  <c r="G1180" i="5"/>
  <c r="N1180" i="5"/>
  <c r="F1180" i="5"/>
  <c r="M1180" i="5"/>
  <c r="E1180" i="5"/>
  <c r="L1180" i="5"/>
  <c r="C1180" i="5"/>
  <c r="A1191" i="5"/>
  <c r="A1191" i="1" s="1"/>
  <c r="P1258" i="5"/>
  <c r="H1258" i="5"/>
  <c r="K1258" i="5"/>
  <c r="J1258" i="5"/>
  <c r="R1258" i="5"/>
  <c r="I1258" i="5"/>
  <c r="Q1258" i="5"/>
  <c r="G1258" i="5"/>
  <c r="O1258" i="5"/>
  <c r="F1258" i="5"/>
  <c r="N1258" i="5"/>
  <c r="E1258" i="5"/>
  <c r="M1258" i="5"/>
  <c r="C1258" i="5"/>
  <c r="N1284" i="5"/>
  <c r="F1284" i="5"/>
  <c r="M1284" i="5"/>
  <c r="E1284" i="5"/>
  <c r="L1284" i="5"/>
  <c r="C1284" i="5"/>
  <c r="R1284" i="5"/>
  <c r="J1284" i="5"/>
  <c r="Q1284" i="5"/>
  <c r="P1284" i="5"/>
  <c r="O1284" i="5"/>
  <c r="K1284" i="5"/>
  <c r="I1284" i="5"/>
  <c r="H1284" i="5"/>
  <c r="G1284" i="5"/>
  <c r="R1353" i="5"/>
  <c r="J1353" i="5"/>
  <c r="Q1353" i="5"/>
  <c r="I1353" i="5"/>
  <c r="P1353" i="5"/>
  <c r="H1353" i="5"/>
  <c r="O1353" i="5"/>
  <c r="G1353" i="5"/>
  <c r="N1353" i="5"/>
  <c r="F1353" i="5"/>
  <c r="M1353" i="5"/>
  <c r="E1353" i="5"/>
  <c r="L1353" i="5"/>
  <c r="K1353" i="5"/>
  <c r="C1353" i="5"/>
  <c r="E751" i="5"/>
  <c r="A751" i="5" s="1"/>
  <c r="A751" i="1" s="1"/>
  <c r="E759" i="5"/>
  <c r="E767" i="5"/>
  <c r="A767" i="5" s="1"/>
  <c r="J770" i="5"/>
  <c r="R770" i="5"/>
  <c r="E775" i="5"/>
  <c r="J778" i="5"/>
  <c r="R778" i="5"/>
  <c r="F782" i="5"/>
  <c r="N782" i="5"/>
  <c r="E783" i="5"/>
  <c r="J786" i="5"/>
  <c r="R786" i="5"/>
  <c r="F790" i="5"/>
  <c r="N790" i="5"/>
  <c r="E791" i="5"/>
  <c r="A791" i="5" s="1"/>
  <c r="A791" i="1" s="1"/>
  <c r="J794" i="5"/>
  <c r="R794" i="5"/>
  <c r="H796" i="5"/>
  <c r="P796" i="5"/>
  <c r="F798" i="5"/>
  <c r="N798" i="5"/>
  <c r="E799" i="5"/>
  <c r="A799" i="5" s="1"/>
  <c r="A799" i="1" s="1"/>
  <c r="C800" i="5"/>
  <c r="L800" i="5"/>
  <c r="J802" i="5"/>
  <c r="R802" i="5"/>
  <c r="H804" i="5"/>
  <c r="P804" i="5"/>
  <c r="F806" i="5"/>
  <c r="N806" i="5"/>
  <c r="E807" i="5"/>
  <c r="A807" i="5" s="1"/>
  <c r="A807" i="1" s="1"/>
  <c r="C808" i="5"/>
  <c r="L808" i="5"/>
  <c r="J810" i="5"/>
  <c r="R810" i="5"/>
  <c r="H812" i="5"/>
  <c r="P812" i="5"/>
  <c r="F814" i="5"/>
  <c r="N814" i="5"/>
  <c r="E815" i="5"/>
  <c r="A815" i="5" s="1"/>
  <c r="A815" i="1" s="1"/>
  <c r="C816" i="5"/>
  <c r="L816" i="5"/>
  <c r="J818" i="5"/>
  <c r="R818" i="5"/>
  <c r="H820" i="5"/>
  <c r="P820" i="5"/>
  <c r="F822" i="5"/>
  <c r="N822" i="5"/>
  <c r="E823" i="5"/>
  <c r="A823" i="5" s="1"/>
  <c r="A823" i="1" s="1"/>
  <c r="C824" i="5"/>
  <c r="L824" i="5"/>
  <c r="J826" i="5"/>
  <c r="R826" i="5"/>
  <c r="H828" i="5"/>
  <c r="P828" i="5"/>
  <c r="F830" i="5"/>
  <c r="N830" i="5"/>
  <c r="E831" i="5"/>
  <c r="A831" i="5" s="1"/>
  <c r="A831" i="1" s="1"/>
  <c r="C832" i="5"/>
  <c r="L832" i="5"/>
  <c r="J834" i="5"/>
  <c r="R834" i="5"/>
  <c r="A834" i="5" s="1"/>
  <c r="A834" i="1" s="1"/>
  <c r="H836" i="5"/>
  <c r="P836" i="5"/>
  <c r="F838" i="5"/>
  <c r="N838" i="5"/>
  <c r="E839" i="5"/>
  <c r="A839" i="5" s="1"/>
  <c r="A839" i="1" s="1"/>
  <c r="C840" i="5"/>
  <c r="L840" i="5"/>
  <c r="J842" i="5"/>
  <c r="R842" i="5"/>
  <c r="H844" i="5"/>
  <c r="P844" i="5"/>
  <c r="F846" i="5"/>
  <c r="N846" i="5"/>
  <c r="E847" i="5"/>
  <c r="A847" i="5" s="1"/>
  <c r="A847" i="1" s="1"/>
  <c r="C848" i="5"/>
  <c r="L848" i="5"/>
  <c r="J850" i="5"/>
  <c r="R850" i="5"/>
  <c r="H852" i="5"/>
  <c r="P852" i="5"/>
  <c r="F854" i="5"/>
  <c r="N854" i="5"/>
  <c r="E855" i="5"/>
  <c r="C856" i="5"/>
  <c r="A856" i="5" s="1"/>
  <c r="A856" i="1" s="1"/>
  <c r="L856" i="5"/>
  <c r="J858" i="5"/>
  <c r="R858" i="5"/>
  <c r="H860" i="5"/>
  <c r="P860" i="5"/>
  <c r="F862" i="5"/>
  <c r="N862" i="5"/>
  <c r="E863" i="5"/>
  <c r="A863" i="5" s="1"/>
  <c r="A863" i="1" s="1"/>
  <c r="C864" i="5"/>
  <c r="L864" i="5"/>
  <c r="J866" i="5"/>
  <c r="R866" i="5"/>
  <c r="H868" i="5"/>
  <c r="P868" i="5"/>
  <c r="F870" i="5"/>
  <c r="N870" i="5"/>
  <c r="E871" i="5"/>
  <c r="A871" i="5" s="1"/>
  <c r="A871" i="1" s="1"/>
  <c r="C872" i="5"/>
  <c r="L872" i="5"/>
  <c r="J874" i="5"/>
  <c r="R874" i="5"/>
  <c r="H876" i="5"/>
  <c r="P876" i="5"/>
  <c r="F878" i="5"/>
  <c r="N878" i="5"/>
  <c r="E879" i="5"/>
  <c r="A879" i="5" s="1"/>
  <c r="A879" i="1" s="1"/>
  <c r="C880" i="5"/>
  <c r="L880" i="5"/>
  <c r="J882" i="5"/>
  <c r="R882" i="5"/>
  <c r="H884" i="5"/>
  <c r="P884" i="5"/>
  <c r="F886" i="5"/>
  <c r="N886" i="5"/>
  <c r="E887" i="5"/>
  <c r="A887" i="5" s="1"/>
  <c r="A887" i="1" s="1"/>
  <c r="C888" i="5"/>
  <c r="L888" i="5"/>
  <c r="J890" i="5"/>
  <c r="R890" i="5"/>
  <c r="H892" i="5"/>
  <c r="P892" i="5"/>
  <c r="F894" i="5"/>
  <c r="N894" i="5"/>
  <c r="E895" i="5"/>
  <c r="A895" i="5" s="1"/>
  <c r="A895" i="1" s="1"/>
  <c r="C896" i="5"/>
  <c r="L896" i="5"/>
  <c r="J898" i="5"/>
  <c r="R898" i="5"/>
  <c r="A898" i="5" s="1"/>
  <c r="A898" i="1" s="1"/>
  <c r="H900" i="5"/>
  <c r="P900" i="5"/>
  <c r="F902" i="5"/>
  <c r="N902" i="5"/>
  <c r="E903" i="5"/>
  <c r="A903" i="5" s="1"/>
  <c r="A903" i="1" s="1"/>
  <c r="C904" i="5"/>
  <c r="L904" i="5"/>
  <c r="J906" i="5"/>
  <c r="R906" i="5"/>
  <c r="H908" i="5"/>
  <c r="P908" i="5"/>
  <c r="F910" i="5"/>
  <c r="N910" i="5"/>
  <c r="E911" i="5"/>
  <c r="A911" i="5" s="1"/>
  <c r="A911" i="1" s="1"/>
  <c r="C912" i="5"/>
  <c r="L912" i="5"/>
  <c r="J914" i="5"/>
  <c r="R914" i="5"/>
  <c r="H916" i="5"/>
  <c r="P916" i="5"/>
  <c r="F918" i="5"/>
  <c r="N918" i="5"/>
  <c r="E919" i="5"/>
  <c r="C920" i="5"/>
  <c r="A920" i="5" s="1"/>
  <c r="A920" i="1" s="1"/>
  <c r="L920" i="5"/>
  <c r="J922" i="5"/>
  <c r="R922" i="5"/>
  <c r="H924" i="5"/>
  <c r="P924" i="5"/>
  <c r="F926" i="5"/>
  <c r="N926" i="5"/>
  <c r="E927" i="5"/>
  <c r="A927" i="5" s="1"/>
  <c r="A927" i="1" s="1"/>
  <c r="C928" i="5"/>
  <c r="L928" i="5"/>
  <c r="J930" i="5"/>
  <c r="R930" i="5"/>
  <c r="H932" i="5"/>
  <c r="P932" i="5"/>
  <c r="F934" i="5"/>
  <c r="N934" i="5"/>
  <c r="E935" i="5"/>
  <c r="A935" i="5" s="1"/>
  <c r="A935" i="1" s="1"/>
  <c r="C936" i="5"/>
  <c r="L936" i="5"/>
  <c r="J938" i="5"/>
  <c r="R938" i="5"/>
  <c r="H940" i="5"/>
  <c r="P940" i="5"/>
  <c r="F942" i="5"/>
  <c r="N942" i="5"/>
  <c r="E943" i="5"/>
  <c r="A943" i="5" s="1"/>
  <c r="A943" i="1" s="1"/>
  <c r="C944" i="5"/>
  <c r="L944" i="5"/>
  <c r="J946" i="5"/>
  <c r="R946" i="5"/>
  <c r="H948" i="5"/>
  <c r="P948" i="5"/>
  <c r="F950" i="5"/>
  <c r="N950" i="5"/>
  <c r="E951" i="5"/>
  <c r="A951" i="5" s="1"/>
  <c r="A951" i="1" s="1"/>
  <c r="C952" i="5"/>
  <c r="L952" i="5"/>
  <c r="J954" i="5"/>
  <c r="R954" i="5"/>
  <c r="H956" i="5"/>
  <c r="P956" i="5"/>
  <c r="F958" i="5"/>
  <c r="N958" i="5"/>
  <c r="E959" i="5"/>
  <c r="A959" i="5" s="1"/>
  <c r="A959" i="1" s="1"/>
  <c r="C960" i="5"/>
  <c r="L960" i="5"/>
  <c r="J962" i="5"/>
  <c r="R962" i="5"/>
  <c r="A962" i="5" s="1"/>
  <c r="A962" i="1" s="1"/>
  <c r="H964" i="5"/>
  <c r="P964" i="5"/>
  <c r="F966" i="5"/>
  <c r="N966" i="5"/>
  <c r="E967" i="5"/>
  <c r="A967" i="5" s="1"/>
  <c r="A967" i="1" s="1"/>
  <c r="C968" i="5"/>
  <c r="L968" i="5"/>
  <c r="J970" i="5"/>
  <c r="R970" i="5"/>
  <c r="H972" i="5"/>
  <c r="P972" i="5"/>
  <c r="F974" i="5"/>
  <c r="N974" i="5"/>
  <c r="E975" i="5"/>
  <c r="A975" i="5" s="1"/>
  <c r="A975" i="1" s="1"/>
  <c r="C976" i="5"/>
  <c r="L976" i="5"/>
  <c r="J978" i="5"/>
  <c r="R978" i="5"/>
  <c r="H980" i="5"/>
  <c r="P980" i="5"/>
  <c r="F982" i="5"/>
  <c r="N982" i="5"/>
  <c r="E983" i="5"/>
  <c r="C984" i="5"/>
  <c r="A984" i="5" s="1"/>
  <c r="A984" i="1" s="1"/>
  <c r="L984" i="5"/>
  <c r="J986" i="5"/>
  <c r="R986" i="5"/>
  <c r="H988" i="5"/>
  <c r="P988" i="5"/>
  <c r="F990" i="5"/>
  <c r="N990" i="5"/>
  <c r="E991" i="5"/>
  <c r="A991" i="5" s="1"/>
  <c r="A991" i="1" s="1"/>
  <c r="C992" i="5"/>
  <c r="L992" i="5"/>
  <c r="J994" i="5"/>
  <c r="R994" i="5"/>
  <c r="H996" i="5"/>
  <c r="P996" i="5"/>
  <c r="F998" i="5"/>
  <c r="N998" i="5"/>
  <c r="E999" i="5"/>
  <c r="A999" i="5" s="1"/>
  <c r="A999" i="1" s="1"/>
  <c r="C1000" i="5"/>
  <c r="L1000" i="5"/>
  <c r="J1002" i="5"/>
  <c r="R1002" i="5"/>
  <c r="H1004" i="5"/>
  <c r="P1004" i="5"/>
  <c r="F1006" i="5"/>
  <c r="N1006" i="5"/>
  <c r="E1007" i="5"/>
  <c r="A1007" i="5" s="1"/>
  <c r="A1007" i="1" s="1"/>
  <c r="C1008" i="5"/>
  <c r="L1008" i="5"/>
  <c r="J1010" i="5"/>
  <c r="R1010" i="5"/>
  <c r="H1012" i="5"/>
  <c r="P1012" i="5"/>
  <c r="F1014" i="5"/>
  <c r="N1014" i="5"/>
  <c r="E1015" i="5"/>
  <c r="C1016" i="5"/>
  <c r="L1016" i="5"/>
  <c r="J1018" i="5"/>
  <c r="R1018" i="5"/>
  <c r="H1020" i="5"/>
  <c r="P1020" i="5"/>
  <c r="F1022" i="5"/>
  <c r="O1022" i="5"/>
  <c r="F1025" i="5"/>
  <c r="P1025" i="5"/>
  <c r="J1026" i="5"/>
  <c r="G1028" i="5"/>
  <c r="Q1028" i="5"/>
  <c r="E1030" i="5"/>
  <c r="O1030" i="5"/>
  <c r="F1033" i="5"/>
  <c r="P1033" i="5"/>
  <c r="J1034" i="5"/>
  <c r="G1036" i="5"/>
  <c r="Q1036" i="5"/>
  <c r="E1038" i="5"/>
  <c r="O1038" i="5"/>
  <c r="F1041" i="5"/>
  <c r="P1041" i="5"/>
  <c r="J1042" i="5"/>
  <c r="G1044" i="5"/>
  <c r="Q1044" i="5"/>
  <c r="E1046" i="5"/>
  <c r="O1046" i="5"/>
  <c r="F1049" i="5"/>
  <c r="P1049" i="5"/>
  <c r="J1050" i="5"/>
  <c r="G1052" i="5"/>
  <c r="Q1052" i="5"/>
  <c r="E1054" i="5"/>
  <c r="O1054" i="5"/>
  <c r="F1057" i="5"/>
  <c r="P1057" i="5"/>
  <c r="J1058" i="5"/>
  <c r="G1060" i="5"/>
  <c r="Q1060" i="5"/>
  <c r="E1062" i="5"/>
  <c r="O1062" i="5"/>
  <c r="M1066" i="5"/>
  <c r="N1070" i="5"/>
  <c r="M1074" i="5"/>
  <c r="K1082" i="5"/>
  <c r="K1100" i="5"/>
  <c r="K1116" i="5"/>
  <c r="K1132" i="5"/>
  <c r="K1148" i="5"/>
  <c r="K1180" i="5"/>
  <c r="R1212" i="5"/>
  <c r="J1212" i="5"/>
  <c r="Q1212" i="5"/>
  <c r="I1212" i="5"/>
  <c r="P1212" i="5"/>
  <c r="H1212" i="5"/>
  <c r="O1212" i="5"/>
  <c r="G1212" i="5"/>
  <c r="N1212" i="5"/>
  <c r="F1212" i="5"/>
  <c r="M1212" i="5"/>
  <c r="E1212" i="5"/>
  <c r="L1212" i="5"/>
  <c r="C1212" i="5"/>
  <c r="L1258" i="5"/>
  <c r="P1282" i="5"/>
  <c r="H1282" i="5"/>
  <c r="N1282" i="5"/>
  <c r="F1282" i="5"/>
  <c r="L1282" i="5"/>
  <c r="C1282" i="5"/>
  <c r="O1282" i="5"/>
  <c r="M1282" i="5"/>
  <c r="K1282" i="5"/>
  <c r="J1282" i="5"/>
  <c r="I1282" i="5"/>
  <c r="G1282" i="5"/>
  <c r="R1282" i="5"/>
  <c r="E1282" i="5"/>
  <c r="R1393" i="5"/>
  <c r="J1393" i="5"/>
  <c r="Q1393" i="5"/>
  <c r="I1393" i="5"/>
  <c r="P1393" i="5"/>
  <c r="H1393" i="5"/>
  <c r="O1393" i="5"/>
  <c r="G1393" i="5"/>
  <c r="N1393" i="5"/>
  <c r="F1393" i="5"/>
  <c r="M1393" i="5"/>
  <c r="E1393" i="5"/>
  <c r="L1393" i="5"/>
  <c r="K1393" i="5"/>
  <c r="C1393" i="5"/>
  <c r="G782" i="5"/>
  <c r="G790" i="5"/>
  <c r="I796" i="5"/>
  <c r="G798" i="5"/>
  <c r="E800" i="5"/>
  <c r="I804" i="5"/>
  <c r="G806" i="5"/>
  <c r="E808" i="5"/>
  <c r="I812" i="5"/>
  <c r="G814" i="5"/>
  <c r="E816" i="5"/>
  <c r="I820" i="5"/>
  <c r="G822" i="5"/>
  <c r="E824" i="5"/>
  <c r="I828" i="5"/>
  <c r="G830" i="5"/>
  <c r="E832" i="5"/>
  <c r="I836" i="5"/>
  <c r="G838" i="5"/>
  <c r="E840" i="5"/>
  <c r="I844" i="5"/>
  <c r="G846" i="5"/>
  <c r="E848" i="5"/>
  <c r="I852" i="5"/>
  <c r="G854" i="5"/>
  <c r="E856" i="5"/>
  <c r="I860" i="5"/>
  <c r="G862" i="5"/>
  <c r="E864" i="5"/>
  <c r="I868" i="5"/>
  <c r="G870" i="5"/>
  <c r="E872" i="5"/>
  <c r="I876" i="5"/>
  <c r="G878" i="5"/>
  <c r="E880" i="5"/>
  <c r="I884" i="5"/>
  <c r="G886" i="5"/>
  <c r="E888" i="5"/>
  <c r="I892" i="5"/>
  <c r="G894" i="5"/>
  <c r="E896" i="5"/>
  <c r="I900" i="5"/>
  <c r="G902" i="5"/>
  <c r="E904" i="5"/>
  <c r="I908" i="5"/>
  <c r="G910" i="5"/>
  <c r="E912" i="5"/>
  <c r="I916" i="5"/>
  <c r="G918" i="5"/>
  <c r="E920" i="5"/>
  <c r="I924" i="5"/>
  <c r="G926" i="5"/>
  <c r="E928" i="5"/>
  <c r="I932" i="5"/>
  <c r="G934" i="5"/>
  <c r="E936" i="5"/>
  <c r="I940" i="5"/>
  <c r="G942" i="5"/>
  <c r="E944" i="5"/>
  <c r="I948" i="5"/>
  <c r="G950" i="5"/>
  <c r="E952" i="5"/>
  <c r="I956" i="5"/>
  <c r="G958" i="5"/>
  <c r="E960" i="5"/>
  <c r="I964" i="5"/>
  <c r="G966" i="5"/>
  <c r="E968" i="5"/>
  <c r="I972" i="5"/>
  <c r="G974" i="5"/>
  <c r="E976" i="5"/>
  <c r="I980" i="5"/>
  <c r="G982" i="5"/>
  <c r="E984" i="5"/>
  <c r="I988" i="5"/>
  <c r="G990" i="5"/>
  <c r="E992" i="5"/>
  <c r="I996" i="5"/>
  <c r="G998" i="5"/>
  <c r="E1000" i="5"/>
  <c r="I1004" i="5"/>
  <c r="G1006" i="5"/>
  <c r="E1008" i="5"/>
  <c r="I1012" i="5"/>
  <c r="G1014" i="5"/>
  <c r="E1016" i="5"/>
  <c r="I1020" i="5"/>
  <c r="G1022" i="5"/>
  <c r="Q1022" i="5"/>
  <c r="N1024" i="5"/>
  <c r="F1024" i="5"/>
  <c r="A1024" i="5" s="1"/>
  <c r="A1024" i="1" s="1"/>
  <c r="R1024" i="5"/>
  <c r="J1024" i="5"/>
  <c r="M1024" i="5"/>
  <c r="K1026" i="5"/>
  <c r="H1028" i="5"/>
  <c r="F1030" i="5"/>
  <c r="Q1030" i="5"/>
  <c r="N1032" i="5"/>
  <c r="F1032" i="5"/>
  <c r="A1032" i="5" s="1"/>
  <c r="A1032" i="1" s="1"/>
  <c r="R1032" i="5"/>
  <c r="J1032" i="5"/>
  <c r="M1032" i="5"/>
  <c r="K1034" i="5"/>
  <c r="H1036" i="5"/>
  <c r="F1038" i="5"/>
  <c r="Q1038" i="5"/>
  <c r="N1040" i="5"/>
  <c r="A1040" i="5" s="1"/>
  <c r="A1040" i="1" s="1"/>
  <c r="F1040" i="5"/>
  <c r="R1040" i="5"/>
  <c r="J1040" i="5"/>
  <c r="M1040" i="5"/>
  <c r="K1042" i="5"/>
  <c r="H1044" i="5"/>
  <c r="F1046" i="5"/>
  <c r="Q1046" i="5"/>
  <c r="N1048" i="5"/>
  <c r="F1048" i="5"/>
  <c r="A1048" i="5" s="1"/>
  <c r="A1048" i="1" s="1"/>
  <c r="R1048" i="5"/>
  <c r="J1048" i="5"/>
  <c r="M1048" i="5"/>
  <c r="K1050" i="5"/>
  <c r="H1052" i="5"/>
  <c r="F1054" i="5"/>
  <c r="Q1054" i="5"/>
  <c r="N1056" i="5"/>
  <c r="F1056" i="5"/>
  <c r="A1056" i="5" s="1"/>
  <c r="A1056" i="1" s="1"/>
  <c r="R1056" i="5"/>
  <c r="J1056" i="5"/>
  <c r="M1056" i="5"/>
  <c r="K1058" i="5"/>
  <c r="H1060" i="5"/>
  <c r="F1062" i="5"/>
  <c r="Q1062" i="5"/>
  <c r="N1064" i="5"/>
  <c r="F1064" i="5"/>
  <c r="A1064" i="5" s="1"/>
  <c r="A1064" i="1" s="1"/>
  <c r="K1064" i="5"/>
  <c r="R1064" i="5"/>
  <c r="J1064" i="5"/>
  <c r="P1064" i="5"/>
  <c r="H1064" i="5"/>
  <c r="Q1064" i="5"/>
  <c r="O1066" i="5"/>
  <c r="R1068" i="5"/>
  <c r="J1068" i="5"/>
  <c r="O1068" i="5"/>
  <c r="G1068" i="5"/>
  <c r="N1068" i="5"/>
  <c r="F1068" i="5"/>
  <c r="L1068" i="5"/>
  <c r="C1068" i="5"/>
  <c r="O1070" i="5"/>
  <c r="O1074" i="5"/>
  <c r="R1076" i="5"/>
  <c r="J1076" i="5"/>
  <c r="P1076" i="5"/>
  <c r="H1076" i="5"/>
  <c r="O1076" i="5"/>
  <c r="G1076" i="5"/>
  <c r="N1076" i="5"/>
  <c r="F1076" i="5"/>
  <c r="L1076" i="5"/>
  <c r="C1076" i="5"/>
  <c r="P1078" i="5"/>
  <c r="H1078" i="5"/>
  <c r="N1078" i="5"/>
  <c r="F1078" i="5"/>
  <c r="M1078" i="5"/>
  <c r="E1078" i="5"/>
  <c r="L1078" i="5"/>
  <c r="C1078" i="5"/>
  <c r="R1078" i="5"/>
  <c r="J1078" i="5"/>
  <c r="M1082" i="5"/>
  <c r="R1084" i="5"/>
  <c r="J1084" i="5"/>
  <c r="P1084" i="5"/>
  <c r="H1084" i="5"/>
  <c r="O1084" i="5"/>
  <c r="G1084" i="5"/>
  <c r="N1084" i="5"/>
  <c r="F1084" i="5"/>
  <c r="L1084" i="5"/>
  <c r="C1084" i="5"/>
  <c r="A1151" i="5"/>
  <c r="R1172" i="5"/>
  <c r="J1172" i="5"/>
  <c r="Q1172" i="5"/>
  <c r="I1172" i="5"/>
  <c r="P1172" i="5"/>
  <c r="H1172" i="5"/>
  <c r="O1172" i="5"/>
  <c r="G1172" i="5"/>
  <c r="N1172" i="5"/>
  <c r="F1172" i="5"/>
  <c r="M1172" i="5"/>
  <c r="E1172" i="5"/>
  <c r="L1172" i="5"/>
  <c r="C1172" i="5"/>
  <c r="A1183" i="5"/>
  <c r="A1183" i="1" s="1"/>
  <c r="R1204" i="5"/>
  <c r="J1204" i="5"/>
  <c r="Q1204" i="5"/>
  <c r="I1204" i="5"/>
  <c r="P1204" i="5"/>
  <c r="H1204" i="5"/>
  <c r="O1204" i="5"/>
  <c r="G1204" i="5"/>
  <c r="N1204" i="5"/>
  <c r="F1204" i="5"/>
  <c r="M1204" i="5"/>
  <c r="E1204" i="5"/>
  <c r="L1204" i="5"/>
  <c r="C1204" i="5"/>
  <c r="K1212" i="5"/>
  <c r="Q1282" i="5"/>
  <c r="K1069" i="5"/>
  <c r="H1072" i="5"/>
  <c r="P1072" i="5"/>
  <c r="K1077" i="5"/>
  <c r="H1080" i="5"/>
  <c r="P1080" i="5"/>
  <c r="G1081" i="5"/>
  <c r="O1081" i="5"/>
  <c r="K1085" i="5"/>
  <c r="J1086" i="5"/>
  <c r="R1086" i="5"/>
  <c r="H1088" i="5"/>
  <c r="P1088" i="5"/>
  <c r="G1089" i="5"/>
  <c r="O1089" i="5"/>
  <c r="F1090" i="5"/>
  <c r="N1090" i="5"/>
  <c r="K1093" i="5"/>
  <c r="J1094" i="5"/>
  <c r="R1094" i="5"/>
  <c r="H1096" i="5"/>
  <c r="P1096" i="5"/>
  <c r="G1097" i="5"/>
  <c r="O1097" i="5"/>
  <c r="F1098" i="5"/>
  <c r="N1098" i="5"/>
  <c r="K1101" i="5"/>
  <c r="J1102" i="5"/>
  <c r="R1102" i="5"/>
  <c r="H1104" i="5"/>
  <c r="P1104" i="5"/>
  <c r="G1105" i="5"/>
  <c r="O1105" i="5"/>
  <c r="F1106" i="5"/>
  <c r="N1106" i="5"/>
  <c r="K1109" i="5"/>
  <c r="J1110" i="5"/>
  <c r="R1110" i="5"/>
  <c r="H1112" i="5"/>
  <c r="P1112" i="5"/>
  <c r="G1113" i="5"/>
  <c r="O1113" i="5"/>
  <c r="F1114" i="5"/>
  <c r="N1114" i="5"/>
  <c r="K1117" i="5"/>
  <c r="J1118" i="5"/>
  <c r="R1118" i="5"/>
  <c r="H1120" i="5"/>
  <c r="P1120" i="5"/>
  <c r="G1121" i="5"/>
  <c r="O1121" i="5"/>
  <c r="F1122" i="5"/>
  <c r="N1122" i="5"/>
  <c r="K1125" i="5"/>
  <c r="J1126" i="5"/>
  <c r="R1126" i="5"/>
  <c r="H1128" i="5"/>
  <c r="P1128" i="5"/>
  <c r="G1129" i="5"/>
  <c r="O1129" i="5"/>
  <c r="F1130" i="5"/>
  <c r="N1130" i="5"/>
  <c r="K1133" i="5"/>
  <c r="J1134" i="5"/>
  <c r="R1134" i="5"/>
  <c r="H1136" i="5"/>
  <c r="P1136" i="5"/>
  <c r="G1137" i="5"/>
  <c r="O1137" i="5"/>
  <c r="F1138" i="5"/>
  <c r="N1138" i="5"/>
  <c r="K1141" i="5"/>
  <c r="J1142" i="5"/>
  <c r="R1142" i="5"/>
  <c r="H1144" i="5"/>
  <c r="P1144" i="5"/>
  <c r="G1145" i="5"/>
  <c r="O1145" i="5"/>
  <c r="F1146" i="5"/>
  <c r="N1146" i="5"/>
  <c r="K1149" i="5"/>
  <c r="J1150" i="5"/>
  <c r="R1150" i="5"/>
  <c r="H1152" i="5"/>
  <c r="P1152" i="5"/>
  <c r="G1153" i="5"/>
  <c r="O1153" i="5"/>
  <c r="F1154" i="5"/>
  <c r="N1154" i="5"/>
  <c r="K1157" i="5"/>
  <c r="J1158" i="5"/>
  <c r="R1158" i="5"/>
  <c r="H1160" i="5"/>
  <c r="P1160" i="5"/>
  <c r="G1161" i="5"/>
  <c r="O1161" i="5"/>
  <c r="F1162" i="5"/>
  <c r="N1162" i="5"/>
  <c r="K1165" i="5"/>
  <c r="J1166" i="5"/>
  <c r="R1166" i="5"/>
  <c r="H1168" i="5"/>
  <c r="P1168" i="5"/>
  <c r="G1169" i="5"/>
  <c r="O1169" i="5"/>
  <c r="F1170" i="5"/>
  <c r="N1170" i="5"/>
  <c r="K1173" i="5"/>
  <c r="J1174" i="5"/>
  <c r="R1174" i="5"/>
  <c r="H1176" i="5"/>
  <c r="P1176" i="5"/>
  <c r="G1177" i="5"/>
  <c r="O1177" i="5"/>
  <c r="F1178" i="5"/>
  <c r="N1178" i="5"/>
  <c r="K1181" i="5"/>
  <c r="J1182" i="5"/>
  <c r="R1182" i="5"/>
  <c r="H1184" i="5"/>
  <c r="P1184" i="5"/>
  <c r="G1185" i="5"/>
  <c r="O1185" i="5"/>
  <c r="F1186" i="5"/>
  <c r="N1186" i="5"/>
  <c r="K1189" i="5"/>
  <c r="J1190" i="5"/>
  <c r="R1190" i="5"/>
  <c r="H1192" i="5"/>
  <c r="P1192" i="5"/>
  <c r="G1193" i="5"/>
  <c r="O1193" i="5"/>
  <c r="F1194" i="5"/>
  <c r="N1194" i="5"/>
  <c r="K1197" i="5"/>
  <c r="J1198" i="5"/>
  <c r="R1198" i="5"/>
  <c r="H1200" i="5"/>
  <c r="P1200" i="5"/>
  <c r="G1201" i="5"/>
  <c r="O1201" i="5"/>
  <c r="F1202" i="5"/>
  <c r="N1202" i="5"/>
  <c r="K1205" i="5"/>
  <c r="J1206" i="5"/>
  <c r="R1206" i="5"/>
  <c r="P1208" i="5"/>
  <c r="G1209" i="5"/>
  <c r="O1209" i="5"/>
  <c r="F1210" i="5"/>
  <c r="N1210" i="5"/>
  <c r="K1213" i="5"/>
  <c r="J1214" i="5"/>
  <c r="R1214" i="5"/>
  <c r="H1216" i="5"/>
  <c r="P1216" i="5"/>
  <c r="G1217" i="5"/>
  <c r="O1217" i="5"/>
  <c r="F1218" i="5"/>
  <c r="N1218" i="5"/>
  <c r="K1221" i="5"/>
  <c r="J1222" i="5"/>
  <c r="R1222" i="5"/>
  <c r="H1224" i="5"/>
  <c r="P1224" i="5"/>
  <c r="G1225" i="5"/>
  <c r="O1225" i="5"/>
  <c r="F1226" i="5"/>
  <c r="N1226" i="5"/>
  <c r="K1229" i="5"/>
  <c r="J1230" i="5"/>
  <c r="R1230" i="5"/>
  <c r="H1232" i="5"/>
  <c r="P1232" i="5"/>
  <c r="G1233" i="5"/>
  <c r="O1233" i="5"/>
  <c r="F1234" i="5"/>
  <c r="N1234" i="5"/>
  <c r="K1237" i="5"/>
  <c r="J1238" i="5"/>
  <c r="R1238" i="5"/>
  <c r="H1240" i="5"/>
  <c r="P1240" i="5"/>
  <c r="G1241" i="5"/>
  <c r="O1241" i="5"/>
  <c r="F1242" i="5"/>
  <c r="N1242" i="5"/>
  <c r="K1245" i="5"/>
  <c r="J1246" i="5"/>
  <c r="R1246" i="5"/>
  <c r="H1248" i="5"/>
  <c r="P1248" i="5"/>
  <c r="G1249" i="5"/>
  <c r="O1249" i="5"/>
  <c r="F1250" i="5"/>
  <c r="N1250" i="5"/>
  <c r="K1253" i="5"/>
  <c r="J1254" i="5"/>
  <c r="R1254" i="5"/>
  <c r="Q1257" i="5"/>
  <c r="I1257" i="5"/>
  <c r="L1257" i="5"/>
  <c r="G1260" i="5"/>
  <c r="P1260" i="5"/>
  <c r="H1261" i="5"/>
  <c r="G1264" i="5"/>
  <c r="Q1265" i="5"/>
  <c r="I1265" i="5"/>
  <c r="O1265" i="5"/>
  <c r="G1265" i="5"/>
  <c r="M1265" i="5"/>
  <c r="E1265" i="5"/>
  <c r="P1265" i="5"/>
  <c r="K1266" i="5"/>
  <c r="K1268" i="5"/>
  <c r="J1281" i="5"/>
  <c r="K1292" i="5"/>
  <c r="A1295" i="5"/>
  <c r="A1295" i="1" s="1"/>
  <c r="Q1306" i="5"/>
  <c r="I1306" i="5"/>
  <c r="P1306" i="5"/>
  <c r="H1306" i="5"/>
  <c r="O1306" i="5"/>
  <c r="G1306" i="5"/>
  <c r="N1306" i="5"/>
  <c r="F1306" i="5"/>
  <c r="M1306" i="5"/>
  <c r="E1306" i="5"/>
  <c r="L1306" i="5"/>
  <c r="C1306" i="5"/>
  <c r="A1327" i="5"/>
  <c r="A1327" i="1" s="1"/>
  <c r="Q1338" i="5"/>
  <c r="I1338" i="5"/>
  <c r="P1338" i="5"/>
  <c r="H1338" i="5"/>
  <c r="O1338" i="5"/>
  <c r="G1338" i="5"/>
  <c r="N1338" i="5"/>
  <c r="F1338" i="5"/>
  <c r="M1338" i="5"/>
  <c r="E1338" i="5"/>
  <c r="L1338" i="5"/>
  <c r="C1338" i="5"/>
  <c r="A1359" i="5"/>
  <c r="A1359" i="1" s="1"/>
  <c r="Q1370" i="5"/>
  <c r="I1370" i="5"/>
  <c r="P1370" i="5"/>
  <c r="H1370" i="5"/>
  <c r="O1370" i="5"/>
  <c r="G1370" i="5"/>
  <c r="N1370" i="5"/>
  <c r="F1370" i="5"/>
  <c r="M1370" i="5"/>
  <c r="E1370" i="5"/>
  <c r="L1370" i="5"/>
  <c r="C1370" i="5"/>
  <c r="Q1386" i="5"/>
  <c r="I1386" i="5"/>
  <c r="P1386" i="5"/>
  <c r="H1386" i="5"/>
  <c r="O1386" i="5"/>
  <c r="G1386" i="5"/>
  <c r="N1386" i="5"/>
  <c r="F1386" i="5"/>
  <c r="M1386" i="5"/>
  <c r="E1386" i="5"/>
  <c r="L1386" i="5"/>
  <c r="C1386" i="5"/>
  <c r="Q1402" i="5"/>
  <c r="I1402" i="5"/>
  <c r="P1402" i="5"/>
  <c r="H1402" i="5"/>
  <c r="O1402" i="5"/>
  <c r="G1402" i="5"/>
  <c r="N1402" i="5"/>
  <c r="F1402" i="5"/>
  <c r="M1402" i="5"/>
  <c r="E1402" i="5"/>
  <c r="L1402" i="5"/>
  <c r="C1402" i="5"/>
  <c r="A1402" i="5" s="1"/>
  <c r="A1402" i="1" s="1"/>
  <c r="R1420" i="5"/>
  <c r="J1420" i="5"/>
  <c r="I1420" i="5"/>
  <c r="Q1420" i="5"/>
  <c r="H1420" i="5"/>
  <c r="P1420" i="5"/>
  <c r="G1420" i="5"/>
  <c r="O1420" i="5"/>
  <c r="F1420" i="5"/>
  <c r="N1420" i="5"/>
  <c r="E1420" i="5"/>
  <c r="M1420" i="5"/>
  <c r="C1420" i="5"/>
  <c r="Q1471" i="5"/>
  <c r="I1471" i="5"/>
  <c r="P1471" i="5"/>
  <c r="H1471" i="5"/>
  <c r="O1471" i="5"/>
  <c r="G1471" i="5"/>
  <c r="N1471" i="5"/>
  <c r="F1471" i="5"/>
  <c r="M1471" i="5"/>
  <c r="E1471" i="5"/>
  <c r="R1471" i="5"/>
  <c r="L1471" i="5"/>
  <c r="K1471" i="5"/>
  <c r="J1471" i="5"/>
  <c r="C1471" i="5"/>
  <c r="A1565" i="5"/>
  <c r="A1565" i="1" s="1"/>
  <c r="Q1575" i="5"/>
  <c r="I1575" i="5"/>
  <c r="P1575" i="5"/>
  <c r="H1575" i="5"/>
  <c r="O1575" i="5"/>
  <c r="G1575" i="5"/>
  <c r="N1575" i="5"/>
  <c r="F1575" i="5"/>
  <c r="M1575" i="5"/>
  <c r="E1575" i="5"/>
  <c r="L1575" i="5"/>
  <c r="C1575" i="5"/>
  <c r="R1575" i="5"/>
  <c r="K1575" i="5"/>
  <c r="P1631" i="5"/>
  <c r="H1631" i="5"/>
  <c r="O1631" i="5"/>
  <c r="G1631" i="5"/>
  <c r="A1631" i="5" s="1"/>
  <c r="M1631" i="5"/>
  <c r="E1631" i="5"/>
  <c r="R1631" i="5"/>
  <c r="J1631" i="5"/>
  <c r="Q1631" i="5"/>
  <c r="N1631" i="5"/>
  <c r="L1631" i="5"/>
  <c r="K1631" i="5"/>
  <c r="I1631" i="5"/>
  <c r="F1631" i="5"/>
  <c r="K1086" i="5"/>
  <c r="G1090" i="5"/>
  <c r="O1090" i="5"/>
  <c r="K1094" i="5"/>
  <c r="G1098" i="5"/>
  <c r="O1098" i="5"/>
  <c r="K1102" i="5"/>
  <c r="G1106" i="5"/>
  <c r="O1106" i="5"/>
  <c r="K1110" i="5"/>
  <c r="G1114" i="5"/>
  <c r="O1114" i="5"/>
  <c r="K1118" i="5"/>
  <c r="G1122" i="5"/>
  <c r="O1122" i="5"/>
  <c r="K1126" i="5"/>
  <c r="G1130" i="5"/>
  <c r="O1130" i="5"/>
  <c r="K1134" i="5"/>
  <c r="G1138" i="5"/>
  <c r="O1138" i="5"/>
  <c r="K1142" i="5"/>
  <c r="G1146" i="5"/>
  <c r="O1146" i="5"/>
  <c r="K1150" i="5"/>
  <c r="G1154" i="5"/>
  <c r="O1154" i="5"/>
  <c r="K1158" i="5"/>
  <c r="G1162" i="5"/>
  <c r="O1162" i="5"/>
  <c r="K1166" i="5"/>
  <c r="G1170" i="5"/>
  <c r="O1170" i="5"/>
  <c r="K1174" i="5"/>
  <c r="G1178" i="5"/>
  <c r="O1178" i="5"/>
  <c r="K1182" i="5"/>
  <c r="G1186" i="5"/>
  <c r="O1186" i="5"/>
  <c r="K1190" i="5"/>
  <c r="G1194" i="5"/>
  <c r="O1194" i="5"/>
  <c r="K1198" i="5"/>
  <c r="G1202" i="5"/>
  <c r="O1202" i="5"/>
  <c r="K1206" i="5"/>
  <c r="G1210" i="5"/>
  <c r="O1210" i="5"/>
  <c r="K1214" i="5"/>
  <c r="G1218" i="5"/>
  <c r="O1218" i="5"/>
  <c r="K1222" i="5"/>
  <c r="K1230" i="5"/>
  <c r="K1238" i="5"/>
  <c r="K1246" i="5"/>
  <c r="K1254" i="5"/>
  <c r="R1256" i="5"/>
  <c r="J1256" i="5"/>
  <c r="L1256" i="5"/>
  <c r="L1262" i="5"/>
  <c r="C1262" i="5"/>
  <c r="P1262" i="5"/>
  <c r="H1262" i="5"/>
  <c r="N1262" i="5"/>
  <c r="L1270" i="5"/>
  <c r="C1270" i="5"/>
  <c r="R1270" i="5"/>
  <c r="J1270" i="5"/>
  <c r="P1270" i="5"/>
  <c r="H1270" i="5"/>
  <c r="O1270" i="5"/>
  <c r="P1274" i="5"/>
  <c r="H1274" i="5"/>
  <c r="N1274" i="5"/>
  <c r="F1274" i="5"/>
  <c r="L1274" i="5"/>
  <c r="C1274" i="5"/>
  <c r="Q1274" i="5"/>
  <c r="N1276" i="5"/>
  <c r="F1276" i="5"/>
  <c r="L1276" i="5"/>
  <c r="C1276" i="5"/>
  <c r="R1276" i="5"/>
  <c r="J1276" i="5"/>
  <c r="P1276" i="5"/>
  <c r="R1280" i="5"/>
  <c r="J1280" i="5"/>
  <c r="P1280" i="5"/>
  <c r="H1280" i="5"/>
  <c r="N1280" i="5"/>
  <c r="F1280" i="5"/>
  <c r="O1280" i="5"/>
  <c r="K1281" i="5"/>
  <c r="Q1290" i="5"/>
  <c r="I1290" i="5"/>
  <c r="P1290" i="5"/>
  <c r="H1290" i="5"/>
  <c r="O1290" i="5"/>
  <c r="G1290" i="5"/>
  <c r="N1290" i="5"/>
  <c r="F1290" i="5"/>
  <c r="L1290" i="5"/>
  <c r="C1290" i="5"/>
  <c r="R1313" i="5"/>
  <c r="J1313" i="5"/>
  <c r="Q1313" i="5"/>
  <c r="I1313" i="5"/>
  <c r="P1313" i="5"/>
  <c r="H1313" i="5"/>
  <c r="O1313" i="5"/>
  <c r="G1313" i="5"/>
  <c r="N1313" i="5"/>
  <c r="F1313" i="5"/>
  <c r="M1313" i="5"/>
  <c r="E1313" i="5"/>
  <c r="R1345" i="5"/>
  <c r="J1345" i="5"/>
  <c r="Q1345" i="5"/>
  <c r="I1345" i="5"/>
  <c r="P1345" i="5"/>
  <c r="H1345" i="5"/>
  <c r="O1345" i="5"/>
  <c r="G1345" i="5"/>
  <c r="N1345" i="5"/>
  <c r="F1345" i="5"/>
  <c r="M1345" i="5"/>
  <c r="E1345" i="5"/>
  <c r="R1428" i="5"/>
  <c r="J1428" i="5"/>
  <c r="I1428" i="5"/>
  <c r="Q1428" i="5"/>
  <c r="H1428" i="5"/>
  <c r="P1428" i="5"/>
  <c r="G1428" i="5"/>
  <c r="O1428" i="5"/>
  <c r="F1428" i="5"/>
  <c r="N1428" i="5"/>
  <c r="E1428" i="5"/>
  <c r="M1428" i="5"/>
  <c r="C1428" i="5"/>
  <c r="P1472" i="5"/>
  <c r="H1472" i="5"/>
  <c r="O1472" i="5"/>
  <c r="G1472" i="5"/>
  <c r="N1472" i="5"/>
  <c r="F1472" i="5"/>
  <c r="M1472" i="5"/>
  <c r="E1472" i="5"/>
  <c r="L1472" i="5"/>
  <c r="C1472" i="5"/>
  <c r="R1472" i="5"/>
  <c r="Q1472" i="5"/>
  <c r="K1472" i="5"/>
  <c r="J1472" i="5"/>
  <c r="Q1511" i="5"/>
  <c r="I1511" i="5"/>
  <c r="P1511" i="5"/>
  <c r="H1511" i="5"/>
  <c r="O1511" i="5"/>
  <c r="G1511" i="5"/>
  <c r="N1511" i="5"/>
  <c r="F1511" i="5"/>
  <c r="M1511" i="5"/>
  <c r="E1511" i="5"/>
  <c r="L1511" i="5"/>
  <c r="C1511" i="5"/>
  <c r="R1511" i="5"/>
  <c r="K1511" i="5"/>
  <c r="J1511" i="5"/>
  <c r="R1526" i="5"/>
  <c r="J1526" i="5"/>
  <c r="Q1526" i="5"/>
  <c r="I1526" i="5"/>
  <c r="P1526" i="5"/>
  <c r="H1526" i="5"/>
  <c r="O1526" i="5"/>
  <c r="G1526" i="5"/>
  <c r="N1526" i="5"/>
  <c r="F1526" i="5"/>
  <c r="M1526" i="5"/>
  <c r="E1526" i="5"/>
  <c r="L1526" i="5"/>
  <c r="K1526" i="5"/>
  <c r="K1023" i="5"/>
  <c r="G1027" i="5"/>
  <c r="A1027" i="5" s="1"/>
  <c r="A1027" i="1" s="1"/>
  <c r="O1027" i="5"/>
  <c r="K1031" i="5"/>
  <c r="G1035" i="5"/>
  <c r="A1035" i="5" s="1"/>
  <c r="A1035" i="1" s="1"/>
  <c r="O1035" i="5"/>
  <c r="K1039" i="5"/>
  <c r="G1043" i="5"/>
  <c r="O1043" i="5"/>
  <c r="A1043" i="5" s="1"/>
  <c r="A1043" i="1" s="1"/>
  <c r="K1047" i="5"/>
  <c r="G1051" i="5"/>
  <c r="A1051" i="5" s="1"/>
  <c r="A1051" i="1" s="1"/>
  <c r="O1051" i="5"/>
  <c r="K1055" i="5"/>
  <c r="G1059" i="5"/>
  <c r="A1059" i="5" s="1"/>
  <c r="A1059" i="1" s="1"/>
  <c r="O1059" i="5"/>
  <c r="K1063" i="5"/>
  <c r="G1067" i="5"/>
  <c r="A1067" i="5" s="1"/>
  <c r="A1067" i="1" s="1"/>
  <c r="O1067" i="5"/>
  <c r="E1069" i="5"/>
  <c r="A1069" i="5" s="1"/>
  <c r="A1069" i="1" s="1"/>
  <c r="M1069" i="5"/>
  <c r="K1071" i="5"/>
  <c r="J1072" i="5"/>
  <c r="R1072" i="5"/>
  <c r="G1075" i="5"/>
  <c r="A1075" i="5" s="1"/>
  <c r="A1075" i="1" s="1"/>
  <c r="O1075" i="5"/>
  <c r="E1077" i="5"/>
  <c r="M1077" i="5"/>
  <c r="K1079" i="5"/>
  <c r="J1080" i="5"/>
  <c r="R1080" i="5"/>
  <c r="I1081" i="5"/>
  <c r="Q1081" i="5"/>
  <c r="G1083" i="5"/>
  <c r="A1083" i="5" s="1"/>
  <c r="A1083" i="1" s="1"/>
  <c r="O1083" i="5"/>
  <c r="E1085" i="5"/>
  <c r="M1085" i="5"/>
  <c r="C1086" i="5"/>
  <c r="L1086" i="5"/>
  <c r="K1087" i="5"/>
  <c r="J1088" i="5"/>
  <c r="R1088" i="5"/>
  <c r="I1089" i="5"/>
  <c r="Q1089" i="5"/>
  <c r="H1090" i="5"/>
  <c r="P1090" i="5"/>
  <c r="G1091" i="5"/>
  <c r="O1091" i="5"/>
  <c r="E1093" i="5"/>
  <c r="M1093" i="5"/>
  <c r="C1094" i="5"/>
  <c r="L1094" i="5"/>
  <c r="K1095" i="5"/>
  <c r="J1096" i="5"/>
  <c r="R1096" i="5"/>
  <c r="I1097" i="5"/>
  <c r="Q1097" i="5"/>
  <c r="H1098" i="5"/>
  <c r="P1098" i="5"/>
  <c r="G1099" i="5"/>
  <c r="A1099" i="5" s="1"/>
  <c r="A1099" i="1" s="1"/>
  <c r="O1099" i="5"/>
  <c r="E1101" i="5"/>
  <c r="M1101" i="5"/>
  <c r="C1102" i="5"/>
  <c r="L1102" i="5"/>
  <c r="K1103" i="5"/>
  <c r="J1104" i="5"/>
  <c r="R1104" i="5"/>
  <c r="I1105" i="5"/>
  <c r="Q1105" i="5"/>
  <c r="H1106" i="5"/>
  <c r="P1106" i="5"/>
  <c r="G1107" i="5"/>
  <c r="O1107" i="5"/>
  <c r="A1107" i="5" s="1"/>
  <c r="A1107" i="1" s="1"/>
  <c r="E1109" i="5"/>
  <c r="M1109" i="5"/>
  <c r="C1110" i="5"/>
  <c r="L1110" i="5"/>
  <c r="K1111" i="5"/>
  <c r="J1112" i="5"/>
  <c r="R1112" i="5"/>
  <c r="I1113" i="5"/>
  <c r="A1113" i="5" s="1"/>
  <c r="A1113" i="1" s="1"/>
  <c r="Q1113" i="5"/>
  <c r="H1114" i="5"/>
  <c r="P1114" i="5"/>
  <c r="G1115" i="5"/>
  <c r="O1115" i="5"/>
  <c r="E1117" i="5"/>
  <c r="M1117" i="5"/>
  <c r="C1118" i="5"/>
  <c r="L1118" i="5"/>
  <c r="K1119" i="5"/>
  <c r="J1120" i="5"/>
  <c r="R1120" i="5"/>
  <c r="I1121" i="5"/>
  <c r="Q1121" i="5"/>
  <c r="H1122" i="5"/>
  <c r="P1122" i="5"/>
  <c r="G1123" i="5"/>
  <c r="O1123" i="5"/>
  <c r="E1125" i="5"/>
  <c r="M1125" i="5"/>
  <c r="C1126" i="5"/>
  <c r="L1126" i="5"/>
  <c r="K1127" i="5"/>
  <c r="J1128" i="5"/>
  <c r="R1128" i="5"/>
  <c r="I1129" i="5"/>
  <c r="A1129" i="5" s="1"/>
  <c r="A1129" i="1" s="1"/>
  <c r="Q1129" i="5"/>
  <c r="H1130" i="5"/>
  <c r="P1130" i="5"/>
  <c r="G1131" i="5"/>
  <c r="A1131" i="5" s="1"/>
  <c r="A1131" i="1" s="1"/>
  <c r="O1131" i="5"/>
  <c r="E1133" i="5"/>
  <c r="M1133" i="5"/>
  <c r="C1134" i="5"/>
  <c r="L1134" i="5"/>
  <c r="K1135" i="5"/>
  <c r="J1136" i="5"/>
  <c r="R1136" i="5"/>
  <c r="I1137" i="5"/>
  <c r="Q1137" i="5"/>
  <c r="H1138" i="5"/>
  <c r="P1138" i="5"/>
  <c r="G1139" i="5"/>
  <c r="A1139" i="5" s="1"/>
  <c r="A1139" i="1" s="1"/>
  <c r="O1139" i="5"/>
  <c r="E1141" i="5"/>
  <c r="M1141" i="5"/>
  <c r="C1142" i="5"/>
  <c r="L1142" i="5"/>
  <c r="K1143" i="5"/>
  <c r="J1144" i="5"/>
  <c r="R1144" i="5"/>
  <c r="I1145" i="5"/>
  <c r="Q1145" i="5"/>
  <c r="H1146" i="5"/>
  <c r="P1146" i="5"/>
  <c r="G1147" i="5"/>
  <c r="A1147" i="5" s="1"/>
  <c r="A1147" i="1" s="1"/>
  <c r="O1147" i="5"/>
  <c r="E1149" i="5"/>
  <c r="M1149" i="5"/>
  <c r="C1150" i="5"/>
  <c r="L1150" i="5"/>
  <c r="J1152" i="5"/>
  <c r="R1152" i="5"/>
  <c r="I1153" i="5"/>
  <c r="Q1153" i="5"/>
  <c r="H1154" i="5"/>
  <c r="P1154" i="5"/>
  <c r="G1155" i="5"/>
  <c r="A1155" i="5" s="1"/>
  <c r="A1155" i="1" s="1"/>
  <c r="O1155" i="5"/>
  <c r="E1157" i="5"/>
  <c r="M1157" i="5"/>
  <c r="C1158" i="5"/>
  <c r="L1158" i="5"/>
  <c r="J1160" i="5"/>
  <c r="R1160" i="5"/>
  <c r="I1161" i="5"/>
  <c r="Q1161" i="5"/>
  <c r="H1162" i="5"/>
  <c r="P1162" i="5"/>
  <c r="G1163" i="5"/>
  <c r="A1163" i="5" s="1"/>
  <c r="A1163" i="1" s="1"/>
  <c r="O1163" i="5"/>
  <c r="E1165" i="5"/>
  <c r="A1165" i="5" s="1"/>
  <c r="A1165" i="1" s="1"/>
  <c r="M1165" i="5"/>
  <c r="C1166" i="5"/>
  <c r="L1166" i="5"/>
  <c r="J1168" i="5"/>
  <c r="R1168" i="5"/>
  <c r="I1169" i="5"/>
  <c r="Q1169" i="5"/>
  <c r="H1170" i="5"/>
  <c r="P1170" i="5"/>
  <c r="G1171" i="5"/>
  <c r="A1171" i="5" s="1"/>
  <c r="A1171" i="1" s="1"/>
  <c r="O1171" i="5"/>
  <c r="E1173" i="5"/>
  <c r="M1173" i="5"/>
  <c r="C1174" i="5"/>
  <c r="L1174" i="5"/>
  <c r="J1176" i="5"/>
  <c r="R1176" i="5"/>
  <c r="I1177" i="5"/>
  <c r="Q1177" i="5"/>
  <c r="H1178" i="5"/>
  <c r="P1178" i="5"/>
  <c r="G1179" i="5"/>
  <c r="A1179" i="5" s="1"/>
  <c r="A1179" i="1" s="1"/>
  <c r="O1179" i="5"/>
  <c r="E1181" i="5"/>
  <c r="M1181" i="5"/>
  <c r="C1182" i="5"/>
  <c r="L1182" i="5"/>
  <c r="J1184" i="5"/>
  <c r="R1184" i="5"/>
  <c r="I1185" i="5"/>
  <c r="Q1185" i="5"/>
  <c r="H1186" i="5"/>
  <c r="P1186" i="5"/>
  <c r="G1187" i="5"/>
  <c r="A1187" i="5" s="1"/>
  <c r="A1187" i="1" s="1"/>
  <c r="O1187" i="5"/>
  <c r="E1189" i="5"/>
  <c r="M1189" i="5"/>
  <c r="C1190" i="5"/>
  <c r="A1190" i="5" s="1"/>
  <c r="A1190" i="1" s="1"/>
  <c r="L1190" i="5"/>
  <c r="J1192" i="5"/>
  <c r="R1192" i="5"/>
  <c r="I1193" i="5"/>
  <c r="Q1193" i="5"/>
  <c r="H1194" i="5"/>
  <c r="P1194" i="5"/>
  <c r="G1195" i="5"/>
  <c r="A1195" i="5" s="1"/>
  <c r="A1195" i="1" s="1"/>
  <c r="O1195" i="5"/>
  <c r="E1197" i="5"/>
  <c r="M1197" i="5"/>
  <c r="C1198" i="5"/>
  <c r="L1198" i="5"/>
  <c r="J1200" i="5"/>
  <c r="R1200" i="5"/>
  <c r="I1201" i="5"/>
  <c r="A1201" i="5" s="1"/>
  <c r="A1201" i="1" s="1"/>
  <c r="Q1201" i="5"/>
  <c r="H1202" i="5"/>
  <c r="P1202" i="5"/>
  <c r="G1203" i="5"/>
  <c r="A1203" i="5" s="1"/>
  <c r="A1203" i="1" s="1"/>
  <c r="O1203" i="5"/>
  <c r="E1205" i="5"/>
  <c r="M1205" i="5"/>
  <c r="C1206" i="5"/>
  <c r="L1206" i="5"/>
  <c r="J1208" i="5"/>
  <c r="R1208" i="5"/>
  <c r="I1209" i="5"/>
  <c r="Q1209" i="5"/>
  <c r="H1210" i="5"/>
  <c r="P1210" i="5"/>
  <c r="G1211" i="5"/>
  <c r="A1211" i="5" s="1"/>
  <c r="A1211" i="1" s="1"/>
  <c r="O1211" i="5"/>
  <c r="E1213" i="5"/>
  <c r="M1213" i="5"/>
  <c r="C1214" i="5"/>
  <c r="L1214" i="5"/>
  <c r="J1216" i="5"/>
  <c r="R1216" i="5"/>
  <c r="I1217" i="5"/>
  <c r="Q1217" i="5"/>
  <c r="H1218" i="5"/>
  <c r="P1218" i="5"/>
  <c r="G1219" i="5"/>
  <c r="A1219" i="5" s="1"/>
  <c r="A1219" i="1" s="1"/>
  <c r="O1219" i="5"/>
  <c r="E1221" i="5"/>
  <c r="M1221" i="5"/>
  <c r="C1222" i="5"/>
  <c r="L1222" i="5"/>
  <c r="J1224" i="5"/>
  <c r="R1224" i="5"/>
  <c r="I1225" i="5"/>
  <c r="Q1225" i="5"/>
  <c r="H1226" i="5"/>
  <c r="P1226" i="5"/>
  <c r="G1227" i="5"/>
  <c r="A1227" i="5" s="1"/>
  <c r="A1227" i="1" s="1"/>
  <c r="O1227" i="5"/>
  <c r="E1229" i="5"/>
  <c r="A1229" i="5" s="1"/>
  <c r="A1229" i="1" s="1"/>
  <c r="M1229" i="5"/>
  <c r="C1230" i="5"/>
  <c r="L1230" i="5"/>
  <c r="J1232" i="5"/>
  <c r="R1232" i="5"/>
  <c r="I1233" i="5"/>
  <c r="A1233" i="5" s="1"/>
  <c r="A1233" i="1" s="1"/>
  <c r="Q1233" i="5"/>
  <c r="H1234" i="5"/>
  <c r="P1234" i="5"/>
  <c r="G1235" i="5"/>
  <c r="A1235" i="5" s="1"/>
  <c r="A1235" i="1" s="1"/>
  <c r="O1235" i="5"/>
  <c r="E1237" i="5"/>
  <c r="M1237" i="5"/>
  <c r="C1238" i="5"/>
  <c r="L1238" i="5"/>
  <c r="J1240" i="5"/>
  <c r="R1240" i="5"/>
  <c r="I1241" i="5"/>
  <c r="Q1241" i="5"/>
  <c r="H1242" i="5"/>
  <c r="P1242" i="5"/>
  <c r="G1243" i="5"/>
  <c r="A1243" i="5" s="1"/>
  <c r="A1243" i="1" s="1"/>
  <c r="O1243" i="5"/>
  <c r="E1245" i="5"/>
  <c r="M1245" i="5"/>
  <c r="C1246" i="5"/>
  <c r="L1246" i="5"/>
  <c r="J1248" i="5"/>
  <c r="R1248" i="5"/>
  <c r="I1249" i="5"/>
  <c r="Q1249" i="5"/>
  <c r="H1250" i="5"/>
  <c r="P1250" i="5"/>
  <c r="G1251" i="5"/>
  <c r="A1251" i="5" s="1"/>
  <c r="A1251" i="1" s="1"/>
  <c r="O1251" i="5"/>
  <c r="E1253" i="5"/>
  <c r="M1253" i="5"/>
  <c r="C1254" i="5"/>
  <c r="A1254" i="5" s="1"/>
  <c r="A1254" i="1" s="1"/>
  <c r="L1254" i="5"/>
  <c r="C1256" i="5"/>
  <c r="M1256" i="5"/>
  <c r="E1257" i="5"/>
  <c r="N1257" i="5"/>
  <c r="H1259" i="5"/>
  <c r="I1260" i="5"/>
  <c r="R1260" i="5"/>
  <c r="K1261" i="5"/>
  <c r="E1262" i="5"/>
  <c r="O1262" i="5"/>
  <c r="K1264" i="5"/>
  <c r="F1265" i="5"/>
  <c r="E1270" i="5"/>
  <c r="Q1270" i="5"/>
  <c r="E1274" i="5"/>
  <c r="R1274" i="5"/>
  <c r="E1276" i="5"/>
  <c r="Q1276" i="5"/>
  <c r="C1280" i="5"/>
  <c r="Q1280" i="5"/>
  <c r="L1281" i="5"/>
  <c r="R1289" i="5"/>
  <c r="J1289" i="5"/>
  <c r="Q1289" i="5"/>
  <c r="I1289" i="5"/>
  <c r="P1289" i="5"/>
  <c r="H1289" i="5"/>
  <c r="O1289" i="5"/>
  <c r="G1289" i="5"/>
  <c r="M1289" i="5"/>
  <c r="E1289" i="5"/>
  <c r="A1289" i="5" s="1"/>
  <c r="A1289" i="1" s="1"/>
  <c r="E1290" i="5"/>
  <c r="Q1298" i="5"/>
  <c r="I1298" i="5"/>
  <c r="P1298" i="5"/>
  <c r="H1298" i="5"/>
  <c r="O1298" i="5"/>
  <c r="G1298" i="5"/>
  <c r="N1298" i="5"/>
  <c r="F1298" i="5"/>
  <c r="M1298" i="5"/>
  <c r="E1298" i="5"/>
  <c r="L1298" i="5"/>
  <c r="C1298" i="5"/>
  <c r="K1306" i="5"/>
  <c r="C1313" i="5"/>
  <c r="A1319" i="5"/>
  <c r="A1319" i="1" s="1"/>
  <c r="Q1330" i="5"/>
  <c r="I1330" i="5"/>
  <c r="P1330" i="5"/>
  <c r="H1330" i="5"/>
  <c r="O1330" i="5"/>
  <c r="G1330" i="5"/>
  <c r="N1330" i="5"/>
  <c r="F1330" i="5"/>
  <c r="M1330" i="5"/>
  <c r="E1330" i="5"/>
  <c r="L1330" i="5"/>
  <c r="C1330" i="5"/>
  <c r="K1338" i="5"/>
  <c r="C1345" i="5"/>
  <c r="A1351" i="5"/>
  <c r="A1351" i="1" s="1"/>
  <c r="Q1362" i="5"/>
  <c r="I1362" i="5"/>
  <c r="P1362" i="5"/>
  <c r="H1362" i="5"/>
  <c r="O1362" i="5"/>
  <c r="G1362" i="5"/>
  <c r="N1362" i="5"/>
  <c r="F1362" i="5"/>
  <c r="M1362" i="5"/>
  <c r="E1362" i="5"/>
  <c r="L1362" i="5"/>
  <c r="C1362" i="5"/>
  <c r="K1370" i="5"/>
  <c r="A1375" i="5"/>
  <c r="A1375" i="1" s="1"/>
  <c r="K1386" i="5"/>
  <c r="A1391" i="5"/>
  <c r="A1391" i="1" s="1"/>
  <c r="K1402" i="5"/>
  <c r="A1407" i="5"/>
  <c r="A1407" i="1" s="1"/>
  <c r="L1420" i="5"/>
  <c r="K1428" i="5"/>
  <c r="Q1446" i="5"/>
  <c r="I1446" i="5"/>
  <c r="P1446" i="5"/>
  <c r="H1446" i="5"/>
  <c r="O1446" i="5"/>
  <c r="G1446" i="5"/>
  <c r="N1446" i="5"/>
  <c r="F1446" i="5"/>
  <c r="R1446" i="5"/>
  <c r="M1446" i="5"/>
  <c r="L1446" i="5"/>
  <c r="K1446" i="5"/>
  <c r="J1446" i="5"/>
  <c r="E1446" i="5"/>
  <c r="I1472" i="5"/>
  <c r="C1526" i="5"/>
  <c r="Q1559" i="5"/>
  <c r="I1559" i="5"/>
  <c r="P1559" i="5"/>
  <c r="H1559" i="5"/>
  <c r="O1559" i="5"/>
  <c r="G1559" i="5"/>
  <c r="N1559" i="5"/>
  <c r="F1559" i="5"/>
  <c r="M1559" i="5"/>
  <c r="E1559" i="5"/>
  <c r="L1559" i="5"/>
  <c r="C1559" i="5"/>
  <c r="R1559" i="5"/>
  <c r="K1559" i="5"/>
  <c r="O1599" i="5"/>
  <c r="G1599" i="5"/>
  <c r="R1599" i="5"/>
  <c r="J1599" i="5"/>
  <c r="L1599" i="5"/>
  <c r="K1599" i="5"/>
  <c r="I1599" i="5"/>
  <c r="H1599" i="5"/>
  <c r="Q1599" i="5"/>
  <c r="F1599" i="5"/>
  <c r="P1599" i="5"/>
  <c r="E1599" i="5"/>
  <c r="N1599" i="5"/>
  <c r="M1599" i="5"/>
  <c r="F1069" i="5"/>
  <c r="N1069" i="5"/>
  <c r="K1072" i="5"/>
  <c r="F1077" i="5"/>
  <c r="N1077" i="5"/>
  <c r="K1080" i="5"/>
  <c r="J1081" i="5"/>
  <c r="A1081" i="5" s="1"/>
  <c r="A1081" i="1" s="1"/>
  <c r="R1081" i="5"/>
  <c r="F1085" i="5"/>
  <c r="N1085" i="5"/>
  <c r="E1086" i="5"/>
  <c r="M1086" i="5"/>
  <c r="K1088" i="5"/>
  <c r="J1089" i="5"/>
  <c r="R1089" i="5"/>
  <c r="I1090" i="5"/>
  <c r="Q1090" i="5"/>
  <c r="F1093" i="5"/>
  <c r="N1093" i="5"/>
  <c r="E1094" i="5"/>
  <c r="M1094" i="5"/>
  <c r="K1096" i="5"/>
  <c r="J1097" i="5"/>
  <c r="R1097" i="5"/>
  <c r="I1098" i="5"/>
  <c r="Q1098" i="5"/>
  <c r="F1101" i="5"/>
  <c r="N1101" i="5"/>
  <c r="E1102" i="5"/>
  <c r="M1102" i="5"/>
  <c r="K1104" i="5"/>
  <c r="J1105" i="5"/>
  <c r="R1105" i="5"/>
  <c r="I1106" i="5"/>
  <c r="Q1106" i="5"/>
  <c r="F1109" i="5"/>
  <c r="N1109" i="5"/>
  <c r="E1110" i="5"/>
  <c r="M1110" i="5"/>
  <c r="K1112" i="5"/>
  <c r="J1113" i="5"/>
  <c r="R1113" i="5"/>
  <c r="I1114" i="5"/>
  <c r="Q1114" i="5"/>
  <c r="F1117" i="5"/>
  <c r="N1117" i="5"/>
  <c r="E1118" i="5"/>
  <c r="M1118" i="5"/>
  <c r="K1120" i="5"/>
  <c r="J1121" i="5"/>
  <c r="R1121" i="5"/>
  <c r="I1122" i="5"/>
  <c r="Q1122" i="5"/>
  <c r="F1125" i="5"/>
  <c r="N1125" i="5"/>
  <c r="E1126" i="5"/>
  <c r="M1126" i="5"/>
  <c r="K1128" i="5"/>
  <c r="J1129" i="5"/>
  <c r="R1129" i="5"/>
  <c r="I1130" i="5"/>
  <c r="Q1130" i="5"/>
  <c r="F1133" i="5"/>
  <c r="N1133" i="5"/>
  <c r="E1134" i="5"/>
  <c r="M1134" i="5"/>
  <c r="K1136" i="5"/>
  <c r="J1137" i="5"/>
  <c r="R1137" i="5"/>
  <c r="I1138" i="5"/>
  <c r="Q1138" i="5"/>
  <c r="F1141" i="5"/>
  <c r="N1141" i="5"/>
  <c r="E1142" i="5"/>
  <c r="M1142" i="5"/>
  <c r="K1144" i="5"/>
  <c r="J1145" i="5"/>
  <c r="R1145" i="5"/>
  <c r="I1146" i="5"/>
  <c r="Q1146" i="5"/>
  <c r="F1149" i="5"/>
  <c r="N1149" i="5"/>
  <c r="E1150" i="5"/>
  <c r="M1150" i="5"/>
  <c r="K1152" i="5"/>
  <c r="J1153" i="5"/>
  <c r="R1153" i="5"/>
  <c r="I1154" i="5"/>
  <c r="Q1154" i="5"/>
  <c r="F1157" i="5"/>
  <c r="N1157" i="5"/>
  <c r="E1158" i="5"/>
  <c r="M1158" i="5"/>
  <c r="K1160" i="5"/>
  <c r="J1161" i="5"/>
  <c r="A1161" i="5" s="1"/>
  <c r="A1161" i="1" s="1"/>
  <c r="R1161" i="5"/>
  <c r="I1162" i="5"/>
  <c r="Q1162" i="5"/>
  <c r="F1165" i="5"/>
  <c r="N1165" i="5"/>
  <c r="E1166" i="5"/>
  <c r="M1166" i="5"/>
  <c r="K1168" i="5"/>
  <c r="J1169" i="5"/>
  <c r="R1169" i="5"/>
  <c r="I1170" i="5"/>
  <c r="Q1170" i="5"/>
  <c r="F1173" i="5"/>
  <c r="N1173" i="5"/>
  <c r="E1174" i="5"/>
  <c r="M1174" i="5"/>
  <c r="K1176" i="5"/>
  <c r="J1177" i="5"/>
  <c r="R1177" i="5"/>
  <c r="I1178" i="5"/>
  <c r="Q1178" i="5"/>
  <c r="F1181" i="5"/>
  <c r="N1181" i="5"/>
  <c r="E1182" i="5"/>
  <c r="M1182" i="5"/>
  <c r="K1184" i="5"/>
  <c r="J1185" i="5"/>
  <c r="R1185" i="5"/>
  <c r="I1186" i="5"/>
  <c r="Q1186" i="5"/>
  <c r="F1189" i="5"/>
  <c r="N1189" i="5"/>
  <c r="E1190" i="5"/>
  <c r="M1190" i="5"/>
  <c r="K1192" i="5"/>
  <c r="J1193" i="5"/>
  <c r="R1193" i="5"/>
  <c r="I1194" i="5"/>
  <c r="Q1194" i="5"/>
  <c r="F1197" i="5"/>
  <c r="N1197" i="5"/>
  <c r="E1198" i="5"/>
  <c r="M1198" i="5"/>
  <c r="K1200" i="5"/>
  <c r="J1201" i="5"/>
  <c r="R1201" i="5"/>
  <c r="I1202" i="5"/>
  <c r="Q1202" i="5"/>
  <c r="F1205" i="5"/>
  <c r="N1205" i="5"/>
  <c r="E1206" i="5"/>
  <c r="M1206" i="5"/>
  <c r="K1208" i="5"/>
  <c r="J1209" i="5"/>
  <c r="R1209" i="5"/>
  <c r="I1210" i="5"/>
  <c r="Q1210" i="5"/>
  <c r="F1213" i="5"/>
  <c r="N1213" i="5"/>
  <c r="E1214" i="5"/>
  <c r="M1214" i="5"/>
  <c r="K1216" i="5"/>
  <c r="J1217" i="5"/>
  <c r="R1217" i="5"/>
  <c r="I1218" i="5"/>
  <c r="Q1218" i="5"/>
  <c r="F1221" i="5"/>
  <c r="N1221" i="5"/>
  <c r="E1222" i="5"/>
  <c r="M1222" i="5"/>
  <c r="K1224" i="5"/>
  <c r="J1225" i="5"/>
  <c r="R1225" i="5"/>
  <c r="I1226" i="5"/>
  <c r="Q1226" i="5"/>
  <c r="F1229" i="5"/>
  <c r="N1229" i="5"/>
  <c r="E1230" i="5"/>
  <c r="M1230" i="5"/>
  <c r="K1232" i="5"/>
  <c r="J1233" i="5"/>
  <c r="R1233" i="5"/>
  <c r="I1234" i="5"/>
  <c r="Q1234" i="5"/>
  <c r="F1237" i="5"/>
  <c r="N1237" i="5"/>
  <c r="E1238" i="5"/>
  <c r="M1238" i="5"/>
  <c r="K1240" i="5"/>
  <c r="J1241" i="5"/>
  <c r="R1241" i="5"/>
  <c r="I1242" i="5"/>
  <c r="Q1242" i="5"/>
  <c r="F1245" i="5"/>
  <c r="N1245" i="5"/>
  <c r="E1246" i="5"/>
  <c r="M1246" i="5"/>
  <c r="K1248" i="5"/>
  <c r="J1249" i="5"/>
  <c r="R1249" i="5"/>
  <c r="I1250" i="5"/>
  <c r="Q1250" i="5"/>
  <c r="F1253" i="5"/>
  <c r="N1253" i="5"/>
  <c r="E1254" i="5"/>
  <c r="M1254" i="5"/>
  <c r="E1256" i="5"/>
  <c r="N1256" i="5"/>
  <c r="F1257" i="5"/>
  <c r="O1257" i="5"/>
  <c r="J1260" i="5"/>
  <c r="F1262" i="5"/>
  <c r="Q1262" i="5"/>
  <c r="L1264" i="5"/>
  <c r="P1266" i="5"/>
  <c r="H1266" i="5"/>
  <c r="N1266" i="5"/>
  <c r="F1266" i="5"/>
  <c r="L1266" i="5"/>
  <c r="C1266" i="5"/>
  <c r="A1266" i="5" s="1"/>
  <c r="A1266" i="1" s="1"/>
  <c r="Q1266" i="5"/>
  <c r="N1268" i="5"/>
  <c r="F1268" i="5"/>
  <c r="L1268" i="5"/>
  <c r="C1268" i="5"/>
  <c r="R1268" i="5"/>
  <c r="J1268" i="5"/>
  <c r="P1268" i="5"/>
  <c r="F1270" i="5"/>
  <c r="R1272" i="5"/>
  <c r="J1272" i="5"/>
  <c r="P1272" i="5"/>
  <c r="H1272" i="5"/>
  <c r="N1272" i="5"/>
  <c r="F1272" i="5"/>
  <c r="O1272" i="5"/>
  <c r="G1274" i="5"/>
  <c r="G1276" i="5"/>
  <c r="E1280" i="5"/>
  <c r="J1290" i="5"/>
  <c r="R1305" i="5"/>
  <c r="J1305" i="5"/>
  <c r="Q1305" i="5"/>
  <c r="I1305" i="5"/>
  <c r="P1305" i="5"/>
  <c r="H1305" i="5"/>
  <c r="O1305" i="5"/>
  <c r="G1305" i="5"/>
  <c r="N1305" i="5"/>
  <c r="F1305" i="5"/>
  <c r="M1305" i="5"/>
  <c r="E1305" i="5"/>
  <c r="A1305" i="5" s="1"/>
  <c r="A1305" i="1" s="1"/>
  <c r="R1306" i="5"/>
  <c r="K1313" i="5"/>
  <c r="R1337" i="5"/>
  <c r="J1337" i="5"/>
  <c r="Q1337" i="5"/>
  <c r="I1337" i="5"/>
  <c r="P1337" i="5"/>
  <c r="H1337" i="5"/>
  <c r="O1337" i="5"/>
  <c r="G1337" i="5"/>
  <c r="N1337" i="5"/>
  <c r="F1337" i="5"/>
  <c r="M1337" i="5"/>
  <c r="E1337" i="5"/>
  <c r="A1337" i="5" s="1"/>
  <c r="A1337" i="1" s="1"/>
  <c r="R1338" i="5"/>
  <c r="K1345" i="5"/>
  <c r="R1369" i="5"/>
  <c r="J1369" i="5"/>
  <c r="Q1369" i="5"/>
  <c r="I1369" i="5"/>
  <c r="P1369" i="5"/>
  <c r="H1369" i="5"/>
  <c r="O1369" i="5"/>
  <c r="G1369" i="5"/>
  <c r="N1369" i="5"/>
  <c r="F1369" i="5"/>
  <c r="M1369" i="5"/>
  <c r="E1369" i="5"/>
  <c r="R1370" i="5"/>
  <c r="R1385" i="5"/>
  <c r="J1385" i="5"/>
  <c r="Q1385" i="5"/>
  <c r="I1385" i="5"/>
  <c r="P1385" i="5"/>
  <c r="H1385" i="5"/>
  <c r="O1385" i="5"/>
  <c r="G1385" i="5"/>
  <c r="N1385" i="5"/>
  <c r="F1385" i="5"/>
  <c r="A1385" i="5" s="1"/>
  <c r="A1385" i="1" s="1"/>
  <c r="M1385" i="5"/>
  <c r="E1385" i="5"/>
  <c r="R1386" i="5"/>
  <c r="R1401" i="5"/>
  <c r="J1401" i="5"/>
  <c r="Q1401" i="5"/>
  <c r="I1401" i="5"/>
  <c r="P1401" i="5"/>
  <c r="H1401" i="5"/>
  <c r="O1401" i="5"/>
  <c r="G1401" i="5"/>
  <c r="N1401" i="5"/>
  <c r="F1401" i="5"/>
  <c r="M1401" i="5"/>
  <c r="A1401" i="5" s="1"/>
  <c r="A1401" i="1" s="1"/>
  <c r="E1401" i="5"/>
  <c r="R1402" i="5"/>
  <c r="Q1421" i="5"/>
  <c r="I1421" i="5"/>
  <c r="K1421" i="5"/>
  <c r="J1421" i="5"/>
  <c r="R1421" i="5"/>
  <c r="H1421" i="5"/>
  <c r="P1421" i="5"/>
  <c r="G1421" i="5"/>
  <c r="O1421" i="5"/>
  <c r="F1421" i="5"/>
  <c r="N1421" i="5"/>
  <c r="E1421" i="5"/>
  <c r="A1421" i="5" s="1"/>
  <c r="A1421" i="1" s="1"/>
  <c r="L1428" i="5"/>
  <c r="A1435" i="5"/>
  <c r="A1435" i="1" s="1"/>
  <c r="C1446" i="5"/>
  <c r="R1494" i="5"/>
  <c r="J1494" i="5"/>
  <c r="Q1494" i="5"/>
  <c r="I1494" i="5"/>
  <c r="P1494" i="5"/>
  <c r="H1494" i="5"/>
  <c r="O1494" i="5"/>
  <c r="G1494" i="5"/>
  <c r="A1494" i="5" s="1"/>
  <c r="N1494" i="5"/>
  <c r="F1494" i="5"/>
  <c r="M1494" i="5"/>
  <c r="E1494" i="5"/>
  <c r="L1494" i="5"/>
  <c r="K1494" i="5"/>
  <c r="R1596" i="5"/>
  <c r="J1596" i="5"/>
  <c r="M1596" i="5"/>
  <c r="E1596" i="5"/>
  <c r="K1596" i="5"/>
  <c r="I1596" i="5"/>
  <c r="H1596" i="5"/>
  <c r="Q1596" i="5"/>
  <c r="G1596" i="5"/>
  <c r="P1596" i="5"/>
  <c r="F1596" i="5"/>
  <c r="O1596" i="5"/>
  <c r="C1596" i="5"/>
  <c r="N1596" i="5"/>
  <c r="C1599" i="5"/>
  <c r="K1081" i="5"/>
  <c r="F1086" i="5"/>
  <c r="N1086" i="5"/>
  <c r="K1089" i="5"/>
  <c r="J1090" i="5"/>
  <c r="R1090" i="5"/>
  <c r="F1094" i="5"/>
  <c r="N1094" i="5"/>
  <c r="K1097" i="5"/>
  <c r="J1098" i="5"/>
  <c r="R1098" i="5"/>
  <c r="F1102" i="5"/>
  <c r="N1102" i="5"/>
  <c r="K1105" i="5"/>
  <c r="J1106" i="5"/>
  <c r="R1106" i="5"/>
  <c r="F1110" i="5"/>
  <c r="N1110" i="5"/>
  <c r="K1113" i="5"/>
  <c r="J1114" i="5"/>
  <c r="R1114" i="5"/>
  <c r="F1118" i="5"/>
  <c r="N1118" i="5"/>
  <c r="K1121" i="5"/>
  <c r="J1122" i="5"/>
  <c r="R1122" i="5"/>
  <c r="F1126" i="5"/>
  <c r="N1126" i="5"/>
  <c r="K1129" i="5"/>
  <c r="J1130" i="5"/>
  <c r="R1130" i="5"/>
  <c r="F1134" i="5"/>
  <c r="N1134" i="5"/>
  <c r="K1137" i="5"/>
  <c r="A1137" i="5" s="1"/>
  <c r="A1137" i="1" s="1"/>
  <c r="J1138" i="5"/>
  <c r="R1138" i="5"/>
  <c r="F1142" i="5"/>
  <c r="N1142" i="5"/>
  <c r="K1145" i="5"/>
  <c r="J1146" i="5"/>
  <c r="R1146" i="5"/>
  <c r="F1150" i="5"/>
  <c r="N1150" i="5"/>
  <c r="K1153" i="5"/>
  <c r="J1154" i="5"/>
  <c r="R1154" i="5"/>
  <c r="F1158" i="5"/>
  <c r="N1158" i="5"/>
  <c r="K1161" i="5"/>
  <c r="J1162" i="5"/>
  <c r="R1162" i="5"/>
  <c r="F1166" i="5"/>
  <c r="N1166" i="5"/>
  <c r="K1169" i="5"/>
  <c r="J1170" i="5"/>
  <c r="R1170" i="5"/>
  <c r="F1174" i="5"/>
  <c r="N1174" i="5"/>
  <c r="K1177" i="5"/>
  <c r="J1178" i="5"/>
  <c r="R1178" i="5"/>
  <c r="F1182" i="5"/>
  <c r="N1182" i="5"/>
  <c r="K1185" i="5"/>
  <c r="J1186" i="5"/>
  <c r="R1186" i="5"/>
  <c r="F1190" i="5"/>
  <c r="N1190" i="5"/>
  <c r="K1193" i="5"/>
  <c r="J1194" i="5"/>
  <c r="R1194" i="5"/>
  <c r="F1198" i="5"/>
  <c r="N1198" i="5"/>
  <c r="K1201" i="5"/>
  <c r="J1202" i="5"/>
  <c r="R1202" i="5"/>
  <c r="F1206" i="5"/>
  <c r="N1206" i="5"/>
  <c r="K1209" i="5"/>
  <c r="J1210" i="5"/>
  <c r="R1210" i="5"/>
  <c r="F1214" i="5"/>
  <c r="N1214" i="5"/>
  <c r="K1217" i="5"/>
  <c r="J1218" i="5"/>
  <c r="R1218" i="5"/>
  <c r="F1222" i="5"/>
  <c r="N1222" i="5"/>
  <c r="K1225" i="5"/>
  <c r="J1226" i="5"/>
  <c r="R1226" i="5"/>
  <c r="F1230" i="5"/>
  <c r="N1230" i="5"/>
  <c r="K1233" i="5"/>
  <c r="J1234" i="5"/>
  <c r="R1234" i="5"/>
  <c r="F1238" i="5"/>
  <c r="N1238" i="5"/>
  <c r="K1241" i="5"/>
  <c r="J1242" i="5"/>
  <c r="R1242" i="5"/>
  <c r="F1246" i="5"/>
  <c r="N1246" i="5"/>
  <c r="K1249" i="5"/>
  <c r="J1250" i="5"/>
  <c r="R1250" i="5"/>
  <c r="F1254" i="5"/>
  <c r="N1254" i="5"/>
  <c r="F1256" i="5"/>
  <c r="O1256" i="5"/>
  <c r="M1261" i="5"/>
  <c r="E1261" i="5"/>
  <c r="A1261" i="5" s="1"/>
  <c r="A1261" i="1" s="1"/>
  <c r="Q1261" i="5"/>
  <c r="I1261" i="5"/>
  <c r="N1261" i="5"/>
  <c r="G1262" i="5"/>
  <c r="R1262" i="5"/>
  <c r="G1270" i="5"/>
  <c r="I1274" i="5"/>
  <c r="H1276" i="5"/>
  <c r="G1280" i="5"/>
  <c r="Q1281" i="5"/>
  <c r="I1281" i="5"/>
  <c r="O1281" i="5"/>
  <c r="G1281" i="5"/>
  <c r="M1281" i="5"/>
  <c r="E1281" i="5"/>
  <c r="P1281" i="5"/>
  <c r="A1288" i="5"/>
  <c r="A1288" i="1" s="1"/>
  <c r="K1290" i="5"/>
  <c r="L1313" i="5"/>
  <c r="Q1322" i="5"/>
  <c r="I1322" i="5"/>
  <c r="P1322" i="5"/>
  <c r="H1322" i="5"/>
  <c r="O1322" i="5"/>
  <c r="G1322" i="5"/>
  <c r="N1322" i="5"/>
  <c r="F1322" i="5"/>
  <c r="M1322" i="5"/>
  <c r="E1322" i="5"/>
  <c r="L1322" i="5"/>
  <c r="C1322" i="5"/>
  <c r="L1345" i="5"/>
  <c r="Q1354" i="5"/>
  <c r="I1354" i="5"/>
  <c r="P1354" i="5"/>
  <c r="H1354" i="5"/>
  <c r="O1354" i="5"/>
  <c r="G1354" i="5"/>
  <c r="N1354" i="5"/>
  <c r="F1354" i="5"/>
  <c r="M1354" i="5"/>
  <c r="E1354" i="5"/>
  <c r="L1354" i="5"/>
  <c r="C1354" i="5"/>
  <c r="A1369" i="5"/>
  <c r="A1369" i="1" s="1"/>
  <c r="Q1378" i="5"/>
  <c r="I1378" i="5"/>
  <c r="P1378" i="5"/>
  <c r="H1378" i="5"/>
  <c r="O1378" i="5"/>
  <c r="G1378" i="5"/>
  <c r="N1378" i="5"/>
  <c r="F1378" i="5"/>
  <c r="M1378" i="5"/>
  <c r="E1378" i="5"/>
  <c r="L1378" i="5"/>
  <c r="C1378" i="5"/>
  <c r="Q1394" i="5"/>
  <c r="I1394" i="5"/>
  <c r="P1394" i="5"/>
  <c r="H1394" i="5"/>
  <c r="O1394" i="5"/>
  <c r="G1394" i="5"/>
  <c r="N1394" i="5"/>
  <c r="F1394" i="5"/>
  <c r="M1394" i="5"/>
  <c r="E1394" i="5"/>
  <c r="L1394" i="5"/>
  <c r="C1394" i="5"/>
  <c r="Q1410" i="5"/>
  <c r="I1410" i="5"/>
  <c r="P1410" i="5"/>
  <c r="H1410" i="5"/>
  <c r="O1410" i="5"/>
  <c r="G1410" i="5"/>
  <c r="N1410" i="5"/>
  <c r="F1410" i="5"/>
  <c r="M1410" i="5"/>
  <c r="E1410" i="5"/>
  <c r="L1410" i="5"/>
  <c r="C1410" i="5"/>
  <c r="Q1429" i="5"/>
  <c r="I1429" i="5"/>
  <c r="K1429" i="5"/>
  <c r="A1429" i="5" s="1"/>
  <c r="A1429" i="1" s="1"/>
  <c r="J1429" i="5"/>
  <c r="R1429" i="5"/>
  <c r="H1429" i="5"/>
  <c r="P1429" i="5"/>
  <c r="G1429" i="5"/>
  <c r="O1429" i="5"/>
  <c r="F1429" i="5"/>
  <c r="N1429" i="5"/>
  <c r="E1429" i="5"/>
  <c r="Q1543" i="5"/>
  <c r="I1543" i="5"/>
  <c r="P1543" i="5"/>
  <c r="H1543" i="5"/>
  <c r="O1543" i="5"/>
  <c r="G1543" i="5"/>
  <c r="N1543" i="5"/>
  <c r="F1543" i="5"/>
  <c r="M1543" i="5"/>
  <c r="E1543" i="5"/>
  <c r="L1543" i="5"/>
  <c r="C1543" i="5"/>
  <c r="R1543" i="5"/>
  <c r="K1543" i="5"/>
  <c r="L1596" i="5"/>
  <c r="K1090" i="5"/>
  <c r="G1094" i="5"/>
  <c r="O1094" i="5"/>
  <c r="K1098" i="5"/>
  <c r="G1102" i="5"/>
  <c r="O1102" i="5"/>
  <c r="K1106" i="5"/>
  <c r="G1110" i="5"/>
  <c r="O1110" i="5"/>
  <c r="K1114" i="5"/>
  <c r="G1118" i="5"/>
  <c r="O1118" i="5"/>
  <c r="K1122" i="5"/>
  <c r="G1126" i="5"/>
  <c r="O1126" i="5"/>
  <c r="K1130" i="5"/>
  <c r="G1134" i="5"/>
  <c r="O1134" i="5"/>
  <c r="K1138" i="5"/>
  <c r="G1142" i="5"/>
  <c r="O1142" i="5"/>
  <c r="K1146" i="5"/>
  <c r="G1150" i="5"/>
  <c r="O1150" i="5"/>
  <c r="K1154" i="5"/>
  <c r="G1158" i="5"/>
  <c r="O1158" i="5"/>
  <c r="K1162" i="5"/>
  <c r="G1166" i="5"/>
  <c r="O1166" i="5"/>
  <c r="K1170" i="5"/>
  <c r="G1174" i="5"/>
  <c r="O1174" i="5"/>
  <c r="K1178" i="5"/>
  <c r="G1182" i="5"/>
  <c r="O1182" i="5"/>
  <c r="K1186" i="5"/>
  <c r="G1190" i="5"/>
  <c r="O1190" i="5"/>
  <c r="K1194" i="5"/>
  <c r="G1198" i="5"/>
  <c r="O1198" i="5"/>
  <c r="K1202" i="5"/>
  <c r="G1206" i="5"/>
  <c r="O1206" i="5"/>
  <c r="K1210" i="5"/>
  <c r="G1214" i="5"/>
  <c r="O1214" i="5"/>
  <c r="K1218" i="5"/>
  <c r="G1222" i="5"/>
  <c r="O1222" i="5"/>
  <c r="K1226" i="5"/>
  <c r="G1230" i="5"/>
  <c r="O1230" i="5"/>
  <c r="K1234" i="5"/>
  <c r="G1238" i="5"/>
  <c r="O1238" i="5"/>
  <c r="K1242" i="5"/>
  <c r="G1246" i="5"/>
  <c r="O1246" i="5"/>
  <c r="K1250" i="5"/>
  <c r="G1254" i="5"/>
  <c r="O1254" i="5"/>
  <c r="G1256" i="5"/>
  <c r="P1256" i="5"/>
  <c r="N1260" i="5"/>
  <c r="F1260" i="5"/>
  <c r="L1260" i="5"/>
  <c r="I1262" i="5"/>
  <c r="R1264" i="5"/>
  <c r="J1264" i="5"/>
  <c r="P1264" i="5"/>
  <c r="H1264" i="5"/>
  <c r="N1264" i="5"/>
  <c r="F1264" i="5"/>
  <c r="O1264" i="5"/>
  <c r="I1270" i="5"/>
  <c r="J1274" i="5"/>
  <c r="I1276" i="5"/>
  <c r="I1280" i="5"/>
  <c r="C1281" i="5"/>
  <c r="R1281" i="5"/>
  <c r="A1287" i="5"/>
  <c r="A1287" i="1" s="1"/>
  <c r="M1290" i="5"/>
  <c r="O1292" i="5"/>
  <c r="G1292" i="5"/>
  <c r="N1292" i="5"/>
  <c r="F1292" i="5"/>
  <c r="M1292" i="5"/>
  <c r="E1292" i="5"/>
  <c r="L1292" i="5"/>
  <c r="C1292" i="5"/>
  <c r="R1292" i="5"/>
  <c r="J1292" i="5"/>
  <c r="R1297" i="5"/>
  <c r="J1297" i="5"/>
  <c r="Q1297" i="5"/>
  <c r="I1297" i="5"/>
  <c r="P1297" i="5"/>
  <c r="H1297" i="5"/>
  <c r="O1297" i="5"/>
  <c r="G1297" i="5"/>
  <c r="N1297" i="5"/>
  <c r="F1297" i="5"/>
  <c r="M1297" i="5"/>
  <c r="E1297" i="5"/>
  <c r="A1304" i="5"/>
  <c r="A1304" i="1" s="1"/>
  <c r="J1322" i="5"/>
  <c r="R1329" i="5"/>
  <c r="J1329" i="5"/>
  <c r="Q1329" i="5"/>
  <c r="I1329" i="5"/>
  <c r="P1329" i="5"/>
  <c r="H1329" i="5"/>
  <c r="O1329" i="5"/>
  <c r="G1329" i="5"/>
  <c r="N1329" i="5"/>
  <c r="F1329" i="5"/>
  <c r="M1329" i="5"/>
  <c r="E1329" i="5"/>
  <c r="J1354" i="5"/>
  <c r="R1361" i="5"/>
  <c r="J1361" i="5"/>
  <c r="Q1361" i="5"/>
  <c r="I1361" i="5"/>
  <c r="P1361" i="5"/>
  <c r="H1361" i="5"/>
  <c r="O1361" i="5"/>
  <c r="G1361" i="5"/>
  <c r="N1361" i="5"/>
  <c r="F1361" i="5"/>
  <c r="M1361" i="5"/>
  <c r="E1361" i="5"/>
  <c r="J1378" i="5"/>
  <c r="J1394" i="5"/>
  <c r="Q1438" i="5"/>
  <c r="I1438" i="5"/>
  <c r="P1438" i="5"/>
  <c r="H1438" i="5"/>
  <c r="K1438" i="5"/>
  <c r="J1438" i="5"/>
  <c r="G1438" i="5"/>
  <c r="R1438" i="5"/>
  <c r="F1438" i="5"/>
  <c r="O1438" i="5"/>
  <c r="E1438" i="5"/>
  <c r="N1438" i="5"/>
  <c r="C1438" i="5"/>
  <c r="P1447" i="5"/>
  <c r="H1447" i="5"/>
  <c r="O1447" i="5"/>
  <c r="G1447" i="5"/>
  <c r="N1447" i="5"/>
  <c r="F1447" i="5"/>
  <c r="M1447" i="5"/>
  <c r="E1447" i="5"/>
  <c r="Q1447" i="5"/>
  <c r="L1447" i="5"/>
  <c r="K1447" i="5"/>
  <c r="J1447" i="5"/>
  <c r="I1447" i="5"/>
  <c r="C1447" i="5"/>
  <c r="G1023" i="5"/>
  <c r="G1031" i="5"/>
  <c r="A1031" i="5" s="1"/>
  <c r="A1031" i="1" s="1"/>
  <c r="G1039" i="5"/>
  <c r="A1039" i="5" s="1"/>
  <c r="A1039" i="1" s="1"/>
  <c r="G1047" i="5"/>
  <c r="A1047" i="5" s="1"/>
  <c r="A1047" i="1" s="1"/>
  <c r="G1055" i="5"/>
  <c r="A1055" i="5" s="1"/>
  <c r="A1055" i="1" s="1"/>
  <c r="G1063" i="5"/>
  <c r="A1063" i="5" s="1"/>
  <c r="I1069" i="5"/>
  <c r="G1071" i="5"/>
  <c r="F1072" i="5"/>
  <c r="A1072" i="5" s="1"/>
  <c r="A1072" i="1" s="1"/>
  <c r="I1077" i="5"/>
  <c r="G1079" i="5"/>
  <c r="A1079" i="5" s="1"/>
  <c r="A1079" i="1" s="1"/>
  <c r="F1080" i="5"/>
  <c r="A1080" i="5" s="1"/>
  <c r="A1080" i="1" s="1"/>
  <c r="E1081" i="5"/>
  <c r="I1085" i="5"/>
  <c r="H1086" i="5"/>
  <c r="G1087" i="5"/>
  <c r="A1087" i="5" s="1"/>
  <c r="A1087" i="1" s="1"/>
  <c r="F1088" i="5"/>
  <c r="A1088" i="5" s="1"/>
  <c r="A1088" i="1" s="1"/>
  <c r="E1089" i="5"/>
  <c r="A1089" i="5" s="1"/>
  <c r="A1089" i="1" s="1"/>
  <c r="C1090" i="5"/>
  <c r="I1093" i="5"/>
  <c r="H1094" i="5"/>
  <c r="G1095" i="5"/>
  <c r="A1095" i="5" s="1"/>
  <c r="A1095" i="1" s="1"/>
  <c r="F1096" i="5"/>
  <c r="A1096" i="5" s="1"/>
  <c r="A1096" i="1" s="1"/>
  <c r="E1097" i="5"/>
  <c r="A1097" i="5" s="1"/>
  <c r="A1097" i="1" s="1"/>
  <c r="C1098" i="5"/>
  <c r="I1101" i="5"/>
  <c r="H1102" i="5"/>
  <c r="G1103" i="5"/>
  <c r="A1103" i="5" s="1"/>
  <c r="A1103" i="1" s="1"/>
  <c r="F1104" i="5"/>
  <c r="A1104" i="5" s="1"/>
  <c r="A1104" i="1" s="1"/>
  <c r="E1105" i="5"/>
  <c r="A1105" i="5" s="1"/>
  <c r="A1105" i="1" s="1"/>
  <c r="C1106" i="5"/>
  <c r="I1109" i="5"/>
  <c r="H1110" i="5"/>
  <c r="G1111" i="5"/>
  <c r="A1111" i="5" s="1"/>
  <c r="A1111" i="1" s="1"/>
  <c r="F1112" i="5"/>
  <c r="A1112" i="5" s="1"/>
  <c r="A1112" i="1" s="1"/>
  <c r="E1113" i="5"/>
  <c r="C1114" i="5"/>
  <c r="I1117" i="5"/>
  <c r="H1118" i="5"/>
  <c r="G1119" i="5"/>
  <c r="A1119" i="5" s="1"/>
  <c r="A1119" i="1" s="1"/>
  <c r="F1120" i="5"/>
  <c r="A1120" i="5" s="1"/>
  <c r="A1120" i="1" s="1"/>
  <c r="E1121" i="5"/>
  <c r="A1121" i="5" s="1"/>
  <c r="A1121" i="1" s="1"/>
  <c r="C1122" i="5"/>
  <c r="I1125" i="5"/>
  <c r="H1126" i="5"/>
  <c r="G1127" i="5"/>
  <c r="A1127" i="5" s="1"/>
  <c r="A1127" i="1" s="1"/>
  <c r="F1128" i="5"/>
  <c r="A1128" i="5" s="1"/>
  <c r="A1128" i="1" s="1"/>
  <c r="E1129" i="5"/>
  <c r="C1130" i="5"/>
  <c r="I1133" i="5"/>
  <c r="H1134" i="5"/>
  <c r="G1135" i="5"/>
  <c r="A1135" i="5" s="1"/>
  <c r="A1135" i="1" s="1"/>
  <c r="F1136" i="5"/>
  <c r="A1136" i="5" s="1"/>
  <c r="A1136" i="1" s="1"/>
  <c r="E1137" i="5"/>
  <c r="C1138" i="5"/>
  <c r="I1141" i="5"/>
  <c r="H1142" i="5"/>
  <c r="G1143" i="5"/>
  <c r="A1143" i="5" s="1"/>
  <c r="A1143" i="1" s="1"/>
  <c r="F1144" i="5"/>
  <c r="A1144" i="5" s="1"/>
  <c r="A1144" i="1" s="1"/>
  <c r="E1145" i="5"/>
  <c r="A1145" i="5" s="1"/>
  <c r="A1145" i="1" s="1"/>
  <c r="C1146" i="5"/>
  <c r="I1149" i="5"/>
  <c r="H1150" i="5"/>
  <c r="F1152" i="5"/>
  <c r="A1152" i="5" s="1"/>
  <c r="A1152" i="1" s="1"/>
  <c r="E1153" i="5"/>
  <c r="A1153" i="5" s="1"/>
  <c r="A1153" i="1" s="1"/>
  <c r="C1154" i="5"/>
  <c r="A1154" i="5" s="1"/>
  <c r="A1154" i="1" s="1"/>
  <c r="I1157" i="5"/>
  <c r="H1158" i="5"/>
  <c r="F1160" i="5"/>
  <c r="A1160" i="5" s="1"/>
  <c r="A1160" i="1" s="1"/>
  <c r="E1161" i="5"/>
  <c r="C1162" i="5"/>
  <c r="I1165" i="5"/>
  <c r="H1166" i="5"/>
  <c r="F1168" i="5"/>
  <c r="A1168" i="5" s="1"/>
  <c r="A1168" i="1" s="1"/>
  <c r="E1169" i="5"/>
  <c r="A1169" i="5" s="1"/>
  <c r="A1169" i="1" s="1"/>
  <c r="C1170" i="5"/>
  <c r="I1173" i="5"/>
  <c r="H1174" i="5"/>
  <c r="F1176" i="5"/>
  <c r="A1176" i="5" s="1"/>
  <c r="A1176" i="1" s="1"/>
  <c r="E1177" i="5"/>
  <c r="A1177" i="5" s="1"/>
  <c r="A1177" i="1" s="1"/>
  <c r="C1178" i="5"/>
  <c r="I1181" i="5"/>
  <c r="H1182" i="5"/>
  <c r="F1184" i="5"/>
  <c r="A1184" i="5" s="1"/>
  <c r="A1184" i="1" s="1"/>
  <c r="E1185" i="5"/>
  <c r="A1185" i="5" s="1"/>
  <c r="A1185" i="1" s="1"/>
  <c r="C1186" i="5"/>
  <c r="I1189" i="5"/>
  <c r="H1190" i="5"/>
  <c r="F1192" i="5"/>
  <c r="A1192" i="5" s="1"/>
  <c r="A1192" i="1" s="1"/>
  <c r="E1193" i="5"/>
  <c r="A1193" i="5" s="1"/>
  <c r="A1193" i="1" s="1"/>
  <c r="C1194" i="5"/>
  <c r="A1194" i="5" s="1"/>
  <c r="A1194" i="1" s="1"/>
  <c r="I1197" i="5"/>
  <c r="H1198" i="5"/>
  <c r="F1200" i="5"/>
  <c r="A1200" i="5" s="1"/>
  <c r="A1200" i="1" s="1"/>
  <c r="E1201" i="5"/>
  <c r="C1202" i="5"/>
  <c r="I1205" i="5"/>
  <c r="H1206" i="5"/>
  <c r="F1208" i="5"/>
  <c r="A1208" i="5" s="1"/>
  <c r="A1208" i="1" s="1"/>
  <c r="E1209" i="5"/>
  <c r="C1210" i="5"/>
  <c r="I1213" i="5"/>
  <c r="H1214" i="5"/>
  <c r="F1216" i="5"/>
  <c r="A1216" i="5" s="1"/>
  <c r="A1216" i="1" s="1"/>
  <c r="E1217" i="5"/>
  <c r="A1217" i="5" s="1"/>
  <c r="A1217" i="1" s="1"/>
  <c r="C1218" i="5"/>
  <c r="A1218" i="5" s="1"/>
  <c r="A1218" i="1" s="1"/>
  <c r="I1221" i="5"/>
  <c r="H1222" i="5"/>
  <c r="F1224" i="5"/>
  <c r="A1224" i="5" s="1"/>
  <c r="A1224" i="1" s="1"/>
  <c r="E1225" i="5"/>
  <c r="A1225" i="5" s="1"/>
  <c r="A1225" i="1" s="1"/>
  <c r="C1226" i="5"/>
  <c r="I1229" i="5"/>
  <c r="H1230" i="5"/>
  <c r="F1232" i="5"/>
  <c r="A1232" i="5" s="1"/>
  <c r="A1232" i="1" s="1"/>
  <c r="E1233" i="5"/>
  <c r="C1234" i="5"/>
  <c r="I1237" i="5"/>
  <c r="H1238" i="5"/>
  <c r="F1240" i="5"/>
  <c r="A1240" i="5" s="1"/>
  <c r="A1240" i="1" s="1"/>
  <c r="E1241" i="5"/>
  <c r="A1241" i="5" s="1"/>
  <c r="A1241" i="1" s="1"/>
  <c r="C1242" i="5"/>
  <c r="I1245" i="5"/>
  <c r="H1246" i="5"/>
  <c r="F1248" i="5"/>
  <c r="A1248" i="5" s="1"/>
  <c r="A1248" i="1" s="1"/>
  <c r="E1249" i="5"/>
  <c r="A1249" i="5" s="1"/>
  <c r="A1249" i="1" s="1"/>
  <c r="C1250" i="5"/>
  <c r="I1253" i="5"/>
  <c r="H1254" i="5"/>
  <c r="H1256" i="5"/>
  <c r="Q1256" i="5"/>
  <c r="J1257" i="5"/>
  <c r="O1259" i="5"/>
  <c r="G1259" i="5"/>
  <c r="A1259" i="5" s="1"/>
  <c r="A1259" i="1" s="1"/>
  <c r="L1259" i="5"/>
  <c r="C1260" i="5"/>
  <c r="M1260" i="5"/>
  <c r="F1261" i="5"/>
  <c r="P1261" i="5"/>
  <c r="J1262" i="5"/>
  <c r="C1264" i="5"/>
  <c r="Q1264" i="5"/>
  <c r="L1265" i="5"/>
  <c r="I1266" i="5"/>
  <c r="H1268" i="5"/>
  <c r="K1270" i="5"/>
  <c r="G1272" i="5"/>
  <c r="A1272" i="5" s="1"/>
  <c r="A1272" i="1" s="1"/>
  <c r="Q1273" i="5"/>
  <c r="I1273" i="5"/>
  <c r="O1273" i="5"/>
  <c r="G1273" i="5"/>
  <c r="M1273" i="5"/>
  <c r="E1273" i="5"/>
  <c r="A1273" i="5" s="1"/>
  <c r="A1273" i="1" s="1"/>
  <c r="P1273" i="5"/>
  <c r="K1274" i="5"/>
  <c r="K1276" i="5"/>
  <c r="K1280" i="5"/>
  <c r="F1281" i="5"/>
  <c r="R1290" i="5"/>
  <c r="H1292" i="5"/>
  <c r="C1297" i="5"/>
  <c r="A1303" i="5"/>
  <c r="A1303" i="1" s="1"/>
  <c r="L1305" i="5"/>
  <c r="Q1314" i="5"/>
  <c r="I1314" i="5"/>
  <c r="P1314" i="5"/>
  <c r="H1314" i="5"/>
  <c r="O1314" i="5"/>
  <c r="G1314" i="5"/>
  <c r="N1314" i="5"/>
  <c r="F1314" i="5"/>
  <c r="M1314" i="5"/>
  <c r="E1314" i="5"/>
  <c r="L1314" i="5"/>
  <c r="C1314" i="5"/>
  <c r="K1322" i="5"/>
  <c r="C1329" i="5"/>
  <c r="A1335" i="5"/>
  <c r="A1335" i="1" s="1"/>
  <c r="Q1346" i="5"/>
  <c r="I1346" i="5"/>
  <c r="P1346" i="5"/>
  <c r="H1346" i="5"/>
  <c r="O1346" i="5"/>
  <c r="G1346" i="5"/>
  <c r="N1346" i="5"/>
  <c r="F1346" i="5"/>
  <c r="M1346" i="5"/>
  <c r="E1346" i="5"/>
  <c r="L1346" i="5"/>
  <c r="C1346" i="5"/>
  <c r="K1354" i="5"/>
  <c r="C1361" i="5"/>
  <c r="A1367" i="5"/>
  <c r="K1378" i="5"/>
  <c r="A1383" i="5"/>
  <c r="A1383" i="1" s="1"/>
  <c r="K1394" i="5"/>
  <c r="A1399" i="5"/>
  <c r="A1399" i="1" s="1"/>
  <c r="K1410" i="5"/>
  <c r="L1438" i="5"/>
  <c r="R1447" i="5"/>
  <c r="A1501" i="5"/>
  <c r="A1501" i="1" s="1"/>
  <c r="M1658" i="5"/>
  <c r="E1658" i="5"/>
  <c r="L1658" i="5"/>
  <c r="C1658" i="5"/>
  <c r="R1658" i="5"/>
  <c r="J1658" i="5"/>
  <c r="O1658" i="5"/>
  <c r="G1658" i="5"/>
  <c r="P1658" i="5"/>
  <c r="N1658" i="5"/>
  <c r="K1658" i="5"/>
  <c r="I1658" i="5"/>
  <c r="H1658" i="5"/>
  <c r="F1658" i="5"/>
  <c r="Q1658" i="5"/>
  <c r="K1267" i="5"/>
  <c r="I1269" i="5"/>
  <c r="Q1269" i="5"/>
  <c r="K1275" i="5"/>
  <c r="I1277" i="5"/>
  <c r="Q1277" i="5"/>
  <c r="K1283" i="5"/>
  <c r="I1285" i="5"/>
  <c r="Q1285" i="5"/>
  <c r="H1286" i="5"/>
  <c r="P1286" i="5"/>
  <c r="F1288" i="5"/>
  <c r="N1288" i="5"/>
  <c r="K1291" i="5"/>
  <c r="I1293" i="5"/>
  <c r="Q1293" i="5"/>
  <c r="H1294" i="5"/>
  <c r="P1294" i="5"/>
  <c r="F1296" i="5"/>
  <c r="A1296" i="5" s="1"/>
  <c r="A1296" i="1" s="1"/>
  <c r="N1296" i="5"/>
  <c r="K1299" i="5"/>
  <c r="J1300" i="5"/>
  <c r="R1300" i="5"/>
  <c r="I1301" i="5"/>
  <c r="Q1301" i="5"/>
  <c r="H1302" i="5"/>
  <c r="P1302" i="5"/>
  <c r="F1304" i="5"/>
  <c r="N1304" i="5"/>
  <c r="K1307" i="5"/>
  <c r="J1308" i="5"/>
  <c r="R1308" i="5"/>
  <c r="I1309" i="5"/>
  <c r="Q1309" i="5"/>
  <c r="H1310" i="5"/>
  <c r="P1310" i="5"/>
  <c r="F1312" i="5"/>
  <c r="A1312" i="5" s="1"/>
  <c r="A1312" i="1" s="1"/>
  <c r="N1312" i="5"/>
  <c r="K1315" i="5"/>
  <c r="J1316" i="5"/>
  <c r="R1316" i="5"/>
  <c r="I1317" i="5"/>
  <c r="Q1317" i="5"/>
  <c r="H1318" i="5"/>
  <c r="P1318" i="5"/>
  <c r="F1320" i="5"/>
  <c r="A1320" i="5" s="1"/>
  <c r="A1320" i="1" s="1"/>
  <c r="N1320" i="5"/>
  <c r="K1323" i="5"/>
  <c r="J1324" i="5"/>
  <c r="R1324" i="5"/>
  <c r="I1325" i="5"/>
  <c r="Q1325" i="5"/>
  <c r="H1326" i="5"/>
  <c r="P1326" i="5"/>
  <c r="F1328" i="5"/>
  <c r="A1328" i="5" s="1"/>
  <c r="A1328" i="1" s="1"/>
  <c r="N1328" i="5"/>
  <c r="K1331" i="5"/>
  <c r="J1332" i="5"/>
  <c r="R1332" i="5"/>
  <c r="I1333" i="5"/>
  <c r="Q1333" i="5"/>
  <c r="H1334" i="5"/>
  <c r="P1334" i="5"/>
  <c r="F1336" i="5"/>
  <c r="A1336" i="5" s="1"/>
  <c r="A1336" i="1" s="1"/>
  <c r="N1336" i="5"/>
  <c r="K1339" i="5"/>
  <c r="J1340" i="5"/>
  <c r="R1340" i="5"/>
  <c r="I1341" i="5"/>
  <c r="Q1341" i="5"/>
  <c r="H1342" i="5"/>
  <c r="P1342" i="5"/>
  <c r="F1344" i="5"/>
  <c r="N1344" i="5"/>
  <c r="A1344" i="5" s="1"/>
  <c r="A1344" i="1" s="1"/>
  <c r="K1347" i="5"/>
  <c r="J1348" i="5"/>
  <c r="R1348" i="5"/>
  <c r="I1349" i="5"/>
  <c r="Q1349" i="5"/>
  <c r="H1350" i="5"/>
  <c r="P1350" i="5"/>
  <c r="F1352" i="5"/>
  <c r="A1352" i="5" s="1"/>
  <c r="A1352" i="1" s="1"/>
  <c r="N1352" i="5"/>
  <c r="K1355" i="5"/>
  <c r="J1356" i="5"/>
  <c r="R1356" i="5"/>
  <c r="I1357" i="5"/>
  <c r="Q1357" i="5"/>
  <c r="H1358" i="5"/>
  <c r="P1358" i="5"/>
  <c r="F1360" i="5"/>
  <c r="A1360" i="5" s="1"/>
  <c r="A1360" i="1" s="1"/>
  <c r="N1360" i="5"/>
  <c r="K1363" i="5"/>
  <c r="J1364" i="5"/>
  <c r="R1364" i="5"/>
  <c r="I1365" i="5"/>
  <c r="Q1365" i="5"/>
  <c r="H1366" i="5"/>
  <c r="P1366" i="5"/>
  <c r="F1368" i="5"/>
  <c r="A1368" i="5" s="1"/>
  <c r="A1368" i="1" s="1"/>
  <c r="N1368" i="5"/>
  <c r="K1371" i="5"/>
  <c r="J1372" i="5"/>
  <c r="R1372" i="5"/>
  <c r="I1373" i="5"/>
  <c r="Q1373" i="5"/>
  <c r="H1374" i="5"/>
  <c r="P1374" i="5"/>
  <c r="F1376" i="5"/>
  <c r="A1376" i="5" s="1"/>
  <c r="A1376" i="1" s="1"/>
  <c r="N1376" i="5"/>
  <c r="K1379" i="5"/>
  <c r="J1380" i="5"/>
  <c r="R1380" i="5"/>
  <c r="I1381" i="5"/>
  <c r="Q1381" i="5"/>
  <c r="H1382" i="5"/>
  <c r="P1382" i="5"/>
  <c r="F1384" i="5"/>
  <c r="A1384" i="5" s="1"/>
  <c r="A1384" i="1" s="1"/>
  <c r="N1384" i="5"/>
  <c r="K1387" i="5"/>
  <c r="J1388" i="5"/>
  <c r="R1388" i="5"/>
  <c r="I1389" i="5"/>
  <c r="Q1389" i="5"/>
  <c r="H1390" i="5"/>
  <c r="P1390" i="5"/>
  <c r="F1392" i="5"/>
  <c r="N1392" i="5"/>
  <c r="A1392" i="5" s="1"/>
  <c r="A1392" i="1" s="1"/>
  <c r="K1395" i="5"/>
  <c r="J1396" i="5"/>
  <c r="R1396" i="5"/>
  <c r="I1397" i="5"/>
  <c r="Q1397" i="5"/>
  <c r="H1398" i="5"/>
  <c r="P1398" i="5"/>
  <c r="F1400" i="5"/>
  <c r="A1400" i="5" s="1"/>
  <c r="A1400" i="1" s="1"/>
  <c r="N1400" i="5"/>
  <c r="K1403" i="5"/>
  <c r="J1404" i="5"/>
  <c r="R1404" i="5"/>
  <c r="I1405" i="5"/>
  <c r="Q1405" i="5"/>
  <c r="H1406" i="5"/>
  <c r="P1406" i="5"/>
  <c r="F1408" i="5"/>
  <c r="A1408" i="5" s="1"/>
  <c r="A1408" i="1" s="1"/>
  <c r="N1408" i="5"/>
  <c r="K1411" i="5"/>
  <c r="J1412" i="5"/>
  <c r="R1412" i="5"/>
  <c r="I1413" i="5"/>
  <c r="Q1413" i="5"/>
  <c r="H1414" i="5"/>
  <c r="P1414" i="5"/>
  <c r="I1416" i="5"/>
  <c r="R1416" i="5"/>
  <c r="F1422" i="5"/>
  <c r="A1422" i="5" s="1"/>
  <c r="A1422" i="1" s="1"/>
  <c r="O1422" i="5"/>
  <c r="I1424" i="5"/>
  <c r="R1424" i="5"/>
  <c r="F1430" i="5"/>
  <c r="A1430" i="5" s="1"/>
  <c r="A1430" i="1" s="1"/>
  <c r="R1430" i="5"/>
  <c r="F1445" i="5"/>
  <c r="O1448" i="5"/>
  <c r="G1448" i="5"/>
  <c r="N1448" i="5"/>
  <c r="F1448" i="5"/>
  <c r="M1448" i="5"/>
  <c r="E1448" i="5"/>
  <c r="L1448" i="5"/>
  <c r="C1448" i="5"/>
  <c r="L1455" i="5"/>
  <c r="R1470" i="5"/>
  <c r="J1470" i="5"/>
  <c r="Q1470" i="5"/>
  <c r="I1470" i="5"/>
  <c r="P1470" i="5"/>
  <c r="A1470" i="5" s="1"/>
  <c r="H1470" i="5"/>
  <c r="O1470" i="5"/>
  <c r="G1470" i="5"/>
  <c r="N1470" i="5"/>
  <c r="F1470" i="5"/>
  <c r="R1486" i="5"/>
  <c r="J1486" i="5"/>
  <c r="Q1486" i="5"/>
  <c r="I1486" i="5"/>
  <c r="P1486" i="5"/>
  <c r="H1486" i="5"/>
  <c r="O1486" i="5"/>
  <c r="G1486" i="5"/>
  <c r="N1486" i="5"/>
  <c r="F1486" i="5"/>
  <c r="M1486" i="5"/>
  <c r="E1486" i="5"/>
  <c r="A1486" i="5" s="1"/>
  <c r="R1518" i="5"/>
  <c r="J1518" i="5"/>
  <c r="Q1518" i="5"/>
  <c r="I1518" i="5"/>
  <c r="P1518" i="5"/>
  <c r="H1518" i="5"/>
  <c r="O1518" i="5"/>
  <c r="G1518" i="5"/>
  <c r="N1518" i="5"/>
  <c r="F1518" i="5"/>
  <c r="M1518" i="5"/>
  <c r="E1518" i="5"/>
  <c r="A1518" i="5" s="1"/>
  <c r="A1539" i="5"/>
  <c r="A1539" i="1" s="1"/>
  <c r="R1661" i="5"/>
  <c r="J1661" i="5"/>
  <c r="Q1661" i="5"/>
  <c r="I1661" i="5"/>
  <c r="P1661" i="5"/>
  <c r="H1661" i="5"/>
  <c r="O1661" i="5"/>
  <c r="G1661" i="5"/>
  <c r="L1661" i="5"/>
  <c r="C1661" i="5"/>
  <c r="N1661" i="5"/>
  <c r="M1661" i="5"/>
  <c r="K1661" i="5"/>
  <c r="F1661" i="5"/>
  <c r="L1710" i="5"/>
  <c r="C1710" i="5"/>
  <c r="R1710" i="5"/>
  <c r="J1710" i="5"/>
  <c r="M1710" i="5"/>
  <c r="K1710" i="5"/>
  <c r="I1710" i="5"/>
  <c r="H1710" i="5"/>
  <c r="O1710" i="5"/>
  <c r="E1710" i="5"/>
  <c r="Q1710" i="5"/>
  <c r="P1710" i="5"/>
  <c r="N1710" i="5"/>
  <c r="G1710" i="5"/>
  <c r="F1710" i="5"/>
  <c r="K1300" i="5"/>
  <c r="K1308" i="5"/>
  <c r="K1316" i="5"/>
  <c r="K1324" i="5"/>
  <c r="K1332" i="5"/>
  <c r="K1340" i="5"/>
  <c r="K1348" i="5"/>
  <c r="K1356" i="5"/>
  <c r="K1364" i="5"/>
  <c r="K1372" i="5"/>
  <c r="K1380" i="5"/>
  <c r="K1388" i="5"/>
  <c r="K1396" i="5"/>
  <c r="K1404" i="5"/>
  <c r="K1412" i="5"/>
  <c r="L1418" i="5"/>
  <c r="C1418" i="5"/>
  <c r="A1418" i="5" s="1"/>
  <c r="A1418" i="1" s="1"/>
  <c r="M1418" i="5"/>
  <c r="L1426" i="5"/>
  <c r="C1426" i="5"/>
  <c r="M1426" i="5"/>
  <c r="M1434" i="5"/>
  <c r="E1434" i="5"/>
  <c r="L1434" i="5"/>
  <c r="C1434" i="5"/>
  <c r="O1434" i="5"/>
  <c r="O1440" i="5"/>
  <c r="G1440" i="5"/>
  <c r="N1440" i="5"/>
  <c r="F1440" i="5"/>
  <c r="L1440" i="5"/>
  <c r="P1440" i="5"/>
  <c r="A1444" i="5"/>
  <c r="A1444" i="1" s="1"/>
  <c r="R1453" i="5"/>
  <c r="J1453" i="5"/>
  <c r="Q1453" i="5"/>
  <c r="I1453" i="5"/>
  <c r="P1453" i="5"/>
  <c r="H1453" i="5"/>
  <c r="O1453" i="5"/>
  <c r="G1453" i="5"/>
  <c r="Q1503" i="5"/>
  <c r="I1503" i="5"/>
  <c r="P1503" i="5"/>
  <c r="H1503" i="5"/>
  <c r="O1503" i="5"/>
  <c r="G1503" i="5"/>
  <c r="N1503" i="5"/>
  <c r="F1503" i="5"/>
  <c r="M1503" i="5"/>
  <c r="E1503" i="5"/>
  <c r="L1503" i="5"/>
  <c r="C1503" i="5"/>
  <c r="A1507" i="5"/>
  <c r="A1507" i="1" s="1"/>
  <c r="Q1535" i="5"/>
  <c r="I1535" i="5"/>
  <c r="P1535" i="5"/>
  <c r="H1535" i="5"/>
  <c r="O1535" i="5"/>
  <c r="G1535" i="5"/>
  <c r="N1535" i="5"/>
  <c r="F1535" i="5"/>
  <c r="M1535" i="5"/>
  <c r="E1535" i="5"/>
  <c r="L1535" i="5"/>
  <c r="C1535" i="5"/>
  <c r="A1535" i="5" s="1"/>
  <c r="R1542" i="5"/>
  <c r="J1542" i="5"/>
  <c r="Q1542" i="5"/>
  <c r="I1542" i="5"/>
  <c r="P1542" i="5"/>
  <c r="H1542" i="5"/>
  <c r="O1542" i="5"/>
  <c r="G1542" i="5"/>
  <c r="N1542" i="5"/>
  <c r="F1542" i="5"/>
  <c r="M1542" i="5"/>
  <c r="E1542" i="5"/>
  <c r="R1558" i="5"/>
  <c r="J1558" i="5"/>
  <c r="Q1558" i="5"/>
  <c r="I1558" i="5"/>
  <c r="P1558" i="5"/>
  <c r="H1558" i="5"/>
  <c r="O1558" i="5"/>
  <c r="G1558" i="5"/>
  <c r="N1558" i="5"/>
  <c r="F1558" i="5"/>
  <c r="M1558" i="5"/>
  <c r="E1558" i="5"/>
  <c r="R1574" i="5"/>
  <c r="J1574" i="5"/>
  <c r="Q1574" i="5"/>
  <c r="I1574" i="5"/>
  <c r="P1574" i="5"/>
  <c r="H1574" i="5"/>
  <c r="O1574" i="5"/>
  <c r="G1574" i="5"/>
  <c r="N1574" i="5"/>
  <c r="F1574" i="5"/>
  <c r="M1574" i="5"/>
  <c r="E1574" i="5"/>
  <c r="O1632" i="5"/>
  <c r="G1632" i="5"/>
  <c r="N1632" i="5"/>
  <c r="F1632" i="5"/>
  <c r="L1632" i="5"/>
  <c r="C1632" i="5"/>
  <c r="Q1632" i="5"/>
  <c r="I1632" i="5"/>
  <c r="P1632" i="5"/>
  <c r="M1632" i="5"/>
  <c r="K1632" i="5"/>
  <c r="J1632" i="5"/>
  <c r="H1632" i="5"/>
  <c r="E1632" i="5"/>
  <c r="P1775" i="5"/>
  <c r="H1775" i="5"/>
  <c r="R1775" i="5"/>
  <c r="I1775" i="5"/>
  <c r="O1775" i="5"/>
  <c r="F1775" i="5"/>
  <c r="K1775" i="5"/>
  <c r="G1775" i="5"/>
  <c r="L1775" i="5"/>
  <c r="J1775" i="5"/>
  <c r="E1775" i="5"/>
  <c r="C1775" i="5"/>
  <c r="Q1775" i="5"/>
  <c r="N1775" i="5"/>
  <c r="N1793" i="5"/>
  <c r="F1793" i="5"/>
  <c r="K1793" i="5"/>
  <c r="R1793" i="5"/>
  <c r="I1793" i="5"/>
  <c r="P1793" i="5"/>
  <c r="C1793" i="5"/>
  <c r="M1793" i="5"/>
  <c r="Q1793" i="5"/>
  <c r="O1793" i="5"/>
  <c r="L1793" i="5"/>
  <c r="J1793" i="5"/>
  <c r="G1793" i="5"/>
  <c r="E1793" i="5"/>
  <c r="H1793" i="5"/>
  <c r="K1269" i="5"/>
  <c r="K1277" i="5"/>
  <c r="K1285" i="5"/>
  <c r="J1286" i="5"/>
  <c r="R1286" i="5"/>
  <c r="H1288" i="5"/>
  <c r="P1288" i="5"/>
  <c r="K1293" i="5"/>
  <c r="J1294" i="5"/>
  <c r="R1294" i="5"/>
  <c r="H1296" i="5"/>
  <c r="P1296" i="5"/>
  <c r="C1300" i="5"/>
  <c r="L1300" i="5"/>
  <c r="K1301" i="5"/>
  <c r="J1302" i="5"/>
  <c r="R1302" i="5"/>
  <c r="H1304" i="5"/>
  <c r="P1304" i="5"/>
  <c r="C1308" i="5"/>
  <c r="L1308" i="5"/>
  <c r="K1309" i="5"/>
  <c r="J1310" i="5"/>
  <c r="R1310" i="5"/>
  <c r="H1312" i="5"/>
  <c r="P1312" i="5"/>
  <c r="C1316" i="5"/>
  <c r="L1316" i="5"/>
  <c r="K1317" i="5"/>
  <c r="J1318" i="5"/>
  <c r="R1318" i="5"/>
  <c r="H1320" i="5"/>
  <c r="P1320" i="5"/>
  <c r="C1324" i="5"/>
  <c r="L1324" i="5"/>
  <c r="K1325" i="5"/>
  <c r="J1326" i="5"/>
  <c r="R1326" i="5"/>
  <c r="H1328" i="5"/>
  <c r="P1328" i="5"/>
  <c r="C1332" i="5"/>
  <c r="A1332" i="5" s="1"/>
  <c r="A1332" i="1" s="1"/>
  <c r="L1332" i="5"/>
  <c r="K1333" i="5"/>
  <c r="J1334" i="5"/>
  <c r="R1334" i="5"/>
  <c r="H1336" i="5"/>
  <c r="P1336" i="5"/>
  <c r="C1340" i="5"/>
  <c r="L1340" i="5"/>
  <c r="K1341" i="5"/>
  <c r="J1342" i="5"/>
  <c r="R1342" i="5"/>
  <c r="H1344" i="5"/>
  <c r="P1344" i="5"/>
  <c r="C1348" i="5"/>
  <c r="L1348" i="5"/>
  <c r="K1349" i="5"/>
  <c r="J1350" i="5"/>
  <c r="R1350" i="5"/>
  <c r="H1352" i="5"/>
  <c r="P1352" i="5"/>
  <c r="C1356" i="5"/>
  <c r="L1356" i="5"/>
  <c r="K1357" i="5"/>
  <c r="J1358" i="5"/>
  <c r="R1358" i="5"/>
  <c r="H1360" i="5"/>
  <c r="P1360" i="5"/>
  <c r="C1364" i="5"/>
  <c r="L1364" i="5"/>
  <c r="K1365" i="5"/>
  <c r="J1366" i="5"/>
  <c r="R1366" i="5"/>
  <c r="H1368" i="5"/>
  <c r="P1368" i="5"/>
  <c r="C1372" i="5"/>
  <c r="L1372" i="5"/>
  <c r="K1373" i="5"/>
  <c r="J1374" i="5"/>
  <c r="R1374" i="5"/>
  <c r="H1376" i="5"/>
  <c r="P1376" i="5"/>
  <c r="C1380" i="5"/>
  <c r="L1380" i="5"/>
  <c r="K1381" i="5"/>
  <c r="J1382" i="5"/>
  <c r="R1382" i="5"/>
  <c r="H1384" i="5"/>
  <c r="P1384" i="5"/>
  <c r="C1388" i="5"/>
  <c r="L1388" i="5"/>
  <c r="K1389" i="5"/>
  <c r="J1390" i="5"/>
  <c r="R1390" i="5"/>
  <c r="H1392" i="5"/>
  <c r="P1392" i="5"/>
  <c r="C1396" i="5"/>
  <c r="A1396" i="5" s="1"/>
  <c r="A1396" i="1" s="1"/>
  <c r="L1396" i="5"/>
  <c r="K1397" i="5"/>
  <c r="J1398" i="5"/>
  <c r="R1398" i="5"/>
  <c r="H1400" i="5"/>
  <c r="P1400" i="5"/>
  <c r="C1404" i="5"/>
  <c r="L1404" i="5"/>
  <c r="K1405" i="5"/>
  <c r="J1406" i="5"/>
  <c r="R1406" i="5"/>
  <c r="H1408" i="5"/>
  <c r="P1408" i="5"/>
  <c r="C1412" i="5"/>
  <c r="L1412" i="5"/>
  <c r="K1413" i="5"/>
  <c r="J1414" i="5"/>
  <c r="R1414" i="5"/>
  <c r="M1417" i="5"/>
  <c r="E1417" i="5"/>
  <c r="L1417" i="5"/>
  <c r="E1418" i="5"/>
  <c r="N1418" i="5"/>
  <c r="I1422" i="5"/>
  <c r="R1422" i="5"/>
  <c r="M1425" i="5"/>
  <c r="E1425" i="5"/>
  <c r="L1425" i="5"/>
  <c r="E1426" i="5"/>
  <c r="N1426" i="5"/>
  <c r="J1430" i="5"/>
  <c r="P1431" i="5"/>
  <c r="H1431" i="5"/>
  <c r="O1431" i="5"/>
  <c r="G1431" i="5"/>
  <c r="M1431" i="5"/>
  <c r="F1434" i="5"/>
  <c r="P1434" i="5"/>
  <c r="R1437" i="5"/>
  <c r="J1437" i="5"/>
  <c r="Q1437" i="5"/>
  <c r="I1437" i="5"/>
  <c r="A1437" i="5" s="1"/>
  <c r="A1437" i="1" s="1"/>
  <c r="M1437" i="5"/>
  <c r="C1440" i="5"/>
  <c r="Q1440" i="5"/>
  <c r="L1445" i="5"/>
  <c r="C1453" i="5"/>
  <c r="Q1454" i="5"/>
  <c r="I1454" i="5"/>
  <c r="P1454" i="5"/>
  <c r="H1454" i="5"/>
  <c r="O1454" i="5"/>
  <c r="G1454" i="5"/>
  <c r="N1454" i="5"/>
  <c r="F1454" i="5"/>
  <c r="P1464" i="5"/>
  <c r="H1464" i="5"/>
  <c r="O1464" i="5"/>
  <c r="G1464" i="5"/>
  <c r="N1464" i="5"/>
  <c r="F1464" i="5"/>
  <c r="M1464" i="5"/>
  <c r="E1464" i="5"/>
  <c r="L1464" i="5"/>
  <c r="C1464" i="5"/>
  <c r="P1480" i="5"/>
  <c r="H1480" i="5"/>
  <c r="O1480" i="5"/>
  <c r="G1480" i="5"/>
  <c r="N1480" i="5"/>
  <c r="F1480" i="5"/>
  <c r="M1480" i="5"/>
  <c r="E1480" i="5"/>
  <c r="L1480" i="5"/>
  <c r="C1480" i="5"/>
  <c r="J1503" i="5"/>
  <c r="R1510" i="5"/>
  <c r="J1510" i="5"/>
  <c r="Q1510" i="5"/>
  <c r="I1510" i="5"/>
  <c r="P1510" i="5"/>
  <c r="H1510" i="5"/>
  <c r="O1510" i="5"/>
  <c r="G1510" i="5"/>
  <c r="N1510" i="5"/>
  <c r="F1510" i="5"/>
  <c r="M1510" i="5"/>
  <c r="E1510" i="5"/>
  <c r="A1510" i="5" s="1"/>
  <c r="J1535" i="5"/>
  <c r="C1542" i="5"/>
  <c r="Q1551" i="5"/>
  <c r="I1551" i="5"/>
  <c r="P1551" i="5"/>
  <c r="H1551" i="5"/>
  <c r="O1551" i="5"/>
  <c r="G1551" i="5"/>
  <c r="N1551" i="5"/>
  <c r="F1551" i="5"/>
  <c r="M1551" i="5"/>
  <c r="E1551" i="5"/>
  <c r="L1551" i="5"/>
  <c r="C1551" i="5"/>
  <c r="C1558" i="5"/>
  <c r="Q1567" i="5"/>
  <c r="I1567" i="5"/>
  <c r="P1567" i="5"/>
  <c r="H1567" i="5"/>
  <c r="O1567" i="5"/>
  <c r="G1567" i="5"/>
  <c r="N1567" i="5"/>
  <c r="F1567" i="5"/>
  <c r="M1567" i="5"/>
  <c r="E1567" i="5"/>
  <c r="L1567" i="5"/>
  <c r="C1567" i="5"/>
  <c r="C1574" i="5"/>
  <c r="R1632" i="5"/>
  <c r="A1643" i="5"/>
  <c r="A1643" i="1" s="1"/>
  <c r="P1671" i="5"/>
  <c r="H1671" i="5"/>
  <c r="O1671" i="5"/>
  <c r="G1671" i="5"/>
  <c r="N1671" i="5"/>
  <c r="F1671" i="5"/>
  <c r="M1671" i="5"/>
  <c r="E1671" i="5"/>
  <c r="A1671" i="5" s="1"/>
  <c r="R1671" i="5"/>
  <c r="J1671" i="5"/>
  <c r="Q1671" i="5"/>
  <c r="L1671" i="5"/>
  <c r="K1671" i="5"/>
  <c r="I1671" i="5"/>
  <c r="M1775" i="5"/>
  <c r="K1286" i="5"/>
  <c r="I1288" i="5"/>
  <c r="Q1288" i="5"/>
  <c r="K1294" i="5"/>
  <c r="I1296" i="5"/>
  <c r="Q1296" i="5"/>
  <c r="E1300" i="5"/>
  <c r="M1300" i="5"/>
  <c r="K1302" i="5"/>
  <c r="I1304" i="5"/>
  <c r="Q1304" i="5"/>
  <c r="E1308" i="5"/>
  <c r="M1308" i="5"/>
  <c r="K1310" i="5"/>
  <c r="I1312" i="5"/>
  <c r="Q1312" i="5"/>
  <c r="E1316" i="5"/>
  <c r="M1316" i="5"/>
  <c r="K1318" i="5"/>
  <c r="I1320" i="5"/>
  <c r="Q1320" i="5"/>
  <c r="E1324" i="5"/>
  <c r="M1324" i="5"/>
  <c r="K1326" i="5"/>
  <c r="I1328" i="5"/>
  <c r="Q1328" i="5"/>
  <c r="E1332" i="5"/>
  <c r="M1332" i="5"/>
  <c r="K1334" i="5"/>
  <c r="I1336" i="5"/>
  <c r="Q1336" i="5"/>
  <c r="E1340" i="5"/>
  <c r="M1340" i="5"/>
  <c r="K1342" i="5"/>
  <c r="I1344" i="5"/>
  <c r="Q1344" i="5"/>
  <c r="E1348" i="5"/>
  <c r="M1348" i="5"/>
  <c r="K1350" i="5"/>
  <c r="I1352" i="5"/>
  <c r="Q1352" i="5"/>
  <c r="E1356" i="5"/>
  <c r="M1356" i="5"/>
  <c r="K1358" i="5"/>
  <c r="I1360" i="5"/>
  <c r="Q1360" i="5"/>
  <c r="E1364" i="5"/>
  <c r="M1364" i="5"/>
  <c r="K1366" i="5"/>
  <c r="I1368" i="5"/>
  <c r="Q1368" i="5"/>
  <c r="E1372" i="5"/>
  <c r="M1372" i="5"/>
  <c r="K1374" i="5"/>
  <c r="I1376" i="5"/>
  <c r="Q1376" i="5"/>
  <c r="E1380" i="5"/>
  <c r="M1380" i="5"/>
  <c r="K1382" i="5"/>
  <c r="I1384" i="5"/>
  <c r="Q1384" i="5"/>
  <c r="E1388" i="5"/>
  <c r="M1388" i="5"/>
  <c r="K1390" i="5"/>
  <c r="I1392" i="5"/>
  <c r="Q1392" i="5"/>
  <c r="E1396" i="5"/>
  <c r="M1396" i="5"/>
  <c r="K1398" i="5"/>
  <c r="I1400" i="5"/>
  <c r="Q1400" i="5"/>
  <c r="E1404" i="5"/>
  <c r="M1404" i="5"/>
  <c r="K1406" i="5"/>
  <c r="I1408" i="5"/>
  <c r="Q1408" i="5"/>
  <c r="E1412" i="5"/>
  <c r="M1412" i="5"/>
  <c r="K1414" i="5"/>
  <c r="N1416" i="5"/>
  <c r="F1416" i="5"/>
  <c r="L1416" i="5"/>
  <c r="F1418" i="5"/>
  <c r="O1418" i="5"/>
  <c r="J1422" i="5"/>
  <c r="N1424" i="5"/>
  <c r="F1424" i="5"/>
  <c r="L1424" i="5"/>
  <c r="F1426" i="5"/>
  <c r="O1426" i="5"/>
  <c r="K1430" i="5"/>
  <c r="G1434" i="5"/>
  <c r="Q1434" i="5"/>
  <c r="E1440" i="5"/>
  <c r="R1440" i="5"/>
  <c r="A1443" i="5"/>
  <c r="A1443" i="1" s="1"/>
  <c r="M1445" i="5"/>
  <c r="E1453" i="5"/>
  <c r="P1455" i="5"/>
  <c r="H1455" i="5"/>
  <c r="O1455" i="5"/>
  <c r="G1455" i="5"/>
  <c r="N1455" i="5"/>
  <c r="F1455" i="5"/>
  <c r="M1455" i="5"/>
  <c r="E1455" i="5"/>
  <c r="A1459" i="5"/>
  <c r="Q1463" i="5"/>
  <c r="I1463" i="5"/>
  <c r="P1463" i="5"/>
  <c r="H1463" i="5"/>
  <c r="O1463" i="5"/>
  <c r="G1463" i="5"/>
  <c r="N1463" i="5"/>
  <c r="F1463" i="5"/>
  <c r="M1463" i="5"/>
  <c r="E1463" i="5"/>
  <c r="A1475" i="5"/>
  <c r="A1475" i="1" s="1"/>
  <c r="Q1479" i="5"/>
  <c r="I1479" i="5"/>
  <c r="P1479" i="5"/>
  <c r="H1479" i="5"/>
  <c r="O1479" i="5"/>
  <c r="G1479" i="5"/>
  <c r="N1479" i="5"/>
  <c r="F1479" i="5"/>
  <c r="M1479" i="5"/>
  <c r="E1479" i="5"/>
  <c r="Q1495" i="5"/>
  <c r="I1495" i="5"/>
  <c r="P1495" i="5"/>
  <c r="H1495" i="5"/>
  <c r="O1495" i="5"/>
  <c r="G1495" i="5"/>
  <c r="N1495" i="5"/>
  <c r="F1495" i="5"/>
  <c r="M1495" i="5"/>
  <c r="E1495" i="5"/>
  <c r="L1495" i="5"/>
  <c r="C1495" i="5"/>
  <c r="A1499" i="5"/>
  <c r="A1499" i="1" s="1"/>
  <c r="K1503" i="5"/>
  <c r="Q1527" i="5"/>
  <c r="I1527" i="5"/>
  <c r="P1527" i="5"/>
  <c r="H1527" i="5"/>
  <c r="O1527" i="5"/>
  <c r="G1527" i="5"/>
  <c r="N1527" i="5"/>
  <c r="F1527" i="5"/>
  <c r="M1527" i="5"/>
  <c r="E1527" i="5"/>
  <c r="L1527" i="5"/>
  <c r="C1527" i="5"/>
  <c r="A1531" i="5"/>
  <c r="A1531" i="1" s="1"/>
  <c r="K1535" i="5"/>
  <c r="K1542" i="5"/>
  <c r="K1558" i="5"/>
  <c r="K1574" i="5"/>
  <c r="R1628" i="5"/>
  <c r="J1628" i="5"/>
  <c r="M1628" i="5"/>
  <c r="E1628" i="5"/>
  <c r="K1628" i="5"/>
  <c r="I1628" i="5"/>
  <c r="H1628" i="5"/>
  <c r="Q1628" i="5"/>
  <c r="G1628" i="5"/>
  <c r="P1628" i="5"/>
  <c r="F1628" i="5"/>
  <c r="O1628" i="5"/>
  <c r="C1628" i="5"/>
  <c r="G1267" i="5"/>
  <c r="A1267" i="5" s="1"/>
  <c r="A1267" i="1" s="1"/>
  <c r="E1269" i="5"/>
  <c r="A1269" i="5" s="1"/>
  <c r="A1269" i="1" s="1"/>
  <c r="G1275" i="5"/>
  <c r="A1275" i="5" s="1"/>
  <c r="A1275" i="1" s="1"/>
  <c r="E1277" i="5"/>
  <c r="A1277" i="5" s="1"/>
  <c r="A1277" i="1" s="1"/>
  <c r="G1283" i="5"/>
  <c r="A1283" i="5" s="1"/>
  <c r="A1283" i="1" s="1"/>
  <c r="E1285" i="5"/>
  <c r="C1286" i="5"/>
  <c r="J1288" i="5"/>
  <c r="R1288" i="5"/>
  <c r="G1291" i="5"/>
  <c r="A1291" i="5" s="1"/>
  <c r="A1291" i="1" s="1"/>
  <c r="E1293" i="5"/>
  <c r="C1294" i="5"/>
  <c r="J1296" i="5"/>
  <c r="R1296" i="5"/>
  <c r="G1299" i="5"/>
  <c r="A1299" i="5" s="1"/>
  <c r="A1299" i="1" s="1"/>
  <c r="F1300" i="5"/>
  <c r="N1300" i="5"/>
  <c r="E1301" i="5"/>
  <c r="A1301" i="5" s="1"/>
  <c r="A1301" i="1" s="1"/>
  <c r="C1302" i="5"/>
  <c r="J1304" i="5"/>
  <c r="R1304" i="5"/>
  <c r="G1307" i="5"/>
  <c r="A1307" i="5" s="1"/>
  <c r="A1307" i="1" s="1"/>
  <c r="F1308" i="5"/>
  <c r="N1308" i="5"/>
  <c r="E1309" i="5"/>
  <c r="C1310" i="5"/>
  <c r="A1310" i="5" s="1"/>
  <c r="A1310" i="1" s="1"/>
  <c r="J1312" i="5"/>
  <c r="R1312" i="5"/>
  <c r="G1315" i="5"/>
  <c r="A1315" i="5" s="1"/>
  <c r="A1315" i="1" s="1"/>
  <c r="F1316" i="5"/>
  <c r="N1316" i="5"/>
  <c r="E1317" i="5"/>
  <c r="C1318" i="5"/>
  <c r="J1320" i="5"/>
  <c r="R1320" i="5"/>
  <c r="G1323" i="5"/>
  <c r="F1324" i="5"/>
  <c r="N1324" i="5"/>
  <c r="E1325" i="5"/>
  <c r="A1325" i="5" s="1"/>
  <c r="A1325" i="1" s="1"/>
  <c r="C1326" i="5"/>
  <c r="J1328" i="5"/>
  <c r="R1328" i="5"/>
  <c r="G1331" i="5"/>
  <c r="A1331" i="5" s="1"/>
  <c r="A1331" i="1" s="1"/>
  <c r="F1332" i="5"/>
  <c r="N1332" i="5"/>
  <c r="E1333" i="5"/>
  <c r="C1334" i="5"/>
  <c r="J1336" i="5"/>
  <c r="R1336" i="5"/>
  <c r="G1339" i="5"/>
  <c r="A1339" i="5" s="1"/>
  <c r="A1339" i="1" s="1"/>
  <c r="F1340" i="5"/>
  <c r="N1340" i="5"/>
  <c r="E1341" i="5"/>
  <c r="C1342" i="5"/>
  <c r="J1344" i="5"/>
  <c r="R1344" i="5"/>
  <c r="G1347" i="5"/>
  <c r="A1347" i="5" s="1"/>
  <c r="A1347" i="1" s="1"/>
  <c r="F1348" i="5"/>
  <c r="N1348" i="5"/>
  <c r="E1349" i="5"/>
  <c r="C1350" i="5"/>
  <c r="J1352" i="5"/>
  <c r="R1352" i="5"/>
  <c r="G1355" i="5"/>
  <c r="A1355" i="5" s="1"/>
  <c r="A1355" i="1" s="1"/>
  <c r="F1356" i="5"/>
  <c r="N1356" i="5"/>
  <c r="E1357" i="5"/>
  <c r="C1358" i="5"/>
  <c r="J1360" i="5"/>
  <c r="R1360" i="5"/>
  <c r="G1363" i="5"/>
  <c r="A1363" i="5" s="1"/>
  <c r="A1363" i="1" s="1"/>
  <c r="F1364" i="5"/>
  <c r="N1364" i="5"/>
  <c r="E1365" i="5"/>
  <c r="A1365" i="5" s="1"/>
  <c r="A1365" i="1" s="1"/>
  <c r="C1366" i="5"/>
  <c r="J1368" i="5"/>
  <c r="R1368" i="5"/>
  <c r="G1371" i="5"/>
  <c r="A1371" i="5" s="1"/>
  <c r="A1371" i="1" s="1"/>
  <c r="F1372" i="5"/>
  <c r="N1372" i="5"/>
  <c r="E1373" i="5"/>
  <c r="C1374" i="5"/>
  <c r="L1374" i="5"/>
  <c r="J1376" i="5"/>
  <c r="R1376" i="5"/>
  <c r="G1379" i="5"/>
  <c r="A1379" i="5" s="1"/>
  <c r="A1379" i="1" s="1"/>
  <c r="F1380" i="5"/>
  <c r="N1380" i="5"/>
  <c r="E1381" i="5"/>
  <c r="C1382" i="5"/>
  <c r="A1382" i="5" s="1"/>
  <c r="A1382" i="1" s="1"/>
  <c r="L1382" i="5"/>
  <c r="J1384" i="5"/>
  <c r="R1384" i="5"/>
  <c r="G1387" i="5"/>
  <c r="F1388" i="5"/>
  <c r="N1388" i="5"/>
  <c r="E1389" i="5"/>
  <c r="A1389" i="5" s="1"/>
  <c r="A1389" i="1" s="1"/>
  <c r="C1390" i="5"/>
  <c r="A1390" i="5" s="1"/>
  <c r="A1390" i="1" s="1"/>
  <c r="L1390" i="5"/>
  <c r="J1392" i="5"/>
  <c r="R1392" i="5"/>
  <c r="G1395" i="5"/>
  <c r="F1396" i="5"/>
  <c r="N1396" i="5"/>
  <c r="E1397" i="5"/>
  <c r="C1398" i="5"/>
  <c r="A1398" i="5" s="1"/>
  <c r="A1398" i="1" s="1"/>
  <c r="L1398" i="5"/>
  <c r="J1400" i="5"/>
  <c r="R1400" i="5"/>
  <c r="G1403" i="5"/>
  <c r="F1404" i="5"/>
  <c r="N1404" i="5"/>
  <c r="E1405" i="5"/>
  <c r="C1406" i="5"/>
  <c r="L1406" i="5"/>
  <c r="J1408" i="5"/>
  <c r="R1408" i="5"/>
  <c r="G1411" i="5"/>
  <c r="A1411" i="5" s="1"/>
  <c r="A1411" i="1" s="1"/>
  <c r="F1412" i="5"/>
  <c r="N1412" i="5"/>
  <c r="E1413" i="5"/>
  <c r="C1414" i="5"/>
  <c r="A1414" i="5" s="1"/>
  <c r="A1414" i="1" s="1"/>
  <c r="L1414" i="5"/>
  <c r="O1415" i="5"/>
  <c r="G1415" i="5"/>
  <c r="A1415" i="5" s="1"/>
  <c r="A1415" i="1" s="1"/>
  <c r="L1415" i="5"/>
  <c r="C1416" i="5"/>
  <c r="M1416" i="5"/>
  <c r="F1417" i="5"/>
  <c r="O1417" i="5"/>
  <c r="G1418" i="5"/>
  <c r="P1418" i="5"/>
  <c r="O1423" i="5"/>
  <c r="G1423" i="5"/>
  <c r="A1423" i="5" s="1"/>
  <c r="A1423" i="1" s="1"/>
  <c r="L1423" i="5"/>
  <c r="C1424" i="5"/>
  <c r="M1424" i="5"/>
  <c r="F1425" i="5"/>
  <c r="O1425" i="5"/>
  <c r="G1426" i="5"/>
  <c r="P1426" i="5"/>
  <c r="E1431" i="5"/>
  <c r="Q1431" i="5"/>
  <c r="N1433" i="5"/>
  <c r="F1433" i="5"/>
  <c r="M1433" i="5"/>
  <c r="A1433" i="5" s="1"/>
  <c r="A1433" i="1" s="1"/>
  <c r="E1433" i="5"/>
  <c r="O1433" i="5"/>
  <c r="H1434" i="5"/>
  <c r="R1434" i="5"/>
  <c r="E1437" i="5"/>
  <c r="O1437" i="5"/>
  <c r="P1439" i="5"/>
  <c r="H1439" i="5"/>
  <c r="A1439" i="5" s="1"/>
  <c r="A1439" i="1" s="1"/>
  <c r="O1439" i="5"/>
  <c r="G1439" i="5"/>
  <c r="M1439" i="5"/>
  <c r="H1440" i="5"/>
  <c r="K1448" i="5"/>
  <c r="F1453" i="5"/>
  <c r="E1454" i="5"/>
  <c r="C1455" i="5"/>
  <c r="A1455" i="5" s="1"/>
  <c r="A1455" i="1" s="1"/>
  <c r="O1456" i="5"/>
  <c r="G1456" i="5"/>
  <c r="N1456" i="5"/>
  <c r="F1456" i="5"/>
  <c r="M1456" i="5"/>
  <c r="E1456" i="5"/>
  <c r="L1456" i="5"/>
  <c r="C1456" i="5"/>
  <c r="A1456" i="5" s="1"/>
  <c r="A1456" i="1" s="1"/>
  <c r="R1462" i="5"/>
  <c r="J1462" i="5"/>
  <c r="Q1462" i="5"/>
  <c r="I1462" i="5"/>
  <c r="P1462" i="5"/>
  <c r="H1462" i="5"/>
  <c r="O1462" i="5"/>
  <c r="G1462" i="5"/>
  <c r="N1462" i="5"/>
  <c r="F1462" i="5"/>
  <c r="A1462" i="5" s="1"/>
  <c r="A1462" i="1" s="1"/>
  <c r="C1463" i="5"/>
  <c r="J1464" i="5"/>
  <c r="L1470" i="5"/>
  <c r="R1478" i="5"/>
  <c r="J1478" i="5"/>
  <c r="Q1478" i="5"/>
  <c r="I1478" i="5"/>
  <c r="A1478" i="5" s="1"/>
  <c r="P1478" i="5"/>
  <c r="H1478" i="5"/>
  <c r="O1478" i="5"/>
  <c r="G1478" i="5"/>
  <c r="N1478" i="5"/>
  <c r="F1478" i="5"/>
  <c r="C1479" i="5"/>
  <c r="A1479" i="5" s="1"/>
  <c r="J1480" i="5"/>
  <c r="J1495" i="5"/>
  <c r="R1502" i="5"/>
  <c r="J1502" i="5"/>
  <c r="Q1502" i="5"/>
  <c r="I1502" i="5"/>
  <c r="P1502" i="5"/>
  <c r="H1502" i="5"/>
  <c r="O1502" i="5"/>
  <c r="G1502" i="5"/>
  <c r="A1502" i="5" s="1"/>
  <c r="N1502" i="5"/>
  <c r="F1502" i="5"/>
  <c r="M1502" i="5"/>
  <c r="E1502" i="5"/>
  <c r="R1503" i="5"/>
  <c r="A1509" i="5"/>
  <c r="A1509" i="1" s="1"/>
  <c r="K1510" i="5"/>
  <c r="J1527" i="5"/>
  <c r="R1534" i="5"/>
  <c r="J1534" i="5"/>
  <c r="Q1534" i="5"/>
  <c r="I1534" i="5"/>
  <c r="P1534" i="5"/>
  <c r="H1534" i="5"/>
  <c r="O1534" i="5"/>
  <c r="G1534" i="5"/>
  <c r="A1534" i="5" s="1"/>
  <c r="N1534" i="5"/>
  <c r="F1534" i="5"/>
  <c r="M1534" i="5"/>
  <c r="E1534" i="5"/>
  <c r="R1535" i="5"/>
  <c r="L1542" i="5"/>
  <c r="K1551" i="5"/>
  <c r="L1558" i="5"/>
  <c r="K1567" i="5"/>
  <c r="L1574" i="5"/>
  <c r="O1583" i="5"/>
  <c r="G1583" i="5"/>
  <c r="R1583" i="5"/>
  <c r="J1583" i="5"/>
  <c r="L1583" i="5"/>
  <c r="K1583" i="5"/>
  <c r="I1583" i="5"/>
  <c r="H1583" i="5"/>
  <c r="Q1583" i="5"/>
  <c r="F1583" i="5"/>
  <c r="P1583" i="5"/>
  <c r="A1583" i="5" s="1"/>
  <c r="E1583" i="5"/>
  <c r="R1612" i="5"/>
  <c r="J1612" i="5"/>
  <c r="M1612" i="5"/>
  <c r="E1612" i="5"/>
  <c r="K1612" i="5"/>
  <c r="I1612" i="5"/>
  <c r="H1612" i="5"/>
  <c r="Q1612" i="5"/>
  <c r="G1612" i="5"/>
  <c r="P1612" i="5"/>
  <c r="F1612" i="5"/>
  <c r="O1612" i="5"/>
  <c r="C1612" i="5"/>
  <c r="R1620" i="5"/>
  <c r="J1620" i="5"/>
  <c r="M1620" i="5"/>
  <c r="E1620" i="5"/>
  <c r="K1620" i="5"/>
  <c r="I1620" i="5"/>
  <c r="H1620" i="5"/>
  <c r="Q1620" i="5"/>
  <c r="G1620" i="5"/>
  <c r="P1620" i="5"/>
  <c r="F1620" i="5"/>
  <c r="O1620" i="5"/>
  <c r="C1620" i="5"/>
  <c r="L1628" i="5"/>
  <c r="O1680" i="5"/>
  <c r="G1680" i="5"/>
  <c r="N1680" i="5"/>
  <c r="F1680" i="5"/>
  <c r="M1680" i="5"/>
  <c r="E1680" i="5"/>
  <c r="L1680" i="5"/>
  <c r="C1680" i="5"/>
  <c r="Q1680" i="5"/>
  <c r="I1680" i="5"/>
  <c r="R1680" i="5"/>
  <c r="P1680" i="5"/>
  <c r="K1680" i="5"/>
  <c r="J1680" i="5"/>
  <c r="H1680" i="5"/>
  <c r="O1705" i="5"/>
  <c r="G1705" i="5"/>
  <c r="R1705" i="5"/>
  <c r="I1705" i="5"/>
  <c r="Q1705" i="5"/>
  <c r="H1705" i="5"/>
  <c r="P1705" i="5"/>
  <c r="F1705" i="5"/>
  <c r="N1705" i="5"/>
  <c r="E1705" i="5"/>
  <c r="K1705" i="5"/>
  <c r="M1705" i="5"/>
  <c r="L1705" i="5"/>
  <c r="J1705" i="5"/>
  <c r="G1300" i="5"/>
  <c r="G1308" i="5"/>
  <c r="G1316" i="5"/>
  <c r="G1324" i="5"/>
  <c r="G1332" i="5"/>
  <c r="G1340" i="5"/>
  <c r="G1348" i="5"/>
  <c r="G1356" i="5"/>
  <c r="G1364" i="5"/>
  <c r="G1372" i="5"/>
  <c r="E1374" i="5"/>
  <c r="G1380" i="5"/>
  <c r="E1382" i="5"/>
  <c r="G1388" i="5"/>
  <c r="E1390" i="5"/>
  <c r="G1396" i="5"/>
  <c r="E1398" i="5"/>
  <c r="G1404" i="5"/>
  <c r="E1406" i="5"/>
  <c r="G1412" i="5"/>
  <c r="E1414" i="5"/>
  <c r="H1418" i="5"/>
  <c r="Q1418" i="5"/>
  <c r="P1422" i="5"/>
  <c r="H1422" i="5"/>
  <c r="L1422" i="5"/>
  <c r="H1426" i="5"/>
  <c r="Q1426" i="5"/>
  <c r="Q1430" i="5"/>
  <c r="I1430" i="5"/>
  <c r="P1430" i="5"/>
  <c r="H1430" i="5"/>
  <c r="M1430" i="5"/>
  <c r="I1434" i="5"/>
  <c r="I1440" i="5"/>
  <c r="R1445" i="5"/>
  <c r="J1445" i="5"/>
  <c r="Q1445" i="5"/>
  <c r="I1445" i="5"/>
  <c r="P1445" i="5"/>
  <c r="H1445" i="5"/>
  <c r="O1445" i="5"/>
  <c r="G1445" i="5"/>
  <c r="A1445" i="5" s="1"/>
  <c r="A1445" i="1" s="1"/>
  <c r="K1453" i="5"/>
  <c r="Q1487" i="5"/>
  <c r="I1487" i="5"/>
  <c r="P1487" i="5"/>
  <c r="H1487" i="5"/>
  <c r="O1487" i="5"/>
  <c r="G1487" i="5"/>
  <c r="N1487" i="5"/>
  <c r="F1487" i="5"/>
  <c r="M1487" i="5"/>
  <c r="E1487" i="5"/>
  <c r="L1487" i="5"/>
  <c r="C1487" i="5"/>
  <c r="A1491" i="5"/>
  <c r="A1491" i="1" s="1"/>
  <c r="K1495" i="5"/>
  <c r="Q1519" i="5"/>
  <c r="I1519" i="5"/>
  <c r="P1519" i="5"/>
  <c r="H1519" i="5"/>
  <c r="O1519" i="5"/>
  <c r="G1519" i="5"/>
  <c r="N1519" i="5"/>
  <c r="F1519" i="5"/>
  <c r="M1519" i="5"/>
  <c r="E1519" i="5"/>
  <c r="L1519" i="5"/>
  <c r="C1519" i="5"/>
  <c r="A1523" i="5"/>
  <c r="A1523" i="1" s="1"/>
  <c r="R1550" i="5"/>
  <c r="J1550" i="5"/>
  <c r="Q1550" i="5"/>
  <c r="I1550" i="5"/>
  <c r="P1550" i="5"/>
  <c r="H1550" i="5"/>
  <c r="O1550" i="5"/>
  <c r="G1550" i="5"/>
  <c r="N1550" i="5"/>
  <c r="F1550" i="5"/>
  <c r="M1550" i="5"/>
  <c r="E1550" i="5"/>
  <c r="A1550" i="5" s="1"/>
  <c r="R1566" i="5"/>
  <c r="J1566" i="5"/>
  <c r="Q1566" i="5"/>
  <c r="I1566" i="5"/>
  <c r="P1566" i="5"/>
  <c r="H1566" i="5"/>
  <c r="O1566" i="5"/>
  <c r="G1566" i="5"/>
  <c r="N1566" i="5"/>
  <c r="F1566" i="5"/>
  <c r="M1566" i="5"/>
  <c r="E1566" i="5"/>
  <c r="A1566" i="5" s="1"/>
  <c r="R1580" i="5"/>
  <c r="J1580" i="5"/>
  <c r="M1580" i="5"/>
  <c r="E1580" i="5"/>
  <c r="K1580" i="5"/>
  <c r="I1580" i="5"/>
  <c r="H1580" i="5"/>
  <c r="Q1580" i="5"/>
  <c r="G1580" i="5"/>
  <c r="P1580" i="5"/>
  <c r="F1580" i="5"/>
  <c r="O1580" i="5"/>
  <c r="C1580" i="5"/>
  <c r="R1588" i="5"/>
  <c r="J1588" i="5"/>
  <c r="M1588" i="5"/>
  <c r="E1588" i="5"/>
  <c r="K1588" i="5"/>
  <c r="I1588" i="5"/>
  <c r="H1588" i="5"/>
  <c r="Q1588" i="5"/>
  <c r="G1588" i="5"/>
  <c r="P1588" i="5"/>
  <c r="F1588" i="5"/>
  <c r="O1588" i="5"/>
  <c r="C1588" i="5"/>
  <c r="O1591" i="5"/>
  <c r="G1591" i="5"/>
  <c r="R1591" i="5"/>
  <c r="J1591" i="5"/>
  <c r="L1591" i="5"/>
  <c r="K1591" i="5"/>
  <c r="I1591" i="5"/>
  <c r="H1591" i="5"/>
  <c r="Q1591" i="5"/>
  <c r="F1591" i="5"/>
  <c r="P1591" i="5"/>
  <c r="E1591" i="5"/>
  <c r="A1591" i="5" s="1"/>
  <c r="R1604" i="5"/>
  <c r="J1604" i="5"/>
  <c r="M1604" i="5"/>
  <c r="E1604" i="5"/>
  <c r="K1604" i="5"/>
  <c r="I1604" i="5"/>
  <c r="H1604" i="5"/>
  <c r="Q1604" i="5"/>
  <c r="G1604" i="5"/>
  <c r="P1604" i="5"/>
  <c r="F1604" i="5"/>
  <c r="O1604" i="5"/>
  <c r="C1604" i="5"/>
  <c r="A1604" i="5" s="1"/>
  <c r="A1604" i="1" s="1"/>
  <c r="O1607" i="5"/>
  <c r="G1607" i="5"/>
  <c r="R1607" i="5"/>
  <c r="J1607" i="5"/>
  <c r="L1607" i="5"/>
  <c r="K1607" i="5"/>
  <c r="I1607" i="5"/>
  <c r="H1607" i="5"/>
  <c r="Q1607" i="5"/>
  <c r="F1607" i="5"/>
  <c r="P1607" i="5"/>
  <c r="E1607" i="5"/>
  <c r="A1607" i="5" s="1"/>
  <c r="L1612" i="5"/>
  <c r="O1615" i="5"/>
  <c r="G1615" i="5"/>
  <c r="R1615" i="5"/>
  <c r="J1615" i="5"/>
  <c r="L1615" i="5"/>
  <c r="K1615" i="5"/>
  <c r="I1615" i="5"/>
  <c r="H1615" i="5"/>
  <c r="Q1615" i="5"/>
  <c r="F1615" i="5"/>
  <c r="P1615" i="5"/>
  <c r="E1615" i="5"/>
  <c r="A1615" i="5" s="1"/>
  <c r="L1620" i="5"/>
  <c r="O1623" i="5"/>
  <c r="G1623" i="5"/>
  <c r="R1623" i="5"/>
  <c r="J1623" i="5"/>
  <c r="L1623" i="5"/>
  <c r="K1623" i="5"/>
  <c r="A1623" i="5" s="1"/>
  <c r="I1623" i="5"/>
  <c r="H1623" i="5"/>
  <c r="Q1623" i="5"/>
  <c r="F1623" i="5"/>
  <c r="P1623" i="5"/>
  <c r="E1623" i="5"/>
  <c r="N1628" i="5"/>
  <c r="C1705" i="5"/>
  <c r="K1488" i="5"/>
  <c r="K1496" i="5"/>
  <c r="K1504" i="5"/>
  <c r="K1512" i="5"/>
  <c r="K1520" i="5"/>
  <c r="K1528" i="5"/>
  <c r="K1536" i="5"/>
  <c r="K1544" i="5"/>
  <c r="K1552" i="5"/>
  <c r="K1560" i="5"/>
  <c r="K1568" i="5"/>
  <c r="K1576" i="5"/>
  <c r="M1585" i="5"/>
  <c r="E1585" i="5"/>
  <c r="P1585" i="5"/>
  <c r="H1585" i="5"/>
  <c r="N1585" i="5"/>
  <c r="M1593" i="5"/>
  <c r="E1593" i="5"/>
  <c r="P1593" i="5"/>
  <c r="H1593" i="5"/>
  <c r="N1593" i="5"/>
  <c r="M1601" i="5"/>
  <c r="E1601" i="5"/>
  <c r="P1601" i="5"/>
  <c r="H1601" i="5"/>
  <c r="N1601" i="5"/>
  <c r="M1609" i="5"/>
  <c r="E1609" i="5"/>
  <c r="P1609" i="5"/>
  <c r="H1609" i="5"/>
  <c r="N1609" i="5"/>
  <c r="M1617" i="5"/>
  <c r="E1617" i="5"/>
  <c r="P1617" i="5"/>
  <c r="H1617" i="5"/>
  <c r="N1617" i="5"/>
  <c r="M1625" i="5"/>
  <c r="E1625" i="5"/>
  <c r="P1625" i="5"/>
  <c r="H1625" i="5"/>
  <c r="N1625" i="5"/>
  <c r="R1637" i="5"/>
  <c r="J1637" i="5"/>
  <c r="Q1637" i="5"/>
  <c r="I1637" i="5"/>
  <c r="O1637" i="5"/>
  <c r="G1637" i="5"/>
  <c r="L1637" i="5"/>
  <c r="C1637" i="5"/>
  <c r="P1639" i="5"/>
  <c r="H1639" i="5"/>
  <c r="O1639" i="5"/>
  <c r="G1639" i="5"/>
  <c r="M1639" i="5"/>
  <c r="E1639" i="5"/>
  <c r="R1639" i="5"/>
  <c r="J1639" i="5"/>
  <c r="R1669" i="5"/>
  <c r="J1669" i="5"/>
  <c r="Q1669" i="5"/>
  <c r="I1669" i="5"/>
  <c r="P1669" i="5"/>
  <c r="H1669" i="5"/>
  <c r="O1669" i="5"/>
  <c r="G1669" i="5"/>
  <c r="L1669" i="5"/>
  <c r="C1669" i="5"/>
  <c r="A1669" i="5" s="1"/>
  <c r="A1669" i="1" s="1"/>
  <c r="P1679" i="5"/>
  <c r="H1679" i="5"/>
  <c r="O1679" i="5"/>
  <c r="G1679" i="5"/>
  <c r="N1679" i="5"/>
  <c r="F1679" i="5"/>
  <c r="M1679" i="5"/>
  <c r="E1679" i="5"/>
  <c r="R1679" i="5"/>
  <c r="J1679" i="5"/>
  <c r="O1697" i="5"/>
  <c r="G1697" i="5"/>
  <c r="R1697" i="5"/>
  <c r="I1697" i="5"/>
  <c r="Q1697" i="5"/>
  <c r="H1697" i="5"/>
  <c r="P1697" i="5"/>
  <c r="F1697" i="5"/>
  <c r="N1697" i="5"/>
  <c r="E1697" i="5"/>
  <c r="K1697" i="5"/>
  <c r="O1721" i="5"/>
  <c r="G1721" i="5"/>
  <c r="J1721" i="5"/>
  <c r="Q1721" i="5"/>
  <c r="H1721" i="5"/>
  <c r="K1721" i="5"/>
  <c r="I1721" i="5"/>
  <c r="F1721" i="5"/>
  <c r="R1721" i="5"/>
  <c r="E1721" i="5"/>
  <c r="M1721" i="5"/>
  <c r="L1766" i="5"/>
  <c r="C1766" i="5"/>
  <c r="R1766" i="5"/>
  <c r="J1766" i="5"/>
  <c r="I1766" i="5"/>
  <c r="Q1766" i="5"/>
  <c r="G1766" i="5"/>
  <c r="K1766" i="5"/>
  <c r="H1766" i="5"/>
  <c r="F1766" i="5"/>
  <c r="E1766" i="5"/>
  <c r="O1766" i="5"/>
  <c r="N1766" i="5"/>
  <c r="N1772" i="5"/>
  <c r="F1772" i="5"/>
  <c r="L1772" i="5"/>
  <c r="C1772" i="5"/>
  <c r="M1772" i="5"/>
  <c r="J1772" i="5"/>
  <c r="P1772" i="5"/>
  <c r="O1772" i="5"/>
  <c r="K1772" i="5"/>
  <c r="I1772" i="5"/>
  <c r="G1772" i="5"/>
  <c r="R1772" i="5"/>
  <c r="E1772" i="5"/>
  <c r="P1976" i="5"/>
  <c r="H1976" i="5"/>
  <c r="L1976" i="5"/>
  <c r="C1976" i="5"/>
  <c r="O1976" i="5"/>
  <c r="E1976" i="5"/>
  <c r="K1976" i="5"/>
  <c r="I1976" i="5"/>
  <c r="N1976" i="5"/>
  <c r="M1976" i="5"/>
  <c r="J1976" i="5"/>
  <c r="G1976" i="5"/>
  <c r="F1976" i="5"/>
  <c r="R1976" i="5"/>
  <c r="Q1976" i="5"/>
  <c r="K1441" i="5"/>
  <c r="J1442" i="5"/>
  <c r="R1442" i="5"/>
  <c r="K1449" i="5"/>
  <c r="J1450" i="5"/>
  <c r="R1450" i="5"/>
  <c r="K1457" i="5"/>
  <c r="J1458" i="5"/>
  <c r="R1458" i="5"/>
  <c r="G1461" i="5"/>
  <c r="A1461" i="5" s="1"/>
  <c r="A1461" i="1" s="1"/>
  <c r="O1461" i="5"/>
  <c r="K1465" i="5"/>
  <c r="J1466" i="5"/>
  <c r="R1466" i="5"/>
  <c r="G1469" i="5"/>
  <c r="O1469" i="5"/>
  <c r="K1473" i="5"/>
  <c r="J1474" i="5"/>
  <c r="R1474" i="5"/>
  <c r="G1477" i="5"/>
  <c r="A1477" i="5" s="1"/>
  <c r="A1477" i="1" s="1"/>
  <c r="O1477" i="5"/>
  <c r="K1481" i="5"/>
  <c r="J1482" i="5"/>
  <c r="R1482" i="5"/>
  <c r="G1485" i="5"/>
  <c r="O1485" i="5"/>
  <c r="C1488" i="5"/>
  <c r="L1488" i="5"/>
  <c r="K1489" i="5"/>
  <c r="J1490" i="5"/>
  <c r="R1490" i="5"/>
  <c r="G1493" i="5"/>
  <c r="O1493" i="5"/>
  <c r="C1496" i="5"/>
  <c r="A1496" i="5" s="1"/>
  <c r="A1496" i="1" s="1"/>
  <c r="L1496" i="5"/>
  <c r="K1497" i="5"/>
  <c r="J1498" i="5"/>
  <c r="R1498" i="5"/>
  <c r="G1501" i="5"/>
  <c r="O1501" i="5"/>
  <c r="C1504" i="5"/>
  <c r="L1504" i="5"/>
  <c r="K1505" i="5"/>
  <c r="J1506" i="5"/>
  <c r="R1506" i="5"/>
  <c r="G1509" i="5"/>
  <c r="O1509" i="5"/>
  <c r="C1512" i="5"/>
  <c r="L1512" i="5"/>
  <c r="K1513" i="5"/>
  <c r="J1514" i="5"/>
  <c r="R1514" i="5"/>
  <c r="G1517" i="5"/>
  <c r="A1517" i="5" s="1"/>
  <c r="A1517" i="1" s="1"/>
  <c r="O1517" i="5"/>
  <c r="C1520" i="5"/>
  <c r="L1520" i="5"/>
  <c r="K1521" i="5"/>
  <c r="J1522" i="5"/>
  <c r="R1522" i="5"/>
  <c r="G1525" i="5"/>
  <c r="A1525" i="5" s="1"/>
  <c r="A1525" i="1" s="1"/>
  <c r="O1525" i="5"/>
  <c r="C1528" i="5"/>
  <c r="L1528" i="5"/>
  <c r="K1529" i="5"/>
  <c r="J1530" i="5"/>
  <c r="R1530" i="5"/>
  <c r="G1533" i="5"/>
  <c r="A1533" i="5" s="1"/>
  <c r="A1533" i="1" s="1"/>
  <c r="O1533" i="5"/>
  <c r="C1536" i="5"/>
  <c r="L1536" i="5"/>
  <c r="K1537" i="5"/>
  <c r="J1538" i="5"/>
  <c r="R1538" i="5"/>
  <c r="G1541" i="5"/>
  <c r="A1541" i="5" s="1"/>
  <c r="A1541" i="1" s="1"/>
  <c r="O1541" i="5"/>
  <c r="C1544" i="5"/>
  <c r="L1544" i="5"/>
  <c r="K1545" i="5"/>
  <c r="J1546" i="5"/>
  <c r="R1546" i="5"/>
  <c r="H1548" i="5"/>
  <c r="P1548" i="5"/>
  <c r="G1549" i="5"/>
  <c r="A1549" i="5" s="1"/>
  <c r="A1549" i="1" s="1"/>
  <c r="O1549" i="5"/>
  <c r="C1552" i="5"/>
  <c r="L1552" i="5"/>
  <c r="K1553" i="5"/>
  <c r="J1554" i="5"/>
  <c r="R1554" i="5"/>
  <c r="H1556" i="5"/>
  <c r="P1556" i="5"/>
  <c r="C1560" i="5"/>
  <c r="L1560" i="5"/>
  <c r="K1561" i="5"/>
  <c r="J1562" i="5"/>
  <c r="R1562" i="5"/>
  <c r="H1564" i="5"/>
  <c r="P1564" i="5"/>
  <c r="C1568" i="5"/>
  <c r="L1568" i="5"/>
  <c r="K1569" i="5"/>
  <c r="J1570" i="5"/>
  <c r="R1570" i="5"/>
  <c r="H1572" i="5"/>
  <c r="P1572" i="5"/>
  <c r="C1576" i="5"/>
  <c r="L1576" i="5"/>
  <c r="K1577" i="5"/>
  <c r="J1578" i="5"/>
  <c r="J1581" i="5"/>
  <c r="C1585" i="5"/>
  <c r="O1585" i="5"/>
  <c r="C1593" i="5"/>
  <c r="O1593" i="5"/>
  <c r="C1601" i="5"/>
  <c r="O1601" i="5"/>
  <c r="C1609" i="5"/>
  <c r="O1609" i="5"/>
  <c r="C1617" i="5"/>
  <c r="O1617" i="5"/>
  <c r="C1625" i="5"/>
  <c r="O1625" i="5"/>
  <c r="M1634" i="5"/>
  <c r="E1634" i="5"/>
  <c r="L1634" i="5"/>
  <c r="C1634" i="5"/>
  <c r="R1634" i="5"/>
  <c r="J1634" i="5"/>
  <c r="O1634" i="5"/>
  <c r="G1634" i="5"/>
  <c r="E1637" i="5"/>
  <c r="C1639" i="5"/>
  <c r="O1640" i="5"/>
  <c r="G1640" i="5"/>
  <c r="N1640" i="5"/>
  <c r="F1640" i="5"/>
  <c r="L1640" i="5"/>
  <c r="C1640" i="5"/>
  <c r="A1640" i="5" s="1"/>
  <c r="A1640" i="1" s="1"/>
  <c r="Q1640" i="5"/>
  <c r="I1640" i="5"/>
  <c r="E1669" i="5"/>
  <c r="C1679" i="5"/>
  <c r="O1688" i="5"/>
  <c r="G1688" i="5"/>
  <c r="N1688" i="5"/>
  <c r="F1688" i="5"/>
  <c r="M1688" i="5"/>
  <c r="E1688" i="5"/>
  <c r="L1688" i="5"/>
  <c r="C1688" i="5"/>
  <c r="Q1688" i="5"/>
  <c r="I1688" i="5"/>
  <c r="C1697" i="5"/>
  <c r="P1704" i="5"/>
  <c r="H1704" i="5"/>
  <c r="Q1704" i="5"/>
  <c r="G1704" i="5"/>
  <c r="O1704" i="5"/>
  <c r="F1704" i="5"/>
  <c r="N1704" i="5"/>
  <c r="E1704" i="5"/>
  <c r="M1704" i="5"/>
  <c r="C1704" i="5"/>
  <c r="J1704" i="5"/>
  <c r="C1721" i="5"/>
  <c r="M1766" i="5"/>
  <c r="H1772" i="5"/>
  <c r="Q1826" i="5"/>
  <c r="I1826" i="5"/>
  <c r="R1826" i="5"/>
  <c r="H1826" i="5"/>
  <c r="P1826" i="5"/>
  <c r="F1826" i="5"/>
  <c r="O1826" i="5"/>
  <c r="E1826" i="5"/>
  <c r="N1826" i="5"/>
  <c r="C1826" i="5"/>
  <c r="M1826" i="5"/>
  <c r="L1826" i="5"/>
  <c r="K1826" i="5"/>
  <c r="J1826" i="5"/>
  <c r="G1826" i="5"/>
  <c r="M1830" i="5"/>
  <c r="E1830" i="5"/>
  <c r="N1830" i="5"/>
  <c r="C1830" i="5"/>
  <c r="J1830" i="5"/>
  <c r="I1830" i="5"/>
  <c r="R1830" i="5"/>
  <c r="H1830" i="5"/>
  <c r="O1830" i="5"/>
  <c r="L1830" i="5"/>
  <c r="K1830" i="5"/>
  <c r="G1830" i="5"/>
  <c r="Q1830" i="5"/>
  <c r="P1830" i="5"/>
  <c r="F1830" i="5"/>
  <c r="K1442" i="5"/>
  <c r="K1450" i="5"/>
  <c r="K1458" i="5"/>
  <c r="H1461" i="5"/>
  <c r="P1461" i="5"/>
  <c r="K1466" i="5"/>
  <c r="H1469" i="5"/>
  <c r="P1469" i="5"/>
  <c r="K1474" i="5"/>
  <c r="H1477" i="5"/>
  <c r="P1477" i="5"/>
  <c r="K1482" i="5"/>
  <c r="H1485" i="5"/>
  <c r="P1485" i="5"/>
  <c r="E1488" i="5"/>
  <c r="M1488" i="5"/>
  <c r="K1490" i="5"/>
  <c r="H1493" i="5"/>
  <c r="A1493" i="5" s="1"/>
  <c r="A1493" i="1" s="1"/>
  <c r="P1493" i="5"/>
  <c r="E1496" i="5"/>
  <c r="M1496" i="5"/>
  <c r="K1498" i="5"/>
  <c r="H1501" i="5"/>
  <c r="P1501" i="5"/>
  <c r="E1504" i="5"/>
  <c r="M1504" i="5"/>
  <c r="K1506" i="5"/>
  <c r="H1509" i="5"/>
  <c r="P1509" i="5"/>
  <c r="E1512" i="5"/>
  <c r="M1512" i="5"/>
  <c r="K1514" i="5"/>
  <c r="H1517" i="5"/>
  <c r="P1517" i="5"/>
  <c r="E1520" i="5"/>
  <c r="M1520" i="5"/>
  <c r="K1522" i="5"/>
  <c r="H1525" i="5"/>
  <c r="P1525" i="5"/>
  <c r="E1528" i="5"/>
  <c r="M1528" i="5"/>
  <c r="K1530" i="5"/>
  <c r="H1533" i="5"/>
  <c r="P1533" i="5"/>
  <c r="E1536" i="5"/>
  <c r="M1536" i="5"/>
  <c r="L1537" i="5"/>
  <c r="K1538" i="5"/>
  <c r="H1541" i="5"/>
  <c r="P1541" i="5"/>
  <c r="E1544" i="5"/>
  <c r="M1544" i="5"/>
  <c r="K1546" i="5"/>
  <c r="H1549" i="5"/>
  <c r="P1549" i="5"/>
  <c r="E1552" i="5"/>
  <c r="M1552" i="5"/>
  <c r="K1554" i="5"/>
  <c r="E1560" i="5"/>
  <c r="M1560" i="5"/>
  <c r="K1562" i="5"/>
  <c r="E1568" i="5"/>
  <c r="M1568" i="5"/>
  <c r="K1570" i="5"/>
  <c r="E1576" i="5"/>
  <c r="M1576" i="5"/>
  <c r="K1578" i="5"/>
  <c r="F1585" i="5"/>
  <c r="Q1585" i="5"/>
  <c r="F1593" i="5"/>
  <c r="Q1593" i="5"/>
  <c r="F1601" i="5"/>
  <c r="Q1601" i="5"/>
  <c r="F1609" i="5"/>
  <c r="Q1609" i="5"/>
  <c r="F1617" i="5"/>
  <c r="Q1617" i="5"/>
  <c r="F1625" i="5"/>
  <c r="Q1625" i="5"/>
  <c r="F1637" i="5"/>
  <c r="F1639" i="5"/>
  <c r="A1644" i="5"/>
  <c r="A1644" i="1" s="1"/>
  <c r="R1645" i="5"/>
  <c r="J1645" i="5"/>
  <c r="Q1645" i="5"/>
  <c r="I1645" i="5"/>
  <c r="O1645" i="5"/>
  <c r="G1645" i="5"/>
  <c r="L1645" i="5"/>
  <c r="C1645" i="5"/>
  <c r="P1647" i="5"/>
  <c r="H1647" i="5"/>
  <c r="O1647" i="5"/>
  <c r="G1647" i="5"/>
  <c r="M1647" i="5"/>
  <c r="E1647" i="5"/>
  <c r="R1647" i="5"/>
  <c r="J1647" i="5"/>
  <c r="F1669" i="5"/>
  <c r="R1677" i="5"/>
  <c r="J1677" i="5"/>
  <c r="Q1677" i="5"/>
  <c r="I1677" i="5"/>
  <c r="P1677" i="5"/>
  <c r="H1677" i="5"/>
  <c r="O1677" i="5"/>
  <c r="G1677" i="5"/>
  <c r="L1677" i="5"/>
  <c r="C1677" i="5"/>
  <c r="I1679" i="5"/>
  <c r="P1687" i="5"/>
  <c r="H1687" i="5"/>
  <c r="O1687" i="5"/>
  <c r="G1687" i="5"/>
  <c r="N1687" i="5"/>
  <c r="F1687" i="5"/>
  <c r="M1687" i="5"/>
  <c r="E1687" i="5"/>
  <c r="R1687" i="5"/>
  <c r="J1687" i="5"/>
  <c r="H1688" i="5"/>
  <c r="J1697" i="5"/>
  <c r="I1704" i="5"/>
  <c r="R1712" i="5"/>
  <c r="J1712" i="5"/>
  <c r="P1712" i="5"/>
  <c r="H1712" i="5"/>
  <c r="I1712" i="5"/>
  <c r="G1712" i="5"/>
  <c r="Q1712" i="5"/>
  <c r="F1712" i="5"/>
  <c r="O1712" i="5"/>
  <c r="E1712" i="5"/>
  <c r="L1712" i="5"/>
  <c r="L1721" i="5"/>
  <c r="R1726" i="5"/>
  <c r="J1726" i="5"/>
  <c r="O1726" i="5"/>
  <c r="F1726" i="5"/>
  <c r="M1726" i="5"/>
  <c r="C1726" i="5"/>
  <c r="N1726" i="5"/>
  <c r="L1726" i="5"/>
  <c r="K1726" i="5"/>
  <c r="I1726" i="5"/>
  <c r="G1726" i="5"/>
  <c r="Q1726" i="5"/>
  <c r="E1726" i="5"/>
  <c r="O1737" i="5"/>
  <c r="G1737" i="5"/>
  <c r="J1737" i="5"/>
  <c r="Q1737" i="5"/>
  <c r="H1737" i="5"/>
  <c r="M1737" i="5"/>
  <c r="L1737" i="5"/>
  <c r="K1737" i="5"/>
  <c r="I1737" i="5"/>
  <c r="R1737" i="5"/>
  <c r="E1737" i="5"/>
  <c r="P1737" i="5"/>
  <c r="C1737" i="5"/>
  <c r="O1763" i="5"/>
  <c r="G1763" i="5"/>
  <c r="M1763" i="5"/>
  <c r="E1763" i="5"/>
  <c r="K1763" i="5"/>
  <c r="I1763" i="5"/>
  <c r="P1763" i="5"/>
  <c r="N1763" i="5"/>
  <c r="L1763" i="5"/>
  <c r="J1763" i="5"/>
  <c r="F1763" i="5"/>
  <c r="R1763" i="5"/>
  <c r="C1763" i="5"/>
  <c r="A1763" i="5" s="1"/>
  <c r="A1763" i="1" s="1"/>
  <c r="P1766" i="5"/>
  <c r="Q1772" i="5"/>
  <c r="J1436" i="5"/>
  <c r="A1436" i="5" s="1"/>
  <c r="A1436" i="1" s="1"/>
  <c r="R1436" i="5"/>
  <c r="E1441" i="5"/>
  <c r="A1441" i="5" s="1"/>
  <c r="A1441" i="1" s="1"/>
  <c r="M1441" i="5"/>
  <c r="C1442" i="5"/>
  <c r="L1442" i="5"/>
  <c r="J1444" i="5"/>
  <c r="R1444" i="5"/>
  <c r="E1449" i="5"/>
  <c r="M1449" i="5"/>
  <c r="C1450" i="5"/>
  <c r="L1450" i="5"/>
  <c r="J1452" i="5"/>
  <c r="R1452" i="5"/>
  <c r="A1452" i="5" s="1"/>
  <c r="A1452" i="1" s="1"/>
  <c r="E1457" i="5"/>
  <c r="M1457" i="5"/>
  <c r="C1458" i="5"/>
  <c r="L1458" i="5"/>
  <c r="J1460" i="5"/>
  <c r="A1460" i="5" s="1"/>
  <c r="A1460" i="1" s="1"/>
  <c r="R1460" i="5"/>
  <c r="I1461" i="5"/>
  <c r="Q1461" i="5"/>
  <c r="E1465" i="5"/>
  <c r="M1465" i="5"/>
  <c r="C1466" i="5"/>
  <c r="L1466" i="5"/>
  <c r="J1468" i="5"/>
  <c r="A1468" i="5" s="1"/>
  <c r="A1468" i="1" s="1"/>
  <c r="R1468" i="5"/>
  <c r="I1469" i="5"/>
  <c r="Q1469" i="5"/>
  <c r="A1469" i="5" s="1"/>
  <c r="A1469" i="1" s="1"/>
  <c r="E1473" i="5"/>
  <c r="M1473" i="5"/>
  <c r="C1474" i="5"/>
  <c r="L1474" i="5"/>
  <c r="J1476" i="5"/>
  <c r="A1476" i="5" s="1"/>
  <c r="A1476" i="1" s="1"/>
  <c r="R1476" i="5"/>
  <c r="I1477" i="5"/>
  <c r="Q1477" i="5"/>
  <c r="E1481" i="5"/>
  <c r="M1481" i="5"/>
  <c r="C1482" i="5"/>
  <c r="L1482" i="5"/>
  <c r="J1484" i="5"/>
  <c r="A1484" i="5" s="1"/>
  <c r="A1484" i="1" s="1"/>
  <c r="R1484" i="5"/>
  <c r="I1485" i="5"/>
  <c r="Q1485" i="5"/>
  <c r="F1488" i="5"/>
  <c r="N1488" i="5"/>
  <c r="E1489" i="5"/>
  <c r="M1489" i="5"/>
  <c r="C1490" i="5"/>
  <c r="A1490" i="5" s="1"/>
  <c r="L1490" i="5"/>
  <c r="J1492" i="5"/>
  <c r="R1492" i="5"/>
  <c r="A1492" i="5" s="1"/>
  <c r="A1492" i="1" s="1"/>
  <c r="I1493" i="5"/>
  <c r="Q1493" i="5"/>
  <c r="F1496" i="5"/>
  <c r="N1496" i="5"/>
  <c r="E1497" i="5"/>
  <c r="M1497" i="5"/>
  <c r="C1498" i="5"/>
  <c r="L1498" i="5"/>
  <c r="J1500" i="5"/>
  <c r="A1500" i="5" s="1"/>
  <c r="A1500" i="1" s="1"/>
  <c r="R1500" i="5"/>
  <c r="I1501" i="5"/>
  <c r="Q1501" i="5"/>
  <c r="F1504" i="5"/>
  <c r="N1504" i="5"/>
  <c r="E1505" i="5"/>
  <c r="M1505" i="5"/>
  <c r="C1506" i="5"/>
  <c r="L1506" i="5"/>
  <c r="J1508" i="5"/>
  <c r="A1508" i="5" s="1"/>
  <c r="A1508" i="1" s="1"/>
  <c r="R1508" i="5"/>
  <c r="I1509" i="5"/>
  <c r="Q1509" i="5"/>
  <c r="F1512" i="5"/>
  <c r="N1512" i="5"/>
  <c r="E1513" i="5"/>
  <c r="M1513" i="5"/>
  <c r="C1514" i="5"/>
  <c r="L1514" i="5"/>
  <c r="J1516" i="5"/>
  <c r="A1516" i="5" s="1"/>
  <c r="A1516" i="1" s="1"/>
  <c r="R1516" i="5"/>
  <c r="I1517" i="5"/>
  <c r="Q1517" i="5"/>
  <c r="F1520" i="5"/>
  <c r="N1520" i="5"/>
  <c r="E1521" i="5"/>
  <c r="M1521" i="5"/>
  <c r="C1522" i="5"/>
  <c r="L1522" i="5"/>
  <c r="J1524" i="5"/>
  <c r="R1524" i="5"/>
  <c r="A1524" i="5" s="1"/>
  <c r="A1524" i="1" s="1"/>
  <c r="I1525" i="5"/>
  <c r="Q1525" i="5"/>
  <c r="F1528" i="5"/>
  <c r="N1528" i="5"/>
  <c r="E1529" i="5"/>
  <c r="A1529" i="5" s="1"/>
  <c r="A1529" i="1" s="1"/>
  <c r="M1529" i="5"/>
  <c r="C1530" i="5"/>
  <c r="L1530" i="5"/>
  <c r="J1532" i="5"/>
  <c r="A1532" i="5" s="1"/>
  <c r="A1532" i="1" s="1"/>
  <c r="R1532" i="5"/>
  <c r="I1533" i="5"/>
  <c r="Q1533" i="5"/>
  <c r="F1536" i="5"/>
  <c r="N1536" i="5"/>
  <c r="E1537" i="5"/>
  <c r="M1537" i="5"/>
  <c r="C1538" i="5"/>
  <c r="L1538" i="5"/>
  <c r="J1540" i="5"/>
  <c r="A1540" i="5" s="1"/>
  <c r="A1540" i="1" s="1"/>
  <c r="R1540" i="5"/>
  <c r="I1541" i="5"/>
  <c r="Q1541" i="5"/>
  <c r="F1544" i="5"/>
  <c r="N1544" i="5"/>
  <c r="E1545" i="5"/>
  <c r="M1545" i="5"/>
  <c r="C1546" i="5"/>
  <c r="L1546" i="5"/>
  <c r="J1548" i="5"/>
  <c r="A1548" i="5" s="1"/>
  <c r="A1548" i="1" s="1"/>
  <c r="R1548" i="5"/>
  <c r="I1549" i="5"/>
  <c r="Q1549" i="5"/>
  <c r="F1552" i="5"/>
  <c r="N1552" i="5"/>
  <c r="E1553" i="5"/>
  <c r="M1553" i="5"/>
  <c r="C1554" i="5"/>
  <c r="L1554" i="5"/>
  <c r="K1555" i="5"/>
  <c r="J1556" i="5"/>
  <c r="R1556" i="5"/>
  <c r="F1560" i="5"/>
  <c r="N1560" i="5"/>
  <c r="E1561" i="5"/>
  <c r="M1561" i="5"/>
  <c r="C1562" i="5"/>
  <c r="L1562" i="5"/>
  <c r="K1563" i="5"/>
  <c r="J1564" i="5"/>
  <c r="R1564" i="5"/>
  <c r="F1568" i="5"/>
  <c r="N1568" i="5"/>
  <c r="E1569" i="5"/>
  <c r="M1569" i="5"/>
  <c r="C1570" i="5"/>
  <c r="L1570" i="5"/>
  <c r="K1571" i="5"/>
  <c r="J1572" i="5"/>
  <c r="R1572" i="5"/>
  <c r="F1576" i="5"/>
  <c r="N1576" i="5"/>
  <c r="E1577" i="5"/>
  <c r="M1577" i="5"/>
  <c r="C1578" i="5"/>
  <c r="A1578" i="5" s="1"/>
  <c r="L1578" i="5"/>
  <c r="N1584" i="5"/>
  <c r="F1584" i="5"/>
  <c r="Q1584" i="5"/>
  <c r="I1584" i="5"/>
  <c r="M1584" i="5"/>
  <c r="G1585" i="5"/>
  <c r="R1585" i="5"/>
  <c r="N1592" i="5"/>
  <c r="F1592" i="5"/>
  <c r="Q1592" i="5"/>
  <c r="I1592" i="5"/>
  <c r="M1592" i="5"/>
  <c r="G1593" i="5"/>
  <c r="R1593" i="5"/>
  <c r="N1600" i="5"/>
  <c r="F1600" i="5"/>
  <c r="Q1600" i="5"/>
  <c r="I1600" i="5"/>
  <c r="M1600" i="5"/>
  <c r="G1601" i="5"/>
  <c r="R1601" i="5"/>
  <c r="N1608" i="5"/>
  <c r="F1608" i="5"/>
  <c r="Q1608" i="5"/>
  <c r="I1608" i="5"/>
  <c r="M1608" i="5"/>
  <c r="G1609" i="5"/>
  <c r="R1609" i="5"/>
  <c r="N1616" i="5"/>
  <c r="F1616" i="5"/>
  <c r="Q1616" i="5"/>
  <c r="I1616" i="5"/>
  <c r="M1616" i="5"/>
  <c r="G1617" i="5"/>
  <c r="R1617" i="5"/>
  <c r="N1624" i="5"/>
  <c r="F1624" i="5"/>
  <c r="Q1624" i="5"/>
  <c r="I1624" i="5"/>
  <c r="M1624" i="5"/>
  <c r="G1625" i="5"/>
  <c r="R1625" i="5"/>
  <c r="H1634" i="5"/>
  <c r="H1637" i="5"/>
  <c r="I1639" i="5"/>
  <c r="H1640" i="5"/>
  <c r="M1642" i="5"/>
  <c r="E1642" i="5"/>
  <c r="L1642" i="5"/>
  <c r="C1642" i="5"/>
  <c r="R1642" i="5"/>
  <c r="J1642" i="5"/>
  <c r="O1642" i="5"/>
  <c r="G1642" i="5"/>
  <c r="E1645" i="5"/>
  <c r="C1647" i="5"/>
  <c r="O1648" i="5"/>
  <c r="G1648" i="5"/>
  <c r="N1648" i="5"/>
  <c r="F1648" i="5"/>
  <c r="L1648" i="5"/>
  <c r="C1648" i="5"/>
  <c r="Q1648" i="5"/>
  <c r="I1648" i="5"/>
  <c r="P1650" i="5"/>
  <c r="O1664" i="5"/>
  <c r="G1664" i="5"/>
  <c r="N1664" i="5"/>
  <c r="F1664" i="5"/>
  <c r="M1664" i="5"/>
  <c r="E1664" i="5"/>
  <c r="L1664" i="5"/>
  <c r="C1664" i="5"/>
  <c r="Q1664" i="5"/>
  <c r="I1664" i="5"/>
  <c r="K1669" i="5"/>
  <c r="E1677" i="5"/>
  <c r="K1679" i="5"/>
  <c r="C1687" i="5"/>
  <c r="A1687" i="5" s="1"/>
  <c r="J1688" i="5"/>
  <c r="P1696" i="5"/>
  <c r="H1696" i="5"/>
  <c r="Q1696" i="5"/>
  <c r="G1696" i="5"/>
  <c r="O1696" i="5"/>
  <c r="F1696" i="5"/>
  <c r="N1696" i="5"/>
  <c r="E1696" i="5"/>
  <c r="M1696" i="5"/>
  <c r="C1696" i="5"/>
  <c r="J1696" i="5"/>
  <c r="L1697" i="5"/>
  <c r="M1699" i="5"/>
  <c r="E1699" i="5"/>
  <c r="K1699" i="5"/>
  <c r="J1699" i="5"/>
  <c r="R1699" i="5"/>
  <c r="I1699" i="5"/>
  <c r="Q1699" i="5"/>
  <c r="H1699" i="5"/>
  <c r="N1699" i="5"/>
  <c r="C1699" i="5"/>
  <c r="K1704" i="5"/>
  <c r="C1712" i="5"/>
  <c r="N1721" i="5"/>
  <c r="A1757" i="5"/>
  <c r="A1757" i="1" s="1"/>
  <c r="Q1769" i="5"/>
  <c r="I1769" i="5"/>
  <c r="O1769" i="5"/>
  <c r="G1769" i="5"/>
  <c r="K1769" i="5"/>
  <c r="H1769" i="5"/>
  <c r="J1769" i="5"/>
  <c r="F1769" i="5"/>
  <c r="E1769" i="5"/>
  <c r="R1769" i="5"/>
  <c r="C1769" i="5"/>
  <c r="A1769" i="5" s="1"/>
  <c r="A1769" i="1" s="1"/>
  <c r="N1769" i="5"/>
  <c r="M1769" i="5"/>
  <c r="F1441" i="5"/>
  <c r="E1442" i="5"/>
  <c r="F1449" i="5"/>
  <c r="E1450" i="5"/>
  <c r="F1457" i="5"/>
  <c r="E1458" i="5"/>
  <c r="J1461" i="5"/>
  <c r="R1461" i="5"/>
  <c r="F1465" i="5"/>
  <c r="E1466" i="5"/>
  <c r="J1469" i="5"/>
  <c r="R1469" i="5"/>
  <c r="F1473" i="5"/>
  <c r="E1474" i="5"/>
  <c r="J1477" i="5"/>
  <c r="R1477" i="5"/>
  <c r="F1481" i="5"/>
  <c r="E1482" i="5"/>
  <c r="J1485" i="5"/>
  <c r="A1485" i="5" s="1"/>
  <c r="A1485" i="1" s="1"/>
  <c r="R1485" i="5"/>
  <c r="G1488" i="5"/>
  <c r="O1488" i="5"/>
  <c r="F1489" i="5"/>
  <c r="E1490" i="5"/>
  <c r="J1493" i="5"/>
  <c r="R1493" i="5"/>
  <c r="G1496" i="5"/>
  <c r="O1496" i="5"/>
  <c r="F1497" i="5"/>
  <c r="E1498" i="5"/>
  <c r="J1501" i="5"/>
  <c r="R1501" i="5"/>
  <c r="G1504" i="5"/>
  <c r="O1504" i="5"/>
  <c r="F1505" i="5"/>
  <c r="E1506" i="5"/>
  <c r="J1509" i="5"/>
  <c r="R1509" i="5"/>
  <c r="G1512" i="5"/>
  <c r="O1512" i="5"/>
  <c r="F1513" i="5"/>
  <c r="E1514" i="5"/>
  <c r="J1517" i="5"/>
  <c r="R1517" i="5"/>
  <c r="G1520" i="5"/>
  <c r="O1520" i="5"/>
  <c r="F1521" i="5"/>
  <c r="E1522" i="5"/>
  <c r="J1525" i="5"/>
  <c r="R1525" i="5"/>
  <c r="G1528" i="5"/>
  <c r="O1528" i="5"/>
  <c r="F1529" i="5"/>
  <c r="E1530" i="5"/>
  <c r="J1533" i="5"/>
  <c r="R1533" i="5"/>
  <c r="G1536" i="5"/>
  <c r="O1536" i="5"/>
  <c r="F1537" i="5"/>
  <c r="E1538" i="5"/>
  <c r="J1541" i="5"/>
  <c r="R1541" i="5"/>
  <c r="G1544" i="5"/>
  <c r="O1544" i="5"/>
  <c r="F1545" i="5"/>
  <c r="E1546" i="5"/>
  <c r="J1549" i="5"/>
  <c r="R1549" i="5"/>
  <c r="G1552" i="5"/>
  <c r="O1552" i="5"/>
  <c r="F1553" i="5"/>
  <c r="N1553" i="5"/>
  <c r="E1554" i="5"/>
  <c r="M1554" i="5"/>
  <c r="K1556" i="5"/>
  <c r="G1560" i="5"/>
  <c r="O1560" i="5"/>
  <c r="F1561" i="5"/>
  <c r="N1561" i="5"/>
  <c r="E1562" i="5"/>
  <c r="M1562" i="5"/>
  <c r="K1564" i="5"/>
  <c r="G1568" i="5"/>
  <c r="O1568" i="5"/>
  <c r="F1569" i="5"/>
  <c r="N1569" i="5"/>
  <c r="E1570" i="5"/>
  <c r="M1570" i="5"/>
  <c r="K1572" i="5"/>
  <c r="G1576" i="5"/>
  <c r="O1576" i="5"/>
  <c r="F1577" i="5"/>
  <c r="N1577" i="5"/>
  <c r="E1578" i="5"/>
  <c r="M1578" i="5"/>
  <c r="Q1581" i="5"/>
  <c r="I1581" i="5"/>
  <c r="L1581" i="5"/>
  <c r="C1581" i="5"/>
  <c r="N1581" i="5"/>
  <c r="I1585" i="5"/>
  <c r="Q1589" i="5"/>
  <c r="I1589" i="5"/>
  <c r="L1589" i="5"/>
  <c r="C1589" i="5"/>
  <c r="N1589" i="5"/>
  <c r="I1593" i="5"/>
  <c r="Q1597" i="5"/>
  <c r="I1597" i="5"/>
  <c r="L1597" i="5"/>
  <c r="C1597" i="5"/>
  <c r="N1597" i="5"/>
  <c r="C1600" i="5"/>
  <c r="O1600" i="5"/>
  <c r="I1601" i="5"/>
  <c r="Q1605" i="5"/>
  <c r="I1605" i="5"/>
  <c r="L1605" i="5"/>
  <c r="C1605" i="5"/>
  <c r="N1605" i="5"/>
  <c r="C1608" i="5"/>
  <c r="O1608" i="5"/>
  <c r="I1609" i="5"/>
  <c r="Q1613" i="5"/>
  <c r="I1613" i="5"/>
  <c r="L1613" i="5"/>
  <c r="C1613" i="5"/>
  <c r="N1613" i="5"/>
  <c r="C1616" i="5"/>
  <c r="O1616" i="5"/>
  <c r="I1617" i="5"/>
  <c r="Q1621" i="5"/>
  <c r="I1621" i="5"/>
  <c r="L1621" i="5"/>
  <c r="C1621" i="5"/>
  <c r="N1621" i="5"/>
  <c r="C1624" i="5"/>
  <c r="O1624" i="5"/>
  <c r="I1625" i="5"/>
  <c r="Q1629" i="5"/>
  <c r="I1629" i="5"/>
  <c r="L1629" i="5"/>
  <c r="C1629" i="5"/>
  <c r="N1629" i="5"/>
  <c r="I1634" i="5"/>
  <c r="K1637" i="5"/>
  <c r="K1639" i="5"/>
  <c r="J1640" i="5"/>
  <c r="F1642" i="5"/>
  <c r="F1645" i="5"/>
  <c r="F1647" i="5"/>
  <c r="E1648" i="5"/>
  <c r="R1653" i="5"/>
  <c r="J1653" i="5"/>
  <c r="Q1653" i="5"/>
  <c r="I1653" i="5"/>
  <c r="O1653" i="5"/>
  <c r="G1653" i="5"/>
  <c r="L1653" i="5"/>
  <c r="C1653" i="5"/>
  <c r="P1655" i="5"/>
  <c r="H1655" i="5"/>
  <c r="O1655" i="5"/>
  <c r="G1655" i="5"/>
  <c r="M1655" i="5"/>
  <c r="E1655" i="5"/>
  <c r="A1655" i="5" s="1"/>
  <c r="R1655" i="5"/>
  <c r="J1655" i="5"/>
  <c r="P1663" i="5"/>
  <c r="H1663" i="5"/>
  <c r="A1663" i="5" s="1"/>
  <c r="O1663" i="5"/>
  <c r="G1663" i="5"/>
  <c r="N1663" i="5"/>
  <c r="F1663" i="5"/>
  <c r="M1663" i="5"/>
  <c r="E1663" i="5"/>
  <c r="R1663" i="5"/>
  <c r="J1663" i="5"/>
  <c r="H1664" i="5"/>
  <c r="M1669" i="5"/>
  <c r="F1677" i="5"/>
  <c r="L1679" i="5"/>
  <c r="R1685" i="5"/>
  <c r="J1685" i="5"/>
  <c r="Q1685" i="5"/>
  <c r="I1685" i="5"/>
  <c r="P1685" i="5"/>
  <c r="H1685" i="5"/>
  <c r="O1685" i="5"/>
  <c r="G1685" i="5"/>
  <c r="L1685" i="5"/>
  <c r="C1685" i="5"/>
  <c r="I1687" i="5"/>
  <c r="K1688" i="5"/>
  <c r="I1696" i="5"/>
  <c r="M1697" i="5"/>
  <c r="F1699" i="5"/>
  <c r="L1704" i="5"/>
  <c r="K1712" i="5"/>
  <c r="P1721" i="5"/>
  <c r="P1726" i="5"/>
  <c r="N1737" i="5"/>
  <c r="L1740" i="5"/>
  <c r="C1740" i="5"/>
  <c r="N1740" i="5"/>
  <c r="E1740" i="5"/>
  <c r="K1740" i="5"/>
  <c r="I1740" i="5"/>
  <c r="H1740" i="5"/>
  <c r="R1740" i="5"/>
  <c r="G1740" i="5"/>
  <c r="Q1740" i="5"/>
  <c r="F1740" i="5"/>
  <c r="O1740" i="5"/>
  <c r="M1740" i="5"/>
  <c r="Q1763" i="5"/>
  <c r="L1769" i="5"/>
  <c r="A1848" i="5"/>
  <c r="A1848" i="1" s="1"/>
  <c r="H1488" i="5"/>
  <c r="H1496" i="5"/>
  <c r="H1504" i="5"/>
  <c r="H1512" i="5"/>
  <c r="H1520" i="5"/>
  <c r="H1528" i="5"/>
  <c r="H1536" i="5"/>
  <c r="H1544" i="5"/>
  <c r="H1552" i="5"/>
  <c r="G1553" i="5"/>
  <c r="F1554" i="5"/>
  <c r="E1555" i="5"/>
  <c r="A1555" i="5" s="1"/>
  <c r="A1555" i="1" s="1"/>
  <c r="C1556" i="5"/>
  <c r="H1560" i="5"/>
  <c r="G1561" i="5"/>
  <c r="F1562" i="5"/>
  <c r="E1563" i="5"/>
  <c r="C1564" i="5"/>
  <c r="H1568" i="5"/>
  <c r="G1569" i="5"/>
  <c r="F1570" i="5"/>
  <c r="E1571" i="5"/>
  <c r="A1571" i="5" s="1"/>
  <c r="A1571" i="1" s="1"/>
  <c r="C1572" i="5"/>
  <c r="H1576" i="5"/>
  <c r="G1577" i="5"/>
  <c r="F1578" i="5"/>
  <c r="N1578" i="5"/>
  <c r="E1581" i="5"/>
  <c r="O1581" i="5"/>
  <c r="E1584" i="5"/>
  <c r="A1584" i="5" s="1"/>
  <c r="A1584" i="1" s="1"/>
  <c r="P1584" i="5"/>
  <c r="J1585" i="5"/>
  <c r="L1586" i="5"/>
  <c r="C1586" i="5"/>
  <c r="O1586" i="5"/>
  <c r="G1586" i="5"/>
  <c r="N1586" i="5"/>
  <c r="E1589" i="5"/>
  <c r="O1589" i="5"/>
  <c r="E1592" i="5"/>
  <c r="P1592" i="5"/>
  <c r="J1593" i="5"/>
  <c r="L1594" i="5"/>
  <c r="C1594" i="5"/>
  <c r="A1594" i="5" s="1"/>
  <c r="O1594" i="5"/>
  <c r="G1594" i="5"/>
  <c r="N1594" i="5"/>
  <c r="E1597" i="5"/>
  <c r="O1597" i="5"/>
  <c r="E1600" i="5"/>
  <c r="P1600" i="5"/>
  <c r="J1601" i="5"/>
  <c r="L1602" i="5"/>
  <c r="C1602" i="5"/>
  <c r="A1602" i="5" s="1"/>
  <c r="O1602" i="5"/>
  <c r="G1602" i="5"/>
  <c r="N1602" i="5"/>
  <c r="E1605" i="5"/>
  <c r="O1605" i="5"/>
  <c r="E1608" i="5"/>
  <c r="P1608" i="5"/>
  <c r="J1609" i="5"/>
  <c r="L1610" i="5"/>
  <c r="C1610" i="5"/>
  <c r="O1610" i="5"/>
  <c r="G1610" i="5"/>
  <c r="N1610" i="5"/>
  <c r="E1613" i="5"/>
  <c r="O1613" i="5"/>
  <c r="E1616" i="5"/>
  <c r="P1616" i="5"/>
  <c r="J1617" i="5"/>
  <c r="L1618" i="5"/>
  <c r="C1618" i="5"/>
  <c r="O1618" i="5"/>
  <c r="G1618" i="5"/>
  <c r="N1618" i="5"/>
  <c r="E1621" i="5"/>
  <c r="O1621" i="5"/>
  <c r="E1624" i="5"/>
  <c r="P1624" i="5"/>
  <c r="J1625" i="5"/>
  <c r="L1626" i="5"/>
  <c r="C1626" i="5"/>
  <c r="A1626" i="5" s="1"/>
  <c r="O1626" i="5"/>
  <c r="G1626" i="5"/>
  <c r="N1626" i="5"/>
  <c r="K1634" i="5"/>
  <c r="M1637" i="5"/>
  <c r="L1639" i="5"/>
  <c r="K1640" i="5"/>
  <c r="H1642" i="5"/>
  <c r="H1645" i="5"/>
  <c r="I1647" i="5"/>
  <c r="H1648" i="5"/>
  <c r="M1650" i="5"/>
  <c r="E1650" i="5"/>
  <c r="L1650" i="5"/>
  <c r="C1650" i="5"/>
  <c r="R1650" i="5"/>
  <c r="J1650" i="5"/>
  <c r="O1650" i="5"/>
  <c r="G1650" i="5"/>
  <c r="O1656" i="5"/>
  <c r="G1656" i="5"/>
  <c r="N1656" i="5"/>
  <c r="F1656" i="5"/>
  <c r="L1656" i="5"/>
  <c r="C1656" i="5"/>
  <c r="Q1656" i="5"/>
  <c r="I1656" i="5"/>
  <c r="J1664" i="5"/>
  <c r="N1669" i="5"/>
  <c r="O1672" i="5"/>
  <c r="G1672" i="5"/>
  <c r="N1672" i="5"/>
  <c r="F1672" i="5"/>
  <c r="M1672" i="5"/>
  <c r="E1672" i="5"/>
  <c r="L1672" i="5"/>
  <c r="C1672" i="5"/>
  <c r="Q1672" i="5"/>
  <c r="I1672" i="5"/>
  <c r="K1677" i="5"/>
  <c r="Q1679" i="5"/>
  <c r="K1687" i="5"/>
  <c r="P1688" i="5"/>
  <c r="K1696" i="5"/>
  <c r="G1699" i="5"/>
  <c r="A1701" i="5"/>
  <c r="A1701" i="1" s="1"/>
  <c r="R1704" i="5"/>
  <c r="M1712" i="5"/>
  <c r="Q1727" i="5"/>
  <c r="I1727" i="5"/>
  <c r="P1727" i="5"/>
  <c r="G1727" i="5"/>
  <c r="N1727" i="5"/>
  <c r="E1727" i="5"/>
  <c r="J1727" i="5"/>
  <c r="H1727" i="5"/>
  <c r="F1727" i="5"/>
  <c r="R1727" i="5"/>
  <c r="C1727" i="5"/>
  <c r="M1727" i="5"/>
  <c r="L1727" i="5"/>
  <c r="N1738" i="5"/>
  <c r="F1738" i="5"/>
  <c r="K1738" i="5"/>
  <c r="R1738" i="5"/>
  <c r="I1738" i="5"/>
  <c r="H1738" i="5"/>
  <c r="G1738" i="5"/>
  <c r="Q1738" i="5"/>
  <c r="E1738" i="5"/>
  <c r="P1738" i="5"/>
  <c r="C1738" i="5"/>
  <c r="M1738" i="5"/>
  <c r="L1738" i="5"/>
  <c r="J1740" i="5"/>
  <c r="P1769" i="5"/>
  <c r="O1792" i="5"/>
  <c r="G1792" i="5"/>
  <c r="J1792" i="5"/>
  <c r="Q1792" i="5"/>
  <c r="H1792" i="5"/>
  <c r="I1792" i="5"/>
  <c r="R1792" i="5"/>
  <c r="E1792" i="5"/>
  <c r="P1792" i="5"/>
  <c r="N1792" i="5"/>
  <c r="M1792" i="5"/>
  <c r="L1792" i="5"/>
  <c r="F1792" i="5"/>
  <c r="C1792" i="5"/>
  <c r="A1872" i="5"/>
  <c r="A1872" i="1" s="1"/>
  <c r="F1579" i="5"/>
  <c r="N1579" i="5"/>
  <c r="A1579" i="5" s="1"/>
  <c r="A1579" i="1" s="1"/>
  <c r="K1582" i="5"/>
  <c r="F1587" i="5"/>
  <c r="A1587" i="5" s="1"/>
  <c r="A1587" i="1" s="1"/>
  <c r="N1587" i="5"/>
  <c r="K1590" i="5"/>
  <c r="F1595" i="5"/>
  <c r="A1595" i="5" s="1"/>
  <c r="A1595" i="1" s="1"/>
  <c r="N1595" i="5"/>
  <c r="K1598" i="5"/>
  <c r="F1603" i="5"/>
  <c r="A1603" i="5" s="1"/>
  <c r="A1603" i="1" s="1"/>
  <c r="N1603" i="5"/>
  <c r="K1606" i="5"/>
  <c r="F1611" i="5"/>
  <c r="N1611" i="5"/>
  <c r="K1614" i="5"/>
  <c r="F1619" i="5"/>
  <c r="A1619" i="5" s="1"/>
  <c r="A1619" i="1" s="1"/>
  <c r="N1619" i="5"/>
  <c r="K1622" i="5"/>
  <c r="F1627" i="5"/>
  <c r="N1627" i="5"/>
  <c r="K1630" i="5"/>
  <c r="H1633" i="5"/>
  <c r="P1633" i="5"/>
  <c r="F1635" i="5"/>
  <c r="A1635" i="5" s="1"/>
  <c r="A1635" i="1" s="1"/>
  <c r="N1635" i="5"/>
  <c r="E1636" i="5"/>
  <c r="A1636" i="5" s="1"/>
  <c r="A1636" i="1" s="1"/>
  <c r="M1636" i="5"/>
  <c r="H1641" i="5"/>
  <c r="P1641" i="5"/>
  <c r="F1643" i="5"/>
  <c r="N1643" i="5"/>
  <c r="E1644" i="5"/>
  <c r="M1644" i="5"/>
  <c r="H1649" i="5"/>
  <c r="P1649" i="5"/>
  <c r="F1651" i="5"/>
  <c r="A1651" i="5" s="1"/>
  <c r="A1651" i="1" s="1"/>
  <c r="N1651" i="5"/>
  <c r="E1652" i="5"/>
  <c r="A1652" i="5" s="1"/>
  <c r="A1652" i="1" s="1"/>
  <c r="M1652" i="5"/>
  <c r="H1657" i="5"/>
  <c r="P1657" i="5"/>
  <c r="F1659" i="5"/>
  <c r="A1659" i="5" s="1"/>
  <c r="A1659" i="1" s="1"/>
  <c r="N1659" i="5"/>
  <c r="E1660" i="5"/>
  <c r="A1660" i="5" s="1"/>
  <c r="A1660" i="1" s="1"/>
  <c r="M1660" i="5"/>
  <c r="H1665" i="5"/>
  <c r="P1665" i="5"/>
  <c r="G1666" i="5"/>
  <c r="O1666" i="5"/>
  <c r="F1667" i="5"/>
  <c r="A1667" i="5" s="1"/>
  <c r="A1667" i="1" s="1"/>
  <c r="N1667" i="5"/>
  <c r="E1668" i="5"/>
  <c r="A1668" i="5" s="1"/>
  <c r="A1668" i="1" s="1"/>
  <c r="M1668" i="5"/>
  <c r="H1673" i="5"/>
  <c r="P1673" i="5"/>
  <c r="G1674" i="5"/>
  <c r="O1674" i="5"/>
  <c r="F1675" i="5"/>
  <c r="A1675" i="5" s="1"/>
  <c r="A1675" i="1" s="1"/>
  <c r="N1675" i="5"/>
  <c r="E1676" i="5"/>
  <c r="A1676" i="5" s="1"/>
  <c r="A1676" i="1" s="1"/>
  <c r="M1676" i="5"/>
  <c r="H1681" i="5"/>
  <c r="P1681" i="5"/>
  <c r="G1682" i="5"/>
  <c r="O1682" i="5"/>
  <c r="F1683" i="5"/>
  <c r="A1683" i="5" s="1"/>
  <c r="A1683" i="1" s="1"/>
  <c r="N1683" i="5"/>
  <c r="E1684" i="5"/>
  <c r="A1684" i="5" s="1"/>
  <c r="A1684" i="1" s="1"/>
  <c r="M1684" i="5"/>
  <c r="H1689" i="5"/>
  <c r="P1689" i="5"/>
  <c r="G1690" i="5"/>
  <c r="O1690" i="5"/>
  <c r="F1691" i="5"/>
  <c r="A1691" i="5" s="1"/>
  <c r="A1691" i="1" s="1"/>
  <c r="N1691" i="5"/>
  <c r="F1692" i="5"/>
  <c r="O1692" i="5"/>
  <c r="G1694" i="5"/>
  <c r="P1694" i="5"/>
  <c r="H1695" i="5"/>
  <c r="N1698" i="5"/>
  <c r="F1698" i="5"/>
  <c r="A1698" i="5" s="1"/>
  <c r="L1698" i="5"/>
  <c r="F1700" i="5"/>
  <c r="O1700" i="5"/>
  <c r="G1702" i="5"/>
  <c r="P1702" i="5"/>
  <c r="H1703" i="5"/>
  <c r="P1706" i="5"/>
  <c r="N1706" i="5"/>
  <c r="A1706" i="5" s="1"/>
  <c r="F1706" i="5"/>
  <c r="L1706" i="5"/>
  <c r="F1707" i="5"/>
  <c r="Q1707" i="5"/>
  <c r="E1713" i="5"/>
  <c r="P1713" i="5"/>
  <c r="O1715" i="5"/>
  <c r="G1715" i="5"/>
  <c r="M1715" i="5"/>
  <c r="E1715" i="5"/>
  <c r="A1715" i="5" s="1"/>
  <c r="A1715" i="1" s="1"/>
  <c r="N1715" i="5"/>
  <c r="H1716" i="5"/>
  <c r="R1718" i="5"/>
  <c r="J1718" i="5"/>
  <c r="O1718" i="5"/>
  <c r="F1718" i="5"/>
  <c r="M1718" i="5"/>
  <c r="C1718" i="5"/>
  <c r="P1718" i="5"/>
  <c r="E1720" i="5"/>
  <c r="H1722" i="5"/>
  <c r="I1724" i="5"/>
  <c r="O1729" i="5"/>
  <c r="G1729" i="5"/>
  <c r="A1729" i="5" s="1"/>
  <c r="A1729" i="1" s="1"/>
  <c r="J1729" i="5"/>
  <c r="Q1729" i="5"/>
  <c r="H1729" i="5"/>
  <c r="N1729" i="5"/>
  <c r="G1734" i="5"/>
  <c r="J1736" i="5"/>
  <c r="E1746" i="5"/>
  <c r="A1746" i="5" s="1"/>
  <c r="G1750" i="5"/>
  <c r="K1754" i="5"/>
  <c r="I1762" i="5"/>
  <c r="J1770" i="5"/>
  <c r="H1771" i="5"/>
  <c r="L1781" i="5"/>
  <c r="K1783" i="5"/>
  <c r="L1789" i="5"/>
  <c r="E1791" i="5"/>
  <c r="A1791" i="5" s="1"/>
  <c r="P1800" i="5"/>
  <c r="O1868" i="5"/>
  <c r="G1868" i="5"/>
  <c r="K1868" i="5"/>
  <c r="R1868" i="5"/>
  <c r="I1868" i="5"/>
  <c r="J1868" i="5"/>
  <c r="H1868" i="5"/>
  <c r="F1868" i="5"/>
  <c r="M1868" i="5"/>
  <c r="L1868" i="5"/>
  <c r="E1868" i="5"/>
  <c r="C1868" i="5"/>
  <c r="P1868" i="5"/>
  <c r="M1870" i="5"/>
  <c r="E1870" i="5"/>
  <c r="N1870" i="5"/>
  <c r="C1870" i="5"/>
  <c r="K1870" i="5"/>
  <c r="I1870" i="5"/>
  <c r="H1870" i="5"/>
  <c r="R1870" i="5"/>
  <c r="G1870" i="5"/>
  <c r="Q1870" i="5"/>
  <c r="P1870" i="5"/>
  <c r="O1870" i="5"/>
  <c r="F1870" i="5"/>
  <c r="A1922" i="5"/>
  <c r="R1942" i="5"/>
  <c r="J1942" i="5"/>
  <c r="N1942" i="5"/>
  <c r="Q1942" i="5"/>
  <c r="G1942" i="5"/>
  <c r="O1942" i="5"/>
  <c r="C1942" i="5"/>
  <c r="L1942" i="5"/>
  <c r="K1942" i="5"/>
  <c r="I1942" i="5"/>
  <c r="H1942" i="5"/>
  <c r="F1942" i="5"/>
  <c r="E1942" i="5"/>
  <c r="P1942" i="5"/>
  <c r="Q1735" i="5"/>
  <c r="I1735" i="5"/>
  <c r="P1735" i="5"/>
  <c r="G1735" i="5"/>
  <c r="N1735" i="5"/>
  <c r="E1735" i="5"/>
  <c r="A1735" i="5" s="1"/>
  <c r="O1735" i="5"/>
  <c r="N1756" i="5"/>
  <c r="F1756" i="5"/>
  <c r="L1756" i="5"/>
  <c r="C1756" i="5"/>
  <c r="R1756" i="5"/>
  <c r="H1756" i="5"/>
  <c r="P1756" i="5"/>
  <c r="E1756" i="5"/>
  <c r="L1758" i="5"/>
  <c r="C1758" i="5"/>
  <c r="R1758" i="5"/>
  <c r="J1758" i="5"/>
  <c r="M1758" i="5"/>
  <c r="I1758" i="5"/>
  <c r="P1758" i="5"/>
  <c r="R1760" i="5"/>
  <c r="J1760" i="5"/>
  <c r="P1760" i="5"/>
  <c r="H1760" i="5"/>
  <c r="I1760" i="5"/>
  <c r="Q1760" i="5"/>
  <c r="F1760" i="5"/>
  <c r="O1760" i="5"/>
  <c r="N1764" i="5"/>
  <c r="F1764" i="5"/>
  <c r="L1764" i="5"/>
  <c r="C1764" i="5"/>
  <c r="P1764" i="5"/>
  <c r="E1764" i="5"/>
  <c r="M1764" i="5"/>
  <c r="R1764" i="5"/>
  <c r="R1768" i="5"/>
  <c r="J1768" i="5"/>
  <c r="P1768" i="5"/>
  <c r="H1768" i="5"/>
  <c r="Q1768" i="5"/>
  <c r="F1768" i="5"/>
  <c r="N1768" i="5"/>
  <c r="C1768" i="5"/>
  <c r="R1773" i="5"/>
  <c r="J1773" i="5"/>
  <c r="O1773" i="5"/>
  <c r="F1773" i="5"/>
  <c r="M1773" i="5"/>
  <c r="C1773" i="5"/>
  <c r="H1773" i="5"/>
  <c r="Q1773" i="5"/>
  <c r="E1773" i="5"/>
  <c r="R1817" i="5"/>
  <c r="J1817" i="5"/>
  <c r="P1817" i="5"/>
  <c r="G1817" i="5"/>
  <c r="H1817" i="5"/>
  <c r="O1817" i="5"/>
  <c r="E1817" i="5"/>
  <c r="N1817" i="5"/>
  <c r="M1817" i="5"/>
  <c r="L1817" i="5"/>
  <c r="K1817" i="5"/>
  <c r="O1820" i="5"/>
  <c r="G1820" i="5"/>
  <c r="K1820" i="5"/>
  <c r="I1820" i="5"/>
  <c r="Q1820" i="5"/>
  <c r="F1820" i="5"/>
  <c r="N1820" i="5"/>
  <c r="M1820" i="5"/>
  <c r="L1820" i="5"/>
  <c r="J1820" i="5"/>
  <c r="A1832" i="5"/>
  <c r="A1832" i="1" s="1"/>
  <c r="M1846" i="5"/>
  <c r="E1846" i="5"/>
  <c r="N1846" i="5"/>
  <c r="C1846" i="5"/>
  <c r="A1846" i="5" s="1"/>
  <c r="A1846" i="1" s="1"/>
  <c r="J1846" i="5"/>
  <c r="I1846" i="5"/>
  <c r="R1846" i="5"/>
  <c r="H1846" i="5"/>
  <c r="Q1846" i="5"/>
  <c r="P1846" i="5"/>
  <c r="O1846" i="5"/>
  <c r="L1846" i="5"/>
  <c r="F1846" i="5"/>
  <c r="P1875" i="5"/>
  <c r="H1875" i="5"/>
  <c r="J1875" i="5"/>
  <c r="Q1875" i="5"/>
  <c r="G1875" i="5"/>
  <c r="M1875" i="5"/>
  <c r="L1875" i="5"/>
  <c r="K1875" i="5"/>
  <c r="A1875" i="5" s="1"/>
  <c r="A1875" i="1" s="1"/>
  <c r="N1875" i="5"/>
  <c r="I1875" i="5"/>
  <c r="F1875" i="5"/>
  <c r="E1875" i="5"/>
  <c r="R1875" i="5"/>
  <c r="M1979" i="5"/>
  <c r="E1979" i="5"/>
  <c r="Q1979" i="5"/>
  <c r="I1979" i="5"/>
  <c r="P1979" i="5"/>
  <c r="F1979" i="5"/>
  <c r="R1979" i="5"/>
  <c r="C1979" i="5"/>
  <c r="N1979" i="5"/>
  <c r="O1979" i="5"/>
  <c r="L1979" i="5"/>
  <c r="K1979" i="5"/>
  <c r="J1979" i="5"/>
  <c r="H1979" i="5"/>
  <c r="G1979" i="5"/>
  <c r="O1800" i="5"/>
  <c r="G1800" i="5"/>
  <c r="J1800" i="5"/>
  <c r="Q1800" i="5"/>
  <c r="H1800" i="5"/>
  <c r="K1800" i="5"/>
  <c r="I1800" i="5"/>
  <c r="F1800" i="5"/>
  <c r="Q1806" i="5"/>
  <c r="I1806" i="5"/>
  <c r="P1806" i="5"/>
  <c r="G1806" i="5"/>
  <c r="N1806" i="5"/>
  <c r="E1806" i="5"/>
  <c r="K1806" i="5"/>
  <c r="J1806" i="5"/>
  <c r="H1806" i="5"/>
  <c r="F1806" i="5"/>
  <c r="L1823" i="5"/>
  <c r="C1823" i="5"/>
  <c r="O1823" i="5"/>
  <c r="F1823" i="5"/>
  <c r="I1823" i="5"/>
  <c r="R1823" i="5"/>
  <c r="H1823" i="5"/>
  <c r="Q1823" i="5"/>
  <c r="G1823" i="5"/>
  <c r="P1823" i="5"/>
  <c r="N1823" i="5"/>
  <c r="M1823" i="5"/>
  <c r="K1823" i="5"/>
  <c r="P1827" i="5"/>
  <c r="H1827" i="5"/>
  <c r="J1827" i="5"/>
  <c r="K1827" i="5"/>
  <c r="I1827" i="5"/>
  <c r="R1827" i="5"/>
  <c r="G1827" i="5"/>
  <c r="N1827" i="5"/>
  <c r="M1827" i="5"/>
  <c r="L1827" i="5"/>
  <c r="F1827" i="5"/>
  <c r="R1889" i="5"/>
  <c r="J1889" i="5"/>
  <c r="P1889" i="5"/>
  <c r="G1889" i="5"/>
  <c r="N1889" i="5"/>
  <c r="E1889" i="5"/>
  <c r="I1889" i="5"/>
  <c r="H1889" i="5"/>
  <c r="F1889" i="5"/>
  <c r="Q1889" i="5"/>
  <c r="C1889" i="5"/>
  <c r="A1889" i="5" s="1"/>
  <c r="A1889" i="1" s="1"/>
  <c r="O1889" i="5"/>
  <c r="M1889" i="5"/>
  <c r="L1889" i="5"/>
  <c r="K1889" i="5"/>
  <c r="K1633" i="5"/>
  <c r="H1636" i="5"/>
  <c r="P1636" i="5"/>
  <c r="K1641" i="5"/>
  <c r="H1644" i="5"/>
  <c r="P1644" i="5"/>
  <c r="K1649" i="5"/>
  <c r="H1652" i="5"/>
  <c r="P1652" i="5"/>
  <c r="K1657" i="5"/>
  <c r="H1660" i="5"/>
  <c r="P1660" i="5"/>
  <c r="K1665" i="5"/>
  <c r="J1666" i="5"/>
  <c r="R1666" i="5"/>
  <c r="H1668" i="5"/>
  <c r="P1668" i="5"/>
  <c r="K1673" i="5"/>
  <c r="J1674" i="5"/>
  <c r="R1674" i="5"/>
  <c r="H1676" i="5"/>
  <c r="P1676" i="5"/>
  <c r="K1681" i="5"/>
  <c r="J1682" i="5"/>
  <c r="R1682" i="5"/>
  <c r="H1684" i="5"/>
  <c r="P1684" i="5"/>
  <c r="K1689" i="5"/>
  <c r="J1690" i="5"/>
  <c r="R1690" i="5"/>
  <c r="I1692" i="5"/>
  <c r="R1692" i="5"/>
  <c r="Q1695" i="5"/>
  <c r="I1695" i="5"/>
  <c r="L1695" i="5"/>
  <c r="Q1703" i="5"/>
  <c r="I1703" i="5"/>
  <c r="L1703" i="5"/>
  <c r="N1708" i="5"/>
  <c r="F1708" i="5"/>
  <c r="L1708" i="5"/>
  <c r="C1708" i="5"/>
  <c r="O1708" i="5"/>
  <c r="J1713" i="5"/>
  <c r="A1713" i="5" s="1"/>
  <c r="A1713" i="1" s="1"/>
  <c r="P1714" i="5"/>
  <c r="H1714" i="5"/>
  <c r="N1714" i="5"/>
  <c r="F1714" i="5"/>
  <c r="M1714" i="5"/>
  <c r="Q1719" i="5"/>
  <c r="I1719" i="5"/>
  <c r="P1719" i="5"/>
  <c r="G1719" i="5"/>
  <c r="N1719" i="5"/>
  <c r="E1719" i="5"/>
  <c r="O1719" i="5"/>
  <c r="K1720" i="5"/>
  <c r="N1730" i="5"/>
  <c r="F1730" i="5"/>
  <c r="K1730" i="5"/>
  <c r="R1730" i="5"/>
  <c r="I1730" i="5"/>
  <c r="A1730" i="5" s="1"/>
  <c r="O1730" i="5"/>
  <c r="L1732" i="5"/>
  <c r="C1732" i="5"/>
  <c r="N1732" i="5"/>
  <c r="E1732" i="5"/>
  <c r="K1732" i="5"/>
  <c r="P1732" i="5"/>
  <c r="K1734" i="5"/>
  <c r="F1735" i="5"/>
  <c r="R1744" i="5"/>
  <c r="J1744" i="5"/>
  <c r="P1744" i="5"/>
  <c r="H1744" i="5"/>
  <c r="N1744" i="5"/>
  <c r="C1744" i="5"/>
  <c r="L1744" i="5"/>
  <c r="Q1744" i="5"/>
  <c r="K1746" i="5"/>
  <c r="I1756" i="5"/>
  <c r="F1758" i="5"/>
  <c r="E1760" i="5"/>
  <c r="A1760" i="5" s="1"/>
  <c r="A1760" i="1" s="1"/>
  <c r="H1764" i="5"/>
  <c r="G1768" i="5"/>
  <c r="I1773" i="5"/>
  <c r="L1779" i="5"/>
  <c r="C1779" i="5"/>
  <c r="N1779" i="5"/>
  <c r="E1779" i="5"/>
  <c r="K1779" i="5"/>
  <c r="O1779" i="5"/>
  <c r="J1779" i="5"/>
  <c r="R1779" i="5"/>
  <c r="R1797" i="5"/>
  <c r="J1797" i="5"/>
  <c r="O1797" i="5"/>
  <c r="F1797" i="5"/>
  <c r="M1797" i="5"/>
  <c r="C1797" i="5"/>
  <c r="A1797" i="5" s="1"/>
  <c r="A1797" i="1" s="1"/>
  <c r="L1797" i="5"/>
  <c r="K1797" i="5"/>
  <c r="I1797" i="5"/>
  <c r="Q1798" i="5"/>
  <c r="I1798" i="5"/>
  <c r="P1798" i="5"/>
  <c r="G1798" i="5"/>
  <c r="N1798" i="5"/>
  <c r="E1798" i="5"/>
  <c r="H1798" i="5"/>
  <c r="F1798" i="5"/>
  <c r="R1798" i="5"/>
  <c r="C1798" i="5"/>
  <c r="C1800" i="5"/>
  <c r="C1806" i="5"/>
  <c r="A1810" i="5"/>
  <c r="F1817" i="5"/>
  <c r="A1817" i="5" s="1"/>
  <c r="A1817" i="1" s="1"/>
  <c r="E1820" i="5"/>
  <c r="A1820" i="5" s="1"/>
  <c r="A1820" i="1" s="1"/>
  <c r="E1823" i="5"/>
  <c r="C1827" i="5"/>
  <c r="Q1834" i="5"/>
  <c r="I1834" i="5"/>
  <c r="R1834" i="5"/>
  <c r="H1834" i="5"/>
  <c r="L1834" i="5"/>
  <c r="K1834" i="5"/>
  <c r="J1834" i="5"/>
  <c r="G1834" i="5"/>
  <c r="F1834" i="5"/>
  <c r="E1834" i="5"/>
  <c r="C1834" i="5"/>
  <c r="Q1842" i="5"/>
  <c r="I1842" i="5"/>
  <c r="R1842" i="5"/>
  <c r="H1842" i="5"/>
  <c r="P1842" i="5"/>
  <c r="F1842" i="5"/>
  <c r="O1842" i="5"/>
  <c r="E1842" i="5"/>
  <c r="N1842" i="5"/>
  <c r="C1842" i="5"/>
  <c r="M1842" i="5"/>
  <c r="L1842" i="5"/>
  <c r="G1842" i="5"/>
  <c r="K1846" i="5"/>
  <c r="O1875" i="5"/>
  <c r="R1910" i="5"/>
  <c r="J1910" i="5"/>
  <c r="P1910" i="5"/>
  <c r="G1910" i="5"/>
  <c r="N1910" i="5"/>
  <c r="C1910" i="5"/>
  <c r="L1910" i="5"/>
  <c r="M1910" i="5"/>
  <c r="K1910" i="5"/>
  <c r="I1910" i="5"/>
  <c r="H1910" i="5"/>
  <c r="Q1910" i="5"/>
  <c r="O1910" i="5"/>
  <c r="F1910" i="5"/>
  <c r="E1910" i="5"/>
  <c r="A1930" i="5"/>
  <c r="L1980" i="5"/>
  <c r="C1980" i="5"/>
  <c r="P1980" i="5"/>
  <c r="H1980" i="5"/>
  <c r="J1980" i="5"/>
  <c r="M1980" i="5"/>
  <c r="I1980" i="5"/>
  <c r="O1980" i="5"/>
  <c r="N1980" i="5"/>
  <c r="K1980" i="5"/>
  <c r="G1980" i="5"/>
  <c r="F1980" i="5"/>
  <c r="R1980" i="5"/>
  <c r="Q1980" i="5"/>
  <c r="E1980" i="5"/>
  <c r="K1666" i="5"/>
  <c r="K1674" i="5"/>
  <c r="K1682" i="5"/>
  <c r="K1690" i="5"/>
  <c r="R1694" i="5"/>
  <c r="J1694" i="5"/>
  <c r="L1694" i="5"/>
  <c r="R1702" i="5"/>
  <c r="J1702" i="5"/>
  <c r="L1702" i="5"/>
  <c r="N1722" i="5"/>
  <c r="F1722" i="5"/>
  <c r="K1722" i="5"/>
  <c r="R1722" i="5"/>
  <c r="I1722" i="5"/>
  <c r="O1722" i="5"/>
  <c r="L1724" i="5"/>
  <c r="C1724" i="5"/>
  <c r="N1724" i="5"/>
  <c r="E1724" i="5"/>
  <c r="K1724" i="5"/>
  <c r="P1724" i="5"/>
  <c r="H1735" i="5"/>
  <c r="P1736" i="5"/>
  <c r="H1736" i="5"/>
  <c r="R1736" i="5"/>
  <c r="I1736" i="5"/>
  <c r="O1736" i="5"/>
  <c r="F1736" i="5"/>
  <c r="N1736" i="5"/>
  <c r="P1754" i="5"/>
  <c r="H1754" i="5"/>
  <c r="N1754" i="5"/>
  <c r="F1754" i="5"/>
  <c r="J1754" i="5"/>
  <c r="R1754" i="5"/>
  <c r="G1754" i="5"/>
  <c r="Q1754" i="5"/>
  <c r="J1756" i="5"/>
  <c r="G1758" i="5"/>
  <c r="G1760" i="5"/>
  <c r="I1764" i="5"/>
  <c r="I1768" i="5"/>
  <c r="P1770" i="5"/>
  <c r="H1770" i="5"/>
  <c r="N1770" i="5"/>
  <c r="F1770" i="5"/>
  <c r="O1770" i="5"/>
  <c r="C1770" i="5"/>
  <c r="L1770" i="5"/>
  <c r="R1770" i="5"/>
  <c r="K1773" i="5"/>
  <c r="R1781" i="5"/>
  <c r="J1781" i="5"/>
  <c r="O1781" i="5"/>
  <c r="F1781" i="5"/>
  <c r="M1781" i="5"/>
  <c r="C1781" i="5"/>
  <c r="I1781" i="5"/>
  <c r="G1781" i="5"/>
  <c r="Q1782" i="5"/>
  <c r="I1782" i="5"/>
  <c r="P1782" i="5"/>
  <c r="G1782" i="5"/>
  <c r="N1782" i="5"/>
  <c r="E1782" i="5"/>
  <c r="R1782" i="5"/>
  <c r="C1782" i="5"/>
  <c r="M1782" i="5"/>
  <c r="P1783" i="5"/>
  <c r="H1783" i="5"/>
  <c r="R1783" i="5"/>
  <c r="I1783" i="5"/>
  <c r="O1783" i="5"/>
  <c r="F1783" i="5"/>
  <c r="L1783" i="5"/>
  <c r="J1783" i="5"/>
  <c r="R1789" i="5"/>
  <c r="J1789" i="5"/>
  <c r="O1789" i="5"/>
  <c r="F1789" i="5"/>
  <c r="M1789" i="5"/>
  <c r="C1789" i="5"/>
  <c r="K1789" i="5"/>
  <c r="H1789" i="5"/>
  <c r="E1800" i="5"/>
  <c r="L1806" i="5"/>
  <c r="A1812" i="5"/>
  <c r="A1812" i="1" s="1"/>
  <c r="I1817" i="5"/>
  <c r="H1820" i="5"/>
  <c r="J1823" i="5"/>
  <c r="E1827" i="5"/>
  <c r="O1836" i="5"/>
  <c r="G1836" i="5"/>
  <c r="K1836" i="5"/>
  <c r="I1836" i="5"/>
  <c r="R1836" i="5"/>
  <c r="H1836" i="5"/>
  <c r="Q1836" i="5"/>
  <c r="F1836" i="5"/>
  <c r="N1836" i="5"/>
  <c r="M1836" i="5"/>
  <c r="L1836" i="5"/>
  <c r="J1836" i="5"/>
  <c r="L1855" i="5"/>
  <c r="C1855" i="5"/>
  <c r="O1855" i="5"/>
  <c r="F1855" i="5"/>
  <c r="I1855" i="5"/>
  <c r="R1855" i="5"/>
  <c r="H1855" i="5"/>
  <c r="Q1855" i="5"/>
  <c r="G1855" i="5"/>
  <c r="M1855" i="5"/>
  <c r="K1855" i="5"/>
  <c r="J1855" i="5"/>
  <c r="E1855" i="5"/>
  <c r="P1855" i="5"/>
  <c r="O1876" i="5"/>
  <c r="G1876" i="5"/>
  <c r="K1876" i="5"/>
  <c r="R1876" i="5"/>
  <c r="I1876" i="5"/>
  <c r="H1876" i="5"/>
  <c r="F1876" i="5"/>
  <c r="Q1876" i="5"/>
  <c r="E1876" i="5"/>
  <c r="N1876" i="5"/>
  <c r="M1876" i="5"/>
  <c r="L1876" i="5"/>
  <c r="J1876" i="5"/>
  <c r="P1891" i="5"/>
  <c r="H1891" i="5"/>
  <c r="J1891" i="5"/>
  <c r="Q1891" i="5"/>
  <c r="G1891" i="5"/>
  <c r="L1891" i="5"/>
  <c r="K1891" i="5"/>
  <c r="I1891" i="5"/>
  <c r="F1891" i="5"/>
  <c r="O1891" i="5"/>
  <c r="N1891" i="5"/>
  <c r="M1891" i="5"/>
  <c r="E1891" i="5"/>
  <c r="A1925" i="5"/>
  <c r="A1925" i="1" s="1"/>
  <c r="N1946" i="5"/>
  <c r="F1946" i="5"/>
  <c r="R1946" i="5"/>
  <c r="J1946" i="5"/>
  <c r="L1946" i="5"/>
  <c r="P1946" i="5"/>
  <c r="C1946" i="5"/>
  <c r="M1946" i="5"/>
  <c r="O1946" i="5"/>
  <c r="K1946" i="5"/>
  <c r="I1946" i="5"/>
  <c r="H1946" i="5"/>
  <c r="G1946" i="5"/>
  <c r="E1946" i="5"/>
  <c r="P1968" i="5"/>
  <c r="H1968" i="5"/>
  <c r="L1968" i="5"/>
  <c r="C1968" i="5"/>
  <c r="R1968" i="5"/>
  <c r="G1968" i="5"/>
  <c r="K1968" i="5"/>
  <c r="I1968" i="5"/>
  <c r="O1968" i="5"/>
  <c r="N1968" i="5"/>
  <c r="M1968" i="5"/>
  <c r="J1968" i="5"/>
  <c r="F1968" i="5"/>
  <c r="Q1968" i="5"/>
  <c r="E1968" i="5"/>
  <c r="H1582" i="5"/>
  <c r="A1582" i="5" s="1"/>
  <c r="H1590" i="5"/>
  <c r="A1590" i="5" s="1"/>
  <c r="H1598" i="5"/>
  <c r="A1598" i="5" s="1"/>
  <c r="H1606" i="5"/>
  <c r="H1614" i="5"/>
  <c r="A1614" i="5" s="1"/>
  <c r="H1622" i="5"/>
  <c r="H1630" i="5"/>
  <c r="A1630" i="5" s="1"/>
  <c r="E1633" i="5"/>
  <c r="A1633" i="5" s="1"/>
  <c r="A1633" i="1" s="1"/>
  <c r="M1633" i="5"/>
  <c r="J1636" i="5"/>
  <c r="R1636" i="5"/>
  <c r="E1641" i="5"/>
  <c r="M1641" i="5"/>
  <c r="J1644" i="5"/>
  <c r="R1644" i="5"/>
  <c r="E1649" i="5"/>
  <c r="A1649" i="5" s="1"/>
  <c r="A1649" i="1" s="1"/>
  <c r="M1649" i="5"/>
  <c r="J1652" i="5"/>
  <c r="R1652" i="5"/>
  <c r="E1657" i="5"/>
  <c r="A1657" i="5" s="1"/>
  <c r="A1657" i="1" s="1"/>
  <c r="M1657" i="5"/>
  <c r="J1660" i="5"/>
  <c r="R1660" i="5"/>
  <c r="E1665" i="5"/>
  <c r="A1665" i="5" s="1"/>
  <c r="A1665" i="1" s="1"/>
  <c r="M1665" i="5"/>
  <c r="C1666" i="5"/>
  <c r="L1666" i="5"/>
  <c r="J1668" i="5"/>
  <c r="R1668" i="5"/>
  <c r="E1673" i="5"/>
  <c r="M1673" i="5"/>
  <c r="C1674" i="5"/>
  <c r="L1674" i="5"/>
  <c r="J1676" i="5"/>
  <c r="R1676" i="5"/>
  <c r="E1681" i="5"/>
  <c r="M1681" i="5"/>
  <c r="C1682" i="5"/>
  <c r="L1682" i="5"/>
  <c r="J1684" i="5"/>
  <c r="R1684" i="5"/>
  <c r="E1689" i="5"/>
  <c r="M1689" i="5"/>
  <c r="C1690" i="5"/>
  <c r="L1690" i="5"/>
  <c r="C1694" i="5"/>
  <c r="M1694" i="5"/>
  <c r="E1695" i="5"/>
  <c r="A1695" i="5" s="1"/>
  <c r="N1695" i="5"/>
  <c r="C1702" i="5"/>
  <c r="M1702" i="5"/>
  <c r="E1703" i="5"/>
  <c r="N1703" i="5"/>
  <c r="G1708" i="5"/>
  <c r="Q1708" i="5"/>
  <c r="E1714" i="5"/>
  <c r="Q1714" i="5"/>
  <c r="N1716" i="5"/>
  <c r="F1716" i="5"/>
  <c r="L1716" i="5"/>
  <c r="C1716" i="5"/>
  <c r="O1716" i="5"/>
  <c r="F1719" i="5"/>
  <c r="C1722" i="5"/>
  <c r="P1722" i="5"/>
  <c r="F1724" i="5"/>
  <c r="Q1724" i="5"/>
  <c r="P1728" i="5"/>
  <c r="H1728" i="5"/>
  <c r="R1728" i="5"/>
  <c r="I1728" i="5"/>
  <c r="O1728" i="5"/>
  <c r="F1728" i="5"/>
  <c r="A1728" i="5" s="1"/>
  <c r="A1728" i="1" s="1"/>
  <c r="N1728" i="5"/>
  <c r="E1730" i="5"/>
  <c r="Q1730" i="5"/>
  <c r="G1732" i="5"/>
  <c r="R1732" i="5"/>
  <c r="J1735" i="5"/>
  <c r="C1736" i="5"/>
  <c r="A1736" i="5" s="1"/>
  <c r="A1736" i="1" s="1"/>
  <c r="Q1736" i="5"/>
  <c r="L1742" i="5"/>
  <c r="C1742" i="5"/>
  <c r="R1742" i="5"/>
  <c r="J1742" i="5"/>
  <c r="Q1742" i="5"/>
  <c r="G1742" i="5"/>
  <c r="O1742" i="5"/>
  <c r="E1742" i="5"/>
  <c r="F1744" i="5"/>
  <c r="Q1745" i="5"/>
  <c r="I1745" i="5"/>
  <c r="O1745" i="5"/>
  <c r="G1745" i="5"/>
  <c r="H1745" i="5"/>
  <c r="P1745" i="5"/>
  <c r="E1745" i="5"/>
  <c r="R1745" i="5"/>
  <c r="N1748" i="5"/>
  <c r="F1748" i="5"/>
  <c r="L1748" i="5"/>
  <c r="C1748" i="5"/>
  <c r="J1748" i="5"/>
  <c r="R1748" i="5"/>
  <c r="H1748" i="5"/>
  <c r="Q1748" i="5"/>
  <c r="R1752" i="5"/>
  <c r="J1752" i="5"/>
  <c r="P1752" i="5"/>
  <c r="H1752" i="5"/>
  <c r="L1752" i="5"/>
  <c r="I1752" i="5"/>
  <c r="A1752" i="5" s="1"/>
  <c r="A1752" i="1" s="1"/>
  <c r="O1752" i="5"/>
  <c r="C1754" i="5"/>
  <c r="K1756" i="5"/>
  <c r="H1758" i="5"/>
  <c r="K1760" i="5"/>
  <c r="J1764" i="5"/>
  <c r="K1768" i="5"/>
  <c r="E1770" i="5"/>
  <c r="L1773" i="5"/>
  <c r="N1777" i="5"/>
  <c r="F1777" i="5"/>
  <c r="K1777" i="5"/>
  <c r="R1777" i="5"/>
  <c r="I1777" i="5"/>
  <c r="M1777" i="5"/>
  <c r="J1777" i="5"/>
  <c r="A1777" i="5" s="1"/>
  <c r="A1777" i="1" s="1"/>
  <c r="Q1777" i="5"/>
  <c r="G1779" i="5"/>
  <c r="E1781" i="5"/>
  <c r="F1782" i="5"/>
  <c r="C1783" i="5"/>
  <c r="O1784" i="5"/>
  <c r="G1784" i="5"/>
  <c r="J1784" i="5"/>
  <c r="Q1784" i="5"/>
  <c r="H1784" i="5"/>
  <c r="F1784" i="5"/>
  <c r="P1784" i="5"/>
  <c r="C1784" i="5"/>
  <c r="E1789" i="5"/>
  <c r="G1797" i="5"/>
  <c r="K1798" i="5"/>
  <c r="L1800" i="5"/>
  <c r="M1806" i="5"/>
  <c r="N1809" i="5"/>
  <c r="F1809" i="5"/>
  <c r="K1809" i="5"/>
  <c r="R1809" i="5"/>
  <c r="I1809" i="5"/>
  <c r="H1809" i="5"/>
  <c r="G1809" i="5"/>
  <c r="Q1809" i="5"/>
  <c r="E1809" i="5"/>
  <c r="P1809" i="5"/>
  <c r="C1809" i="5"/>
  <c r="Q1817" i="5"/>
  <c r="P1820" i="5"/>
  <c r="A1825" i="5"/>
  <c r="A1825" i="1" s="1"/>
  <c r="O1827" i="5"/>
  <c r="N1834" i="5"/>
  <c r="C1836" i="5"/>
  <c r="K1842" i="5"/>
  <c r="N1855" i="5"/>
  <c r="R1865" i="5"/>
  <c r="J1865" i="5"/>
  <c r="P1865" i="5"/>
  <c r="G1865" i="5"/>
  <c r="H1865" i="5"/>
  <c r="Q1865" i="5"/>
  <c r="F1865" i="5"/>
  <c r="O1865" i="5"/>
  <c r="E1865" i="5"/>
  <c r="N1865" i="5"/>
  <c r="M1865" i="5"/>
  <c r="L1865" i="5"/>
  <c r="C1865" i="5"/>
  <c r="C1876" i="5"/>
  <c r="C1891" i="5"/>
  <c r="Q1946" i="5"/>
  <c r="A2005" i="5"/>
  <c r="A2005" i="1" s="1"/>
  <c r="F1633" i="5"/>
  <c r="F1641" i="5"/>
  <c r="F1649" i="5"/>
  <c r="F1657" i="5"/>
  <c r="F1665" i="5"/>
  <c r="E1666" i="5"/>
  <c r="F1673" i="5"/>
  <c r="E1674" i="5"/>
  <c r="F1681" i="5"/>
  <c r="E1682" i="5"/>
  <c r="F1689" i="5"/>
  <c r="E1690" i="5"/>
  <c r="L1692" i="5"/>
  <c r="C1692" i="5"/>
  <c r="M1692" i="5"/>
  <c r="E1694" i="5"/>
  <c r="N1694" i="5"/>
  <c r="F1695" i="5"/>
  <c r="O1695" i="5"/>
  <c r="L1700" i="5"/>
  <c r="C1700" i="5"/>
  <c r="M1700" i="5"/>
  <c r="E1702" i="5"/>
  <c r="N1702" i="5"/>
  <c r="F1703" i="5"/>
  <c r="O1703" i="5"/>
  <c r="O1707" i="5"/>
  <c r="G1707" i="5"/>
  <c r="M1707" i="5"/>
  <c r="E1707" i="5"/>
  <c r="A1707" i="5" s="1"/>
  <c r="A1707" i="1" s="1"/>
  <c r="N1707" i="5"/>
  <c r="H1708" i="5"/>
  <c r="R1708" i="5"/>
  <c r="Q1713" i="5"/>
  <c r="I1713" i="5"/>
  <c r="O1713" i="5"/>
  <c r="G1713" i="5"/>
  <c r="M1713" i="5"/>
  <c r="G1714" i="5"/>
  <c r="R1714" i="5"/>
  <c r="P1720" i="5"/>
  <c r="H1720" i="5"/>
  <c r="A1720" i="5" s="1"/>
  <c r="A1720" i="1" s="1"/>
  <c r="R1720" i="5"/>
  <c r="I1720" i="5"/>
  <c r="O1720" i="5"/>
  <c r="F1720" i="5"/>
  <c r="N1720" i="5"/>
  <c r="E1722" i="5"/>
  <c r="Q1722" i="5"/>
  <c r="G1724" i="5"/>
  <c r="R1724" i="5"/>
  <c r="R1734" i="5"/>
  <c r="J1734" i="5"/>
  <c r="O1734" i="5"/>
  <c r="F1734" i="5"/>
  <c r="M1734" i="5"/>
  <c r="C1734" i="5"/>
  <c r="P1734" i="5"/>
  <c r="K1735" i="5"/>
  <c r="E1736" i="5"/>
  <c r="G1744" i="5"/>
  <c r="P1746" i="5"/>
  <c r="H1746" i="5"/>
  <c r="N1746" i="5"/>
  <c r="F1746" i="5"/>
  <c r="L1746" i="5"/>
  <c r="J1746" i="5"/>
  <c r="Q1746" i="5"/>
  <c r="L1750" i="5"/>
  <c r="C1750" i="5"/>
  <c r="R1750" i="5"/>
  <c r="J1750" i="5"/>
  <c r="O1750" i="5"/>
  <c r="E1750" i="5"/>
  <c r="M1750" i="5"/>
  <c r="Q1750" i="5"/>
  <c r="E1754" i="5"/>
  <c r="M1756" i="5"/>
  <c r="K1758" i="5"/>
  <c r="L1760" i="5"/>
  <c r="P1762" i="5"/>
  <c r="H1762" i="5"/>
  <c r="N1762" i="5"/>
  <c r="F1762" i="5"/>
  <c r="R1762" i="5"/>
  <c r="G1762" i="5"/>
  <c r="O1762" i="5"/>
  <c r="C1762" i="5"/>
  <c r="K1764" i="5"/>
  <c r="L1768" i="5"/>
  <c r="G1770" i="5"/>
  <c r="O1771" i="5"/>
  <c r="G1771" i="5"/>
  <c r="M1771" i="5"/>
  <c r="E1771" i="5"/>
  <c r="A1771" i="5" s="1"/>
  <c r="A1771" i="1" s="1"/>
  <c r="I1771" i="5"/>
  <c r="Q1771" i="5"/>
  <c r="F1771" i="5"/>
  <c r="R1771" i="5"/>
  <c r="N1773" i="5"/>
  <c r="H1779" i="5"/>
  <c r="H1781" i="5"/>
  <c r="H1782" i="5"/>
  <c r="E1783" i="5"/>
  <c r="G1789" i="5"/>
  <c r="P1791" i="5"/>
  <c r="H1791" i="5"/>
  <c r="R1791" i="5"/>
  <c r="I1791" i="5"/>
  <c r="O1791" i="5"/>
  <c r="F1791" i="5"/>
  <c r="M1791" i="5"/>
  <c r="K1791" i="5"/>
  <c r="H1797" i="5"/>
  <c r="L1798" i="5"/>
  <c r="M1800" i="5"/>
  <c r="O1806" i="5"/>
  <c r="O1808" i="5"/>
  <c r="G1808" i="5"/>
  <c r="A1808" i="5" s="1"/>
  <c r="A1808" i="1" s="1"/>
  <c r="J1808" i="5"/>
  <c r="Q1808" i="5"/>
  <c r="H1808" i="5"/>
  <c r="M1808" i="5"/>
  <c r="L1808" i="5"/>
  <c r="K1808" i="5"/>
  <c r="I1808" i="5"/>
  <c r="L1811" i="5"/>
  <c r="C1811" i="5"/>
  <c r="N1811" i="5"/>
  <c r="E1811" i="5"/>
  <c r="K1811" i="5"/>
  <c r="I1811" i="5"/>
  <c r="H1811" i="5"/>
  <c r="R1811" i="5"/>
  <c r="G1811" i="5"/>
  <c r="Q1811" i="5"/>
  <c r="F1811" i="5"/>
  <c r="Q1818" i="5"/>
  <c r="I1818" i="5"/>
  <c r="R1818" i="5"/>
  <c r="H1818" i="5"/>
  <c r="L1818" i="5"/>
  <c r="J1818" i="5"/>
  <c r="M1818" i="5"/>
  <c r="K1818" i="5"/>
  <c r="G1818" i="5"/>
  <c r="F1818" i="5"/>
  <c r="A1818" i="5" s="1"/>
  <c r="R1820" i="5"/>
  <c r="A1824" i="5"/>
  <c r="A1824" i="1" s="1"/>
  <c r="Q1827" i="5"/>
  <c r="O1834" i="5"/>
  <c r="E1836" i="5"/>
  <c r="R1849" i="5"/>
  <c r="J1849" i="5"/>
  <c r="P1849" i="5"/>
  <c r="G1849" i="5"/>
  <c r="H1849" i="5"/>
  <c r="Q1849" i="5"/>
  <c r="F1849" i="5"/>
  <c r="O1849" i="5"/>
  <c r="E1849" i="5"/>
  <c r="A1849" i="5" s="1"/>
  <c r="A1849" i="1" s="1"/>
  <c r="M1849" i="5"/>
  <c r="L1849" i="5"/>
  <c r="K1849" i="5"/>
  <c r="I1849" i="5"/>
  <c r="R1873" i="5"/>
  <c r="J1873" i="5"/>
  <c r="P1873" i="5"/>
  <c r="G1873" i="5"/>
  <c r="N1873" i="5"/>
  <c r="E1873" i="5"/>
  <c r="A1873" i="5" s="1"/>
  <c r="A1873" i="1" s="1"/>
  <c r="K1873" i="5"/>
  <c r="I1873" i="5"/>
  <c r="H1873" i="5"/>
  <c r="O1873" i="5"/>
  <c r="M1873" i="5"/>
  <c r="L1873" i="5"/>
  <c r="F1873" i="5"/>
  <c r="P1876" i="5"/>
  <c r="R1891" i="5"/>
  <c r="L1972" i="5"/>
  <c r="C1972" i="5"/>
  <c r="P1972" i="5"/>
  <c r="H1972" i="5"/>
  <c r="M1972" i="5"/>
  <c r="N1972" i="5"/>
  <c r="J1972" i="5"/>
  <c r="Q1972" i="5"/>
  <c r="O1972" i="5"/>
  <c r="K1972" i="5"/>
  <c r="I1972" i="5"/>
  <c r="G1972" i="5"/>
  <c r="E1972" i="5"/>
  <c r="Q1850" i="5"/>
  <c r="I1850" i="5"/>
  <c r="R1850" i="5"/>
  <c r="H1850" i="5"/>
  <c r="L1850" i="5"/>
  <c r="K1850" i="5"/>
  <c r="J1850" i="5"/>
  <c r="P1850" i="5"/>
  <c r="Q1911" i="5"/>
  <c r="I1911" i="5"/>
  <c r="R1911" i="5"/>
  <c r="H1911" i="5"/>
  <c r="G1911" i="5"/>
  <c r="O1911" i="5"/>
  <c r="E1911" i="5"/>
  <c r="K1911" i="5"/>
  <c r="J1911" i="5"/>
  <c r="F1911" i="5"/>
  <c r="C1911" i="5"/>
  <c r="R1918" i="5"/>
  <c r="J1918" i="5"/>
  <c r="P1918" i="5"/>
  <c r="G1918" i="5"/>
  <c r="I1918" i="5"/>
  <c r="Q1918" i="5"/>
  <c r="F1918" i="5"/>
  <c r="K1918" i="5"/>
  <c r="H1918" i="5"/>
  <c r="E1918" i="5"/>
  <c r="C1918" i="5"/>
  <c r="A1918" i="5" s="1"/>
  <c r="A1918" i="1" s="1"/>
  <c r="P1920" i="5"/>
  <c r="H1920" i="5"/>
  <c r="J1920" i="5"/>
  <c r="Q1920" i="5"/>
  <c r="F1920" i="5"/>
  <c r="N1920" i="5"/>
  <c r="C1920" i="5"/>
  <c r="O1920" i="5"/>
  <c r="M1920" i="5"/>
  <c r="L1920" i="5"/>
  <c r="K1920" i="5"/>
  <c r="I1920" i="5"/>
  <c r="P1928" i="5"/>
  <c r="H1928" i="5"/>
  <c r="J1928" i="5"/>
  <c r="L1928" i="5"/>
  <c r="I1928" i="5"/>
  <c r="A1928" i="5" s="1"/>
  <c r="A1928" i="1" s="1"/>
  <c r="N1928" i="5"/>
  <c r="M1928" i="5"/>
  <c r="K1928" i="5"/>
  <c r="G1928" i="5"/>
  <c r="F1928" i="5"/>
  <c r="A1997" i="5"/>
  <c r="A1997" i="1" s="1"/>
  <c r="C4" i="6"/>
  <c r="A6" i="6"/>
  <c r="I1711" i="5"/>
  <c r="A1711" i="5" s="1"/>
  <c r="Q1711" i="5"/>
  <c r="L1717" i="5"/>
  <c r="A1717" i="5" s="1"/>
  <c r="A1717" i="1" s="1"/>
  <c r="O1747" i="5"/>
  <c r="G1747" i="5"/>
  <c r="M1747" i="5"/>
  <c r="E1747" i="5"/>
  <c r="A1747" i="5" s="1"/>
  <c r="A1747" i="1" s="1"/>
  <c r="N1747" i="5"/>
  <c r="Q1753" i="5"/>
  <c r="I1753" i="5"/>
  <c r="O1753" i="5"/>
  <c r="G1753" i="5"/>
  <c r="A1753" i="5" s="1"/>
  <c r="A1753" i="1" s="1"/>
  <c r="M1753" i="5"/>
  <c r="O1776" i="5"/>
  <c r="G1776" i="5"/>
  <c r="J1776" i="5"/>
  <c r="Q1776" i="5"/>
  <c r="H1776" i="5"/>
  <c r="N1776" i="5"/>
  <c r="Q1790" i="5"/>
  <c r="I1790" i="5"/>
  <c r="P1790" i="5"/>
  <c r="G1790" i="5"/>
  <c r="N1790" i="5"/>
  <c r="E1790" i="5"/>
  <c r="O1790" i="5"/>
  <c r="N1801" i="5"/>
  <c r="F1801" i="5"/>
  <c r="A1801" i="5" s="1"/>
  <c r="A1801" i="1" s="1"/>
  <c r="K1801" i="5"/>
  <c r="R1801" i="5"/>
  <c r="I1801" i="5"/>
  <c r="O1801" i="5"/>
  <c r="L1803" i="5"/>
  <c r="C1803" i="5"/>
  <c r="N1803" i="5"/>
  <c r="E1803" i="5"/>
  <c r="K1803" i="5"/>
  <c r="P1803" i="5"/>
  <c r="K1805" i="5"/>
  <c r="M1814" i="5"/>
  <c r="E1814" i="5"/>
  <c r="N1814" i="5"/>
  <c r="C1814" i="5"/>
  <c r="J1814" i="5"/>
  <c r="R1814" i="5"/>
  <c r="H1814" i="5"/>
  <c r="Q1814" i="5"/>
  <c r="K1822" i="5"/>
  <c r="R1833" i="5"/>
  <c r="J1833" i="5"/>
  <c r="P1833" i="5"/>
  <c r="G1833" i="5"/>
  <c r="H1833" i="5"/>
  <c r="Q1833" i="5"/>
  <c r="F1833" i="5"/>
  <c r="O1833" i="5"/>
  <c r="E1833" i="5"/>
  <c r="N1839" i="5"/>
  <c r="M1843" i="5"/>
  <c r="F1850" i="5"/>
  <c r="A1850" i="5" s="1"/>
  <c r="P1859" i="5"/>
  <c r="H1859" i="5"/>
  <c r="J1859" i="5"/>
  <c r="K1859" i="5"/>
  <c r="I1859" i="5"/>
  <c r="R1859" i="5"/>
  <c r="G1859" i="5"/>
  <c r="Q1859" i="5"/>
  <c r="M1866" i="5"/>
  <c r="O1881" i="5"/>
  <c r="P1907" i="5"/>
  <c r="H1907" i="5"/>
  <c r="J1907" i="5"/>
  <c r="Q1907" i="5"/>
  <c r="G1907" i="5"/>
  <c r="I1907" i="5"/>
  <c r="F1907" i="5"/>
  <c r="R1907" i="5"/>
  <c r="E1907" i="5"/>
  <c r="O1907" i="5"/>
  <c r="C1907" i="5"/>
  <c r="N1911" i="5"/>
  <c r="L1916" i="5"/>
  <c r="C1916" i="5"/>
  <c r="O1916" i="5"/>
  <c r="F1916" i="5"/>
  <c r="P1916" i="5"/>
  <c r="E1916" i="5"/>
  <c r="M1916" i="5"/>
  <c r="K1916" i="5"/>
  <c r="J1916" i="5"/>
  <c r="I1916" i="5"/>
  <c r="H1916" i="5"/>
  <c r="N1918" i="5"/>
  <c r="R1920" i="5"/>
  <c r="O1928" i="5"/>
  <c r="M1947" i="5"/>
  <c r="E1947" i="5"/>
  <c r="Q1947" i="5"/>
  <c r="I1947" i="5"/>
  <c r="P1947" i="5"/>
  <c r="F1947" i="5"/>
  <c r="K1947" i="5"/>
  <c r="H1947" i="5"/>
  <c r="N1947" i="5"/>
  <c r="L1947" i="5"/>
  <c r="J1947" i="5"/>
  <c r="G1947" i="5"/>
  <c r="C1947" i="5"/>
  <c r="R1974" i="5"/>
  <c r="J1974" i="5"/>
  <c r="N1974" i="5"/>
  <c r="F1974" i="5"/>
  <c r="A1974" i="5" s="1"/>
  <c r="A1974" i="1" s="1"/>
  <c r="Q1974" i="5"/>
  <c r="G1974" i="5"/>
  <c r="I1974" i="5"/>
  <c r="E1974" i="5"/>
  <c r="O1974" i="5"/>
  <c r="M1974" i="5"/>
  <c r="L1974" i="5"/>
  <c r="K1974" i="5"/>
  <c r="H1974" i="5"/>
  <c r="N1978" i="5"/>
  <c r="F1978" i="5"/>
  <c r="R1978" i="5"/>
  <c r="J1978" i="5"/>
  <c r="L1978" i="5"/>
  <c r="I1978" i="5"/>
  <c r="G1978" i="5"/>
  <c r="A1978" i="5" s="1"/>
  <c r="P1978" i="5"/>
  <c r="O1978" i="5"/>
  <c r="M1978" i="5"/>
  <c r="K1978" i="5"/>
  <c r="H1978" i="5"/>
  <c r="A1989" i="5"/>
  <c r="A1989" i="1" s="1"/>
  <c r="L1795" i="5"/>
  <c r="C1795" i="5"/>
  <c r="N1795" i="5"/>
  <c r="E1795" i="5"/>
  <c r="K1795" i="5"/>
  <c r="P1795" i="5"/>
  <c r="L1805" i="5"/>
  <c r="P1807" i="5"/>
  <c r="H1807" i="5"/>
  <c r="R1807" i="5"/>
  <c r="I1807" i="5"/>
  <c r="O1807" i="5"/>
  <c r="F1807" i="5"/>
  <c r="N1807" i="5"/>
  <c r="O1822" i="5"/>
  <c r="A1833" i="5"/>
  <c r="A1833" i="1" s="1"/>
  <c r="N1843" i="5"/>
  <c r="G1850" i="5"/>
  <c r="O1852" i="5"/>
  <c r="G1852" i="5"/>
  <c r="K1852" i="5"/>
  <c r="I1852" i="5"/>
  <c r="R1852" i="5"/>
  <c r="H1852" i="5"/>
  <c r="Q1852" i="5"/>
  <c r="F1852" i="5"/>
  <c r="Q1858" i="5"/>
  <c r="I1858" i="5"/>
  <c r="R1858" i="5"/>
  <c r="H1858" i="5"/>
  <c r="P1858" i="5"/>
  <c r="F1858" i="5"/>
  <c r="O1858" i="5"/>
  <c r="E1858" i="5"/>
  <c r="N1858" i="5"/>
  <c r="C1858" i="5"/>
  <c r="M1862" i="5"/>
  <c r="E1862" i="5"/>
  <c r="N1862" i="5"/>
  <c r="C1862" i="5"/>
  <c r="A1862" i="5" s="1"/>
  <c r="A1862" i="1" s="1"/>
  <c r="J1862" i="5"/>
  <c r="I1862" i="5"/>
  <c r="R1862" i="5"/>
  <c r="H1862" i="5"/>
  <c r="N1866" i="5"/>
  <c r="P1883" i="5"/>
  <c r="H1883" i="5"/>
  <c r="J1883" i="5"/>
  <c r="Q1883" i="5"/>
  <c r="G1883" i="5"/>
  <c r="L1883" i="5"/>
  <c r="K1883" i="5"/>
  <c r="I1883" i="5"/>
  <c r="O1884" i="5"/>
  <c r="G1884" i="5"/>
  <c r="K1884" i="5"/>
  <c r="R1884" i="5"/>
  <c r="I1884" i="5"/>
  <c r="F1884" i="5"/>
  <c r="Q1884" i="5"/>
  <c r="E1884" i="5"/>
  <c r="P1884" i="5"/>
  <c r="C1884" i="5"/>
  <c r="A1884" i="5" s="1"/>
  <c r="A1884" i="1" s="1"/>
  <c r="Q1906" i="5"/>
  <c r="I1906" i="5"/>
  <c r="R1906" i="5"/>
  <c r="H1906" i="5"/>
  <c r="O1906" i="5"/>
  <c r="F1906" i="5"/>
  <c r="M1906" i="5"/>
  <c r="L1906" i="5"/>
  <c r="K1906" i="5"/>
  <c r="J1906" i="5"/>
  <c r="P1911" i="5"/>
  <c r="O1918" i="5"/>
  <c r="O1921" i="5"/>
  <c r="G1921" i="5"/>
  <c r="K1921" i="5"/>
  <c r="J1921" i="5"/>
  <c r="R1921" i="5"/>
  <c r="H1921" i="5"/>
  <c r="M1921" i="5"/>
  <c r="L1921" i="5"/>
  <c r="I1921" i="5"/>
  <c r="F1921" i="5"/>
  <c r="E1921" i="5"/>
  <c r="Q1928" i="5"/>
  <c r="P1992" i="5"/>
  <c r="H1992" i="5"/>
  <c r="L1992" i="5"/>
  <c r="C1992" i="5"/>
  <c r="J1992" i="5"/>
  <c r="G1992" i="5"/>
  <c r="Q1992" i="5"/>
  <c r="E1992" i="5"/>
  <c r="R1992" i="5"/>
  <c r="O1992" i="5"/>
  <c r="N1992" i="5"/>
  <c r="M1992" i="5"/>
  <c r="K1992" i="5"/>
  <c r="M1723" i="5"/>
  <c r="E1723" i="5"/>
  <c r="L1723" i="5"/>
  <c r="M1731" i="5"/>
  <c r="E1731" i="5"/>
  <c r="L1731" i="5"/>
  <c r="M1739" i="5"/>
  <c r="E1739" i="5"/>
  <c r="A1739" i="5" s="1"/>
  <c r="A1739" i="1" s="1"/>
  <c r="L1739" i="5"/>
  <c r="O1755" i="5"/>
  <c r="G1755" i="5"/>
  <c r="M1755" i="5"/>
  <c r="E1755" i="5"/>
  <c r="A1755" i="5" s="1"/>
  <c r="A1755" i="1" s="1"/>
  <c r="N1755" i="5"/>
  <c r="Q1761" i="5"/>
  <c r="I1761" i="5"/>
  <c r="O1761" i="5"/>
  <c r="G1761" i="5"/>
  <c r="M1761" i="5"/>
  <c r="Q1774" i="5"/>
  <c r="I1774" i="5"/>
  <c r="P1774" i="5"/>
  <c r="G1774" i="5"/>
  <c r="N1774" i="5"/>
  <c r="E1774" i="5"/>
  <c r="A1774" i="5" s="1"/>
  <c r="A1774" i="1" s="1"/>
  <c r="O1774" i="5"/>
  <c r="N1785" i="5"/>
  <c r="F1785" i="5"/>
  <c r="A1785" i="5" s="1"/>
  <c r="A1785" i="1" s="1"/>
  <c r="K1785" i="5"/>
  <c r="R1785" i="5"/>
  <c r="I1785" i="5"/>
  <c r="O1785" i="5"/>
  <c r="L1787" i="5"/>
  <c r="C1787" i="5"/>
  <c r="N1787" i="5"/>
  <c r="E1787" i="5"/>
  <c r="K1787" i="5"/>
  <c r="P1787" i="5"/>
  <c r="F1795" i="5"/>
  <c r="Q1795" i="5"/>
  <c r="P1799" i="5"/>
  <c r="H1799" i="5"/>
  <c r="R1799" i="5"/>
  <c r="I1799" i="5"/>
  <c r="O1799" i="5"/>
  <c r="F1799" i="5"/>
  <c r="A1799" i="5" s="1"/>
  <c r="N1799" i="5"/>
  <c r="C1807" i="5"/>
  <c r="Q1807" i="5"/>
  <c r="M1850" i="5"/>
  <c r="C1852" i="5"/>
  <c r="G1858" i="5"/>
  <c r="F1862" i="5"/>
  <c r="M1878" i="5"/>
  <c r="E1878" i="5"/>
  <c r="N1878" i="5"/>
  <c r="C1878" i="5"/>
  <c r="K1878" i="5"/>
  <c r="H1878" i="5"/>
  <c r="R1878" i="5"/>
  <c r="G1878" i="5"/>
  <c r="Q1878" i="5"/>
  <c r="F1878" i="5"/>
  <c r="C1883" i="5"/>
  <c r="H1884" i="5"/>
  <c r="C1906" i="5"/>
  <c r="M1915" i="5"/>
  <c r="E1915" i="5"/>
  <c r="N1915" i="5"/>
  <c r="C1915" i="5"/>
  <c r="K1915" i="5"/>
  <c r="I1915" i="5"/>
  <c r="P1915" i="5"/>
  <c r="O1915" i="5"/>
  <c r="L1915" i="5"/>
  <c r="J1915" i="5"/>
  <c r="C1921" i="5"/>
  <c r="R1928" i="5"/>
  <c r="L1940" i="5"/>
  <c r="C1940" i="5"/>
  <c r="O1940" i="5"/>
  <c r="F1940" i="5"/>
  <c r="J1940" i="5"/>
  <c r="R1940" i="5"/>
  <c r="H1940" i="5"/>
  <c r="N1940" i="5"/>
  <c r="M1940" i="5"/>
  <c r="K1940" i="5"/>
  <c r="I1940" i="5"/>
  <c r="G1940" i="5"/>
  <c r="F1992" i="5"/>
  <c r="R1805" i="5"/>
  <c r="J1805" i="5"/>
  <c r="O1805" i="5"/>
  <c r="F1805" i="5"/>
  <c r="M1805" i="5"/>
  <c r="C1805" i="5"/>
  <c r="P1805" i="5"/>
  <c r="M1822" i="5"/>
  <c r="E1822" i="5"/>
  <c r="N1822" i="5"/>
  <c r="C1822" i="5"/>
  <c r="P1822" i="5"/>
  <c r="F1822" i="5"/>
  <c r="L1822" i="5"/>
  <c r="R1822" i="5"/>
  <c r="L1839" i="5"/>
  <c r="C1839" i="5"/>
  <c r="O1839" i="5"/>
  <c r="F1839" i="5"/>
  <c r="I1839" i="5"/>
  <c r="R1839" i="5"/>
  <c r="H1839" i="5"/>
  <c r="Q1839" i="5"/>
  <c r="G1839" i="5"/>
  <c r="A1840" i="5"/>
  <c r="A1840" i="1" s="1"/>
  <c r="P1843" i="5"/>
  <c r="H1843" i="5"/>
  <c r="J1843" i="5"/>
  <c r="K1843" i="5"/>
  <c r="I1843" i="5"/>
  <c r="R1843" i="5"/>
  <c r="G1843" i="5"/>
  <c r="A1843" i="5" s="1"/>
  <c r="A1843" i="1" s="1"/>
  <c r="Q1843" i="5"/>
  <c r="N1850" i="5"/>
  <c r="Q1866" i="5"/>
  <c r="I1866" i="5"/>
  <c r="R1866" i="5"/>
  <c r="H1866" i="5"/>
  <c r="L1866" i="5"/>
  <c r="K1866" i="5"/>
  <c r="A1866" i="5" s="1"/>
  <c r="J1866" i="5"/>
  <c r="P1866" i="5"/>
  <c r="R1881" i="5"/>
  <c r="J1881" i="5"/>
  <c r="P1881" i="5"/>
  <c r="G1881" i="5"/>
  <c r="N1881" i="5"/>
  <c r="E1881" i="5"/>
  <c r="A1881" i="5" s="1"/>
  <c r="A1881" i="1" s="1"/>
  <c r="I1881" i="5"/>
  <c r="H1881" i="5"/>
  <c r="F1881" i="5"/>
  <c r="P1899" i="5"/>
  <c r="H1899" i="5"/>
  <c r="J1899" i="5"/>
  <c r="Q1899" i="5"/>
  <c r="G1899" i="5"/>
  <c r="K1899" i="5"/>
  <c r="I1899" i="5"/>
  <c r="F1899" i="5"/>
  <c r="R1899" i="5"/>
  <c r="E1899" i="5"/>
  <c r="A1899" i="5" s="1"/>
  <c r="A1899" i="1" s="1"/>
  <c r="R1958" i="5"/>
  <c r="J1958" i="5"/>
  <c r="N1958" i="5"/>
  <c r="F1958" i="5"/>
  <c r="L1958" i="5"/>
  <c r="K1958" i="5"/>
  <c r="H1958" i="5"/>
  <c r="M1958" i="5"/>
  <c r="I1958" i="5"/>
  <c r="G1958" i="5"/>
  <c r="E1958" i="5"/>
  <c r="C1958" i="5"/>
  <c r="Q1975" i="5"/>
  <c r="I1975" i="5"/>
  <c r="M1975" i="5"/>
  <c r="E1975" i="5"/>
  <c r="K1975" i="5"/>
  <c r="P1975" i="5"/>
  <c r="C1975" i="5"/>
  <c r="N1975" i="5"/>
  <c r="O1975" i="5"/>
  <c r="L1975" i="5"/>
  <c r="J1975" i="5"/>
  <c r="H1975" i="5"/>
  <c r="G1975" i="5"/>
  <c r="R1982" i="5"/>
  <c r="J1982" i="5"/>
  <c r="N1982" i="5"/>
  <c r="F1982" i="5"/>
  <c r="O1982" i="5"/>
  <c r="C1982" i="5"/>
  <c r="H1982" i="5"/>
  <c r="Q1982" i="5"/>
  <c r="E1982" i="5"/>
  <c r="M1982" i="5"/>
  <c r="L1982" i="5"/>
  <c r="K1982" i="5"/>
  <c r="I1982" i="5"/>
  <c r="G1982" i="5"/>
  <c r="N1986" i="5"/>
  <c r="F1986" i="5"/>
  <c r="R1986" i="5"/>
  <c r="J1986" i="5"/>
  <c r="I1986" i="5"/>
  <c r="H1986" i="5"/>
  <c r="Q1986" i="5"/>
  <c r="E1986" i="5"/>
  <c r="M1986" i="5"/>
  <c r="L1986" i="5"/>
  <c r="K1986" i="5"/>
  <c r="G1986" i="5"/>
  <c r="C1986" i="5"/>
  <c r="P2000" i="5"/>
  <c r="H2000" i="5"/>
  <c r="L2000" i="5"/>
  <c r="C2000" i="5"/>
  <c r="R2000" i="5"/>
  <c r="G2000" i="5"/>
  <c r="Q2000" i="5"/>
  <c r="E2000" i="5"/>
  <c r="N2000" i="5"/>
  <c r="M2000" i="5"/>
  <c r="K2000" i="5"/>
  <c r="J2000" i="5"/>
  <c r="I2000" i="5"/>
  <c r="F2000" i="5"/>
  <c r="L2004" i="5"/>
  <c r="C2004" i="5"/>
  <c r="P2004" i="5"/>
  <c r="H2004" i="5"/>
  <c r="M2004" i="5"/>
  <c r="G2004" i="5"/>
  <c r="Q2004" i="5"/>
  <c r="E2004" i="5"/>
  <c r="R2004" i="5"/>
  <c r="O2004" i="5"/>
  <c r="N2004" i="5"/>
  <c r="K2004" i="5"/>
  <c r="J2004" i="5"/>
  <c r="I1743" i="5"/>
  <c r="A1743" i="5" s="1"/>
  <c r="Q1743" i="5"/>
  <c r="I1751" i="5"/>
  <c r="A1751" i="5" s="1"/>
  <c r="Q1751" i="5"/>
  <c r="I1759" i="5"/>
  <c r="A1759" i="5" s="1"/>
  <c r="Q1759" i="5"/>
  <c r="I1767" i="5"/>
  <c r="Q1767" i="5"/>
  <c r="A1767" i="5" s="1"/>
  <c r="P1819" i="5"/>
  <c r="H1819" i="5"/>
  <c r="A1819" i="5" s="1"/>
  <c r="A1819" i="1" s="1"/>
  <c r="J1819" i="5"/>
  <c r="M1819" i="5"/>
  <c r="P1835" i="5"/>
  <c r="H1835" i="5"/>
  <c r="A1835" i="5" s="1"/>
  <c r="A1835" i="1" s="1"/>
  <c r="J1835" i="5"/>
  <c r="M1835" i="5"/>
  <c r="P1851" i="5"/>
  <c r="H1851" i="5"/>
  <c r="J1851" i="5"/>
  <c r="M1851" i="5"/>
  <c r="P1867" i="5"/>
  <c r="H1867" i="5"/>
  <c r="J1867" i="5"/>
  <c r="M1867" i="5"/>
  <c r="Q1874" i="5"/>
  <c r="I1874" i="5"/>
  <c r="R1874" i="5"/>
  <c r="H1874" i="5"/>
  <c r="O1874" i="5"/>
  <c r="F1874" i="5"/>
  <c r="N1874" i="5"/>
  <c r="M1886" i="5"/>
  <c r="E1886" i="5"/>
  <c r="N1886" i="5"/>
  <c r="C1886" i="5"/>
  <c r="K1886" i="5"/>
  <c r="P1886" i="5"/>
  <c r="O1892" i="5"/>
  <c r="G1892" i="5"/>
  <c r="K1892" i="5"/>
  <c r="R1892" i="5"/>
  <c r="I1892" i="5"/>
  <c r="N1892" i="5"/>
  <c r="R1897" i="5"/>
  <c r="J1897" i="5"/>
  <c r="P1897" i="5"/>
  <c r="G1897" i="5"/>
  <c r="N1897" i="5"/>
  <c r="E1897" i="5"/>
  <c r="A1897" i="5" s="1"/>
  <c r="A1897" i="1" s="1"/>
  <c r="O1897" i="5"/>
  <c r="K1898" i="5"/>
  <c r="A1898" i="5" s="1"/>
  <c r="P1912" i="5"/>
  <c r="H1912" i="5"/>
  <c r="J1912" i="5"/>
  <c r="L1912" i="5"/>
  <c r="I1912" i="5"/>
  <c r="O1912" i="5"/>
  <c r="K1927" i="5"/>
  <c r="K1932" i="5"/>
  <c r="K1934" i="5"/>
  <c r="L1937" i="5"/>
  <c r="A1937" i="5" s="1"/>
  <c r="A1937" i="1" s="1"/>
  <c r="Q1943" i="5"/>
  <c r="I1943" i="5"/>
  <c r="M1943" i="5"/>
  <c r="E1943" i="5"/>
  <c r="K1943" i="5"/>
  <c r="J1943" i="5"/>
  <c r="G1943" i="5"/>
  <c r="R1943" i="5"/>
  <c r="R1950" i="5"/>
  <c r="J1950" i="5"/>
  <c r="N1950" i="5"/>
  <c r="F1950" i="5"/>
  <c r="O1950" i="5"/>
  <c r="C1950" i="5"/>
  <c r="A1950" i="5" s="1"/>
  <c r="A1950" i="1" s="1"/>
  <c r="M1950" i="5"/>
  <c r="K1950" i="5"/>
  <c r="N1962" i="5"/>
  <c r="F1962" i="5"/>
  <c r="A1962" i="5" s="1"/>
  <c r="R1962" i="5"/>
  <c r="J1962" i="5"/>
  <c r="Q1962" i="5"/>
  <c r="G1962" i="5"/>
  <c r="L1962" i="5"/>
  <c r="I1962" i="5"/>
  <c r="L1970" i="5"/>
  <c r="M1988" i="5"/>
  <c r="K1991" i="5"/>
  <c r="M1996" i="5"/>
  <c r="L1998" i="5"/>
  <c r="K2002" i="5"/>
  <c r="K2003" i="5"/>
  <c r="O1828" i="5"/>
  <c r="G1828" i="5"/>
  <c r="K1828" i="5"/>
  <c r="M1828" i="5"/>
  <c r="M1838" i="5"/>
  <c r="E1838" i="5"/>
  <c r="N1838" i="5"/>
  <c r="C1838" i="5"/>
  <c r="O1838" i="5"/>
  <c r="O1844" i="5"/>
  <c r="G1844" i="5"/>
  <c r="K1844" i="5"/>
  <c r="M1844" i="5"/>
  <c r="M1854" i="5"/>
  <c r="E1854" i="5"/>
  <c r="N1854" i="5"/>
  <c r="C1854" i="5"/>
  <c r="O1854" i="5"/>
  <c r="O1860" i="5"/>
  <c r="G1860" i="5"/>
  <c r="K1860" i="5"/>
  <c r="M1860" i="5"/>
  <c r="Q1882" i="5"/>
  <c r="I1882" i="5"/>
  <c r="R1882" i="5"/>
  <c r="H1882" i="5"/>
  <c r="O1882" i="5"/>
  <c r="F1882" i="5"/>
  <c r="N1882" i="5"/>
  <c r="A1892" i="5"/>
  <c r="A1892" i="1" s="1"/>
  <c r="M1894" i="5"/>
  <c r="E1894" i="5"/>
  <c r="N1894" i="5"/>
  <c r="C1894" i="5"/>
  <c r="K1894" i="5"/>
  <c r="P1894" i="5"/>
  <c r="L1898" i="5"/>
  <c r="O1900" i="5"/>
  <c r="G1900" i="5"/>
  <c r="K1900" i="5"/>
  <c r="R1900" i="5"/>
  <c r="I1900" i="5"/>
  <c r="N1900" i="5"/>
  <c r="R1905" i="5"/>
  <c r="J1905" i="5"/>
  <c r="P1905" i="5"/>
  <c r="G1905" i="5"/>
  <c r="N1905" i="5"/>
  <c r="E1905" i="5"/>
  <c r="O1905" i="5"/>
  <c r="L1924" i="5"/>
  <c r="C1924" i="5"/>
  <c r="O1924" i="5"/>
  <c r="F1924" i="5"/>
  <c r="J1924" i="5"/>
  <c r="R1924" i="5"/>
  <c r="H1924" i="5"/>
  <c r="Q1924" i="5"/>
  <c r="L1927" i="5"/>
  <c r="A1929" i="5"/>
  <c r="A1929" i="1" s="1"/>
  <c r="M1931" i="5"/>
  <c r="E1931" i="5"/>
  <c r="N1931" i="5"/>
  <c r="C1931" i="5"/>
  <c r="K1931" i="5"/>
  <c r="I1931" i="5"/>
  <c r="Q1931" i="5"/>
  <c r="N1932" i="5"/>
  <c r="L1934" i="5"/>
  <c r="M1937" i="5"/>
  <c r="P1944" i="5"/>
  <c r="H1944" i="5"/>
  <c r="L1944" i="5"/>
  <c r="C1944" i="5"/>
  <c r="O1944" i="5"/>
  <c r="E1944" i="5"/>
  <c r="R1944" i="5"/>
  <c r="F1944" i="5"/>
  <c r="N1944" i="5"/>
  <c r="Q1951" i="5"/>
  <c r="I1951" i="5"/>
  <c r="M1951" i="5"/>
  <c r="E1951" i="5"/>
  <c r="H1951" i="5"/>
  <c r="J1951" i="5"/>
  <c r="R1951" i="5"/>
  <c r="F1951" i="5"/>
  <c r="P1952" i="5"/>
  <c r="H1952" i="5"/>
  <c r="L1952" i="5"/>
  <c r="C1952" i="5"/>
  <c r="M1952" i="5"/>
  <c r="Q1952" i="5"/>
  <c r="E1952" i="5"/>
  <c r="N1952" i="5"/>
  <c r="P1960" i="5"/>
  <c r="H1960" i="5"/>
  <c r="L1960" i="5"/>
  <c r="C1960" i="5"/>
  <c r="J1960" i="5"/>
  <c r="N1960" i="5"/>
  <c r="K1960" i="5"/>
  <c r="R1960" i="5"/>
  <c r="M1963" i="5"/>
  <c r="E1963" i="5"/>
  <c r="Q1963" i="5"/>
  <c r="I1963" i="5"/>
  <c r="K1963" i="5"/>
  <c r="G1963" i="5"/>
  <c r="P1963" i="5"/>
  <c r="C1963" i="5"/>
  <c r="L1964" i="5"/>
  <c r="C1964" i="5"/>
  <c r="P1964" i="5"/>
  <c r="H1964" i="5"/>
  <c r="O1964" i="5"/>
  <c r="E1964" i="5"/>
  <c r="N1964" i="5"/>
  <c r="K1964" i="5"/>
  <c r="R1966" i="5"/>
  <c r="J1966" i="5"/>
  <c r="N1966" i="5"/>
  <c r="F1966" i="5"/>
  <c r="I1966" i="5"/>
  <c r="K1966" i="5"/>
  <c r="G1966" i="5"/>
  <c r="Q1966" i="5"/>
  <c r="M1970" i="5"/>
  <c r="P1984" i="5"/>
  <c r="H1984" i="5"/>
  <c r="L1984" i="5"/>
  <c r="C1984" i="5"/>
  <c r="M1984" i="5"/>
  <c r="J1984" i="5"/>
  <c r="G1984" i="5"/>
  <c r="R1984" i="5"/>
  <c r="N1988" i="5"/>
  <c r="N1991" i="5"/>
  <c r="N1996" i="5"/>
  <c r="O1998" i="5"/>
  <c r="L2002" i="5"/>
  <c r="N2003" i="5"/>
  <c r="D4" i="6"/>
  <c r="M1778" i="5"/>
  <c r="E1778" i="5"/>
  <c r="L1778" i="5"/>
  <c r="M1786" i="5"/>
  <c r="E1786" i="5"/>
  <c r="L1786" i="5"/>
  <c r="M1794" i="5"/>
  <c r="E1794" i="5"/>
  <c r="A1794" i="5" s="1"/>
  <c r="L1794" i="5"/>
  <c r="M1802" i="5"/>
  <c r="E1802" i="5"/>
  <c r="L1802" i="5"/>
  <c r="M1810" i="5"/>
  <c r="E1810" i="5"/>
  <c r="L1810" i="5"/>
  <c r="L1815" i="5"/>
  <c r="C1815" i="5"/>
  <c r="O1815" i="5"/>
  <c r="F1815" i="5"/>
  <c r="N1815" i="5"/>
  <c r="R1825" i="5"/>
  <c r="J1825" i="5"/>
  <c r="P1825" i="5"/>
  <c r="G1825" i="5"/>
  <c r="M1825" i="5"/>
  <c r="C1828" i="5"/>
  <c r="N1828" i="5"/>
  <c r="L1831" i="5"/>
  <c r="C1831" i="5"/>
  <c r="O1831" i="5"/>
  <c r="F1831" i="5"/>
  <c r="N1831" i="5"/>
  <c r="F1838" i="5"/>
  <c r="P1838" i="5"/>
  <c r="R1841" i="5"/>
  <c r="J1841" i="5"/>
  <c r="P1841" i="5"/>
  <c r="G1841" i="5"/>
  <c r="A1841" i="5" s="1"/>
  <c r="A1841" i="1" s="1"/>
  <c r="M1841" i="5"/>
  <c r="C1844" i="5"/>
  <c r="A1844" i="5" s="1"/>
  <c r="A1844" i="1" s="1"/>
  <c r="N1844" i="5"/>
  <c r="L1847" i="5"/>
  <c r="C1847" i="5"/>
  <c r="O1847" i="5"/>
  <c r="F1847" i="5"/>
  <c r="N1847" i="5"/>
  <c r="E1851" i="5"/>
  <c r="O1851" i="5"/>
  <c r="F1854" i="5"/>
  <c r="P1854" i="5"/>
  <c r="R1857" i="5"/>
  <c r="J1857" i="5"/>
  <c r="P1857" i="5"/>
  <c r="G1857" i="5"/>
  <c r="A1857" i="5" s="1"/>
  <c r="A1857" i="1" s="1"/>
  <c r="M1857" i="5"/>
  <c r="C1860" i="5"/>
  <c r="N1860" i="5"/>
  <c r="L1863" i="5"/>
  <c r="C1863" i="5"/>
  <c r="O1863" i="5"/>
  <c r="F1863" i="5"/>
  <c r="N1863" i="5"/>
  <c r="E1867" i="5"/>
  <c r="O1867" i="5"/>
  <c r="E1874" i="5"/>
  <c r="C1882" i="5"/>
  <c r="P1882" i="5"/>
  <c r="G1886" i="5"/>
  <c r="R1886" i="5"/>
  <c r="Q1890" i="5"/>
  <c r="I1890" i="5"/>
  <c r="R1890" i="5"/>
  <c r="H1890" i="5"/>
  <c r="A1890" i="5" s="1"/>
  <c r="O1890" i="5"/>
  <c r="F1890" i="5"/>
  <c r="N1890" i="5"/>
  <c r="E1892" i="5"/>
  <c r="Q1892" i="5"/>
  <c r="F1894" i="5"/>
  <c r="Q1894" i="5"/>
  <c r="F1897" i="5"/>
  <c r="C1900" i="5"/>
  <c r="P1900" i="5"/>
  <c r="M1902" i="5"/>
  <c r="E1902" i="5"/>
  <c r="N1902" i="5"/>
  <c r="C1902" i="5"/>
  <c r="K1902" i="5"/>
  <c r="P1902" i="5"/>
  <c r="C1905" i="5"/>
  <c r="Q1905" i="5"/>
  <c r="O1908" i="5"/>
  <c r="G1908" i="5"/>
  <c r="K1908" i="5"/>
  <c r="R1908" i="5"/>
  <c r="I1908" i="5"/>
  <c r="A1908" i="5" s="1"/>
  <c r="A1908" i="1" s="1"/>
  <c r="N1908" i="5"/>
  <c r="E1912" i="5"/>
  <c r="A1912" i="5" s="1"/>
  <c r="A1912" i="1" s="1"/>
  <c r="R1912" i="5"/>
  <c r="E1924" i="5"/>
  <c r="R1926" i="5"/>
  <c r="J1926" i="5"/>
  <c r="P1926" i="5"/>
  <c r="G1926" i="5"/>
  <c r="N1926" i="5"/>
  <c r="C1926" i="5"/>
  <c r="L1926" i="5"/>
  <c r="Q1926" i="5"/>
  <c r="M1927" i="5"/>
  <c r="F1931" i="5"/>
  <c r="R1931" i="5"/>
  <c r="M1934" i="5"/>
  <c r="P1936" i="5"/>
  <c r="H1936" i="5"/>
  <c r="J1936" i="5"/>
  <c r="Q1936" i="5"/>
  <c r="F1936" i="5"/>
  <c r="N1936" i="5"/>
  <c r="C1936" i="5"/>
  <c r="R1936" i="5"/>
  <c r="F1943" i="5"/>
  <c r="G1944" i="5"/>
  <c r="C1951" i="5"/>
  <c r="F1952" i="5"/>
  <c r="E1960" i="5"/>
  <c r="F1963" i="5"/>
  <c r="F1964" i="5"/>
  <c r="C1966" i="5"/>
  <c r="P1970" i="5"/>
  <c r="E1984" i="5"/>
  <c r="O1988" i="5"/>
  <c r="O1991" i="5"/>
  <c r="M1995" i="5"/>
  <c r="E1995" i="5"/>
  <c r="Q1995" i="5"/>
  <c r="I1995" i="5"/>
  <c r="K1995" i="5"/>
  <c r="N1995" i="5"/>
  <c r="J1995" i="5"/>
  <c r="R1995" i="5"/>
  <c r="A1995" i="5" s="1"/>
  <c r="A1995" i="1" s="1"/>
  <c r="O2003" i="5"/>
  <c r="Q1898" i="5"/>
  <c r="I1898" i="5"/>
  <c r="R1898" i="5"/>
  <c r="H1898" i="5"/>
  <c r="O1898" i="5"/>
  <c r="F1898" i="5"/>
  <c r="N1898" i="5"/>
  <c r="L1932" i="5"/>
  <c r="C1932" i="5"/>
  <c r="O1932" i="5"/>
  <c r="F1932" i="5"/>
  <c r="P1932" i="5"/>
  <c r="E1932" i="5"/>
  <c r="M1932" i="5"/>
  <c r="R1932" i="5"/>
  <c r="O1937" i="5"/>
  <c r="G1937" i="5"/>
  <c r="K1937" i="5"/>
  <c r="J1937" i="5"/>
  <c r="R1937" i="5"/>
  <c r="H1937" i="5"/>
  <c r="P1937" i="5"/>
  <c r="R1998" i="5"/>
  <c r="J1998" i="5"/>
  <c r="N1998" i="5"/>
  <c r="F1998" i="5"/>
  <c r="I1998" i="5"/>
  <c r="P1998" i="5"/>
  <c r="C1998" i="5"/>
  <c r="M1998" i="5"/>
  <c r="A23" i="6"/>
  <c r="A23" i="2" s="1"/>
  <c r="Q1927" i="5"/>
  <c r="I1927" i="5"/>
  <c r="R1927" i="5"/>
  <c r="H1927" i="5"/>
  <c r="G1927" i="5"/>
  <c r="O1927" i="5"/>
  <c r="E1927" i="5"/>
  <c r="A1927" i="5" s="1"/>
  <c r="A1927" i="1" s="1"/>
  <c r="P1927" i="5"/>
  <c r="R1934" i="5"/>
  <c r="J1934" i="5"/>
  <c r="P1934" i="5"/>
  <c r="G1934" i="5"/>
  <c r="I1934" i="5"/>
  <c r="Q1934" i="5"/>
  <c r="F1934" i="5"/>
  <c r="A1934" i="5" s="1"/>
  <c r="A1934" i="1" s="1"/>
  <c r="O1934" i="5"/>
  <c r="N1970" i="5"/>
  <c r="F1970" i="5"/>
  <c r="R1970" i="5"/>
  <c r="J1970" i="5"/>
  <c r="O1970" i="5"/>
  <c r="C1970" i="5"/>
  <c r="K1970" i="5"/>
  <c r="H1970" i="5"/>
  <c r="L1988" i="5"/>
  <c r="C1988" i="5"/>
  <c r="P1988" i="5"/>
  <c r="H1988" i="5"/>
  <c r="R1988" i="5"/>
  <c r="G1988" i="5"/>
  <c r="J1988" i="5"/>
  <c r="F1988" i="5"/>
  <c r="Q1991" i="5"/>
  <c r="I1991" i="5"/>
  <c r="M1991" i="5"/>
  <c r="A1991" i="5" s="1"/>
  <c r="A1991" i="1" s="1"/>
  <c r="E1991" i="5"/>
  <c r="P1991" i="5"/>
  <c r="F1991" i="5"/>
  <c r="L1991" i="5"/>
  <c r="J1991" i="5"/>
  <c r="L1996" i="5"/>
  <c r="C1996" i="5"/>
  <c r="P1996" i="5"/>
  <c r="H1996" i="5"/>
  <c r="O1996" i="5"/>
  <c r="E1996" i="5"/>
  <c r="I1996" i="5"/>
  <c r="R1996" i="5"/>
  <c r="F1996" i="5"/>
  <c r="N2002" i="5"/>
  <c r="F2002" i="5"/>
  <c r="R2002" i="5"/>
  <c r="J2002" i="5"/>
  <c r="O2002" i="5"/>
  <c r="C2002" i="5"/>
  <c r="Q2002" i="5"/>
  <c r="E2002" i="5"/>
  <c r="M2002" i="5"/>
  <c r="M2003" i="5"/>
  <c r="E2003" i="5"/>
  <c r="A2003" i="5" s="1"/>
  <c r="A2003" i="1" s="1"/>
  <c r="Q2003" i="5"/>
  <c r="I2003" i="5"/>
  <c r="H2003" i="5"/>
  <c r="L2003" i="5"/>
  <c r="J2003" i="5"/>
  <c r="R2003" i="5"/>
  <c r="A40" i="6"/>
  <c r="A40" i="2" s="1"/>
  <c r="A64" i="6"/>
  <c r="A64" i="2" s="1"/>
  <c r="A96" i="6"/>
  <c r="A96" i="2" s="1"/>
  <c r="L1871" i="5"/>
  <c r="C1871" i="5"/>
  <c r="M1871" i="5"/>
  <c r="L1879" i="5"/>
  <c r="C1879" i="5"/>
  <c r="M1879" i="5"/>
  <c r="L1887" i="5"/>
  <c r="C1887" i="5"/>
  <c r="M1887" i="5"/>
  <c r="L1895" i="5"/>
  <c r="C1895" i="5"/>
  <c r="M1895" i="5"/>
  <c r="L1903" i="5"/>
  <c r="C1903" i="5"/>
  <c r="A1903" i="5" s="1"/>
  <c r="A1903" i="1" s="1"/>
  <c r="M1903" i="5"/>
  <c r="O1913" i="5"/>
  <c r="G1913" i="5"/>
  <c r="K1913" i="5"/>
  <c r="M1913" i="5"/>
  <c r="M1923" i="5"/>
  <c r="E1923" i="5"/>
  <c r="N1923" i="5"/>
  <c r="C1923" i="5"/>
  <c r="O1923" i="5"/>
  <c r="O1929" i="5"/>
  <c r="G1929" i="5"/>
  <c r="K1929" i="5"/>
  <c r="M1929" i="5"/>
  <c r="M1939" i="5"/>
  <c r="E1939" i="5"/>
  <c r="N1939" i="5"/>
  <c r="C1939" i="5"/>
  <c r="O1939" i="5"/>
  <c r="L1948" i="5"/>
  <c r="C1948" i="5"/>
  <c r="P1948" i="5"/>
  <c r="H1948" i="5"/>
  <c r="J1948" i="5"/>
  <c r="O1948" i="5"/>
  <c r="Q1959" i="5"/>
  <c r="I1959" i="5"/>
  <c r="M1959" i="5"/>
  <c r="E1959" i="5"/>
  <c r="A1959" i="5" s="1"/>
  <c r="A1959" i="1" s="1"/>
  <c r="P1959" i="5"/>
  <c r="F1959" i="5"/>
  <c r="O1959" i="5"/>
  <c r="M1971" i="5"/>
  <c r="E1971" i="5"/>
  <c r="Q1971" i="5"/>
  <c r="I1971" i="5"/>
  <c r="H1971" i="5"/>
  <c r="O1971" i="5"/>
  <c r="R1990" i="5"/>
  <c r="J1990" i="5"/>
  <c r="N1990" i="5"/>
  <c r="F1990" i="5"/>
  <c r="A1990" i="5" s="1"/>
  <c r="A1990" i="1" s="1"/>
  <c r="L1990" i="5"/>
  <c r="O1990" i="5"/>
  <c r="N1994" i="5"/>
  <c r="F1994" i="5"/>
  <c r="R1994" i="5"/>
  <c r="J1994" i="5"/>
  <c r="Q1994" i="5"/>
  <c r="G1994" i="5"/>
  <c r="O1994" i="5"/>
  <c r="A68" i="6"/>
  <c r="A68" i="2" s="1"/>
  <c r="A84" i="6"/>
  <c r="A84" i="2" s="1"/>
  <c r="K1812" i="5"/>
  <c r="N1813" i="5"/>
  <c r="F1813" i="5"/>
  <c r="A1813" i="5" s="1"/>
  <c r="A1813" i="1" s="1"/>
  <c r="L1813" i="5"/>
  <c r="N1821" i="5"/>
  <c r="F1821" i="5"/>
  <c r="L1821" i="5"/>
  <c r="A1821" i="5" s="1"/>
  <c r="A1821" i="1" s="1"/>
  <c r="N1829" i="5"/>
  <c r="F1829" i="5"/>
  <c r="L1829" i="5"/>
  <c r="N1837" i="5"/>
  <c r="F1837" i="5"/>
  <c r="A1837" i="5" s="1"/>
  <c r="A1837" i="1" s="1"/>
  <c r="L1837" i="5"/>
  <c r="N1845" i="5"/>
  <c r="F1845" i="5"/>
  <c r="A1845" i="5" s="1"/>
  <c r="A1845" i="1" s="1"/>
  <c r="L1845" i="5"/>
  <c r="N1853" i="5"/>
  <c r="F1853" i="5"/>
  <c r="A1853" i="5" s="1"/>
  <c r="A1853" i="1" s="1"/>
  <c r="L1853" i="5"/>
  <c r="N1861" i="5"/>
  <c r="F1861" i="5"/>
  <c r="A1861" i="5" s="1"/>
  <c r="A1861" i="1" s="1"/>
  <c r="L1861" i="5"/>
  <c r="N1869" i="5"/>
  <c r="F1869" i="5"/>
  <c r="A1869" i="5" s="1"/>
  <c r="A1869" i="1" s="1"/>
  <c r="L1869" i="5"/>
  <c r="F1871" i="5"/>
  <c r="O1871" i="5"/>
  <c r="N1877" i="5"/>
  <c r="F1877" i="5"/>
  <c r="A1877" i="5" s="1"/>
  <c r="A1877" i="1" s="1"/>
  <c r="L1877" i="5"/>
  <c r="F1879" i="5"/>
  <c r="O1879" i="5"/>
  <c r="N1885" i="5"/>
  <c r="F1885" i="5"/>
  <c r="L1885" i="5"/>
  <c r="A1885" i="5" s="1"/>
  <c r="A1885" i="1" s="1"/>
  <c r="F1887" i="5"/>
  <c r="O1887" i="5"/>
  <c r="N1893" i="5"/>
  <c r="F1893" i="5"/>
  <c r="A1893" i="5" s="1"/>
  <c r="A1893" i="1" s="1"/>
  <c r="L1893" i="5"/>
  <c r="F1895" i="5"/>
  <c r="O1895" i="5"/>
  <c r="N1901" i="5"/>
  <c r="F1901" i="5"/>
  <c r="A1901" i="5" s="1"/>
  <c r="A1901" i="1" s="1"/>
  <c r="L1901" i="5"/>
  <c r="F1903" i="5"/>
  <c r="O1903" i="5"/>
  <c r="E1913" i="5"/>
  <c r="A1913" i="5" s="1"/>
  <c r="A1913" i="1" s="1"/>
  <c r="P1913" i="5"/>
  <c r="Q1919" i="5"/>
  <c r="I1919" i="5"/>
  <c r="R1919" i="5"/>
  <c r="H1919" i="5"/>
  <c r="A1919" i="5" s="1"/>
  <c r="A1919" i="1" s="1"/>
  <c r="M1919" i="5"/>
  <c r="G1923" i="5"/>
  <c r="Q1923" i="5"/>
  <c r="E1929" i="5"/>
  <c r="P1929" i="5"/>
  <c r="Q1935" i="5"/>
  <c r="I1935" i="5"/>
  <c r="R1935" i="5"/>
  <c r="H1935" i="5"/>
  <c r="M1935" i="5"/>
  <c r="A1935" i="5" s="1"/>
  <c r="A1935" i="1" s="1"/>
  <c r="G1939" i="5"/>
  <c r="Q1939" i="5"/>
  <c r="F1948" i="5"/>
  <c r="R1948" i="5"/>
  <c r="N1954" i="5"/>
  <c r="F1954" i="5"/>
  <c r="A1954" i="5" s="1"/>
  <c r="R1954" i="5"/>
  <c r="J1954" i="5"/>
  <c r="I1954" i="5"/>
  <c r="O1954" i="5"/>
  <c r="L1956" i="5"/>
  <c r="C1956" i="5"/>
  <c r="A1956" i="5" s="1"/>
  <c r="A1956" i="1" s="1"/>
  <c r="P1956" i="5"/>
  <c r="H1956" i="5"/>
  <c r="R1956" i="5"/>
  <c r="G1956" i="5"/>
  <c r="O1956" i="5"/>
  <c r="G1959" i="5"/>
  <c r="F1971" i="5"/>
  <c r="R1971" i="5"/>
  <c r="A1971" i="5" s="1"/>
  <c r="A1971" i="1" s="1"/>
  <c r="Q1983" i="5"/>
  <c r="I1983" i="5"/>
  <c r="M1983" i="5"/>
  <c r="E1983" i="5"/>
  <c r="H1983" i="5"/>
  <c r="O1983" i="5"/>
  <c r="E1990" i="5"/>
  <c r="Q1990" i="5"/>
  <c r="E1994" i="5"/>
  <c r="A1994" i="5" s="1"/>
  <c r="A20" i="6"/>
  <c r="A20" i="2" s="1"/>
  <c r="A59" i="6"/>
  <c r="A72" i="6"/>
  <c r="A72" i="2" s="1"/>
  <c r="A104" i="6"/>
  <c r="A104" i="2" s="1"/>
  <c r="A136" i="6"/>
  <c r="A136" i="2" s="1"/>
  <c r="A194" i="6"/>
  <c r="A226" i="6"/>
  <c r="A226" i="2" s="1"/>
  <c r="A128" i="6"/>
  <c r="A128" i="2" s="1"/>
  <c r="A160" i="6"/>
  <c r="A160" i="2" s="1"/>
  <c r="A185" i="6"/>
  <c r="A217" i="6"/>
  <c r="A249" i="6"/>
  <c r="N1914" i="5"/>
  <c r="F1914" i="5"/>
  <c r="L1914" i="5"/>
  <c r="N1922" i="5"/>
  <c r="F1922" i="5"/>
  <c r="L1922" i="5"/>
  <c r="N1930" i="5"/>
  <c r="F1930" i="5"/>
  <c r="L1930" i="5"/>
  <c r="N1938" i="5"/>
  <c r="F1938" i="5"/>
  <c r="A1938" i="5" s="1"/>
  <c r="L1938" i="5"/>
  <c r="M1955" i="5"/>
  <c r="E1955" i="5"/>
  <c r="A1955" i="5" s="1"/>
  <c r="A1955" i="1" s="1"/>
  <c r="Q1955" i="5"/>
  <c r="I1955" i="5"/>
  <c r="N1955" i="5"/>
  <c r="Q1967" i="5"/>
  <c r="I1967" i="5"/>
  <c r="M1967" i="5"/>
  <c r="E1967" i="5"/>
  <c r="N1967" i="5"/>
  <c r="M1987" i="5"/>
  <c r="E1987" i="5"/>
  <c r="Q1987" i="5"/>
  <c r="I1987" i="5"/>
  <c r="N1987" i="5"/>
  <c r="Q1999" i="5"/>
  <c r="I1999" i="5"/>
  <c r="A1999" i="5" s="1"/>
  <c r="A1999" i="1" s="1"/>
  <c r="M1999" i="5"/>
  <c r="E1999" i="5"/>
  <c r="N1999" i="5"/>
  <c r="A24" i="6"/>
  <c r="A24" i="2" s="1"/>
  <c r="A56" i="6"/>
  <c r="A56" i="2" s="1"/>
  <c r="A88" i="6"/>
  <c r="A88" i="2" s="1"/>
  <c r="A120" i="6"/>
  <c r="A120" i="2" s="1"/>
  <c r="A152" i="6"/>
  <c r="A152" i="2" s="1"/>
  <c r="A80" i="6"/>
  <c r="A80" i="2" s="1"/>
  <c r="A112" i="6"/>
  <c r="A112" i="2" s="1"/>
  <c r="A144" i="6"/>
  <c r="A144" i="2" s="1"/>
  <c r="A171" i="6"/>
  <c r="A203" i="6"/>
  <c r="A203" i="2" s="1"/>
  <c r="A235" i="6"/>
  <c r="A235" i="2" s="1"/>
  <c r="A291" i="6"/>
  <c r="A291" i="2" s="1"/>
  <c r="A306" i="6"/>
  <c r="A355" i="6"/>
  <c r="A370" i="6"/>
  <c r="A571" i="6"/>
  <c r="A571" i="2" s="1"/>
  <c r="A635" i="6"/>
  <c r="A635" i="2" s="1"/>
  <c r="A723" i="6"/>
  <c r="A723" i="2" s="1"/>
  <c r="A787" i="6"/>
  <c r="A787" i="2" s="1"/>
  <c r="A851" i="6"/>
  <c r="A899" i="6"/>
  <c r="A899" i="2" s="1"/>
  <c r="A931" i="6"/>
  <c r="A963" i="6"/>
  <c r="A995" i="6"/>
  <c r="A1027" i="6"/>
  <c r="A1027" i="2" s="1"/>
  <c r="A1059" i="6"/>
  <c r="A1091" i="6"/>
  <c r="A1091" i="2" s="1"/>
  <c r="A1123" i="6"/>
  <c r="A1123" i="2" s="1"/>
  <c r="A1155" i="6"/>
  <c r="A1155" i="2" s="1"/>
  <c r="A1187" i="6"/>
  <c r="A1187" i="2" s="1"/>
  <c r="A1219" i="6"/>
  <c r="A1251" i="6"/>
  <c r="K1945" i="5"/>
  <c r="K1953" i="5"/>
  <c r="K1961" i="5"/>
  <c r="K1969" i="5"/>
  <c r="K1977" i="5"/>
  <c r="K1985" i="5"/>
  <c r="K1993" i="5"/>
  <c r="K2001" i="5"/>
  <c r="A307" i="6"/>
  <c r="A307" i="2" s="1"/>
  <c r="A322" i="6"/>
  <c r="A371" i="6"/>
  <c r="A386" i="6"/>
  <c r="A555" i="6"/>
  <c r="A555" i="2" s="1"/>
  <c r="A619" i="6"/>
  <c r="A619" i="2" s="1"/>
  <c r="A707" i="6"/>
  <c r="A707" i="2" s="1"/>
  <c r="A771" i="6"/>
  <c r="A835" i="6"/>
  <c r="A907" i="6"/>
  <c r="A907" i="2" s="1"/>
  <c r="A939" i="6"/>
  <c r="A971" i="6"/>
  <c r="A1003" i="6"/>
  <c r="A1003" i="2" s="1"/>
  <c r="A1035" i="6"/>
  <c r="A1035" i="2" s="1"/>
  <c r="A1067" i="6"/>
  <c r="A1099" i="6"/>
  <c r="A1099" i="2" s="1"/>
  <c r="A1131" i="6"/>
  <c r="A1131" i="2" s="1"/>
  <c r="A1163" i="6"/>
  <c r="A1163" i="2" s="1"/>
  <c r="A1195" i="6"/>
  <c r="A1195" i="2" s="1"/>
  <c r="A1227" i="6"/>
  <c r="A170" i="6"/>
  <c r="A170" i="2" s="1"/>
  <c r="A323" i="6"/>
  <c r="A338" i="6"/>
  <c r="A387" i="6"/>
  <c r="A402" i="6"/>
  <c r="A603" i="6"/>
  <c r="A691" i="6"/>
  <c r="A691" i="2" s="1"/>
  <c r="A755" i="6"/>
  <c r="A819" i="6"/>
  <c r="A883" i="6"/>
  <c r="A883" i="2" s="1"/>
  <c r="A915" i="6"/>
  <c r="A947" i="6"/>
  <c r="A979" i="6"/>
  <c r="A1011" i="6"/>
  <c r="A1011" i="2" s="1"/>
  <c r="A1043" i="6"/>
  <c r="A1043" i="2" s="1"/>
  <c r="A1075" i="6"/>
  <c r="A1075" i="2" s="1"/>
  <c r="A1107" i="6"/>
  <c r="A1107" i="2" s="1"/>
  <c r="A1139" i="6"/>
  <c r="A1139" i="2" s="1"/>
  <c r="A1171" i="6"/>
  <c r="A1171" i="2" s="1"/>
  <c r="A1203" i="6"/>
  <c r="A1235" i="6"/>
  <c r="A1259" i="6"/>
  <c r="G1945" i="5"/>
  <c r="A1945" i="5" s="1"/>
  <c r="A1945" i="1" s="1"/>
  <c r="G1953" i="5"/>
  <c r="A1953" i="5" s="1"/>
  <c r="A1953" i="1" s="1"/>
  <c r="G1961" i="5"/>
  <c r="A1961" i="5" s="1"/>
  <c r="A1961" i="1" s="1"/>
  <c r="G1969" i="5"/>
  <c r="G1977" i="5"/>
  <c r="G1985" i="5"/>
  <c r="A1985" i="5" s="1"/>
  <c r="A1985" i="1" s="1"/>
  <c r="G1993" i="5"/>
  <c r="A1993" i="5" s="1"/>
  <c r="A1993" i="1" s="1"/>
  <c r="G2001" i="5"/>
  <c r="A290" i="6"/>
  <c r="A290" i="2" s="1"/>
  <c r="A339" i="6"/>
  <c r="A354" i="6"/>
  <c r="A403" i="6"/>
  <c r="A587" i="6"/>
  <c r="A587" i="2" s="1"/>
  <c r="A651" i="6"/>
  <c r="A651" i="2" s="1"/>
  <c r="A675" i="6"/>
  <c r="A675" i="2" s="1"/>
  <c r="A739" i="6"/>
  <c r="A739" i="2" s="1"/>
  <c r="A803" i="6"/>
  <c r="A803" i="2" s="1"/>
  <c r="A867" i="6"/>
  <c r="A867" i="2" s="1"/>
  <c r="A891" i="6"/>
  <c r="A891" i="2" s="1"/>
  <c r="A923" i="6"/>
  <c r="A955" i="6"/>
  <c r="A987" i="6"/>
  <c r="A1019" i="6"/>
  <c r="A1019" i="2" s="1"/>
  <c r="A1051" i="6"/>
  <c r="A1051" i="2" s="1"/>
  <c r="A1083" i="6"/>
  <c r="A1083" i="2" s="1"/>
  <c r="A1115" i="6"/>
  <c r="A1115" i="2" s="1"/>
  <c r="A1147" i="6"/>
  <c r="A1147" i="2" s="1"/>
  <c r="A1179" i="6"/>
  <c r="A1179" i="2" s="1"/>
  <c r="A1211" i="6"/>
  <c r="A1243" i="6"/>
  <c r="A1799" i="6"/>
  <c r="A1799" i="2" s="1"/>
  <c r="A178" i="7"/>
  <c r="A178" i="2" s="1"/>
  <c r="A200" i="7"/>
  <c r="A200" i="2" s="1"/>
  <c r="A210" i="7"/>
  <c r="A210" i="2" s="1"/>
  <c r="A264" i="7"/>
  <c r="A264" i="2" s="1"/>
  <c r="A306" i="7"/>
  <c r="A233" i="7"/>
  <c r="A233" i="2" s="1"/>
  <c r="A49" i="7"/>
  <c r="A49" i="2" s="1"/>
  <c r="A65" i="7"/>
  <c r="A65" i="2" s="1"/>
  <c r="A81" i="7"/>
  <c r="A81" i="2" s="1"/>
  <c r="A97" i="7"/>
  <c r="A97" i="2" s="1"/>
  <c r="A113" i="7"/>
  <c r="A113" i="2" s="1"/>
  <c r="A129" i="7"/>
  <c r="A129" i="2" s="1"/>
  <c r="A145" i="7"/>
  <c r="A145" i="2" s="1"/>
  <c r="A161" i="7"/>
  <c r="A161" i="2" s="1"/>
  <c r="A266" i="7"/>
  <c r="A266" i="2" s="1"/>
  <c r="A9" i="7"/>
  <c r="A9" i="2" s="1"/>
  <c r="A13" i="7"/>
  <c r="A13" i="2" s="1"/>
  <c r="A17" i="7"/>
  <c r="A17" i="2" s="1"/>
  <c r="A21" i="7"/>
  <c r="A21" i="2" s="1"/>
  <c r="A25" i="7"/>
  <c r="A25" i="2" s="1"/>
  <c r="A29" i="7"/>
  <c r="A29" i="2" s="1"/>
  <c r="A33" i="7"/>
  <c r="A33" i="2" s="1"/>
  <c r="A43" i="7"/>
  <c r="A43" i="2" s="1"/>
  <c r="A59" i="7"/>
  <c r="A75" i="7"/>
  <c r="A75" i="2" s="1"/>
  <c r="A91" i="7"/>
  <c r="A91" i="2" s="1"/>
  <c r="A107" i="7"/>
  <c r="A107" i="2" s="1"/>
  <c r="A123" i="7"/>
  <c r="A123" i="2" s="1"/>
  <c r="A139" i="7"/>
  <c r="A139" i="2" s="1"/>
  <c r="A155" i="7"/>
  <c r="A155" i="2" s="1"/>
  <c r="A193" i="7"/>
  <c r="A193" i="2" s="1"/>
  <c r="A257" i="7"/>
  <c r="A257" i="2" s="1"/>
  <c r="A6" i="7"/>
  <c r="A184" i="7"/>
  <c r="A184" i="2" s="1"/>
  <c r="A226" i="7"/>
  <c r="A280" i="7"/>
  <c r="A280" i="2" s="1"/>
  <c r="A290" i="7"/>
  <c r="A47" i="7"/>
  <c r="A47" i="2" s="1"/>
  <c r="A63" i="7"/>
  <c r="A63" i="2" s="1"/>
  <c r="A79" i="7"/>
  <c r="A79" i="2" s="1"/>
  <c r="A95" i="7"/>
  <c r="A95" i="2" s="1"/>
  <c r="A111" i="7"/>
  <c r="A111" i="2" s="1"/>
  <c r="A127" i="7"/>
  <c r="A127" i="2" s="1"/>
  <c r="A143" i="7"/>
  <c r="A143" i="2" s="1"/>
  <c r="A159" i="7"/>
  <c r="A159" i="2" s="1"/>
  <c r="A185" i="7"/>
  <c r="A249" i="7"/>
  <c r="A186" i="7"/>
  <c r="A186" i="2" s="1"/>
  <c r="A218" i="7"/>
  <c r="A218" i="2" s="1"/>
  <c r="A1811" i="6"/>
  <c r="A1811" i="2" s="1"/>
  <c r="A1827" i="6"/>
  <c r="A1827" i="2" s="1"/>
  <c r="A1840" i="6"/>
  <c r="A7" i="7"/>
  <c r="A7" i="2" s="1"/>
  <c r="A11" i="7"/>
  <c r="A11" i="2" s="1"/>
  <c r="A15" i="7"/>
  <c r="A15" i="2" s="1"/>
  <c r="A19" i="7"/>
  <c r="A19" i="2" s="1"/>
  <c r="A23" i="7"/>
  <c r="A27" i="7"/>
  <c r="A27" i="2" s="1"/>
  <c r="A31" i="7"/>
  <c r="A31" i="2" s="1"/>
  <c r="A35" i="7"/>
  <c r="A35" i="2" s="1"/>
  <c r="A51" i="7"/>
  <c r="A51" i="2" s="1"/>
  <c r="A67" i="7"/>
  <c r="A67" i="2" s="1"/>
  <c r="A83" i="7"/>
  <c r="A83" i="2" s="1"/>
  <c r="A99" i="7"/>
  <c r="A99" i="2" s="1"/>
  <c r="A115" i="7"/>
  <c r="A115" i="2" s="1"/>
  <c r="A131" i="7"/>
  <c r="A131" i="2" s="1"/>
  <c r="A147" i="7"/>
  <c r="A147" i="2" s="1"/>
  <c r="C343" i="7"/>
  <c r="D343" i="7"/>
  <c r="C347" i="7"/>
  <c r="D347" i="7"/>
  <c r="A356" i="7"/>
  <c r="A356" i="2" s="1"/>
  <c r="A360" i="7"/>
  <c r="A360" i="2" s="1"/>
  <c r="C377" i="7"/>
  <c r="A377" i="7" s="1"/>
  <c r="A377" i="2" s="1"/>
  <c r="D377" i="7"/>
  <c r="A386" i="7"/>
  <c r="A390" i="7"/>
  <c r="A390" i="2" s="1"/>
  <c r="C407" i="7"/>
  <c r="A407" i="7" s="1"/>
  <c r="A407" i="2" s="1"/>
  <c r="D407" i="7"/>
  <c r="C411" i="7"/>
  <c r="A411" i="7" s="1"/>
  <c r="A411" i="2" s="1"/>
  <c r="D411" i="7"/>
  <c r="D420" i="7"/>
  <c r="C420" i="7"/>
  <c r="D452" i="7"/>
  <c r="C452" i="7"/>
  <c r="D484" i="7"/>
  <c r="C484" i="7"/>
  <c r="D516" i="7"/>
  <c r="C516" i="7"/>
  <c r="D554" i="7"/>
  <c r="C554" i="7"/>
  <c r="D809" i="7"/>
  <c r="C809" i="7"/>
  <c r="C165" i="7"/>
  <c r="A165" i="7" s="1"/>
  <c r="A165" i="2" s="1"/>
  <c r="D177" i="7"/>
  <c r="A177" i="7" s="1"/>
  <c r="A177" i="2" s="1"/>
  <c r="D185" i="7"/>
  <c r="D193" i="7"/>
  <c r="D201" i="7"/>
  <c r="A201" i="7" s="1"/>
  <c r="A201" i="2" s="1"/>
  <c r="D209" i="7"/>
  <c r="A209" i="7" s="1"/>
  <c r="A209" i="2" s="1"/>
  <c r="D217" i="7"/>
  <c r="A217" i="7" s="1"/>
  <c r="D225" i="7"/>
  <c r="A225" i="7" s="1"/>
  <c r="A225" i="2" s="1"/>
  <c r="D233" i="7"/>
  <c r="D241" i="7"/>
  <c r="A241" i="7" s="1"/>
  <c r="A241" i="2" s="1"/>
  <c r="D249" i="7"/>
  <c r="D257" i="7"/>
  <c r="D265" i="7"/>
  <c r="A265" i="7" s="1"/>
  <c r="A265" i="2" s="1"/>
  <c r="D273" i="7"/>
  <c r="A273" i="7" s="1"/>
  <c r="A273" i="2" s="1"/>
  <c r="D281" i="7"/>
  <c r="A281" i="7" s="1"/>
  <c r="A281" i="2" s="1"/>
  <c r="D289" i="7"/>
  <c r="A289" i="7" s="1"/>
  <c r="A289" i="2" s="1"/>
  <c r="D297" i="7"/>
  <c r="A297" i="7" s="1"/>
  <c r="A297" i="2" s="1"/>
  <c r="D305" i="7"/>
  <c r="A305" i="7" s="1"/>
  <c r="A305" i="2" s="1"/>
  <c r="C319" i="7"/>
  <c r="A319" i="7" s="1"/>
  <c r="A319" i="2" s="1"/>
  <c r="D319" i="7"/>
  <c r="D326" i="7"/>
  <c r="A326" i="7" s="1"/>
  <c r="A326" i="2" s="1"/>
  <c r="C335" i="7"/>
  <c r="D335" i="7"/>
  <c r="C339" i="7"/>
  <c r="D339" i="7"/>
  <c r="C352" i="7"/>
  <c r="A352" i="7" s="1"/>
  <c r="A352" i="2" s="1"/>
  <c r="D356" i="7"/>
  <c r="A365" i="7"/>
  <c r="A365" i="2" s="1"/>
  <c r="C369" i="7"/>
  <c r="D369" i="7"/>
  <c r="D373" i="7"/>
  <c r="A373" i="7" s="1"/>
  <c r="A373" i="2" s="1"/>
  <c r="D386" i="7"/>
  <c r="D390" i="7"/>
  <c r="C399" i="7"/>
  <c r="A399" i="7" s="1"/>
  <c r="A399" i="2" s="1"/>
  <c r="D399" i="7"/>
  <c r="C403" i="7"/>
  <c r="A403" i="7" s="1"/>
  <c r="D403" i="7"/>
  <c r="A412" i="7"/>
  <c r="A412" i="2" s="1"/>
  <c r="C416" i="7"/>
  <c r="A416" i="7" s="1"/>
  <c r="A416" i="2" s="1"/>
  <c r="C425" i="7"/>
  <c r="D425" i="7"/>
  <c r="A430" i="7"/>
  <c r="A430" i="2" s="1"/>
  <c r="A439" i="7"/>
  <c r="A439" i="2" s="1"/>
  <c r="C443" i="7"/>
  <c r="D443" i="7"/>
  <c r="C457" i="7"/>
  <c r="A457" i="7" s="1"/>
  <c r="A457" i="2" s="1"/>
  <c r="D457" i="7"/>
  <c r="C489" i="7"/>
  <c r="D489" i="7"/>
  <c r="C521" i="7"/>
  <c r="D521" i="7"/>
  <c r="A526" i="7"/>
  <c r="A526" i="2" s="1"/>
  <c r="D538" i="7"/>
  <c r="C538" i="7"/>
  <c r="A547" i="7"/>
  <c r="A547" i="2" s="1"/>
  <c r="A569" i="7"/>
  <c r="A569" i="2" s="1"/>
  <c r="C582" i="7"/>
  <c r="A582" i="7" s="1"/>
  <c r="A582" i="2" s="1"/>
  <c r="D582" i="7"/>
  <c r="D172" i="7"/>
  <c r="A172" i="7" s="1"/>
  <c r="A172" i="2" s="1"/>
  <c r="D180" i="7"/>
  <c r="A180" i="7" s="1"/>
  <c r="A180" i="2" s="1"/>
  <c r="D188" i="7"/>
  <c r="A188" i="7" s="1"/>
  <c r="A188" i="2" s="1"/>
  <c r="D196" i="7"/>
  <c r="A196" i="7" s="1"/>
  <c r="A196" i="2" s="1"/>
  <c r="D204" i="7"/>
  <c r="A204" i="7" s="1"/>
  <c r="A204" i="2" s="1"/>
  <c r="D212" i="7"/>
  <c r="A212" i="7" s="1"/>
  <c r="A212" i="2" s="1"/>
  <c r="D220" i="7"/>
  <c r="A220" i="7" s="1"/>
  <c r="A220" i="2" s="1"/>
  <c r="D228" i="7"/>
  <c r="A228" i="7" s="1"/>
  <c r="A228" i="2" s="1"/>
  <c r="D236" i="7"/>
  <c r="A236" i="7" s="1"/>
  <c r="A236" i="2" s="1"/>
  <c r="D244" i="7"/>
  <c r="A244" i="7" s="1"/>
  <c r="A244" i="2" s="1"/>
  <c r="D252" i="7"/>
  <c r="A252" i="7" s="1"/>
  <c r="A252" i="2" s="1"/>
  <c r="D260" i="7"/>
  <c r="A260" i="7" s="1"/>
  <c r="A260" i="2" s="1"/>
  <c r="D268" i="7"/>
  <c r="A268" i="7" s="1"/>
  <c r="A268" i="2" s="1"/>
  <c r="D276" i="7"/>
  <c r="A276" i="7" s="1"/>
  <c r="A276" i="2" s="1"/>
  <c r="D284" i="7"/>
  <c r="A284" i="7" s="1"/>
  <c r="A284" i="2" s="1"/>
  <c r="D292" i="7"/>
  <c r="A292" i="7" s="1"/>
  <c r="A292" i="2" s="1"/>
  <c r="D300" i="7"/>
  <c r="A300" i="7" s="1"/>
  <c r="A300" i="2" s="1"/>
  <c r="D308" i="7"/>
  <c r="A308" i="7" s="1"/>
  <c r="A308" i="2" s="1"/>
  <c r="C311" i="7"/>
  <c r="A311" i="7" s="1"/>
  <c r="A311" i="2" s="1"/>
  <c r="D311" i="7"/>
  <c r="C323" i="7"/>
  <c r="A323" i="7" s="1"/>
  <c r="D323" i="7"/>
  <c r="C327" i="7"/>
  <c r="A327" i="7" s="1"/>
  <c r="A327" i="2" s="1"/>
  <c r="D327" i="7"/>
  <c r="C331" i="7"/>
  <c r="A331" i="7" s="1"/>
  <c r="A331" i="2" s="1"/>
  <c r="D331" i="7"/>
  <c r="A340" i="7"/>
  <c r="A340" i="2" s="1"/>
  <c r="D348" i="7"/>
  <c r="A348" i="7" s="1"/>
  <c r="A348" i="2" s="1"/>
  <c r="A357" i="7"/>
  <c r="A357" i="2" s="1"/>
  <c r="C361" i="7"/>
  <c r="D361" i="7"/>
  <c r="D365" i="7"/>
  <c r="A370" i="7"/>
  <c r="A374" i="7"/>
  <c r="A374" i="2" s="1"/>
  <c r="D378" i="7"/>
  <c r="A378" i="7" s="1"/>
  <c r="A378" i="2" s="1"/>
  <c r="D382" i="7"/>
  <c r="A382" i="7" s="1"/>
  <c r="A382" i="2" s="1"/>
  <c r="C391" i="7"/>
  <c r="A391" i="7" s="1"/>
  <c r="A391" i="2" s="1"/>
  <c r="D391" i="7"/>
  <c r="C395" i="7"/>
  <c r="A395" i="7" s="1"/>
  <c r="A395" i="2" s="1"/>
  <c r="D395" i="7"/>
  <c r="A404" i="7"/>
  <c r="A404" i="2" s="1"/>
  <c r="D412" i="7"/>
  <c r="D421" i="7"/>
  <c r="A421" i="7" s="1"/>
  <c r="A421" i="2" s="1"/>
  <c r="A426" i="7"/>
  <c r="A426" i="2" s="1"/>
  <c r="D430" i="7"/>
  <c r="D444" i="7"/>
  <c r="C444" i="7"/>
  <c r="A444" i="7" s="1"/>
  <c r="A444" i="2" s="1"/>
  <c r="D476" i="7"/>
  <c r="C476" i="7"/>
  <c r="A476" i="7" s="1"/>
  <c r="A476" i="2" s="1"/>
  <c r="D508" i="7"/>
  <c r="C508" i="7"/>
  <c r="A508" i="7" s="1"/>
  <c r="A508" i="2" s="1"/>
  <c r="C622" i="7"/>
  <c r="A622" i="7" s="1"/>
  <c r="A622" i="2" s="1"/>
  <c r="D622" i="7"/>
  <c r="D663" i="7"/>
  <c r="C663" i="7"/>
  <c r="A663" i="7" s="1"/>
  <c r="A663" i="2" s="1"/>
  <c r="C710" i="7"/>
  <c r="D710" i="7"/>
  <c r="A320" i="7"/>
  <c r="A320" i="2" s="1"/>
  <c r="A332" i="7"/>
  <c r="A332" i="2" s="1"/>
  <c r="A336" i="7"/>
  <c r="A336" i="2" s="1"/>
  <c r="C353" i="7"/>
  <c r="D353" i="7"/>
  <c r="A362" i="7"/>
  <c r="A362" i="2" s="1"/>
  <c r="A366" i="7"/>
  <c r="A366" i="2" s="1"/>
  <c r="C383" i="7"/>
  <c r="D383" i="7"/>
  <c r="C387" i="7"/>
  <c r="A387" i="7" s="1"/>
  <c r="D387" i="7"/>
  <c r="A400" i="7"/>
  <c r="A400" i="2" s="1"/>
  <c r="C417" i="7"/>
  <c r="A417" i="7" s="1"/>
  <c r="A417" i="2" s="1"/>
  <c r="D417" i="7"/>
  <c r="C435" i="7"/>
  <c r="A435" i="7" s="1"/>
  <c r="A435" i="2" s="1"/>
  <c r="D435" i="7"/>
  <c r="C449" i="7"/>
  <c r="A449" i="7" s="1"/>
  <c r="A449" i="2" s="1"/>
  <c r="D449" i="7"/>
  <c r="C481" i="7"/>
  <c r="A481" i="7" s="1"/>
  <c r="A481" i="2" s="1"/>
  <c r="D481" i="7"/>
  <c r="C513" i="7"/>
  <c r="A513" i="7" s="1"/>
  <c r="A513" i="2" s="1"/>
  <c r="D513" i="7"/>
  <c r="D848" i="7"/>
  <c r="C848" i="7"/>
  <c r="D168" i="7"/>
  <c r="A168" i="7" s="1"/>
  <c r="A168" i="2" s="1"/>
  <c r="D178" i="7"/>
  <c r="D186" i="7"/>
  <c r="D194" i="7"/>
  <c r="A194" i="7" s="1"/>
  <c r="D202" i="7"/>
  <c r="A202" i="7" s="1"/>
  <c r="A202" i="2" s="1"/>
  <c r="D210" i="7"/>
  <c r="D218" i="7"/>
  <c r="D226" i="7"/>
  <c r="D234" i="7"/>
  <c r="A234" i="7" s="1"/>
  <c r="A234" i="2" s="1"/>
  <c r="D242" i="7"/>
  <c r="A242" i="7" s="1"/>
  <c r="A242" i="2" s="1"/>
  <c r="D250" i="7"/>
  <c r="A250" i="7" s="1"/>
  <c r="A250" i="2" s="1"/>
  <c r="D258" i="7"/>
  <c r="A258" i="7" s="1"/>
  <c r="A258" i="2" s="1"/>
  <c r="D266" i="7"/>
  <c r="D274" i="7"/>
  <c r="A274" i="7" s="1"/>
  <c r="A274" i="2" s="1"/>
  <c r="D282" i="7"/>
  <c r="A282" i="7" s="1"/>
  <c r="A282" i="2" s="1"/>
  <c r="D290" i="7"/>
  <c r="D298" i="7"/>
  <c r="A298" i="7" s="1"/>
  <c r="A298" i="2" s="1"/>
  <c r="D306" i="7"/>
  <c r="A315" i="7"/>
  <c r="A315" i="2" s="1"/>
  <c r="C324" i="7"/>
  <c r="A324" i="7" s="1"/>
  <c r="A324" i="2" s="1"/>
  <c r="C328" i="7"/>
  <c r="A328" i="7" s="1"/>
  <c r="A328" i="2" s="1"/>
  <c r="D332" i="7"/>
  <c r="A341" i="7"/>
  <c r="A341" i="2" s="1"/>
  <c r="C345" i="7"/>
  <c r="D345" i="7"/>
  <c r="D349" i="7"/>
  <c r="A349" i="7" s="1"/>
  <c r="A349" i="2" s="1"/>
  <c r="A354" i="7"/>
  <c r="A358" i="7"/>
  <c r="A358" i="2" s="1"/>
  <c r="D362" i="7"/>
  <c r="D366" i="7"/>
  <c r="C375" i="7"/>
  <c r="A375" i="7" s="1"/>
  <c r="A375" i="2" s="1"/>
  <c r="D375" i="7"/>
  <c r="C379" i="7"/>
  <c r="A379" i="7" s="1"/>
  <c r="A379" i="2" s="1"/>
  <c r="D379" i="7"/>
  <c r="A388" i="7"/>
  <c r="A388" i="2" s="1"/>
  <c r="C392" i="7"/>
  <c r="A392" i="7" s="1"/>
  <c r="A392" i="2" s="1"/>
  <c r="D396" i="7"/>
  <c r="A396" i="7" s="1"/>
  <c r="A396" i="2" s="1"/>
  <c r="A405" i="7"/>
  <c r="A405" i="2" s="1"/>
  <c r="C409" i="7"/>
  <c r="A409" i="7" s="1"/>
  <c r="A409" i="2" s="1"/>
  <c r="D409" i="7"/>
  <c r="D413" i="7"/>
  <c r="A413" i="7" s="1"/>
  <c r="A413" i="2" s="1"/>
  <c r="A418" i="7"/>
  <c r="A418" i="2" s="1"/>
  <c r="D422" i="7"/>
  <c r="A422" i="7" s="1"/>
  <c r="A422" i="2" s="1"/>
  <c r="D436" i="7"/>
  <c r="C436" i="7"/>
  <c r="A436" i="7" s="1"/>
  <c r="A436" i="2" s="1"/>
  <c r="D468" i="7"/>
  <c r="C468" i="7"/>
  <c r="D500" i="7"/>
  <c r="C500" i="7"/>
  <c r="A500" i="7" s="1"/>
  <c r="A500" i="2" s="1"/>
  <c r="D552" i="7"/>
  <c r="C552" i="7"/>
  <c r="A552" i="7" s="1"/>
  <c r="A552" i="2" s="1"/>
  <c r="C561" i="7"/>
  <c r="D561" i="7"/>
  <c r="D575" i="7"/>
  <c r="C575" i="7"/>
  <c r="A333" i="7"/>
  <c r="A333" i="2" s="1"/>
  <c r="C337" i="7"/>
  <c r="D337" i="7"/>
  <c r="A350" i="7"/>
  <c r="A350" i="2" s="1"/>
  <c r="C367" i="7"/>
  <c r="A367" i="7" s="1"/>
  <c r="A367" i="2" s="1"/>
  <c r="D367" i="7"/>
  <c r="C371" i="7"/>
  <c r="D371" i="7"/>
  <c r="A380" i="7"/>
  <c r="A380" i="2" s="1"/>
  <c r="A384" i="7"/>
  <c r="A384" i="2" s="1"/>
  <c r="C401" i="7"/>
  <c r="A401" i="7" s="1"/>
  <c r="A401" i="2" s="1"/>
  <c r="D401" i="7"/>
  <c r="A423" i="7"/>
  <c r="A423" i="2" s="1"/>
  <c r="C427" i="7"/>
  <c r="D427" i="7"/>
  <c r="A432" i="7"/>
  <c r="A432" i="2" s="1"/>
  <c r="A437" i="7"/>
  <c r="A437" i="2" s="1"/>
  <c r="C441" i="7"/>
  <c r="A441" i="7" s="1"/>
  <c r="A441" i="2" s="1"/>
  <c r="D441" i="7"/>
  <c r="C473" i="7"/>
  <c r="A473" i="7" s="1"/>
  <c r="A473" i="2" s="1"/>
  <c r="D473" i="7"/>
  <c r="C505" i="7"/>
  <c r="A505" i="7" s="1"/>
  <c r="A505" i="2" s="1"/>
  <c r="D505" i="7"/>
  <c r="D599" i="7"/>
  <c r="C599" i="7"/>
  <c r="C625" i="7"/>
  <c r="A625" i="7" s="1"/>
  <c r="A625" i="2" s="1"/>
  <c r="D625" i="7"/>
  <c r="D697" i="7"/>
  <c r="C697" i="7"/>
  <c r="D164" i="7"/>
  <c r="D4" i="7" s="1"/>
  <c r="C171" i="7"/>
  <c r="A171" i="7" s="1"/>
  <c r="D176" i="7"/>
  <c r="A176" i="7" s="1"/>
  <c r="A176" i="2" s="1"/>
  <c r="D184" i="7"/>
  <c r="D192" i="7"/>
  <c r="A192" i="7" s="1"/>
  <c r="A192" i="2" s="1"/>
  <c r="D200" i="7"/>
  <c r="D208" i="7"/>
  <c r="A208" i="7" s="1"/>
  <c r="A208" i="2" s="1"/>
  <c r="D216" i="7"/>
  <c r="A216" i="7" s="1"/>
  <c r="A216" i="2" s="1"/>
  <c r="D224" i="7"/>
  <c r="A224" i="7" s="1"/>
  <c r="A224" i="2" s="1"/>
  <c r="D232" i="7"/>
  <c r="A232" i="7" s="1"/>
  <c r="A232" i="2" s="1"/>
  <c r="D240" i="7"/>
  <c r="A240" i="7" s="1"/>
  <c r="A240" i="2" s="1"/>
  <c r="D248" i="7"/>
  <c r="A248" i="7" s="1"/>
  <c r="A248" i="2" s="1"/>
  <c r="D256" i="7"/>
  <c r="A256" i="7" s="1"/>
  <c r="A256" i="2" s="1"/>
  <c r="D264" i="7"/>
  <c r="D272" i="7"/>
  <c r="A272" i="7" s="1"/>
  <c r="A272" i="2" s="1"/>
  <c r="D280" i="7"/>
  <c r="D288" i="7"/>
  <c r="A288" i="7" s="1"/>
  <c r="A288" i="2" s="1"/>
  <c r="D296" i="7"/>
  <c r="A296" i="7" s="1"/>
  <c r="A296" i="2" s="1"/>
  <c r="D304" i="7"/>
  <c r="A304" i="7" s="1"/>
  <c r="A304" i="2" s="1"/>
  <c r="D321" i="7"/>
  <c r="A321" i="7" s="1"/>
  <c r="A321" i="2" s="1"/>
  <c r="A325" i="7"/>
  <c r="A325" i="2" s="1"/>
  <c r="C329" i="7"/>
  <c r="D329" i="7"/>
  <c r="D333" i="7"/>
  <c r="A338" i="7"/>
  <c r="A342" i="7"/>
  <c r="A342" i="2" s="1"/>
  <c r="D346" i="7"/>
  <c r="A346" i="7" s="1"/>
  <c r="A346" i="2" s="1"/>
  <c r="D350" i="7"/>
  <c r="C359" i="7"/>
  <c r="A359" i="7" s="1"/>
  <c r="A359" i="2" s="1"/>
  <c r="D359" i="7"/>
  <c r="C363" i="7"/>
  <c r="A363" i="7" s="1"/>
  <c r="A363" i="2" s="1"/>
  <c r="D363" i="7"/>
  <c r="A372" i="7"/>
  <c r="A372" i="2" s="1"/>
  <c r="C376" i="7"/>
  <c r="A376" i="7" s="1"/>
  <c r="A376" i="2" s="1"/>
  <c r="D380" i="7"/>
  <c r="A389" i="7"/>
  <c r="A389" i="2" s="1"/>
  <c r="C393" i="7"/>
  <c r="A393" i="7" s="1"/>
  <c r="A393" i="2" s="1"/>
  <c r="D393" i="7"/>
  <c r="D397" i="7"/>
  <c r="A397" i="7" s="1"/>
  <c r="A397" i="2" s="1"/>
  <c r="A402" i="7"/>
  <c r="A406" i="7"/>
  <c r="A406" i="2" s="1"/>
  <c r="D410" i="7"/>
  <c r="A410" i="7" s="1"/>
  <c r="A410" i="2" s="1"/>
  <c r="D414" i="7"/>
  <c r="A414" i="7" s="1"/>
  <c r="A414" i="2" s="1"/>
  <c r="D428" i="7"/>
  <c r="C428" i="7"/>
  <c r="D437" i="7"/>
  <c r="D460" i="7"/>
  <c r="C460" i="7"/>
  <c r="D492" i="7"/>
  <c r="C492" i="7"/>
  <c r="D524" i="7"/>
  <c r="C524" i="7"/>
  <c r="D536" i="7"/>
  <c r="C536" i="7"/>
  <c r="A322" i="7"/>
  <c r="A330" i="7"/>
  <c r="A330" i="2" s="1"/>
  <c r="A334" i="7"/>
  <c r="A334" i="2" s="1"/>
  <c r="C351" i="7"/>
  <c r="D351" i="7"/>
  <c r="C355" i="7"/>
  <c r="A355" i="7" s="1"/>
  <c r="D355" i="7"/>
  <c r="A364" i="7"/>
  <c r="A364" i="2" s="1"/>
  <c r="A368" i="7"/>
  <c r="A368" i="2" s="1"/>
  <c r="A381" i="7"/>
  <c r="A381" i="2" s="1"/>
  <c r="C385" i="7"/>
  <c r="A385" i="7" s="1"/>
  <c r="A385" i="2" s="1"/>
  <c r="D385" i="7"/>
  <c r="A394" i="7"/>
  <c r="A394" i="2" s="1"/>
  <c r="A398" i="7"/>
  <c r="A398" i="2" s="1"/>
  <c r="C415" i="7"/>
  <c r="A415" i="7" s="1"/>
  <c r="A415" i="2" s="1"/>
  <c r="D415" i="7"/>
  <c r="C419" i="7"/>
  <c r="A419" i="7" s="1"/>
  <c r="A419" i="2" s="1"/>
  <c r="D419" i="7"/>
  <c r="A424" i="7"/>
  <c r="A424" i="2" s="1"/>
  <c r="A429" i="7"/>
  <c r="A429" i="2" s="1"/>
  <c r="C433" i="7"/>
  <c r="A433" i="7" s="1"/>
  <c r="A433" i="2" s="1"/>
  <c r="D433" i="7"/>
  <c r="A438" i="7"/>
  <c r="A438" i="2" s="1"/>
  <c r="A461" i="7"/>
  <c r="A461" i="2" s="1"/>
  <c r="C465" i="7"/>
  <c r="D465" i="7"/>
  <c r="A470" i="7"/>
  <c r="A470" i="2" s="1"/>
  <c r="A493" i="7"/>
  <c r="A493" i="2" s="1"/>
  <c r="C497" i="7"/>
  <c r="A497" i="7" s="1"/>
  <c r="A497" i="2" s="1"/>
  <c r="D497" i="7"/>
  <c r="A502" i="7"/>
  <c r="A502" i="2" s="1"/>
  <c r="A525" i="7"/>
  <c r="A525" i="2" s="1"/>
  <c r="C601" i="7"/>
  <c r="D601" i="7"/>
  <c r="D639" i="7"/>
  <c r="C639" i="7"/>
  <c r="A639" i="7" s="1"/>
  <c r="A639" i="2" s="1"/>
  <c r="A565" i="7"/>
  <c r="A565" i="2" s="1"/>
  <c r="D591" i="7"/>
  <c r="C591" i="7"/>
  <c r="A591" i="7" s="1"/>
  <c r="A591" i="2" s="1"/>
  <c r="A629" i="7"/>
  <c r="A629" i="2" s="1"/>
  <c r="D655" i="7"/>
  <c r="C655" i="7"/>
  <c r="D451" i="7"/>
  <c r="A451" i="7" s="1"/>
  <c r="A451" i="2" s="1"/>
  <c r="D459" i="7"/>
  <c r="A459" i="7" s="1"/>
  <c r="A459" i="2" s="1"/>
  <c r="D467" i="7"/>
  <c r="A467" i="7" s="1"/>
  <c r="A467" i="2" s="1"/>
  <c r="D475" i="7"/>
  <c r="A475" i="7" s="1"/>
  <c r="A475" i="2" s="1"/>
  <c r="D483" i="7"/>
  <c r="A483" i="7" s="1"/>
  <c r="A483" i="2" s="1"/>
  <c r="D491" i="7"/>
  <c r="A491" i="7" s="1"/>
  <c r="A491" i="2" s="1"/>
  <c r="D499" i="7"/>
  <c r="A499" i="7" s="1"/>
  <c r="A499" i="2" s="1"/>
  <c r="D507" i="7"/>
  <c r="A507" i="7" s="1"/>
  <c r="A507" i="2" s="1"/>
  <c r="D515" i="7"/>
  <c r="A515" i="7" s="1"/>
  <c r="A515" i="2" s="1"/>
  <c r="D523" i="7"/>
  <c r="A523" i="7" s="1"/>
  <c r="A523" i="2" s="1"/>
  <c r="C532" i="7"/>
  <c r="A532" i="7" s="1"/>
  <c r="A532" i="2" s="1"/>
  <c r="C548" i="7"/>
  <c r="A548" i="7" s="1"/>
  <c r="A548" i="2" s="1"/>
  <c r="A566" i="7"/>
  <c r="A566" i="2" s="1"/>
  <c r="D574" i="7"/>
  <c r="A574" i="7" s="1"/>
  <c r="A574" i="2" s="1"/>
  <c r="A579" i="7"/>
  <c r="A579" i="2" s="1"/>
  <c r="D583" i="7"/>
  <c r="C583" i="7"/>
  <c r="A583" i="7" s="1"/>
  <c r="A583" i="2" s="1"/>
  <c r="D617" i="7"/>
  <c r="A617" i="7" s="1"/>
  <c r="A617" i="2" s="1"/>
  <c r="A621" i="7"/>
  <c r="A621" i="2" s="1"/>
  <c r="A643" i="7"/>
  <c r="A643" i="2" s="1"/>
  <c r="D647" i="7"/>
  <c r="C647" i="7"/>
  <c r="A665" i="7"/>
  <c r="A665" i="2" s="1"/>
  <c r="D567" i="7"/>
  <c r="C567" i="7"/>
  <c r="A567" i="7" s="1"/>
  <c r="A567" i="2" s="1"/>
  <c r="A605" i="7"/>
  <c r="A605" i="2" s="1"/>
  <c r="D631" i="7"/>
  <c r="C631" i="7"/>
  <c r="A631" i="7" s="1"/>
  <c r="A631" i="2" s="1"/>
  <c r="A649" i="7"/>
  <c r="A649" i="2" s="1"/>
  <c r="A669" i="7"/>
  <c r="A669" i="2" s="1"/>
  <c r="D713" i="7"/>
  <c r="C713" i="7"/>
  <c r="A713" i="7" s="1"/>
  <c r="A713" i="2" s="1"/>
  <c r="C530" i="7"/>
  <c r="A530" i="7" s="1"/>
  <c r="A530" i="2" s="1"/>
  <c r="C546" i="7"/>
  <c r="A546" i="7" s="1"/>
  <c r="A546" i="2" s="1"/>
  <c r="D593" i="7"/>
  <c r="A593" i="7" s="1"/>
  <c r="A593" i="2" s="1"/>
  <c r="A597" i="7"/>
  <c r="A597" i="2" s="1"/>
  <c r="D614" i="7"/>
  <c r="A614" i="7" s="1"/>
  <c r="A614" i="2" s="1"/>
  <c r="D623" i="7"/>
  <c r="C623" i="7"/>
  <c r="D649" i="7"/>
  <c r="A661" i="7"/>
  <c r="A661" i="2" s="1"/>
  <c r="D679" i="7"/>
  <c r="C679" i="7"/>
  <c r="A679" i="7" s="1"/>
  <c r="A679" i="2" s="1"/>
  <c r="D816" i="7"/>
  <c r="C816" i="7"/>
  <c r="A816" i="7" s="1"/>
  <c r="A816" i="2" s="1"/>
  <c r="D423" i="7"/>
  <c r="D431" i="7"/>
  <c r="A431" i="7" s="1"/>
  <c r="A431" i="2" s="1"/>
  <c r="D439" i="7"/>
  <c r="D447" i="7"/>
  <c r="A447" i="7" s="1"/>
  <c r="A447" i="2" s="1"/>
  <c r="D455" i="7"/>
  <c r="A455" i="7" s="1"/>
  <c r="A455" i="2" s="1"/>
  <c r="D463" i="7"/>
  <c r="A463" i="7" s="1"/>
  <c r="A463" i="2" s="1"/>
  <c r="D471" i="7"/>
  <c r="A471" i="7" s="1"/>
  <c r="A471" i="2" s="1"/>
  <c r="D479" i="7"/>
  <c r="A479" i="7" s="1"/>
  <c r="A479" i="2" s="1"/>
  <c r="D487" i="7"/>
  <c r="A487" i="7" s="1"/>
  <c r="A487" i="2" s="1"/>
  <c r="D495" i="7"/>
  <c r="A495" i="7" s="1"/>
  <c r="A495" i="2" s="1"/>
  <c r="D503" i="7"/>
  <c r="A503" i="7" s="1"/>
  <c r="A503" i="2" s="1"/>
  <c r="D511" i="7"/>
  <c r="A511" i="7" s="1"/>
  <c r="A511" i="2" s="1"/>
  <c r="D519" i="7"/>
  <c r="A519" i="7" s="1"/>
  <c r="A519" i="2" s="1"/>
  <c r="C540" i="7"/>
  <c r="A540" i="7" s="1"/>
  <c r="A540" i="2" s="1"/>
  <c r="D556" i="7"/>
  <c r="A556" i="7" s="1"/>
  <c r="A556" i="2" s="1"/>
  <c r="D585" i="7"/>
  <c r="A585" i="7" s="1"/>
  <c r="A585" i="2" s="1"/>
  <c r="A589" i="7"/>
  <c r="A589" i="2" s="1"/>
  <c r="A598" i="7"/>
  <c r="A598" i="2" s="1"/>
  <c r="D606" i="7"/>
  <c r="A606" i="7" s="1"/>
  <c r="A606" i="2" s="1"/>
  <c r="A611" i="7"/>
  <c r="A611" i="2" s="1"/>
  <c r="D615" i="7"/>
  <c r="C615" i="7"/>
  <c r="A633" i="7"/>
  <c r="A633" i="2" s="1"/>
  <c r="D641" i="7"/>
  <c r="A641" i="7" s="1"/>
  <c r="A641" i="2" s="1"/>
  <c r="A653" i="7"/>
  <c r="A653" i="2" s="1"/>
  <c r="D841" i="7"/>
  <c r="C841" i="7"/>
  <c r="A841" i="7" s="1"/>
  <c r="A841" i="2" s="1"/>
  <c r="D557" i="7"/>
  <c r="C557" i="7"/>
  <c r="A557" i="7" s="1"/>
  <c r="A557" i="2" s="1"/>
  <c r="A590" i="7"/>
  <c r="A590" i="2" s="1"/>
  <c r="A603" i="7"/>
  <c r="D607" i="7"/>
  <c r="C607" i="7"/>
  <c r="D671" i="7"/>
  <c r="C671" i="7"/>
  <c r="A671" i="7" s="1"/>
  <c r="A671" i="2" s="1"/>
  <c r="A681" i="7"/>
  <c r="A681" i="2" s="1"/>
  <c r="C694" i="7"/>
  <c r="A694" i="7" s="1"/>
  <c r="A694" i="2" s="1"/>
  <c r="D694" i="7"/>
  <c r="A772" i="7"/>
  <c r="A772" i="2" s="1"/>
  <c r="A630" i="7"/>
  <c r="A630" i="2" s="1"/>
  <c r="A638" i="7"/>
  <c r="A638" i="2" s="1"/>
  <c r="A646" i="7"/>
  <c r="A646" i="2" s="1"/>
  <c r="A654" i="7"/>
  <c r="A654" i="2" s="1"/>
  <c r="A662" i="7"/>
  <c r="A662" i="2" s="1"/>
  <c r="A670" i="7"/>
  <c r="A670" i="2" s="1"/>
  <c r="A678" i="7"/>
  <c r="A678" i="2" s="1"/>
  <c r="A696" i="7"/>
  <c r="A696" i="2" s="1"/>
  <c r="A712" i="7"/>
  <c r="A712" i="2" s="1"/>
  <c r="A730" i="7"/>
  <c r="A730" i="2" s="1"/>
  <c r="A738" i="7"/>
  <c r="A738" i="2" s="1"/>
  <c r="A746" i="7"/>
  <c r="A746" i="2" s="1"/>
  <c r="A826" i="7"/>
  <c r="A826" i="2" s="1"/>
  <c r="A858" i="7"/>
  <c r="A858" i="2" s="1"/>
  <c r="D960" i="7"/>
  <c r="C960" i="7"/>
  <c r="A960" i="7" s="1"/>
  <c r="A960" i="2" s="1"/>
  <c r="A690" i="7"/>
  <c r="A690" i="2" s="1"/>
  <c r="D777" i="7"/>
  <c r="C777" i="7"/>
  <c r="D784" i="7"/>
  <c r="C784" i="7"/>
  <c r="D797" i="7"/>
  <c r="C797" i="7"/>
  <c r="D829" i="7"/>
  <c r="C829" i="7"/>
  <c r="A876" i="7"/>
  <c r="A876" i="2" s="1"/>
  <c r="D947" i="7"/>
  <c r="C947" i="7"/>
  <c r="A947" i="7" s="1"/>
  <c r="A564" i="7"/>
  <c r="A564" i="2" s="1"/>
  <c r="A572" i="7"/>
  <c r="A572" i="2" s="1"/>
  <c r="A580" i="7"/>
  <c r="A580" i="2" s="1"/>
  <c r="A588" i="7"/>
  <c r="A588" i="2" s="1"/>
  <c r="A596" i="7"/>
  <c r="A596" i="2" s="1"/>
  <c r="A604" i="7"/>
  <c r="A604" i="2" s="1"/>
  <c r="A612" i="7"/>
  <c r="A612" i="2" s="1"/>
  <c r="A620" i="7"/>
  <c r="A620" i="2" s="1"/>
  <c r="A628" i="7"/>
  <c r="A628" i="2" s="1"/>
  <c r="A636" i="7"/>
  <c r="A636" i="2" s="1"/>
  <c r="A644" i="7"/>
  <c r="A644" i="2" s="1"/>
  <c r="A652" i="7"/>
  <c r="A652" i="2" s="1"/>
  <c r="A660" i="7"/>
  <c r="A660" i="2" s="1"/>
  <c r="A668" i="7"/>
  <c r="A668" i="2" s="1"/>
  <c r="A676" i="7"/>
  <c r="A676" i="2" s="1"/>
  <c r="A684" i="7"/>
  <c r="A684" i="2" s="1"/>
  <c r="D690" i="7"/>
  <c r="C693" i="7"/>
  <c r="A693" i="7" s="1"/>
  <c r="A693" i="2" s="1"/>
  <c r="A700" i="7"/>
  <c r="A700" i="2" s="1"/>
  <c r="D706" i="7"/>
  <c r="A706" i="7" s="1"/>
  <c r="A706" i="2" s="1"/>
  <c r="C709" i="7"/>
  <c r="A709" i="7" s="1"/>
  <c r="A709" i="2" s="1"/>
  <c r="A716" i="7"/>
  <c r="A716" i="2" s="1"/>
  <c r="D722" i="7"/>
  <c r="A722" i="7" s="1"/>
  <c r="A722" i="2" s="1"/>
  <c r="A728" i="7"/>
  <c r="A728" i="2" s="1"/>
  <c r="A736" i="7"/>
  <c r="A736" i="2" s="1"/>
  <c r="A744" i="7"/>
  <c r="A744" i="2" s="1"/>
  <c r="D749" i="7"/>
  <c r="C749" i="7"/>
  <c r="A760" i="7"/>
  <c r="A760" i="2" s="1"/>
  <c r="A778" i="7"/>
  <c r="A778" i="2" s="1"/>
  <c r="C815" i="7"/>
  <c r="A815" i="7" s="1"/>
  <c r="A815" i="2" s="1"/>
  <c r="C847" i="7"/>
  <c r="A847" i="7" s="1"/>
  <c r="A847" i="2" s="1"/>
  <c r="D877" i="7"/>
  <c r="C877" i="7"/>
  <c r="A877" i="7" s="1"/>
  <c r="A877" i="2" s="1"/>
  <c r="A900" i="7"/>
  <c r="A900" i="2" s="1"/>
  <c r="D909" i="7"/>
  <c r="C909" i="7"/>
  <c r="A914" i="7"/>
  <c r="A914" i="2" s="1"/>
  <c r="A918" i="7"/>
  <c r="A918" i="2" s="1"/>
  <c r="D928" i="7"/>
  <c r="C928" i="7"/>
  <c r="D901" i="7"/>
  <c r="C901" i="7"/>
  <c r="D915" i="7"/>
  <c r="C915" i="7"/>
  <c r="A962" i="7"/>
  <c r="A962" i="2" s="1"/>
  <c r="A966" i="7"/>
  <c r="A966" i="2" s="1"/>
  <c r="D976" i="7"/>
  <c r="C976" i="7"/>
  <c r="A578" i="7"/>
  <c r="A578" i="2" s="1"/>
  <c r="A586" i="7"/>
  <c r="A586" i="2" s="1"/>
  <c r="A594" i="7"/>
  <c r="A594" i="2" s="1"/>
  <c r="A642" i="7"/>
  <c r="A642" i="2" s="1"/>
  <c r="A650" i="7"/>
  <c r="A650" i="2" s="1"/>
  <c r="A658" i="7"/>
  <c r="A658" i="2" s="1"/>
  <c r="A666" i="7"/>
  <c r="A666" i="2" s="1"/>
  <c r="A674" i="7"/>
  <c r="A674" i="2" s="1"/>
  <c r="A682" i="7"/>
  <c r="A682" i="2" s="1"/>
  <c r="A688" i="7"/>
  <c r="A688" i="2" s="1"/>
  <c r="A704" i="7"/>
  <c r="A704" i="2" s="1"/>
  <c r="A720" i="7"/>
  <c r="A720" i="2" s="1"/>
  <c r="A726" i="7"/>
  <c r="A726" i="2" s="1"/>
  <c r="A734" i="7"/>
  <c r="A734" i="2" s="1"/>
  <c r="A742" i="7"/>
  <c r="A742" i="2" s="1"/>
  <c r="D761" i="7"/>
  <c r="C761" i="7"/>
  <c r="A761" i="7" s="1"/>
  <c r="A761" i="2" s="1"/>
  <c r="D768" i="7"/>
  <c r="C768" i="7"/>
  <c r="D781" i="7"/>
  <c r="C781" i="7"/>
  <c r="A781" i="7" s="1"/>
  <c r="A781" i="2" s="1"/>
  <c r="A792" i="7"/>
  <c r="A792" i="2" s="1"/>
  <c r="A810" i="7"/>
  <c r="A810" i="2" s="1"/>
  <c r="A842" i="7"/>
  <c r="A842" i="2" s="1"/>
  <c r="D863" i="7"/>
  <c r="C863" i="7"/>
  <c r="A892" i="7"/>
  <c r="A892" i="2" s="1"/>
  <c r="D963" i="7"/>
  <c r="C963" i="7"/>
  <c r="A972" i="7"/>
  <c r="A972" i="2" s="1"/>
  <c r="D562" i="7"/>
  <c r="A562" i="7" s="1"/>
  <c r="A562" i="2" s="1"/>
  <c r="D570" i="7"/>
  <c r="A570" i="7" s="1"/>
  <c r="A570" i="2" s="1"/>
  <c r="D578" i="7"/>
  <c r="D586" i="7"/>
  <c r="D594" i="7"/>
  <c r="D602" i="7"/>
  <c r="A602" i="7" s="1"/>
  <c r="A602" i="2" s="1"/>
  <c r="D610" i="7"/>
  <c r="A610" i="7" s="1"/>
  <c r="A610" i="2" s="1"/>
  <c r="D618" i="7"/>
  <c r="A618" i="7" s="1"/>
  <c r="A618" i="2" s="1"/>
  <c r="D626" i="7"/>
  <c r="A626" i="7" s="1"/>
  <c r="A626" i="2" s="1"/>
  <c r="A698" i="7"/>
  <c r="A698" i="2" s="1"/>
  <c r="D813" i="7"/>
  <c r="C813" i="7"/>
  <c r="D845" i="7"/>
  <c r="C845" i="7"/>
  <c r="D864" i="7"/>
  <c r="C864" i="7"/>
  <c r="D869" i="7"/>
  <c r="C869" i="7"/>
  <c r="D893" i="7"/>
  <c r="C893" i="7"/>
  <c r="D944" i="7"/>
  <c r="C944" i="7"/>
  <c r="A1121" i="7"/>
  <c r="A1121" i="2" s="1"/>
  <c r="A584" i="7"/>
  <c r="A584" i="2" s="1"/>
  <c r="A608" i="7"/>
  <c r="A608" i="2" s="1"/>
  <c r="A616" i="7"/>
  <c r="A616" i="2" s="1"/>
  <c r="A648" i="7"/>
  <c r="A648" i="2" s="1"/>
  <c r="A672" i="7"/>
  <c r="A672" i="2" s="1"/>
  <c r="C677" i="7"/>
  <c r="A677" i="7" s="1"/>
  <c r="A677" i="2" s="1"/>
  <c r="A680" i="7"/>
  <c r="A680" i="2" s="1"/>
  <c r="C685" i="7"/>
  <c r="A685" i="7" s="1"/>
  <c r="A685" i="2" s="1"/>
  <c r="D698" i="7"/>
  <c r="C701" i="7"/>
  <c r="A701" i="7" s="1"/>
  <c r="A701" i="2" s="1"/>
  <c r="D714" i="7"/>
  <c r="A714" i="7" s="1"/>
  <c r="A714" i="2" s="1"/>
  <c r="C751" i="7"/>
  <c r="A751" i="7" s="1"/>
  <c r="A751" i="2" s="1"/>
  <c r="C758" i="7"/>
  <c r="A758" i="7" s="1"/>
  <c r="A758" i="2" s="1"/>
  <c r="D772" i="7"/>
  <c r="D793" i="7"/>
  <c r="C793" i="7"/>
  <c r="D800" i="7"/>
  <c r="C800" i="7"/>
  <c r="C831" i="7"/>
  <c r="A831" i="7" s="1"/>
  <c r="A831" i="2" s="1"/>
  <c r="A874" i="7"/>
  <c r="A874" i="2" s="1"/>
  <c r="A898" i="7"/>
  <c r="A898" i="2" s="1"/>
  <c r="D931" i="7"/>
  <c r="C931" i="7"/>
  <c r="A978" i="7"/>
  <c r="A978" i="2" s="1"/>
  <c r="A982" i="7"/>
  <c r="A982" i="2" s="1"/>
  <c r="D560" i="7"/>
  <c r="A560" i="7" s="1"/>
  <c r="A560" i="2" s="1"/>
  <c r="D568" i="7"/>
  <c r="A568" i="7" s="1"/>
  <c r="A568" i="2" s="1"/>
  <c r="D576" i="7"/>
  <c r="A576" i="7" s="1"/>
  <c r="A576" i="2" s="1"/>
  <c r="D584" i="7"/>
  <c r="D592" i="7"/>
  <c r="A592" i="7" s="1"/>
  <c r="A592" i="2" s="1"/>
  <c r="D600" i="7"/>
  <c r="A600" i="7" s="1"/>
  <c r="A600" i="2" s="1"/>
  <c r="D608" i="7"/>
  <c r="D616" i="7"/>
  <c r="D624" i="7"/>
  <c r="A624" i="7" s="1"/>
  <c r="A624" i="2" s="1"/>
  <c r="D632" i="7"/>
  <c r="A632" i="7" s="1"/>
  <c r="A632" i="2" s="1"/>
  <c r="D640" i="7"/>
  <c r="A640" i="7" s="1"/>
  <c r="A640" i="2" s="1"/>
  <c r="D648" i="7"/>
  <c r="D656" i="7"/>
  <c r="A656" i="7" s="1"/>
  <c r="A656" i="2" s="1"/>
  <c r="D664" i="7"/>
  <c r="A664" i="7" s="1"/>
  <c r="A664" i="2" s="1"/>
  <c r="D672" i="7"/>
  <c r="D680" i="7"/>
  <c r="A686" i="7"/>
  <c r="A686" i="2" s="1"/>
  <c r="D692" i="7"/>
  <c r="A692" i="7" s="1"/>
  <c r="A692" i="2" s="1"/>
  <c r="C695" i="7"/>
  <c r="A695" i="7" s="1"/>
  <c r="A695" i="2" s="1"/>
  <c r="A702" i="7"/>
  <c r="A702" i="2" s="1"/>
  <c r="D708" i="7"/>
  <c r="A708" i="7" s="1"/>
  <c r="A708" i="2" s="1"/>
  <c r="C711" i="7"/>
  <c r="A711" i="7" s="1"/>
  <c r="A711" i="2" s="1"/>
  <c r="A718" i="7"/>
  <c r="A718" i="2" s="1"/>
  <c r="D752" i="7"/>
  <c r="C752" i="7"/>
  <c r="A752" i="7" s="1"/>
  <c r="A752" i="2" s="1"/>
  <c r="D765" i="7"/>
  <c r="C765" i="7"/>
  <c r="A765" i="7" s="1"/>
  <c r="A765" i="2" s="1"/>
  <c r="A776" i="7"/>
  <c r="A776" i="2" s="1"/>
  <c r="A794" i="7"/>
  <c r="A794" i="2" s="1"/>
  <c r="D825" i="7"/>
  <c r="C825" i="7"/>
  <c r="D832" i="7"/>
  <c r="C832" i="7"/>
  <c r="A832" i="7" s="1"/>
  <c r="A832" i="2" s="1"/>
  <c r="D857" i="7"/>
  <c r="C857" i="7"/>
  <c r="A857" i="7" s="1"/>
  <c r="A857" i="2" s="1"/>
  <c r="D885" i="7"/>
  <c r="C885" i="7"/>
  <c r="A885" i="7" s="1"/>
  <c r="A885" i="2" s="1"/>
  <c r="D912" i="7"/>
  <c r="C912" i="7"/>
  <c r="D979" i="7"/>
  <c r="C979" i="7"/>
  <c r="A979" i="7" s="1"/>
  <c r="C1103" i="7"/>
  <c r="D1103" i="7"/>
  <c r="C861" i="7"/>
  <c r="A861" i="7" s="1"/>
  <c r="A861" i="2" s="1"/>
  <c r="D868" i="7"/>
  <c r="A868" i="7" s="1"/>
  <c r="A868" i="2" s="1"/>
  <c r="C871" i="7"/>
  <c r="A871" i="7" s="1"/>
  <c r="A871" i="2" s="1"/>
  <c r="D876" i="7"/>
  <c r="C879" i="7"/>
  <c r="A879" i="7" s="1"/>
  <c r="A879" i="2" s="1"/>
  <c r="D884" i="7"/>
  <c r="A884" i="7" s="1"/>
  <c r="A884" i="2" s="1"/>
  <c r="C887" i="7"/>
  <c r="A887" i="7" s="1"/>
  <c r="A887" i="2" s="1"/>
  <c r="C895" i="7"/>
  <c r="A895" i="7" s="1"/>
  <c r="A895" i="2" s="1"/>
  <c r="C903" i="7"/>
  <c r="A903" i="7" s="1"/>
  <c r="A903" i="2" s="1"/>
  <c r="D921" i="7"/>
  <c r="C921" i="7"/>
  <c r="D937" i="7"/>
  <c r="C937" i="7"/>
  <c r="D953" i="7"/>
  <c r="C953" i="7"/>
  <c r="D969" i="7"/>
  <c r="C969" i="7"/>
  <c r="D985" i="7"/>
  <c r="C985" i="7"/>
  <c r="A1009" i="7"/>
  <c r="A1009" i="2" s="1"/>
  <c r="A1017" i="7"/>
  <c r="A1017" i="2" s="1"/>
  <c r="A1025" i="7"/>
  <c r="A1025" i="2" s="1"/>
  <c r="A1033" i="7"/>
  <c r="A1033" i="2" s="1"/>
  <c r="A1041" i="7"/>
  <c r="A1041" i="2" s="1"/>
  <c r="A1067" i="7"/>
  <c r="D1097" i="7"/>
  <c r="C1097" i="7"/>
  <c r="A1109" i="7"/>
  <c r="A1109" i="2" s="1"/>
  <c r="C1138" i="7"/>
  <c r="D1138" i="7"/>
  <c r="D925" i="7"/>
  <c r="C925" i="7"/>
  <c r="A925" i="7" s="1"/>
  <c r="A925" i="2" s="1"/>
  <c r="D941" i="7"/>
  <c r="C941" i="7"/>
  <c r="A941" i="7" s="1"/>
  <c r="A941" i="2" s="1"/>
  <c r="D957" i="7"/>
  <c r="C957" i="7"/>
  <c r="D973" i="7"/>
  <c r="C973" i="7"/>
  <c r="A973" i="7" s="1"/>
  <c r="A973" i="2" s="1"/>
  <c r="A1007" i="7"/>
  <c r="A1007" i="2" s="1"/>
  <c r="A1015" i="7"/>
  <c r="A1015" i="2" s="1"/>
  <c r="A1023" i="7"/>
  <c r="A1023" i="2" s="1"/>
  <c r="A1031" i="7"/>
  <c r="A1031" i="2" s="1"/>
  <c r="A1039" i="7"/>
  <c r="A1039" i="2" s="1"/>
  <c r="A1047" i="7"/>
  <c r="A1047" i="2" s="1"/>
  <c r="C1068" i="7"/>
  <c r="D1068" i="7"/>
  <c r="A1093" i="7"/>
  <c r="A1093" i="2" s="1"/>
  <c r="C1122" i="7"/>
  <c r="A1122" i="7" s="1"/>
  <c r="A1122" i="2" s="1"/>
  <c r="D1122" i="7"/>
  <c r="C750" i="7"/>
  <c r="A750" i="7" s="1"/>
  <c r="A750" i="2" s="1"/>
  <c r="C759" i="7"/>
  <c r="A759" i="7" s="1"/>
  <c r="A759" i="2" s="1"/>
  <c r="C766" i="7"/>
  <c r="A766" i="7" s="1"/>
  <c r="A766" i="2" s="1"/>
  <c r="C775" i="7"/>
  <c r="A775" i="7" s="1"/>
  <c r="A775" i="2" s="1"/>
  <c r="C782" i="7"/>
  <c r="A782" i="7" s="1"/>
  <c r="A782" i="2" s="1"/>
  <c r="C791" i="7"/>
  <c r="A791" i="7" s="1"/>
  <c r="A791" i="2" s="1"/>
  <c r="C798" i="7"/>
  <c r="A798" i="7" s="1"/>
  <c r="A798" i="2" s="1"/>
  <c r="C807" i="7"/>
  <c r="A807" i="7" s="1"/>
  <c r="A807" i="2" s="1"/>
  <c r="C823" i="7"/>
  <c r="A823" i="7" s="1"/>
  <c r="A823" i="2" s="1"/>
  <c r="C839" i="7"/>
  <c r="A839" i="7" s="1"/>
  <c r="A839" i="2" s="1"/>
  <c r="C855" i="7"/>
  <c r="A855" i="7" s="1"/>
  <c r="A855" i="2" s="1"/>
  <c r="C872" i="7"/>
  <c r="A872" i="7" s="1"/>
  <c r="A872" i="2" s="1"/>
  <c r="C880" i="7"/>
  <c r="A880" i="7" s="1"/>
  <c r="A880" i="2" s="1"/>
  <c r="C888" i="7"/>
  <c r="A888" i="7" s="1"/>
  <c r="A888" i="2" s="1"/>
  <c r="C896" i="7"/>
  <c r="A896" i="7" s="1"/>
  <c r="A896" i="2" s="1"/>
  <c r="C904" i="7"/>
  <c r="A904" i="7" s="1"/>
  <c r="A904" i="2" s="1"/>
  <c r="D919" i="7"/>
  <c r="C919" i="7"/>
  <c r="C922" i="7"/>
  <c r="A922" i="7" s="1"/>
  <c r="A922" i="2" s="1"/>
  <c r="D935" i="7"/>
  <c r="C935" i="7"/>
  <c r="A935" i="7" s="1"/>
  <c r="A935" i="2" s="1"/>
  <c r="C938" i="7"/>
  <c r="A938" i="7" s="1"/>
  <c r="A938" i="2" s="1"/>
  <c r="D951" i="7"/>
  <c r="C951" i="7"/>
  <c r="C954" i="7"/>
  <c r="A954" i="7" s="1"/>
  <c r="A954" i="2" s="1"/>
  <c r="D967" i="7"/>
  <c r="C967" i="7"/>
  <c r="C970" i="7"/>
  <c r="A970" i="7" s="1"/>
  <c r="A970" i="2" s="1"/>
  <c r="D983" i="7"/>
  <c r="C983" i="7"/>
  <c r="C986" i="7"/>
  <c r="A986" i="7" s="1"/>
  <c r="A986" i="2" s="1"/>
  <c r="C1061" i="7"/>
  <c r="A1061" i="7" s="1"/>
  <c r="A1061" i="2" s="1"/>
  <c r="A1069" i="7"/>
  <c r="A1069" i="2" s="1"/>
  <c r="D1089" i="7"/>
  <c r="C1089" i="7"/>
  <c r="C1094" i="7"/>
  <c r="A1094" i="7" s="1"/>
  <c r="A1094" i="2" s="1"/>
  <c r="D1094" i="7"/>
  <c r="C1151" i="7"/>
  <c r="A1151" i="7" s="1"/>
  <c r="A1151" i="2" s="1"/>
  <c r="D1151" i="7"/>
  <c r="D913" i="7"/>
  <c r="C913" i="7"/>
  <c r="D929" i="7"/>
  <c r="C929" i="7"/>
  <c r="D945" i="7"/>
  <c r="C945" i="7"/>
  <c r="D961" i="7"/>
  <c r="C961" i="7"/>
  <c r="D977" i="7"/>
  <c r="C977" i="7"/>
  <c r="A1045" i="7"/>
  <c r="A1045" i="2" s="1"/>
  <c r="A1062" i="7"/>
  <c r="A1062" i="2" s="1"/>
  <c r="D1065" i="7"/>
  <c r="A1065" i="7" s="1"/>
  <c r="A1065" i="2" s="1"/>
  <c r="D1081" i="7"/>
  <c r="C1081" i="7"/>
  <c r="A1081" i="7" s="1"/>
  <c r="A1081" i="2" s="1"/>
  <c r="A1085" i="7"/>
  <c r="A1085" i="2" s="1"/>
  <c r="C1106" i="7"/>
  <c r="A1106" i="7" s="1"/>
  <c r="A1106" i="2" s="1"/>
  <c r="D1106" i="7"/>
  <c r="A1141" i="7"/>
  <c r="A1141" i="2" s="1"/>
  <c r="C755" i="7"/>
  <c r="A755" i="7" s="1"/>
  <c r="C771" i="7"/>
  <c r="A771" i="7" s="1"/>
  <c r="C787" i="7"/>
  <c r="A787" i="7" s="1"/>
  <c r="C803" i="7"/>
  <c r="A803" i="7" s="1"/>
  <c r="C819" i="7"/>
  <c r="A819" i="7" s="1"/>
  <c r="C835" i="7"/>
  <c r="A835" i="7" s="1"/>
  <c r="C851" i="7"/>
  <c r="A851" i="7" s="1"/>
  <c r="D923" i="7"/>
  <c r="C923" i="7"/>
  <c r="D939" i="7"/>
  <c r="C939" i="7"/>
  <c r="D955" i="7"/>
  <c r="C955" i="7"/>
  <c r="D971" i="7"/>
  <c r="C971" i="7"/>
  <c r="C1058" i="7"/>
  <c r="A1058" i="7" s="1"/>
  <c r="A1058" i="2" s="1"/>
  <c r="D1058" i="7"/>
  <c r="A1070" i="7"/>
  <c r="A1070" i="2" s="1"/>
  <c r="D1073" i="7"/>
  <c r="C1073" i="7"/>
  <c r="A1073" i="7" s="1"/>
  <c r="A1073" i="2" s="1"/>
  <c r="A1077" i="7"/>
  <c r="A1077" i="2" s="1"/>
  <c r="C1086" i="7"/>
  <c r="A1086" i="7" s="1"/>
  <c r="A1086" i="2" s="1"/>
  <c r="D1086" i="7"/>
  <c r="A1117" i="7"/>
  <c r="A1117" i="2" s="1"/>
  <c r="C1135" i="7"/>
  <c r="D1135" i="7"/>
  <c r="D917" i="7"/>
  <c r="C917" i="7"/>
  <c r="D933" i="7"/>
  <c r="C933" i="7"/>
  <c r="D949" i="7"/>
  <c r="C949" i="7"/>
  <c r="D965" i="7"/>
  <c r="C965" i="7"/>
  <c r="D981" i="7"/>
  <c r="C981" i="7"/>
  <c r="C1078" i="7"/>
  <c r="A1078" i="7" s="1"/>
  <c r="A1078" i="2" s="1"/>
  <c r="D1078" i="7"/>
  <c r="A1154" i="7"/>
  <c r="A1154" i="2" s="1"/>
  <c r="D911" i="7"/>
  <c r="C911" i="7"/>
  <c r="A911" i="7" s="1"/>
  <c r="A911" i="2" s="1"/>
  <c r="D927" i="7"/>
  <c r="C927" i="7"/>
  <c r="A927" i="7" s="1"/>
  <c r="A927" i="2" s="1"/>
  <c r="D943" i="7"/>
  <c r="C943" i="7"/>
  <c r="D959" i="7"/>
  <c r="C959" i="7"/>
  <c r="A959" i="7" s="1"/>
  <c r="A959" i="2" s="1"/>
  <c r="D975" i="7"/>
  <c r="C975" i="7"/>
  <c r="A975" i="7" s="1"/>
  <c r="A975" i="2" s="1"/>
  <c r="D1059" i="7"/>
  <c r="C1059" i="7"/>
  <c r="A1059" i="7" s="1"/>
  <c r="C1119" i="7"/>
  <c r="A1119" i="7" s="1"/>
  <c r="A1119" i="2" s="1"/>
  <c r="D1119" i="7"/>
  <c r="A1160" i="7"/>
  <c r="A1160" i="2" s="1"/>
  <c r="C1100" i="7"/>
  <c r="A1100" i="7" s="1"/>
  <c r="A1100" i="2" s="1"/>
  <c r="D1100" i="7"/>
  <c r="C1116" i="7"/>
  <c r="A1116" i="7" s="1"/>
  <c r="A1116" i="2" s="1"/>
  <c r="D1116" i="7"/>
  <c r="C1132" i="7"/>
  <c r="A1132" i="7" s="1"/>
  <c r="A1132" i="2" s="1"/>
  <c r="D1132" i="7"/>
  <c r="C1148" i="7"/>
  <c r="A1148" i="7" s="1"/>
  <c r="A1148" i="2" s="1"/>
  <c r="D1148" i="7"/>
  <c r="A1237" i="7"/>
  <c r="A1237" i="2" s="1"/>
  <c r="D1066" i="7"/>
  <c r="A1066" i="7" s="1"/>
  <c r="A1066" i="2" s="1"/>
  <c r="C1076" i="7"/>
  <c r="A1076" i="7" s="1"/>
  <c r="A1076" i="2" s="1"/>
  <c r="D1076" i="7"/>
  <c r="C1084" i="7"/>
  <c r="A1084" i="7" s="1"/>
  <c r="A1084" i="2" s="1"/>
  <c r="D1084" i="7"/>
  <c r="C1092" i="7"/>
  <c r="A1092" i="7" s="1"/>
  <c r="A1092" i="2" s="1"/>
  <c r="D1092" i="7"/>
  <c r="C1110" i="7"/>
  <c r="A1110" i="7" s="1"/>
  <c r="A1110" i="2" s="1"/>
  <c r="D1110" i="7"/>
  <c r="D1113" i="7"/>
  <c r="A1113" i="7" s="1"/>
  <c r="A1113" i="2" s="1"/>
  <c r="C1126" i="7"/>
  <c r="A1126" i="7" s="1"/>
  <c r="A1126" i="2" s="1"/>
  <c r="D1126" i="7"/>
  <c r="D1129" i="7"/>
  <c r="A1129" i="7" s="1"/>
  <c r="A1129" i="2" s="1"/>
  <c r="C1142" i="7"/>
  <c r="A1142" i="7" s="1"/>
  <c r="A1142" i="2" s="1"/>
  <c r="D1142" i="7"/>
  <c r="D1145" i="7"/>
  <c r="A1145" i="7" s="1"/>
  <c r="A1145" i="2" s="1"/>
  <c r="D1203" i="7"/>
  <c r="C1203" i="7"/>
  <c r="A1203" i="7" s="1"/>
  <c r="A1321" i="7"/>
  <c r="A1321" i="2" s="1"/>
  <c r="C987" i="7"/>
  <c r="A987" i="7" s="1"/>
  <c r="C989" i="7"/>
  <c r="A989" i="7" s="1"/>
  <c r="A989" i="2" s="1"/>
  <c r="C991" i="7"/>
  <c r="A991" i="7" s="1"/>
  <c r="A991" i="2" s="1"/>
  <c r="C993" i="7"/>
  <c r="A993" i="7" s="1"/>
  <c r="A993" i="2" s="1"/>
  <c r="C995" i="7"/>
  <c r="A995" i="7" s="1"/>
  <c r="C997" i="7"/>
  <c r="A997" i="7" s="1"/>
  <c r="A997" i="2" s="1"/>
  <c r="C999" i="7"/>
  <c r="A999" i="7" s="1"/>
  <c r="A999" i="2" s="1"/>
  <c r="C1001" i="7"/>
  <c r="A1001" i="7" s="1"/>
  <c r="A1001" i="2" s="1"/>
  <c r="C1104" i="7"/>
  <c r="A1104" i="7" s="1"/>
  <c r="A1104" i="2" s="1"/>
  <c r="D1104" i="7"/>
  <c r="C1120" i="7"/>
  <c r="A1120" i="7" s="1"/>
  <c r="A1120" i="2" s="1"/>
  <c r="D1120" i="7"/>
  <c r="C1136" i="7"/>
  <c r="A1136" i="7" s="1"/>
  <c r="A1136" i="2" s="1"/>
  <c r="D1136" i="7"/>
  <c r="C1152" i="7"/>
  <c r="A1152" i="7" s="1"/>
  <c r="A1152" i="2" s="1"/>
  <c r="D1152" i="7"/>
  <c r="A1253" i="7"/>
  <c r="A1253" i="2" s="1"/>
  <c r="D1062" i="7"/>
  <c r="C1074" i="7"/>
  <c r="A1074" i="7" s="1"/>
  <c r="A1074" i="2" s="1"/>
  <c r="D1074" i="7"/>
  <c r="C1082" i="7"/>
  <c r="A1082" i="7" s="1"/>
  <c r="A1082" i="2" s="1"/>
  <c r="D1082" i="7"/>
  <c r="C1090" i="7"/>
  <c r="A1090" i="7" s="1"/>
  <c r="A1090" i="2" s="1"/>
  <c r="D1090" i="7"/>
  <c r="C1098" i="7"/>
  <c r="A1098" i="7" s="1"/>
  <c r="A1098" i="2" s="1"/>
  <c r="D1098" i="7"/>
  <c r="D1101" i="7"/>
  <c r="A1101" i="7" s="1"/>
  <c r="A1101" i="2" s="1"/>
  <c r="C1114" i="7"/>
  <c r="D1114" i="7"/>
  <c r="D1117" i="7"/>
  <c r="C1130" i="7"/>
  <c r="A1130" i="7" s="1"/>
  <c r="A1130" i="2" s="1"/>
  <c r="D1130" i="7"/>
  <c r="D1133" i="7"/>
  <c r="A1133" i="7" s="1"/>
  <c r="A1133" i="2" s="1"/>
  <c r="C1146" i="7"/>
  <c r="D1146" i="7"/>
  <c r="D1149" i="7"/>
  <c r="A1149" i="7" s="1"/>
  <c r="A1149" i="2" s="1"/>
  <c r="C1108" i="7"/>
  <c r="A1108" i="7" s="1"/>
  <c r="A1108" i="2" s="1"/>
  <c r="D1108" i="7"/>
  <c r="C1124" i="7"/>
  <c r="A1124" i="7" s="1"/>
  <c r="A1124" i="2" s="1"/>
  <c r="D1124" i="7"/>
  <c r="C1140" i="7"/>
  <c r="A1140" i="7" s="1"/>
  <c r="A1140" i="2" s="1"/>
  <c r="D1140" i="7"/>
  <c r="C1072" i="7"/>
  <c r="A1072" i="7" s="1"/>
  <c r="A1072" i="2" s="1"/>
  <c r="D1072" i="7"/>
  <c r="C1080" i="7"/>
  <c r="A1080" i="7" s="1"/>
  <c r="A1080" i="2" s="1"/>
  <c r="D1080" i="7"/>
  <c r="C1088" i="7"/>
  <c r="A1088" i="7" s="1"/>
  <c r="A1088" i="2" s="1"/>
  <c r="D1088" i="7"/>
  <c r="C1096" i="7"/>
  <c r="A1096" i="7" s="1"/>
  <c r="A1096" i="2" s="1"/>
  <c r="D1096" i="7"/>
  <c r="C1102" i="7"/>
  <c r="A1102" i="7" s="1"/>
  <c r="A1102" i="2" s="1"/>
  <c r="D1102" i="7"/>
  <c r="D1105" i="7"/>
  <c r="A1105" i="7" s="1"/>
  <c r="A1105" i="2" s="1"/>
  <c r="C1118" i="7"/>
  <c r="D1118" i="7"/>
  <c r="D1121" i="7"/>
  <c r="C1134" i="7"/>
  <c r="A1134" i="7" s="1"/>
  <c r="A1134" i="2" s="1"/>
  <c r="D1134" i="7"/>
  <c r="D1137" i="7"/>
  <c r="A1137" i="7" s="1"/>
  <c r="A1137" i="2" s="1"/>
  <c r="C1150" i="7"/>
  <c r="D1150" i="7"/>
  <c r="D1153" i="7"/>
  <c r="A1153" i="7" s="1"/>
  <c r="A1153" i="2" s="1"/>
  <c r="A1307" i="7"/>
  <c r="A1307" i="2" s="1"/>
  <c r="C1112" i="7"/>
  <c r="A1112" i="7" s="1"/>
  <c r="A1112" i="2" s="1"/>
  <c r="D1112" i="7"/>
  <c r="C1128" i="7"/>
  <c r="D1128" i="7"/>
  <c r="C1144" i="7"/>
  <c r="D1144" i="7"/>
  <c r="D1154" i="7"/>
  <c r="D1156" i="7"/>
  <c r="A1156" i="7" s="1"/>
  <c r="A1156" i="2" s="1"/>
  <c r="D1158" i="7"/>
  <c r="A1158" i="7" s="1"/>
  <c r="A1158" i="2" s="1"/>
  <c r="D1160" i="7"/>
  <c r="D1162" i="7"/>
  <c r="A1162" i="7" s="1"/>
  <c r="A1162" i="2" s="1"/>
  <c r="D1164" i="7"/>
  <c r="A1164" i="7" s="1"/>
  <c r="A1164" i="2" s="1"/>
  <c r="D1166" i="7"/>
  <c r="A1166" i="7" s="1"/>
  <c r="A1166" i="2" s="1"/>
  <c r="D1304" i="7"/>
  <c r="C1304" i="7"/>
  <c r="D1310" i="7"/>
  <c r="C1310" i="7"/>
  <c r="D1371" i="7"/>
  <c r="C1371" i="7"/>
  <c r="D1382" i="7"/>
  <c r="C1382" i="7"/>
  <c r="D1387" i="7"/>
  <c r="C1387" i="7"/>
  <c r="D1398" i="7"/>
  <c r="C1398" i="7"/>
  <c r="D1403" i="7"/>
  <c r="C1403" i="7"/>
  <c r="D1414" i="7"/>
  <c r="C1414" i="7"/>
  <c r="D1419" i="7"/>
  <c r="C1419" i="7"/>
  <c r="D1430" i="7"/>
  <c r="C1430" i="7"/>
  <c r="D1435" i="7"/>
  <c r="C1435" i="7"/>
  <c r="D1446" i="7"/>
  <c r="C1446" i="7"/>
  <c r="D1451" i="7"/>
  <c r="C1451" i="7"/>
  <c r="D1462" i="7"/>
  <c r="C1462" i="7"/>
  <c r="D1467" i="7"/>
  <c r="C1467" i="7"/>
  <c r="D1320" i="7"/>
  <c r="C1320" i="7"/>
  <c r="D1372" i="7"/>
  <c r="C1372" i="7"/>
  <c r="D1377" i="7"/>
  <c r="C1377" i="7"/>
  <c r="D1388" i="7"/>
  <c r="C1388" i="7"/>
  <c r="D1393" i="7"/>
  <c r="C1393" i="7"/>
  <c r="D1404" i="7"/>
  <c r="C1404" i="7"/>
  <c r="D1409" i="7"/>
  <c r="C1409" i="7"/>
  <c r="D1420" i="7"/>
  <c r="C1420" i="7"/>
  <c r="D1425" i="7"/>
  <c r="C1425" i="7"/>
  <c r="D1436" i="7"/>
  <c r="C1436" i="7"/>
  <c r="D1441" i="7"/>
  <c r="C1441" i="7"/>
  <c r="D1452" i="7"/>
  <c r="C1452" i="7"/>
  <c r="D1457" i="7"/>
  <c r="C1457" i="7"/>
  <c r="D1468" i="7"/>
  <c r="C1468" i="7"/>
  <c r="D1473" i="7"/>
  <c r="C1473" i="7"/>
  <c r="D1499" i="7"/>
  <c r="C1499" i="7"/>
  <c r="C1212" i="7"/>
  <c r="A1212" i="7" s="1"/>
  <c r="A1212" i="2" s="1"/>
  <c r="C1219" i="7"/>
  <c r="A1219" i="7" s="1"/>
  <c r="C1228" i="7"/>
  <c r="A1228" i="7" s="1"/>
  <c r="A1228" i="2" s="1"/>
  <c r="C1235" i="7"/>
  <c r="A1235" i="7" s="1"/>
  <c r="C1244" i="7"/>
  <c r="A1244" i="7" s="1"/>
  <c r="A1244" i="2" s="1"/>
  <c r="C1251" i="7"/>
  <c r="A1251" i="7" s="1"/>
  <c r="C1260" i="7"/>
  <c r="A1260" i="7" s="1"/>
  <c r="A1260" i="2" s="1"/>
  <c r="C1267" i="7"/>
  <c r="A1267" i="7" s="1"/>
  <c r="A1267" i="2" s="1"/>
  <c r="C1276" i="7"/>
  <c r="A1276" i="7" s="1"/>
  <c r="A1276" i="2" s="1"/>
  <c r="C1283" i="7"/>
  <c r="A1283" i="7" s="1"/>
  <c r="A1283" i="2" s="1"/>
  <c r="C1292" i="7"/>
  <c r="A1292" i="7" s="1"/>
  <c r="A1292" i="2" s="1"/>
  <c r="D1302" i="7"/>
  <c r="C1302" i="7"/>
  <c r="A1302" i="7" s="1"/>
  <c r="A1302" i="2" s="1"/>
  <c r="D1314" i="7"/>
  <c r="C1314" i="7"/>
  <c r="C1317" i="7"/>
  <c r="A1317" i="7" s="1"/>
  <c r="A1317" i="2" s="1"/>
  <c r="C1327" i="7"/>
  <c r="A1327" i="7" s="1"/>
  <c r="A1327" i="2" s="1"/>
  <c r="C1331" i="7"/>
  <c r="A1331" i="7" s="1"/>
  <c r="A1331" i="2" s="1"/>
  <c r="C1335" i="7"/>
  <c r="A1335" i="7" s="1"/>
  <c r="A1335" i="2" s="1"/>
  <c r="C1339" i="7"/>
  <c r="A1339" i="7" s="1"/>
  <c r="A1339" i="2" s="1"/>
  <c r="C1343" i="7"/>
  <c r="A1343" i="7" s="1"/>
  <c r="A1343" i="2" s="1"/>
  <c r="C1347" i="7"/>
  <c r="A1347" i="7" s="1"/>
  <c r="A1347" i="2" s="1"/>
  <c r="C1351" i="7"/>
  <c r="A1351" i="7" s="1"/>
  <c r="A1351" i="2" s="1"/>
  <c r="C1355" i="7"/>
  <c r="A1355" i="7" s="1"/>
  <c r="A1355" i="2" s="1"/>
  <c r="C1359" i="7"/>
  <c r="A1359" i="7" s="1"/>
  <c r="A1359" i="2" s="1"/>
  <c r="C1363" i="7"/>
  <c r="A1363" i="7" s="1"/>
  <c r="A1363" i="2" s="1"/>
  <c r="C1367" i="7"/>
  <c r="A1367" i="7" s="1"/>
  <c r="A1367" i="2" s="1"/>
  <c r="D1378" i="7"/>
  <c r="C1378" i="7"/>
  <c r="A1378" i="7" s="1"/>
  <c r="A1378" i="2" s="1"/>
  <c r="D1383" i="7"/>
  <c r="C1383" i="7"/>
  <c r="D1394" i="7"/>
  <c r="C1394" i="7"/>
  <c r="A1394" i="7" s="1"/>
  <c r="A1394" i="2" s="1"/>
  <c r="D1399" i="7"/>
  <c r="C1399" i="7"/>
  <c r="A1399" i="7" s="1"/>
  <c r="A1399" i="2" s="1"/>
  <c r="D1410" i="7"/>
  <c r="C1410" i="7"/>
  <c r="A1410" i="7" s="1"/>
  <c r="A1410" i="2" s="1"/>
  <c r="D1415" i="7"/>
  <c r="C1415" i="7"/>
  <c r="D1426" i="7"/>
  <c r="C1426" i="7"/>
  <c r="A1426" i="7" s="1"/>
  <c r="A1426" i="2" s="1"/>
  <c r="D1431" i="7"/>
  <c r="C1431" i="7"/>
  <c r="A1431" i="7" s="1"/>
  <c r="A1431" i="2" s="1"/>
  <c r="D1442" i="7"/>
  <c r="C1442" i="7"/>
  <c r="A1442" i="7" s="1"/>
  <c r="A1442" i="2" s="1"/>
  <c r="D1447" i="7"/>
  <c r="C1447" i="7"/>
  <c r="D1458" i="7"/>
  <c r="C1458" i="7"/>
  <c r="A1458" i="7" s="1"/>
  <c r="A1458" i="2" s="1"/>
  <c r="D1463" i="7"/>
  <c r="C1463" i="7"/>
  <c r="A1463" i="7" s="1"/>
  <c r="A1463" i="2" s="1"/>
  <c r="D1308" i="7"/>
  <c r="C1308" i="7"/>
  <c r="A1308" i="7" s="1"/>
  <c r="A1308" i="2" s="1"/>
  <c r="D1324" i="7"/>
  <c r="C1324" i="7"/>
  <c r="D1328" i="7"/>
  <c r="C1328" i="7"/>
  <c r="A1328" i="7" s="1"/>
  <c r="A1328" i="2" s="1"/>
  <c r="D1332" i="7"/>
  <c r="C1332" i="7"/>
  <c r="A1332" i="7" s="1"/>
  <c r="A1332" i="2" s="1"/>
  <c r="D1336" i="7"/>
  <c r="C1336" i="7"/>
  <c r="A1336" i="7" s="1"/>
  <c r="A1336" i="2" s="1"/>
  <c r="D1340" i="7"/>
  <c r="C1340" i="7"/>
  <c r="D1344" i="7"/>
  <c r="C1344" i="7"/>
  <c r="A1344" i="7" s="1"/>
  <c r="A1344" i="2" s="1"/>
  <c r="D1348" i="7"/>
  <c r="C1348" i="7"/>
  <c r="A1348" i="7" s="1"/>
  <c r="A1348" i="2" s="1"/>
  <c r="D1352" i="7"/>
  <c r="C1352" i="7"/>
  <c r="A1352" i="7" s="1"/>
  <c r="A1352" i="2" s="1"/>
  <c r="D1356" i="7"/>
  <c r="C1356" i="7"/>
  <c r="D1360" i="7"/>
  <c r="C1360" i="7"/>
  <c r="A1360" i="7" s="1"/>
  <c r="A1360" i="2" s="1"/>
  <c r="D1364" i="7"/>
  <c r="C1364" i="7"/>
  <c r="A1364" i="7" s="1"/>
  <c r="A1364" i="2" s="1"/>
  <c r="D1368" i="7"/>
  <c r="C1368" i="7"/>
  <c r="A1368" i="7" s="1"/>
  <c r="A1368" i="2" s="1"/>
  <c r="D1373" i="7"/>
  <c r="C1373" i="7"/>
  <c r="D1384" i="7"/>
  <c r="C1384" i="7"/>
  <c r="A1384" i="7" s="1"/>
  <c r="A1384" i="2" s="1"/>
  <c r="D1389" i="7"/>
  <c r="C1389" i="7"/>
  <c r="A1389" i="7" s="1"/>
  <c r="A1389" i="2" s="1"/>
  <c r="D1400" i="7"/>
  <c r="C1400" i="7"/>
  <c r="A1400" i="7" s="1"/>
  <c r="A1400" i="2" s="1"/>
  <c r="D1405" i="7"/>
  <c r="C1405" i="7"/>
  <c r="D1416" i="7"/>
  <c r="C1416" i="7"/>
  <c r="A1416" i="7" s="1"/>
  <c r="A1416" i="2" s="1"/>
  <c r="D1421" i="7"/>
  <c r="C1421" i="7"/>
  <c r="A1421" i="7" s="1"/>
  <c r="A1421" i="2" s="1"/>
  <c r="D1432" i="7"/>
  <c r="C1432" i="7"/>
  <c r="A1432" i="7" s="1"/>
  <c r="A1432" i="2" s="1"/>
  <c r="D1437" i="7"/>
  <c r="C1437" i="7"/>
  <c r="D1448" i="7"/>
  <c r="C1448" i="7"/>
  <c r="A1448" i="7" s="1"/>
  <c r="A1448" i="2" s="1"/>
  <c r="D1453" i="7"/>
  <c r="C1453" i="7"/>
  <c r="A1453" i="7" s="1"/>
  <c r="A1453" i="2" s="1"/>
  <c r="D1464" i="7"/>
  <c r="C1464" i="7"/>
  <c r="A1464" i="7" s="1"/>
  <c r="A1464" i="2" s="1"/>
  <c r="D1469" i="7"/>
  <c r="C1469" i="7"/>
  <c r="D1300" i="7"/>
  <c r="C1300" i="7"/>
  <c r="A1300" i="7" s="1"/>
  <c r="A1300" i="2" s="1"/>
  <c r="D1318" i="7"/>
  <c r="C1318" i="7"/>
  <c r="A1318" i="7" s="1"/>
  <c r="A1318" i="2" s="1"/>
  <c r="D1374" i="7"/>
  <c r="C1374" i="7"/>
  <c r="A1374" i="7" s="1"/>
  <c r="A1374" i="2" s="1"/>
  <c r="D1379" i="7"/>
  <c r="C1379" i="7"/>
  <c r="D1390" i="7"/>
  <c r="C1390" i="7"/>
  <c r="A1390" i="7" s="1"/>
  <c r="A1390" i="2" s="1"/>
  <c r="D1395" i="7"/>
  <c r="C1395" i="7"/>
  <c r="A1395" i="7" s="1"/>
  <c r="A1395" i="2" s="1"/>
  <c r="D1406" i="7"/>
  <c r="C1406" i="7"/>
  <c r="A1406" i="7" s="1"/>
  <c r="A1406" i="2" s="1"/>
  <c r="D1411" i="7"/>
  <c r="C1411" i="7"/>
  <c r="D1422" i="7"/>
  <c r="C1422" i="7"/>
  <c r="A1422" i="7" s="1"/>
  <c r="A1422" i="2" s="1"/>
  <c r="D1427" i="7"/>
  <c r="C1427" i="7"/>
  <c r="A1427" i="7" s="1"/>
  <c r="A1427" i="2" s="1"/>
  <c r="D1438" i="7"/>
  <c r="C1438" i="7"/>
  <c r="A1438" i="7" s="1"/>
  <c r="A1438" i="2" s="1"/>
  <c r="D1443" i="7"/>
  <c r="C1443" i="7"/>
  <c r="D1454" i="7"/>
  <c r="C1454" i="7"/>
  <c r="A1454" i="7" s="1"/>
  <c r="A1454" i="2" s="1"/>
  <c r="D1459" i="7"/>
  <c r="C1459" i="7"/>
  <c r="A1459" i="7" s="1"/>
  <c r="A1459" i="2" s="1"/>
  <c r="D1475" i="7"/>
  <c r="C1475" i="7"/>
  <c r="A1475" i="7" s="1"/>
  <c r="A1475" i="2" s="1"/>
  <c r="D1507" i="7"/>
  <c r="C1507" i="7"/>
  <c r="C1206" i="7"/>
  <c r="A1206" i="7" s="1"/>
  <c r="A1206" i="2" s="1"/>
  <c r="C1213" i="7"/>
  <c r="A1213" i="7" s="1"/>
  <c r="A1213" i="2" s="1"/>
  <c r="C1222" i="7"/>
  <c r="A1222" i="7" s="1"/>
  <c r="A1222" i="2" s="1"/>
  <c r="C1229" i="7"/>
  <c r="A1229" i="7" s="1"/>
  <c r="A1229" i="2" s="1"/>
  <c r="C1238" i="7"/>
  <c r="A1238" i="7" s="1"/>
  <c r="A1238" i="2" s="1"/>
  <c r="C1245" i="7"/>
  <c r="A1245" i="7" s="1"/>
  <c r="A1245" i="2" s="1"/>
  <c r="C1254" i="7"/>
  <c r="A1254" i="7" s="1"/>
  <c r="A1254" i="2" s="1"/>
  <c r="C1261" i="7"/>
  <c r="A1261" i="7" s="1"/>
  <c r="A1261" i="2" s="1"/>
  <c r="C1270" i="7"/>
  <c r="A1270" i="7" s="1"/>
  <c r="A1270" i="2" s="1"/>
  <c r="C1277" i="7"/>
  <c r="A1277" i="7" s="1"/>
  <c r="A1277" i="2" s="1"/>
  <c r="C1286" i="7"/>
  <c r="A1286" i="7" s="1"/>
  <c r="A1286" i="2" s="1"/>
  <c r="C1293" i="7"/>
  <c r="A1293" i="7" s="1"/>
  <c r="A1293" i="2" s="1"/>
  <c r="C1303" i="7"/>
  <c r="A1303" i="7" s="1"/>
  <c r="A1303" i="2" s="1"/>
  <c r="D1312" i="7"/>
  <c r="C1312" i="7"/>
  <c r="C1315" i="7"/>
  <c r="A1315" i="7" s="1"/>
  <c r="A1315" i="2" s="1"/>
  <c r="D1369" i="7"/>
  <c r="C1369" i="7"/>
  <c r="A1369" i="7" s="1"/>
  <c r="A1369" i="2" s="1"/>
  <c r="D1380" i="7"/>
  <c r="C1380" i="7"/>
  <c r="A1380" i="7" s="1"/>
  <c r="A1380" i="2" s="1"/>
  <c r="D1385" i="7"/>
  <c r="C1385" i="7"/>
  <c r="A1385" i="7" s="1"/>
  <c r="A1385" i="2" s="1"/>
  <c r="D1396" i="7"/>
  <c r="C1396" i="7"/>
  <c r="D1401" i="7"/>
  <c r="C1401" i="7"/>
  <c r="A1401" i="7" s="1"/>
  <c r="A1401" i="2" s="1"/>
  <c r="D1412" i="7"/>
  <c r="C1412" i="7"/>
  <c r="A1412" i="7" s="1"/>
  <c r="A1412" i="2" s="1"/>
  <c r="D1417" i="7"/>
  <c r="C1417" i="7"/>
  <c r="A1417" i="7" s="1"/>
  <c r="A1417" i="2" s="1"/>
  <c r="D1428" i="7"/>
  <c r="C1428" i="7"/>
  <c r="D1433" i="7"/>
  <c r="C1433" i="7"/>
  <c r="A1433" i="7" s="1"/>
  <c r="A1433" i="2" s="1"/>
  <c r="D1444" i="7"/>
  <c r="C1444" i="7"/>
  <c r="A1444" i="7" s="1"/>
  <c r="A1444" i="2" s="1"/>
  <c r="D1449" i="7"/>
  <c r="C1449" i="7"/>
  <c r="A1449" i="7" s="1"/>
  <c r="A1449" i="2" s="1"/>
  <c r="D1460" i="7"/>
  <c r="C1460" i="7"/>
  <c r="D1465" i="7"/>
  <c r="C1465" i="7"/>
  <c r="A1465" i="7" s="1"/>
  <c r="A1465" i="2" s="1"/>
  <c r="C1204" i="7"/>
  <c r="A1204" i="7" s="1"/>
  <c r="A1204" i="2" s="1"/>
  <c r="C1211" i="7"/>
  <c r="A1211" i="7" s="1"/>
  <c r="C1220" i="7"/>
  <c r="A1220" i="7" s="1"/>
  <c r="A1220" i="2" s="1"/>
  <c r="C1227" i="7"/>
  <c r="A1227" i="7" s="1"/>
  <c r="C1236" i="7"/>
  <c r="A1236" i="7" s="1"/>
  <c r="A1236" i="2" s="1"/>
  <c r="C1243" i="7"/>
  <c r="A1243" i="7" s="1"/>
  <c r="C1252" i="7"/>
  <c r="A1252" i="7" s="1"/>
  <c r="A1252" i="2" s="1"/>
  <c r="C1259" i="7"/>
  <c r="A1259" i="7" s="1"/>
  <c r="C1268" i="7"/>
  <c r="A1268" i="7" s="1"/>
  <c r="A1268" i="2" s="1"/>
  <c r="C1275" i="7"/>
  <c r="A1275" i="7" s="1"/>
  <c r="A1275" i="2" s="1"/>
  <c r="C1284" i="7"/>
  <c r="A1284" i="7" s="1"/>
  <c r="A1284" i="2" s="1"/>
  <c r="C1291" i="7"/>
  <c r="A1291" i="7" s="1"/>
  <c r="A1291" i="2" s="1"/>
  <c r="D1298" i="7"/>
  <c r="C1298" i="7"/>
  <c r="D1306" i="7"/>
  <c r="C1306" i="7"/>
  <c r="A1306" i="7" s="1"/>
  <c r="A1306" i="2" s="1"/>
  <c r="C1309" i="7"/>
  <c r="A1309" i="7" s="1"/>
  <c r="A1309" i="2" s="1"/>
  <c r="D1322" i="7"/>
  <c r="C1322" i="7"/>
  <c r="C1325" i="7"/>
  <c r="A1325" i="7" s="1"/>
  <c r="A1325" i="2" s="1"/>
  <c r="C1329" i="7"/>
  <c r="A1329" i="7" s="1"/>
  <c r="A1329" i="2" s="1"/>
  <c r="C1333" i="7"/>
  <c r="A1333" i="7" s="1"/>
  <c r="A1333" i="2" s="1"/>
  <c r="C1337" i="7"/>
  <c r="A1337" i="7" s="1"/>
  <c r="A1337" i="2" s="1"/>
  <c r="C1341" i="7"/>
  <c r="A1341" i="7" s="1"/>
  <c r="A1341" i="2" s="1"/>
  <c r="C1345" i="7"/>
  <c r="A1345" i="7" s="1"/>
  <c r="A1345" i="2" s="1"/>
  <c r="C1349" i="7"/>
  <c r="A1349" i="7" s="1"/>
  <c r="A1349" i="2" s="1"/>
  <c r="C1353" i="7"/>
  <c r="A1353" i="7" s="1"/>
  <c r="A1353" i="2" s="1"/>
  <c r="D1370" i="7"/>
  <c r="C1370" i="7"/>
  <c r="D1375" i="7"/>
  <c r="C1375" i="7"/>
  <c r="D1386" i="7"/>
  <c r="C1386" i="7"/>
  <c r="D1391" i="7"/>
  <c r="C1391" i="7"/>
  <c r="D1402" i="7"/>
  <c r="C1402" i="7"/>
  <c r="D1407" i="7"/>
  <c r="C1407" i="7"/>
  <c r="D1418" i="7"/>
  <c r="C1418" i="7"/>
  <c r="D1423" i="7"/>
  <c r="C1423" i="7"/>
  <c r="D1434" i="7"/>
  <c r="C1434" i="7"/>
  <c r="D1439" i="7"/>
  <c r="C1439" i="7"/>
  <c r="D1450" i="7"/>
  <c r="C1450" i="7"/>
  <c r="D1455" i="7"/>
  <c r="C1455" i="7"/>
  <c r="D1466" i="7"/>
  <c r="C1466" i="7"/>
  <c r="D1471" i="7"/>
  <c r="C1471" i="7"/>
  <c r="A1487" i="7"/>
  <c r="A1487" i="2" s="1"/>
  <c r="D1316" i="7"/>
  <c r="C1316" i="7"/>
  <c r="A1316" i="7" s="1"/>
  <c r="A1316" i="2" s="1"/>
  <c r="D1326" i="7"/>
  <c r="C1326" i="7"/>
  <c r="A1326" i="7" s="1"/>
  <c r="A1326" i="2" s="1"/>
  <c r="D1330" i="7"/>
  <c r="C1330" i="7"/>
  <c r="D1334" i="7"/>
  <c r="C1334" i="7"/>
  <c r="A1334" i="7" s="1"/>
  <c r="A1334" i="2" s="1"/>
  <c r="D1338" i="7"/>
  <c r="C1338" i="7"/>
  <c r="A1338" i="7" s="1"/>
  <c r="A1338" i="2" s="1"/>
  <c r="D1342" i="7"/>
  <c r="C1342" i="7"/>
  <c r="A1342" i="7" s="1"/>
  <c r="A1342" i="2" s="1"/>
  <c r="D1346" i="7"/>
  <c r="C1346" i="7"/>
  <c r="D1350" i="7"/>
  <c r="C1350" i="7"/>
  <c r="A1350" i="7" s="1"/>
  <c r="A1350" i="2" s="1"/>
  <c r="D1354" i="7"/>
  <c r="C1354" i="7"/>
  <c r="A1354" i="7" s="1"/>
  <c r="A1354" i="2" s="1"/>
  <c r="D1358" i="7"/>
  <c r="C1358" i="7"/>
  <c r="A1358" i="7" s="1"/>
  <c r="A1358" i="2" s="1"/>
  <c r="D1362" i="7"/>
  <c r="C1362" i="7"/>
  <c r="D1366" i="7"/>
  <c r="C1366" i="7"/>
  <c r="A1366" i="7" s="1"/>
  <c r="A1366" i="2" s="1"/>
  <c r="D1376" i="7"/>
  <c r="C1376" i="7"/>
  <c r="A1376" i="7" s="1"/>
  <c r="A1376" i="2" s="1"/>
  <c r="D1381" i="7"/>
  <c r="C1381" i="7"/>
  <c r="A1381" i="7" s="1"/>
  <c r="A1381" i="2" s="1"/>
  <c r="D1392" i="7"/>
  <c r="C1392" i="7"/>
  <c r="D1397" i="7"/>
  <c r="C1397" i="7"/>
  <c r="A1397" i="7" s="1"/>
  <c r="A1397" i="2" s="1"/>
  <c r="D1408" i="7"/>
  <c r="C1408" i="7"/>
  <c r="A1408" i="7" s="1"/>
  <c r="A1408" i="2" s="1"/>
  <c r="D1413" i="7"/>
  <c r="C1413" i="7"/>
  <c r="A1413" i="7" s="1"/>
  <c r="A1413" i="2" s="1"/>
  <c r="D1424" i="7"/>
  <c r="C1424" i="7"/>
  <c r="D1429" i="7"/>
  <c r="C1429" i="7"/>
  <c r="A1429" i="7" s="1"/>
  <c r="A1429" i="2" s="1"/>
  <c r="D1440" i="7"/>
  <c r="C1440" i="7"/>
  <c r="A1440" i="7" s="1"/>
  <c r="A1440" i="2" s="1"/>
  <c r="D1445" i="7"/>
  <c r="C1445" i="7"/>
  <c r="A1445" i="7" s="1"/>
  <c r="A1445" i="2" s="1"/>
  <c r="D1456" i="7"/>
  <c r="C1456" i="7"/>
  <c r="D1461" i="7"/>
  <c r="C1461" i="7"/>
  <c r="A1461" i="7" s="1"/>
  <c r="A1461" i="2" s="1"/>
  <c r="D1477" i="7"/>
  <c r="C1477" i="7"/>
  <c r="A1477" i="7" s="1"/>
  <c r="A1477" i="2" s="1"/>
  <c r="D1483" i="7"/>
  <c r="C1483" i="7"/>
  <c r="A1483" i="7" s="1"/>
  <c r="A1483" i="2" s="1"/>
  <c r="D1492" i="7"/>
  <c r="C1492" i="7"/>
  <c r="D1515" i="7"/>
  <c r="C1515" i="7"/>
  <c r="A1515" i="7" s="1"/>
  <c r="A1515" i="2" s="1"/>
  <c r="C1632" i="7"/>
  <c r="A1632" i="7" s="1"/>
  <c r="A1632" i="2" s="1"/>
  <c r="D1632" i="7"/>
  <c r="D1637" i="7"/>
  <c r="C1637" i="7"/>
  <c r="A1656" i="7"/>
  <c r="A1656" i="2" s="1"/>
  <c r="D1745" i="7"/>
  <c r="C1745" i="7"/>
  <c r="A1745" i="7" s="1"/>
  <c r="A1745" i="2" s="1"/>
  <c r="C1784" i="7"/>
  <c r="D1784" i="7"/>
  <c r="C1523" i="7"/>
  <c r="A1523" i="7" s="1"/>
  <c r="A1523" i="2" s="1"/>
  <c r="C1531" i="7"/>
  <c r="A1531" i="7" s="1"/>
  <c r="A1531" i="2" s="1"/>
  <c r="C1539" i="7"/>
  <c r="A1539" i="7" s="1"/>
  <c r="A1539" i="2" s="1"/>
  <c r="C1547" i="7"/>
  <c r="A1547" i="7" s="1"/>
  <c r="A1547" i="2" s="1"/>
  <c r="C1555" i="7"/>
  <c r="A1555" i="7" s="1"/>
  <c r="A1555" i="2" s="1"/>
  <c r="C1563" i="7"/>
  <c r="A1563" i="7" s="1"/>
  <c r="A1563" i="2" s="1"/>
  <c r="D1605" i="7"/>
  <c r="A1605" i="7" s="1"/>
  <c r="A1605" i="2" s="1"/>
  <c r="A1609" i="7"/>
  <c r="A1609" i="2" s="1"/>
  <c r="D1657" i="7"/>
  <c r="C1657" i="7"/>
  <c r="D1665" i="7"/>
  <c r="C1665" i="7"/>
  <c r="D1673" i="7"/>
  <c r="C1673" i="7"/>
  <c r="D1681" i="7"/>
  <c r="C1681" i="7"/>
  <c r="D1689" i="7"/>
  <c r="C1689" i="7"/>
  <c r="C1706" i="7"/>
  <c r="A1706" i="7" s="1"/>
  <c r="A1706" i="2" s="1"/>
  <c r="D1706" i="7"/>
  <c r="A1726" i="7"/>
  <c r="A1726" i="2" s="1"/>
  <c r="C1479" i="7"/>
  <c r="A1479" i="7" s="1"/>
  <c r="A1479" i="2" s="1"/>
  <c r="C1481" i="7"/>
  <c r="A1481" i="7" s="1"/>
  <c r="A1481" i="2" s="1"/>
  <c r="C1490" i="7"/>
  <c r="A1490" i="7" s="1"/>
  <c r="A1490" i="2" s="1"/>
  <c r="C1497" i="7"/>
  <c r="A1497" i="7" s="1"/>
  <c r="A1497" i="2" s="1"/>
  <c r="C1502" i="7"/>
  <c r="A1502" i="7" s="1"/>
  <c r="A1502" i="2" s="1"/>
  <c r="C1510" i="7"/>
  <c r="A1510" i="7" s="1"/>
  <c r="A1510" i="2" s="1"/>
  <c r="C1518" i="7"/>
  <c r="A1518" i="7" s="1"/>
  <c r="A1518" i="2" s="1"/>
  <c r="C1526" i="7"/>
  <c r="A1526" i="7" s="1"/>
  <c r="A1526" i="2" s="1"/>
  <c r="C1534" i="7"/>
  <c r="A1534" i="7" s="1"/>
  <c r="A1534" i="2" s="1"/>
  <c r="C1542" i="7"/>
  <c r="A1542" i="7" s="1"/>
  <c r="A1542" i="2" s="1"/>
  <c r="C1550" i="7"/>
  <c r="A1550" i="7" s="1"/>
  <c r="A1550" i="2" s="1"/>
  <c r="C1558" i="7"/>
  <c r="A1558" i="7" s="1"/>
  <c r="A1558" i="2" s="1"/>
  <c r="C1566" i="7"/>
  <c r="A1566" i="7" s="1"/>
  <c r="A1566" i="2" s="1"/>
  <c r="C1574" i="7"/>
  <c r="A1574" i="7" s="1"/>
  <c r="A1574" i="2" s="1"/>
  <c r="C1606" i="7"/>
  <c r="D1606" i="7"/>
  <c r="D1609" i="7"/>
  <c r="A1613" i="7"/>
  <c r="A1613" i="2" s="1"/>
  <c r="C1628" i="7"/>
  <c r="D1628" i="7"/>
  <c r="C1488" i="7"/>
  <c r="A1488" i="7" s="1"/>
  <c r="A1488" i="2" s="1"/>
  <c r="C1495" i="7"/>
  <c r="A1495" i="7" s="1"/>
  <c r="A1495" i="2" s="1"/>
  <c r="C1505" i="7"/>
  <c r="A1505" i="7" s="1"/>
  <c r="A1505" i="2" s="1"/>
  <c r="C1513" i="7"/>
  <c r="A1513" i="7" s="1"/>
  <c r="A1513" i="2" s="1"/>
  <c r="C1521" i="7"/>
  <c r="A1521" i="7" s="1"/>
  <c r="A1521" i="2" s="1"/>
  <c r="C1529" i="7"/>
  <c r="A1529" i="7" s="1"/>
  <c r="A1529" i="2" s="1"/>
  <c r="C1537" i="7"/>
  <c r="A1537" i="7" s="1"/>
  <c r="A1537" i="2" s="1"/>
  <c r="C1545" i="7"/>
  <c r="A1545" i="7" s="1"/>
  <c r="A1545" i="2" s="1"/>
  <c r="C1553" i="7"/>
  <c r="A1553" i="7" s="1"/>
  <c r="A1553" i="2" s="1"/>
  <c r="C1561" i="7"/>
  <c r="A1561" i="7" s="1"/>
  <c r="A1561" i="2" s="1"/>
  <c r="C1610" i="7"/>
  <c r="D1610" i="7"/>
  <c r="D1613" i="7"/>
  <c r="A1617" i="7"/>
  <c r="A1617" i="2" s="1"/>
  <c r="C1624" i="7"/>
  <c r="D1624" i="7"/>
  <c r="D1629" i="7"/>
  <c r="C1629" i="7"/>
  <c r="C1486" i="7"/>
  <c r="A1486" i="7" s="1"/>
  <c r="A1486" i="2" s="1"/>
  <c r="C1500" i="7"/>
  <c r="A1500" i="7" s="1"/>
  <c r="A1500" i="2" s="1"/>
  <c r="C1508" i="7"/>
  <c r="A1508" i="7" s="1"/>
  <c r="A1508" i="2" s="1"/>
  <c r="C1516" i="7"/>
  <c r="A1516" i="7" s="1"/>
  <c r="A1516" i="2" s="1"/>
  <c r="C1524" i="7"/>
  <c r="A1524" i="7" s="1"/>
  <c r="A1524" i="2" s="1"/>
  <c r="C1532" i="7"/>
  <c r="A1532" i="7" s="1"/>
  <c r="A1532" i="2" s="1"/>
  <c r="C1540" i="7"/>
  <c r="A1540" i="7" s="1"/>
  <c r="A1540" i="2" s="1"/>
  <c r="C1548" i="7"/>
  <c r="A1548" i="7" s="1"/>
  <c r="A1548" i="2" s="1"/>
  <c r="C1556" i="7"/>
  <c r="A1556" i="7" s="1"/>
  <c r="A1556" i="2" s="1"/>
  <c r="C1564" i="7"/>
  <c r="A1564" i="7" s="1"/>
  <c r="A1564" i="2" s="1"/>
  <c r="C1572" i="7"/>
  <c r="A1572" i="7" s="1"/>
  <c r="A1572" i="2" s="1"/>
  <c r="C1614" i="7"/>
  <c r="D1614" i="7"/>
  <c r="D1617" i="7"/>
  <c r="D1625" i="7"/>
  <c r="C1625" i="7"/>
  <c r="C1618" i="7"/>
  <c r="A1618" i="7" s="1"/>
  <c r="A1618" i="2" s="1"/>
  <c r="D1618" i="7"/>
  <c r="D1621" i="7"/>
  <c r="C1621" i="7"/>
  <c r="C1644" i="7"/>
  <c r="A1644" i="7" s="1"/>
  <c r="A1644" i="2" s="1"/>
  <c r="D1644" i="7"/>
  <c r="D1661" i="7"/>
  <c r="C1661" i="7"/>
  <c r="D1669" i="7"/>
  <c r="C1669" i="7"/>
  <c r="D1677" i="7"/>
  <c r="C1677" i="7"/>
  <c r="D1685" i="7"/>
  <c r="C1685" i="7"/>
  <c r="D1693" i="7"/>
  <c r="C1693" i="7"/>
  <c r="C1470" i="7"/>
  <c r="A1470" i="7" s="1"/>
  <c r="A1470" i="2" s="1"/>
  <c r="C1472" i="7"/>
  <c r="A1472" i="7" s="1"/>
  <c r="A1472" i="2" s="1"/>
  <c r="C1474" i="7"/>
  <c r="A1474" i="7" s="1"/>
  <c r="A1474" i="2" s="1"/>
  <c r="C1476" i="7"/>
  <c r="A1476" i="7" s="1"/>
  <c r="A1476" i="2" s="1"/>
  <c r="C1478" i="7"/>
  <c r="A1478" i="7" s="1"/>
  <c r="A1478" i="2" s="1"/>
  <c r="C1480" i="7"/>
  <c r="A1480" i="7" s="1"/>
  <c r="A1480" i="2" s="1"/>
  <c r="C1482" i="7"/>
  <c r="A1482" i="7" s="1"/>
  <c r="A1482" i="2" s="1"/>
  <c r="C1489" i="7"/>
  <c r="A1489" i="7" s="1"/>
  <c r="A1489" i="2" s="1"/>
  <c r="C1498" i="7"/>
  <c r="A1498" i="7" s="1"/>
  <c r="A1498" i="2" s="1"/>
  <c r="C1506" i="7"/>
  <c r="A1506" i="7" s="1"/>
  <c r="A1506" i="2" s="1"/>
  <c r="C1514" i="7"/>
  <c r="A1514" i="7" s="1"/>
  <c r="A1514" i="2" s="1"/>
  <c r="C1522" i="7"/>
  <c r="A1522" i="7" s="1"/>
  <c r="A1522" i="2" s="1"/>
  <c r="C1530" i="7"/>
  <c r="A1530" i="7" s="1"/>
  <c r="A1530" i="2" s="1"/>
  <c r="C1538" i="7"/>
  <c r="A1538" i="7" s="1"/>
  <c r="A1538" i="2" s="1"/>
  <c r="C1546" i="7"/>
  <c r="A1546" i="7" s="1"/>
  <c r="A1546" i="2" s="1"/>
  <c r="C1554" i="7"/>
  <c r="A1554" i="7" s="1"/>
  <c r="A1554" i="2" s="1"/>
  <c r="C1562" i="7"/>
  <c r="A1562" i="7" s="1"/>
  <c r="A1562" i="2" s="1"/>
  <c r="C1570" i="7"/>
  <c r="A1570" i="7" s="1"/>
  <c r="A1570" i="2" s="1"/>
  <c r="C1578" i="7"/>
  <c r="A1578" i="7" s="1"/>
  <c r="A1578" i="2" s="1"/>
  <c r="C1640" i="7"/>
  <c r="D1640" i="7"/>
  <c r="D1645" i="7"/>
  <c r="C1645" i="7"/>
  <c r="C1496" i="7"/>
  <c r="A1496" i="7" s="1"/>
  <c r="A1496" i="2" s="1"/>
  <c r="C1501" i="7"/>
  <c r="A1501" i="7" s="1"/>
  <c r="A1501" i="2" s="1"/>
  <c r="C1509" i="7"/>
  <c r="A1509" i="7" s="1"/>
  <c r="A1509" i="2" s="1"/>
  <c r="C1517" i="7"/>
  <c r="A1517" i="7" s="1"/>
  <c r="A1517" i="2" s="1"/>
  <c r="C1525" i="7"/>
  <c r="A1525" i="7" s="1"/>
  <c r="A1525" i="2" s="1"/>
  <c r="C1533" i="7"/>
  <c r="A1533" i="7" s="1"/>
  <c r="A1533" i="2" s="1"/>
  <c r="C1541" i="7"/>
  <c r="A1541" i="7" s="1"/>
  <c r="A1541" i="2" s="1"/>
  <c r="C1549" i="7"/>
  <c r="A1549" i="7" s="1"/>
  <c r="A1549" i="2" s="1"/>
  <c r="C1557" i="7"/>
  <c r="A1557" i="7" s="1"/>
  <c r="A1557" i="2" s="1"/>
  <c r="A1636" i="7"/>
  <c r="A1636" i="2" s="1"/>
  <c r="D1641" i="7"/>
  <c r="C1641" i="7"/>
  <c r="A1641" i="7" s="1"/>
  <c r="A1641" i="2" s="1"/>
  <c r="A1697" i="7"/>
  <c r="A1697" i="2" s="1"/>
  <c r="D1707" i="7"/>
  <c r="C1707" i="7"/>
  <c r="A1750" i="7"/>
  <c r="A1750" i="2" s="1"/>
  <c r="A1777" i="7"/>
  <c r="A1777" i="2" s="1"/>
  <c r="A1785" i="7"/>
  <c r="A1785" i="2" s="1"/>
  <c r="A1805" i="7"/>
  <c r="A1805" i="2" s="1"/>
  <c r="A1662" i="7"/>
  <c r="A1662" i="2" s="1"/>
  <c r="A1670" i="7"/>
  <c r="A1670" i="2" s="1"/>
  <c r="A1678" i="7"/>
  <c r="A1678" i="2" s="1"/>
  <c r="A1682" i="7"/>
  <c r="A1682" i="2" s="1"/>
  <c r="A1686" i="7"/>
  <c r="A1686" i="2" s="1"/>
  <c r="C1694" i="7"/>
  <c r="A1694" i="7" s="1"/>
  <c r="A1694" i="2" s="1"/>
  <c r="D1694" i="7"/>
  <c r="C1700" i="7"/>
  <c r="A1700" i="7" s="1"/>
  <c r="A1700" i="2" s="1"/>
  <c r="D1700" i="7"/>
  <c r="C1722" i="7"/>
  <c r="A1722" i="7" s="1"/>
  <c r="A1722" i="2" s="1"/>
  <c r="D1722" i="7"/>
  <c r="D1769" i="7"/>
  <c r="C1769" i="7"/>
  <c r="A1773" i="7"/>
  <c r="A1773" i="2" s="1"/>
  <c r="C1819" i="7"/>
  <c r="D1819" i="7"/>
  <c r="D1648" i="7"/>
  <c r="A1648" i="7" s="1"/>
  <c r="A1648" i="2" s="1"/>
  <c r="D1658" i="7"/>
  <c r="A1658" i="7" s="1"/>
  <c r="A1658" i="2" s="1"/>
  <c r="D1662" i="7"/>
  <c r="D1666" i="7"/>
  <c r="A1666" i="7" s="1"/>
  <c r="A1666" i="2" s="1"/>
  <c r="D1670" i="7"/>
  <c r="D1674" i="7"/>
  <c r="A1674" i="7" s="1"/>
  <c r="A1674" i="2" s="1"/>
  <c r="D1678" i="7"/>
  <c r="D1682" i="7"/>
  <c r="D1686" i="7"/>
  <c r="D1690" i="7"/>
  <c r="A1690" i="7" s="1"/>
  <c r="A1690" i="2" s="1"/>
  <c r="A1701" i="7"/>
  <c r="A1701" i="2" s="1"/>
  <c r="A1715" i="7"/>
  <c r="A1715" i="2" s="1"/>
  <c r="D1723" i="7"/>
  <c r="C1723" i="7"/>
  <c r="A1723" i="7" s="1"/>
  <c r="A1723" i="2" s="1"/>
  <c r="A1735" i="7"/>
  <c r="A1735" i="2" s="1"/>
  <c r="C1738" i="7"/>
  <c r="A1738" i="7" s="1"/>
  <c r="A1738" i="2" s="1"/>
  <c r="D1738" i="7"/>
  <c r="C1787" i="7"/>
  <c r="A1787" i="7" s="1"/>
  <c r="A1787" i="2" s="1"/>
  <c r="D1787" i="7"/>
  <c r="C1716" i="7"/>
  <c r="A1716" i="7" s="1"/>
  <c r="A1716" i="2" s="1"/>
  <c r="D1716" i="7"/>
  <c r="D1739" i="7"/>
  <c r="C1739" i="7"/>
  <c r="D1761" i="7"/>
  <c r="C1761" i="7"/>
  <c r="C1800" i="7"/>
  <c r="A1800" i="7" s="1"/>
  <c r="A1800" i="2" s="1"/>
  <c r="D1800" i="7"/>
  <c r="A1821" i="7"/>
  <c r="A1821" i="2" s="1"/>
  <c r="C1633" i="7"/>
  <c r="A1633" i="7" s="1"/>
  <c r="A1633" i="2" s="1"/>
  <c r="D1636" i="7"/>
  <c r="C1649" i="7"/>
  <c r="A1649" i="7" s="1"/>
  <c r="A1649" i="2" s="1"/>
  <c r="D1652" i="7"/>
  <c r="A1652" i="7" s="1"/>
  <c r="A1652" i="2" s="1"/>
  <c r="C1659" i="7"/>
  <c r="A1659" i="7" s="1"/>
  <c r="A1659" i="2" s="1"/>
  <c r="C1663" i="7"/>
  <c r="A1663" i="7" s="1"/>
  <c r="A1663" i="2" s="1"/>
  <c r="C1667" i="7"/>
  <c r="A1667" i="7" s="1"/>
  <c r="A1667" i="2" s="1"/>
  <c r="C1671" i="7"/>
  <c r="A1671" i="7" s="1"/>
  <c r="A1671" i="2" s="1"/>
  <c r="C1675" i="7"/>
  <c r="A1675" i="7" s="1"/>
  <c r="A1675" i="2" s="1"/>
  <c r="C1679" i="7"/>
  <c r="A1679" i="7" s="1"/>
  <c r="A1679" i="2" s="1"/>
  <c r="C1683" i="7"/>
  <c r="A1683" i="7" s="1"/>
  <c r="A1683" i="2" s="1"/>
  <c r="C1687" i="7"/>
  <c r="A1687" i="7" s="1"/>
  <c r="A1687" i="2" s="1"/>
  <c r="C1691" i="7"/>
  <c r="A1691" i="7" s="1"/>
  <c r="A1691" i="2" s="1"/>
  <c r="C1732" i="7"/>
  <c r="A1732" i="7" s="1"/>
  <c r="A1732" i="2" s="1"/>
  <c r="D1732" i="7"/>
  <c r="A1752" i="7"/>
  <c r="A1752" i="2" s="1"/>
  <c r="A1676" i="7"/>
  <c r="A1676" i="2" s="1"/>
  <c r="A1680" i="7"/>
  <c r="A1680" i="2" s="1"/>
  <c r="A1684" i="7"/>
  <c r="A1684" i="2" s="1"/>
  <c r="A1688" i="7"/>
  <c r="A1688" i="2" s="1"/>
  <c r="A1709" i="7"/>
  <c r="A1709" i="2" s="1"/>
  <c r="D1713" i="7"/>
  <c r="C1713" i="7"/>
  <c r="C1748" i="7"/>
  <c r="A1748" i="7" s="1"/>
  <c r="A1748" i="2" s="1"/>
  <c r="D1748" i="7"/>
  <c r="D1753" i="7"/>
  <c r="C1753" i="7"/>
  <c r="A1757" i="7"/>
  <c r="A1757" i="2" s="1"/>
  <c r="C1653" i="7"/>
  <c r="A1653" i="7" s="1"/>
  <c r="A1653" i="2" s="1"/>
  <c r="D1656" i="7"/>
  <c r="D1660" i="7"/>
  <c r="A1660" i="7" s="1"/>
  <c r="A1660" i="2" s="1"/>
  <c r="D1664" i="7"/>
  <c r="A1664" i="7" s="1"/>
  <c r="A1664" i="2" s="1"/>
  <c r="D1668" i="7"/>
  <c r="A1668" i="7" s="1"/>
  <c r="A1668" i="2" s="1"/>
  <c r="D1672" i="7"/>
  <c r="A1672" i="7" s="1"/>
  <c r="A1672" i="2" s="1"/>
  <c r="D1676" i="7"/>
  <c r="D1680" i="7"/>
  <c r="D1684" i="7"/>
  <c r="D1688" i="7"/>
  <c r="D1692" i="7"/>
  <c r="A1692" i="7" s="1"/>
  <c r="A1692" i="2" s="1"/>
  <c r="A1696" i="7"/>
  <c r="A1696" i="2" s="1"/>
  <c r="A1710" i="7"/>
  <c r="A1710" i="2" s="1"/>
  <c r="A1718" i="7"/>
  <c r="A1718" i="2" s="1"/>
  <c r="A1725" i="7"/>
  <c r="A1725" i="2" s="1"/>
  <c r="D1729" i="7"/>
  <c r="C1729" i="7"/>
  <c r="A1749" i="7"/>
  <c r="A1749" i="2" s="1"/>
  <c r="C1803" i="7"/>
  <c r="A1803" i="7" s="1"/>
  <c r="A1803" i="2" s="1"/>
  <c r="D1803" i="7"/>
  <c r="C1816" i="7"/>
  <c r="A1816" i="7" s="1"/>
  <c r="A1816" i="2" s="1"/>
  <c r="D1816" i="7"/>
  <c r="A1832" i="7"/>
  <c r="A1832" i="2" s="1"/>
  <c r="D1839" i="7"/>
  <c r="C1839" i="7"/>
  <c r="D1845" i="7"/>
  <c r="C1845" i="7"/>
  <c r="D1852" i="7"/>
  <c r="C1852" i="7"/>
  <c r="D1858" i="7"/>
  <c r="C1858" i="7"/>
  <c r="D1871" i="7"/>
  <c r="C1871" i="7"/>
  <c r="D1877" i="7"/>
  <c r="C1877" i="7"/>
  <c r="D1884" i="7"/>
  <c r="C1884" i="7"/>
  <c r="D1890" i="7"/>
  <c r="C1890" i="7"/>
  <c r="D1916" i="7"/>
  <c r="C1916" i="7"/>
  <c r="D1922" i="7"/>
  <c r="C1922" i="7"/>
  <c r="D1948" i="7"/>
  <c r="C1948" i="7"/>
  <c r="A1756" i="7"/>
  <c r="A1756" i="2" s="1"/>
  <c r="A1764" i="7"/>
  <c r="A1764" i="2" s="1"/>
  <c r="A1772" i="7"/>
  <c r="A1772" i="2" s="1"/>
  <c r="A1778" i="7"/>
  <c r="A1778" i="2" s="1"/>
  <c r="A1794" i="7"/>
  <c r="A1794" i="2" s="1"/>
  <c r="A1810" i="7"/>
  <c r="A1810" i="2" s="1"/>
  <c r="A1826" i="7"/>
  <c r="A1826" i="2" s="1"/>
  <c r="D1840" i="7"/>
  <c r="C1840" i="7"/>
  <c r="A1840" i="7" s="1"/>
  <c r="D1846" i="7"/>
  <c r="C1846" i="7"/>
  <c r="D1859" i="7"/>
  <c r="C1859" i="7"/>
  <c r="A1859" i="7" s="1"/>
  <c r="A1859" i="2" s="1"/>
  <c r="D1865" i="7"/>
  <c r="C1865" i="7"/>
  <c r="A1865" i="7" s="1"/>
  <c r="A1865" i="2" s="1"/>
  <c r="D1872" i="7"/>
  <c r="C1872" i="7"/>
  <c r="A1872" i="7" s="1"/>
  <c r="A1872" i="2" s="1"/>
  <c r="D1878" i="7"/>
  <c r="C1878" i="7"/>
  <c r="D1891" i="7"/>
  <c r="C1891" i="7"/>
  <c r="A1891" i="7" s="1"/>
  <c r="A1891" i="2" s="1"/>
  <c r="D1904" i="7"/>
  <c r="C1904" i="7"/>
  <c r="A1904" i="7" s="1"/>
  <c r="A1904" i="2" s="1"/>
  <c r="D1910" i="7"/>
  <c r="C1910" i="7"/>
  <c r="A1910" i="7" s="1"/>
  <c r="A1910" i="2" s="1"/>
  <c r="D1936" i="7"/>
  <c r="C1936" i="7"/>
  <c r="A1788" i="7"/>
  <c r="A1788" i="2" s="1"/>
  <c r="A1804" i="7"/>
  <c r="A1804" i="2" s="1"/>
  <c r="A1820" i="7"/>
  <c r="A1820" i="2" s="1"/>
  <c r="D1836" i="7"/>
  <c r="C1836" i="7"/>
  <c r="D1847" i="7"/>
  <c r="C1847" i="7"/>
  <c r="D1853" i="7"/>
  <c r="C1853" i="7"/>
  <c r="D1860" i="7"/>
  <c r="C1860" i="7"/>
  <c r="D1866" i="7"/>
  <c r="C1866" i="7"/>
  <c r="D1879" i="7"/>
  <c r="C1879" i="7"/>
  <c r="D1885" i="7"/>
  <c r="C1885" i="7"/>
  <c r="D1892" i="7"/>
  <c r="C1892" i="7"/>
  <c r="D1898" i="7"/>
  <c r="C1898" i="7"/>
  <c r="D1924" i="7"/>
  <c r="C1924" i="7"/>
  <c r="D1956" i="7"/>
  <c r="C1956" i="7"/>
  <c r="A1754" i="7"/>
  <c r="A1754" i="2" s="1"/>
  <c r="A1770" i="7"/>
  <c r="A1770" i="2" s="1"/>
  <c r="D1804" i="7"/>
  <c r="A1814" i="7"/>
  <c r="A1814" i="2" s="1"/>
  <c r="D1820" i="7"/>
  <c r="D1823" i="7"/>
  <c r="A1823" i="7" s="1"/>
  <c r="A1823" i="2" s="1"/>
  <c r="A1830" i="7"/>
  <c r="A1830" i="2" s="1"/>
  <c r="D1841" i="7"/>
  <c r="C1841" i="7"/>
  <c r="D1848" i="7"/>
  <c r="C1848" i="7"/>
  <c r="D1854" i="7"/>
  <c r="C1854" i="7"/>
  <c r="D1867" i="7"/>
  <c r="C1867" i="7"/>
  <c r="D1873" i="7"/>
  <c r="C1873" i="7"/>
  <c r="D1880" i="7"/>
  <c r="C1880" i="7"/>
  <c r="D1886" i="7"/>
  <c r="C1886" i="7"/>
  <c r="D1912" i="7"/>
  <c r="C1912" i="7"/>
  <c r="D1918" i="7"/>
  <c r="C1918" i="7"/>
  <c r="D1944" i="7"/>
  <c r="C1944" i="7"/>
  <c r="D1710" i="7"/>
  <c r="D1726" i="7"/>
  <c r="D1742" i="7"/>
  <c r="A1742" i="7" s="1"/>
  <c r="A1742" i="2" s="1"/>
  <c r="D1754" i="7"/>
  <c r="D1762" i="7"/>
  <c r="A1762" i="7" s="1"/>
  <c r="A1762" i="2" s="1"/>
  <c r="D1770" i="7"/>
  <c r="A1776" i="7"/>
  <c r="A1776" i="2" s="1"/>
  <c r="D1782" i="7"/>
  <c r="A1782" i="7" s="1"/>
  <c r="A1782" i="2" s="1"/>
  <c r="D1785" i="7"/>
  <c r="A1792" i="7"/>
  <c r="A1792" i="2" s="1"/>
  <c r="D1798" i="7"/>
  <c r="A1798" i="7" s="1"/>
  <c r="A1798" i="2" s="1"/>
  <c r="D1801" i="7"/>
  <c r="A1801" i="7" s="1"/>
  <c r="A1801" i="2" s="1"/>
  <c r="A1808" i="7"/>
  <c r="A1808" i="2" s="1"/>
  <c r="D1814" i="7"/>
  <c r="D1817" i="7"/>
  <c r="A1817" i="7" s="1"/>
  <c r="A1817" i="2" s="1"/>
  <c r="A1824" i="7"/>
  <c r="A1824" i="2" s="1"/>
  <c r="D1830" i="7"/>
  <c r="D1833" i="7"/>
  <c r="A1833" i="7" s="1"/>
  <c r="A1833" i="2" s="1"/>
  <c r="D1837" i="7"/>
  <c r="C1837" i="7"/>
  <c r="D1842" i="7"/>
  <c r="C1842" i="7"/>
  <c r="D1855" i="7"/>
  <c r="C1855" i="7"/>
  <c r="D1861" i="7"/>
  <c r="C1861" i="7"/>
  <c r="D1868" i="7"/>
  <c r="C1868" i="7"/>
  <c r="D1874" i="7"/>
  <c r="C1874" i="7"/>
  <c r="D1887" i="7"/>
  <c r="C1887" i="7"/>
  <c r="D1900" i="7"/>
  <c r="C1900" i="7"/>
  <c r="D1906" i="7"/>
  <c r="C1906" i="7"/>
  <c r="D1932" i="7"/>
  <c r="C1932" i="7"/>
  <c r="A1760" i="7"/>
  <c r="A1760" i="2" s="1"/>
  <c r="A1834" i="7"/>
  <c r="A1834" i="2" s="1"/>
  <c r="D1843" i="7"/>
  <c r="C1843" i="7"/>
  <c r="D1849" i="7"/>
  <c r="C1849" i="7"/>
  <c r="D1856" i="7"/>
  <c r="C1856" i="7"/>
  <c r="D1862" i="7"/>
  <c r="C1862" i="7"/>
  <c r="D1875" i="7"/>
  <c r="C1875" i="7"/>
  <c r="D1881" i="7"/>
  <c r="C1881" i="7"/>
  <c r="D1888" i="7"/>
  <c r="C1888" i="7"/>
  <c r="D1894" i="7"/>
  <c r="C1894" i="7"/>
  <c r="D1920" i="7"/>
  <c r="C1920" i="7"/>
  <c r="D1952" i="7"/>
  <c r="C1952" i="7"/>
  <c r="D1752" i="7"/>
  <c r="D1760" i="7"/>
  <c r="D1768" i="7"/>
  <c r="A1768" i="7" s="1"/>
  <c r="A1768" i="2" s="1"/>
  <c r="A1780" i="7"/>
  <c r="A1780" i="2" s="1"/>
  <c r="D1786" i="7"/>
  <c r="A1786" i="7" s="1"/>
  <c r="A1786" i="2" s="1"/>
  <c r="D1789" i="7"/>
  <c r="A1789" i="7" s="1"/>
  <c r="A1789" i="2" s="1"/>
  <c r="A1796" i="7"/>
  <c r="A1796" i="2" s="1"/>
  <c r="D1802" i="7"/>
  <c r="A1802" i="7" s="1"/>
  <c r="A1802" i="2" s="1"/>
  <c r="D1805" i="7"/>
  <c r="A1812" i="7"/>
  <c r="A1812" i="2" s="1"/>
  <c r="D1818" i="7"/>
  <c r="A1818" i="7" s="1"/>
  <c r="A1818" i="2" s="1"/>
  <c r="D1821" i="7"/>
  <c r="A1828" i="7"/>
  <c r="A1828" i="2" s="1"/>
  <c r="D1834" i="7"/>
  <c r="D1844" i="7"/>
  <c r="C1844" i="7"/>
  <c r="D1850" i="7"/>
  <c r="C1850" i="7"/>
  <c r="D1863" i="7"/>
  <c r="C1863" i="7"/>
  <c r="D1869" i="7"/>
  <c r="C1869" i="7"/>
  <c r="D1876" i="7"/>
  <c r="C1876" i="7"/>
  <c r="D1882" i="7"/>
  <c r="C1882" i="7"/>
  <c r="D1895" i="7"/>
  <c r="C1895" i="7"/>
  <c r="D1908" i="7"/>
  <c r="C1908" i="7"/>
  <c r="D1914" i="7"/>
  <c r="C1914" i="7"/>
  <c r="D1940" i="7"/>
  <c r="C1940" i="7"/>
  <c r="A1758" i="7"/>
  <c r="A1758" i="2" s="1"/>
  <c r="A1766" i="7"/>
  <c r="A1766" i="2" s="1"/>
  <c r="A1774" i="7"/>
  <c r="A1774" i="2" s="1"/>
  <c r="A1790" i="7"/>
  <c r="A1790" i="2" s="1"/>
  <c r="A1806" i="7"/>
  <c r="A1806" i="2" s="1"/>
  <c r="A1822" i="7"/>
  <c r="A1822" i="2" s="1"/>
  <c r="D1828" i="7"/>
  <c r="D1831" i="7"/>
  <c r="A1831" i="7" s="1"/>
  <c r="A1831" i="2" s="1"/>
  <c r="D1851" i="7"/>
  <c r="C1851" i="7"/>
  <c r="D1857" i="7"/>
  <c r="C1857" i="7"/>
  <c r="D1864" i="7"/>
  <c r="C1864" i="7"/>
  <c r="D1870" i="7"/>
  <c r="C1870" i="7"/>
  <c r="D1883" i="7"/>
  <c r="C1883" i="7"/>
  <c r="D1889" i="7"/>
  <c r="C1889" i="7"/>
  <c r="D1896" i="7"/>
  <c r="C1896" i="7"/>
  <c r="D1902" i="7"/>
  <c r="C1902" i="7"/>
  <c r="D1928" i="7"/>
  <c r="C1928" i="7"/>
  <c r="D1893" i="7"/>
  <c r="C1893" i="7"/>
  <c r="D1897" i="7"/>
  <c r="C1897" i="7"/>
  <c r="D1901" i="7"/>
  <c r="C1901" i="7"/>
  <c r="D1905" i="7"/>
  <c r="C1905" i="7"/>
  <c r="D1909" i="7"/>
  <c r="C1909" i="7"/>
  <c r="D1913" i="7"/>
  <c r="C1913" i="7"/>
  <c r="D1917" i="7"/>
  <c r="C1917" i="7"/>
  <c r="D1921" i="7"/>
  <c r="C1921" i="7"/>
  <c r="D1925" i="7"/>
  <c r="C1925" i="7"/>
  <c r="D1929" i="7"/>
  <c r="C1929" i="7"/>
  <c r="D1933" i="7"/>
  <c r="C1933" i="7"/>
  <c r="D1937" i="7"/>
  <c r="C1937" i="7"/>
  <c r="D1941" i="7"/>
  <c r="C1941" i="7"/>
  <c r="D1945" i="7"/>
  <c r="C1945" i="7"/>
  <c r="D1949" i="7"/>
  <c r="C1949" i="7"/>
  <c r="D1953" i="7"/>
  <c r="C1953" i="7"/>
  <c r="D1957" i="7"/>
  <c r="C1957" i="7"/>
  <c r="D1961" i="7"/>
  <c r="C1961" i="7"/>
  <c r="D1965" i="7"/>
  <c r="C1965" i="7"/>
  <c r="D1969" i="7"/>
  <c r="C1969" i="7"/>
  <c r="D1973" i="7"/>
  <c r="C1973" i="7"/>
  <c r="D1977" i="7"/>
  <c r="C1977" i="7"/>
  <c r="D1981" i="7"/>
  <c r="C1981" i="7"/>
  <c r="D1985" i="7"/>
  <c r="C1985" i="7"/>
  <c r="D1989" i="7"/>
  <c r="C1989" i="7"/>
  <c r="D1993" i="7"/>
  <c r="C1993" i="7"/>
  <c r="D1997" i="7"/>
  <c r="C1997" i="7"/>
  <c r="D2001" i="7"/>
  <c r="C2001" i="7"/>
  <c r="D1926" i="7"/>
  <c r="C1926" i="7"/>
  <c r="D1930" i="7"/>
  <c r="C1930" i="7"/>
  <c r="D1934" i="7"/>
  <c r="C1934" i="7"/>
  <c r="D1938" i="7"/>
  <c r="C1938" i="7"/>
  <c r="D1942" i="7"/>
  <c r="C1942" i="7"/>
  <c r="D1946" i="7"/>
  <c r="C1946" i="7"/>
  <c r="D1950" i="7"/>
  <c r="C1950" i="7"/>
  <c r="D1954" i="7"/>
  <c r="C1954" i="7"/>
  <c r="D1958" i="7"/>
  <c r="C1958" i="7"/>
  <c r="D1962" i="7"/>
  <c r="C1962" i="7"/>
  <c r="D1966" i="7"/>
  <c r="C1966" i="7"/>
  <c r="D1970" i="7"/>
  <c r="C1970" i="7"/>
  <c r="D1974" i="7"/>
  <c r="C1974" i="7"/>
  <c r="D1978" i="7"/>
  <c r="C1978" i="7"/>
  <c r="D1982" i="7"/>
  <c r="C1982" i="7"/>
  <c r="D1986" i="7"/>
  <c r="C1986" i="7"/>
  <c r="D1990" i="7"/>
  <c r="C1990" i="7"/>
  <c r="D1994" i="7"/>
  <c r="C1994" i="7"/>
  <c r="D1998" i="7"/>
  <c r="C1998" i="7"/>
  <c r="D2002" i="7"/>
  <c r="C2002" i="7"/>
  <c r="D1899" i="7"/>
  <c r="C1899" i="7"/>
  <c r="D1903" i="7"/>
  <c r="C1903" i="7"/>
  <c r="D1907" i="7"/>
  <c r="C1907" i="7"/>
  <c r="D1911" i="7"/>
  <c r="C1911" i="7"/>
  <c r="D1915" i="7"/>
  <c r="C1915" i="7"/>
  <c r="D1919" i="7"/>
  <c r="C1919" i="7"/>
  <c r="D1923" i="7"/>
  <c r="C1923" i="7"/>
  <c r="D1927" i="7"/>
  <c r="C1927" i="7"/>
  <c r="D1931" i="7"/>
  <c r="C1931" i="7"/>
  <c r="D1935" i="7"/>
  <c r="C1935" i="7"/>
  <c r="D1939" i="7"/>
  <c r="C1939" i="7"/>
  <c r="D1943" i="7"/>
  <c r="C1943" i="7"/>
  <c r="D1947" i="7"/>
  <c r="C1947" i="7"/>
  <c r="D1951" i="7"/>
  <c r="C1951" i="7"/>
  <c r="D1955" i="7"/>
  <c r="C1955" i="7"/>
  <c r="D1959" i="7"/>
  <c r="C1959" i="7"/>
  <c r="D1963" i="7"/>
  <c r="C1963" i="7"/>
  <c r="D1967" i="7"/>
  <c r="C1967" i="7"/>
  <c r="D1971" i="7"/>
  <c r="C1971" i="7"/>
  <c r="D1975" i="7"/>
  <c r="C1975" i="7"/>
  <c r="D1979" i="7"/>
  <c r="C1979" i="7"/>
  <c r="D1983" i="7"/>
  <c r="C1983" i="7"/>
  <c r="D1987" i="7"/>
  <c r="C1987" i="7"/>
  <c r="D1991" i="7"/>
  <c r="C1991" i="7"/>
  <c r="D1995" i="7"/>
  <c r="C1995" i="7"/>
  <c r="D1999" i="7"/>
  <c r="C1999" i="7"/>
  <c r="D2003" i="7"/>
  <c r="C2003" i="7"/>
  <c r="D1960" i="7"/>
  <c r="C1960" i="7"/>
  <c r="D1964" i="7"/>
  <c r="C1964" i="7"/>
  <c r="D1968" i="7"/>
  <c r="C1968" i="7"/>
  <c r="D1972" i="7"/>
  <c r="C1972" i="7"/>
  <c r="D1976" i="7"/>
  <c r="C1976" i="7"/>
  <c r="D1980" i="7"/>
  <c r="C1980" i="7"/>
  <c r="D1984" i="7"/>
  <c r="C1984" i="7"/>
  <c r="D1988" i="7"/>
  <c r="C1988" i="7"/>
  <c r="D1992" i="7"/>
  <c r="C1992" i="7"/>
  <c r="D1996" i="7"/>
  <c r="C1996" i="7"/>
  <c r="D2000" i="7"/>
  <c r="C2000" i="7"/>
  <c r="C2004" i="7"/>
  <c r="A2004" i="7" s="1"/>
  <c r="A2004" i="2" s="1"/>
  <c r="C2005" i="7"/>
  <c r="A2005" i="7" s="1"/>
  <c r="A2005" i="2" s="1"/>
  <c r="A10" i="5" l="1"/>
  <c r="A10" i="1" s="1"/>
  <c r="E4" i="5"/>
  <c r="E4" i="1" s="1"/>
  <c r="Q4" i="5"/>
  <c r="Q4" i="1" s="1"/>
  <c r="L4" i="5"/>
  <c r="L4" i="1" s="1"/>
  <c r="A7" i="5"/>
  <c r="A7" i="1" s="1"/>
  <c r="M4" i="5"/>
  <c r="M4" i="1" s="1"/>
  <c r="A1992" i="7"/>
  <c r="A1992" i="2" s="1"/>
  <c r="A1976" i="7"/>
  <c r="A1976" i="2" s="1"/>
  <c r="A1960" i="7"/>
  <c r="A1960" i="2" s="1"/>
  <c r="A1991" i="7"/>
  <c r="A1991" i="2" s="1"/>
  <c r="A1975" i="7"/>
  <c r="A1975" i="2" s="1"/>
  <c r="A1959" i="7"/>
  <c r="A1959" i="2" s="1"/>
  <c r="A1943" i="7"/>
  <c r="A1943" i="2" s="1"/>
  <c r="A1927" i="7"/>
  <c r="A1927" i="2" s="1"/>
  <c r="A1911" i="7"/>
  <c r="A1911" i="2" s="1"/>
  <c r="A2002" i="7"/>
  <c r="A2002" i="2" s="1"/>
  <c r="A1986" i="7"/>
  <c r="A1986" i="2" s="1"/>
  <c r="A1970" i="7"/>
  <c r="A1970" i="2" s="1"/>
  <c r="A1954" i="7"/>
  <c r="A1954" i="2" s="1"/>
  <c r="A1938" i="7"/>
  <c r="A1938" i="2" s="1"/>
  <c r="A2001" i="7"/>
  <c r="A2001" i="2" s="1"/>
  <c r="A1985" i="7"/>
  <c r="A1985" i="2" s="1"/>
  <c r="A1969" i="7"/>
  <c r="A1969" i="2" s="1"/>
  <c r="A1953" i="7"/>
  <c r="A1953" i="2" s="1"/>
  <c r="A1937" i="7"/>
  <c r="A1937" i="2" s="1"/>
  <c r="A1921" i="7"/>
  <c r="A1921" i="2" s="1"/>
  <c r="A1905" i="7"/>
  <c r="A1905" i="2" s="1"/>
  <c r="A1928" i="7"/>
  <c r="A1928" i="2" s="1"/>
  <c r="A1883" i="7"/>
  <c r="A1883" i="2" s="1"/>
  <c r="A1851" i="7"/>
  <c r="A1851" i="2" s="1"/>
  <c r="A1895" i="7"/>
  <c r="A1895" i="2" s="1"/>
  <c r="A1863" i="7"/>
  <c r="A1863" i="2" s="1"/>
  <c r="A1894" i="7"/>
  <c r="A1894" i="2" s="1"/>
  <c r="A1862" i="7"/>
  <c r="A1862" i="2" s="1"/>
  <c r="A1906" i="7"/>
  <c r="A1906" i="2" s="1"/>
  <c r="A1868" i="7"/>
  <c r="A1868" i="2" s="1"/>
  <c r="A1837" i="7"/>
  <c r="A1837" i="2" s="1"/>
  <c r="A1912" i="7"/>
  <c r="A1912" i="2" s="1"/>
  <c r="A1867" i="7"/>
  <c r="A1867" i="2" s="1"/>
  <c r="A1892" i="7"/>
  <c r="A1892" i="2" s="1"/>
  <c r="A1860" i="7"/>
  <c r="A1860" i="2" s="1"/>
  <c r="A1922" i="7"/>
  <c r="A1922" i="2" s="1"/>
  <c r="A1877" i="7"/>
  <c r="A1877" i="2" s="1"/>
  <c r="A1845" i="7"/>
  <c r="A1845" i="2" s="1"/>
  <c r="A1669" i="7"/>
  <c r="A1669" i="2" s="1"/>
  <c r="A1673" i="7"/>
  <c r="A1673" i="2" s="1"/>
  <c r="A1784" i="7"/>
  <c r="A1784" i="2" s="1"/>
  <c r="A1450" i="7"/>
  <c r="A1450" i="2" s="1"/>
  <c r="A1418" i="7"/>
  <c r="A1418" i="2" s="1"/>
  <c r="A1386" i="7"/>
  <c r="A1386" i="2" s="1"/>
  <c r="A1457" i="7"/>
  <c r="A1457" i="2" s="1"/>
  <c r="A1425" i="7"/>
  <c r="A1425" i="2" s="1"/>
  <c r="A1393" i="7"/>
  <c r="A1393" i="2" s="1"/>
  <c r="A1320" i="7"/>
  <c r="A1320" i="2" s="1"/>
  <c r="A1446" i="7"/>
  <c r="A1446" i="2" s="1"/>
  <c r="A1414" i="7"/>
  <c r="A1414" i="2" s="1"/>
  <c r="A1382" i="7"/>
  <c r="A1382" i="2" s="1"/>
  <c r="A1144" i="7"/>
  <c r="A1144" i="2" s="1"/>
  <c r="A1150" i="7"/>
  <c r="A1150" i="2" s="1"/>
  <c r="A1114" i="7"/>
  <c r="A1114" i="2" s="1"/>
  <c r="A949" i="7"/>
  <c r="A949" i="2" s="1"/>
  <c r="A1135" i="7"/>
  <c r="A1135" i="2" s="1"/>
  <c r="A923" i="7"/>
  <c r="A929" i="7"/>
  <c r="A929" i="2" s="1"/>
  <c r="A983" i="7"/>
  <c r="A983" i="2" s="1"/>
  <c r="A953" i="7"/>
  <c r="A953" i="2" s="1"/>
  <c r="A1103" i="7"/>
  <c r="A1103" i="2" s="1"/>
  <c r="A944" i="7"/>
  <c r="A944" i="2" s="1"/>
  <c r="A845" i="7"/>
  <c r="A845" i="2" s="1"/>
  <c r="A963" i="7"/>
  <c r="A915" i="7"/>
  <c r="A777" i="7"/>
  <c r="A777" i="2" s="1"/>
  <c r="A647" i="7"/>
  <c r="A647" i="2" s="1"/>
  <c r="A601" i="7"/>
  <c r="A601" i="2" s="1"/>
  <c r="A465" i="7"/>
  <c r="A465" i="2" s="1"/>
  <c r="A460" i="7"/>
  <c r="A460" i="2" s="1"/>
  <c r="A697" i="7"/>
  <c r="A697" i="2" s="1"/>
  <c r="A427" i="7"/>
  <c r="A427" i="2" s="1"/>
  <c r="A337" i="7"/>
  <c r="A337" i="2" s="1"/>
  <c r="A710" i="7"/>
  <c r="A710" i="2" s="1"/>
  <c r="A521" i="7"/>
  <c r="A521" i="2" s="1"/>
  <c r="A369" i="7"/>
  <c r="A369" i="2" s="1"/>
  <c r="A335" i="7"/>
  <c r="A335" i="2" s="1"/>
  <c r="A554" i="7"/>
  <c r="A554" i="2" s="1"/>
  <c r="A420" i="7"/>
  <c r="A420" i="2" s="1"/>
  <c r="A343" i="7"/>
  <c r="A343" i="2" s="1"/>
  <c r="C4" i="7"/>
  <c r="A755" i="2"/>
  <c r="A1227" i="2"/>
  <c r="A386" i="2"/>
  <c r="A851" i="2"/>
  <c r="A1923" i="5"/>
  <c r="A1923" i="1" s="1"/>
  <c r="A1998" i="5"/>
  <c r="A1998" i="1" s="1"/>
  <c r="A1831" i="5"/>
  <c r="A1786" i="5"/>
  <c r="A1984" i="5"/>
  <c r="A1984" i="1" s="1"/>
  <c r="A1975" i="5"/>
  <c r="A1975" i="1" s="1"/>
  <c r="A1839" i="5"/>
  <c r="A1921" i="5"/>
  <c r="A1921" i="1" s="1"/>
  <c r="A1795" i="5"/>
  <c r="A1795" i="1" s="1"/>
  <c r="A1916" i="5"/>
  <c r="A1916" i="1" s="1"/>
  <c r="A1762" i="5"/>
  <c r="A1734" i="5"/>
  <c r="A1734" i="1" s="1"/>
  <c r="A1745" i="5"/>
  <c r="A1745" i="1" s="1"/>
  <c r="A1946" i="5"/>
  <c r="A1770" i="5"/>
  <c r="A1724" i="5"/>
  <c r="A1724" i="1" s="1"/>
  <c r="A1744" i="5"/>
  <c r="A1744" i="1" s="1"/>
  <c r="A1756" i="5"/>
  <c r="A1756" i="1" s="1"/>
  <c r="A1627" i="5"/>
  <c r="A1627" i="1" s="1"/>
  <c r="A1556" i="5"/>
  <c r="A1556" i="1" s="1"/>
  <c r="A1685" i="5"/>
  <c r="A1685" i="1" s="1"/>
  <c r="A1581" i="5"/>
  <c r="A1581" i="1" s="1"/>
  <c r="A1712" i="5"/>
  <c r="A1712" i="1" s="1"/>
  <c r="A1647" i="5"/>
  <c r="A1545" i="5"/>
  <c r="A1545" i="1" s="1"/>
  <c r="A1538" i="5"/>
  <c r="A1513" i="5"/>
  <c r="A1506" i="5"/>
  <c r="A1481" i="5"/>
  <c r="A1473" i="5"/>
  <c r="A1465" i="5"/>
  <c r="A1465" i="1" s="1"/>
  <c r="A1457" i="5"/>
  <c r="A1457" i="1" s="1"/>
  <c r="A1826" i="5"/>
  <c r="A1704" i="5"/>
  <c r="A1704" i="1" s="1"/>
  <c r="A1601" i="5"/>
  <c r="A1601" i="1" s="1"/>
  <c r="A1568" i="5"/>
  <c r="A1568" i="1" s="1"/>
  <c r="A1488" i="5"/>
  <c r="A1488" i="1" s="1"/>
  <c r="A1705" i="5"/>
  <c r="A1705" i="1" s="1"/>
  <c r="A1580" i="5"/>
  <c r="A1580" i="1" s="1"/>
  <c r="A1366" i="5"/>
  <c r="A1366" i="1" s="1"/>
  <c r="A1357" i="5"/>
  <c r="A1357" i="1" s="1"/>
  <c r="A1302" i="5"/>
  <c r="A1302" i="1" s="1"/>
  <c r="A1293" i="5"/>
  <c r="A1293" i="1" s="1"/>
  <c r="A1527" i="5"/>
  <c r="A1495" i="5"/>
  <c r="A1551" i="5"/>
  <c r="A1464" i="5"/>
  <c r="A1464" i="1" s="1"/>
  <c r="A1388" i="5"/>
  <c r="A1388" i="1" s="1"/>
  <c r="A1324" i="5"/>
  <c r="A1324" i="1" s="1"/>
  <c r="A1503" i="5"/>
  <c r="A1122" i="5"/>
  <c r="A1122" i="1" s="1"/>
  <c r="A1090" i="5"/>
  <c r="A1090" i="1" s="1"/>
  <c r="A1292" i="5"/>
  <c r="A1292" i="1" s="1"/>
  <c r="A1543" i="5"/>
  <c r="A1394" i="5"/>
  <c r="A1394" i="1" s="1"/>
  <c r="A1322" i="5"/>
  <c r="A1322" i="1" s="1"/>
  <c r="A1559" i="5"/>
  <c r="A1109" i="5"/>
  <c r="A1109" i="1" s="1"/>
  <c r="A1094" i="5"/>
  <c r="A1094" i="1" s="1"/>
  <c r="A1077" i="5"/>
  <c r="A1077" i="1" s="1"/>
  <c r="A992" i="5"/>
  <c r="A992" i="1" s="1"/>
  <c r="A928" i="5"/>
  <c r="A928" i="1" s="1"/>
  <c r="A864" i="5"/>
  <c r="A864" i="1" s="1"/>
  <c r="A800" i="5"/>
  <c r="A800" i="1" s="1"/>
  <c r="A1046" i="5"/>
  <c r="A1046" i="1" s="1"/>
  <c r="A998" i="5"/>
  <c r="A998" i="1" s="1"/>
  <c r="A934" i="5"/>
  <c r="A934" i="1" s="1"/>
  <c r="A870" i="5"/>
  <c r="A870" i="1" s="1"/>
  <c r="A806" i="5"/>
  <c r="A806" i="1" s="1"/>
  <c r="A790" i="5"/>
  <c r="A790" i="1" s="1"/>
  <c r="A1156" i="5"/>
  <c r="A1156" i="1" s="1"/>
  <c r="A1108" i="5"/>
  <c r="A1108" i="1" s="1"/>
  <c r="A1058" i="5"/>
  <c r="A1058" i="1" s="1"/>
  <c r="A780" i="5"/>
  <c r="A780" i="1" s="1"/>
  <c r="A720" i="5"/>
  <c r="A720" i="1" s="1"/>
  <c r="A939" i="5"/>
  <c r="A939" i="1" s="1"/>
  <c r="A875" i="5"/>
  <c r="A875" i="1" s="1"/>
  <c r="A811" i="5"/>
  <c r="A811" i="1" s="1"/>
  <c r="A772" i="5"/>
  <c r="A772" i="1" s="1"/>
  <c r="A763" i="5"/>
  <c r="A763" i="1" s="1"/>
  <c r="A1053" i="5"/>
  <c r="A1053" i="1" s="1"/>
  <c r="A1011" i="5"/>
  <c r="A1011" i="1" s="1"/>
  <c r="A792" i="5"/>
  <c r="A792" i="1" s="1"/>
  <c r="A688" i="5"/>
  <c r="A688" i="1" s="1"/>
  <c r="A624" i="5"/>
  <c r="A624" i="1" s="1"/>
  <c r="A560" i="5"/>
  <c r="A560" i="1" s="1"/>
  <c r="A203" i="5"/>
  <c r="A203" i="1" s="1"/>
  <c r="A543" i="5"/>
  <c r="A543" i="1" s="1"/>
  <c r="A511" i="5"/>
  <c r="A511" i="1" s="1"/>
  <c r="A456" i="5"/>
  <c r="A456" i="1" s="1"/>
  <c r="A414" i="5"/>
  <c r="A414" i="1" s="1"/>
  <c r="A384" i="5"/>
  <c r="A384" i="1" s="1"/>
  <c r="A350" i="5"/>
  <c r="A350" i="1" s="1"/>
  <c r="A320" i="5"/>
  <c r="A320" i="1" s="1"/>
  <c r="A286" i="5"/>
  <c r="A286" i="1" s="1"/>
  <c r="A256" i="5"/>
  <c r="A256" i="1" s="1"/>
  <c r="A206" i="5"/>
  <c r="A206" i="1" s="1"/>
  <c r="A496" i="5"/>
  <c r="A496" i="1" s="1"/>
  <c r="A341" i="5"/>
  <c r="A341" i="1" s="1"/>
  <c r="A216" i="5"/>
  <c r="A216" i="1" s="1"/>
  <c r="A151" i="5"/>
  <c r="A151" i="1" s="1"/>
  <c r="A110" i="5"/>
  <c r="A110" i="1" s="1"/>
  <c r="A78" i="5"/>
  <c r="A78" i="1" s="1"/>
  <c r="A62" i="5"/>
  <c r="A62" i="1" s="1"/>
  <c r="A46" i="5"/>
  <c r="A46" i="1" s="1"/>
  <c r="A30" i="5"/>
  <c r="A30" i="1" s="1"/>
  <c r="A14" i="5"/>
  <c r="A14" i="1" s="1"/>
  <c r="A457" i="5"/>
  <c r="A457" i="1" s="1"/>
  <c r="A129" i="5"/>
  <c r="A129" i="1" s="1"/>
  <c r="A124" i="5"/>
  <c r="A124" i="1" s="1"/>
  <c r="A97" i="5"/>
  <c r="A97" i="1" s="1"/>
  <c r="A92" i="5"/>
  <c r="A92" i="1" s="1"/>
  <c r="A76" i="5"/>
  <c r="A76" i="1" s="1"/>
  <c r="A65" i="5"/>
  <c r="A65" i="1" s="1"/>
  <c r="A12" i="5"/>
  <c r="A12" i="1" s="1"/>
  <c r="R4" i="5"/>
  <c r="R4" i="1" s="1"/>
  <c r="A325" i="5"/>
  <c r="A325" i="1" s="1"/>
  <c r="A508" i="5"/>
  <c r="A508" i="1" s="1"/>
  <c r="A82" i="5"/>
  <c r="A82" i="1" s="1"/>
  <c r="A18" i="5"/>
  <c r="A18" i="1" s="1"/>
  <c r="P4" i="5"/>
  <c r="P4" i="1" s="1"/>
  <c r="A144" i="5"/>
  <c r="A144" i="1" s="1"/>
  <c r="F4" i="5"/>
  <c r="F4" i="1" s="1"/>
  <c r="A1630" i="1"/>
  <c r="A1566" i="1"/>
  <c r="A1502" i="1"/>
  <c r="A1799" i="1"/>
  <c r="A1735" i="1"/>
  <c r="A1671" i="1"/>
  <c r="A1607" i="1"/>
  <c r="A1543" i="1"/>
  <c r="A1479" i="1"/>
  <c r="A1938" i="1"/>
  <c r="A1810" i="1"/>
  <c r="A1746" i="1"/>
  <c r="A1682" i="1"/>
  <c r="A1490" i="1"/>
  <c r="A32" i="5"/>
  <c r="A32" i="1" s="1"/>
  <c r="A1886" i="5"/>
  <c r="A1886" i="1" s="1"/>
  <c r="A1992" i="5"/>
  <c r="A1992" i="1" s="1"/>
  <c r="A1406" i="5"/>
  <c r="A1406" i="1" s="1"/>
  <c r="A1434" i="5"/>
  <c r="A1434" i="1" s="1"/>
  <c r="A1238" i="5"/>
  <c r="A1238" i="1" s="1"/>
  <c r="A1222" i="5"/>
  <c r="A1222" i="1" s="1"/>
  <c r="A1206" i="5"/>
  <c r="A1206" i="1" s="1"/>
  <c r="A1174" i="5"/>
  <c r="A1174" i="1" s="1"/>
  <c r="A1158" i="5"/>
  <c r="A1158" i="1" s="1"/>
  <c r="A1133" i="5"/>
  <c r="A1133" i="1" s="1"/>
  <c r="A1118" i="5"/>
  <c r="A1118" i="1" s="1"/>
  <c r="A1370" i="5"/>
  <c r="A1370" i="1" s="1"/>
  <c r="A990" i="5"/>
  <c r="A990" i="1" s="1"/>
  <c r="A926" i="5"/>
  <c r="A926" i="1" s="1"/>
  <c r="A862" i="5"/>
  <c r="A862" i="1" s="1"/>
  <c r="A798" i="5"/>
  <c r="A798" i="1" s="1"/>
  <c r="A1034" i="5"/>
  <c r="A1034" i="1" s="1"/>
  <c r="A883" i="5"/>
  <c r="A883" i="1" s="1"/>
  <c r="A521" i="5"/>
  <c r="A521" i="1" s="1"/>
  <c r="A505" i="5"/>
  <c r="A505" i="1" s="1"/>
  <c r="A680" i="5"/>
  <c r="A680" i="1" s="1"/>
  <c r="A616" i="5"/>
  <c r="A616" i="1" s="1"/>
  <c r="A552" i="5"/>
  <c r="A552" i="1" s="1"/>
  <c r="A479" i="5"/>
  <c r="A479" i="1" s="1"/>
  <c r="A459" i="5"/>
  <c r="A459" i="1" s="1"/>
  <c r="A233" i="5"/>
  <c r="A233" i="1" s="1"/>
  <c r="A392" i="5"/>
  <c r="A392" i="1" s="1"/>
  <c r="A358" i="5"/>
  <c r="A358" i="1" s="1"/>
  <c r="A328" i="5"/>
  <c r="A328" i="1" s="1"/>
  <c r="A294" i="5"/>
  <c r="A294" i="1" s="1"/>
  <c r="A264" i="5"/>
  <c r="A264" i="1" s="1"/>
  <c r="A711" i="5"/>
  <c r="A711" i="1" s="1"/>
  <c r="A679" i="5"/>
  <c r="A679" i="1" s="1"/>
  <c r="A647" i="5"/>
  <c r="A647" i="1" s="1"/>
  <c r="A615" i="5"/>
  <c r="A615" i="1" s="1"/>
  <c r="A417" i="5"/>
  <c r="A417" i="1" s="1"/>
  <c r="A165" i="5"/>
  <c r="A165" i="1" s="1"/>
  <c r="J4" i="5"/>
  <c r="J4" i="1" s="1"/>
  <c r="H4" i="5"/>
  <c r="H4" i="1" s="1"/>
  <c r="A1494" i="1"/>
  <c r="A1791" i="1"/>
  <c r="A1663" i="1"/>
  <c r="A1535" i="1"/>
  <c r="A1994" i="1"/>
  <c r="A1930" i="1"/>
  <c r="A1866" i="1"/>
  <c r="A1988" i="7"/>
  <c r="A1988" i="2" s="1"/>
  <c r="A1972" i="7"/>
  <c r="A1972" i="2" s="1"/>
  <c r="A2003" i="7"/>
  <c r="A2003" i="2" s="1"/>
  <c r="A1987" i="7"/>
  <c r="A1987" i="2" s="1"/>
  <c r="A1971" i="7"/>
  <c r="A1971" i="2" s="1"/>
  <c r="A1955" i="7"/>
  <c r="A1955" i="2" s="1"/>
  <c r="A1939" i="7"/>
  <c r="A1939" i="2" s="1"/>
  <c r="A1923" i="7"/>
  <c r="A1923" i="2" s="1"/>
  <c r="A1907" i="7"/>
  <c r="A1907" i="2" s="1"/>
  <c r="A1998" i="7"/>
  <c r="A1998" i="2" s="1"/>
  <c r="A1982" i="7"/>
  <c r="A1982" i="2" s="1"/>
  <c r="A1966" i="7"/>
  <c r="A1966" i="2" s="1"/>
  <c r="A1950" i="7"/>
  <c r="A1950" i="2" s="1"/>
  <c r="A1934" i="7"/>
  <c r="A1934" i="2" s="1"/>
  <c r="A1997" i="7"/>
  <c r="A1997" i="2" s="1"/>
  <c r="A1981" i="7"/>
  <c r="A1981" i="2" s="1"/>
  <c r="A1965" i="7"/>
  <c r="A1965" i="2" s="1"/>
  <c r="A1949" i="7"/>
  <c r="A1949" i="2" s="1"/>
  <c r="A1933" i="7"/>
  <c r="A1933" i="2" s="1"/>
  <c r="A1917" i="7"/>
  <c r="A1917" i="2" s="1"/>
  <c r="A1901" i="7"/>
  <c r="A1901" i="2" s="1"/>
  <c r="A1902" i="7"/>
  <c r="A1902" i="2" s="1"/>
  <c r="A1870" i="7"/>
  <c r="A1870" i="2" s="1"/>
  <c r="A1940" i="7"/>
  <c r="A1940" i="2" s="1"/>
  <c r="A1882" i="7"/>
  <c r="A1882" i="2" s="1"/>
  <c r="A1850" i="7"/>
  <c r="A1850" i="2" s="1"/>
  <c r="A1888" i="7"/>
  <c r="A1888" i="2" s="1"/>
  <c r="A1856" i="7"/>
  <c r="A1856" i="2" s="1"/>
  <c r="A1900" i="7"/>
  <c r="A1900" i="2" s="1"/>
  <c r="A1861" i="7"/>
  <c r="A1861" i="2" s="1"/>
  <c r="A1886" i="7"/>
  <c r="A1886" i="2" s="1"/>
  <c r="A1854" i="7"/>
  <c r="A1854" i="2" s="1"/>
  <c r="A1956" i="7"/>
  <c r="A1956" i="2" s="1"/>
  <c r="A1885" i="7"/>
  <c r="A1885" i="2" s="1"/>
  <c r="A1853" i="7"/>
  <c r="A1853" i="2" s="1"/>
  <c r="A1916" i="7"/>
  <c r="A1916" i="2" s="1"/>
  <c r="A1871" i="7"/>
  <c r="A1871" i="2" s="1"/>
  <c r="A1839" i="7"/>
  <c r="A1839" i="2" s="1"/>
  <c r="A1713" i="7"/>
  <c r="A1713" i="2" s="1"/>
  <c r="A1761" i="7"/>
  <c r="A1761" i="2" s="1"/>
  <c r="A1693" i="7"/>
  <c r="A1693" i="2" s="1"/>
  <c r="A1661" i="7"/>
  <c r="A1661" i="2" s="1"/>
  <c r="A1625" i="7"/>
  <c r="A1625" i="2" s="1"/>
  <c r="A1610" i="7"/>
  <c r="A1610" i="2" s="1"/>
  <c r="A1606" i="7"/>
  <c r="A1606" i="2" s="1"/>
  <c r="A1665" i="7"/>
  <c r="A1665" i="2" s="1"/>
  <c r="A1471" i="7"/>
  <c r="A1471" i="2" s="1"/>
  <c r="A1439" i="7"/>
  <c r="A1439" i="2" s="1"/>
  <c r="A1407" i="7"/>
  <c r="A1407" i="2" s="1"/>
  <c r="A1375" i="7"/>
  <c r="A1375" i="2" s="1"/>
  <c r="A1499" i="7"/>
  <c r="A1499" i="2" s="1"/>
  <c r="A1452" i="7"/>
  <c r="A1452" i="2" s="1"/>
  <c r="A1420" i="7"/>
  <c r="A1420" i="2" s="1"/>
  <c r="A1388" i="7"/>
  <c r="A1388" i="2" s="1"/>
  <c r="A1467" i="7"/>
  <c r="A1467" i="2" s="1"/>
  <c r="A1435" i="7"/>
  <c r="A1435" i="2" s="1"/>
  <c r="A1403" i="7"/>
  <c r="A1403" i="2" s="1"/>
  <c r="A1371" i="7"/>
  <c r="A1371" i="2" s="1"/>
  <c r="A1128" i="7"/>
  <c r="A1128" i="2" s="1"/>
  <c r="A1146" i="7"/>
  <c r="A1146" i="2" s="1"/>
  <c r="A933" i="7"/>
  <c r="A933" i="2" s="1"/>
  <c r="A971" i="7"/>
  <c r="A971" i="2" s="1"/>
  <c r="A977" i="7"/>
  <c r="A977" i="2" s="1"/>
  <c r="A913" i="7"/>
  <c r="A913" i="2" s="1"/>
  <c r="A1089" i="7"/>
  <c r="A1089" i="2" s="1"/>
  <c r="A1068" i="7"/>
  <c r="A1068" i="2" s="1"/>
  <c r="A1138" i="7"/>
  <c r="A1138" i="2" s="1"/>
  <c r="A937" i="7"/>
  <c r="A937" i="2" s="1"/>
  <c r="A800" i="7"/>
  <c r="A800" i="2" s="1"/>
  <c r="A893" i="7"/>
  <c r="A893" i="2" s="1"/>
  <c r="A813" i="7"/>
  <c r="A813" i="2" s="1"/>
  <c r="A901" i="7"/>
  <c r="A901" i="2" s="1"/>
  <c r="A909" i="7"/>
  <c r="A909" i="2" s="1"/>
  <c r="A829" i="7"/>
  <c r="A829" i="2" s="1"/>
  <c r="A536" i="7"/>
  <c r="A536" i="2" s="1"/>
  <c r="A329" i="7"/>
  <c r="A329" i="2" s="1"/>
  <c r="A371" i="7"/>
  <c r="A371" i="2" s="1"/>
  <c r="A345" i="7"/>
  <c r="A345" i="2" s="1"/>
  <c r="A848" i="7"/>
  <c r="A848" i="2" s="1"/>
  <c r="A353" i="7"/>
  <c r="A353" i="2" s="1"/>
  <c r="A361" i="7"/>
  <c r="A361" i="2" s="1"/>
  <c r="A489" i="7"/>
  <c r="A489" i="2" s="1"/>
  <c r="A425" i="7"/>
  <c r="A425" i="2" s="1"/>
  <c r="A516" i="7"/>
  <c r="A516" i="2" s="1"/>
  <c r="A164" i="7"/>
  <c r="A164" i="2" s="1"/>
  <c r="A2001" i="5"/>
  <c r="A2001" i="1" s="1"/>
  <c r="A1259" i="2"/>
  <c r="A603" i="2"/>
  <c r="A322" i="2"/>
  <c r="A1059" i="2"/>
  <c r="A1914" i="5"/>
  <c r="A194" i="2"/>
  <c r="A1879" i="5"/>
  <c r="A1996" i="5"/>
  <c r="A1996" i="1" s="1"/>
  <c r="A1951" i="5"/>
  <c r="A1951" i="1" s="1"/>
  <c r="A1863" i="5"/>
  <c r="A1863" i="1" s="1"/>
  <c r="A1847" i="5"/>
  <c r="A1847" i="1" s="1"/>
  <c r="A1802" i="5"/>
  <c r="A1802" i="1" s="1"/>
  <c r="A1960" i="5"/>
  <c r="A1960" i="1" s="1"/>
  <c r="A1952" i="5"/>
  <c r="A1952" i="1" s="1"/>
  <c r="A1731" i="5"/>
  <c r="A1731" i="1" s="1"/>
  <c r="A1859" i="5"/>
  <c r="A1859" i="1" s="1"/>
  <c r="A1814" i="5"/>
  <c r="A1814" i="1" s="1"/>
  <c r="A1920" i="5"/>
  <c r="A1920" i="1" s="1"/>
  <c r="A1806" i="5"/>
  <c r="A1806" i="1" s="1"/>
  <c r="A1979" i="5"/>
  <c r="A1979" i="1" s="1"/>
  <c r="A1758" i="5"/>
  <c r="A1758" i="1" s="1"/>
  <c r="A1942" i="5"/>
  <c r="A1942" i="1" s="1"/>
  <c r="A1672" i="5"/>
  <c r="A1672" i="1" s="1"/>
  <c r="A1650" i="5"/>
  <c r="A1653" i="5"/>
  <c r="A1653" i="1" s="1"/>
  <c r="A1624" i="5"/>
  <c r="A1624" i="1" s="1"/>
  <c r="A1616" i="5"/>
  <c r="A1616" i="1" s="1"/>
  <c r="A1608" i="5"/>
  <c r="A1608" i="1" s="1"/>
  <c r="A1600" i="5"/>
  <c r="A1600" i="1" s="1"/>
  <c r="A1589" i="5"/>
  <c r="A1589" i="1" s="1"/>
  <c r="A1699" i="5"/>
  <c r="A1699" i="1" s="1"/>
  <c r="A1648" i="5"/>
  <c r="A1648" i="1" s="1"/>
  <c r="A1570" i="5"/>
  <c r="A1537" i="5"/>
  <c r="A1537" i="1" s="1"/>
  <c r="A1530" i="5"/>
  <c r="A1505" i="5"/>
  <c r="A1498" i="5"/>
  <c r="A1442" i="5"/>
  <c r="A1442" i="1" s="1"/>
  <c r="A1697" i="5"/>
  <c r="A1697" i="1" s="1"/>
  <c r="A1625" i="5"/>
  <c r="A1625" i="1" s="1"/>
  <c r="A1593" i="5"/>
  <c r="A1593" i="1" s="1"/>
  <c r="A1504" i="5"/>
  <c r="A1504" i="1" s="1"/>
  <c r="A1588" i="5"/>
  <c r="A1588" i="1" s="1"/>
  <c r="A1680" i="5"/>
  <c r="A1680" i="1" s="1"/>
  <c r="A1454" i="5"/>
  <c r="A1454" i="1" s="1"/>
  <c r="A1413" i="5"/>
  <c r="A1413" i="1" s="1"/>
  <c r="A1405" i="5"/>
  <c r="A1405" i="1" s="1"/>
  <c r="A1397" i="5"/>
  <c r="A1397" i="1" s="1"/>
  <c r="A1381" i="5"/>
  <c r="A1381" i="1" s="1"/>
  <c r="A1373" i="5"/>
  <c r="A1373" i="1" s="1"/>
  <c r="A1318" i="5"/>
  <c r="A1318" i="1" s="1"/>
  <c r="A1309" i="5"/>
  <c r="A1309" i="1" s="1"/>
  <c r="A1574" i="5"/>
  <c r="A1453" i="5"/>
  <c r="A1453" i="1" s="1"/>
  <c r="A1404" i="5"/>
  <c r="A1404" i="1" s="1"/>
  <c r="A1340" i="5"/>
  <c r="A1340" i="1" s="1"/>
  <c r="A1793" i="5"/>
  <c r="A1793" i="1" s="1"/>
  <c r="A1242" i="5"/>
  <c r="A1242" i="1" s="1"/>
  <c r="A1178" i="5"/>
  <c r="A1178" i="1" s="1"/>
  <c r="A1130" i="5"/>
  <c r="A1130" i="1" s="1"/>
  <c r="A1098" i="5"/>
  <c r="A1098" i="1" s="1"/>
  <c r="A1023" i="5"/>
  <c r="A1023" i="1" s="1"/>
  <c r="A1354" i="5"/>
  <c r="A1354" i="1" s="1"/>
  <c r="A1599" i="5"/>
  <c r="A1599" i="1" s="1"/>
  <c r="A1313" i="5"/>
  <c r="A1313" i="1" s="1"/>
  <c r="A1142" i="5"/>
  <c r="A1142" i="1" s="1"/>
  <c r="A1093" i="5"/>
  <c r="A1093" i="1" s="1"/>
  <c r="A1276" i="5"/>
  <c r="A1276" i="1" s="1"/>
  <c r="A1270" i="5"/>
  <c r="A1270" i="1" s="1"/>
  <c r="A1078" i="5"/>
  <c r="A1078" i="1" s="1"/>
  <c r="A1076" i="5"/>
  <c r="A1076" i="1" s="1"/>
  <c r="A976" i="5"/>
  <c r="A976" i="1" s="1"/>
  <c r="A912" i="5"/>
  <c r="A912" i="1" s="1"/>
  <c r="A848" i="5"/>
  <c r="A848" i="1" s="1"/>
  <c r="A1258" i="5"/>
  <c r="A1258" i="1" s="1"/>
  <c r="A1116" i="5"/>
  <c r="A1116" i="1" s="1"/>
  <c r="A1054" i="5"/>
  <c r="A1054" i="1" s="1"/>
  <c r="A1228" i="5"/>
  <c r="A1228" i="1" s="1"/>
  <c r="A982" i="5"/>
  <c r="A982" i="1" s="1"/>
  <c r="A918" i="5"/>
  <c r="A918" i="1" s="1"/>
  <c r="A854" i="5"/>
  <c r="A854" i="1" s="1"/>
  <c r="A1196" i="5"/>
  <c r="A1196" i="1" s="1"/>
  <c r="A1140" i="5"/>
  <c r="A1140" i="1" s="1"/>
  <c r="A735" i="5"/>
  <c r="A735" i="1" s="1"/>
  <c r="A1377" i="5"/>
  <c r="A1377" i="1" s="1"/>
  <c r="A955" i="5"/>
  <c r="A955" i="1" s="1"/>
  <c r="A891" i="5"/>
  <c r="A891" i="1" s="1"/>
  <c r="A827" i="5"/>
  <c r="A827" i="1" s="1"/>
  <c r="A774" i="5"/>
  <c r="A774" i="1" s="1"/>
  <c r="A754" i="5"/>
  <c r="A754" i="1" s="1"/>
  <c r="A758" i="5"/>
  <c r="A758" i="1" s="1"/>
  <c r="A672" i="5"/>
  <c r="A672" i="1" s="1"/>
  <c r="A608" i="5"/>
  <c r="A608" i="1" s="1"/>
  <c r="A544" i="5"/>
  <c r="A544" i="1" s="1"/>
  <c r="A1061" i="5"/>
  <c r="A1061" i="1" s="1"/>
  <c r="A163" i="5"/>
  <c r="A163" i="1" s="1"/>
  <c r="A520" i="5"/>
  <c r="A520" i="1" s="1"/>
  <c r="A421" i="5"/>
  <c r="A421" i="1" s="1"/>
  <c r="A535" i="5"/>
  <c r="A535" i="1" s="1"/>
  <c r="A516" i="5"/>
  <c r="A516" i="1" s="1"/>
  <c r="A400" i="5"/>
  <c r="A400" i="1" s="1"/>
  <c r="A366" i="5"/>
  <c r="A366" i="1" s="1"/>
  <c r="A336" i="5"/>
  <c r="A336" i="1" s="1"/>
  <c r="A302" i="5"/>
  <c r="A302" i="1" s="1"/>
  <c r="A272" i="5"/>
  <c r="A272" i="1" s="1"/>
  <c r="A238" i="5"/>
  <c r="A238" i="1" s="1"/>
  <c r="A766" i="5"/>
  <c r="A766" i="1" s="1"/>
  <c r="A559" i="5"/>
  <c r="A559" i="1" s="1"/>
  <c r="A599" i="5"/>
  <c r="A599" i="1" s="1"/>
  <c r="A405" i="5"/>
  <c r="A405" i="1" s="1"/>
  <c r="A756" i="5"/>
  <c r="A756" i="1" s="1"/>
  <c r="A199" i="5"/>
  <c r="A199" i="1" s="1"/>
  <c r="A126" i="5"/>
  <c r="A126" i="1" s="1"/>
  <c r="A433" i="5"/>
  <c r="A433" i="1" s="1"/>
  <c r="A200" i="5"/>
  <c r="A200" i="1" s="1"/>
  <c r="A132" i="5"/>
  <c r="A132" i="1" s="1"/>
  <c r="A105" i="5"/>
  <c r="A105" i="1" s="1"/>
  <c r="A100" i="5"/>
  <c r="A100" i="1" s="1"/>
  <c r="A81" i="5"/>
  <c r="A81" i="1" s="1"/>
  <c r="A28" i="5"/>
  <c r="A28" i="1" s="1"/>
  <c r="A17" i="5"/>
  <c r="A17" i="1" s="1"/>
  <c r="A495" i="5"/>
  <c r="A495" i="1" s="1"/>
  <c r="A389" i="5"/>
  <c r="A389" i="1" s="1"/>
  <c r="A174" i="5"/>
  <c r="A174" i="1" s="1"/>
  <c r="A130" i="5"/>
  <c r="A130" i="1" s="1"/>
  <c r="A34" i="5"/>
  <c r="A34" i="1" s="1"/>
  <c r="A221" i="5"/>
  <c r="A221" i="1" s="1"/>
  <c r="A128" i="5"/>
  <c r="A128" i="1" s="1"/>
  <c r="A1614" i="1"/>
  <c r="A1550" i="1"/>
  <c r="A1486" i="1"/>
  <c r="A1655" i="1"/>
  <c r="A1591" i="1"/>
  <c r="A1527" i="1"/>
  <c r="A1513" i="1"/>
  <c r="A1922" i="1"/>
  <c r="A1794" i="1"/>
  <c r="A1730" i="1"/>
  <c r="A1602" i="1"/>
  <c r="A1538" i="1"/>
  <c r="A48" i="5"/>
  <c r="A48" i="1" s="1"/>
  <c r="A1924" i="5"/>
  <c r="A1924" i="1" s="1"/>
  <c r="A1374" i="5"/>
  <c r="A1374" i="1" s="1"/>
  <c r="A1936" i="7"/>
  <c r="A1936" i="2" s="1"/>
  <c r="A1878" i="7"/>
  <c r="A1878" i="2" s="1"/>
  <c r="A1846" i="7"/>
  <c r="A1846" i="2" s="1"/>
  <c r="A1729" i="7"/>
  <c r="A1729" i="2" s="1"/>
  <c r="A1645" i="7"/>
  <c r="A1645" i="2" s="1"/>
  <c r="A1629" i="7"/>
  <c r="A1629" i="2" s="1"/>
  <c r="A1492" i="7"/>
  <c r="A1492" i="2" s="1"/>
  <c r="A1456" i="7"/>
  <c r="A1456" i="2" s="1"/>
  <c r="A1424" i="7"/>
  <c r="A1424" i="2" s="1"/>
  <c r="A1392" i="7"/>
  <c r="A1392" i="2" s="1"/>
  <c r="A1362" i="7"/>
  <c r="A1362" i="2" s="1"/>
  <c r="A1346" i="7"/>
  <c r="A1346" i="2" s="1"/>
  <c r="A1330" i="7"/>
  <c r="A1330" i="2" s="1"/>
  <c r="A1298" i="7"/>
  <c r="A1298" i="2" s="1"/>
  <c r="A1460" i="7"/>
  <c r="A1460" i="2" s="1"/>
  <c r="A1428" i="7"/>
  <c r="A1428" i="2" s="1"/>
  <c r="A1396" i="7"/>
  <c r="A1396" i="2" s="1"/>
  <c r="A1507" i="7"/>
  <c r="A1507" i="2" s="1"/>
  <c r="A1443" i="7"/>
  <c r="A1443" i="2" s="1"/>
  <c r="A1411" i="7"/>
  <c r="A1411" i="2" s="1"/>
  <c r="A1379" i="7"/>
  <c r="A1379" i="2" s="1"/>
  <c r="A1469" i="7"/>
  <c r="A1469" i="2" s="1"/>
  <c r="A1437" i="7"/>
  <c r="A1437" i="2" s="1"/>
  <c r="A1405" i="7"/>
  <c r="A1405" i="2" s="1"/>
  <c r="A1373" i="7"/>
  <c r="A1373" i="2" s="1"/>
  <c r="A1356" i="7"/>
  <c r="A1356" i="2" s="1"/>
  <c r="A1340" i="7"/>
  <c r="A1340" i="2" s="1"/>
  <c r="A1324" i="7"/>
  <c r="A1324" i="2" s="1"/>
  <c r="A1447" i="7"/>
  <c r="A1447" i="2" s="1"/>
  <c r="A1415" i="7"/>
  <c r="A1415" i="2" s="1"/>
  <c r="A1383" i="7"/>
  <c r="A1383" i="2" s="1"/>
  <c r="A1314" i="7"/>
  <c r="A1314" i="2" s="1"/>
  <c r="A943" i="7"/>
  <c r="A943" i="2" s="1"/>
  <c r="A967" i="7"/>
  <c r="A967" i="2" s="1"/>
  <c r="A957" i="7"/>
  <c r="A957" i="2" s="1"/>
  <c r="A912" i="7"/>
  <c r="A912" i="2" s="1"/>
  <c r="A825" i="7"/>
  <c r="A825" i="2" s="1"/>
  <c r="A768" i="7"/>
  <c r="A768" i="2" s="1"/>
  <c r="A749" i="7"/>
  <c r="A749" i="2" s="1"/>
  <c r="A607" i="7"/>
  <c r="A607" i="2" s="1"/>
  <c r="A428" i="7"/>
  <c r="A428" i="2" s="1"/>
  <c r="A575" i="7"/>
  <c r="A575" i="2" s="1"/>
  <c r="A468" i="7"/>
  <c r="A468" i="2" s="1"/>
  <c r="A1235" i="2"/>
  <c r="A979" i="2"/>
  <c r="A402" i="2"/>
  <c r="A835" i="2"/>
  <c r="A171" i="2"/>
  <c r="A1829" i="5"/>
  <c r="A1829" i="1" s="1"/>
  <c r="A1988" i="5"/>
  <c r="A1988" i="1" s="1"/>
  <c r="A1926" i="5"/>
  <c r="A1926" i="1" s="1"/>
  <c r="A1905" i="5"/>
  <c r="A1905" i="1" s="1"/>
  <c r="A1900" i="5"/>
  <c r="A1900" i="1" s="1"/>
  <c r="A1882" i="5"/>
  <c r="A1828" i="5"/>
  <c r="A1828" i="1" s="1"/>
  <c r="A1778" i="5"/>
  <c r="A1964" i="5"/>
  <c r="A1964" i="1" s="1"/>
  <c r="A1944" i="5"/>
  <c r="A1944" i="1" s="1"/>
  <c r="A1943" i="5"/>
  <c r="A1943" i="1" s="1"/>
  <c r="A2000" i="5"/>
  <c r="A2000" i="1" s="1"/>
  <c r="A1805" i="5"/>
  <c r="A1805" i="1" s="1"/>
  <c r="A1906" i="5"/>
  <c r="A1852" i="5"/>
  <c r="A1852" i="1" s="1"/>
  <c r="A1907" i="5"/>
  <c r="A1907" i="1" s="1"/>
  <c r="A1803" i="5"/>
  <c r="A1803" i="1" s="1"/>
  <c r="A1750" i="5"/>
  <c r="A1750" i="1" s="1"/>
  <c r="A1692" i="5"/>
  <c r="A1692" i="1" s="1"/>
  <c r="A1748" i="5"/>
  <c r="A1748" i="1" s="1"/>
  <c r="A1694" i="5"/>
  <c r="A1694" i="1" s="1"/>
  <c r="A1682" i="5"/>
  <c r="A1673" i="5"/>
  <c r="A1673" i="1" s="1"/>
  <c r="A1622" i="5"/>
  <c r="A1622" i="1" s="1"/>
  <c r="A1910" i="5"/>
  <c r="A1910" i="1" s="1"/>
  <c r="A1800" i="5"/>
  <c r="A1800" i="1" s="1"/>
  <c r="A1708" i="5"/>
  <c r="A1708" i="1" s="1"/>
  <c r="A1868" i="5"/>
  <c r="A1868" i="1" s="1"/>
  <c r="A1618" i="5"/>
  <c r="A1618" i="1" s="1"/>
  <c r="A1586" i="5"/>
  <c r="A1564" i="5"/>
  <c r="A1564" i="1" s="1"/>
  <c r="A1577" i="5"/>
  <c r="A1577" i="1" s="1"/>
  <c r="A1562" i="5"/>
  <c r="A1512" i="5"/>
  <c r="A1512" i="1" s="1"/>
  <c r="A1612" i="5"/>
  <c r="A1612" i="1" s="1"/>
  <c r="A1424" i="5"/>
  <c r="A1424" i="1" s="1"/>
  <c r="A1326" i="5"/>
  <c r="A1326" i="1" s="1"/>
  <c r="A1317" i="5"/>
  <c r="A1317" i="1" s="1"/>
  <c r="A1567" i="5"/>
  <c r="A1412" i="5"/>
  <c r="A1412" i="1" s="1"/>
  <c r="A1348" i="5"/>
  <c r="A1348" i="1" s="1"/>
  <c r="A1775" i="5"/>
  <c r="A1329" i="5"/>
  <c r="A1329" i="1" s="1"/>
  <c r="A1297" i="5"/>
  <c r="A1297" i="1" s="1"/>
  <c r="A1202" i="5"/>
  <c r="A1202" i="1" s="1"/>
  <c r="A1438" i="5"/>
  <c r="A1438" i="1" s="1"/>
  <c r="A1281" i="5"/>
  <c r="A1281" i="1" s="1"/>
  <c r="A1410" i="5"/>
  <c r="A1410" i="1" s="1"/>
  <c r="A1345" i="5"/>
  <c r="A1345" i="1" s="1"/>
  <c r="A1253" i="5"/>
  <c r="A1253" i="1" s="1"/>
  <c r="A1237" i="5"/>
  <c r="A1237" i="1" s="1"/>
  <c r="A1221" i="5"/>
  <c r="A1221" i="1" s="1"/>
  <c r="A1205" i="5"/>
  <c r="A1205" i="1" s="1"/>
  <c r="A1189" i="5"/>
  <c r="A1189" i="1" s="1"/>
  <c r="A1173" i="5"/>
  <c r="A1173" i="1" s="1"/>
  <c r="A1157" i="5"/>
  <c r="A1157" i="1" s="1"/>
  <c r="A1117" i="5"/>
  <c r="A1117" i="1" s="1"/>
  <c r="A1102" i="5"/>
  <c r="A1102" i="1" s="1"/>
  <c r="A1428" i="5"/>
  <c r="A1428" i="1" s="1"/>
  <c r="A1471" i="5"/>
  <c r="A1471" i="1" s="1"/>
  <c r="A1306" i="5"/>
  <c r="A1306" i="1" s="1"/>
  <c r="A968" i="5"/>
  <c r="A968" i="1" s="1"/>
  <c r="A904" i="5"/>
  <c r="A904" i="1" s="1"/>
  <c r="A840" i="5"/>
  <c r="A840" i="1" s="1"/>
  <c r="A1353" i="5"/>
  <c r="A1353" i="1" s="1"/>
  <c r="A1132" i="5"/>
  <c r="A1132" i="1" s="1"/>
  <c r="A1236" i="5"/>
  <c r="A1236" i="1" s="1"/>
  <c r="A1060" i="5"/>
  <c r="A1060" i="1" s="1"/>
  <c r="A1028" i="5"/>
  <c r="A1028" i="1" s="1"/>
  <c r="A974" i="5"/>
  <c r="A974" i="1" s="1"/>
  <c r="A910" i="5"/>
  <c r="A910" i="1" s="1"/>
  <c r="A846" i="5"/>
  <c r="A846" i="1" s="1"/>
  <c r="A1012" i="5"/>
  <c r="A1012" i="1" s="1"/>
  <c r="A996" i="5"/>
  <c r="A996" i="1" s="1"/>
  <c r="A980" i="5"/>
  <c r="A980" i="1" s="1"/>
  <c r="A964" i="5"/>
  <c r="A964" i="1" s="1"/>
  <c r="A948" i="5"/>
  <c r="A948" i="1" s="1"/>
  <c r="A932" i="5"/>
  <c r="A932" i="1" s="1"/>
  <c r="A916" i="5"/>
  <c r="A916" i="1" s="1"/>
  <c r="A900" i="5"/>
  <c r="A900" i="1" s="1"/>
  <c r="A884" i="5"/>
  <c r="A884" i="1" s="1"/>
  <c r="A868" i="5"/>
  <c r="A868" i="1" s="1"/>
  <c r="A852" i="5"/>
  <c r="A852" i="1" s="1"/>
  <c r="A836" i="5"/>
  <c r="A836" i="1" s="1"/>
  <c r="A820" i="5"/>
  <c r="A820" i="1" s="1"/>
  <c r="A804" i="5"/>
  <c r="A804" i="1" s="1"/>
  <c r="A1164" i="5"/>
  <c r="A1164" i="1" s="1"/>
  <c r="A1074" i="5"/>
  <c r="A1074" i="1" s="1"/>
  <c r="A1066" i="5"/>
  <c r="A1066" i="1" s="1"/>
  <c r="A1042" i="5"/>
  <c r="A1042" i="1" s="1"/>
  <c r="A963" i="5"/>
  <c r="A963" i="1" s="1"/>
  <c r="A899" i="5"/>
  <c r="A899" i="1" s="1"/>
  <c r="A835" i="5"/>
  <c r="A835" i="1" s="1"/>
  <c r="A1045" i="5"/>
  <c r="A1045" i="1" s="1"/>
  <c r="A1019" i="5"/>
  <c r="A1019" i="1" s="1"/>
  <c r="A724" i="5"/>
  <c r="A724" i="1" s="1"/>
  <c r="A722" i="5"/>
  <c r="A722" i="1" s="1"/>
  <c r="A705" i="5"/>
  <c r="A705" i="1" s="1"/>
  <c r="A689" i="5"/>
  <c r="A689" i="1" s="1"/>
  <c r="A673" i="5"/>
  <c r="A673" i="1" s="1"/>
  <c r="A657" i="5"/>
  <c r="A657" i="1" s="1"/>
  <c r="A641" i="5"/>
  <c r="A641" i="1" s="1"/>
  <c r="A625" i="5"/>
  <c r="A625" i="1" s="1"/>
  <c r="A609" i="5"/>
  <c r="A609" i="1" s="1"/>
  <c r="A593" i="5"/>
  <c r="A593" i="1" s="1"/>
  <c r="A577" i="5"/>
  <c r="A577" i="1" s="1"/>
  <c r="A561" i="5"/>
  <c r="A561" i="1" s="1"/>
  <c r="A545" i="5"/>
  <c r="A545" i="1" s="1"/>
  <c r="A481" i="5"/>
  <c r="A481" i="1" s="1"/>
  <c r="A752" i="5"/>
  <c r="A752" i="1" s="1"/>
  <c r="A664" i="5"/>
  <c r="A664" i="1" s="1"/>
  <c r="A600" i="5"/>
  <c r="A600" i="1" s="1"/>
  <c r="A536" i="5"/>
  <c r="A536" i="1" s="1"/>
  <c r="A1073" i="5"/>
  <c r="A1073" i="1" s="1"/>
  <c r="A1065" i="5"/>
  <c r="A1065" i="1" s="1"/>
  <c r="A195" i="5"/>
  <c r="A195" i="1" s="1"/>
  <c r="A201" i="5"/>
  <c r="A201" i="1" s="1"/>
  <c r="A193" i="5"/>
  <c r="A193" i="1" s="1"/>
  <c r="A527" i="5"/>
  <c r="A527" i="1" s="1"/>
  <c r="A408" i="5"/>
  <c r="A408" i="1" s="1"/>
  <c r="A374" i="5"/>
  <c r="A374" i="1" s="1"/>
  <c r="A344" i="5"/>
  <c r="A344" i="1" s="1"/>
  <c r="A310" i="5"/>
  <c r="A310" i="1" s="1"/>
  <c r="A280" i="5"/>
  <c r="A280" i="1" s="1"/>
  <c r="A246" i="5"/>
  <c r="A246" i="1" s="1"/>
  <c r="A214" i="5"/>
  <c r="A214" i="1" s="1"/>
  <c r="A468" i="5"/>
  <c r="A468" i="1" s="1"/>
  <c r="A512" i="5"/>
  <c r="A512" i="1" s="1"/>
  <c r="A687" i="5"/>
  <c r="A687" i="1" s="1"/>
  <c r="A655" i="5"/>
  <c r="A655" i="1" s="1"/>
  <c r="A623" i="5"/>
  <c r="A623" i="1" s="1"/>
  <c r="A440" i="5"/>
  <c r="A440" i="1" s="1"/>
  <c r="A424" i="5"/>
  <c r="A424" i="1" s="1"/>
  <c r="A237" i="5"/>
  <c r="A237" i="1" s="1"/>
  <c r="A197" i="5"/>
  <c r="A197" i="1" s="1"/>
  <c r="A269" i="5"/>
  <c r="A269" i="1" s="1"/>
  <c r="A229" i="5"/>
  <c r="A229" i="1" s="1"/>
  <c r="A145" i="5"/>
  <c r="A145" i="1" s="1"/>
  <c r="A137" i="5"/>
  <c r="A137" i="1" s="1"/>
  <c r="A68" i="5"/>
  <c r="A68" i="1" s="1"/>
  <c r="A583" i="5"/>
  <c r="A583" i="1" s="1"/>
  <c r="A449" i="5"/>
  <c r="A449" i="1" s="1"/>
  <c r="A208" i="5"/>
  <c r="A208" i="1" s="1"/>
  <c r="A122" i="5"/>
  <c r="A122" i="1" s="1"/>
  <c r="A42" i="5"/>
  <c r="A42" i="1" s="1"/>
  <c r="A158" i="5"/>
  <c r="A158" i="1" s="1"/>
  <c r="A88" i="5"/>
  <c r="A88" i="1" s="1"/>
  <c r="A1478" i="1"/>
  <c r="A1839" i="1"/>
  <c r="A1775" i="1"/>
  <c r="A1711" i="1"/>
  <c r="A1647" i="1"/>
  <c r="A1583" i="1"/>
  <c r="A1505" i="1"/>
  <c r="A1978" i="1"/>
  <c r="A1914" i="1"/>
  <c r="A1850" i="1"/>
  <c r="A1786" i="1"/>
  <c r="A1658" i="1"/>
  <c r="A1594" i="1"/>
  <c r="A1530" i="1"/>
  <c r="A56" i="5"/>
  <c r="A56" i="1" s="1"/>
  <c r="A1714" i="5"/>
  <c r="A1645" i="5"/>
  <c r="A1645" i="1" s="1"/>
  <c r="A2000" i="7"/>
  <c r="A2000" i="2" s="1"/>
  <c r="A1984" i="7"/>
  <c r="A1984" i="2" s="1"/>
  <c r="A1968" i="7"/>
  <c r="A1968" i="2" s="1"/>
  <c r="A1999" i="7"/>
  <c r="A1999" i="2" s="1"/>
  <c r="A1983" i="7"/>
  <c r="A1983" i="2" s="1"/>
  <c r="A1967" i="7"/>
  <c r="A1967" i="2" s="1"/>
  <c r="A1951" i="7"/>
  <c r="A1951" i="2" s="1"/>
  <c r="A1935" i="7"/>
  <c r="A1935" i="2" s="1"/>
  <c r="A1919" i="7"/>
  <c r="A1919" i="2" s="1"/>
  <c r="A1903" i="7"/>
  <c r="A1903" i="2" s="1"/>
  <c r="A1994" i="7"/>
  <c r="A1994" i="2" s="1"/>
  <c r="A1978" i="7"/>
  <c r="A1978" i="2" s="1"/>
  <c r="A1962" i="7"/>
  <c r="A1962" i="2" s="1"/>
  <c r="A1946" i="7"/>
  <c r="A1946" i="2" s="1"/>
  <c r="A1930" i="7"/>
  <c r="A1930" i="2" s="1"/>
  <c r="A1993" i="7"/>
  <c r="A1993" i="2" s="1"/>
  <c r="A1977" i="7"/>
  <c r="A1977" i="2" s="1"/>
  <c r="A1961" i="7"/>
  <c r="A1961" i="2" s="1"/>
  <c r="A1945" i="7"/>
  <c r="A1945" i="2" s="1"/>
  <c r="A1929" i="7"/>
  <c r="A1929" i="2" s="1"/>
  <c r="A1913" i="7"/>
  <c r="A1913" i="2" s="1"/>
  <c r="A1897" i="7"/>
  <c r="A1897" i="2" s="1"/>
  <c r="A1896" i="7"/>
  <c r="A1896" i="2" s="1"/>
  <c r="A1864" i="7"/>
  <c r="A1864" i="2" s="1"/>
  <c r="A1914" i="7"/>
  <c r="A1914" i="2" s="1"/>
  <c r="A1876" i="7"/>
  <c r="A1876" i="2" s="1"/>
  <c r="A1844" i="7"/>
  <c r="A1844" i="2" s="1"/>
  <c r="A1952" i="7"/>
  <c r="A1952" i="2" s="1"/>
  <c r="A1881" i="7"/>
  <c r="A1881" i="2" s="1"/>
  <c r="A1849" i="7"/>
  <c r="A1849" i="2" s="1"/>
  <c r="A1887" i="7"/>
  <c r="A1887" i="2" s="1"/>
  <c r="A1855" i="7"/>
  <c r="A1855" i="2" s="1"/>
  <c r="A1944" i="7"/>
  <c r="A1944" i="2" s="1"/>
  <c r="A1880" i="7"/>
  <c r="A1880" i="2" s="1"/>
  <c r="A1848" i="7"/>
  <c r="A1848" i="2" s="1"/>
  <c r="A1924" i="7"/>
  <c r="A1924" i="2" s="1"/>
  <c r="A1879" i="7"/>
  <c r="A1879" i="2" s="1"/>
  <c r="A1847" i="7"/>
  <c r="A1847" i="2" s="1"/>
  <c r="A1890" i="7"/>
  <c r="A1890" i="2" s="1"/>
  <c r="A1858" i="7"/>
  <c r="A1858" i="2" s="1"/>
  <c r="A1739" i="7"/>
  <c r="A1739" i="2" s="1"/>
  <c r="A1819" i="7"/>
  <c r="A1819" i="2" s="1"/>
  <c r="A1707" i="7"/>
  <c r="A1707" i="2" s="1"/>
  <c r="A1685" i="7"/>
  <c r="A1685" i="2" s="1"/>
  <c r="A1689" i="7"/>
  <c r="A1689" i="2" s="1"/>
  <c r="A1657" i="7"/>
  <c r="A1657" i="2" s="1"/>
  <c r="A1637" i="7"/>
  <c r="A1637" i="2" s="1"/>
  <c r="A1466" i="7"/>
  <c r="A1466" i="2" s="1"/>
  <c r="A1434" i="7"/>
  <c r="A1434" i="2" s="1"/>
  <c r="A1402" i="7"/>
  <c r="A1402" i="2" s="1"/>
  <c r="A1370" i="7"/>
  <c r="A1370" i="2" s="1"/>
  <c r="A1312" i="7"/>
  <c r="A1312" i="2" s="1"/>
  <c r="A1473" i="7"/>
  <c r="A1473" i="2" s="1"/>
  <c r="A1441" i="7"/>
  <c r="A1441" i="2" s="1"/>
  <c r="A1409" i="7"/>
  <c r="A1409" i="2" s="1"/>
  <c r="A1377" i="7"/>
  <c r="A1377" i="2" s="1"/>
  <c r="A1462" i="7"/>
  <c r="A1462" i="2" s="1"/>
  <c r="A1430" i="7"/>
  <c r="A1430" i="2" s="1"/>
  <c r="A1398" i="7"/>
  <c r="A1398" i="2" s="1"/>
  <c r="A1310" i="7"/>
  <c r="A1310" i="2" s="1"/>
  <c r="A981" i="7"/>
  <c r="A981" i="2" s="1"/>
  <c r="A917" i="7"/>
  <c r="A917" i="2" s="1"/>
  <c r="A955" i="7"/>
  <c r="A961" i="7"/>
  <c r="A961" i="2" s="1"/>
  <c r="A919" i="7"/>
  <c r="A919" i="2" s="1"/>
  <c r="A1097" i="7"/>
  <c r="A1097" i="2" s="1"/>
  <c r="A985" i="7"/>
  <c r="A985" i="2" s="1"/>
  <c r="A921" i="7"/>
  <c r="A921" i="2" s="1"/>
  <c r="A931" i="7"/>
  <c r="A793" i="7"/>
  <c r="A793" i="2" s="1"/>
  <c r="A869" i="7"/>
  <c r="A869" i="2" s="1"/>
  <c r="A863" i="7"/>
  <c r="A863" i="2" s="1"/>
  <c r="A976" i="7"/>
  <c r="A976" i="2" s="1"/>
  <c r="A797" i="7"/>
  <c r="A797" i="2" s="1"/>
  <c r="A623" i="7"/>
  <c r="A623" i="2" s="1"/>
  <c r="A524" i="7"/>
  <c r="A524" i="2" s="1"/>
  <c r="A599" i="7"/>
  <c r="A599" i="2" s="1"/>
  <c r="A538" i="7"/>
  <c r="A538" i="2" s="1"/>
  <c r="A484" i="7"/>
  <c r="A484" i="2" s="1"/>
  <c r="A1243" i="2"/>
  <c r="A987" i="2"/>
  <c r="A1203" i="2"/>
  <c r="A947" i="2"/>
  <c r="A387" i="2"/>
  <c r="A771" i="2"/>
  <c r="A1251" i="2"/>
  <c r="A995" i="2"/>
  <c r="A1987" i="5"/>
  <c r="A1987" i="1" s="1"/>
  <c r="A249" i="2"/>
  <c r="A1948" i="5"/>
  <c r="A1948" i="1" s="1"/>
  <c r="A1895" i="5"/>
  <c r="A1895" i="1" s="1"/>
  <c r="A1874" i="5"/>
  <c r="A1874" i="1" s="1"/>
  <c r="A1815" i="5"/>
  <c r="A1982" i="5"/>
  <c r="A1982" i="1" s="1"/>
  <c r="A1940" i="5"/>
  <c r="A1940" i="1" s="1"/>
  <c r="A1878" i="5"/>
  <c r="A1878" i="1" s="1"/>
  <c r="A1790" i="5"/>
  <c r="A1790" i="1" s="1"/>
  <c r="A1911" i="5"/>
  <c r="A1911" i="1" s="1"/>
  <c r="A1700" i="5"/>
  <c r="A1700" i="1" s="1"/>
  <c r="A1891" i="5"/>
  <c r="A1891" i="1" s="1"/>
  <c r="A1809" i="5"/>
  <c r="A1809" i="1" s="1"/>
  <c r="A1784" i="5"/>
  <c r="A1784" i="1" s="1"/>
  <c r="A1783" i="5"/>
  <c r="A1783" i="1" s="1"/>
  <c r="A1716" i="5"/>
  <c r="A1716" i="1" s="1"/>
  <c r="A1968" i="5"/>
  <c r="A1968" i="1" s="1"/>
  <c r="A1827" i="5"/>
  <c r="A1827" i="1" s="1"/>
  <c r="A1798" i="5"/>
  <c r="A1798" i="1" s="1"/>
  <c r="A1732" i="5"/>
  <c r="A1732" i="1" s="1"/>
  <c r="A1823" i="5"/>
  <c r="A1792" i="5"/>
  <c r="A1792" i="1" s="1"/>
  <c r="A1727" i="5"/>
  <c r="A1727" i="1" s="1"/>
  <c r="A1563" i="5"/>
  <c r="A1563" i="1" s="1"/>
  <c r="A1740" i="5"/>
  <c r="A1740" i="1" s="1"/>
  <c r="A1629" i="5"/>
  <c r="A1629" i="1" s="1"/>
  <c r="A1621" i="5"/>
  <c r="A1621" i="1" s="1"/>
  <c r="A1613" i="5"/>
  <c r="A1613" i="1" s="1"/>
  <c r="A1605" i="5"/>
  <c r="A1605" i="1" s="1"/>
  <c r="A1597" i="5"/>
  <c r="A1597" i="1" s="1"/>
  <c r="A1569" i="5"/>
  <c r="A1569" i="1" s="1"/>
  <c r="A1554" i="5"/>
  <c r="A1554" i="1" s="1"/>
  <c r="A1522" i="5"/>
  <c r="A1522" i="1" s="1"/>
  <c r="A1497" i="5"/>
  <c r="A1497" i="1" s="1"/>
  <c r="A1450" i="5"/>
  <c r="A1450" i="1" s="1"/>
  <c r="A1726" i="5"/>
  <c r="A1617" i="5"/>
  <c r="A1617" i="1" s="1"/>
  <c r="A1585" i="5"/>
  <c r="A1585" i="1" s="1"/>
  <c r="A1520" i="5"/>
  <c r="A1520" i="1" s="1"/>
  <c r="A1766" i="5"/>
  <c r="A1766" i="1" s="1"/>
  <c r="A1637" i="5"/>
  <c r="A1637" i="1" s="1"/>
  <c r="A1416" i="5"/>
  <c r="A1416" i="1" s="1"/>
  <c r="A1334" i="5"/>
  <c r="A1334" i="1" s="1"/>
  <c r="A1286" i="5"/>
  <c r="A1286" i="1" s="1"/>
  <c r="A1542" i="5"/>
  <c r="A1542" i="1" s="1"/>
  <c r="A1356" i="5"/>
  <c r="A1356" i="1" s="1"/>
  <c r="A1658" i="5"/>
  <c r="A1361" i="5"/>
  <c r="A1361" i="1" s="1"/>
  <c r="A1260" i="5"/>
  <c r="A1260" i="1" s="1"/>
  <c r="A1226" i="5"/>
  <c r="A1226" i="1" s="1"/>
  <c r="A1162" i="5"/>
  <c r="A1162" i="1" s="1"/>
  <c r="A1138" i="5"/>
  <c r="A1138" i="1" s="1"/>
  <c r="A1106" i="5"/>
  <c r="A1106" i="1" s="1"/>
  <c r="A1596" i="5"/>
  <c r="A1596" i="1" s="1"/>
  <c r="A1268" i="5"/>
  <c r="A1268" i="1" s="1"/>
  <c r="A1298" i="5"/>
  <c r="A1298" i="1" s="1"/>
  <c r="A1141" i="5"/>
  <c r="A1141" i="1" s="1"/>
  <c r="A1126" i="5"/>
  <c r="A1126" i="1" s="1"/>
  <c r="A1420" i="5"/>
  <c r="A1420" i="1" s="1"/>
  <c r="A1204" i="5"/>
  <c r="A1204" i="1" s="1"/>
  <c r="A960" i="5"/>
  <c r="A960" i="1" s="1"/>
  <c r="A896" i="5"/>
  <c r="A896" i="1" s="1"/>
  <c r="A832" i="5"/>
  <c r="A832" i="1" s="1"/>
  <c r="A1284" i="5"/>
  <c r="A1284" i="1" s="1"/>
  <c r="A1180" i="5"/>
  <c r="A1180" i="1" s="1"/>
  <c r="A1148" i="5"/>
  <c r="A1148" i="1" s="1"/>
  <c r="A1062" i="5"/>
  <c r="A1062" i="1" s="1"/>
  <c r="A1030" i="5"/>
  <c r="A1030" i="1" s="1"/>
  <c r="A1244" i="5"/>
  <c r="A1244" i="1" s="1"/>
  <c r="A966" i="5"/>
  <c r="A966" i="1" s="1"/>
  <c r="A902" i="5"/>
  <c r="A902" i="1" s="1"/>
  <c r="A838" i="5"/>
  <c r="A838" i="1" s="1"/>
  <c r="A1037" i="5"/>
  <c r="A1037" i="1" s="1"/>
  <c r="A784" i="5"/>
  <c r="A784" i="1" s="1"/>
  <c r="A971" i="5"/>
  <c r="A971" i="1" s="1"/>
  <c r="A907" i="5"/>
  <c r="A907" i="1" s="1"/>
  <c r="A843" i="5"/>
  <c r="A843" i="1" s="1"/>
  <c r="A732" i="5"/>
  <c r="A732" i="1" s="1"/>
  <c r="A736" i="5"/>
  <c r="A736" i="1" s="1"/>
  <c r="A788" i="5"/>
  <c r="A788" i="1" s="1"/>
  <c r="A656" i="5"/>
  <c r="A656" i="1" s="1"/>
  <c r="A592" i="5"/>
  <c r="A592" i="1" s="1"/>
  <c r="A728" i="5"/>
  <c r="A728" i="1" s="1"/>
  <c r="A211" i="5"/>
  <c r="A211" i="1" s="1"/>
  <c r="A147" i="5"/>
  <c r="A147" i="1" s="1"/>
  <c r="A488" i="5"/>
  <c r="A488" i="1" s="1"/>
  <c r="A487" i="5"/>
  <c r="A487" i="1" s="1"/>
  <c r="A484" i="5"/>
  <c r="A484" i="1" s="1"/>
  <c r="A437" i="5"/>
  <c r="A437" i="1" s="1"/>
  <c r="A446" i="5"/>
  <c r="A446" i="1" s="1"/>
  <c r="A382" i="5"/>
  <c r="A382" i="1" s="1"/>
  <c r="A352" i="5"/>
  <c r="A352" i="1" s="1"/>
  <c r="A318" i="5"/>
  <c r="A318" i="1" s="1"/>
  <c r="A288" i="5"/>
  <c r="A288" i="1" s="1"/>
  <c r="A254" i="5"/>
  <c r="A254" i="1" s="1"/>
  <c r="A776" i="5"/>
  <c r="A776" i="1" s="1"/>
  <c r="A157" i="5"/>
  <c r="A157" i="1" s="1"/>
  <c r="A70" i="5"/>
  <c r="A70" i="1" s="1"/>
  <c r="A54" i="5"/>
  <c r="A54" i="1" s="1"/>
  <c r="A38" i="5"/>
  <c r="A38" i="1" s="1"/>
  <c r="C4" i="5"/>
  <c r="C4" i="1" s="1"/>
  <c r="A6" i="5"/>
  <c r="A6" i="1" s="1"/>
  <c r="A425" i="5"/>
  <c r="A425" i="1" s="1"/>
  <c r="A301" i="5"/>
  <c r="A301" i="1" s="1"/>
  <c r="K4" i="5"/>
  <c r="K4" i="1" s="1"/>
  <c r="A159" i="5"/>
  <c r="A159" i="1" s="1"/>
  <c r="A108" i="5"/>
  <c r="A108" i="1" s="1"/>
  <c r="A44" i="5"/>
  <c r="A44" i="1" s="1"/>
  <c r="A114" i="5"/>
  <c r="A114" i="1" s="1"/>
  <c r="A50" i="5"/>
  <c r="A50" i="1" s="1"/>
  <c r="A591" i="5"/>
  <c r="A591" i="1" s="1"/>
  <c r="A253" i="5"/>
  <c r="A253" i="1" s="1"/>
  <c r="A152" i="5"/>
  <c r="A152" i="1" s="1"/>
  <c r="A149" i="5"/>
  <c r="A149" i="1" s="1"/>
  <c r="A136" i="5"/>
  <c r="A136" i="1" s="1"/>
  <c r="A112" i="5"/>
  <c r="A112" i="1" s="1"/>
  <c r="A1726" i="1"/>
  <c r="A1598" i="1"/>
  <c r="A1534" i="1"/>
  <c r="A1470" i="1"/>
  <c r="A1831" i="1"/>
  <c r="A1767" i="1"/>
  <c r="A1703" i="1"/>
  <c r="A1906" i="1"/>
  <c r="A1842" i="1"/>
  <c r="A1778" i="1"/>
  <c r="A1714" i="1"/>
  <c r="A1650" i="1"/>
  <c r="A1586" i="1"/>
  <c r="A64" i="5"/>
  <c r="A64" i="1" s="1"/>
  <c r="A939" i="2"/>
  <c r="A1674" i="5"/>
  <c r="A1674" i="1" s="1"/>
  <c r="A1764" i="5"/>
  <c r="A1764" i="1" s="1"/>
  <c r="A1576" i="5"/>
  <c r="A1576" i="1" s="1"/>
  <c r="A1211" i="2"/>
  <c r="A955" i="2"/>
  <c r="A1977" i="5"/>
  <c r="A1977" i="1" s="1"/>
  <c r="A915" i="2"/>
  <c r="A338" i="2"/>
  <c r="A1067" i="2"/>
  <c r="A1219" i="2"/>
  <c r="A963" i="2"/>
  <c r="A370" i="2"/>
  <c r="A217" i="2"/>
  <c r="A1983" i="5"/>
  <c r="A1983" i="1" s="1"/>
  <c r="A1871" i="5"/>
  <c r="A2002" i="5"/>
  <c r="A2002" i="1" s="1"/>
  <c r="A1966" i="5"/>
  <c r="A1966" i="1" s="1"/>
  <c r="A1860" i="5"/>
  <c r="A1860" i="1" s="1"/>
  <c r="D4" i="2"/>
  <c r="A1963" i="5"/>
  <c r="A1963" i="1" s="1"/>
  <c r="A1931" i="5"/>
  <c r="A1931" i="1" s="1"/>
  <c r="A1894" i="5"/>
  <c r="A1894" i="1" s="1"/>
  <c r="A1883" i="5"/>
  <c r="A1883" i="1" s="1"/>
  <c r="A1787" i="5"/>
  <c r="A1787" i="1" s="1"/>
  <c r="A1761" i="5"/>
  <c r="A1761" i="1" s="1"/>
  <c r="A1723" i="5"/>
  <c r="A1723" i="1" s="1"/>
  <c r="A1858" i="5"/>
  <c r="A1858" i="1" s="1"/>
  <c r="A6" i="2"/>
  <c r="A1972" i="5"/>
  <c r="A1972" i="1" s="1"/>
  <c r="A1703" i="5"/>
  <c r="A1690" i="5"/>
  <c r="A1681" i="5"/>
  <c r="A1681" i="1" s="1"/>
  <c r="A1641" i="5"/>
  <c r="A1641" i="1" s="1"/>
  <c r="A1606" i="5"/>
  <c r="A1606" i="1" s="1"/>
  <c r="A1782" i="5"/>
  <c r="A1782" i="1" s="1"/>
  <c r="A1779" i="5"/>
  <c r="A1779" i="1" s="1"/>
  <c r="A1768" i="5"/>
  <c r="A1768" i="1" s="1"/>
  <c r="A1610" i="5"/>
  <c r="A1610" i="1" s="1"/>
  <c r="A1592" i="5"/>
  <c r="A1592" i="1" s="1"/>
  <c r="A1561" i="5"/>
  <c r="A1561" i="1" s="1"/>
  <c r="A1677" i="5"/>
  <c r="A1677" i="1" s="1"/>
  <c r="A1721" i="5"/>
  <c r="A1721" i="1" s="1"/>
  <c r="A1688" i="5"/>
  <c r="A1688" i="1" s="1"/>
  <c r="A1679" i="5"/>
  <c r="A1634" i="5"/>
  <c r="A1528" i="5"/>
  <c r="A1528" i="1" s="1"/>
  <c r="A1772" i="5"/>
  <c r="A1772" i="1" s="1"/>
  <c r="A1431" i="5"/>
  <c r="A1431" i="1" s="1"/>
  <c r="A1403" i="5"/>
  <c r="A1403" i="1" s="1"/>
  <c r="A1395" i="5"/>
  <c r="A1395" i="1" s="1"/>
  <c r="A1387" i="5"/>
  <c r="A1387" i="1" s="1"/>
  <c r="A1342" i="5"/>
  <c r="A1342" i="1" s="1"/>
  <c r="A1333" i="5"/>
  <c r="A1333" i="1" s="1"/>
  <c r="A1285" i="5"/>
  <c r="A1285" i="1" s="1"/>
  <c r="A1628" i="5"/>
  <c r="A1628" i="1" s="1"/>
  <c r="A1480" i="5"/>
  <c r="A1480" i="1" s="1"/>
  <c r="A1440" i="5"/>
  <c r="A1440" i="1" s="1"/>
  <c r="A1417" i="5"/>
  <c r="A1417" i="1" s="1"/>
  <c r="A1364" i="5"/>
  <c r="A1364" i="1" s="1"/>
  <c r="A1300" i="5"/>
  <c r="A1300" i="1" s="1"/>
  <c r="A1314" i="5"/>
  <c r="A1314" i="1" s="1"/>
  <c r="A1250" i="5"/>
  <c r="A1250" i="1" s="1"/>
  <c r="A1186" i="5"/>
  <c r="A1186" i="1" s="1"/>
  <c r="A1447" i="5"/>
  <c r="A1447" i="1" s="1"/>
  <c r="A1378" i="5"/>
  <c r="A1378" i="1" s="1"/>
  <c r="A1526" i="5"/>
  <c r="A1330" i="5"/>
  <c r="A1330" i="1" s="1"/>
  <c r="A1280" i="5"/>
  <c r="A1280" i="1" s="1"/>
  <c r="A1257" i="5"/>
  <c r="A1257" i="1" s="1"/>
  <c r="A1246" i="5"/>
  <c r="A1246" i="1" s="1"/>
  <c r="A1230" i="5"/>
  <c r="A1230" i="1" s="1"/>
  <c r="A1214" i="5"/>
  <c r="A1214" i="1" s="1"/>
  <c r="A1198" i="5"/>
  <c r="A1198" i="1" s="1"/>
  <c r="A1182" i="5"/>
  <c r="A1182" i="1" s="1"/>
  <c r="A1166" i="5"/>
  <c r="A1166" i="1" s="1"/>
  <c r="A1150" i="5"/>
  <c r="A1150" i="1" s="1"/>
  <c r="A1101" i="5"/>
  <c r="A1101" i="1" s="1"/>
  <c r="A1086" i="5"/>
  <c r="A1086" i="1" s="1"/>
  <c r="A1290" i="5"/>
  <c r="A1290" i="1" s="1"/>
  <c r="A1575" i="5"/>
  <c r="A1575" i="1" s="1"/>
  <c r="A1386" i="5"/>
  <c r="A1386" i="1" s="1"/>
  <c r="A1265" i="5"/>
  <c r="A1265" i="1" s="1"/>
  <c r="A1172" i="5"/>
  <c r="A1172" i="1" s="1"/>
  <c r="A1084" i="5"/>
  <c r="A1084" i="1" s="1"/>
  <c r="A1393" i="5"/>
  <c r="A1393" i="1" s="1"/>
  <c r="A1282" i="5"/>
  <c r="A1282" i="1" s="1"/>
  <c r="A1016" i="5"/>
  <c r="A1016" i="1" s="1"/>
  <c r="A952" i="5"/>
  <c r="A952" i="1" s="1"/>
  <c r="A888" i="5"/>
  <c r="A888" i="1" s="1"/>
  <c r="A824" i="5"/>
  <c r="A824" i="1" s="1"/>
  <c r="A1252" i="5"/>
  <c r="A1252" i="1" s="1"/>
  <c r="A1052" i="5"/>
  <c r="A1052" i="1" s="1"/>
  <c r="A1022" i="5"/>
  <c r="A1022" i="1" s="1"/>
  <c r="A958" i="5"/>
  <c r="A958" i="1" s="1"/>
  <c r="A894" i="5"/>
  <c r="A894" i="1" s="1"/>
  <c r="A830" i="5"/>
  <c r="A830" i="1" s="1"/>
  <c r="A782" i="5"/>
  <c r="A782" i="1" s="1"/>
  <c r="A1432" i="5"/>
  <c r="A1432" i="1" s="1"/>
  <c r="A1050" i="5"/>
  <c r="A1050" i="1" s="1"/>
  <c r="A995" i="5"/>
  <c r="A995" i="1" s="1"/>
  <c r="A764" i="5"/>
  <c r="A764" i="1" s="1"/>
  <c r="A755" i="5"/>
  <c r="A755" i="1" s="1"/>
  <c r="A716" i="5"/>
  <c r="A716" i="1" s="1"/>
  <c r="A708" i="5"/>
  <c r="A708" i="1" s="1"/>
  <c r="A700" i="5"/>
  <c r="A700" i="1" s="1"/>
  <c r="A692" i="5"/>
  <c r="A692" i="1" s="1"/>
  <c r="A684" i="5"/>
  <c r="A684" i="1" s="1"/>
  <c r="A676" i="5"/>
  <c r="A676" i="1" s="1"/>
  <c r="A668" i="5"/>
  <c r="A668" i="1" s="1"/>
  <c r="A660" i="5"/>
  <c r="A660" i="1" s="1"/>
  <c r="A652" i="5"/>
  <c r="A652" i="1" s="1"/>
  <c r="A644" i="5"/>
  <c r="A644" i="1" s="1"/>
  <c r="A636" i="5"/>
  <c r="A636" i="1" s="1"/>
  <c r="A628" i="5"/>
  <c r="A628" i="1" s="1"/>
  <c r="A620" i="5"/>
  <c r="A620" i="1" s="1"/>
  <c r="A612" i="5"/>
  <c r="A612" i="1" s="1"/>
  <c r="A604" i="5"/>
  <c r="A604" i="1" s="1"/>
  <c r="A596" i="5"/>
  <c r="A596" i="1" s="1"/>
  <c r="A588" i="5"/>
  <c r="A588" i="1" s="1"/>
  <c r="A580" i="5"/>
  <c r="A580" i="1" s="1"/>
  <c r="A572" i="5"/>
  <c r="A572" i="1" s="1"/>
  <c r="A564" i="5"/>
  <c r="A564" i="1" s="1"/>
  <c r="A556" i="5"/>
  <c r="A556" i="1" s="1"/>
  <c r="A548" i="5"/>
  <c r="A548" i="1" s="1"/>
  <c r="A540" i="5"/>
  <c r="A540" i="1" s="1"/>
  <c r="A979" i="5"/>
  <c r="A979" i="1" s="1"/>
  <c r="A915" i="5"/>
  <c r="A915" i="1" s="1"/>
  <c r="A851" i="5"/>
  <c r="A851" i="1" s="1"/>
  <c r="A768" i="5"/>
  <c r="A768" i="1" s="1"/>
  <c r="A517" i="5"/>
  <c r="A517" i="1" s="1"/>
  <c r="A501" i="5"/>
  <c r="A501" i="1" s="1"/>
  <c r="A477" i="5"/>
  <c r="A477" i="1" s="1"/>
  <c r="A712" i="5"/>
  <c r="A712" i="1" s="1"/>
  <c r="A648" i="5"/>
  <c r="A648" i="1" s="1"/>
  <c r="A584" i="5"/>
  <c r="A584" i="1" s="1"/>
  <c r="A743" i="5"/>
  <c r="A743" i="1" s="1"/>
  <c r="A187" i="5"/>
  <c r="A187" i="1" s="1"/>
  <c r="A731" i="5"/>
  <c r="A731" i="1" s="1"/>
  <c r="A401" i="5"/>
  <c r="A401" i="1" s="1"/>
  <c r="A385" i="5"/>
  <c r="A385" i="1" s="1"/>
  <c r="A369" i="5"/>
  <c r="A369" i="1" s="1"/>
  <c r="A353" i="5"/>
  <c r="A353" i="1" s="1"/>
  <c r="A337" i="5"/>
  <c r="A337" i="1" s="1"/>
  <c r="A321" i="5"/>
  <c r="A321" i="1" s="1"/>
  <c r="A305" i="5"/>
  <c r="A305" i="1" s="1"/>
  <c r="A289" i="5"/>
  <c r="A289" i="1" s="1"/>
  <c r="A273" i="5"/>
  <c r="A273" i="1" s="1"/>
  <c r="A257" i="5"/>
  <c r="A257" i="1" s="1"/>
  <c r="A241" i="5"/>
  <c r="A241" i="1" s="1"/>
  <c r="A225" i="5"/>
  <c r="A225" i="1" s="1"/>
  <c r="A438" i="5"/>
  <c r="A438" i="1" s="1"/>
  <c r="A390" i="5"/>
  <c r="A390" i="1" s="1"/>
  <c r="A360" i="5"/>
  <c r="A360" i="1" s="1"/>
  <c r="A326" i="5"/>
  <c r="A326" i="1" s="1"/>
  <c r="A296" i="5"/>
  <c r="A296" i="1" s="1"/>
  <c r="A262" i="5"/>
  <c r="A262" i="1" s="1"/>
  <c r="A232" i="5"/>
  <c r="A232" i="1" s="1"/>
  <c r="A1003" i="5"/>
  <c r="A1003" i="1" s="1"/>
  <c r="A465" i="5"/>
  <c r="A465" i="1" s="1"/>
  <c r="A695" i="5"/>
  <c r="A695" i="1" s="1"/>
  <c r="A663" i="5"/>
  <c r="A663" i="1" s="1"/>
  <c r="A631" i="5"/>
  <c r="A631" i="1" s="1"/>
  <c r="A245" i="5"/>
  <c r="A245" i="1" s="1"/>
  <c r="A184" i="5"/>
  <c r="A184" i="1" s="1"/>
  <c r="A182" i="5"/>
  <c r="A182" i="1" s="1"/>
  <c r="A333" i="5"/>
  <c r="A333" i="1" s="1"/>
  <c r="A143" i="5"/>
  <c r="A143" i="1" s="1"/>
  <c r="A134" i="5"/>
  <c r="A134" i="1" s="1"/>
  <c r="A89" i="5"/>
  <c r="A89" i="1" s="1"/>
  <c r="A84" i="5"/>
  <c r="A84" i="1" s="1"/>
  <c r="A73" i="5"/>
  <c r="A73" i="1" s="1"/>
  <c r="A20" i="5"/>
  <c r="A20" i="1" s="1"/>
  <c r="A9" i="5"/>
  <c r="A9" i="1" s="1"/>
  <c r="A176" i="5"/>
  <c r="A176" i="1" s="1"/>
  <c r="A153" i="5"/>
  <c r="A153" i="1" s="1"/>
  <c r="A224" i="5"/>
  <c r="A224" i="1" s="1"/>
  <c r="A191" i="5"/>
  <c r="A191" i="1" s="1"/>
  <c r="A167" i="5"/>
  <c r="A167" i="1" s="1"/>
  <c r="A106" i="5"/>
  <c r="A106" i="1" s="1"/>
  <c r="A58" i="5"/>
  <c r="A58" i="1" s="1"/>
  <c r="A285" i="5"/>
  <c r="A285" i="1" s="1"/>
  <c r="A161" i="5"/>
  <c r="A161" i="1" s="1"/>
  <c r="A1590" i="1"/>
  <c r="A1526" i="1"/>
  <c r="A1823" i="1"/>
  <c r="A1759" i="1"/>
  <c r="A1695" i="1"/>
  <c r="A1631" i="1"/>
  <c r="A1567" i="1"/>
  <c r="A1503" i="1"/>
  <c r="A1962" i="1"/>
  <c r="A1898" i="1"/>
  <c r="A1834" i="1"/>
  <c r="A1770" i="1"/>
  <c r="A1706" i="1"/>
  <c r="A1578" i="1"/>
  <c r="A72" i="5"/>
  <c r="A72" i="1" s="1"/>
  <c r="A8" i="5"/>
  <c r="A8" i="1" s="1"/>
  <c r="A1722" i="5"/>
  <c r="A1722" i="1" s="1"/>
  <c r="A1834" i="5"/>
  <c r="A1996" i="7"/>
  <c r="A1996" i="2" s="1"/>
  <c r="A1980" i="7"/>
  <c r="A1980" i="2" s="1"/>
  <c r="A1964" i="7"/>
  <c r="A1964" i="2" s="1"/>
  <c r="A1995" i="7"/>
  <c r="A1995" i="2" s="1"/>
  <c r="A1979" i="7"/>
  <c r="A1979" i="2" s="1"/>
  <c r="A1963" i="7"/>
  <c r="A1963" i="2" s="1"/>
  <c r="A1947" i="7"/>
  <c r="A1947" i="2" s="1"/>
  <c r="A1931" i="7"/>
  <c r="A1931" i="2" s="1"/>
  <c r="A1915" i="7"/>
  <c r="A1915" i="2" s="1"/>
  <c r="A1899" i="7"/>
  <c r="A1899" i="2" s="1"/>
  <c r="A1990" i="7"/>
  <c r="A1990" i="2" s="1"/>
  <c r="A1974" i="7"/>
  <c r="A1974" i="2" s="1"/>
  <c r="A1958" i="7"/>
  <c r="A1958" i="2" s="1"/>
  <c r="A1942" i="7"/>
  <c r="A1942" i="2" s="1"/>
  <c r="A1926" i="7"/>
  <c r="A1926" i="2" s="1"/>
  <c r="A1989" i="7"/>
  <c r="A1989" i="2" s="1"/>
  <c r="A1973" i="7"/>
  <c r="A1973" i="2" s="1"/>
  <c r="A1957" i="7"/>
  <c r="A1957" i="2" s="1"/>
  <c r="A1941" i="7"/>
  <c r="A1941" i="2" s="1"/>
  <c r="A1925" i="7"/>
  <c r="A1925" i="2" s="1"/>
  <c r="A1909" i="7"/>
  <c r="A1909" i="2" s="1"/>
  <c r="A1893" i="7"/>
  <c r="A1893" i="2" s="1"/>
  <c r="A1889" i="7"/>
  <c r="A1889" i="2" s="1"/>
  <c r="A1857" i="7"/>
  <c r="A1857" i="2" s="1"/>
  <c r="A1908" i="7"/>
  <c r="A1908" i="2" s="1"/>
  <c r="A1869" i="7"/>
  <c r="A1869" i="2" s="1"/>
  <c r="A1920" i="7"/>
  <c r="A1920" i="2" s="1"/>
  <c r="A1875" i="7"/>
  <c r="A1875" i="2" s="1"/>
  <c r="A1843" i="7"/>
  <c r="A1843" i="2" s="1"/>
  <c r="A1932" i="7"/>
  <c r="A1932" i="2" s="1"/>
  <c r="A1874" i="7"/>
  <c r="A1874" i="2" s="1"/>
  <c r="A1842" i="7"/>
  <c r="A1842" i="2" s="1"/>
  <c r="A1918" i="7"/>
  <c r="A1918" i="2" s="1"/>
  <c r="A1873" i="7"/>
  <c r="A1873" i="2" s="1"/>
  <c r="A1841" i="7"/>
  <c r="A1841" i="2" s="1"/>
  <c r="A1898" i="7"/>
  <c r="A1898" i="2" s="1"/>
  <c r="A1866" i="7"/>
  <c r="A1866" i="2" s="1"/>
  <c r="A1836" i="7"/>
  <c r="A1836" i="2" s="1"/>
  <c r="A1948" i="7"/>
  <c r="A1948" i="2" s="1"/>
  <c r="A1884" i="7"/>
  <c r="A1884" i="2" s="1"/>
  <c r="A1852" i="7"/>
  <c r="A1852" i="2" s="1"/>
  <c r="A1753" i="7"/>
  <c r="A1753" i="2" s="1"/>
  <c r="A1769" i="7"/>
  <c r="A1769" i="2" s="1"/>
  <c r="A1640" i="7"/>
  <c r="A1640" i="2" s="1"/>
  <c r="A1677" i="7"/>
  <c r="A1677" i="2" s="1"/>
  <c r="A1621" i="7"/>
  <c r="A1621" i="2" s="1"/>
  <c r="A1614" i="7"/>
  <c r="A1614" i="2" s="1"/>
  <c r="A1624" i="7"/>
  <c r="A1624" i="2" s="1"/>
  <c r="A1628" i="7"/>
  <c r="A1628" i="2" s="1"/>
  <c r="A1681" i="7"/>
  <c r="A1681" i="2" s="1"/>
  <c r="A1455" i="7"/>
  <c r="A1455" i="2" s="1"/>
  <c r="A1423" i="7"/>
  <c r="A1423" i="2" s="1"/>
  <c r="A1391" i="7"/>
  <c r="A1391" i="2" s="1"/>
  <c r="A1322" i="7"/>
  <c r="A1322" i="2" s="1"/>
  <c r="A1468" i="7"/>
  <c r="A1468" i="2" s="1"/>
  <c r="A1436" i="7"/>
  <c r="A1436" i="2" s="1"/>
  <c r="A1404" i="7"/>
  <c r="A1404" i="2" s="1"/>
  <c r="A1372" i="7"/>
  <c r="A1372" i="2" s="1"/>
  <c r="A1451" i="7"/>
  <c r="A1451" i="2" s="1"/>
  <c r="A1419" i="7"/>
  <c r="A1419" i="2" s="1"/>
  <c r="A1387" i="7"/>
  <c r="A1387" i="2" s="1"/>
  <c r="A1304" i="7"/>
  <c r="A1304" i="2" s="1"/>
  <c r="A1118" i="7"/>
  <c r="A1118" i="2" s="1"/>
  <c r="A965" i="7"/>
  <c r="A965" i="2" s="1"/>
  <c r="A939" i="7"/>
  <c r="A945" i="7"/>
  <c r="A945" i="2" s="1"/>
  <c r="A951" i="7"/>
  <c r="A951" i="2" s="1"/>
  <c r="A969" i="7"/>
  <c r="A969" i="2" s="1"/>
  <c r="A864" i="7"/>
  <c r="A864" i="2" s="1"/>
  <c r="A928" i="7"/>
  <c r="A928" i="2" s="1"/>
  <c r="A784" i="7"/>
  <c r="A784" i="2" s="1"/>
  <c r="A615" i="7"/>
  <c r="A615" i="2" s="1"/>
  <c r="A655" i="7"/>
  <c r="A655" i="2" s="1"/>
  <c r="A351" i="7"/>
  <c r="A351" i="2" s="1"/>
  <c r="A492" i="7"/>
  <c r="A492" i="2" s="1"/>
  <c r="A561" i="7"/>
  <c r="A561" i="2" s="1"/>
  <c r="A383" i="7"/>
  <c r="A383" i="2" s="1"/>
  <c r="A443" i="7"/>
  <c r="A443" i="2" s="1"/>
  <c r="A339" i="7"/>
  <c r="A339" i="2" s="1"/>
  <c r="A809" i="7"/>
  <c r="A809" i="2" s="1"/>
  <c r="A452" i="7"/>
  <c r="A452" i="2" s="1"/>
  <c r="A347" i="7"/>
  <c r="A347" i="2" s="1"/>
  <c r="A923" i="2"/>
  <c r="A403" i="2"/>
  <c r="A1969" i="5"/>
  <c r="A1969" i="1" s="1"/>
  <c r="A323" i="2"/>
  <c r="A931" i="2"/>
  <c r="A355" i="2"/>
  <c r="A185" i="2"/>
  <c r="A59" i="2"/>
  <c r="A1932" i="5"/>
  <c r="A1932" i="1" s="1"/>
  <c r="A1936" i="5"/>
  <c r="A1936" i="1" s="1"/>
  <c r="A1902" i="5"/>
  <c r="A1902" i="1" s="1"/>
  <c r="A1867" i="5"/>
  <c r="A1867" i="1" s="1"/>
  <c r="A1851" i="5"/>
  <c r="A1851" i="1" s="1"/>
  <c r="A1854" i="5"/>
  <c r="A1854" i="1" s="1"/>
  <c r="A1822" i="5"/>
  <c r="A1822" i="1" s="1"/>
  <c r="A1776" i="5"/>
  <c r="A1776" i="1" s="1"/>
  <c r="C4" i="2"/>
  <c r="A1811" i="5"/>
  <c r="A1811" i="1" s="1"/>
  <c r="A1876" i="5"/>
  <c r="A1876" i="1" s="1"/>
  <c r="A1836" i="5"/>
  <c r="A1836" i="1" s="1"/>
  <c r="A1742" i="5"/>
  <c r="A1742" i="1" s="1"/>
  <c r="A1789" i="5"/>
  <c r="A1789" i="1" s="1"/>
  <c r="A1842" i="5"/>
  <c r="A1719" i="5"/>
  <c r="A1719" i="1" s="1"/>
  <c r="A1870" i="5"/>
  <c r="A1870" i="1" s="1"/>
  <c r="A1611" i="5"/>
  <c r="A1611" i="1" s="1"/>
  <c r="A1572" i="5"/>
  <c r="A1572" i="1" s="1"/>
  <c r="A1696" i="5"/>
  <c r="A1696" i="1" s="1"/>
  <c r="A1642" i="5"/>
  <c r="A1642" i="1" s="1"/>
  <c r="A1553" i="5"/>
  <c r="A1553" i="1" s="1"/>
  <c r="A1546" i="5"/>
  <c r="A1546" i="1" s="1"/>
  <c r="A1521" i="5"/>
  <c r="A1521" i="1" s="1"/>
  <c r="A1514" i="5"/>
  <c r="A1514" i="1" s="1"/>
  <c r="A1489" i="5"/>
  <c r="A1489" i="1" s="1"/>
  <c r="A1482" i="5"/>
  <c r="A1482" i="1" s="1"/>
  <c r="A1474" i="5"/>
  <c r="A1474" i="1" s="1"/>
  <c r="A1466" i="5"/>
  <c r="A1466" i="1" s="1"/>
  <c r="A1458" i="5"/>
  <c r="A1458" i="1" s="1"/>
  <c r="A1449" i="5"/>
  <c r="A1449" i="1" s="1"/>
  <c r="A1609" i="5"/>
  <c r="A1609" i="1" s="1"/>
  <c r="A1552" i="5"/>
  <c r="A1552" i="1" s="1"/>
  <c r="A1536" i="5"/>
  <c r="A1536" i="1" s="1"/>
  <c r="A1976" i="5"/>
  <c r="A1976" i="1" s="1"/>
  <c r="A1620" i="5"/>
  <c r="A1620" i="1" s="1"/>
  <c r="A1463" i="5"/>
  <c r="A1463" i="1" s="1"/>
  <c r="A1350" i="5"/>
  <c r="A1350" i="1" s="1"/>
  <c r="A1341" i="5"/>
  <c r="A1341" i="1" s="1"/>
  <c r="A1425" i="5"/>
  <c r="A1425" i="1" s="1"/>
  <c r="A1372" i="5"/>
  <c r="A1372" i="1" s="1"/>
  <c r="A1308" i="5"/>
  <c r="A1308" i="1" s="1"/>
  <c r="A1426" i="5"/>
  <c r="A1426" i="1" s="1"/>
  <c r="A1661" i="5"/>
  <c r="A1661" i="1" s="1"/>
  <c r="A1346" i="5"/>
  <c r="A1346" i="1" s="1"/>
  <c r="A1210" i="5"/>
  <c r="A1210" i="1" s="1"/>
  <c r="A1146" i="5"/>
  <c r="A1146" i="1" s="1"/>
  <c r="A1114" i="5"/>
  <c r="A1114" i="1" s="1"/>
  <c r="A1362" i="5"/>
  <c r="A1362" i="1" s="1"/>
  <c r="A1125" i="5"/>
  <c r="A1125" i="1" s="1"/>
  <c r="A1110" i="5"/>
  <c r="A1110" i="1" s="1"/>
  <c r="A1338" i="5"/>
  <c r="A1338" i="1" s="1"/>
  <c r="A1068" i="5"/>
  <c r="A1068" i="1" s="1"/>
  <c r="A1212" i="5"/>
  <c r="A1212" i="1" s="1"/>
  <c r="A1008" i="5"/>
  <c r="A1008" i="1" s="1"/>
  <c r="A944" i="5"/>
  <c r="A944" i="1" s="1"/>
  <c r="A880" i="5"/>
  <c r="A880" i="1" s="1"/>
  <c r="A816" i="5"/>
  <c r="A816" i="1" s="1"/>
  <c r="A759" i="5"/>
  <c r="A759" i="1" s="1"/>
  <c r="A1038" i="5"/>
  <c r="A1038" i="1" s="1"/>
  <c r="A1409" i="5"/>
  <c r="A1409" i="1" s="1"/>
  <c r="A1014" i="5"/>
  <c r="A1014" i="1" s="1"/>
  <c r="A950" i="5"/>
  <c r="A950" i="1" s="1"/>
  <c r="A886" i="5"/>
  <c r="A886" i="1" s="1"/>
  <c r="A822" i="5"/>
  <c r="A822" i="1" s="1"/>
  <c r="A1082" i="5"/>
  <c r="A1082" i="1" s="1"/>
  <c r="A738" i="5"/>
  <c r="A738" i="1" s="1"/>
  <c r="A987" i="5"/>
  <c r="A987" i="1" s="1"/>
  <c r="A923" i="5"/>
  <c r="A923" i="1" s="1"/>
  <c r="A859" i="5"/>
  <c r="A859" i="1" s="1"/>
  <c r="A748" i="5"/>
  <c r="A748" i="1" s="1"/>
  <c r="A734" i="5"/>
  <c r="A734" i="1" s="1"/>
  <c r="A704" i="5"/>
  <c r="A704" i="1" s="1"/>
  <c r="A640" i="5"/>
  <c r="A640" i="1" s="1"/>
  <c r="A576" i="5"/>
  <c r="A576" i="1" s="1"/>
  <c r="A480" i="5"/>
  <c r="A480" i="1" s="1"/>
  <c r="A483" i="5"/>
  <c r="A483" i="1" s="1"/>
  <c r="A453" i="5"/>
  <c r="A453" i="1" s="1"/>
  <c r="A486" i="5"/>
  <c r="A486" i="1" s="1"/>
  <c r="A430" i="5"/>
  <c r="A430" i="1" s="1"/>
  <c r="A398" i="5"/>
  <c r="A398" i="1" s="1"/>
  <c r="A368" i="5"/>
  <c r="A368" i="1" s="1"/>
  <c r="A334" i="5"/>
  <c r="A334" i="1" s="1"/>
  <c r="A304" i="5"/>
  <c r="A304" i="1" s="1"/>
  <c r="A270" i="5"/>
  <c r="A270" i="1" s="1"/>
  <c r="A240" i="5"/>
  <c r="A240" i="1" s="1"/>
  <c r="A222" i="5"/>
  <c r="A222" i="1" s="1"/>
  <c r="A760" i="5"/>
  <c r="A760" i="1" s="1"/>
  <c r="A460" i="5"/>
  <c r="A460" i="1" s="1"/>
  <c r="A277" i="5"/>
  <c r="A277" i="1" s="1"/>
  <c r="A169" i="5"/>
  <c r="A169" i="1" s="1"/>
  <c r="A94" i="5"/>
  <c r="A94" i="1" s="1"/>
  <c r="A607" i="5"/>
  <c r="A607" i="1" s="1"/>
  <c r="A365" i="5"/>
  <c r="A365" i="1" s="1"/>
  <c r="A762" i="5"/>
  <c r="A762" i="1" s="1"/>
  <c r="A121" i="5"/>
  <c r="A121" i="1" s="1"/>
  <c r="A116" i="5"/>
  <c r="A116" i="1" s="1"/>
  <c r="A60" i="5"/>
  <c r="A60" i="1" s="1"/>
  <c r="A441" i="5"/>
  <c r="A441" i="1" s="1"/>
  <c r="A261" i="5"/>
  <c r="A261" i="1" s="1"/>
  <c r="A190" i="5"/>
  <c r="A190" i="1" s="1"/>
  <c r="A141" i="5"/>
  <c r="A141" i="1" s="1"/>
  <c r="A98" i="5"/>
  <c r="A98" i="1" s="1"/>
  <c r="A66" i="5"/>
  <c r="A66" i="1" s="1"/>
  <c r="A317" i="5"/>
  <c r="A317" i="1" s="1"/>
  <c r="A205" i="5"/>
  <c r="A205" i="1" s="1"/>
  <c r="O4" i="5"/>
  <c r="O4" i="1" s="1"/>
  <c r="A192" i="5"/>
  <c r="A192" i="1" s="1"/>
  <c r="A96" i="5"/>
  <c r="A96" i="1" s="1"/>
  <c r="A1582" i="1"/>
  <c r="A1518" i="1"/>
  <c r="A1879" i="1"/>
  <c r="A1815" i="1"/>
  <c r="A1751" i="1"/>
  <c r="A1687" i="1"/>
  <c r="A1623" i="1"/>
  <c r="A1559" i="1"/>
  <c r="A1495" i="1"/>
  <c r="A1481" i="1"/>
  <c r="A1954" i="1"/>
  <c r="A1890" i="1"/>
  <c r="A1826" i="1"/>
  <c r="A1762" i="1"/>
  <c r="A1698" i="1"/>
  <c r="A1634" i="1"/>
  <c r="A1570" i="1"/>
  <c r="A1506" i="1"/>
  <c r="A80" i="5"/>
  <c r="A80" i="1" s="1"/>
  <c r="A16" i="5"/>
  <c r="A16" i="1" s="1"/>
  <c r="A1840" i="2"/>
  <c r="A354" i="2"/>
  <c r="A819" i="2"/>
  <c r="A306" i="2"/>
  <c r="A1967" i="5"/>
  <c r="A1967" i="1" s="1"/>
  <c r="A1939" i="5"/>
  <c r="A1939" i="1" s="1"/>
  <c r="A1887" i="5"/>
  <c r="A1887" i="1" s="1"/>
  <c r="A1970" i="5"/>
  <c r="A1970" i="1" s="1"/>
  <c r="A1838" i="5"/>
  <c r="A1838" i="1" s="1"/>
  <c r="A2004" i="5"/>
  <c r="A2004" i="1" s="1"/>
  <c r="A1986" i="5"/>
  <c r="A1986" i="1" s="1"/>
  <c r="A1958" i="5"/>
  <c r="A1958" i="1" s="1"/>
  <c r="A1915" i="5"/>
  <c r="A1915" i="1" s="1"/>
  <c r="A1807" i="5"/>
  <c r="A1807" i="1" s="1"/>
  <c r="A1947" i="5"/>
  <c r="A1947" i="1" s="1"/>
  <c r="A1865" i="5"/>
  <c r="A1865" i="1" s="1"/>
  <c r="A1754" i="5"/>
  <c r="A1702" i="5"/>
  <c r="A1689" i="5"/>
  <c r="A1689" i="1" s="1"/>
  <c r="A1666" i="5"/>
  <c r="A1666" i="1" s="1"/>
  <c r="A1855" i="5"/>
  <c r="A1855" i="1" s="1"/>
  <c r="A1781" i="5"/>
  <c r="A1781" i="1" s="1"/>
  <c r="A1980" i="5"/>
  <c r="A1980" i="1" s="1"/>
  <c r="A1773" i="5"/>
  <c r="A1773" i="1" s="1"/>
  <c r="A1718" i="5"/>
  <c r="A1718" i="1" s="1"/>
  <c r="A1738" i="5"/>
  <c r="A1738" i="1" s="1"/>
  <c r="A1656" i="5"/>
  <c r="A1656" i="1" s="1"/>
  <c r="A1664" i="5"/>
  <c r="A1664" i="1" s="1"/>
  <c r="A1737" i="5"/>
  <c r="A1737" i="1" s="1"/>
  <c r="A1830" i="5"/>
  <c r="A1830" i="1" s="1"/>
  <c r="A1639" i="5"/>
  <c r="A1639" i="1" s="1"/>
  <c r="A1560" i="5"/>
  <c r="A1560" i="1" s="1"/>
  <c r="A1544" i="5"/>
  <c r="A1544" i="1" s="1"/>
  <c r="A1519" i="5"/>
  <c r="A1519" i="1" s="1"/>
  <c r="A1487" i="5"/>
  <c r="A1358" i="5"/>
  <c r="A1358" i="1" s="1"/>
  <c r="A1349" i="5"/>
  <c r="A1349" i="1" s="1"/>
  <c r="A1323" i="5"/>
  <c r="A1323" i="1" s="1"/>
  <c r="A1294" i="5"/>
  <c r="A1294" i="1" s="1"/>
  <c r="A1558" i="5"/>
  <c r="A1558" i="1" s="1"/>
  <c r="A1380" i="5"/>
  <c r="A1380" i="1" s="1"/>
  <c r="A1316" i="5"/>
  <c r="A1316" i="1" s="1"/>
  <c r="A1632" i="5"/>
  <c r="A1632" i="1" s="1"/>
  <c r="A1710" i="5"/>
  <c r="A1710" i="1" s="1"/>
  <c r="A1448" i="5"/>
  <c r="A1448" i="1" s="1"/>
  <c r="A1264" i="5"/>
  <c r="A1264" i="1" s="1"/>
  <c r="A1234" i="5"/>
  <c r="A1234" i="1" s="1"/>
  <c r="A1170" i="5"/>
  <c r="A1170" i="1" s="1"/>
  <c r="A1446" i="5"/>
  <c r="A1446" i="1" s="1"/>
  <c r="A1256" i="5"/>
  <c r="A1256" i="1" s="1"/>
  <c r="A1245" i="5"/>
  <c r="A1245" i="1" s="1"/>
  <c r="A1213" i="5"/>
  <c r="A1213" i="1" s="1"/>
  <c r="A1197" i="5"/>
  <c r="A1197" i="1" s="1"/>
  <c r="A1181" i="5"/>
  <c r="A1181" i="1" s="1"/>
  <c r="A1149" i="5"/>
  <c r="A1149" i="1" s="1"/>
  <c r="A1134" i="5"/>
  <c r="A1134" i="1" s="1"/>
  <c r="A1085" i="5"/>
  <c r="A1085" i="1" s="1"/>
  <c r="A1511" i="5"/>
  <c r="A1511" i="1" s="1"/>
  <c r="A1472" i="5"/>
  <c r="A1472" i="1" s="1"/>
  <c r="A1274" i="5"/>
  <c r="A1274" i="1" s="1"/>
  <c r="A1262" i="5"/>
  <c r="A1262" i="1" s="1"/>
  <c r="A1000" i="5"/>
  <c r="A1000" i="1" s="1"/>
  <c r="A936" i="5"/>
  <c r="A936" i="1" s="1"/>
  <c r="A872" i="5"/>
  <c r="A872" i="1" s="1"/>
  <c r="A808" i="5"/>
  <c r="A808" i="1" s="1"/>
  <c r="A1006" i="5"/>
  <c r="A1006" i="1" s="1"/>
  <c r="A942" i="5"/>
  <c r="A942" i="1" s="1"/>
  <c r="A878" i="5"/>
  <c r="A878" i="1" s="1"/>
  <c r="A814" i="5"/>
  <c r="A814" i="1" s="1"/>
  <c r="A1188" i="5"/>
  <c r="A1188" i="1" s="1"/>
  <c r="A1020" i="5"/>
  <c r="A1020" i="1" s="1"/>
  <c r="A1004" i="5"/>
  <c r="A1004" i="1" s="1"/>
  <c r="A988" i="5"/>
  <c r="A988" i="1" s="1"/>
  <c r="A972" i="5"/>
  <c r="A972" i="1" s="1"/>
  <c r="A956" i="5"/>
  <c r="A956" i="1" s="1"/>
  <c r="A940" i="5"/>
  <c r="A940" i="1" s="1"/>
  <c r="A924" i="5"/>
  <c r="A924" i="1" s="1"/>
  <c r="A908" i="5"/>
  <c r="A908" i="1" s="1"/>
  <c r="A892" i="5"/>
  <c r="A892" i="1" s="1"/>
  <c r="A876" i="5"/>
  <c r="A876" i="1" s="1"/>
  <c r="A860" i="5"/>
  <c r="A860" i="1" s="1"/>
  <c r="A844" i="5"/>
  <c r="A844" i="1" s="1"/>
  <c r="A828" i="5"/>
  <c r="A828" i="1" s="1"/>
  <c r="A812" i="5"/>
  <c r="A812" i="1" s="1"/>
  <c r="A796" i="5"/>
  <c r="A796" i="1" s="1"/>
  <c r="A1278" i="5"/>
  <c r="A1278" i="1" s="1"/>
  <c r="A1092" i="5"/>
  <c r="A1092" i="1" s="1"/>
  <c r="A1070" i="5"/>
  <c r="A1070" i="1" s="1"/>
  <c r="A1026" i="5"/>
  <c r="A1026" i="1" s="1"/>
  <c r="A1321" i="5"/>
  <c r="A1321" i="1" s="1"/>
  <c r="A931" i="5"/>
  <c r="A931" i="1" s="1"/>
  <c r="A867" i="5"/>
  <c r="A867" i="1" s="1"/>
  <c r="A803" i="5"/>
  <c r="A803" i="1" s="1"/>
  <c r="A750" i="5"/>
  <c r="A750" i="1" s="1"/>
  <c r="A739" i="5"/>
  <c r="A739" i="1" s="1"/>
  <c r="A713" i="5"/>
  <c r="A713" i="1" s="1"/>
  <c r="A697" i="5"/>
  <c r="A697" i="1" s="1"/>
  <c r="A681" i="5"/>
  <c r="A681" i="1" s="1"/>
  <c r="A665" i="5"/>
  <c r="A665" i="1" s="1"/>
  <c r="A649" i="5"/>
  <c r="A649" i="1" s="1"/>
  <c r="A633" i="5"/>
  <c r="A633" i="1" s="1"/>
  <c r="A617" i="5"/>
  <c r="A617" i="1" s="1"/>
  <c r="A601" i="5"/>
  <c r="A601" i="1" s="1"/>
  <c r="A585" i="5"/>
  <c r="A585" i="1" s="1"/>
  <c r="A569" i="5"/>
  <c r="A569" i="1" s="1"/>
  <c r="A553" i="5"/>
  <c r="A553" i="1" s="1"/>
  <c r="A537" i="5"/>
  <c r="A537" i="1" s="1"/>
  <c r="A489" i="5"/>
  <c r="A489" i="1" s="1"/>
  <c r="A473" i="5"/>
  <c r="A473" i="1" s="1"/>
  <c r="A696" i="5"/>
  <c r="A696" i="1" s="1"/>
  <c r="A632" i="5"/>
  <c r="A632" i="1" s="1"/>
  <c r="A568" i="5"/>
  <c r="A568" i="1" s="1"/>
  <c r="A179" i="5"/>
  <c r="A179" i="1" s="1"/>
  <c r="A575" i="5"/>
  <c r="A575" i="1" s="1"/>
  <c r="A504" i="5"/>
  <c r="A504" i="1" s="1"/>
  <c r="A429" i="5"/>
  <c r="A429" i="1" s="1"/>
  <c r="A217" i="5"/>
  <c r="A217" i="1" s="1"/>
  <c r="A1029" i="5"/>
  <c r="A1029" i="1" s="1"/>
  <c r="A500" i="5"/>
  <c r="A500" i="1" s="1"/>
  <c r="A462" i="5"/>
  <c r="A462" i="1" s="1"/>
  <c r="A422" i="5"/>
  <c r="A422" i="1" s="1"/>
  <c r="A406" i="5"/>
  <c r="A406" i="1" s="1"/>
  <c r="A376" i="5"/>
  <c r="A376" i="1" s="1"/>
  <c r="A342" i="5"/>
  <c r="A342" i="1" s="1"/>
  <c r="A312" i="5"/>
  <c r="A312" i="1" s="1"/>
  <c r="A278" i="5"/>
  <c r="A278" i="1" s="1"/>
  <c r="A248" i="5"/>
  <c r="A248" i="1" s="1"/>
  <c r="A532" i="5"/>
  <c r="A532" i="1" s="1"/>
  <c r="A703" i="5"/>
  <c r="A703" i="1" s="1"/>
  <c r="A671" i="5"/>
  <c r="A671" i="1" s="1"/>
  <c r="A639" i="5"/>
  <c r="A639" i="1" s="1"/>
  <c r="A492" i="5"/>
  <c r="A492" i="1" s="1"/>
  <c r="A476" i="5"/>
  <c r="A476" i="1" s="1"/>
  <c r="A448" i="5"/>
  <c r="A448" i="1" s="1"/>
  <c r="A432" i="5"/>
  <c r="A432" i="1" s="1"/>
  <c r="A416" i="5"/>
  <c r="A416" i="1" s="1"/>
  <c r="A309" i="5"/>
  <c r="A309" i="1" s="1"/>
  <c r="A139" i="5"/>
  <c r="A139" i="1" s="1"/>
  <c r="A102" i="5"/>
  <c r="A102" i="1" s="1"/>
  <c r="A524" i="5"/>
  <c r="A524" i="1" s="1"/>
  <c r="A397" i="5"/>
  <c r="A397" i="1" s="1"/>
  <c r="A213" i="5"/>
  <c r="A213" i="1" s="1"/>
  <c r="A36" i="5"/>
  <c r="A36" i="1" s="1"/>
  <c r="I4" i="5"/>
  <c r="I4" i="1" s="1"/>
  <c r="A293" i="5"/>
  <c r="A293" i="1" s="1"/>
  <c r="A90" i="5"/>
  <c r="A90" i="1" s="1"/>
  <c r="A413" i="5"/>
  <c r="A413" i="1" s="1"/>
  <c r="A381" i="5"/>
  <c r="A381" i="1" s="1"/>
  <c r="A349" i="5"/>
  <c r="A349" i="1" s="1"/>
  <c r="G4" i="5"/>
  <c r="G4" i="1" s="1"/>
  <c r="A120" i="5"/>
  <c r="A120" i="1" s="1"/>
  <c r="N4" i="5"/>
  <c r="N4" i="1" s="1"/>
  <c r="A1702" i="1"/>
  <c r="A1574" i="1"/>
  <c r="A1510" i="1"/>
  <c r="A1871" i="1"/>
  <c r="A1743" i="1"/>
  <c r="A1679" i="1"/>
  <c r="A1615" i="1"/>
  <c r="A1551" i="1"/>
  <c r="A1487" i="1"/>
  <c r="A1473" i="1"/>
  <c r="A1946" i="1"/>
  <c r="A1882" i="1"/>
  <c r="A1818" i="1"/>
  <c r="A1754" i="1"/>
  <c r="A1690" i="1"/>
  <c r="A1626" i="1"/>
  <c r="A1562" i="1"/>
  <c r="A1498" i="1"/>
  <c r="A24" i="5"/>
  <c r="A24" i="1" s="1"/>
</calcChain>
</file>

<file path=xl/sharedStrings.xml><?xml version="1.0" encoding="utf-8"?>
<sst xmlns="http://schemas.openxmlformats.org/spreadsheetml/2006/main" count="362" uniqueCount="141">
  <si>
    <t>Proactive Disclosure - Hospitality Expenses — Saint John Port Authority</t>
  </si>
  <si>
    <t>Reference Number</t>
  </si>
  <si>
    <t>Disclosure Group</t>
  </si>
  <si>
    <t>Title (English)</t>
  </si>
  <si>
    <t>Title (French)</t>
  </si>
  <si>
    <t>Name</t>
  </si>
  <si>
    <t>Purpose of hospitality activity (English)</t>
  </si>
  <si>
    <t>Purpose of hospitality activity (French)</t>
  </si>
  <si>
    <t>Start Date</t>
  </si>
  <si>
    <t>End Date</t>
  </si>
  <si>
    <t>Municipality where the hospitality_x000D_
activity took place (English)</t>
  </si>
  <si>
    <t>Municipality where the hospitality_x000D_
activity took place (French)</t>
  </si>
  <si>
    <t>Name of commercial establishment or vendor_x000D_
involved in the hospitality activity (English)</t>
  </si>
  <si>
    <t>Name of commercial establishment or vendor_x000D_
involved in the hospitality activity (French)</t>
  </si>
  <si>
    <t>Attendees (Government_x000D_
of Canada Officials)</t>
  </si>
  <si>
    <t>Attendees (Guests)</t>
  </si>
  <si>
    <t>Total cost</t>
  </si>
  <si>
    <t>Additional comments (English)</t>
  </si>
  <si>
    <t>Additional comments (French)</t>
  </si>
  <si>
    <t>v3</t>
  </si>
  <si>
    <t>stjpa-apstj</t>
  </si>
  <si>
    <t>ref_number</t>
  </si>
  <si>
    <t>disclosure_group</t>
  </si>
  <si>
    <t>title_en</t>
  </si>
  <si>
    <t>title_fr</t>
  </si>
  <si>
    <t>name</t>
  </si>
  <si>
    <t>description_en</t>
  </si>
  <si>
    <t>description_fr</t>
  </si>
  <si>
    <t>start_date</t>
  </si>
  <si>
    <t>end_date</t>
  </si>
  <si>
    <t>location_en</t>
  </si>
  <si>
    <t>location_fr</t>
  </si>
  <si>
    <t>vendor_en</t>
  </si>
  <si>
    <t>vendor_fr</t>
  </si>
  <si>
    <t>employee_attendees</t>
  </si>
  <si>
    <t>guest_attendees</t>
  </si>
  <si>
    <t>total</t>
  </si>
  <si>
    <t>additional_comments_en</t>
  </si>
  <si>
    <t>additional_comments_fr</t>
  </si>
  <si>
    <t>e.g.</t>
  </si>
  <si>
    <t>H-2019-P3-001</t>
  </si>
  <si>
    <t>SLE</t>
  </si>
  <si>
    <t>Vice-Chairperson, Deputy Minister, Parliamentary Secretary, Assistant Deputy Minister, Programs Branch</t>
  </si>
  <si>
    <t>Vice-président, sous-ministre, secrétaire parlementaire, sous-ministre adjoint, Direction générale des programmes</t>
  </si>
  <si>
    <t>Smith, John</t>
  </si>
  <si>
    <t>Refreshments: information management and policies committee meeting; reception: Maltese delegation, etc</t>
  </si>
  <si>
    <t>Rafraîchissements : Réunion du Comité de gestion de l’information et des politiques, Réception : Délégation maltaise, etc</t>
  </si>
  <si>
    <t>2019-06-25</t>
  </si>
  <si>
    <t>Montreal, Quebec, Canada</t>
  </si>
  <si>
    <t>Montréal, Québec, Canada</t>
  </si>
  <si>
    <t>Le Centre Sheraton</t>
  </si>
  <si>
    <t>7710.55</t>
  </si>
  <si>
    <t>Provide additional explanatory comments as required.</t>
  </si>
  <si>
    <t>Fournir des commentaires explicatifs additionnels au besoin.</t>
  </si>
  <si>
    <t>Proactive Disclosure - Hospitality Nothing to Report — Saint John Port Authority</t>
  </si>
  <si>
    <t>Year</t>
  </si>
  <si>
    <t>Month</t>
  </si>
  <si>
    <t>year</t>
  </si>
  <si>
    <t>month</t>
  </si>
  <si>
    <t>P01: April</t>
  </si>
  <si>
    <t>Proactive Disclosure - Hospitality Expenses</t>
  </si>
  <si>
    <t>Reference</t>
  </si>
  <si>
    <t>ID</t>
  </si>
  <si>
    <t>Description</t>
  </si>
  <si>
    <t>This field is populated by the organization. It is a unique reference number given to each line item in the_x000D_
spreadsheet. Having a unique identifier for each item will allow users locate a specific item in the_x000D_
registry should they need to modify or delete.</t>
  </si>
  <si>
    <t>Obligation</t>
  </si>
  <si>
    <t>Mandatory</t>
  </si>
  <si>
    <t>Validation</t>
  </si>
  <si>
    <t>This field must not be empty</t>
  </si>
  <si>
    <t>Format</t>
  </si>
  <si>
    <t>H-2019-P1-00001 – this sequence will continue for each line item (i.e.: H-2019-P1-00001, H-2019-P1-00002,_x000D_
H-2019-P1-00003, etc.)</t>
  </si>
  <si>
    <t>This field will display the group to which the individual belongs.</t>
  </si>
  <si>
    <t>Optional</t>
  </si>
  <si>
    <t>Controlled List</t>
  </si>
  <si>
    <t>Values</t>
  </si>
  <si>
    <t>MPSES</t>
  </si>
  <si>
    <t>Minister/Ministerial advisor / Ministerial Staff / Parliamentary Secretary/Exempt Staff</t>
  </si>
  <si>
    <t>Senior officer or employees</t>
  </si>
  <si>
    <t>This field will display, in English, the position title of the individual who incurred the hospitality_x000D_
expenses (the hospitality expenses were charged to their responsibility centre).</t>
  </si>
  <si>
    <t>Free text</t>
  </si>
  <si>
    <t>This field will display, in French, the position title of the individual who incurred the hospitality_x000D_
expenses (the hospitality expenses were charged to their responsibility centre).</t>
  </si>
  <si>
    <t>This field will display the name of the individual who incurred the hospitality expenses (the hospitality_x000D_
expenses were charged to their responsibility centre).</t>
  </si>
  <si>
    <t>This will cover both the forms (for example, breakfast, refreshment, lunch, reception, dinner and other_x000D_
forms of hospitality) and circumstances (the purpose) of the hospitality, in English.</t>
  </si>
  <si>
    <t>This will cover both the forms (for example, breakfast, refreshment, lunch, reception, dinner and other_x000D_
forms of hospitality) and circumstances (the purpose) of the hospitality, in French.</t>
  </si>
  <si>
    <t>The start date on which the hospitality was provided.</t>
  </si>
  <si>
    <t>Date (Please format the data as YYYY-MM-DD)</t>
  </si>
  <si>
    <t>The end date on which the hospitality was provided. (can be the same as start date)</t>
  </si>
  <si>
    <t>Municipality where the hospitality activity took place (English)</t>
  </si>
  <si>
    <t>Must include the Municipality where hospitality was provided, in English</t>
  </si>
  <si>
    <t>Municipality where the hospitality activity took place (French)</t>
  </si>
  <si>
    <t>Must include the Municipality where hospitality was provided, in French.</t>
  </si>
  <si>
    <t>Name of commercial establishment or vendor involved in the hospitality activity  (English)</t>
  </si>
  <si>
    <t>Must include the name of the commercial establishment or vendor that provided the hospitality (for example,_x000D_
restaurant, hotel or other location) and/or vendor (for example, a caterer), in English</t>
  </si>
  <si>
    <t>Name of commercial establishment or vendor involved in the hospitality activity  (French)</t>
  </si>
  <si>
    <t>Must include the name of the commercial establishment or vendor that provided the hospitality (for example,_x000D_
restaurant, hotel or other location) and/or vendor (for example, a caterer), in French.</t>
  </si>
  <si>
    <t>Attendees (Government of Canada Officials)</t>
  </si>
  <si>
    <t>The total number of attendees (Government of Canada Officials)</t>
  </si>
  <si>
    <t>The total number of attendees (Guests)</t>
  </si>
  <si>
    <t>Total Amount of the expenses for the hospitality activity</t>
  </si>
  <si>
    <t>Numerical – Note, do not include dollar signs ($), all amounts include taxes.</t>
  </si>
  <si>
    <t>This field may be populated with additional explanatory comments, in English.</t>
  </si>
  <si>
    <t>This field may be populated with additional explanatory comments, in French.</t>
  </si>
  <si>
    <t>Proactive Disclosure - Hospitality Nothing to Report</t>
  </si>
  <si>
    <t>This tab / field in the template is only populated if there are no hospitality expenses for the reporting_x000D_
period. This field should be populated with the year of the reporting period.</t>
  </si>
  <si>
    <t>This tab / field in the template is only populated if there are no hospitality expenses for the reporting_x000D_
period. This field should be populated with the month of the reporting period.</t>
  </si>
  <si>
    <t>P02: May</t>
  </si>
  <si>
    <t>P03: June</t>
  </si>
  <si>
    <t>P04: July</t>
  </si>
  <si>
    <t>P05: August</t>
  </si>
  <si>
    <t>P06: September</t>
  </si>
  <si>
    <t>P07: October</t>
  </si>
  <si>
    <t>P08: November</t>
  </si>
  <si>
    <t>P09: December</t>
  </si>
  <si>
    <t>P10: January</t>
  </si>
  <si>
    <t>P11: February</t>
  </si>
  <si>
    <t>P12: March</t>
  </si>
  <si>
    <t>H-2023-P09-001</t>
  </si>
  <si>
    <t>VP, Engagement &amp; Sustainability</t>
  </si>
  <si>
    <t>Copeland, Paula</t>
  </si>
  <si>
    <t>Business Meetings</t>
  </si>
  <si>
    <t>Saint John, NB, Canada</t>
  </si>
  <si>
    <t>Cora Saint John</t>
  </si>
  <si>
    <t>H-2023-P09-002</t>
  </si>
  <si>
    <t>Dixon, Andrew</t>
  </si>
  <si>
    <t>Britt's Pub</t>
  </si>
  <si>
    <t>H-2023-P09-003</t>
  </si>
  <si>
    <t>Estabrooks, Craig</t>
  </si>
  <si>
    <t>Gahan Saint John</t>
  </si>
  <si>
    <t>H-2023-P09-004</t>
  </si>
  <si>
    <t>Vito's</t>
  </si>
  <si>
    <t>H-2023-P09-005</t>
  </si>
  <si>
    <t>Rothesay, NB, Canada</t>
  </si>
  <si>
    <t>Java Moose</t>
  </si>
  <si>
    <t>H-2023-P09-006</t>
  </si>
  <si>
    <t>Jeremiah's</t>
  </si>
  <si>
    <t>VP, Mobilisation et durabilite</t>
  </si>
  <si>
    <t>Chief Operating Officer</t>
  </si>
  <si>
    <t>Chef de l'exploitation</t>
  </si>
  <si>
    <t>President &amp; CEO</t>
  </si>
  <si>
    <t>President-directeur general</t>
  </si>
  <si>
    <t>entretiens d'affaires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</si>
</sst>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\$#,##0.00"/>
  </numFmts>
  <fonts count="7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u/>
      <sz val="11"/>
      <name val="Calibri"/>
      <family val="2"/>
    </font>
    <font>
      <sz val="11"/>
      <color rgb="FF66666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D535E"/>
      </patternFill>
    </fill>
    <fill>
      <patternFill patternType="solid">
        <fgColor rgb="FF9A9EAB"/>
      </patternFill>
    </fill>
    <fill>
      <patternFill patternType="solid">
        <fgColor rgb="FFDDD9C4"/>
      </patternFill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30">
    <xf numFmtId="0" fontId="0" fillId="0" borderId="0"/>
    <xf numFmtId="0" fontId="1" fillId="2" borderId="0"/>
    <xf numFmtId="0" fontId="2" fillId="3" borderId="0"/>
    <xf numFmtId="0" fontId="3" fillId="3" borderId="0">
      <alignment vertical="center"/>
    </xf>
    <xf numFmtId="0" fontId="4" fillId="3" borderId="0">
      <alignment wrapText="1"/>
    </xf>
    <xf numFmtId="0" fontId="3" fillId="4" borderId="0">
      <alignment vertical="top" wrapText="1"/>
    </xf>
    <xf numFmtId="0" fontId="3" fillId="0" borderId="0"/>
    <xf numFmtId="0" fontId="5" fillId="5" borderId="0"/>
    <xf numFmtId="0" fontId="6" fillId="5" borderId="0">
      <alignment vertical="top"/>
    </xf>
    <xf numFmtId="0" fontId="3" fillId="0" borderId="0">
      <alignment vertical="top" wrapText="1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164" fontId="3" fillId="0" borderId="0">
      <alignment wrapText="1"/>
      <protection locked="0"/>
    </xf>
    <xf numFmtId="164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0" fontId="3" fillId="0" borderId="0">
      <alignment wrapText="1"/>
      <protection locked="0"/>
    </xf>
    <xf numFmtId="0" fontId="3" fillId="0" borderId="0">
      <alignment wrapText="1"/>
      <protection locked="0"/>
    </xf>
    <xf numFmtId="165" fontId="3" fillId="0" borderId="0">
      <alignment wrapText="1"/>
      <protection locked="0"/>
    </xf>
    <xf numFmtId="49" fontId="3" fillId="0" borderId="0">
      <alignment wrapText="1"/>
      <protection locked="0"/>
    </xf>
    <xf numFmtId="49" fontId="3" fillId="0" borderId="0">
      <alignment wrapText="1"/>
      <protection locked="0"/>
    </xf>
    <xf numFmtId="0" fontId="3" fillId="0" borderId="0">
      <alignment wrapText="1"/>
      <protection locked="0"/>
    </xf>
    <xf numFmtId="49" fontId="3" fillId="0" borderId="0">
      <alignment wrapText="1"/>
      <protection locked="0"/>
    </xf>
  </cellStyleXfs>
  <cellXfs count="45">
    <xf numFmtId="0" fontId="0" fillId="0" borderId="0" xfId="0"/>
    <xf numFmtId="0" fontId="2" fillId="3" borderId="0" xfId="0" applyFont="1" applyFill="1"/>
    <xf numFmtId="0" fontId="1" fillId="2" borderId="0" xfId="1"/>
    <xf numFmtId="0" fontId="2" fillId="3" borderId="0" xfId="2"/>
    <xf numFmtId="0" fontId="4" fillId="3" borderId="0" xfId="0" applyFont="1" applyFill="1" applyAlignment="1">
      <alignment wrapText="1"/>
    </xf>
    <xf numFmtId="0" fontId="4" fillId="3" borderId="0" xfId="4">
      <alignment wrapText="1"/>
    </xf>
    <xf numFmtId="0" fontId="0" fillId="4" borderId="0" xfId="0" applyFill="1" applyAlignment="1">
      <alignment vertical="top" wrapText="1"/>
    </xf>
    <xf numFmtId="0" fontId="3" fillId="4" borderId="0" xfId="5">
      <alignment vertical="top" wrapText="1"/>
    </xf>
    <xf numFmtId="49" fontId="3" fillId="4" borderId="0" xfId="5" applyNumberFormat="1" applyAlignment="1">
      <alignment wrapText="1"/>
    </xf>
    <xf numFmtId="164" fontId="3" fillId="4" borderId="0" xfId="5" applyNumberFormat="1" applyAlignment="1">
      <alignment wrapText="1"/>
    </xf>
    <xf numFmtId="0" fontId="3" fillId="4" borderId="0" xfId="5" applyAlignment="1">
      <alignment wrapText="1"/>
    </xf>
    <xf numFmtId="165" fontId="3" fillId="4" borderId="0" xfId="5" applyNumberFormat="1" applyAlignment="1">
      <alignment wrapText="1"/>
    </xf>
    <xf numFmtId="0" fontId="2" fillId="0" borderId="0" xfId="0" applyFont="1"/>
    <xf numFmtId="49" fontId="3" fillId="0" borderId="0" xfId="10">
      <alignment wrapText="1"/>
      <protection locked="0"/>
    </xf>
    <xf numFmtId="49" fontId="3" fillId="0" borderId="0" xfId="11">
      <alignment wrapText="1"/>
      <protection locked="0"/>
    </xf>
    <xf numFmtId="49" fontId="3" fillId="0" borderId="0" xfId="12">
      <alignment wrapText="1"/>
      <protection locked="0"/>
    </xf>
    <xf numFmtId="49" fontId="3" fillId="0" borderId="0" xfId="13">
      <alignment wrapText="1"/>
      <protection locked="0"/>
    </xf>
    <xf numFmtId="49" fontId="3" fillId="0" borderId="0" xfId="14">
      <alignment wrapText="1"/>
      <protection locked="0"/>
    </xf>
    <xf numFmtId="49" fontId="3" fillId="0" borderId="0" xfId="15">
      <alignment wrapText="1"/>
      <protection locked="0"/>
    </xf>
    <xf numFmtId="49" fontId="3" fillId="0" borderId="0" xfId="16">
      <alignment wrapText="1"/>
      <protection locked="0"/>
    </xf>
    <xf numFmtId="164" fontId="3" fillId="0" borderId="0" xfId="17">
      <alignment wrapText="1"/>
      <protection locked="0"/>
    </xf>
    <xf numFmtId="164" fontId="3" fillId="0" borderId="0" xfId="18">
      <alignment wrapText="1"/>
      <protection locked="0"/>
    </xf>
    <xf numFmtId="49" fontId="3" fillId="0" borderId="0" xfId="19">
      <alignment wrapText="1"/>
      <protection locked="0"/>
    </xf>
    <xf numFmtId="49" fontId="3" fillId="0" borderId="0" xfId="20">
      <alignment wrapText="1"/>
      <protection locked="0"/>
    </xf>
    <xf numFmtId="49" fontId="3" fillId="0" borderId="0" xfId="21">
      <alignment wrapText="1"/>
      <protection locked="0"/>
    </xf>
    <xf numFmtId="49" fontId="3" fillId="0" borderId="0" xfId="22">
      <alignment wrapText="1"/>
      <protection locked="0"/>
    </xf>
    <xf numFmtId="0" fontId="3" fillId="0" borderId="0" xfId="23">
      <alignment wrapText="1"/>
      <protection locked="0"/>
    </xf>
    <xf numFmtId="0" fontId="3" fillId="0" borderId="0" xfId="24">
      <alignment wrapText="1"/>
      <protection locked="0"/>
    </xf>
    <xf numFmtId="165" fontId="3" fillId="0" borderId="0" xfId="25">
      <alignment wrapText="1"/>
      <protection locked="0"/>
    </xf>
    <xf numFmtId="49" fontId="3" fillId="0" borderId="0" xfId="26">
      <alignment wrapText="1"/>
      <protection locked="0"/>
    </xf>
    <xf numFmtId="49" fontId="3" fillId="0" borderId="0" xfId="27">
      <alignment wrapText="1"/>
      <protection locked="0"/>
    </xf>
    <xf numFmtId="0" fontId="3" fillId="0" borderId="0" xfId="28">
      <alignment wrapText="1"/>
      <protection locked="0"/>
    </xf>
    <xf numFmtId="49" fontId="3" fillId="0" borderId="0" xfId="29">
      <alignment wrapText="1"/>
      <protection locked="0"/>
    </xf>
    <xf numFmtId="0" fontId="0" fillId="3" borderId="0" xfId="0" applyFill="1" applyAlignment="1">
      <alignment vertical="center"/>
    </xf>
    <xf numFmtId="0" fontId="3" fillId="3" borderId="0" xfId="3">
      <alignment vertical="center"/>
    </xf>
    <xf numFmtId="0" fontId="0" fillId="5" borderId="0" xfId="0" applyFill="1"/>
    <xf numFmtId="0" fontId="6" fillId="5" borderId="0" xfId="8">
      <alignment vertical="top"/>
    </xf>
    <xf numFmtId="0" fontId="3" fillId="0" borderId="0" xfId="9">
      <alignment vertical="top" wrapText="1"/>
    </xf>
    <xf numFmtId="0" fontId="3" fillId="4" borderId="0" xfId="5">
      <alignment vertical="top" wrapText="1"/>
    </xf>
    <xf numFmtId="0" fontId="0" fillId="4" borderId="0" xfId="0" applyFill="1" applyAlignment="1">
      <alignment vertical="top" wrapText="1"/>
    </xf>
    <xf numFmtId="0" fontId="3" fillId="0" borderId="0" xfId="6"/>
    <xf numFmtId="0" fontId="0" fillId="5" borderId="0" xfId="0" applyFill="1"/>
    <xf numFmtId="0" fontId="5" fillId="5" borderId="0" xfId="7"/>
    <xf numFmtId="0" fontId="2" fillId="3" borderId="0" xfId="2"/>
    <xf numFmtId="0" fontId="2" fillId="3" borderId="0" xfId="0" applyFont="1" applyFill="1"/>
  </cellXfs>
  <cellStyles count="30">
    <cellStyle name="Normal" xfId="0" builtinId="0"/>
    <cellStyle name="reco_1C" xfId="10" xr:uid="{00000000-0005-0000-0000-00000B000000}"/>
    <cellStyle name="reco_1D" xfId="11" xr:uid="{00000000-0005-0000-0000-00000C000000}"/>
    <cellStyle name="reco_1E" xfId="12" xr:uid="{00000000-0005-0000-0000-00000D000000}"/>
    <cellStyle name="reco_1F" xfId="13" xr:uid="{00000000-0005-0000-0000-00000E000000}"/>
    <cellStyle name="reco_1G" xfId="14" xr:uid="{00000000-0005-0000-0000-00000F000000}"/>
    <cellStyle name="reco_1H" xfId="15" xr:uid="{00000000-0005-0000-0000-000010000000}"/>
    <cellStyle name="reco_1I" xfId="16" xr:uid="{00000000-0005-0000-0000-000011000000}"/>
    <cellStyle name="reco_1J" xfId="17" xr:uid="{00000000-0005-0000-0000-000012000000}"/>
    <cellStyle name="reco_1K" xfId="18" xr:uid="{00000000-0005-0000-0000-000013000000}"/>
    <cellStyle name="reco_1L" xfId="19" xr:uid="{00000000-0005-0000-0000-000014000000}"/>
    <cellStyle name="reco_1M" xfId="20" xr:uid="{00000000-0005-0000-0000-000015000000}"/>
    <cellStyle name="reco_1N" xfId="21" xr:uid="{00000000-0005-0000-0000-000016000000}"/>
    <cellStyle name="reco_1O" xfId="22" xr:uid="{00000000-0005-0000-0000-000017000000}"/>
    <cellStyle name="reco_1P" xfId="23" xr:uid="{00000000-0005-0000-0000-000018000000}"/>
    <cellStyle name="reco_1Q" xfId="24" xr:uid="{00000000-0005-0000-0000-000019000000}"/>
    <cellStyle name="reco_1R" xfId="25" xr:uid="{00000000-0005-0000-0000-00001A000000}"/>
    <cellStyle name="reco_1S" xfId="26" xr:uid="{00000000-0005-0000-0000-00001B000000}"/>
    <cellStyle name="reco_1T" xfId="27" xr:uid="{00000000-0005-0000-0000-00001C000000}"/>
    <cellStyle name="reco_2C" xfId="28" xr:uid="{00000000-0005-0000-0000-00001D000000}"/>
    <cellStyle name="reco_2D" xfId="29" xr:uid="{00000000-0005-0000-0000-00001E000000}"/>
    <cellStyle name="reco_cheading" xfId="4" xr:uid="{00000000-0005-0000-0000-000004000000}"/>
    <cellStyle name="reco_edge" xfId="1" xr:uid="{00000000-0005-0000-0000-000001000000}"/>
    <cellStyle name="reco_example" xfId="5" xr:uid="{00000000-0005-0000-0000-000005000000}"/>
    <cellStyle name="reco_header" xfId="2" xr:uid="{00000000-0005-0000-0000-000002000000}"/>
    <cellStyle name="reco_header2" xfId="3" xr:uid="{00000000-0005-0000-0000-000003000000}"/>
    <cellStyle name="reco_ref_attr" xfId="8" xr:uid="{00000000-0005-0000-0000-000009000000}"/>
    <cellStyle name="reco_ref_number" xfId="6" xr:uid="{00000000-0005-0000-0000-000007000000}"/>
    <cellStyle name="reco_ref_title" xfId="7" xr:uid="{00000000-0005-0000-0000-000008000000}"/>
    <cellStyle name="reco_ref_value" xfId="9" xr:uid="{00000000-0005-0000-0000-00000A000000}"/>
  </cellStyles>
  <dxfs count="6"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rgb="FFFFFFFF"/>
      </font>
      <fill>
        <patternFill patternType="solid">
          <fgColor rgb="FF5D535E"/>
          <bgColor rgb="FF5D535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5"/>
  <sheetViews>
    <sheetView tabSelected="1" workbookViewId="0">
      <pane xSplit="2" ySplit="4" topLeftCell="G5" activePane="bottomRight" state="frozen"/>
      <selection pane="topRight" activeCell="C6" sqref="C6"/>
      <selection pane="bottomLeft"/>
      <selection pane="bottomRight" activeCell="H10" sqref="H10"/>
    </sheetView>
  </sheetViews>
  <sheetFormatPr defaultRowHeight="15" x14ac:dyDescent="0.25"/>
  <cols>
    <col min="1" max="1" width="1" customWidth="1"/>
    <col min="2" max="2" width="3" customWidth="1"/>
    <col min="3" max="4" width="22" customWidth="1"/>
    <col min="5" max="7" width="30" customWidth="1"/>
    <col min="8" max="8" width="53.28515625" customWidth="1"/>
    <col min="9" max="9" width="52" customWidth="1"/>
    <col min="10" max="11" width="20" customWidth="1"/>
    <col min="12" max="13" width="44.140625" customWidth="1"/>
    <col min="14" max="14" width="59.85546875" customWidth="1"/>
    <col min="15" max="15" width="58.42578125" customWidth="1"/>
    <col min="16" max="16" width="27.28515625" customWidth="1"/>
    <col min="17" max="17" width="24" customWidth="1"/>
    <col min="18" max="18" width="20" customWidth="1"/>
    <col min="19" max="19" width="37.7109375" customWidth="1"/>
    <col min="20" max="20" width="36.42578125" customWidth="1"/>
  </cols>
  <sheetData>
    <row r="1" spans="1:20" s="1" customFormat="1" ht="27" customHeight="1" x14ac:dyDescent="0.35">
      <c r="A1" s="2"/>
      <c r="C1" s="3" t="s">
        <v>0</v>
      </c>
    </row>
    <row r="2" spans="1:20" s="4" customFormat="1" ht="36.950000000000003" customHeight="1" x14ac:dyDescent="0.25">
      <c r="A2" s="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hidden="1" x14ac:dyDescent="0.25">
      <c r="A3" s="2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38</v>
      </c>
    </row>
    <row r="4" spans="1:20" s="4" customFormat="1" ht="6" customHeight="1" x14ac:dyDescent="0.25">
      <c r="A4" s="2"/>
      <c r="C4" s="5" t="str">
        <f>IF('e1'!C4&gt;0,HYPERLINK("#C"&amp;'e1'!C4,""),IF('r1'!C4&gt;0,HYPERLINK("#C"&amp;'r1'!C4,""),""))</f>
        <v/>
      </c>
      <c r="D4" s="5" t="str">
        <f>IF('e1'!D4&gt;0,HYPERLINK("#D"&amp;'e1'!D4,""),IF('r1'!D4&gt;0,HYPERLINK("#D"&amp;'r1'!D4,""),""))</f>
        <v/>
      </c>
      <c r="E4" s="5" t="str">
        <f>IF('e1'!E4&gt;0,HYPERLINK("#E"&amp;'e1'!E4,""),IF('r1'!E4&gt;0,HYPERLINK("#E"&amp;'r1'!E4,""),""))</f>
        <v/>
      </c>
      <c r="F4" s="5" t="str">
        <f>IF('e1'!F4&gt;0,HYPERLINK("#F"&amp;'e1'!F4,""),IF('r1'!F4&gt;0,HYPERLINK("#F"&amp;'r1'!F4,""),""))</f>
        <v/>
      </c>
      <c r="G4" s="5" t="str">
        <f>IF('e1'!G4&gt;0,HYPERLINK("#G"&amp;'e1'!G4,""),IF('r1'!G4&gt;0,HYPERLINK("#G"&amp;'r1'!G4,""),""))</f>
        <v/>
      </c>
      <c r="H4" s="5" t="str">
        <f>IF('e1'!H4&gt;0,HYPERLINK("#H"&amp;'e1'!H4,""),IF('r1'!H4&gt;0,HYPERLINK("#H"&amp;'r1'!H4,""),""))</f>
        <v/>
      </c>
      <c r="I4" s="5" t="str">
        <f>IF('e1'!I4&gt;0,HYPERLINK("#I"&amp;'e1'!I4,""),IF('r1'!I4&gt;0,HYPERLINK("#I"&amp;'r1'!I4,""),""))</f>
        <v/>
      </c>
      <c r="J4" s="5" t="str">
        <f>IF('e1'!J4&gt;0,HYPERLINK("#J"&amp;'e1'!J4,""),IF('r1'!J4&gt;0,HYPERLINK("#J"&amp;'r1'!J4,""),""))</f>
        <v/>
      </c>
      <c r="K4" s="5" t="str">
        <f>IF('e1'!K4&gt;0,HYPERLINK("#K"&amp;'e1'!K4,""),IF('r1'!K4&gt;0,HYPERLINK("#K"&amp;'r1'!K4,""),""))</f>
        <v/>
      </c>
      <c r="L4" s="5" t="str">
        <f>IF('e1'!L4&gt;0,HYPERLINK("#L"&amp;'e1'!L4,""),IF('r1'!L4&gt;0,HYPERLINK("#L"&amp;'r1'!L4,""),""))</f>
        <v/>
      </c>
      <c r="M4" s="5" t="str">
        <f>IF('e1'!M4&gt;0,HYPERLINK("#M"&amp;'e1'!M4,""),IF('r1'!M4&gt;0,HYPERLINK("#M"&amp;'r1'!M4,""),""))</f>
        <v/>
      </c>
      <c r="N4" s="5" t="str">
        <f>IF('e1'!N4&gt;0,HYPERLINK("#N"&amp;'e1'!N4,""),IF('r1'!N4&gt;0,HYPERLINK("#N"&amp;'r1'!N4,""),""))</f>
        <v/>
      </c>
      <c r="O4" s="5" t="str">
        <f>IF('e1'!O4&gt;0,HYPERLINK("#O"&amp;'e1'!O4,""),IF('r1'!O4&gt;0,HYPERLINK("#O"&amp;'r1'!O4,""),""))</f>
        <v/>
      </c>
      <c r="P4" s="5" t="str">
        <f>IF('e1'!P4&gt;0,HYPERLINK("#P"&amp;'e1'!P4,""),IF('r1'!P4&gt;0,HYPERLINK("#P"&amp;'r1'!P4,""),""))</f>
        <v/>
      </c>
      <c r="Q4" s="5" t="str">
        <f>IF('e1'!Q4&gt;0,HYPERLINK("#Q"&amp;'e1'!Q4,""),IF('r1'!Q4&gt;0,HYPERLINK("#Q"&amp;'r1'!Q4,""),""))</f>
        <v/>
      </c>
      <c r="R4" s="5" t="str">
        <f>IF('e1'!R4&gt;0,HYPERLINK("#R"&amp;'e1'!R4,""),IF('r1'!R4&gt;0,HYPERLINK("#R"&amp;'r1'!R4,""),""))</f>
        <v/>
      </c>
      <c r="S4" s="5" t="str">
        <f>IF('e1'!S4&gt;0,HYPERLINK("#S"&amp;'e1'!S4,""),IF('r1'!S4&gt;0,HYPERLINK("#S"&amp;'r1'!S4,""),""))</f>
        <v/>
      </c>
      <c r="T4" s="5" t="str">
        <f>IF('e1'!T4&gt;0,HYPERLINK("#T"&amp;'e1'!T4,""),IF('r1'!T4&gt;0,HYPERLINK("#T"&amp;'r1'!T4,""),""))</f>
        <v/>
      </c>
    </row>
    <row r="5" spans="1:20" s="6" customFormat="1" ht="69" customHeight="1" x14ac:dyDescent="0.25">
      <c r="A5" s="38" t="s">
        <v>39</v>
      </c>
      <c r="B5" s="39"/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9" t="s">
        <v>47</v>
      </c>
      <c r="K5" s="9" t="s">
        <v>47</v>
      </c>
      <c r="L5" s="8" t="s">
        <v>48</v>
      </c>
      <c r="M5" s="8" t="s">
        <v>49</v>
      </c>
      <c r="N5" s="8" t="s">
        <v>50</v>
      </c>
      <c r="O5" s="8" t="s">
        <v>50</v>
      </c>
      <c r="P5" s="10">
        <v>150</v>
      </c>
      <c r="Q5" s="10">
        <v>4</v>
      </c>
      <c r="R5" s="11" t="s">
        <v>51</v>
      </c>
      <c r="S5" s="8" t="s">
        <v>52</v>
      </c>
      <c r="T5" s="8" t="s">
        <v>53</v>
      </c>
    </row>
    <row r="6" spans="1:20" ht="24" customHeight="1" x14ac:dyDescent="0.35">
      <c r="A6" t="str">
        <f>IF('e1'!A6&gt;0,HYPERLINK("#"&amp;ADDRESS(6,'e1'!A6),""),IF('r1'!A6&gt;0,HYPERLINK("#"&amp;ADDRESS(6,'r1'!A6),""),""))</f>
        <v/>
      </c>
      <c r="B6" s="12" t="str">
        <f>IF('r1'!B6,"","▶")</f>
        <v/>
      </c>
      <c r="C6" s="13" t="s">
        <v>116</v>
      </c>
      <c r="D6" s="14" t="s">
        <v>41</v>
      </c>
      <c r="E6" s="15" t="s">
        <v>117</v>
      </c>
      <c r="F6" s="16" t="s">
        <v>135</v>
      </c>
      <c r="G6" s="17" t="s">
        <v>118</v>
      </c>
      <c r="H6" s="18" t="s">
        <v>119</v>
      </c>
      <c r="I6" s="19" t="s">
        <v>140</v>
      </c>
      <c r="J6" s="20">
        <v>45175</v>
      </c>
      <c r="K6" s="21">
        <v>45175</v>
      </c>
      <c r="L6" s="22" t="s">
        <v>120</v>
      </c>
      <c r="M6" s="23" t="s">
        <v>120</v>
      </c>
      <c r="N6" s="24" t="s">
        <v>121</v>
      </c>
      <c r="O6" s="25" t="s">
        <v>121</v>
      </c>
      <c r="P6" s="26">
        <v>2</v>
      </c>
      <c r="Q6" s="27">
        <v>1</v>
      </c>
      <c r="R6" s="28">
        <v>44.03</v>
      </c>
      <c r="S6" s="29"/>
      <c r="T6" s="30"/>
    </row>
    <row r="7" spans="1:20" ht="24" customHeight="1" x14ac:dyDescent="0.25">
      <c r="A7" t="str">
        <f>IF('e1'!A7&gt;0,HYPERLINK("#"&amp;ADDRESS(7,'e1'!A7),""),IF('r1'!A7&gt;0,HYPERLINK("#"&amp;ADDRESS(7,'r1'!A7),""),""))</f>
        <v/>
      </c>
      <c r="C7" s="13" t="s">
        <v>122</v>
      </c>
      <c r="D7" s="14" t="s">
        <v>41</v>
      </c>
      <c r="E7" s="15" t="s">
        <v>136</v>
      </c>
      <c r="F7" s="16" t="s">
        <v>137</v>
      </c>
      <c r="G7" s="17" t="s">
        <v>123</v>
      </c>
      <c r="H7" s="18" t="s">
        <v>119</v>
      </c>
      <c r="I7" s="19" t="s">
        <v>140</v>
      </c>
      <c r="J7" s="20">
        <v>45182</v>
      </c>
      <c r="K7" s="21">
        <v>45182</v>
      </c>
      <c r="L7" s="22" t="s">
        <v>120</v>
      </c>
      <c r="M7" s="23" t="s">
        <v>120</v>
      </c>
      <c r="N7" s="24" t="s">
        <v>124</v>
      </c>
      <c r="O7" s="25" t="s">
        <v>124</v>
      </c>
      <c r="P7" s="26">
        <v>5</v>
      </c>
      <c r="Q7" s="27">
        <v>1</v>
      </c>
      <c r="R7" s="28">
        <v>185.51</v>
      </c>
      <c r="S7" s="29"/>
      <c r="T7" s="30"/>
    </row>
    <row r="8" spans="1:20" ht="24" customHeight="1" x14ac:dyDescent="0.25">
      <c r="A8" t="str">
        <f>IF('e1'!A8&gt;0,HYPERLINK("#"&amp;ADDRESS(8,'e1'!A8),""),IF('r1'!A8&gt;0,HYPERLINK("#"&amp;ADDRESS(8,'r1'!A8),""),""))</f>
        <v/>
      </c>
      <c r="C8" s="13" t="s">
        <v>125</v>
      </c>
      <c r="D8" s="14" t="s">
        <v>41</v>
      </c>
      <c r="E8" s="15" t="s">
        <v>138</v>
      </c>
      <c r="F8" s="16" t="s">
        <v>139</v>
      </c>
      <c r="G8" s="17" t="s">
        <v>126</v>
      </c>
      <c r="H8" s="18" t="s">
        <v>119</v>
      </c>
      <c r="I8" s="19" t="s">
        <v>140</v>
      </c>
      <c r="J8" s="20">
        <v>45186</v>
      </c>
      <c r="K8" s="21">
        <v>45186</v>
      </c>
      <c r="L8" s="22" t="s">
        <v>120</v>
      </c>
      <c r="M8" s="23" t="s">
        <v>120</v>
      </c>
      <c r="N8" s="24" t="s">
        <v>127</v>
      </c>
      <c r="O8" s="25" t="s">
        <v>127</v>
      </c>
      <c r="P8" s="26">
        <v>6</v>
      </c>
      <c r="Q8" s="27">
        <v>1</v>
      </c>
      <c r="R8" s="28">
        <v>314.27</v>
      </c>
      <c r="S8" s="29"/>
      <c r="T8" s="30"/>
    </row>
    <row r="9" spans="1:20" ht="24" customHeight="1" x14ac:dyDescent="0.25">
      <c r="A9" t="str">
        <f>IF('e1'!A9&gt;0,HYPERLINK("#"&amp;ADDRESS(9,'e1'!A9),""),IF('r1'!A9&gt;0,HYPERLINK("#"&amp;ADDRESS(9,'r1'!A9),""),""))</f>
        <v/>
      </c>
      <c r="C9" s="13" t="s">
        <v>128</v>
      </c>
      <c r="D9" s="14" t="s">
        <v>41</v>
      </c>
      <c r="E9" s="15" t="s">
        <v>138</v>
      </c>
      <c r="F9" s="16" t="s">
        <v>139</v>
      </c>
      <c r="G9" s="17" t="s">
        <v>126</v>
      </c>
      <c r="H9" s="18" t="s">
        <v>119</v>
      </c>
      <c r="I9" s="19" t="s">
        <v>140</v>
      </c>
      <c r="J9" s="20">
        <v>45187</v>
      </c>
      <c r="K9" s="21">
        <v>45187</v>
      </c>
      <c r="L9" s="22" t="s">
        <v>120</v>
      </c>
      <c r="M9" s="23" t="s">
        <v>120</v>
      </c>
      <c r="N9" s="24" t="s">
        <v>129</v>
      </c>
      <c r="O9" s="25" t="s">
        <v>129</v>
      </c>
      <c r="P9" s="26">
        <v>4</v>
      </c>
      <c r="Q9" s="27">
        <v>1</v>
      </c>
      <c r="R9" s="28">
        <v>125.48</v>
      </c>
      <c r="S9" s="29"/>
      <c r="T9" s="30"/>
    </row>
    <row r="10" spans="1:20" ht="24" customHeight="1" x14ac:dyDescent="0.25">
      <c r="A10" t="str">
        <f>IF('e1'!A10&gt;0,HYPERLINK("#"&amp;ADDRESS(10,'e1'!A10),""),IF('r1'!A10&gt;0,HYPERLINK("#"&amp;ADDRESS(10,'r1'!A10),""),""))</f>
        <v/>
      </c>
      <c r="C10" s="13" t="s">
        <v>130</v>
      </c>
      <c r="D10" s="14" t="s">
        <v>41</v>
      </c>
      <c r="E10" s="15" t="s">
        <v>136</v>
      </c>
      <c r="F10" s="16" t="s">
        <v>137</v>
      </c>
      <c r="G10" s="17" t="s">
        <v>123</v>
      </c>
      <c r="H10" s="18" t="s">
        <v>119</v>
      </c>
      <c r="I10" s="19" t="s">
        <v>140</v>
      </c>
      <c r="J10" s="20">
        <v>45187</v>
      </c>
      <c r="K10" s="21">
        <v>45187</v>
      </c>
      <c r="L10" s="22" t="s">
        <v>131</v>
      </c>
      <c r="M10" s="23" t="s">
        <v>131</v>
      </c>
      <c r="N10" s="24" t="s">
        <v>132</v>
      </c>
      <c r="O10" s="25" t="s">
        <v>132</v>
      </c>
      <c r="P10" s="26">
        <v>1</v>
      </c>
      <c r="Q10" s="27">
        <v>1</v>
      </c>
      <c r="R10" s="28">
        <v>6.3</v>
      </c>
      <c r="S10" s="29"/>
      <c r="T10" s="30"/>
    </row>
    <row r="11" spans="1:20" ht="24" customHeight="1" x14ac:dyDescent="0.25">
      <c r="A11" t="str">
        <f>IF('e1'!A11&gt;0,HYPERLINK("#"&amp;ADDRESS(11,'e1'!A11),""),IF('r1'!A11&gt;0,HYPERLINK("#"&amp;ADDRESS(11,'r1'!A11),""),""))</f>
        <v/>
      </c>
      <c r="C11" s="13" t="s">
        <v>133</v>
      </c>
      <c r="D11" s="14" t="s">
        <v>41</v>
      </c>
      <c r="E11" s="15" t="s">
        <v>136</v>
      </c>
      <c r="F11" s="16" t="s">
        <v>137</v>
      </c>
      <c r="G11" s="17" t="s">
        <v>123</v>
      </c>
      <c r="H11" s="18" t="s">
        <v>119</v>
      </c>
      <c r="I11" s="19" t="s">
        <v>140</v>
      </c>
      <c r="J11" s="20">
        <v>45198</v>
      </c>
      <c r="K11" s="21">
        <v>45198</v>
      </c>
      <c r="L11" s="22" t="s">
        <v>120</v>
      </c>
      <c r="M11" s="23" t="s">
        <v>120</v>
      </c>
      <c r="N11" s="24" t="s">
        <v>134</v>
      </c>
      <c r="O11" s="25" t="s">
        <v>134</v>
      </c>
      <c r="P11" s="26">
        <v>3</v>
      </c>
      <c r="Q11" s="27">
        <v>3</v>
      </c>
      <c r="R11" s="28">
        <v>50.61</v>
      </c>
      <c r="S11" s="29"/>
      <c r="T11" s="30"/>
    </row>
    <row r="12" spans="1:20" ht="24" customHeight="1" x14ac:dyDescent="0.25">
      <c r="A12" t="str">
        <f>IF('e1'!A12&gt;0,HYPERLINK("#"&amp;ADDRESS(12,'e1'!A12),""),IF('r1'!A12&gt;0,HYPERLINK("#"&amp;ADDRESS(12,'r1'!A12),""),""))</f>
        <v/>
      </c>
      <c r="C12" s="13"/>
      <c r="D12" s="14"/>
      <c r="E12" s="15"/>
      <c r="F12" s="16"/>
      <c r="G12" s="17"/>
      <c r="H12" s="18"/>
      <c r="I12" s="19"/>
      <c r="J12" s="20"/>
      <c r="K12" s="21"/>
      <c r="L12" s="22"/>
      <c r="M12" s="23"/>
      <c r="N12" s="24"/>
      <c r="O12" s="25"/>
      <c r="P12" s="26"/>
      <c r="Q12" s="27"/>
      <c r="R12" s="28"/>
      <c r="S12" s="29"/>
      <c r="T12" s="30"/>
    </row>
    <row r="13" spans="1:20" ht="24" customHeight="1" x14ac:dyDescent="0.25">
      <c r="A13" t="str">
        <f>IF('e1'!A13&gt;0,HYPERLINK("#"&amp;ADDRESS(13,'e1'!A13),""),IF('r1'!A13&gt;0,HYPERLINK("#"&amp;ADDRESS(13,'r1'!A13),""),""))</f>
        <v/>
      </c>
      <c r="C13" s="13"/>
      <c r="D13" s="14"/>
      <c r="E13" s="15"/>
      <c r="F13" s="16"/>
      <c r="G13" s="17"/>
      <c r="H13" s="18"/>
      <c r="I13" s="19"/>
      <c r="J13" s="20"/>
      <c r="K13" s="21"/>
      <c r="L13" s="22"/>
      <c r="M13" s="23"/>
      <c r="N13" s="24"/>
      <c r="O13" s="25"/>
      <c r="P13" s="26"/>
      <c r="Q13" s="27"/>
      <c r="R13" s="28"/>
      <c r="S13" s="29"/>
      <c r="T13" s="30"/>
    </row>
    <row r="14" spans="1:20" ht="24" customHeight="1" x14ac:dyDescent="0.25">
      <c r="A14" t="str">
        <f>IF('e1'!A14&gt;0,HYPERLINK("#"&amp;ADDRESS(14,'e1'!A14),""),IF('r1'!A14&gt;0,HYPERLINK("#"&amp;ADDRESS(14,'r1'!A14),""),""))</f>
        <v/>
      </c>
      <c r="C14" s="13"/>
      <c r="D14" s="14"/>
      <c r="E14" s="15"/>
      <c r="F14" s="16"/>
      <c r="G14" s="17"/>
      <c r="H14" s="18"/>
      <c r="I14" s="19"/>
      <c r="J14" s="20"/>
      <c r="K14" s="21"/>
      <c r="L14" s="22"/>
      <c r="M14" s="23"/>
      <c r="N14" s="24"/>
      <c r="O14" s="25"/>
      <c r="P14" s="26"/>
      <c r="Q14" s="27"/>
      <c r="R14" s="28"/>
      <c r="S14" s="29"/>
      <c r="T14" s="30"/>
    </row>
    <row r="15" spans="1:20" ht="24" customHeight="1" x14ac:dyDescent="0.25">
      <c r="A15" t="str">
        <f>IF('e1'!A15&gt;0,HYPERLINK("#"&amp;ADDRESS(15,'e1'!A15),""),IF('r1'!A15&gt;0,HYPERLINK("#"&amp;ADDRESS(15,'r1'!A15),""),""))</f>
        <v/>
      </c>
      <c r="C15" s="13"/>
      <c r="D15" s="14"/>
      <c r="E15" s="15"/>
      <c r="F15" s="16"/>
      <c r="G15" s="17"/>
      <c r="H15" s="18"/>
      <c r="I15" s="19"/>
      <c r="J15" s="20"/>
      <c r="K15" s="21"/>
      <c r="L15" s="22"/>
      <c r="M15" s="23"/>
      <c r="N15" s="24"/>
      <c r="O15" s="25"/>
      <c r="P15" s="26"/>
      <c r="Q15" s="27"/>
      <c r="R15" s="28"/>
      <c r="S15" s="29"/>
      <c r="T15" s="30"/>
    </row>
    <row r="16" spans="1:20" ht="24" customHeight="1" x14ac:dyDescent="0.25">
      <c r="A16" t="str">
        <f>IF('e1'!A16&gt;0,HYPERLINK("#"&amp;ADDRESS(16,'e1'!A16),""),IF('r1'!A16&gt;0,HYPERLINK("#"&amp;ADDRESS(16,'r1'!A16),""),""))</f>
        <v/>
      </c>
      <c r="C16" s="13"/>
      <c r="D16" s="14"/>
      <c r="E16" s="15"/>
      <c r="F16" s="16"/>
      <c r="G16" s="17"/>
      <c r="H16" s="18"/>
      <c r="I16" s="19"/>
      <c r="J16" s="20"/>
      <c r="K16" s="21"/>
      <c r="L16" s="22"/>
      <c r="M16" s="23"/>
      <c r="N16" s="24"/>
      <c r="O16" s="25"/>
      <c r="P16" s="26"/>
      <c r="Q16" s="27"/>
      <c r="R16" s="28"/>
      <c r="S16" s="29"/>
      <c r="T16" s="30"/>
    </row>
    <row r="17" spans="1:20" ht="24" customHeight="1" x14ac:dyDescent="0.25">
      <c r="A17" t="str">
        <f>IF('e1'!A17&gt;0,HYPERLINK("#"&amp;ADDRESS(17,'e1'!A17),""),IF('r1'!A17&gt;0,HYPERLINK("#"&amp;ADDRESS(17,'r1'!A17),""),""))</f>
        <v/>
      </c>
      <c r="C17" s="13"/>
      <c r="D17" s="14"/>
      <c r="E17" s="15"/>
      <c r="F17" s="16"/>
      <c r="G17" s="17"/>
      <c r="H17" s="18"/>
      <c r="I17" s="19"/>
      <c r="J17" s="20"/>
      <c r="K17" s="21"/>
      <c r="L17" s="22"/>
      <c r="M17" s="23"/>
      <c r="N17" s="24"/>
      <c r="O17" s="25"/>
      <c r="P17" s="26"/>
      <c r="Q17" s="27"/>
      <c r="R17" s="28"/>
      <c r="S17" s="29"/>
      <c r="T17" s="30"/>
    </row>
    <row r="18" spans="1:20" ht="24" customHeight="1" x14ac:dyDescent="0.25">
      <c r="A18" t="str">
        <f>IF('e1'!A18&gt;0,HYPERLINK("#"&amp;ADDRESS(18,'e1'!A18),""),IF('r1'!A18&gt;0,HYPERLINK("#"&amp;ADDRESS(18,'r1'!A18),""),""))</f>
        <v/>
      </c>
      <c r="C18" s="13"/>
      <c r="D18" s="14"/>
      <c r="E18" s="15"/>
      <c r="F18" s="16"/>
      <c r="G18" s="17"/>
      <c r="H18" s="18"/>
      <c r="I18" s="19"/>
      <c r="J18" s="20"/>
      <c r="K18" s="21"/>
      <c r="L18" s="22"/>
      <c r="M18" s="23"/>
      <c r="N18" s="24"/>
      <c r="O18" s="25"/>
      <c r="P18" s="26"/>
      <c r="Q18" s="27"/>
      <c r="R18" s="28"/>
      <c r="S18" s="29"/>
      <c r="T18" s="30"/>
    </row>
    <row r="19" spans="1:20" ht="24" customHeight="1" x14ac:dyDescent="0.25">
      <c r="A19" t="str">
        <f>IF('e1'!A19&gt;0,HYPERLINK("#"&amp;ADDRESS(19,'e1'!A19),""),IF('r1'!A19&gt;0,HYPERLINK("#"&amp;ADDRESS(19,'r1'!A19),""),""))</f>
        <v/>
      </c>
      <c r="C19" s="13"/>
      <c r="D19" s="14"/>
      <c r="E19" s="15"/>
      <c r="F19" s="16"/>
      <c r="G19" s="17"/>
      <c r="H19" s="18"/>
      <c r="I19" s="19"/>
      <c r="J19" s="20"/>
      <c r="K19" s="21"/>
      <c r="L19" s="22"/>
      <c r="M19" s="23"/>
      <c r="N19" s="24"/>
      <c r="O19" s="25"/>
      <c r="P19" s="26"/>
      <c r="Q19" s="27"/>
      <c r="R19" s="28"/>
      <c r="S19" s="29"/>
      <c r="T19" s="30"/>
    </row>
    <row r="20" spans="1:20" ht="24" customHeight="1" x14ac:dyDescent="0.25">
      <c r="A20" t="str">
        <f>IF('e1'!A20&gt;0,HYPERLINK("#"&amp;ADDRESS(20,'e1'!A20),""),IF('r1'!A20&gt;0,HYPERLINK("#"&amp;ADDRESS(20,'r1'!A20),""),""))</f>
        <v/>
      </c>
      <c r="C20" s="13"/>
      <c r="D20" s="14"/>
      <c r="E20" s="15"/>
      <c r="F20" s="16"/>
      <c r="G20" s="17"/>
      <c r="H20" s="18"/>
      <c r="I20" s="19"/>
      <c r="J20" s="20"/>
      <c r="K20" s="21"/>
      <c r="L20" s="22"/>
      <c r="M20" s="23"/>
      <c r="N20" s="24"/>
      <c r="O20" s="25"/>
      <c r="P20" s="26"/>
      <c r="Q20" s="27"/>
      <c r="R20" s="28"/>
      <c r="S20" s="29"/>
      <c r="T20" s="30"/>
    </row>
    <row r="21" spans="1:20" ht="24" customHeight="1" x14ac:dyDescent="0.25">
      <c r="A21" t="str">
        <f>IF('e1'!A21&gt;0,HYPERLINK("#"&amp;ADDRESS(21,'e1'!A21),""),IF('r1'!A21&gt;0,HYPERLINK("#"&amp;ADDRESS(21,'r1'!A21),""),""))</f>
        <v/>
      </c>
      <c r="C21" s="13"/>
      <c r="D21" s="14"/>
      <c r="E21" s="15"/>
      <c r="F21" s="16"/>
      <c r="G21" s="17"/>
      <c r="H21" s="18"/>
      <c r="I21" s="19"/>
      <c r="J21" s="20"/>
      <c r="K21" s="21"/>
      <c r="L21" s="22"/>
      <c r="M21" s="23"/>
      <c r="N21" s="24"/>
      <c r="O21" s="25"/>
      <c r="P21" s="26"/>
      <c r="Q21" s="27"/>
      <c r="R21" s="28"/>
      <c r="S21" s="29"/>
      <c r="T21" s="30"/>
    </row>
    <row r="22" spans="1:20" ht="24" customHeight="1" x14ac:dyDescent="0.25">
      <c r="A22" t="str">
        <f>IF('e1'!A22&gt;0,HYPERLINK("#"&amp;ADDRESS(22,'e1'!A22),""),IF('r1'!A22&gt;0,HYPERLINK("#"&amp;ADDRESS(22,'r1'!A22),""),""))</f>
        <v/>
      </c>
      <c r="C22" s="13"/>
      <c r="D22" s="14"/>
      <c r="E22" s="15"/>
      <c r="F22" s="16"/>
      <c r="G22" s="17"/>
      <c r="H22" s="18"/>
      <c r="I22" s="19"/>
      <c r="J22" s="20"/>
      <c r="K22" s="21"/>
      <c r="L22" s="22"/>
      <c r="M22" s="23"/>
      <c r="N22" s="24"/>
      <c r="O22" s="25"/>
      <c r="P22" s="26"/>
      <c r="Q22" s="27"/>
      <c r="R22" s="28"/>
      <c r="S22" s="29"/>
      <c r="T22" s="30"/>
    </row>
    <row r="23" spans="1:20" ht="24" customHeight="1" x14ac:dyDescent="0.25">
      <c r="A23" t="str">
        <f>IF('e1'!A23&gt;0,HYPERLINK("#"&amp;ADDRESS(23,'e1'!A23),""),IF('r1'!A23&gt;0,HYPERLINK("#"&amp;ADDRESS(23,'r1'!A23),""),""))</f>
        <v/>
      </c>
      <c r="C23" s="13"/>
      <c r="D23" s="14"/>
      <c r="E23" s="15"/>
      <c r="F23" s="16"/>
      <c r="G23" s="17"/>
      <c r="H23" s="18"/>
      <c r="I23" s="19"/>
      <c r="J23" s="20"/>
      <c r="K23" s="21"/>
      <c r="L23" s="22"/>
      <c r="M23" s="23"/>
      <c r="N23" s="24"/>
      <c r="O23" s="25"/>
      <c r="P23" s="26"/>
      <c r="Q23" s="27"/>
      <c r="R23" s="28"/>
      <c r="S23" s="29"/>
      <c r="T23" s="30"/>
    </row>
    <row r="24" spans="1:20" ht="24" customHeight="1" x14ac:dyDescent="0.25">
      <c r="A24" t="str">
        <f>IF('e1'!A24&gt;0,HYPERLINK("#"&amp;ADDRESS(24,'e1'!A24),""),IF('r1'!A24&gt;0,HYPERLINK("#"&amp;ADDRESS(24,'r1'!A24),""),""))</f>
        <v/>
      </c>
      <c r="C24" s="13"/>
      <c r="D24" s="14"/>
      <c r="E24" s="15"/>
      <c r="F24" s="16"/>
      <c r="G24" s="17"/>
      <c r="H24" s="18"/>
      <c r="I24" s="19"/>
      <c r="J24" s="20"/>
      <c r="K24" s="21"/>
      <c r="L24" s="22"/>
      <c r="M24" s="23"/>
      <c r="N24" s="24"/>
      <c r="O24" s="25"/>
      <c r="P24" s="26"/>
      <c r="Q24" s="27"/>
      <c r="R24" s="28"/>
      <c r="S24" s="29"/>
      <c r="T24" s="30"/>
    </row>
    <row r="25" spans="1:20" ht="24" customHeight="1" x14ac:dyDescent="0.25">
      <c r="A25" t="str">
        <f>IF('e1'!A25&gt;0,HYPERLINK("#"&amp;ADDRESS(25,'e1'!A25),""),IF('r1'!A25&gt;0,HYPERLINK("#"&amp;ADDRESS(25,'r1'!A25),""),""))</f>
        <v/>
      </c>
      <c r="C25" s="13"/>
      <c r="D25" s="14"/>
      <c r="E25" s="15"/>
      <c r="F25" s="16"/>
      <c r="G25" s="17"/>
      <c r="H25" s="18"/>
      <c r="I25" s="19"/>
      <c r="J25" s="20"/>
      <c r="K25" s="21"/>
      <c r="L25" s="22"/>
      <c r="M25" s="23"/>
      <c r="N25" s="24"/>
      <c r="O25" s="25"/>
      <c r="P25" s="26"/>
      <c r="Q25" s="27"/>
      <c r="R25" s="28"/>
      <c r="S25" s="29"/>
      <c r="T25" s="30"/>
    </row>
    <row r="26" spans="1:20" ht="24" customHeight="1" x14ac:dyDescent="0.25">
      <c r="A26" t="str">
        <f>IF('e1'!A26&gt;0,HYPERLINK("#"&amp;ADDRESS(26,'e1'!A26),""),IF('r1'!A26&gt;0,HYPERLINK("#"&amp;ADDRESS(26,'r1'!A26),""),""))</f>
        <v/>
      </c>
      <c r="C26" s="13"/>
      <c r="D26" s="14"/>
      <c r="E26" s="15"/>
      <c r="F26" s="16"/>
      <c r="G26" s="17"/>
      <c r="H26" s="18"/>
      <c r="I26" s="19"/>
      <c r="J26" s="20"/>
      <c r="K26" s="21"/>
      <c r="L26" s="22"/>
      <c r="M26" s="23"/>
      <c r="N26" s="24"/>
      <c r="O26" s="25"/>
      <c r="P26" s="26"/>
      <c r="Q26" s="27"/>
      <c r="R26" s="28"/>
      <c r="S26" s="29"/>
      <c r="T26" s="30"/>
    </row>
    <row r="27" spans="1:20" ht="24" customHeight="1" x14ac:dyDescent="0.25">
      <c r="A27" t="str">
        <f>IF('e1'!A27&gt;0,HYPERLINK("#"&amp;ADDRESS(27,'e1'!A27),""),IF('r1'!A27&gt;0,HYPERLINK("#"&amp;ADDRESS(27,'r1'!A27),""),""))</f>
        <v/>
      </c>
      <c r="C27" s="13"/>
      <c r="D27" s="14"/>
      <c r="E27" s="15"/>
      <c r="F27" s="16"/>
      <c r="G27" s="17"/>
      <c r="H27" s="18"/>
      <c r="I27" s="19"/>
      <c r="J27" s="20"/>
      <c r="K27" s="21"/>
      <c r="L27" s="22"/>
      <c r="M27" s="23"/>
      <c r="N27" s="24"/>
      <c r="O27" s="25"/>
      <c r="P27" s="26"/>
      <c r="Q27" s="27"/>
      <c r="R27" s="28"/>
      <c r="S27" s="29"/>
      <c r="T27" s="30"/>
    </row>
    <row r="28" spans="1:20" ht="24" customHeight="1" x14ac:dyDescent="0.25">
      <c r="A28" t="str">
        <f>IF('e1'!A28&gt;0,HYPERLINK("#"&amp;ADDRESS(28,'e1'!A28),""),IF('r1'!A28&gt;0,HYPERLINK("#"&amp;ADDRESS(28,'r1'!A28),""),""))</f>
        <v/>
      </c>
      <c r="C28" s="13"/>
      <c r="D28" s="14"/>
      <c r="E28" s="15"/>
      <c r="F28" s="16"/>
      <c r="G28" s="17"/>
      <c r="H28" s="18"/>
      <c r="I28" s="19"/>
      <c r="J28" s="20"/>
      <c r="K28" s="21"/>
      <c r="L28" s="22"/>
      <c r="M28" s="23"/>
      <c r="N28" s="24"/>
      <c r="O28" s="25"/>
      <c r="P28" s="26"/>
      <c r="Q28" s="27"/>
      <c r="R28" s="28"/>
      <c r="S28" s="29"/>
      <c r="T28" s="30"/>
    </row>
    <row r="29" spans="1:20" ht="24" customHeight="1" x14ac:dyDescent="0.25">
      <c r="A29" t="str">
        <f>IF('e1'!A29&gt;0,HYPERLINK("#"&amp;ADDRESS(29,'e1'!A29),""),IF('r1'!A29&gt;0,HYPERLINK("#"&amp;ADDRESS(29,'r1'!A29),""),""))</f>
        <v/>
      </c>
      <c r="C29" s="13"/>
      <c r="D29" s="14"/>
      <c r="E29" s="15"/>
      <c r="F29" s="16"/>
      <c r="G29" s="17"/>
      <c r="H29" s="18"/>
      <c r="I29" s="19"/>
      <c r="J29" s="20"/>
      <c r="K29" s="21"/>
      <c r="L29" s="22"/>
      <c r="M29" s="23"/>
      <c r="N29" s="24"/>
      <c r="O29" s="25"/>
      <c r="P29" s="26"/>
      <c r="Q29" s="27"/>
      <c r="R29" s="28"/>
      <c r="S29" s="29"/>
      <c r="T29" s="30"/>
    </row>
    <row r="30" spans="1:20" ht="24" customHeight="1" x14ac:dyDescent="0.25">
      <c r="A30" t="str">
        <f>IF('e1'!A30&gt;0,HYPERLINK("#"&amp;ADDRESS(30,'e1'!A30),""),IF('r1'!A30&gt;0,HYPERLINK("#"&amp;ADDRESS(30,'r1'!A30),""),""))</f>
        <v/>
      </c>
      <c r="C30" s="13"/>
      <c r="D30" s="14"/>
      <c r="E30" s="15"/>
      <c r="F30" s="16"/>
      <c r="G30" s="17"/>
      <c r="H30" s="18"/>
      <c r="I30" s="19"/>
      <c r="J30" s="20"/>
      <c r="K30" s="21"/>
      <c r="L30" s="22"/>
      <c r="M30" s="23"/>
      <c r="N30" s="24"/>
      <c r="O30" s="25"/>
      <c r="P30" s="26"/>
      <c r="Q30" s="27"/>
      <c r="R30" s="28"/>
      <c r="S30" s="29"/>
      <c r="T30" s="30"/>
    </row>
    <row r="31" spans="1:20" ht="24" customHeight="1" x14ac:dyDescent="0.25">
      <c r="A31" t="str">
        <f>IF('e1'!A31&gt;0,HYPERLINK("#"&amp;ADDRESS(31,'e1'!A31),""),IF('r1'!A31&gt;0,HYPERLINK("#"&amp;ADDRESS(31,'r1'!A31),""),""))</f>
        <v/>
      </c>
      <c r="C31" s="13"/>
      <c r="D31" s="14"/>
      <c r="E31" s="15"/>
      <c r="F31" s="16"/>
      <c r="G31" s="17"/>
      <c r="H31" s="18"/>
      <c r="I31" s="19"/>
      <c r="J31" s="20"/>
      <c r="K31" s="21"/>
      <c r="L31" s="22"/>
      <c r="M31" s="23"/>
      <c r="N31" s="24"/>
      <c r="O31" s="25"/>
      <c r="P31" s="26"/>
      <c r="Q31" s="27"/>
      <c r="R31" s="28"/>
      <c r="S31" s="29"/>
      <c r="T31" s="30"/>
    </row>
    <row r="32" spans="1:20" ht="24" customHeight="1" x14ac:dyDescent="0.25">
      <c r="A32" t="str">
        <f>IF('e1'!A32&gt;0,HYPERLINK("#"&amp;ADDRESS(32,'e1'!A32),""),IF('r1'!A32&gt;0,HYPERLINK("#"&amp;ADDRESS(32,'r1'!A32),""),""))</f>
        <v/>
      </c>
      <c r="C32" s="13"/>
      <c r="D32" s="14"/>
      <c r="E32" s="15"/>
      <c r="F32" s="16"/>
      <c r="G32" s="17"/>
      <c r="H32" s="18"/>
      <c r="I32" s="19"/>
      <c r="J32" s="20"/>
      <c r="K32" s="21"/>
      <c r="L32" s="22"/>
      <c r="M32" s="23"/>
      <c r="N32" s="24"/>
      <c r="O32" s="25"/>
      <c r="P32" s="26"/>
      <c r="Q32" s="27"/>
      <c r="R32" s="28"/>
      <c r="S32" s="29"/>
      <c r="T32" s="30"/>
    </row>
    <row r="33" spans="1:20" ht="24" customHeight="1" x14ac:dyDescent="0.25">
      <c r="A33" t="str">
        <f>IF('e1'!A33&gt;0,HYPERLINK("#"&amp;ADDRESS(33,'e1'!A33),""),IF('r1'!A33&gt;0,HYPERLINK("#"&amp;ADDRESS(33,'r1'!A33),""),""))</f>
        <v/>
      </c>
      <c r="C33" s="13"/>
      <c r="D33" s="14"/>
      <c r="E33" s="15"/>
      <c r="F33" s="16"/>
      <c r="G33" s="17"/>
      <c r="H33" s="18"/>
      <c r="I33" s="19"/>
      <c r="J33" s="20"/>
      <c r="K33" s="21"/>
      <c r="L33" s="22"/>
      <c r="M33" s="23"/>
      <c r="N33" s="24"/>
      <c r="O33" s="25"/>
      <c r="P33" s="26"/>
      <c r="Q33" s="27"/>
      <c r="R33" s="28"/>
      <c r="S33" s="29"/>
      <c r="T33" s="30"/>
    </row>
    <row r="34" spans="1:20" ht="24" customHeight="1" x14ac:dyDescent="0.25">
      <c r="A34" t="str">
        <f>IF('e1'!A34&gt;0,HYPERLINK("#"&amp;ADDRESS(34,'e1'!A34),""),IF('r1'!A34&gt;0,HYPERLINK("#"&amp;ADDRESS(34,'r1'!A34),""),""))</f>
        <v/>
      </c>
      <c r="C34" s="13"/>
      <c r="D34" s="14"/>
      <c r="E34" s="15"/>
      <c r="F34" s="16"/>
      <c r="G34" s="17"/>
      <c r="H34" s="18"/>
      <c r="I34" s="19"/>
      <c r="J34" s="20"/>
      <c r="K34" s="21"/>
      <c r="L34" s="22"/>
      <c r="M34" s="23"/>
      <c r="N34" s="24"/>
      <c r="O34" s="25"/>
      <c r="P34" s="26"/>
      <c r="Q34" s="27"/>
      <c r="R34" s="28"/>
      <c r="S34" s="29"/>
      <c r="T34" s="30"/>
    </row>
    <row r="35" spans="1:20" ht="24" customHeight="1" x14ac:dyDescent="0.25">
      <c r="A35" t="str">
        <f>IF('e1'!A35&gt;0,HYPERLINK("#"&amp;ADDRESS(35,'e1'!A35),""),IF('r1'!A35&gt;0,HYPERLINK("#"&amp;ADDRESS(35,'r1'!A35),""),""))</f>
        <v/>
      </c>
      <c r="C35" s="13"/>
      <c r="D35" s="14"/>
      <c r="E35" s="15"/>
      <c r="F35" s="16"/>
      <c r="G35" s="17"/>
      <c r="H35" s="18"/>
      <c r="I35" s="19"/>
      <c r="J35" s="20"/>
      <c r="K35" s="21"/>
      <c r="L35" s="22"/>
      <c r="M35" s="23"/>
      <c r="N35" s="24"/>
      <c r="O35" s="25"/>
      <c r="P35" s="26"/>
      <c r="Q35" s="27"/>
      <c r="R35" s="28"/>
      <c r="S35" s="29"/>
      <c r="T35" s="30"/>
    </row>
    <row r="36" spans="1:20" ht="24" customHeight="1" x14ac:dyDescent="0.25">
      <c r="A36" t="str">
        <f>IF('e1'!A36&gt;0,HYPERLINK("#"&amp;ADDRESS(36,'e1'!A36),""),IF('r1'!A36&gt;0,HYPERLINK("#"&amp;ADDRESS(36,'r1'!A36),""),""))</f>
        <v/>
      </c>
      <c r="C36" s="13"/>
      <c r="D36" s="14"/>
      <c r="E36" s="15"/>
      <c r="F36" s="16"/>
      <c r="G36" s="17"/>
      <c r="H36" s="18"/>
      <c r="I36" s="19"/>
      <c r="J36" s="20"/>
      <c r="K36" s="21"/>
      <c r="L36" s="22"/>
      <c r="M36" s="23"/>
      <c r="N36" s="24"/>
      <c r="O36" s="25"/>
      <c r="P36" s="26"/>
      <c r="Q36" s="27"/>
      <c r="R36" s="28"/>
      <c r="S36" s="29"/>
      <c r="T36" s="30"/>
    </row>
    <row r="37" spans="1:20" ht="24" customHeight="1" x14ac:dyDescent="0.25">
      <c r="A37" t="str">
        <f>IF('e1'!A37&gt;0,HYPERLINK("#"&amp;ADDRESS(37,'e1'!A37),""),IF('r1'!A37&gt;0,HYPERLINK("#"&amp;ADDRESS(37,'r1'!A37),""),""))</f>
        <v/>
      </c>
      <c r="C37" s="13"/>
      <c r="D37" s="14"/>
      <c r="E37" s="15"/>
      <c r="F37" s="16"/>
      <c r="G37" s="17"/>
      <c r="H37" s="18"/>
      <c r="I37" s="19"/>
      <c r="J37" s="20"/>
      <c r="K37" s="21"/>
      <c r="L37" s="22"/>
      <c r="M37" s="23"/>
      <c r="N37" s="24"/>
      <c r="O37" s="25"/>
      <c r="P37" s="26"/>
      <c r="Q37" s="27"/>
      <c r="R37" s="28"/>
      <c r="S37" s="29"/>
      <c r="T37" s="30"/>
    </row>
    <row r="38" spans="1:20" ht="24" customHeight="1" x14ac:dyDescent="0.25">
      <c r="A38" t="str">
        <f>IF('e1'!A38&gt;0,HYPERLINK("#"&amp;ADDRESS(38,'e1'!A38),""),IF('r1'!A38&gt;0,HYPERLINK("#"&amp;ADDRESS(38,'r1'!A38),""),""))</f>
        <v/>
      </c>
      <c r="C38" s="13"/>
      <c r="D38" s="14"/>
      <c r="E38" s="15"/>
      <c r="F38" s="16"/>
      <c r="G38" s="17"/>
      <c r="H38" s="18"/>
      <c r="I38" s="19"/>
      <c r="J38" s="20"/>
      <c r="K38" s="21"/>
      <c r="L38" s="22"/>
      <c r="M38" s="23"/>
      <c r="N38" s="24"/>
      <c r="O38" s="25"/>
      <c r="P38" s="26"/>
      <c r="Q38" s="27"/>
      <c r="R38" s="28"/>
      <c r="S38" s="29"/>
      <c r="T38" s="30"/>
    </row>
    <row r="39" spans="1:20" ht="24" customHeight="1" x14ac:dyDescent="0.25">
      <c r="A39" t="str">
        <f>IF('e1'!A39&gt;0,HYPERLINK("#"&amp;ADDRESS(39,'e1'!A39),""),IF('r1'!A39&gt;0,HYPERLINK("#"&amp;ADDRESS(39,'r1'!A39),""),""))</f>
        <v/>
      </c>
      <c r="C39" s="13"/>
      <c r="D39" s="14"/>
      <c r="E39" s="15"/>
      <c r="F39" s="16"/>
      <c r="G39" s="17"/>
      <c r="H39" s="18"/>
      <c r="I39" s="19"/>
      <c r="J39" s="20"/>
      <c r="K39" s="21"/>
      <c r="L39" s="22"/>
      <c r="M39" s="23"/>
      <c r="N39" s="24"/>
      <c r="O39" s="25"/>
      <c r="P39" s="26"/>
      <c r="Q39" s="27"/>
      <c r="R39" s="28"/>
      <c r="S39" s="29"/>
      <c r="T39" s="30"/>
    </row>
    <row r="40" spans="1:20" ht="24" customHeight="1" x14ac:dyDescent="0.25">
      <c r="A40" t="str">
        <f>IF('e1'!A40&gt;0,HYPERLINK("#"&amp;ADDRESS(40,'e1'!A40),""),IF('r1'!A40&gt;0,HYPERLINK("#"&amp;ADDRESS(40,'r1'!A40),""),""))</f>
        <v/>
      </c>
      <c r="C40" s="13"/>
      <c r="D40" s="14"/>
      <c r="E40" s="15"/>
      <c r="F40" s="16"/>
      <c r="G40" s="17"/>
      <c r="H40" s="18"/>
      <c r="I40" s="19"/>
      <c r="J40" s="20"/>
      <c r="K40" s="21"/>
      <c r="L40" s="22"/>
      <c r="M40" s="23"/>
      <c r="N40" s="24"/>
      <c r="O40" s="25"/>
      <c r="P40" s="26"/>
      <c r="Q40" s="27"/>
      <c r="R40" s="28"/>
      <c r="S40" s="29"/>
      <c r="T40" s="30"/>
    </row>
    <row r="41" spans="1:20" ht="24" customHeight="1" x14ac:dyDescent="0.25">
      <c r="A41" t="str">
        <f>IF('e1'!A41&gt;0,HYPERLINK("#"&amp;ADDRESS(41,'e1'!A41),""),IF('r1'!A41&gt;0,HYPERLINK("#"&amp;ADDRESS(41,'r1'!A41),""),""))</f>
        <v/>
      </c>
      <c r="C41" s="13"/>
      <c r="D41" s="14"/>
      <c r="E41" s="15"/>
      <c r="F41" s="16"/>
      <c r="G41" s="17"/>
      <c r="H41" s="18"/>
      <c r="I41" s="19"/>
      <c r="J41" s="20"/>
      <c r="K41" s="21"/>
      <c r="L41" s="22"/>
      <c r="M41" s="23"/>
      <c r="N41" s="24"/>
      <c r="O41" s="25"/>
      <c r="P41" s="26"/>
      <c r="Q41" s="27"/>
      <c r="R41" s="28"/>
      <c r="S41" s="29"/>
      <c r="T41" s="30"/>
    </row>
    <row r="42" spans="1:20" ht="24" customHeight="1" x14ac:dyDescent="0.25">
      <c r="A42" t="str">
        <f>IF('e1'!A42&gt;0,HYPERLINK("#"&amp;ADDRESS(42,'e1'!A42),""),IF('r1'!A42&gt;0,HYPERLINK("#"&amp;ADDRESS(42,'r1'!A42),""),""))</f>
        <v/>
      </c>
      <c r="C42" s="13"/>
      <c r="D42" s="14"/>
      <c r="E42" s="15"/>
      <c r="F42" s="16"/>
      <c r="G42" s="17"/>
      <c r="H42" s="18"/>
      <c r="I42" s="19"/>
      <c r="J42" s="20"/>
      <c r="K42" s="21"/>
      <c r="L42" s="22"/>
      <c r="M42" s="23"/>
      <c r="N42" s="24"/>
      <c r="O42" s="25"/>
      <c r="P42" s="26"/>
      <c r="Q42" s="27"/>
      <c r="R42" s="28"/>
      <c r="S42" s="29"/>
      <c r="T42" s="30"/>
    </row>
    <row r="43" spans="1:20" ht="24" customHeight="1" x14ac:dyDescent="0.25">
      <c r="A43" t="str">
        <f>IF('e1'!A43&gt;0,HYPERLINK("#"&amp;ADDRESS(43,'e1'!A43),""),IF('r1'!A43&gt;0,HYPERLINK("#"&amp;ADDRESS(43,'r1'!A43),""),""))</f>
        <v/>
      </c>
      <c r="C43" s="13"/>
      <c r="D43" s="14"/>
      <c r="E43" s="15"/>
      <c r="F43" s="16"/>
      <c r="G43" s="17"/>
      <c r="H43" s="18"/>
      <c r="I43" s="19"/>
      <c r="J43" s="20"/>
      <c r="K43" s="21"/>
      <c r="L43" s="22"/>
      <c r="M43" s="23"/>
      <c r="N43" s="24"/>
      <c r="O43" s="25"/>
      <c r="P43" s="26"/>
      <c r="Q43" s="27"/>
      <c r="R43" s="28"/>
      <c r="S43" s="29"/>
      <c r="T43" s="30"/>
    </row>
    <row r="44" spans="1:20" ht="24" customHeight="1" x14ac:dyDescent="0.25">
      <c r="A44" t="str">
        <f>IF('e1'!A44&gt;0,HYPERLINK("#"&amp;ADDRESS(44,'e1'!A44),""),IF('r1'!A44&gt;0,HYPERLINK("#"&amp;ADDRESS(44,'r1'!A44),""),""))</f>
        <v/>
      </c>
      <c r="C44" s="13"/>
      <c r="D44" s="14"/>
      <c r="E44" s="15"/>
      <c r="F44" s="16"/>
      <c r="G44" s="17"/>
      <c r="H44" s="18"/>
      <c r="I44" s="19"/>
      <c r="J44" s="20"/>
      <c r="K44" s="21"/>
      <c r="L44" s="22"/>
      <c r="M44" s="23"/>
      <c r="N44" s="24"/>
      <c r="O44" s="25"/>
      <c r="P44" s="26"/>
      <c r="Q44" s="27"/>
      <c r="R44" s="28"/>
      <c r="S44" s="29"/>
      <c r="T44" s="30"/>
    </row>
    <row r="45" spans="1:20" ht="24" customHeight="1" x14ac:dyDescent="0.25">
      <c r="A45" t="str">
        <f>IF('e1'!A45&gt;0,HYPERLINK("#"&amp;ADDRESS(45,'e1'!A45),""),IF('r1'!A45&gt;0,HYPERLINK("#"&amp;ADDRESS(45,'r1'!A45),""),""))</f>
        <v/>
      </c>
      <c r="C45" s="13"/>
      <c r="D45" s="14"/>
      <c r="E45" s="15"/>
      <c r="F45" s="16"/>
      <c r="G45" s="17"/>
      <c r="H45" s="18"/>
      <c r="I45" s="19"/>
      <c r="J45" s="20"/>
      <c r="K45" s="21"/>
      <c r="L45" s="22"/>
      <c r="M45" s="23"/>
      <c r="N45" s="24"/>
      <c r="O45" s="25"/>
      <c r="P45" s="26"/>
      <c r="Q45" s="27"/>
      <c r="R45" s="28"/>
      <c r="S45" s="29"/>
      <c r="T45" s="30"/>
    </row>
    <row r="46" spans="1:20" ht="24" customHeight="1" x14ac:dyDescent="0.25">
      <c r="A46" t="str">
        <f>IF('e1'!A46&gt;0,HYPERLINK("#"&amp;ADDRESS(46,'e1'!A46),""),IF('r1'!A46&gt;0,HYPERLINK("#"&amp;ADDRESS(46,'r1'!A46),""),""))</f>
        <v/>
      </c>
      <c r="C46" s="13"/>
      <c r="D46" s="14"/>
      <c r="E46" s="15"/>
      <c r="F46" s="16"/>
      <c r="G46" s="17"/>
      <c r="H46" s="18"/>
      <c r="I46" s="19"/>
      <c r="J46" s="20"/>
      <c r="K46" s="21"/>
      <c r="L46" s="22"/>
      <c r="M46" s="23"/>
      <c r="N46" s="24"/>
      <c r="O46" s="25"/>
      <c r="P46" s="26"/>
      <c r="Q46" s="27"/>
      <c r="R46" s="28"/>
      <c r="S46" s="29"/>
      <c r="T46" s="30"/>
    </row>
    <row r="47" spans="1:20" ht="24" customHeight="1" x14ac:dyDescent="0.25">
      <c r="A47" t="str">
        <f>IF('e1'!A47&gt;0,HYPERLINK("#"&amp;ADDRESS(47,'e1'!A47),""),IF('r1'!A47&gt;0,HYPERLINK("#"&amp;ADDRESS(47,'r1'!A47),""),""))</f>
        <v/>
      </c>
      <c r="C47" s="13"/>
      <c r="D47" s="14"/>
      <c r="E47" s="15"/>
      <c r="F47" s="16"/>
      <c r="G47" s="17"/>
      <c r="H47" s="18"/>
      <c r="I47" s="19"/>
      <c r="J47" s="20"/>
      <c r="K47" s="21"/>
      <c r="L47" s="22"/>
      <c r="M47" s="23"/>
      <c r="N47" s="24"/>
      <c r="O47" s="25"/>
      <c r="P47" s="26"/>
      <c r="Q47" s="27"/>
      <c r="R47" s="28"/>
      <c r="S47" s="29"/>
      <c r="T47" s="30"/>
    </row>
    <row r="48" spans="1:20" ht="24" customHeight="1" x14ac:dyDescent="0.25">
      <c r="A48" t="str">
        <f>IF('e1'!A48&gt;0,HYPERLINK("#"&amp;ADDRESS(48,'e1'!A48),""),IF('r1'!A48&gt;0,HYPERLINK("#"&amp;ADDRESS(48,'r1'!A48),""),""))</f>
        <v/>
      </c>
      <c r="C48" s="13"/>
      <c r="D48" s="14"/>
      <c r="E48" s="15"/>
      <c r="F48" s="16"/>
      <c r="G48" s="17"/>
      <c r="H48" s="18"/>
      <c r="I48" s="19"/>
      <c r="J48" s="20"/>
      <c r="K48" s="21"/>
      <c r="L48" s="22"/>
      <c r="M48" s="23"/>
      <c r="N48" s="24"/>
      <c r="O48" s="25"/>
      <c r="P48" s="26"/>
      <c r="Q48" s="27"/>
      <c r="R48" s="28"/>
      <c r="S48" s="29"/>
      <c r="T48" s="30"/>
    </row>
    <row r="49" spans="1:20" ht="24" customHeight="1" x14ac:dyDescent="0.25">
      <c r="A49" t="str">
        <f>IF('e1'!A49&gt;0,HYPERLINK("#"&amp;ADDRESS(49,'e1'!A49),""),IF('r1'!A49&gt;0,HYPERLINK("#"&amp;ADDRESS(49,'r1'!A49),""),""))</f>
        <v/>
      </c>
      <c r="C49" s="13"/>
      <c r="D49" s="14"/>
      <c r="E49" s="15"/>
      <c r="F49" s="16"/>
      <c r="G49" s="17"/>
      <c r="H49" s="18"/>
      <c r="I49" s="19"/>
      <c r="J49" s="20"/>
      <c r="K49" s="21"/>
      <c r="L49" s="22"/>
      <c r="M49" s="23"/>
      <c r="N49" s="24"/>
      <c r="O49" s="25"/>
      <c r="P49" s="26"/>
      <c r="Q49" s="27"/>
      <c r="R49" s="28"/>
      <c r="S49" s="29"/>
      <c r="T49" s="30"/>
    </row>
    <row r="50" spans="1:20" ht="24" customHeight="1" x14ac:dyDescent="0.25">
      <c r="A50" t="str">
        <f>IF('e1'!A50&gt;0,HYPERLINK("#"&amp;ADDRESS(50,'e1'!A50),""),IF('r1'!A50&gt;0,HYPERLINK("#"&amp;ADDRESS(50,'r1'!A50),""),""))</f>
        <v/>
      </c>
      <c r="C50" s="13"/>
      <c r="D50" s="14"/>
      <c r="E50" s="15"/>
      <c r="F50" s="16"/>
      <c r="G50" s="17"/>
      <c r="H50" s="18"/>
      <c r="I50" s="19"/>
      <c r="J50" s="20"/>
      <c r="K50" s="21"/>
      <c r="L50" s="22"/>
      <c r="M50" s="23"/>
      <c r="N50" s="24"/>
      <c r="O50" s="25"/>
      <c r="P50" s="26"/>
      <c r="Q50" s="27"/>
      <c r="R50" s="28"/>
      <c r="S50" s="29"/>
      <c r="T50" s="30"/>
    </row>
    <row r="51" spans="1:20" ht="24" customHeight="1" x14ac:dyDescent="0.25">
      <c r="A51" t="str">
        <f>IF('e1'!A51&gt;0,HYPERLINK("#"&amp;ADDRESS(51,'e1'!A51),""),IF('r1'!A51&gt;0,HYPERLINK("#"&amp;ADDRESS(51,'r1'!A51),""),""))</f>
        <v/>
      </c>
      <c r="C51" s="13"/>
      <c r="D51" s="14"/>
      <c r="E51" s="15"/>
      <c r="F51" s="16"/>
      <c r="G51" s="17"/>
      <c r="H51" s="18"/>
      <c r="I51" s="19"/>
      <c r="J51" s="20"/>
      <c r="K51" s="21"/>
      <c r="L51" s="22"/>
      <c r="M51" s="23"/>
      <c r="N51" s="24"/>
      <c r="O51" s="25"/>
      <c r="P51" s="26"/>
      <c r="Q51" s="27"/>
      <c r="R51" s="28"/>
      <c r="S51" s="29"/>
      <c r="T51" s="30"/>
    </row>
    <row r="52" spans="1:20" ht="24" customHeight="1" x14ac:dyDescent="0.25">
      <c r="A52" t="str">
        <f>IF('e1'!A52&gt;0,HYPERLINK("#"&amp;ADDRESS(52,'e1'!A52),""),IF('r1'!A52&gt;0,HYPERLINK("#"&amp;ADDRESS(52,'r1'!A52),""),""))</f>
        <v/>
      </c>
      <c r="C52" s="13"/>
      <c r="D52" s="14"/>
      <c r="E52" s="15"/>
      <c r="F52" s="16"/>
      <c r="G52" s="17"/>
      <c r="H52" s="18"/>
      <c r="I52" s="19"/>
      <c r="J52" s="20"/>
      <c r="K52" s="21"/>
      <c r="L52" s="22"/>
      <c r="M52" s="23"/>
      <c r="N52" s="24"/>
      <c r="O52" s="25"/>
      <c r="P52" s="26"/>
      <c r="Q52" s="27"/>
      <c r="R52" s="28"/>
      <c r="S52" s="29"/>
      <c r="T52" s="30"/>
    </row>
    <row r="53" spans="1:20" ht="24" customHeight="1" x14ac:dyDescent="0.25">
      <c r="A53" t="str">
        <f>IF('e1'!A53&gt;0,HYPERLINK("#"&amp;ADDRESS(53,'e1'!A53),""),IF('r1'!A53&gt;0,HYPERLINK("#"&amp;ADDRESS(53,'r1'!A53),""),""))</f>
        <v/>
      </c>
      <c r="C53" s="13"/>
      <c r="D53" s="14"/>
      <c r="E53" s="15"/>
      <c r="F53" s="16"/>
      <c r="G53" s="17"/>
      <c r="H53" s="18"/>
      <c r="I53" s="19"/>
      <c r="J53" s="20"/>
      <c r="K53" s="21"/>
      <c r="L53" s="22"/>
      <c r="M53" s="23"/>
      <c r="N53" s="24"/>
      <c r="O53" s="25"/>
      <c r="P53" s="26"/>
      <c r="Q53" s="27"/>
      <c r="R53" s="28"/>
      <c r="S53" s="29"/>
      <c r="T53" s="30"/>
    </row>
    <row r="54" spans="1:20" ht="24" customHeight="1" x14ac:dyDescent="0.25">
      <c r="A54" t="str">
        <f>IF('e1'!A54&gt;0,HYPERLINK("#"&amp;ADDRESS(54,'e1'!A54),""),IF('r1'!A54&gt;0,HYPERLINK("#"&amp;ADDRESS(54,'r1'!A54),""),""))</f>
        <v/>
      </c>
      <c r="C54" s="13"/>
      <c r="D54" s="14"/>
      <c r="E54" s="15"/>
      <c r="F54" s="16"/>
      <c r="G54" s="17"/>
      <c r="H54" s="18"/>
      <c r="I54" s="19"/>
      <c r="J54" s="20"/>
      <c r="K54" s="21"/>
      <c r="L54" s="22"/>
      <c r="M54" s="23"/>
      <c r="N54" s="24"/>
      <c r="O54" s="25"/>
      <c r="P54" s="26"/>
      <c r="Q54" s="27"/>
      <c r="R54" s="28"/>
      <c r="S54" s="29"/>
      <c r="T54" s="30"/>
    </row>
    <row r="55" spans="1:20" ht="24" customHeight="1" x14ac:dyDescent="0.25">
      <c r="A55" t="str">
        <f>IF('e1'!A55&gt;0,HYPERLINK("#"&amp;ADDRESS(55,'e1'!A55),""),IF('r1'!A55&gt;0,HYPERLINK("#"&amp;ADDRESS(55,'r1'!A55),""),""))</f>
        <v/>
      </c>
      <c r="C55" s="13"/>
      <c r="D55" s="14"/>
      <c r="E55" s="15"/>
      <c r="F55" s="16"/>
      <c r="G55" s="17"/>
      <c r="H55" s="18"/>
      <c r="I55" s="19"/>
      <c r="J55" s="20"/>
      <c r="K55" s="21"/>
      <c r="L55" s="22"/>
      <c r="M55" s="23"/>
      <c r="N55" s="24"/>
      <c r="O55" s="25"/>
      <c r="P55" s="26"/>
      <c r="Q55" s="27"/>
      <c r="R55" s="28"/>
      <c r="S55" s="29"/>
      <c r="T55" s="30"/>
    </row>
    <row r="56" spans="1:20" ht="24" customHeight="1" x14ac:dyDescent="0.25">
      <c r="A56" t="str">
        <f>IF('e1'!A56&gt;0,HYPERLINK("#"&amp;ADDRESS(56,'e1'!A56),""),IF('r1'!A56&gt;0,HYPERLINK("#"&amp;ADDRESS(56,'r1'!A56),""),""))</f>
        <v/>
      </c>
      <c r="C56" s="13"/>
      <c r="D56" s="14"/>
      <c r="E56" s="15"/>
      <c r="F56" s="16"/>
      <c r="G56" s="17"/>
      <c r="H56" s="18"/>
      <c r="I56" s="19"/>
      <c r="J56" s="20"/>
      <c r="K56" s="21"/>
      <c r="L56" s="22"/>
      <c r="M56" s="23"/>
      <c r="N56" s="24"/>
      <c r="O56" s="25"/>
      <c r="P56" s="26"/>
      <c r="Q56" s="27"/>
      <c r="R56" s="28"/>
      <c r="S56" s="29"/>
      <c r="T56" s="30"/>
    </row>
    <row r="57" spans="1:20" ht="24" customHeight="1" x14ac:dyDescent="0.25">
      <c r="A57" t="str">
        <f>IF('e1'!A57&gt;0,HYPERLINK("#"&amp;ADDRESS(57,'e1'!A57),""),IF('r1'!A57&gt;0,HYPERLINK("#"&amp;ADDRESS(57,'r1'!A57),""),""))</f>
        <v/>
      </c>
      <c r="C57" s="13"/>
      <c r="D57" s="14"/>
      <c r="E57" s="15"/>
      <c r="F57" s="16"/>
      <c r="G57" s="17"/>
      <c r="H57" s="18"/>
      <c r="I57" s="19"/>
      <c r="J57" s="20"/>
      <c r="K57" s="21"/>
      <c r="L57" s="22"/>
      <c r="M57" s="23"/>
      <c r="N57" s="24"/>
      <c r="O57" s="25"/>
      <c r="P57" s="26"/>
      <c r="Q57" s="27"/>
      <c r="R57" s="28"/>
      <c r="S57" s="29"/>
      <c r="T57" s="30"/>
    </row>
    <row r="58" spans="1:20" ht="24" customHeight="1" x14ac:dyDescent="0.25">
      <c r="A58" t="str">
        <f>IF('e1'!A58&gt;0,HYPERLINK("#"&amp;ADDRESS(58,'e1'!A58),""),IF('r1'!A58&gt;0,HYPERLINK("#"&amp;ADDRESS(58,'r1'!A58),""),""))</f>
        <v/>
      </c>
      <c r="C58" s="13"/>
      <c r="D58" s="14"/>
      <c r="E58" s="15"/>
      <c r="F58" s="16"/>
      <c r="G58" s="17"/>
      <c r="H58" s="18"/>
      <c r="I58" s="19"/>
      <c r="J58" s="20"/>
      <c r="K58" s="21"/>
      <c r="L58" s="22"/>
      <c r="M58" s="23"/>
      <c r="N58" s="24"/>
      <c r="O58" s="25"/>
      <c r="P58" s="26"/>
      <c r="Q58" s="27"/>
      <c r="R58" s="28"/>
      <c r="S58" s="29"/>
      <c r="T58" s="30"/>
    </row>
    <row r="59" spans="1:20" ht="24" customHeight="1" x14ac:dyDescent="0.25">
      <c r="A59" t="str">
        <f>IF('e1'!A59&gt;0,HYPERLINK("#"&amp;ADDRESS(59,'e1'!A59),""),IF('r1'!A59&gt;0,HYPERLINK("#"&amp;ADDRESS(59,'r1'!A59),""),""))</f>
        <v/>
      </c>
      <c r="C59" s="13"/>
      <c r="D59" s="14"/>
      <c r="E59" s="15"/>
      <c r="F59" s="16"/>
      <c r="G59" s="17"/>
      <c r="H59" s="18"/>
      <c r="I59" s="19"/>
      <c r="J59" s="20"/>
      <c r="K59" s="21"/>
      <c r="L59" s="22"/>
      <c r="M59" s="23"/>
      <c r="N59" s="24"/>
      <c r="O59" s="25"/>
      <c r="P59" s="26"/>
      <c r="Q59" s="27"/>
      <c r="R59" s="28"/>
      <c r="S59" s="29"/>
      <c r="T59" s="30"/>
    </row>
    <row r="60" spans="1:20" ht="24" customHeight="1" x14ac:dyDescent="0.25">
      <c r="A60" t="str">
        <f>IF('e1'!A60&gt;0,HYPERLINK("#"&amp;ADDRESS(60,'e1'!A60),""),IF('r1'!A60&gt;0,HYPERLINK("#"&amp;ADDRESS(60,'r1'!A60),""),""))</f>
        <v/>
      </c>
      <c r="C60" s="13"/>
      <c r="D60" s="14"/>
      <c r="E60" s="15"/>
      <c r="F60" s="16"/>
      <c r="G60" s="17"/>
      <c r="H60" s="18"/>
      <c r="I60" s="19"/>
      <c r="J60" s="20"/>
      <c r="K60" s="21"/>
      <c r="L60" s="22"/>
      <c r="M60" s="23"/>
      <c r="N60" s="24"/>
      <c r="O60" s="25"/>
      <c r="P60" s="26"/>
      <c r="Q60" s="27"/>
      <c r="R60" s="28"/>
      <c r="S60" s="29"/>
      <c r="T60" s="30"/>
    </row>
    <row r="61" spans="1:20" ht="24" customHeight="1" x14ac:dyDescent="0.25">
      <c r="A61" t="str">
        <f>IF('e1'!A61&gt;0,HYPERLINK("#"&amp;ADDRESS(61,'e1'!A61),""),IF('r1'!A61&gt;0,HYPERLINK("#"&amp;ADDRESS(61,'r1'!A61),""),""))</f>
        <v/>
      </c>
      <c r="C61" s="13"/>
      <c r="D61" s="14"/>
      <c r="E61" s="15"/>
      <c r="F61" s="16"/>
      <c r="G61" s="17"/>
      <c r="H61" s="18"/>
      <c r="I61" s="19"/>
      <c r="J61" s="20"/>
      <c r="K61" s="21"/>
      <c r="L61" s="22"/>
      <c r="M61" s="23"/>
      <c r="N61" s="24"/>
      <c r="O61" s="25"/>
      <c r="P61" s="26"/>
      <c r="Q61" s="27"/>
      <c r="R61" s="28"/>
      <c r="S61" s="29"/>
      <c r="T61" s="30"/>
    </row>
    <row r="62" spans="1:20" ht="24" customHeight="1" x14ac:dyDescent="0.25">
      <c r="A62" t="str">
        <f>IF('e1'!A62&gt;0,HYPERLINK("#"&amp;ADDRESS(62,'e1'!A62),""),IF('r1'!A62&gt;0,HYPERLINK("#"&amp;ADDRESS(62,'r1'!A62),""),""))</f>
        <v/>
      </c>
      <c r="C62" s="13"/>
      <c r="D62" s="14"/>
      <c r="E62" s="15"/>
      <c r="F62" s="16"/>
      <c r="G62" s="17"/>
      <c r="H62" s="18"/>
      <c r="I62" s="19"/>
      <c r="J62" s="20"/>
      <c r="K62" s="21"/>
      <c r="L62" s="22"/>
      <c r="M62" s="23"/>
      <c r="N62" s="24"/>
      <c r="O62" s="25"/>
      <c r="P62" s="26"/>
      <c r="Q62" s="27"/>
      <c r="R62" s="28"/>
      <c r="S62" s="29"/>
      <c r="T62" s="30"/>
    </row>
    <row r="63" spans="1:20" ht="24" customHeight="1" x14ac:dyDescent="0.25">
      <c r="A63" t="str">
        <f>IF('e1'!A63&gt;0,HYPERLINK("#"&amp;ADDRESS(63,'e1'!A63),""),IF('r1'!A63&gt;0,HYPERLINK("#"&amp;ADDRESS(63,'r1'!A63),""),""))</f>
        <v/>
      </c>
      <c r="C63" s="13"/>
      <c r="D63" s="14"/>
      <c r="E63" s="15"/>
      <c r="F63" s="16"/>
      <c r="G63" s="17"/>
      <c r="H63" s="18"/>
      <c r="I63" s="19"/>
      <c r="J63" s="20"/>
      <c r="K63" s="21"/>
      <c r="L63" s="22"/>
      <c r="M63" s="23"/>
      <c r="N63" s="24"/>
      <c r="O63" s="25"/>
      <c r="P63" s="26"/>
      <c r="Q63" s="27"/>
      <c r="R63" s="28"/>
      <c r="S63" s="29"/>
      <c r="T63" s="30"/>
    </row>
    <row r="64" spans="1:20" ht="24" customHeight="1" x14ac:dyDescent="0.25">
      <c r="A64" t="str">
        <f>IF('e1'!A64&gt;0,HYPERLINK("#"&amp;ADDRESS(64,'e1'!A64),""),IF('r1'!A64&gt;0,HYPERLINK("#"&amp;ADDRESS(64,'r1'!A64),""),""))</f>
        <v/>
      </c>
      <c r="C64" s="13"/>
      <c r="D64" s="14"/>
      <c r="E64" s="15"/>
      <c r="F64" s="16"/>
      <c r="G64" s="17"/>
      <c r="H64" s="18"/>
      <c r="I64" s="19"/>
      <c r="J64" s="20"/>
      <c r="K64" s="21"/>
      <c r="L64" s="22"/>
      <c r="M64" s="23"/>
      <c r="N64" s="24"/>
      <c r="O64" s="25"/>
      <c r="P64" s="26"/>
      <c r="Q64" s="27"/>
      <c r="R64" s="28"/>
      <c r="S64" s="29"/>
      <c r="T64" s="30"/>
    </row>
    <row r="65" spans="1:20" ht="24" customHeight="1" x14ac:dyDescent="0.25">
      <c r="A65" t="str">
        <f>IF('e1'!A65&gt;0,HYPERLINK("#"&amp;ADDRESS(65,'e1'!A65),""),IF('r1'!A65&gt;0,HYPERLINK("#"&amp;ADDRESS(65,'r1'!A65),""),""))</f>
        <v/>
      </c>
      <c r="C65" s="13"/>
      <c r="D65" s="14"/>
      <c r="E65" s="15"/>
      <c r="F65" s="16"/>
      <c r="G65" s="17"/>
      <c r="H65" s="18"/>
      <c r="I65" s="19"/>
      <c r="J65" s="20"/>
      <c r="K65" s="21"/>
      <c r="L65" s="22"/>
      <c r="M65" s="23"/>
      <c r="N65" s="24"/>
      <c r="O65" s="25"/>
      <c r="P65" s="26"/>
      <c r="Q65" s="27"/>
      <c r="R65" s="28"/>
      <c r="S65" s="29"/>
      <c r="T65" s="30"/>
    </row>
    <row r="66" spans="1:20" ht="24" customHeight="1" x14ac:dyDescent="0.25">
      <c r="A66" t="str">
        <f>IF('e1'!A66&gt;0,HYPERLINK("#"&amp;ADDRESS(66,'e1'!A66),""),IF('r1'!A66&gt;0,HYPERLINK("#"&amp;ADDRESS(66,'r1'!A66),""),""))</f>
        <v/>
      </c>
      <c r="C66" s="13"/>
      <c r="D66" s="14"/>
      <c r="E66" s="15"/>
      <c r="F66" s="16"/>
      <c r="G66" s="17"/>
      <c r="H66" s="18"/>
      <c r="I66" s="19"/>
      <c r="J66" s="20"/>
      <c r="K66" s="21"/>
      <c r="L66" s="22"/>
      <c r="M66" s="23"/>
      <c r="N66" s="24"/>
      <c r="O66" s="25"/>
      <c r="P66" s="26"/>
      <c r="Q66" s="27"/>
      <c r="R66" s="28"/>
      <c r="S66" s="29"/>
      <c r="T66" s="30"/>
    </row>
    <row r="67" spans="1:20" ht="24" customHeight="1" x14ac:dyDescent="0.25">
      <c r="A67" t="str">
        <f>IF('e1'!A67&gt;0,HYPERLINK("#"&amp;ADDRESS(67,'e1'!A67),""),IF('r1'!A67&gt;0,HYPERLINK("#"&amp;ADDRESS(67,'r1'!A67),""),""))</f>
        <v/>
      </c>
      <c r="C67" s="13"/>
      <c r="D67" s="14"/>
      <c r="E67" s="15"/>
      <c r="F67" s="16"/>
      <c r="G67" s="17"/>
      <c r="H67" s="18"/>
      <c r="I67" s="19"/>
      <c r="J67" s="20"/>
      <c r="K67" s="21"/>
      <c r="L67" s="22"/>
      <c r="M67" s="23"/>
      <c r="N67" s="24"/>
      <c r="O67" s="25"/>
      <c r="P67" s="26"/>
      <c r="Q67" s="27"/>
      <c r="R67" s="28"/>
      <c r="S67" s="29"/>
      <c r="T67" s="30"/>
    </row>
    <row r="68" spans="1:20" ht="24" customHeight="1" x14ac:dyDescent="0.25">
      <c r="A68" t="str">
        <f>IF('e1'!A68&gt;0,HYPERLINK("#"&amp;ADDRESS(68,'e1'!A68),""),IF('r1'!A68&gt;0,HYPERLINK("#"&amp;ADDRESS(68,'r1'!A68),""),""))</f>
        <v/>
      </c>
      <c r="C68" s="13"/>
      <c r="D68" s="14"/>
      <c r="E68" s="15"/>
      <c r="F68" s="16"/>
      <c r="G68" s="17"/>
      <c r="H68" s="18"/>
      <c r="I68" s="19"/>
      <c r="J68" s="20"/>
      <c r="K68" s="21"/>
      <c r="L68" s="22"/>
      <c r="M68" s="23"/>
      <c r="N68" s="24"/>
      <c r="O68" s="25"/>
      <c r="P68" s="26"/>
      <c r="Q68" s="27"/>
      <c r="R68" s="28"/>
      <c r="S68" s="29"/>
      <c r="T68" s="30"/>
    </row>
    <row r="69" spans="1:20" ht="24" customHeight="1" x14ac:dyDescent="0.25">
      <c r="A69" t="str">
        <f>IF('e1'!A69&gt;0,HYPERLINK("#"&amp;ADDRESS(69,'e1'!A69),""),IF('r1'!A69&gt;0,HYPERLINK("#"&amp;ADDRESS(69,'r1'!A69),""),""))</f>
        <v/>
      </c>
      <c r="C69" s="13"/>
      <c r="D69" s="14"/>
      <c r="E69" s="15"/>
      <c r="F69" s="16"/>
      <c r="G69" s="17"/>
      <c r="H69" s="18"/>
      <c r="I69" s="19"/>
      <c r="J69" s="20"/>
      <c r="K69" s="21"/>
      <c r="L69" s="22"/>
      <c r="M69" s="23"/>
      <c r="N69" s="24"/>
      <c r="O69" s="25"/>
      <c r="P69" s="26"/>
      <c r="Q69" s="27"/>
      <c r="R69" s="28"/>
      <c r="S69" s="29"/>
      <c r="T69" s="30"/>
    </row>
    <row r="70" spans="1:20" ht="24" customHeight="1" x14ac:dyDescent="0.25">
      <c r="A70" t="str">
        <f>IF('e1'!A70&gt;0,HYPERLINK("#"&amp;ADDRESS(70,'e1'!A70),""),IF('r1'!A70&gt;0,HYPERLINK("#"&amp;ADDRESS(70,'r1'!A70),""),""))</f>
        <v/>
      </c>
      <c r="C70" s="13"/>
      <c r="D70" s="14"/>
      <c r="E70" s="15"/>
      <c r="F70" s="16"/>
      <c r="G70" s="17"/>
      <c r="H70" s="18"/>
      <c r="I70" s="19"/>
      <c r="J70" s="20"/>
      <c r="K70" s="21"/>
      <c r="L70" s="22"/>
      <c r="M70" s="23"/>
      <c r="N70" s="24"/>
      <c r="O70" s="25"/>
      <c r="P70" s="26"/>
      <c r="Q70" s="27"/>
      <c r="R70" s="28"/>
      <c r="S70" s="29"/>
      <c r="T70" s="30"/>
    </row>
    <row r="71" spans="1:20" ht="24" customHeight="1" x14ac:dyDescent="0.25">
      <c r="A71" t="str">
        <f>IF('e1'!A71&gt;0,HYPERLINK("#"&amp;ADDRESS(71,'e1'!A71),""),IF('r1'!A71&gt;0,HYPERLINK("#"&amp;ADDRESS(71,'r1'!A71),""),""))</f>
        <v/>
      </c>
      <c r="C71" s="13"/>
      <c r="D71" s="14"/>
      <c r="E71" s="15"/>
      <c r="F71" s="16"/>
      <c r="G71" s="17"/>
      <c r="H71" s="18"/>
      <c r="I71" s="19"/>
      <c r="J71" s="20"/>
      <c r="K71" s="21"/>
      <c r="L71" s="22"/>
      <c r="M71" s="23"/>
      <c r="N71" s="24"/>
      <c r="O71" s="25"/>
      <c r="P71" s="26"/>
      <c r="Q71" s="27"/>
      <c r="R71" s="28"/>
      <c r="S71" s="29"/>
      <c r="T71" s="30"/>
    </row>
    <row r="72" spans="1:20" ht="24" customHeight="1" x14ac:dyDescent="0.25">
      <c r="A72" t="str">
        <f>IF('e1'!A72&gt;0,HYPERLINK("#"&amp;ADDRESS(72,'e1'!A72),""),IF('r1'!A72&gt;0,HYPERLINK("#"&amp;ADDRESS(72,'r1'!A72),""),""))</f>
        <v/>
      </c>
      <c r="C72" s="13"/>
      <c r="D72" s="14"/>
      <c r="E72" s="15"/>
      <c r="F72" s="16"/>
      <c r="G72" s="17"/>
      <c r="H72" s="18"/>
      <c r="I72" s="19"/>
      <c r="J72" s="20"/>
      <c r="K72" s="21"/>
      <c r="L72" s="22"/>
      <c r="M72" s="23"/>
      <c r="N72" s="24"/>
      <c r="O72" s="25"/>
      <c r="P72" s="26"/>
      <c r="Q72" s="27"/>
      <c r="R72" s="28"/>
      <c r="S72" s="29"/>
      <c r="T72" s="30"/>
    </row>
    <row r="73" spans="1:20" ht="24" customHeight="1" x14ac:dyDescent="0.25">
      <c r="A73" t="str">
        <f>IF('e1'!A73&gt;0,HYPERLINK("#"&amp;ADDRESS(73,'e1'!A73),""),IF('r1'!A73&gt;0,HYPERLINK("#"&amp;ADDRESS(73,'r1'!A73),""),""))</f>
        <v/>
      </c>
      <c r="C73" s="13"/>
      <c r="D73" s="14"/>
      <c r="E73" s="15"/>
      <c r="F73" s="16"/>
      <c r="G73" s="17"/>
      <c r="H73" s="18"/>
      <c r="I73" s="19"/>
      <c r="J73" s="20"/>
      <c r="K73" s="21"/>
      <c r="L73" s="22"/>
      <c r="M73" s="23"/>
      <c r="N73" s="24"/>
      <c r="O73" s="25"/>
      <c r="P73" s="26"/>
      <c r="Q73" s="27"/>
      <c r="R73" s="28"/>
      <c r="S73" s="29"/>
      <c r="T73" s="30"/>
    </row>
    <row r="74" spans="1:20" ht="24" customHeight="1" x14ac:dyDescent="0.25">
      <c r="A74" t="str">
        <f>IF('e1'!A74&gt;0,HYPERLINK("#"&amp;ADDRESS(74,'e1'!A74),""),IF('r1'!A74&gt;0,HYPERLINK("#"&amp;ADDRESS(74,'r1'!A74),""),""))</f>
        <v/>
      </c>
      <c r="C74" s="13"/>
      <c r="D74" s="14"/>
      <c r="E74" s="15"/>
      <c r="F74" s="16"/>
      <c r="G74" s="17"/>
      <c r="H74" s="18"/>
      <c r="I74" s="19"/>
      <c r="J74" s="20"/>
      <c r="K74" s="21"/>
      <c r="L74" s="22"/>
      <c r="M74" s="23"/>
      <c r="N74" s="24"/>
      <c r="O74" s="25"/>
      <c r="P74" s="26"/>
      <c r="Q74" s="27"/>
      <c r="R74" s="28"/>
      <c r="S74" s="29"/>
      <c r="T74" s="30"/>
    </row>
    <row r="75" spans="1:20" ht="24" customHeight="1" x14ac:dyDescent="0.25">
      <c r="A75" t="str">
        <f>IF('e1'!A75&gt;0,HYPERLINK("#"&amp;ADDRESS(75,'e1'!A75),""),IF('r1'!A75&gt;0,HYPERLINK("#"&amp;ADDRESS(75,'r1'!A75),""),""))</f>
        <v/>
      </c>
      <c r="C75" s="13"/>
      <c r="D75" s="14"/>
      <c r="E75" s="15"/>
      <c r="F75" s="16"/>
      <c r="G75" s="17"/>
      <c r="H75" s="18"/>
      <c r="I75" s="19"/>
      <c r="J75" s="20"/>
      <c r="K75" s="21"/>
      <c r="L75" s="22"/>
      <c r="M75" s="23"/>
      <c r="N75" s="24"/>
      <c r="O75" s="25"/>
      <c r="P75" s="26"/>
      <c r="Q75" s="27"/>
      <c r="R75" s="28"/>
      <c r="S75" s="29"/>
      <c r="T75" s="30"/>
    </row>
    <row r="76" spans="1:20" ht="24" customHeight="1" x14ac:dyDescent="0.25">
      <c r="A76" t="str">
        <f>IF('e1'!A76&gt;0,HYPERLINK("#"&amp;ADDRESS(76,'e1'!A76),""),IF('r1'!A76&gt;0,HYPERLINK("#"&amp;ADDRESS(76,'r1'!A76),""),""))</f>
        <v/>
      </c>
      <c r="C76" s="13"/>
      <c r="D76" s="14"/>
      <c r="E76" s="15"/>
      <c r="F76" s="16"/>
      <c r="G76" s="17"/>
      <c r="H76" s="18"/>
      <c r="I76" s="19"/>
      <c r="J76" s="20"/>
      <c r="K76" s="21"/>
      <c r="L76" s="22"/>
      <c r="M76" s="23"/>
      <c r="N76" s="24"/>
      <c r="O76" s="25"/>
      <c r="P76" s="26"/>
      <c r="Q76" s="27"/>
      <c r="R76" s="28"/>
      <c r="S76" s="29"/>
      <c r="T76" s="30"/>
    </row>
    <row r="77" spans="1:20" ht="24" customHeight="1" x14ac:dyDescent="0.25">
      <c r="A77" t="str">
        <f>IF('e1'!A77&gt;0,HYPERLINK("#"&amp;ADDRESS(77,'e1'!A77),""),IF('r1'!A77&gt;0,HYPERLINK("#"&amp;ADDRESS(77,'r1'!A77),""),""))</f>
        <v/>
      </c>
      <c r="C77" s="13"/>
      <c r="D77" s="14"/>
      <c r="E77" s="15"/>
      <c r="F77" s="16"/>
      <c r="G77" s="17"/>
      <c r="H77" s="18"/>
      <c r="I77" s="19"/>
      <c r="J77" s="20"/>
      <c r="K77" s="21"/>
      <c r="L77" s="22"/>
      <c r="M77" s="23"/>
      <c r="N77" s="24"/>
      <c r="O77" s="25"/>
      <c r="P77" s="26"/>
      <c r="Q77" s="27"/>
      <c r="R77" s="28"/>
      <c r="S77" s="29"/>
      <c r="T77" s="30"/>
    </row>
    <row r="78" spans="1:20" ht="24" customHeight="1" x14ac:dyDescent="0.25">
      <c r="A78" t="str">
        <f>IF('e1'!A78&gt;0,HYPERLINK("#"&amp;ADDRESS(78,'e1'!A78),""),IF('r1'!A78&gt;0,HYPERLINK("#"&amp;ADDRESS(78,'r1'!A78),""),""))</f>
        <v/>
      </c>
      <c r="C78" s="13"/>
      <c r="D78" s="14"/>
      <c r="E78" s="15"/>
      <c r="F78" s="16"/>
      <c r="G78" s="17"/>
      <c r="H78" s="18"/>
      <c r="I78" s="19"/>
      <c r="J78" s="20"/>
      <c r="K78" s="21"/>
      <c r="L78" s="22"/>
      <c r="M78" s="23"/>
      <c r="N78" s="24"/>
      <c r="O78" s="25"/>
      <c r="P78" s="26"/>
      <c r="Q78" s="27"/>
      <c r="R78" s="28"/>
      <c r="S78" s="29"/>
      <c r="T78" s="30"/>
    </row>
    <row r="79" spans="1:20" ht="24" customHeight="1" x14ac:dyDescent="0.25">
      <c r="A79" t="str">
        <f>IF('e1'!A79&gt;0,HYPERLINK("#"&amp;ADDRESS(79,'e1'!A79),""),IF('r1'!A79&gt;0,HYPERLINK("#"&amp;ADDRESS(79,'r1'!A79),""),""))</f>
        <v/>
      </c>
      <c r="C79" s="13"/>
      <c r="D79" s="14"/>
      <c r="E79" s="15"/>
      <c r="F79" s="16"/>
      <c r="G79" s="17"/>
      <c r="H79" s="18"/>
      <c r="I79" s="19"/>
      <c r="J79" s="20"/>
      <c r="K79" s="21"/>
      <c r="L79" s="22"/>
      <c r="M79" s="23"/>
      <c r="N79" s="24"/>
      <c r="O79" s="25"/>
      <c r="P79" s="26"/>
      <c r="Q79" s="27"/>
      <c r="R79" s="28"/>
      <c r="S79" s="29"/>
      <c r="T79" s="30"/>
    </row>
    <row r="80" spans="1:20" ht="24" customHeight="1" x14ac:dyDescent="0.25">
      <c r="A80" t="str">
        <f>IF('e1'!A80&gt;0,HYPERLINK("#"&amp;ADDRESS(80,'e1'!A80),""),IF('r1'!A80&gt;0,HYPERLINK("#"&amp;ADDRESS(80,'r1'!A80),""),""))</f>
        <v/>
      </c>
      <c r="C80" s="13"/>
      <c r="D80" s="14"/>
      <c r="E80" s="15"/>
      <c r="F80" s="16"/>
      <c r="G80" s="17"/>
      <c r="H80" s="18"/>
      <c r="I80" s="19"/>
      <c r="J80" s="20"/>
      <c r="K80" s="21"/>
      <c r="L80" s="22"/>
      <c r="M80" s="23"/>
      <c r="N80" s="24"/>
      <c r="O80" s="25"/>
      <c r="P80" s="26"/>
      <c r="Q80" s="27"/>
      <c r="R80" s="28"/>
      <c r="S80" s="29"/>
      <c r="T80" s="30"/>
    </row>
    <row r="81" spans="1:20" ht="24" customHeight="1" x14ac:dyDescent="0.25">
      <c r="A81" t="str">
        <f>IF('e1'!A81&gt;0,HYPERLINK("#"&amp;ADDRESS(81,'e1'!A81),""),IF('r1'!A81&gt;0,HYPERLINK("#"&amp;ADDRESS(81,'r1'!A81),""),""))</f>
        <v/>
      </c>
      <c r="C81" s="13"/>
      <c r="D81" s="14"/>
      <c r="E81" s="15"/>
      <c r="F81" s="16"/>
      <c r="G81" s="17"/>
      <c r="H81" s="18"/>
      <c r="I81" s="19"/>
      <c r="J81" s="20"/>
      <c r="K81" s="21"/>
      <c r="L81" s="22"/>
      <c r="M81" s="23"/>
      <c r="N81" s="24"/>
      <c r="O81" s="25"/>
      <c r="P81" s="26"/>
      <c r="Q81" s="27"/>
      <c r="R81" s="28"/>
      <c r="S81" s="29"/>
      <c r="T81" s="30"/>
    </row>
    <row r="82" spans="1:20" ht="24" customHeight="1" x14ac:dyDescent="0.25">
      <c r="A82" t="str">
        <f>IF('e1'!A82&gt;0,HYPERLINK("#"&amp;ADDRESS(82,'e1'!A82),""),IF('r1'!A82&gt;0,HYPERLINK("#"&amp;ADDRESS(82,'r1'!A82),""),""))</f>
        <v/>
      </c>
      <c r="C82" s="13"/>
      <c r="D82" s="14"/>
      <c r="E82" s="15"/>
      <c r="F82" s="16"/>
      <c r="G82" s="17"/>
      <c r="H82" s="18"/>
      <c r="I82" s="19"/>
      <c r="J82" s="20"/>
      <c r="K82" s="21"/>
      <c r="L82" s="22"/>
      <c r="M82" s="23"/>
      <c r="N82" s="24"/>
      <c r="O82" s="25"/>
      <c r="P82" s="26"/>
      <c r="Q82" s="27"/>
      <c r="R82" s="28"/>
      <c r="S82" s="29"/>
      <c r="T82" s="30"/>
    </row>
    <row r="83" spans="1:20" ht="24" customHeight="1" x14ac:dyDescent="0.25">
      <c r="A83" t="str">
        <f>IF('e1'!A83&gt;0,HYPERLINK("#"&amp;ADDRESS(83,'e1'!A83),""),IF('r1'!A83&gt;0,HYPERLINK("#"&amp;ADDRESS(83,'r1'!A83),""),""))</f>
        <v/>
      </c>
      <c r="C83" s="13"/>
      <c r="D83" s="14"/>
      <c r="E83" s="15"/>
      <c r="F83" s="16"/>
      <c r="G83" s="17"/>
      <c r="H83" s="18"/>
      <c r="I83" s="19"/>
      <c r="J83" s="20"/>
      <c r="K83" s="21"/>
      <c r="L83" s="22"/>
      <c r="M83" s="23"/>
      <c r="N83" s="24"/>
      <c r="O83" s="25"/>
      <c r="P83" s="26"/>
      <c r="Q83" s="27"/>
      <c r="R83" s="28"/>
      <c r="S83" s="29"/>
      <c r="T83" s="30"/>
    </row>
    <row r="84" spans="1:20" ht="24" customHeight="1" x14ac:dyDescent="0.25">
      <c r="A84" t="str">
        <f>IF('e1'!A84&gt;0,HYPERLINK("#"&amp;ADDRESS(84,'e1'!A84),""),IF('r1'!A84&gt;0,HYPERLINK("#"&amp;ADDRESS(84,'r1'!A84),""),""))</f>
        <v/>
      </c>
      <c r="C84" s="13"/>
      <c r="D84" s="14"/>
      <c r="E84" s="15"/>
      <c r="F84" s="16"/>
      <c r="G84" s="17"/>
      <c r="H84" s="18"/>
      <c r="I84" s="19"/>
      <c r="J84" s="20"/>
      <c r="K84" s="21"/>
      <c r="L84" s="22"/>
      <c r="M84" s="23"/>
      <c r="N84" s="24"/>
      <c r="O84" s="25"/>
      <c r="P84" s="26"/>
      <c r="Q84" s="27"/>
      <c r="R84" s="28"/>
      <c r="S84" s="29"/>
      <c r="T84" s="30"/>
    </row>
    <row r="85" spans="1:20" ht="24" customHeight="1" x14ac:dyDescent="0.25">
      <c r="A85" t="str">
        <f>IF('e1'!A85&gt;0,HYPERLINK("#"&amp;ADDRESS(85,'e1'!A85),""),IF('r1'!A85&gt;0,HYPERLINK("#"&amp;ADDRESS(85,'r1'!A85),""),""))</f>
        <v/>
      </c>
      <c r="C85" s="13"/>
      <c r="D85" s="14"/>
      <c r="E85" s="15"/>
      <c r="F85" s="16"/>
      <c r="G85" s="17"/>
      <c r="H85" s="18"/>
      <c r="I85" s="19"/>
      <c r="J85" s="20"/>
      <c r="K85" s="21"/>
      <c r="L85" s="22"/>
      <c r="M85" s="23"/>
      <c r="N85" s="24"/>
      <c r="O85" s="25"/>
      <c r="P85" s="26"/>
      <c r="Q85" s="27"/>
      <c r="R85" s="28"/>
      <c r="S85" s="29"/>
      <c r="T85" s="30"/>
    </row>
    <row r="86" spans="1:20" ht="24" customHeight="1" x14ac:dyDescent="0.25">
      <c r="A86" t="str">
        <f>IF('e1'!A86&gt;0,HYPERLINK("#"&amp;ADDRESS(86,'e1'!A86),""),IF('r1'!A86&gt;0,HYPERLINK("#"&amp;ADDRESS(86,'r1'!A86),""),""))</f>
        <v/>
      </c>
      <c r="C86" s="13"/>
      <c r="D86" s="14"/>
      <c r="E86" s="15"/>
      <c r="F86" s="16"/>
      <c r="G86" s="17"/>
      <c r="H86" s="18"/>
      <c r="I86" s="19"/>
      <c r="J86" s="20"/>
      <c r="K86" s="21"/>
      <c r="L86" s="22"/>
      <c r="M86" s="23"/>
      <c r="N86" s="24"/>
      <c r="O86" s="25"/>
      <c r="P86" s="26"/>
      <c r="Q86" s="27"/>
      <c r="R86" s="28"/>
      <c r="S86" s="29"/>
      <c r="T86" s="30"/>
    </row>
    <row r="87" spans="1:20" ht="24" customHeight="1" x14ac:dyDescent="0.25">
      <c r="A87" t="str">
        <f>IF('e1'!A87&gt;0,HYPERLINK("#"&amp;ADDRESS(87,'e1'!A87),""),IF('r1'!A87&gt;0,HYPERLINK("#"&amp;ADDRESS(87,'r1'!A87),""),""))</f>
        <v/>
      </c>
      <c r="C87" s="13"/>
      <c r="D87" s="14"/>
      <c r="E87" s="15"/>
      <c r="F87" s="16"/>
      <c r="G87" s="17"/>
      <c r="H87" s="18"/>
      <c r="I87" s="19"/>
      <c r="J87" s="20"/>
      <c r="K87" s="21"/>
      <c r="L87" s="22"/>
      <c r="M87" s="23"/>
      <c r="N87" s="24"/>
      <c r="O87" s="25"/>
      <c r="P87" s="26"/>
      <c r="Q87" s="27"/>
      <c r="R87" s="28"/>
      <c r="S87" s="29"/>
      <c r="T87" s="30"/>
    </row>
    <row r="88" spans="1:20" ht="24" customHeight="1" x14ac:dyDescent="0.25">
      <c r="A88" t="str">
        <f>IF('e1'!A88&gt;0,HYPERLINK("#"&amp;ADDRESS(88,'e1'!A88),""),IF('r1'!A88&gt;0,HYPERLINK("#"&amp;ADDRESS(88,'r1'!A88),""),""))</f>
        <v/>
      </c>
      <c r="C88" s="13"/>
      <c r="D88" s="14"/>
      <c r="E88" s="15"/>
      <c r="F88" s="16"/>
      <c r="G88" s="17"/>
      <c r="H88" s="18"/>
      <c r="I88" s="19"/>
      <c r="J88" s="20"/>
      <c r="K88" s="21"/>
      <c r="L88" s="22"/>
      <c r="M88" s="23"/>
      <c r="N88" s="24"/>
      <c r="O88" s="25"/>
      <c r="P88" s="26"/>
      <c r="Q88" s="27"/>
      <c r="R88" s="28"/>
      <c r="S88" s="29"/>
      <c r="T88" s="30"/>
    </row>
    <row r="89" spans="1:20" ht="24" customHeight="1" x14ac:dyDescent="0.25">
      <c r="A89" t="str">
        <f>IF('e1'!A89&gt;0,HYPERLINK("#"&amp;ADDRESS(89,'e1'!A89),""),IF('r1'!A89&gt;0,HYPERLINK("#"&amp;ADDRESS(89,'r1'!A89),""),""))</f>
        <v/>
      </c>
      <c r="C89" s="13"/>
      <c r="D89" s="14"/>
      <c r="E89" s="15"/>
      <c r="F89" s="16"/>
      <c r="G89" s="17"/>
      <c r="H89" s="18"/>
      <c r="I89" s="19"/>
      <c r="J89" s="20"/>
      <c r="K89" s="21"/>
      <c r="L89" s="22"/>
      <c r="M89" s="23"/>
      <c r="N89" s="24"/>
      <c r="O89" s="25"/>
      <c r="P89" s="26"/>
      <c r="Q89" s="27"/>
      <c r="R89" s="28"/>
      <c r="S89" s="29"/>
      <c r="T89" s="30"/>
    </row>
    <row r="90" spans="1:20" ht="24" customHeight="1" x14ac:dyDescent="0.25">
      <c r="A90" t="str">
        <f>IF('e1'!A90&gt;0,HYPERLINK("#"&amp;ADDRESS(90,'e1'!A90),""),IF('r1'!A90&gt;0,HYPERLINK("#"&amp;ADDRESS(90,'r1'!A90),""),""))</f>
        <v/>
      </c>
      <c r="C90" s="13"/>
      <c r="D90" s="14"/>
      <c r="E90" s="15"/>
      <c r="F90" s="16"/>
      <c r="G90" s="17"/>
      <c r="H90" s="18"/>
      <c r="I90" s="19"/>
      <c r="J90" s="20"/>
      <c r="K90" s="21"/>
      <c r="L90" s="22"/>
      <c r="M90" s="23"/>
      <c r="N90" s="24"/>
      <c r="O90" s="25"/>
      <c r="P90" s="26"/>
      <c r="Q90" s="27"/>
      <c r="R90" s="28"/>
      <c r="S90" s="29"/>
      <c r="T90" s="30"/>
    </row>
    <row r="91" spans="1:20" ht="24" customHeight="1" x14ac:dyDescent="0.25">
      <c r="A91" t="str">
        <f>IF('e1'!A91&gt;0,HYPERLINK("#"&amp;ADDRESS(91,'e1'!A91),""),IF('r1'!A91&gt;0,HYPERLINK("#"&amp;ADDRESS(91,'r1'!A91),""),""))</f>
        <v/>
      </c>
      <c r="C91" s="13"/>
      <c r="D91" s="14"/>
      <c r="E91" s="15"/>
      <c r="F91" s="16"/>
      <c r="G91" s="17"/>
      <c r="H91" s="18"/>
      <c r="I91" s="19"/>
      <c r="J91" s="20"/>
      <c r="K91" s="21"/>
      <c r="L91" s="22"/>
      <c r="M91" s="23"/>
      <c r="N91" s="24"/>
      <c r="O91" s="25"/>
      <c r="P91" s="26"/>
      <c r="Q91" s="27"/>
      <c r="R91" s="28"/>
      <c r="S91" s="29"/>
      <c r="T91" s="30"/>
    </row>
    <row r="92" spans="1:20" ht="24" customHeight="1" x14ac:dyDescent="0.25">
      <c r="A92" t="str">
        <f>IF('e1'!A92&gt;0,HYPERLINK("#"&amp;ADDRESS(92,'e1'!A92),""),IF('r1'!A92&gt;0,HYPERLINK("#"&amp;ADDRESS(92,'r1'!A92),""),""))</f>
        <v/>
      </c>
      <c r="C92" s="13"/>
      <c r="D92" s="14"/>
      <c r="E92" s="15"/>
      <c r="F92" s="16"/>
      <c r="G92" s="17"/>
      <c r="H92" s="18"/>
      <c r="I92" s="19"/>
      <c r="J92" s="20"/>
      <c r="K92" s="21"/>
      <c r="L92" s="22"/>
      <c r="M92" s="23"/>
      <c r="N92" s="24"/>
      <c r="O92" s="25"/>
      <c r="P92" s="26"/>
      <c r="Q92" s="27"/>
      <c r="R92" s="28"/>
      <c r="S92" s="29"/>
      <c r="T92" s="30"/>
    </row>
    <row r="93" spans="1:20" ht="24" customHeight="1" x14ac:dyDescent="0.25">
      <c r="A93" t="str">
        <f>IF('e1'!A93&gt;0,HYPERLINK("#"&amp;ADDRESS(93,'e1'!A93),""),IF('r1'!A93&gt;0,HYPERLINK("#"&amp;ADDRESS(93,'r1'!A93),""),""))</f>
        <v/>
      </c>
      <c r="C93" s="13"/>
      <c r="D93" s="14"/>
      <c r="E93" s="15"/>
      <c r="F93" s="16"/>
      <c r="G93" s="17"/>
      <c r="H93" s="18"/>
      <c r="I93" s="19"/>
      <c r="J93" s="20"/>
      <c r="K93" s="21"/>
      <c r="L93" s="22"/>
      <c r="M93" s="23"/>
      <c r="N93" s="24"/>
      <c r="O93" s="25"/>
      <c r="P93" s="26"/>
      <c r="Q93" s="27"/>
      <c r="R93" s="28"/>
      <c r="S93" s="29"/>
      <c r="T93" s="30"/>
    </row>
    <row r="94" spans="1:20" ht="24" customHeight="1" x14ac:dyDescent="0.25">
      <c r="A94" t="str">
        <f>IF('e1'!A94&gt;0,HYPERLINK("#"&amp;ADDRESS(94,'e1'!A94),""),IF('r1'!A94&gt;0,HYPERLINK("#"&amp;ADDRESS(94,'r1'!A94),""),""))</f>
        <v/>
      </c>
      <c r="C94" s="13"/>
      <c r="D94" s="14"/>
      <c r="E94" s="15"/>
      <c r="F94" s="16"/>
      <c r="G94" s="17"/>
      <c r="H94" s="18"/>
      <c r="I94" s="19"/>
      <c r="J94" s="20"/>
      <c r="K94" s="21"/>
      <c r="L94" s="22"/>
      <c r="M94" s="23"/>
      <c r="N94" s="24"/>
      <c r="O94" s="25"/>
      <c r="P94" s="26"/>
      <c r="Q94" s="27"/>
      <c r="R94" s="28"/>
      <c r="S94" s="29"/>
      <c r="T94" s="30"/>
    </row>
    <row r="95" spans="1:20" ht="24" customHeight="1" x14ac:dyDescent="0.25">
      <c r="A95" t="str">
        <f>IF('e1'!A95&gt;0,HYPERLINK("#"&amp;ADDRESS(95,'e1'!A95),""),IF('r1'!A95&gt;0,HYPERLINK("#"&amp;ADDRESS(95,'r1'!A95),""),""))</f>
        <v/>
      </c>
      <c r="C95" s="13"/>
      <c r="D95" s="14"/>
      <c r="E95" s="15"/>
      <c r="F95" s="16"/>
      <c r="G95" s="17"/>
      <c r="H95" s="18"/>
      <c r="I95" s="19"/>
      <c r="J95" s="20"/>
      <c r="K95" s="21"/>
      <c r="L95" s="22"/>
      <c r="M95" s="23"/>
      <c r="N95" s="24"/>
      <c r="O95" s="25"/>
      <c r="P95" s="26"/>
      <c r="Q95" s="27"/>
      <c r="R95" s="28"/>
      <c r="S95" s="29"/>
      <c r="T95" s="30"/>
    </row>
    <row r="96" spans="1:20" ht="24" customHeight="1" x14ac:dyDescent="0.25">
      <c r="A96" t="str">
        <f>IF('e1'!A96&gt;0,HYPERLINK("#"&amp;ADDRESS(96,'e1'!A96),""),IF('r1'!A96&gt;0,HYPERLINK("#"&amp;ADDRESS(96,'r1'!A96),""),""))</f>
        <v/>
      </c>
      <c r="C96" s="13"/>
      <c r="D96" s="14"/>
      <c r="E96" s="15"/>
      <c r="F96" s="16"/>
      <c r="G96" s="17"/>
      <c r="H96" s="18"/>
      <c r="I96" s="19"/>
      <c r="J96" s="20"/>
      <c r="K96" s="21"/>
      <c r="L96" s="22"/>
      <c r="M96" s="23"/>
      <c r="N96" s="24"/>
      <c r="O96" s="25"/>
      <c r="P96" s="26"/>
      <c r="Q96" s="27"/>
      <c r="R96" s="28"/>
      <c r="S96" s="29"/>
      <c r="T96" s="30"/>
    </row>
    <row r="97" spans="1:20" ht="24" customHeight="1" x14ac:dyDescent="0.25">
      <c r="A97" t="str">
        <f>IF('e1'!A97&gt;0,HYPERLINK("#"&amp;ADDRESS(97,'e1'!A97),""),IF('r1'!A97&gt;0,HYPERLINK("#"&amp;ADDRESS(97,'r1'!A97),""),""))</f>
        <v/>
      </c>
      <c r="C97" s="13"/>
      <c r="D97" s="14"/>
      <c r="E97" s="15"/>
      <c r="F97" s="16"/>
      <c r="G97" s="17"/>
      <c r="H97" s="18"/>
      <c r="I97" s="19"/>
      <c r="J97" s="20"/>
      <c r="K97" s="21"/>
      <c r="L97" s="22"/>
      <c r="M97" s="23"/>
      <c r="N97" s="24"/>
      <c r="O97" s="25"/>
      <c r="P97" s="26"/>
      <c r="Q97" s="27"/>
      <c r="R97" s="28"/>
      <c r="S97" s="29"/>
      <c r="T97" s="30"/>
    </row>
    <row r="98" spans="1:20" ht="24" customHeight="1" x14ac:dyDescent="0.25">
      <c r="A98" t="str">
        <f>IF('e1'!A98&gt;0,HYPERLINK("#"&amp;ADDRESS(98,'e1'!A98),""),IF('r1'!A98&gt;0,HYPERLINK("#"&amp;ADDRESS(98,'r1'!A98),""),""))</f>
        <v/>
      </c>
      <c r="C98" s="13"/>
      <c r="D98" s="14"/>
      <c r="E98" s="15"/>
      <c r="F98" s="16"/>
      <c r="G98" s="17"/>
      <c r="H98" s="18"/>
      <c r="I98" s="19"/>
      <c r="J98" s="20"/>
      <c r="K98" s="21"/>
      <c r="L98" s="22"/>
      <c r="M98" s="23"/>
      <c r="N98" s="24"/>
      <c r="O98" s="25"/>
      <c r="P98" s="26"/>
      <c r="Q98" s="27"/>
      <c r="R98" s="28"/>
      <c r="S98" s="29"/>
      <c r="T98" s="30"/>
    </row>
    <row r="99" spans="1:20" ht="24" customHeight="1" x14ac:dyDescent="0.25">
      <c r="A99" t="str">
        <f>IF('e1'!A99&gt;0,HYPERLINK("#"&amp;ADDRESS(99,'e1'!A99),""),IF('r1'!A99&gt;0,HYPERLINK("#"&amp;ADDRESS(99,'r1'!A99),""),""))</f>
        <v/>
      </c>
      <c r="C99" s="13"/>
      <c r="D99" s="14"/>
      <c r="E99" s="15"/>
      <c r="F99" s="16"/>
      <c r="G99" s="17"/>
      <c r="H99" s="18"/>
      <c r="I99" s="19"/>
      <c r="J99" s="20"/>
      <c r="K99" s="21"/>
      <c r="L99" s="22"/>
      <c r="M99" s="23"/>
      <c r="N99" s="24"/>
      <c r="O99" s="25"/>
      <c r="P99" s="26"/>
      <c r="Q99" s="27"/>
      <c r="R99" s="28"/>
      <c r="S99" s="29"/>
      <c r="T99" s="30"/>
    </row>
    <row r="100" spans="1:20" ht="24" customHeight="1" x14ac:dyDescent="0.25">
      <c r="A100" t="str">
        <f>IF('e1'!A100&gt;0,HYPERLINK("#"&amp;ADDRESS(100,'e1'!A100),""),IF('r1'!A100&gt;0,HYPERLINK("#"&amp;ADDRESS(100,'r1'!A100),""),""))</f>
        <v/>
      </c>
      <c r="C100" s="13"/>
      <c r="D100" s="14"/>
      <c r="E100" s="15"/>
      <c r="F100" s="16"/>
      <c r="G100" s="17"/>
      <c r="H100" s="18"/>
      <c r="I100" s="19"/>
      <c r="J100" s="20"/>
      <c r="K100" s="21"/>
      <c r="L100" s="22"/>
      <c r="M100" s="23"/>
      <c r="N100" s="24"/>
      <c r="O100" s="25"/>
      <c r="P100" s="26"/>
      <c r="Q100" s="27"/>
      <c r="R100" s="28"/>
      <c r="S100" s="29"/>
      <c r="T100" s="30"/>
    </row>
    <row r="101" spans="1:20" ht="24" customHeight="1" x14ac:dyDescent="0.25">
      <c r="A101" t="str">
        <f>IF('e1'!A101&gt;0,HYPERLINK("#"&amp;ADDRESS(101,'e1'!A101),""),IF('r1'!A101&gt;0,HYPERLINK("#"&amp;ADDRESS(101,'r1'!A101),""),""))</f>
        <v/>
      </c>
      <c r="C101" s="13"/>
      <c r="D101" s="14"/>
      <c r="E101" s="15"/>
      <c r="F101" s="16"/>
      <c r="G101" s="17"/>
      <c r="H101" s="18"/>
      <c r="I101" s="19"/>
      <c r="J101" s="20"/>
      <c r="K101" s="21"/>
      <c r="L101" s="22"/>
      <c r="M101" s="23"/>
      <c r="N101" s="24"/>
      <c r="O101" s="25"/>
      <c r="P101" s="26"/>
      <c r="Q101" s="27"/>
      <c r="R101" s="28"/>
      <c r="S101" s="29"/>
      <c r="T101" s="30"/>
    </row>
    <row r="102" spans="1:20" ht="24" customHeight="1" x14ac:dyDescent="0.25">
      <c r="A102" t="str">
        <f>IF('e1'!A102&gt;0,HYPERLINK("#"&amp;ADDRESS(102,'e1'!A102),""),IF('r1'!A102&gt;0,HYPERLINK("#"&amp;ADDRESS(102,'r1'!A102),""),""))</f>
        <v/>
      </c>
      <c r="C102" s="13"/>
      <c r="D102" s="14"/>
      <c r="E102" s="15"/>
      <c r="F102" s="16"/>
      <c r="G102" s="17"/>
      <c r="H102" s="18"/>
      <c r="I102" s="19"/>
      <c r="J102" s="20"/>
      <c r="K102" s="21"/>
      <c r="L102" s="22"/>
      <c r="M102" s="23"/>
      <c r="N102" s="24"/>
      <c r="O102" s="25"/>
      <c r="P102" s="26"/>
      <c r="Q102" s="27"/>
      <c r="R102" s="28"/>
      <c r="S102" s="29"/>
      <c r="T102" s="30"/>
    </row>
    <row r="103" spans="1:20" ht="24" customHeight="1" x14ac:dyDescent="0.25">
      <c r="A103" t="str">
        <f>IF('e1'!A103&gt;0,HYPERLINK("#"&amp;ADDRESS(103,'e1'!A103),""),IF('r1'!A103&gt;0,HYPERLINK("#"&amp;ADDRESS(103,'r1'!A103),""),""))</f>
        <v/>
      </c>
      <c r="C103" s="13"/>
      <c r="D103" s="14"/>
      <c r="E103" s="15"/>
      <c r="F103" s="16"/>
      <c r="G103" s="17"/>
      <c r="H103" s="18"/>
      <c r="I103" s="19"/>
      <c r="J103" s="20"/>
      <c r="K103" s="21"/>
      <c r="L103" s="22"/>
      <c r="M103" s="23"/>
      <c r="N103" s="24"/>
      <c r="O103" s="25"/>
      <c r="P103" s="26"/>
      <c r="Q103" s="27"/>
      <c r="R103" s="28"/>
      <c r="S103" s="29"/>
      <c r="T103" s="30"/>
    </row>
    <row r="104" spans="1:20" ht="24" customHeight="1" x14ac:dyDescent="0.25">
      <c r="A104" t="str">
        <f>IF('e1'!A104&gt;0,HYPERLINK("#"&amp;ADDRESS(104,'e1'!A104),""),IF('r1'!A104&gt;0,HYPERLINK("#"&amp;ADDRESS(104,'r1'!A104),""),""))</f>
        <v/>
      </c>
      <c r="C104" s="13"/>
      <c r="D104" s="14"/>
      <c r="E104" s="15"/>
      <c r="F104" s="16"/>
      <c r="G104" s="17"/>
      <c r="H104" s="18"/>
      <c r="I104" s="19"/>
      <c r="J104" s="20"/>
      <c r="K104" s="21"/>
      <c r="L104" s="22"/>
      <c r="M104" s="23"/>
      <c r="N104" s="24"/>
      <c r="O104" s="25"/>
      <c r="P104" s="26"/>
      <c r="Q104" s="27"/>
      <c r="R104" s="28"/>
      <c r="S104" s="29"/>
      <c r="T104" s="30"/>
    </row>
    <row r="105" spans="1:20" ht="24" customHeight="1" x14ac:dyDescent="0.25">
      <c r="A105" t="str">
        <f>IF('e1'!A105&gt;0,HYPERLINK("#"&amp;ADDRESS(105,'e1'!A105),""),IF('r1'!A105&gt;0,HYPERLINK("#"&amp;ADDRESS(105,'r1'!A105),""),""))</f>
        <v/>
      </c>
      <c r="C105" s="13"/>
      <c r="D105" s="14"/>
      <c r="E105" s="15"/>
      <c r="F105" s="16"/>
      <c r="G105" s="17"/>
      <c r="H105" s="18"/>
      <c r="I105" s="19"/>
      <c r="J105" s="20"/>
      <c r="K105" s="21"/>
      <c r="L105" s="22"/>
      <c r="M105" s="23"/>
      <c r="N105" s="24"/>
      <c r="O105" s="25"/>
      <c r="P105" s="26"/>
      <c r="Q105" s="27"/>
      <c r="R105" s="28"/>
      <c r="S105" s="29"/>
      <c r="T105" s="30"/>
    </row>
    <row r="106" spans="1:20" ht="24" customHeight="1" x14ac:dyDescent="0.25">
      <c r="A106" t="str">
        <f>IF('e1'!A106&gt;0,HYPERLINK("#"&amp;ADDRESS(106,'e1'!A106),""),IF('r1'!A106&gt;0,HYPERLINK("#"&amp;ADDRESS(106,'r1'!A106),""),""))</f>
        <v/>
      </c>
      <c r="C106" s="13"/>
      <c r="D106" s="14"/>
      <c r="E106" s="15"/>
      <c r="F106" s="16"/>
      <c r="G106" s="17"/>
      <c r="H106" s="18"/>
      <c r="I106" s="19"/>
      <c r="J106" s="20"/>
      <c r="K106" s="21"/>
      <c r="L106" s="22"/>
      <c r="M106" s="23"/>
      <c r="N106" s="24"/>
      <c r="O106" s="25"/>
      <c r="P106" s="26"/>
      <c r="Q106" s="27"/>
      <c r="R106" s="28"/>
      <c r="S106" s="29"/>
      <c r="T106" s="30"/>
    </row>
    <row r="107" spans="1:20" ht="24" customHeight="1" x14ac:dyDescent="0.25">
      <c r="A107" t="str">
        <f>IF('e1'!A107&gt;0,HYPERLINK("#"&amp;ADDRESS(107,'e1'!A107),""),IF('r1'!A107&gt;0,HYPERLINK("#"&amp;ADDRESS(107,'r1'!A107),""),""))</f>
        <v/>
      </c>
      <c r="C107" s="13"/>
      <c r="D107" s="14"/>
      <c r="E107" s="15"/>
      <c r="F107" s="16"/>
      <c r="G107" s="17"/>
      <c r="H107" s="18"/>
      <c r="I107" s="19"/>
      <c r="J107" s="20"/>
      <c r="K107" s="21"/>
      <c r="L107" s="22"/>
      <c r="M107" s="23"/>
      <c r="N107" s="24"/>
      <c r="O107" s="25"/>
      <c r="P107" s="26"/>
      <c r="Q107" s="27"/>
      <c r="R107" s="28"/>
      <c r="S107" s="29"/>
      <c r="T107" s="30"/>
    </row>
    <row r="108" spans="1:20" ht="24" customHeight="1" x14ac:dyDescent="0.25">
      <c r="A108" t="str">
        <f>IF('e1'!A108&gt;0,HYPERLINK("#"&amp;ADDRESS(108,'e1'!A108),""),IF('r1'!A108&gt;0,HYPERLINK("#"&amp;ADDRESS(108,'r1'!A108),""),""))</f>
        <v/>
      </c>
      <c r="C108" s="13"/>
      <c r="D108" s="14"/>
      <c r="E108" s="15"/>
      <c r="F108" s="16"/>
      <c r="G108" s="17"/>
      <c r="H108" s="18"/>
      <c r="I108" s="19"/>
      <c r="J108" s="20"/>
      <c r="K108" s="21"/>
      <c r="L108" s="22"/>
      <c r="M108" s="23"/>
      <c r="N108" s="24"/>
      <c r="O108" s="25"/>
      <c r="P108" s="26"/>
      <c r="Q108" s="27"/>
      <c r="R108" s="28"/>
      <c r="S108" s="29"/>
      <c r="T108" s="30"/>
    </row>
    <row r="109" spans="1:20" ht="24" customHeight="1" x14ac:dyDescent="0.25">
      <c r="A109" t="str">
        <f>IF('e1'!A109&gt;0,HYPERLINK("#"&amp;ADDRESS(109,'e1'!A109),""),IF('r1'!A109&gt;0,HYPERLINK("#"&amp;ADDRESS(109,'r1'!A109),""),""))</f>
        <v/>
      </c>
      <c r="C109" s="13"/>
      <c r="D109" s="14"/>
      <c r="E109" s="15"/>
      <c r="F109" s="16"/>
      <c r="G109" s="17"/>
      <c r="H109" s="18"/>
      <c r="I109" s="19"/>
      <c r="J109" s="20"/>
      <c r="K109" s="21"/>
      <c r="L109" s="22"/>
      <c r="M109" s="23"/>
      <c r="N109" s="24"/>
      <c r="O109" s="25"/>
      <c r="P109" s="26"/>
      <c r="Q109" s="27"/>
      <c r="R109" s="28"/>
      <c r="S109" s="29"/>
      <c r="T109" s="30"/>
    </row>
    <row r="110" spans="1:20" ht="24" customHeight="1" x14ac:dyDescent="0.25">
      <c r="A110" t="str">
        <f>IF('e1'!A110&gt;0,HYPERLINK("#"&amp;ADDRESS(110,'e1'!A110),""),IF('r1'!A110&gt;0,HYPERLINK("#"&amp;ADDRESS(110,'r1'!A110),""),""))</f>
        <v/>
      </c>
      <c r="C110" s="13"/>
      <c r="D110" s="14"/>
      <c r="E110" s="15"/>
      <c r="F110" s="16"/>
      <c r="G110" s="17"/>
      <c r="H110" s="18"/>
      <c r="I110" s="19"/>
      <c r="J110" s="20"/>
      <c r="K110" s="21"/>
      <c r="L110" s="22"/>
      <c r="M110" s="23"/>
      <c r="N110" s="24"/>
      <c r="O110" s="25"/>
      <c r="P110" s="26"/>
      <c r="Q110" s="27"/>
      <c r="R110" s="28"/>
      <c r="S110" s="29"/>
      <c r="T110" s="30"/>
    </row>
    <row r="111" spans="1:20" ht="24" customHeight="1" x14ac:dyDescent="0.25">
      <c r="A111" t="str">
        <f>IF('e1'!A111&gt;0,HYPERLINK("#"&amp;ADDRESS(111,'e1'!A111),""),IF('r1'!A111&gt;0,HYPERLINK("#"&amp;ADDRESS(111,'r1'!A111),""),""))</f>
        <v/>
      </c>
      <c r="C111" s="13"/>
      <c r="D111" s="14"/>
      <c r="E111" s="15"/>
      <c r="F111" s="16"/>
      <c r="G111" s="17"/>
      <c r="H111" s="18"/>
      <c r="I111" s="19"/>
      <c r="J111" s="20"/>
      <c r="K111" s="21"/>
      <c r="L111" s="22"/>
      <c r="M111" s="23"/>
      <c r="N111" s="24"/>
      <c r="O111" s="25"/>
      <c r="P111" s="26"/>
      <c r="Q111" s="27"/>
      <c r="R111" s="28"/>
      <c r="S111" s="29"/>
      <c r="T111" s="30"/>
    </row>
    <row r="112" spans="1:20" ht="24" customHeight="1" x14ac:dyDescent="0.25">
      <c r="A112" t="str">
        <f>IF('e1'!A112&gt;0,HYPERLINK("#"&amp;ADDRESS(112,'e1'!A112),""),IF('r1'!A112&gt;0,HYPERLINK("#"&amp;ADDRESS(112,'r1'!A112),""),""))</f>
        <v/>
      </c>
      <c r="C112" s="13"/>
      <c r="D112" s="14"/>
      <c r="E112" s="15"/>
      <c r="F112" s="16"/>
      <c r="G112" s="17"/>
      <c r="H112" s="18"/>
      <c r="I112" s="19"/>
      <c r="J112" s="20"/>
      <c r="K112" s="21"/>
      <c r="L112" s="22"/>
      <c r="M112" s="23"/>
      <c r="N112" s="24"/>
      <c r="O112" s="25"/>
      <c r="P112" s="26"/>
      <c r="Q112" s="27"/>
      <c r="R112" s="28"/>
      <c r="S112" s="29"/>
      <c r="T112" s="30"/>
    </row>
    <row r="113" spans="1:20" ht="24" customHeight="1" x14ac:dyDescent="0.25">
      <c r="A113" t="str">
        <f>IF('e1'!A113&gt;0,HYPERLINK("#"&amp;ADDRESS(113,'e1'!A113),""),IF('r1'!A113&gt;0,HYPERLINK("#"&amp;ADDRESS(113,'r1'!A113),""),""))</f>
        <v/>
      </c>
      <c r="C113" s="13"/>
      <c r="D113" s="14"/>
      <c r="E113" s="15"/>
      <c r="F113" s="16"/>
      <c r="G113" s="17"/>
      <c r="H113" s="18"/>
      <c r="I113" s="19"/>
      <c r="J113" s="20"/>
      <c r="K113" s="21"/>
      <c r="L113" s="22"/>
      <c r="M113" s="23"/>
      <c r="N113" s="24"/>
      <c r="O113" s="25"/>
      <c r="P113" s="26"/>
      <c r="Q113" s="27"/>
      <c r="R113" s="28"/>
      <c r="S113" s="29"/>
      <c r="T113" s="30"/>
    </row>
    <row r="114" spans="1:20" ht="24" customHeight="1" x14ac:dyDescent="0.25">
      <c r="A114" t="str">
        <f>IF('e1'!A114&gt;0,HYPERLINK("#"&amp;ADDRESS(114,'e1'!A114),""),IF('r1'!A114&gt;0,HYPERLINK("#"&amp;ADDRESS(114,'r1'!A114),""),""))</f>
        <v/>
      </c>
      <c r="C114" s="13"/>
      <c r="D114" s="14"/>
      <c r="E114" s="15"/>
      <c r="F114" s="16"/>
      <c r="G114" s="17"/>
      <c r="H114" s="18"/>
      <c r="I114" s="19"/>
      <c r="J114" s="20"/>
      <c r="K114" s="21"/>
      <c r="L114" s="22"/>
      <c r="M114" s="23"/>
      <c r="N114" s="24"/>
      <c r="O114" s="25"/>
      <c r="P114" s="26"/>
      <c r="Q114" s="27"/>
      <c r="R114" s="28"/>
      <c r="S114" s="29"/>
      <c r="T114" s="30"/>
    </row>
    <row r="115" spans="1:20" ht="24" customHeight="1" x14ac:dyDescent="0.25">
      <c r="A115" t="str">
        <f>IF('e1'!A115&gt;0,HYPERLINK("#"&amp;ADDRESS(115,'e1'!A115),""),IF('r1'!A115&gt;0,HYPERLINK("#"&amp;ADDRESS(115,'r1'!A115),""),""))</f>
        <v/>
      </c>
      <c r="C115" s="13"/>
      <c r="D115" s="14"/>
      <c r="E115" s="15"/>
      <c r="F115" s="16"/>
      <c r="G115" s="17"/>
      <c r="H115" s="18"/>
      <c r="I115" s="19"/>
      <c r="J115" s="20"/>
      <c r="K115" s="21"/>
      <c r="L115" s="22"/>
      <c r="M115" s="23"/>
      <c r="N115" s="24"/>
      <c r="O115" s="25"/>
      <c r="P115" s="26"/>
      <c r="Q115" s="27"/>
      <c r="R115" s="28"/>
      <c r="S115" s="29"/>
      <c r="T115" s="30"/>
    </row>
    <row r="116" spans="1:20" ht="24" customHeight="1" x14ac:dyDescent="0.25">
      <c r="A116" t="str">
        <f>IF('e1'!A116&gt;0,HYPERLINK("#"&amp;ADDRESS(116,'e1'!A116),""),IF('r1'!A116&gt;0,HYPERLINK("#"&amp;ADDRESS(116,'r1'!A116),""),""))</f>
        <v/>
      </c>
      <c r="C116" s="13"/>
      <c r="D116" s="14"/>
      <c r="E116" s="15"/>
      <c r="F116" s="16"/>
      <c r="G116" s="17"/>
      <c r="H116" s="18"/>
      <c r="I116" s="19"/>
      <c r="J116" s="20"/>
      <c r="K116" s="21"/>
      <c r="L116" s="22"/>
      <c r="M116" s="23"/>
      <c r="N116" s="24"/>
      <c r="O116" s="25"/>
      <c r="P116" s="26"/>
      <c r="Q116" s="27"/>
      <c r="R116" s="28"/>
      <c r="S116" s="29"/>
      <c r="T116" s="30"/>
    </row>
    <row r="117" spans="1:20" ht="24" customHeight="1" x14ac:dyDescent="0.25">
      <c r="A117" t="str">
        <f>IF('e1'!A117&gt;0,HYPERLINK("#"&amp;ADDRESS(117,'e1'!A117),""),IF('r1'!A117&gt;0,HYPERLINK("#"&amp;ADDRESS(117,'r1'!A117),""),""))</f>
        <v/>
      </c>
      <c r="C117" s="13"/>
      <c r="D117" s="14"/>
      <c r="E117" s="15"/>
      <c r="F117" s="16"/>
      <c r="G117" s="17"/>
      <c r="H117" s="18"/>
      <c r="I117" s="19"/>
      <c r="J117" s="20"/>
      <c r="K117" s="21"/>
      <c r="L117" s="22"/>
      <c r="M117" s="23"/>
      <c r="N117" s="24"/>
      <c r="O117" s="25"/>
      <c r="P117" s="26"/>
      <c r="Q117" s="27"/>
      <c r="R117" s="28"/>
      <c r="S117" s="29"/>
      <c r="T117" s="30"/>
    </row>
    <row r="118" spans="1:20" ht="24" customHeight="1" x14ac:dyDescent="0.25">
      <c r="A118" t="str">
        <f>IF('e1'!A118&gt;0,HYPERLINK("#"&amp;ADDRESS(118,'e1'!A118),""),IF('r1'!A118&gt;0,HYPERLINK("#"&amp;ADDRESS(118,'r1'!A118),""),""))</f>
        <v/>
      </c>
      <c r="C118" s="13"/>
      <c r="D118" s="14"/>
      <c r="E118" s="15"/>
      <c r="F118" s="16"/>
      <c r="G118" s="17"/>
      <c r="H118" s="18"/>
      <c r="I118" s="19"/>
      <c r="J118" s="20"/>
      <c r="K118" s="21"/>
      <c r="L118" s="22"/>
      <c r="M118" s="23"/>
      <c r="N118" s="24"/>
      <c r="O118" s="25"/>
      <c r="P118" s="26"/>
      <c r="Q118" s="27"/>
      <c r="R118" s="28"/>
      <c r="S118" s="29"/>
      <c r="T118" s="30"/>
    </row>
    <row r="119" spans="1:20" ht="24" customHeight="1" x14ac:dyDescent="0.25">
      <c r="A119" t="str">
        <f>IF('e1'!A119&gt;0,HYPERLINK("#"&amp;ADDRESS(119,'e1'!A119),""),IF('r1'!A119&gt;0,HYPERLINK("#"&amp;ADDRESS(119,'r1'!A119),""),""))</f>
        <v/>
      </c>
      <c r="C119" s="13"/>
      <c r="D119" s="14"/>
      <c r="E119" s="15"/>
      <c r="F119" s="16"/>
      <c r="G119" s="17"/>
      <c r="H119" s="18"/>
      <c r="I119" s="19"/>
      <c r="J119" s="20"/>
      <c r="K119" s="21"/>
      <c r="L119" s="22"/>
      <c r="M119" s="23"/>
      <c r="N119" s="24"/>
      <c r="O119" s="25"/>
      <c r="P119" s="26"/>
      <c r="Q119" s="27"/>
      <c r="R119" s="28"/>
      <c r="S119" s="29"/>
      <c r="T119" s="30"/>
    </row>
    <row r="120" spans="1:20" ht="24" customHeight="1" x14ac:dyDescent="0.25">
      <c r="A120" t="str">
        <f>IF('e1'!A120&gt;0,HYPERLINK("#"&amp;ADDRESS(120,'e1'!A120),""),IF('r1'!A120&gt;0,HYPERLINK("#"&amp;ADDRESS(120,'r1'!A120),""),""))</f>
        <v/>
      </c>
      <c r="C120" s="13"/>
      <c r="D120" s="14"/>
      <c r="E120" s="15"/>
      <c r="F120" s="16"/>
      <c r="G120" s="17"/>
      <c r="H120" s="18"/>
      <c r="I120" s="19"/>
      <c r="J120" s="20"/>
      <c r="K120" s="21"/>
      <c r="L120" s="22"/>
      <c r="M120" s="23"/>
      <c r="N120" s="24"/>
      <c r="O120" s="25"/>
      <c r="P120" s="26"/>
      <c r="Q120" s="27"/>
      <c r="R120" s="28"/>
      <c r="S120" s="29"/>
      <c r="T120" s="30"/>
    </row>
    <row r="121" spans="1:20" ht="24" customHeight="1" x14ac:dyDescent="0.25">
      <c r="A121" t="str">
        <f>IF('e1'!A121&gt;0,HYPERLINK("#"&amp;ADDRESS(121,'e1'!A121),""),IF('r1'!A121&gt;0,HYPERLINK("#"&amp;ADDRESS(121,'r1'!A121),""),""))</f>
        <v/>
      </c>
      <c r="C121" s="13"/>
      <c r="D121" s="14"/>
      <c r="E121" s="15"/>
      <c r="F121" s="16"/>
      <c r="G121" s="17"/>
      <c r="H121" s="18"/>
      <c r="I121" s="19"/>
      <c r="J121" s="20"/>
      <c r="K121" s="21"/>
      <c r="L121" s="22"/>
      <c r="M121" s="23"/>
      <c r="N121" s="24"/>
      <c r="O121" s="25"/>
      <c r="P121" s="26"/>
      <c r="Q121" s="27"/>
      <c r="R121" s="28"/>
      <c r="S121" s="29"/>
      <c r="T121" s="30"/>
    </row>
    <row r="122" spans="1:20" ht="24" customHeight="1" x14ac:dyDescent="0.25">
      <c r="A122" t="str">
        <f>IF('e1'!A122&gt;0,HYPERLINK("#"&amp;ADDRESS(122,'e1'!A122),""),IF('r1'!A122&gt;0,HYPERLINK("#"&amp;ADDRESS(122,'r1'!A122),""),""))</f>
        <v/>
      </c>
      <c r="C122" s="13"/>
      <c r="D122" s="14"/>
      <c r="E122" s="15"/>
      <c r="F122" s="16"/>
      <c r="G122" s="17"/>
      <c r="H122" s="18"/>
      <c r="I122" s="19"/>
      <c r="J122" s="20"/>
      <c r="K122" s="21"/>
      <c r="L122" s="22"/>
      <c r="M122" s="23"/>
      <c r="N122" s="24"/>
      <c r="O122" s="25"/>
      <c r="P122" s="26"/>
      <c r="Q122" s="27"/>
      <c r="R122" s="28"/>
      <c r="S122" s="29"/>
      <c r="T122" s="30"/>
    </row>
    <row r="123" spans="1:20" ht="24" customHeight="1" x14ac:dyDescent="0.25">
      <c r="A123" t="str">
        <f>IF('e1'!A123&gt;0,HYPERLINK("#"&amp;ADDRESS(123,'e1'!A123),""),IF('r1'!A123&gt;0,HYPERLINK("#"&amp;ADDRESS(123,'r1'!A123),""),""))</f>
        <v/>
      </c>
      <c r="C123" s="13"/>
      <c r="D123" s="14"/>
      <c r="E123" s="15"/>
      <c r="F123" s="16"/>
      <c r="G123" s="17"/>
      <c r="H123" s="18"/>
      <c r="I123" s="19"/>
      <c r="J123" s="20"/>
      <c r="K123" s="21"/>
      <c r="L123" s="22"/>
      <c r="M123" s="23"/>
      <c r="N123" s="24"/>
      <c r="O123" s="25"/>
      <c r="P123" s="26"/>
      <c r="Q123" s="27"/>
      <c r="R123" s="28"/>
      <c r="S123" s="29"/>
      <c r="T123" s="30"/>
    </row>
    <row r="124" spans="1:20" ht="24" customHeight="1" x14ac:dyDescent="0.25">
      <c r="A124" t="str">
        <f>IF('e1'!A124&gt;0,HYPERLINK("#"&amp;ADDRESS(124,'e1'!A124),""),IF('r1'!A124&gt;0,HYPERLINK("#"&amp;ADDRESS(124,'r1'!A124),""),""))</f>
        <v/>
      </c>
      <c r="C124" s="13"/>
      <c r="D124" s="14"/>
      <c r="E124" s="15"/>
      <c r="F124" s="16"/>
      <c r="G124" s="17"/>
      <c r="H124" s="18"/>
      <c r="I124" s="19"/>
      <c r="J124" s="20"/>
      <c r="K124" s="21"/>
      <c r="L124" s="22"/>
      <c r="M124" s="23"/>
      <c r="N124" s="24"/>
      <c r="O124" s="25"/>
      <c r="P124" s="26"/>
      <c r="Q124" s="27"/>
      <c r="R124" s="28"/>
      <c r="S124" s="29"/>
      <c r="T124" s="30"/>
    </row>
    <row r="125" spans="1:20" ht="24" customHeight="1" x14ac:dyDescent="0.25">
      <c r="A125" t="str">
        <f>IF('e1'!A125&gt;0,HYPERLINK("#"&amp;ADDRESS(125,'e1'!A125),""),IF('r1'!A125&gt;0,HYPERLINK("#"&amp;ADDRESS(125,'r1'!A125),""),""))</f>
        <v/>
      </c>
      <c r="C125" s="13"/>
      <c r="D125" s="14"/>
      <c r="E125" s="15"/>
      <c r="F125" s="16"/>
      <c r="G125" s="17"/>
      <c r="H125" s="18"/>
      <c r="I125" s="19"/>
      <c r="J125" s="20"/>
      <c r="K125" s="21"/>
      <c r="L125" s="22"/>
      <c r="M125" s="23"/>
      <c r="N125" s="24"/>
      <c r="O125" s="25"/>
      <c r="P125" s="26"/>
      <c r="Q125" s="27"/>
      <c r="R125" s="28"/>
      <c r="S125" s="29"/>
      <c r="T125" s="30"/>
    </row>
    <row r="126" spans="1:20" ht="24" customHeight="1" x14ac:dyDescent="0.25">
      <c r="A126" t="str">
        <f>IF('e1'!A126&gt;0,HYPERLINK("#"&amp;ADDRESS(126,'e1'!A126),""),IF('r1'!A126&gt;0,HYPERLINK("#"&amp;ADDRESS(126,'r1'!A126),""),""))</f>
        <v/>
      </c>
      <c r="C126" s="13"/>
      <c r="D126" s="14"/>
      <c r="E126" s="15"/>
      <c r="F126" s="16"/>
      <c r="G126" s="17"/>
      <c r="H126" s="18"/>
      <c r="I126" s="19"/>
      <c r="J126" s="20"/>
      <c r="K126" s="21"/>
      <c r="L126" s="22"/>
      <c r="M126" s="23"/>
      <c r="N126" s="24"/>
      <c r="O126" s="25"/>
      <c r="P126" s="26"/>
      <c r="Q126" s="27"/>
      <c r="R126" s="28"/>
      <c r="S126" s="29"/>
      <c r="T126" s="30"/>
    </row>
    <row r="127" spans="1:20" ht="24" customHeight="1" x14ac:dyDescent="0.25">
      <c r="A127" t="str">
        <f>IF('e1'!A127&gt;0,HYPERLINK("#"&amp;ADDRESS(127,'e1'!A127),""),IF('r1'!A127&gt;0,HYPERLINK("#"&amp;ADDRESS(127,'r1'!A127),""),""))</f>
        <v/>
      </c>
      <c r="C127" s="13"/>
      <c r="D127" s="14"/>
      <c r="E127" s="15"/>
      <c r="F127" s="16"/>
      <c r="G127" s="17"/>
      <c r="H127" s="18"/>
      <c r="I127" s="19"/>
      <c r="J127" s="20"/>
      <c r="K127" s="21"/>
      <c r="L127" s="22"/>
      <c r="M127" s="23"/>
      <c r="N127" s="24"/>
      <c r="O127" s="25"/>
      <c r="P127" s="26"/>
      <c r="Q127" s="27"/>
      <c r="R127" s="28"/>
      <c r="S127" s="29"/>
      <c r="T127" s="30"/>
    </row>
    <row r="128" spans="1:20" ht="24" customHeight="1" x14ac:dyDescent="0.25">
      <c r="A128" t="str">
        <f>IF('e1'!A128&gt;0,HYPERLINK("#"&amp;ADDRESS(128,'e1'!A128),""),IF('r1'!A128&gt;0,HYPERLINK("#"&amp;ADDRESS(128,'r1'!A128),""),""))</f>
        <v/>
      </c>
      <c r="C128" s="13"/>
      <c r="D128" s="14"/>
      <c r="E128" s="15"/>
      <c r="F128" s="16"/>
      <c r="G128" s="17"/>
      <c r="H128" s="18"/>
      <c r="I128" s="19"/>
      <c r="J128" s="20"/>
      <c r="K128" s="21"/>
      <c r="L128" s="22"/>
      <c r="M128" s="23"/>
      <c r="N128" s="24"/>
      <c r="O128" s="25"/>
      <c r="P128" s="26"/>
      <c r="Q128" s="27"/>
      <c r="R128" s="28"/>
      <c r="S128" s="29"/>
      <c r="T128" s="30"/>
    </row>
    <row r="129" spans="1:20" ht="24" customHeight="1" x14ac:dyDescent="0.25">
      <c r="A129" t="str">
        <f>IF('e1'!A129&gt;0,HYPERLINK("#"&amp;ADDRESS(129,'e1'!A129),""),IF('r1'!A129&gt;0,HYPERLINK("#"&amp;ADDRESS(129,'r1'!A129),""),""))</f>
        <v/>
      </c>
      <c r="C129" s="13"/>
      <c r="D129" s="14"/>
      <c r="E129" s="15"/>
      <c r="F129" s="16"/>
      <c r="G129" s="17"/>
      <c r="H129" s="18"/>
      <c r="I129" s="19"/>
      <c r="J129" s="20"/>
      <c r="K129" s="21"/>
      <c r="L129" s="22"/>
      <c r="M129" s="23"/>
      <c r="N129" s="24"/>
      <c r="O129" s="25"/>
      <c r="P129" s="26"/>
      <c r="Q129" s="27"/>
      <c r="R129" s="28"/>
      <c r="S129" s="29"/>
      <c r="T129" s="30"/>
    </row>
    <row r="130" spans="1:20" ht="24" customHeight="1" x14ac:dyDescent="0.25">
      <c r="A130" t="str">
        <f>IF('e1'!A130&gt;0,HYPERLINK("#"&amp;ADDRESS(130,'e1'!A130),""),IF('r1'!A130&gt;0,HYPERLINK("#"&amp;ADDRESS(130,'r1'!A130),""),""))</f>
        <v/>
      </c>
      <c r="C130" s="13"/>
      <c r="D130" s="14"/>
      <c r="E130" s="15"/>
      <c r="F130" s="16"/>
      <c r="G130" s="17"/>
      <c r="H130" s="18"/>
      <c r="I130" s="19"/>
      <c r="J130" s="20"/>
      <c r="K130" s="21"/>
      <c r="L130" s="22"/>
      <c r="M130" s="23"/>
      <c r="N130" s="24"/>
      <c r="O130" s="25"/>
      <c r="P130" s="26"/>
      <c r="Q130" s="27"/>
      <c r="R130" s="28"/>
      <c r="S130" s="29"/>
      <c r="T130" s="30"/>
    </row>
    <row r="131" spans="1:20" ht="24" customHeight="1" x14ac:dyDescent="0.25">
      <c r="A131" t="str">
        <f>IF('e1'!A131&gt;0,HYPERLINK("#"&amp;ADDRESS(131,'e1'!A131),""),IF('r1'!A131&gt;0,HYPERLINK("#"&amp;ADDRESS(131,'r1'!A131),""),""))</f>
        <v/>
      </c>
      <c r="C131" s="13"/>
      <c r="D131" s="14"/>
      <c r="E131" s="15"/>
      <c r="F131" s="16"/>
      <c r="G131" s="17"/>
      <c r="H131" s="18"/>
      <c r="I131" s="19"/>
      <c r="J131" s="20"/>
      <c r="K131" s="21"/>
      <c r="L131" s="22"/>
      <c r="M131" s="23"/>
      <c r="N131" s="24"/>
      <c r="O131" s="25"/>
      <c r="P131" s="26"/>
      <c r="Q131" s="27"/>
      <c r="R131" s="28"/>
      <c r="S131" s="29"/>
      <c r="T131" s="30"/>
    </row>
    <row r="132" spans="1:20" ht="24" customHeight="1" x14ac:dyDescent="0.25">
      <c r="A132" t="str">
        <f>IF('e1'!A132&gt;0,HYPERLINK("#"&amp;ADDRESS(132,'e1'!A132),""),IF('r1'!A132&gt;0,HYPERLINK("#"&amp;ADDRESS(132,'r1'!A132),""),""))</f>
        <v/>
      </c>
      <c r="C132" s="13"/>
      <c r="D132" s="14"/>
      <c r="E132" s="15"/>
      <c r="F132" s="16"/>
      <c r="G132" s="17"/>
      <c r="H132" s="18"/>
      <c r="I132" s="19"/>
      <c r="J132" s="20"/>
      <c r="K132" s="21"/>
      <c r="L132" s="22"/>
      <c r="M132" s="23"/>
      <c r="N132" s="24"/>
      <c r="O132" s="25"/>
      <c r="P132" s="26"/>
      <c r="Q132" s="27"/>
      <c r="R132" s="28"/>
      <c r="S132" s="29"/>
      <c r="T132" s="30"/>
    </row>
    <row r="133" spans="1:20" ht="24" customHeight="1" x14ac:dyDescent="0.25">
      <c r="A133" t="str">
        <f>IF('e1'!A133&gt;0,HYPERLINK("#"&amp;ADDRESS(133,'e1'!A133),""),IF('r1'!A133&gt;0,HYPERLINK("#"&amp;ADDRESS(133,'r1'!A133),""),""))</f>
        <v/>
      </c>
      <c r="C133" s="13"/>
      <c r="D133" s="14"/>
      <c r="E133" s="15"/>
      <c r="F133" s="16"/>
      <c r="G133" s="17"/>
      <c r="H133" s="18"/>
      <c r="I133" s="19"/>
      <c r="J133" s="20"/>
      <c r="K133" s="21"/>
      <c r="L133" s="22"/>
      <c r="M133" s="23"/>
      <c r="N133" s="24"/>
      <c r="O133" s="25"/>
      <c r="P133" s="26"/>
      <c r="Q133" s="27"/>
      <c r="R133" s="28"/>
      <c r="S133" s="29"/>
      <c r="T133" s="30"/>
    </row>
    <row r="134" spans="1:20" ht="24" customHeight="1" x14ac:dyDescent="0.25">
      <c r="A134" t="str">
        <f>IF('e1'!A134&gt;0,HYPERLINK("#"&amp;ADDRESS(134,'e1'!A134),""),IF('r1'!A134&gt;0,HYPERLINK("#"&amp;ADDRESS(134,'r1'!A134),""),""))</f>
        <v/>
      </c>
      <c r="C134" s="13"/>
      <c r="D134" s="14"/>
      <c r="E134" s="15"/>
      <c r="F134" s="16"/>
      <c r="G134" s="17"/>
      <c r="H134" s="18"/>
      <c r="I134" s="19"/>
      <c r="J134" s="20"/>
      <c r="K134" s="21"/>
      <c r="L134" s="22"/>
      <c r="M134" s="23"/>
      <c r="N134" s="24"/>
      <c r="O134" s="25"/>
      <c r="P134" s="26"/>
      <c r="Q134" s="27"/>
      <c r="R134" s="28"/>
      <c r="S134" s="29"/>
      <c r="T134" s="30"/>
    </row>
    <row r="135" spans="1:20" ht="24" customHeight="1" x14ac:dyDescent="0.25">
      <c r="A135" t="str">
        <f>IF('e1'!A135&gt;0,HYPERLINK("#"&amp;ADDRESS(135,'e1'!A135),""),IF('r1'!A135&gt;0,HYPERLINK("#"&amp;ADDRESS(135,'r1'!A135),""),""))</f>
        <v/>
      </c>
      <c r="C135" s="13"/>
      <c r="D135" s="14"/>
      <c r="E135" s="15"/>
      <c r="F135" s="16"/>
      <c r="G135" s="17"/>
      <c r="H135" s="18"/>
      <c r="I135" s="19"/>
      <c r="J135" s="20"/>
      <c r="K135" s="21"/>
      <c r="L135" s="22"/>
      <c r="M135" s="23"/>
      <c r="N135" s="24"/>
      <c r="O135" s="25"/>
      <c r="P135" s="26"/>
      <c r="Q135" s="27"/>
      <c r="R135" s="28"/>
      <c r="S135" s="29"/>
      <c r="T135" s="30"/>
    </row>
    <row r="136" spans="1:20" ht="24" customHeight="1" x14ac:dyDescent="0.25">
      <c r="A136" t="str">
        <f>IF('e1'!A136&gt;0,HYPERLINK("#"&amp;ADDRESS(136,'e1'!A136),""),IF('r1'!A136&gt;0,HYPERLINK("#"&amp;ADDRESS(136,'r1'!A136),""),""))</f>
        <v/>
      </c>
      <c r="C136" s="13"/>
      <c r="D136" s="14"/>
      <c r="E136" s="15"/>
      <c r="F136" s="16"/>
      <c r="G136" s="17"/>
      <c r="H136" s="18"/>
      <c r="I136" s="19"/>
      <c r="J136" s="20"/>
      <c r="K136" s="21"/>
      <c r="L136" s="22"/>
      <c r="M136" s="23"/>
      <c r="N136" s="24"/>
      <c r="O136" s="25"/>
      <c r="P136" s="26"/>
      <c r="Q136" s="27"/>
      <c r="R136" s="28"/>
      <c r="S136" s="29"/>
      <c r="T136" s="30"/>
    </row>
    <row r="137" spans="1:20" ht="24" customHeight="1" x14ac:dyDescent="0.25">
      <c r="A137" t="str">
        <f>IF('e1'!A137&gt;0,HYPERLINK("#"&amp;ADDRESS(137,'e1'!A137),""),IF('r1'!A137&gt;0,HYPERLINK("#"&amp;ADDRESS(137,'r1'!A137),""),""))</f>
        <v/>
      </c>
      <c r="C137" s="13"/>
      <c r="D137" s="14"/>
      <c r="E137" s="15"/>
      <c r="F137" s="16"/>
      <c r="G137" s="17"/>
      <c r="H137" s="18"/>
      <c r="I137" s="19"/>
      <c r="J137" s="20"/>
      <c r="K137" s="21"/>
      <c r="L137" s="22"/>
      <c r="M137" s="23"/>
      <c r="N137" s="24"/>
      <c r="O137" s="25"/>
      <c r="P137" s="26"/>
      <c r="Q137" s="27"/>
      <c r="R137" s="28"/>
      <c r="S137" s="29"/>
      <c r="T137" s="30"/>
    </row>
    <row r="138" spans="1:20" ht="24" customHeight="1" x14ac:dyDescent="0.25">
      <c r="A138" t="str">
        <f>IF('e1'!A138&gt;0,HYPERLINK("#"&amp;ADDRESS(138,'e1'!A138),""),IF('r1'!A138&gt;0,HYPERLINK("#"&amp;ADDRESS(138,'r1'!A138),""),""))</f>
        <v/>
      </c>
      <c r="C138" s="13"/>
      <c r="D138" s="14"/>
      <c r="E138" s="15"/>
      <c r="F138" s="16"/>
      <c r="G138" s="17"/>
      <c r="H138" s="18"/>
      <c r="I138" s="19"/>
      <c r="J138" s="20"/>
      <c r="K138" s="21"/>
      <c r="L138" s="22"/>
      <c r="M138" s="23"/>
      <c r="N138" s="24"/>
      <c r="O138" s="25"/>
      <c r="P138" s="26"/>
      <c r="Q138" s="27"/>
      <c r="R138" s="28"/>
      <c r="S138" s="29"/>
      <c r="T138" s="30"/>
    </row>
    <row r="139" spans="1:20" ht="24" customHeight="1" x14ac:dyDescent="0.25">
      <c r="A139" t="str">
        <f>IF('e1'!A139&gt;0,HYPERLINK("#"&amp;ADDRESS(139,'e1'!A139),""),IF('r1'!A139&gt;0,HYPERLINK("#"&amp;ADDRESS(139,'r1'!A139),""),""))</f>
        <v/>
      </c>
      <c r="C139" s="13"/>
      <c r="D139" s="14"/>
      <c r="E139" s="15"/>
      <c r="F139" s="16"/>
      <c r="G139" s="17"/>
      <c r="H139" s="18"/>
      <c r="I139" s="19"/>
      <c r="J139" s="20"/>
      <c r="K139" s="21"/>
      <c r="L139" s="22"/>
      <c r="M139" s="23"/>
      <c r="N139" s="24"/>
      <c r="O139" s="25"/>
      <c r="P139" s="26"/>
      <c r="Q139" s="27"/>
      <c r="R139" s="28"/>
      <c r="S139" s="29"/>
      <c r="T139" s="30"/>
    </row>
    <row r="140" spans="1:20" ht="24" customHeight="1" x14ac:dyDescent="0.25">
      <c r="A140" t="str">
        <f>IF('e1'!A140&gt;0,HYPERLINK("#"&amp;ADDRESS(140,'e1'!A140),""),IF('r1'!A140&gt;0,HYPERLINK("#"&amp;ADDRESS(140,'r1'!A140),""),""))</f>
        <v/>
      </c>
      <c r="C140" s="13"/>
      <c r="D140" s="14"/>
      <c r="E140" s="15"/>
      <c r="F140" s="16"/>
      <c r="G140" s="17"/>
      <c r="H140" s="18"/>
      <c r="I140" s="19"/>
      <c r="J140" s="20"/>
      <c r="K140" s="21"/>
      <c r="L140" s="22"/>
      <c r="M140" s="23"/>
      <c r="N140" s="24"/>
      <c r="O140" s="25"/>
      <c r="P140" s="26"/>
      <c r="Q140" s="27"/>
      <c r="R140" s="28"/>
      <c r="S140" s="29"/>
      <c r="T140" s="30"/>
    </row>
    <row r="141" spans="1:20" ht="24" customHeight="1" x14ac:dyDescent="0.25">
      <c r="A141" t="str">
        <f>IF('e1'!A141&gt;0,HYPERLINK("#"&amp;ADDRESS(141,'e1'!A141),""),IF('r1'!A141&gt;0,HYPERLINK("#"&amp;ADDRESS(141,'r1'!A141),""),""))</f>
        <v/>
      </c>
      <c r="C141" s="13"/>
      <c r="D141" s="14"/>
      <c r="E141" s="15"/>
      <c r="F141" s="16"/>
      <c r="G141" s="17"/>
      <c r="H141" s="18"/>
      <c r="I141" s="19"/>
      <c r="J141" s="20"/>
      <c r="K141" s="21"/>
      <c r="L141" s="22"/>
      <c r="M141" s="23"/>
      <c r="N141" s="24"/>
      <c r="O141" s="25"/>
      <c r="P141" s="26"/>
      <c r="Q141" s="27"/>
      <c r="R141" s="28"/>
      <c r="S141" s="29"/>
      <c r="T141" s="30"/>
    </row>
    <row r="142" spans="1:20" ht="24" customHeight="1" x14ac:dyDescent="0.25">
      <c r="A142" t="str">
        <f>IF('e1'!A142&gt;0,HYPERLINK("#"&amp;ADDRESS(142,'e1'!A142),""),IF('r1'!A142&gt;0,HYPERLINK("#"&amp;ADDRESS(142,'r1'!A142),""),""))</f>
        <v/>
      </c>
      <c r="C142" s="13"/>
      <c r="D142" s="14"/>
      <c r="E142" s="15"/>
      <c r="F142" s="16"/>
      <c r="G142" s="17"/>
      <c r="H142" s="18"/>
      <c r="I142" s="19"/>
      <c r="J142" s="20"/>
      <c r="K142" s="21"/>
      <c r="L142" s="22"/>
      <c r="M142" s="23"/>
      <c r="N142" s="24"/>
      <c r="O142" s="25"/>
      <c r="P142" s="26"/>
      <c r="Q142" s="27"/>
      <c r="R142" s="28"/>
      <c r="S142" s="29"/>
      <c r="T142" s="30"/>
    </row>
    <row r="143" spans="1:20" ht="24" customHeight="1" x14ac:dyDescent="0.25">
      <c r="A143" t="str">
        <f>IF('e1'!A143&gt;0,HYPERLINK("#"&amp;ADDRESS(143,'e1'!A143),""),IF('r1'!A143&gt;0,HYPERLINK("#"&amp;ADDRESS(143,'r1'!A143),""),""))</f>
        <v/>
      </c>
      <c r="C143" s="13"/>
      <c r="D143" s="14"/>
      <c r="E143" s="15"/>
      <c r="F143" s="16"/>
      <c r="G143" s="17"/>
      <c r="H143" s="18"/>
      <c r="I143" s="19"/>
      <c r="J143" s="20"/>
      <c r="K143" s="21"/>
      <c r="L143" s="22"/>
      <c r="M143" s="23"/>
      <c r="N143" s="24"/>
      <c r="O143" s="25"/>
      <c r="P143" s="26"/>
      <c r="Q143" s="27"/>
      <c r="R143" s="28"/>
      <c r="S143" s="29"/>
      <c r="T143" s="30"/>
    </row>
    <row r="144" spans="1:20" ht="24" customHeight="1" x14ac:dyDescent="0.25">
      <c r="A144" t="str">
        <f>IF('e1'!A144&gt;0,HYPERLINK("#"&amp;ADDRESS(144,'e1'!A144),""),IF('r1'!A144&gt;0,HYPERLINK("#"&amp;ADDRESS(144,'r1'!A144),""),""))</f>
        <v/>
      </c>
      <c r="C144" s="13"/>
      <c r="D144" s="14"/>
      <c r="E144" s="15"/>
      <c r="F144" s="16"/>
      <c r="G144" s="17"/>
      <c r="H144" s="18"/>
      <c r="I144" s="19"/>
      <c r="J144" s="20"/>
      <c r="K144" s="21"/>
      <c r="L144" s="22"/>
      <c r="M144" s="23"/>
      <c r="N144" s="24"/>
      <c r="O144" s="25"/>
      <c r="P144" s="26"/>
      <c r="Q144" s="27"/>
      <c r="R144" s="28"/>
      <c r="S144" s="29"/>
      <c r="T144" s="30"/>
    </row>
    <row r="145" spans="1:20" ht="24" customHeight="1" x14ac:dyDescent="0.25">
      <c r="A145" t="str">
        <f>IF('e1'!A145&gt;0,HYPERLINK("#"&amp;ADDRESS(145,'e1'!A145),""),IF('r1'!A145&gt;0,HYPERLINK("#"&amp;ADDRESS(145,'r1'!A145),""),""))</f>
        <v/>
      </c>
      <c r="C145" s="13"/>
      <c r="D145" s="14"/>
      <c r="E145" s="15"/>
      <c r="F145" s="16"/>
      <c r="G145" s="17"/>
      <c r="H145" s="18"/>
      <c r="I145" s="19"/>
      <c r="J145" s="20"/>
      <c r="K145" s="21"/>
      <c r="L145" s="22"/>
      <c r="M145" s="23"/>
      <c r="N145" s="24"/>
      <c r="O145" s="25"/>
      <c r="P145" s="26"/>
      <c r="Q145" s="27"/>
      <c r="R145" s="28"/>
      <c r="S145" s="29"/>
      <c r="T145" s="30"/>
    </row>
    <row r="146" spans="1:20" ht="24" customHeight="1" x14ac:dyDescent="0.25">
      <c r="A146" t="str">
        <f>IF('e1'!A146&gt;0,HYPERLINK("#"&amp;ADDRESS(146,'e1'!A146),""),IF('r1'!A146&gt;0,HYPERLINK("#"&amp;ADDRESS(146,'r1'!A146),""),""))</f>
        <v/>
      </c>
      <c r="C146" s="13"/>
      <c r="D146" s="14"/>
      <c r="E146" s="15"/>
      <c r="F146" s="16"/>
      <c r="G146" s="17"/>
      <c r="H146" s="18"/>
      <c r="I146" s="19"/>
      <c r="J146" s="20"/>
      <c r="K146" s="21"/>
      <c r="L146" s="22"/>
      <c r="M146" s="23"/>
      <c r="N146" s="24"/>
      <c r="O146" s="25"/>
      <c r="P146" s="26"/>
      <c r="Q146" s="27"/>
      <c r="R146" s="28"/>
      <c r="S146" s="29"/>
      <c r="T146" s="30"/>
    </row>
    <row r="147" spans="1:20" ht="24" customHeight="1" x14ac:dyDescent="0.25">
      <c r="A147" t="str">
        <f>IF('e1'!A147&gt;0,HYPERLINK("#"&amp;ADDRESS(147,'e1'!A147),""),IF('r1'!A147&gt;0,HYPERLINK("#"&amp;ADDRESS(147,'r1'!A147),""),""))</f>
        <v/>
      </c>
      <c r="C147" s="13"/>
      <c r="D147" s="14"/>
      <c r="E147" s="15"/>
      <c r="F147" s="16"/>
      <c r="G147" s="17"/>
      <c r="H147" s="18"/>
      <c r="I147" s="19"/>
      <c r="J147" s="20"/>
      <c r="K147" s="21"/>
      <c r="L147" s="22"/>
      <c r="M147" s="23"/>
      <c r="N147" s="24"/>
      <c r="O147" s="25"/>
      <c r="P147" s="26"/>
      <c r="Q147" s="27"/>
      <c r="R147" s="28"/>
      <c r="S147" s="29"/>
      <c r="T147" s="30"/>
    </row>
    <row r="148" spans="1:20" ht="24" customHeight="1" x14ac:dyDescent="0.25">
      <c r="A148" t="str">
        <f>IF('e1'!A148&gt;0,HYPERLINK("#"&amp;ADDRESS(148,'e1'!A148),""),IF('r1'!A148&gt;0,HYPERLINK("#"&amp;ADDRESS(148,'r1'!A148),""),""))</f>
        <v/>
      </c>
      <c r="C148" s="13"/>
      <c r="D148" s="14"/>
      <c r="E148" s="15"/>
      <c r="F148" s="16"/>
      <c r="G148" s="17"/>
      <c r="H148" s="18"/>
      <c r="I148" s="19"/>
      <c r="J148" s="20"/>
      <c r="K148" s="21"/>
      <c r="L148" s="22"/>
      <c r="M148" s="23"/>
      <c r="N148" s="24"/>
      <c r="O148" s="25"/>
      <c r="P148" s="26"/>
      <c r="Q148" s="27"/>
      <c r="R148" s="28"/>
      <c r="S148" s="29"/>
      <c r="T148" s="30"/>
    </row>
    <row r="149" spans="1:20" ht="24" customHeight="1" x14ac:dyDescent="0.25">
      <c r="A149" t="str">
        <f>IF('e1'!A149&gt;0,HYPERLINK("#"&amp;ADDRESS(149,'e1'!A149),""),IF('r1'!A149&gt;0,HYPERLINK("#"&amp;ADDRESS(149,'r1'!A149),""),""))</f>
        <v/>
      </c>
      <c r="C149" s="13"/>
      <c r="D149" s="14"/>
      <c r="E149" s="15"/>
      <c r="F149" s="16"/>
      <c r="G149" s="17"/>
      <c r="H149" s="18"/>
      <c r="I149" s="19"/>
      <c r="J149" s="20"/>
      <c r="K149" s="21"/>
      <c r="L149" s="22"/>
      <c r="M149" s="23"/>
      <c r="N149" s="24"/>
      <c r="O149" s="25"/>
      <c r="P149" s="26"/>
      <c r="Q149" s="27"/>
      <c r="R149" s="28"/>
      <c r="S149" s="29"/>
      <c r="T149" s="30"/>
    </row>
    <row r="150" spans="1:20" ht="24" customHeight="1" x14ac:dyDescent="0.25">
      <c r="A150" t="str">
        <f>IF('e1'!A150&gt;0,HYPERLINK("#"&amp;ADDRESS(150,'e1'!A150),""),IF('r1'!A150&gt;0,HYPERLINK("#"&amp;ADDRESS(150,'r1'!A150),""),""))</f>
        <v/>
      </c>
      <c r="C150" s="13"/>
      <c r="D150" s="14"/>
      <c r="E150" s="15"/>
      <c r="F150" s="16"/>
      <c r="G150" s="17"/>
      <c r="H150" s="18"/>
      <c r="I150" s="19"/>
      <c r="J150" s="20"/>
      <c r="K150" s="21"/>
      <c r="L150" s="22"/>
      <c r="M150" s="23"/>
      <c r="N150" s="24"/>
      <c r="O150" s="25"/>
      <c r="P150" s="26"/>
      <c r="Q150" s="27"/>
      <c r="R150" s="28"/>
      <c r="S150" s="29"/>
      <c r="T150" s="30"/>
    </row>
    <row r="151" spans="1:20" ht="24" customHeight="1" x14ac:dyDescent="0.25">
      <c r="A151" t="str">
        <f>IF('e1'!A151&gt;0,HYPERLINK("#"&amp;ADDRESS(151,'e1'!A151),""),IF('r1'!A151&gt;0,HYPERLINK("#"&amp;ADDRESS(151,'r1'!A151),""),""))</f>
        <v/>
      </c>
      <c r="C151" s="13"/>
      <c r="D151" s="14"/>
      <c r="E151" s="15"/>
      <c r="F151" s="16"/>
      <c r="G151" s="17"/>
      <c r="H151" s="18"/>
      <c r="I151" s="19"/>
      <c r="J151" s="20"/>
      <c r="K151" s="21"/>
      <c r="L151" s="22"/>
      <c r="M151" s="23"/>
      <c r="N151" s="24"/>
      <c r="O151" s="25"/>
      <c r="P151" s="26"/>
      <c r="Q151" s="27"/>
      <c r="R151" s="28"/>
      <c r="S151" s="29"/>
      <c r="T151" s="30"/>
    </row>
    <row r="152" spans="1:20" ht="24" customHeight="1" x14ac:dyDescent="0.25">
      <c r="A152" t="str">
        <f>IF('e1'!A152&gt;0,HYPERLINK("#"&amp;ADDRESS(152,'e1'!A152),""),IF('r1'!A152&gt;0,HYPERLINK("#"&amp;ADDRESS(152,'r1'!A152),""),""))</f>
        <v/>
      </c>
      <c r="C152" s="13"/>
      <c r="D152" s="14"/>
      <c r="E152" s="15"/>
      <c r="F152" s="16"/>
      <c r="G152" s="17"/>
      <c r="H152" s="18"/>
      <c r="I152" s="19"/>
      <c r="J152" s="20"/>
      <c r="K152" s="21"/>
      <c r="L152" s="22"/>
      <c r="M152" s="23"/>
      <c r="N152" s="24"/>
      <c r="O152" s="25"/>
      <c r="P152" s="26"/>
      <c r="Q152" s="27"/>
      <c r="R152" s="28"/>
      <c r="S152" s="29"/>
      <c r="T152" s="30"/>
    </row>
    <row r="153" spans="1:20" ht="24" customHeight="1" x14ac:dyDescent="0.25">
      <c r="A153" t="str">
        <f>IF('e1'!A153&gt;0,HYPERLINK("#"&amp;ADDRESS(153,'e1'!A153),""),IF('r1'!A153&gt;0,HYPERLINK("#"&amp;ADDRESS(153,'r1'!A153),""),""))</f>
        <v/>
      </c>
      <c r="C153" s="13"/>
      <c r="D153" s="14"/>
      <c r="E153" s="15"/>
      <c r="F153" s="16"/>
      <c r="G153" s="17"/>
      <c r="H153" s="18"/>
      <c r="I153" s="19"/>
      <c r="J153" s="20"/>
      <c r="K153" s="21"/>
      <c r="L153" s="22"/>
      <c r="M153" s="23"/>
      <c r="N153" s="24"/>
      <c r="O153" s="25"/>
      <c r="P153" s="26"/>
      <c r="Q153" s="27"/>
      <c r="R153" s="28"/>
      <c r="S153" s="29"/>
      <c r="T153" s="30"/>
    </row>
    <row r="154" spans="1:20" ht="24" customHeight="1" x14ac:dyDescent="0.25">
      <c r="A154" t="str">
        <f>IF('e1'!A154&gt;0,HYPERLINK("#"&amp;ADDRESS(154,'e1'!A154),""),IF('r1'!A154&gt;0,HYPERLINK("#"&amp;ADDRESS(154,'r1'!A154),""),""))</f>
        <v/>
      </c>
      <c r="C154" s="13"/>
      <c r="D154" s="14"/>
      <c r="E154" s="15"/>
      <c r="F154" s="16"/>
      <c r="G154" s="17"/>
      <c r="H154" s="18"/>
      <c r="I154" s="19"/>
      <c r="J154" s="20"/>
      <c r="K154" s="21"/>
      <c r="L154" s="22"/>
      <c r="M154" s="23"/>
      <c r="N154" s="24"/>
      <c r="O154" s="25"/>
      <c r="P154" s="26"/>
      <c r="Q154" s="27"/>
      <c r="R154" s="28"/>
      <c r="S154" s="29"/>
      <c r="T154" s="30"/>
    </row>
    <row r="155" spans="1:20" ht="24" customHeight="1" x14ac:dyDescent="0.25">
      <c r="A155" t="str">
        <f>IF('e1'!A155&gt;0,HYPERLINK("#"&amp;ADDRESS(155,'e1'!A155),""),IF('r1'!A155&gt;0,HYPERLINK("#"&amp;ADDRESS(155,'r1'!A155),""),""))</f>
        <v/>
      </c>
      <c r="C155" s="13"/>
      <c r="D155" s="14"/>
      <c r="E155" s="15"/>
      <c r="F155" s="16"/>
      <c r="G155" s="17"/>
      <c r="H155" s="18"/>
      <c r="I155" s="19"/>
      <c r="J155" s="20"/>
      <c r="K155" s="21"/>
      <c r="L155" s="22"/>
      <c r="M155" s="23"/>
      <c r="N155" s="24"/>
      <c r="O155" s="25"/>
      <c r="P155" s="26"/>
      <c r="Q155" s="27"/>
      <c r="R155" s="28"/>
      <c r="S155" s="29"/>
      <c r="T155" s="30"/>
    </row>
    <row r="156" spans="1:20" ht="24" customHeight="1" x14ac:dyDescent="0.25">
      <c r="A156" t="str">
        <f>IF('e1'!A156&gt;0,HYPERLINK("#"&amp;ADDRESS(156,'e1'!A156),""),IF('r1'!A156&gt;0,HYPERLINK("#"&amp;ADDRESS(156,'r1'!A156),""),""))</f>
        <v/>
      </c>
      <c r="C156" s="13"/>
      <c r="D156" s="14"/>
      <c r="E156" s="15"/>
      <c r="F156" s="16"/>
      <c r="G156" s="17"/>
      <c r="H156" s="18"/>
      <c r="I156" s="19"/>
      <c r="J156" s="20"/>
      <c r="K156" s="21"/>
      <c r="L156" s="22"/>
      <c r="M156" s="23"/>
      <c r="N156" s="24"/>
      <c r="O156" s="25"/>
      <c r="P156" s="26"/>
      <c r="Q156" s="27"/>
      <c r="R156" s="28"/>
      <c r="S156" s="29"/>
      <c r="T156" s="30"/>
    </row>
    <row r="157" spans="1:20" ht="24" customHeight="1" x14ac:dyDescent="0.25">
      <c r="A157" t="str">
        <f>IF('e1'!A157&gt;0,HYPERLINK("#"&amp;ADDRESS(157,'e1'!A157),""),IF('r1'!A157&gt;0,HYPERLINK("#"&amp;ADDRESS(157,'r1'!A157),""),""))</f>
        <v/>
      </c>
      <c r="C157" s="13"/>
      <c r="D157" s="14"/>
      <c r="E157" s="15"/>
      <c r="F157" s="16"/>
      <c r="G157" s="17"/>
      <c r="H157" s="18"/>
      <c r="I157" s="19"/>
      <c r="J157" s="20"/>
      <c r="K157" s="21"/>
      <c r="L157" s="22"/>
      <c r="M157" s="23"/>
      <c r="N157" s="24"/>
      <c r="O157" s="25"/>
      <c r="P157" s="26"/>
      <c r="Q157" s="27"/>
      <c r="R157" s="28"/>
      <c r="S157" s="29"/>
      <c r="T157" s="30"/>
    </row>
    <row r="158" spans="1:20" ht="24" customHeight="1" x14ac:dyDescent="0.25">
      <c r="A158" t="str">
        <f>IF('e1'!A158&gt;0,HYPERLINK("#"&amp;ADDRESS(158,'e1'!A158),""),IF('r1'!A158&gt;0,HYPERLINK("#"&amp;ADDRESS(158,'r1'!A158),""),""))</f>
        <v/>
      </c>
      <c r="C158" s="13"/>
      <c r="D158" s="14"/>
      <c r="E158" s="15"/>
      <c r="F158" s="16"/>
      <c r="G158" s="17"/>
      <c r="H158" s="18"/>
      <c r="I158" s="19"/>
      <c r="J158" s="20"/>
      <c r="K158" s="21"/>
      <c r="L158" s="22"/>
      <c r="M158" s="23"/>
      <c r="N158" s="24"/>
      <c r="O158" s="25"/>
      <c r="P158" s="26"/>
      <c r="Q158" s="27"/>
      <c r="R158" s="28"/>
      <c r="S158" s="29"/>
      <c r="T158" s="30"/>
    </row>
    <row r="159" spans="1:20" ht="24" customHeight="1" x14ac:dyDescent="0.25">
      <c r="A159" t="str">
        <f>IF('e1'!A159&gt;0,HYPERLINK("#"&amp;ADDRESS(159,'e1'!A159),""),IF('r1'!A159&gt;0,HYPERLINK("#"&amp;ADDRESS(159,'r1'!A159),""),""))</f>
        <v/>
      </c>
      <c r="C159" s="13"/>
      <c r="D159" s="14"/>
      <c r="E159" s="15"/>
      <c r="F159" s="16"/>
      <c r="G159" s="17"/>
      <c r="H159" s="18"/>
      <c r="I159" s="19"/>
      <c r="J159" s="20"/>
      <c r="K159" s="21"/>
      <c r="L159" s="22"/>
      <c r="M159" s="23"/>
      <c r="N159" s="24"/>
      <c r="O159" s="25"/>
      <c r="P159" s="26"/>
      <c r="Q159" s="27"/>
      <c r="R159" s="28"/>
      <c r="S159" s="29"/>
      <c r="T159" s="30"/>
    </row>
    <row r="160" spans="1:20" ht="24" customHeight="1" x14ac:dyDescent="0.25">
      <c r="A160" t="str">
        <f>IF('e1'!A160&gt;0,HYPERLINK("#"&amp;ADDRESS(160,'e1'!A160),""),IF('r1'!A160&gt;0,HYPERLINK("#"&amp;ADDRESS(160,'r1'!A160),""),""))</f>
        <v/>
      </c>
      <c r="C160" s="13"/>
      <c r="D160" s="14"/>
      <c r="E160" s="15"/>
      <c r="F160" s="16"/>
      <c r="G160" s="17"/>
      <c r="H160" s="18"/>
      <c r="I160" s="19"/>
      <c r="J160" s="20"/>
      <c r="K160" s="21"/>
      <c r="L160" s="22"/>
      <c r="M160" s="23"/>
      <c r="N160" s="24"/>
      <c r="O160" s="25"/>
      <c r="P160" s="26"/>
      <c r="Q160" s="27"/>
      <c r="R160" s="28"/>
      <c r="S160" s="29"/>
      <c r="T160" s="30"/>
    </row>
    <row r="161" spans="1:20" ht="24" customHeight="1" x14ac:dyDescent="0.25">
      <c r="A161" t="str">
        <f>IF('e1'!A161&gt;0,HYPERLINK("#"&amp;ADDRESS(161,'e1'!A161),""),IF('r1'!A161&gt;0,HYPERLINK("#"&amp;ADDRESS(161,'r1'!A161),""),""))</f>
        <v/>
      </c>
      <c r="C161" s="13"/>
      <c r="D161" s="14"/>
      <c r="E161" s="15"/>
      <c r="F161" s="16"/>
      <c r="G161" s="17"/>
      <c r="H161" s="18"/>
      <c r="I161" s="19"/>
      <c r="J161" s="20"/>
      <c r="K161" s="21"/>
      <c r="L161" s="22"/>
      <c r="M161" s="23"/>
      <c r="N161" s="24"/>
      <c r="O161" s="25"/>
      <c r="P161" s="26"/>
      <c r="Q161" s="27"/>
      <c r="R161" s="28"/>
      <c r="S161" s="29"/>
      <c r="T161" s="30"/>
    </row>
    <row r="162" spans="1:20" ht="24" customHeight="1" x14ac:dyDescent="0.25">
      <c r="A162" t="str">
        <f>IF('e1'!A162&gt;0,HYPERLINK("#"&amp;ADDRESS(162,'e1'!A162),""),IF('r1'!A162&gt;0,HYPERLINK("#"&amp;ADDRESS(162,'r1'!A162),""),""))</f>
        <v/>
      </c>
      <c r="C162" s="13"/>
      <c r="D162" s="14"/>
      <c r="E162" s="15"/>
      <c r="F162" s="16"/>
      <c r="G162" s="17"/>
      <c r="H162" s="18"/>
      <c r="I162" s="19"/>
      <c r="J162" s="20"/>
      <c r="K162" s="21"/>
      <c r="L162" s="22"/>
      <c r="M162" s="23"/>
      <c r="N162" s="24"/>
      <c r="O162" s="25"/>
      <c r="P162" s="26"/>
      <c r="Q162" s="27"/>
      <c r="R162" s="28"/>
      <c r="S162" s="29"/>
      <c r="T162" s="30"/>
    </row>
    <row r="163" spans="1:20" ht="24" customHeight="1" x14ac:dyDescent="0.25">
      <c r="A163" t="str">
        <f>IF('e1'!A163&gt;0,HYPERLINK("#"&amp;ADDRESS(163,'e1'!A163),""),IF('r1'!A163&gt;0,HYPERLINK("#"&amp;ADDRESS(163,'r1'!A163),""),""))</f>
        <v/>
      </c>
      <c r="C163" s="13"/>
      <c r="D163" s="14"/>
      <c r="E163" s="15"/>
      <c r="F163" s="16"/>
      <c r="G163" s="17"/>
      <c r="H163" s="18"/>
      <c r="I163" s="19"/>
      <c r="J163" s="20"/>
      <c r="K163" s="21"/>
      <c r="L163" s="22"/>
      <c r="M163" s="23"/>
      <c r="N163" s="24"/>
      <c r="O163" s="25"/>
      <c r="P163" s="26"/>
      <c r="Q163" s="27"/>
      <c r="R163" s="28"/>
      <c r="S163" s="29"/>
      <c r="T163" s="30"/>
    </row>
    <row r="164" spans="1:20" ht="24" customHeight="1" x14ac:dyDescent="0.25">
      <c r="A164" t="str">
        <f>IF('e1'!A164&gt;0,HYPERLINK("#"&amp;ADDRESS(164,'e1'!A164),""),IF('r1'!A164&gt;0,HYPERLINK("#"&amp;ADDRESS(164,'r1'!A164),""),""))</f>
        <v/>
      </c>
      <c r="C164" s="13"/>
      <c r="D164" s="14"/>
      <c r="E164" s="15"/>
      <c r="F164" s="16"/>
      <c r="G164" s="17"/>
      <c r="H164" s="18"/>
      <c r="I164" s="19"/>
      <c r="J164" s="20"/>
      <c r="K164" s="21"/>
      <c r="L164" s="22"/>
      <c r="M164" s="23"/>
      <c r="N164" s="24"/>
      <c r="O164" s="25"/>
      <c r="P164" s="26"/>
      <c r="Q164" s="27"/>
      <c r="R164" s="28"/>
      <c r="S164" s="29"/>
      <c r="T164" s="30"/>
    </row>
    <row r="165" spans="1:20" ht="24" customHeight="1" x14ac:dyDescent="0.25">
      <c r="A165" t="str">
        <f>IF('e1'!A165&gt;0,HYPERLINK("#"&amp;ADDRESS(165,'e1'!A165),""),IF('r1'!A165&gt;0,HYPERLINK("#"&amp;ADDRESS(165,'r1'!A165),""),""))</f>
        <v/>
      </c>
      <c r="C165" s="13"/>
      <c r="D165" s="14"/>
      <c r="E165" s="15"/>
      <c r="F165" s="16"/>
      <c r="G165" s="17"/>
      <c r="H165" s="18"/>
      <c r="I165" s="19"/>
      <c r="J165" s="20"/>
      <c r="K165" s="21"/>
      <c r="L165" s="22"/>
      <c r="M165" s="23"/>
      <c r="N165" s="24"/>
      <c r="O165" s="25"/>
      <c r="P165" s="26"/>
      <c r="Q165" s="27"/>
      <c r="R165" s="28"/>
      <c r="S165" s="29"/>
      <c r="T165" s="30"/>
    </row>
    <row r="166" spans="1:20" ht="24" customHeight="1" x14ac:dyDescent="0.25">
      <c r="A166" t="str">
        <f>IF('e1'!A166&gt;0,HYPERLINK("#"&amp;ADDRESS(166,'e1'!A166),""),IF('r1'!A166&gt;0,HYPERLINK("#"&amp;ADDRESS(166,'r1'!A166),""),""))</f>
        <v/>
      </c>
      <c r="C166" s="13"/>
      <c r="D166" s="14"/>
      <c r="E166" s="15"/>
      <c r="F166" s="16"/>
      <c r="G166" s="17"/>
      <c r="H166" s="18"/>
      <c r="I166" s="19"/>
      <c r="J166" s="20"/>
      <c r="K166" s="21"/>
      <c r="L166" s="22"/>
      <c r="M166" s="23"/>
      <c r="N166" s="24"/>
      <c r="O166" s="25"/>
      <c r="P166" s="26"/>
      <c r="Q166" s="27"/>
      <c r="R166" s="28"/>
      <c r="S166" s="29"/>
      <c r="T166" s="30"/>
    </row>
    <row r="167" spans="1:20" ht="24" customHeight="1" x14ac:dyDescent="0.25">
      <c r="A167" t="str">
        <f>IF('e1'!A167&gt;0,HYPERLINK("#"&amp;ADDRESS(167,'e1'!A167),""),IF('r1'!A167&gt;0,HYPERLINK("#"&amp;ADDRESS(167,'r1'!A167),""),""))</f>
        <v/>
      </c>
      <c r="C167" s="13"/>
      <c r="D167" s="14"/>
      <c r="E167" s="15"/>
      <c r="F167" s="16"/>
      <c r="G167" s="17"/>
      <c r="H167" s="18"/>
      <c r="I167" s="19"/>
      <c r="J167" s="20"/>
      <c r="K167" s="21"/>
      <c r="L167" s="22"/>
      <c r="M167" s="23"/>
      <c r="N167" s="24"/>
      <c r="O167" s="25"/>
      <c r="P167" s="26"/>
      <c r="Q167" s="27"/>
      <c r="R167" s="28"/>
      <c r="S167" s="29"/>
      <c r="T167" s="30"/>
    </row>
    <row r="168" spans="1:20" ht="24" customHeight="1" x14ac:dyDescent="0.25">
      <c r="A168" t="str">
        <f>IF('e1'!A168&gt;0,HYPERLINK("#"&amp;ADDRESS(168,'e1'!A168),""),IF('r1'!A168&gt;0,HYPERLINK("#"&amp;ADDRESS(168,'r1'!A168),""),""))</f>
        <v/>
      </c>
      <c r="C168" s="13"/>
      <c r="D168" s="14"/>
      <c r="E168" s="15"/>
      <c r="F168" s="16"/>
      <c r="G168" s="17"/>
      <c r="H168" s="18"/>
      <c r="I168" s="19"/>
      <c r="J168" s="20"/>
      <c r="K168" s="21"/>
      <c r="L168" s="22"/>
      <c r="M168" s="23"/>
      <c r="N168" s="24"/>
      <c r="O168" s="25"/>
      <c r="P168" s="26"/>
      <c r="Q168" s="27"/>
      <c r="R168" s="28"/>
      <c r="S168" s="29"/>
      <c r="T168" s="30"/>
    </row>
    <row r="169" spans="1:20" ht="24" customHeight="1" x14ac:dyDescent="0.25">
      <c r="A169" t="str">
        <f>IF('e1'!A169&gt;0,HYPERLINK("#"&amp;ADDRESS(169,'e1'!A169),""),IF('r1'!A169&gt;0,HYPERLINK("#"&amp;ADDRESS(169,'r1'!A169),""),""))</f>
        <v/>
      </c>
      <c r="C169" s="13"/>
      <c r="D169" s="14"/>
      <c r="E169" s="15"/>
      <c r="F169" s="16"/>
      <c r="G169" s="17"/>
      <c r="H169" s="18"/>
      <c r="I169" s="19"/>
      <c r="J169" s="20"/>
      <c r="K169" s="21"/>
      <c r="L169" s="22"/>
      <c r="M169" s="23"/>
      <c r="N169" s="24"/>
      <c r="O169" s="25"/>
      <c r="P169" s="26"/>
      <c r="Q169" s="27"/>
      <c r="R169" s="28"/>
      <c r="S169" s="29"/>
      <c r="T169" s="30"/>
    </row>
    <row r="170" spans="1:20" ht="24" customHeight="1" x14ac:dyDescent="0.25">
      <c r="A170" t="str">
        <f>IF('e1'!A170&gt;0,HYPERLINK("#"&amp;ADDRESS(170,'e1'!A170),""),IF('r1'!A170&gt;0,HYPERLINK("#"&amp;ADDRESS(170,'r1'!A170),""),""))</f>
        <v/>
      </c>
      <c r="C170" s="13"/>
      <c r="D170" s="14"/>
      <c r="E170" s="15"/>
      <c r="F170" s="16"/>
      <c r="G170" s="17"/>
      <c r="H170" s="18"/>
      <c r="I170" s="19"/>
      <c r="J170" s="20"/>
      <c r="K170" s="21"/>
      <c r="L170" s="22"/>
      <c r="M170" s="23"/>
      <c r="N170" s="24"/>
      <c r="O170" s="25"/>
      <c r="P170" s="26"/>
      <c r="Q170" s="27"/>
      <c r="R170" s="28"/>
      <c r="S170" s="29"/>
      <c r="T170" s="30"/>
    </row>
    <row r="171" spans="1:20" ht="24" customHeight="1" x14ac:dyDescent="0.25">
      <c r="A171" t="str">
        <f>IF('e1'!A171&gt;0,HYPERLINK("#"&amp;ADDRESS(171,'e1'!A171),""),IF('r1'!A171&gt;0,HYPERLINK("#"&amp;ADDRESS(171,'r1'!A171),""),""))</f>
        <v/>
      </c>
      <c r="C171" s="13"/>
      <c r="D171" s="14"/>
      <c r="E171" s="15"/>
      <c r="F171" s="16"/>
      <c r="G171" s="17"/>
      <c r="H171" s="18"/>
      <c r="I171" s="19"/>
      <c r="J171" s="20"/>
      <c r="K171" s="21"/>
      <c r="L171" s="22"/>
      <c r="M171" s="23"/>
      <c r="N171" s="24"/>
      <c r="O171" s="25"/>
      <c r="P171" s="26"/>
      <c r="Q171" s="27"/>
      <c r="R171" s="28"/>
      <c r="S171" s="29"/>
      <c r="T171" s="30"/>
    </row>
    <row r="172" spans="1:20" ht="24" customHeight="1" x14ac:dyDescent="0.25">
      <c r="A172" t="str">
        <f>IF('e1'!A172&gt;0,HYPERLINK("#"&amp;ADDRESS(172,'e1'!A172),""),IF('r1'!A172&gt;0,HYPERLINK("#"&amp;ADDRESS(172,'r1'!A172),""),""))</f>
        <v/>
      </c>
      <c r="C172" s="13"/>
      <c r="D172" s="14"/>
      <c r="E172" s="15"/>
      <c r="F172" s="16"/>
      <c r="G172" s="17"/>
      <c r="H172" s="18"/>
      <c r="I172" s="19"/>
      <c r="J172" s="20"/>
      <c r="K172" s="21"/>
      <c r="L172" s="22"/>
      <c r="M172" s="23"/>
      <c r="N172" s="24"/>
      <c r="O172" s="25"/>
      <c r="P172" s="26"/>
      <c r="Q172" s="27"/>
      <c r="R172" s="28"/>
      <c r="S172" s="29"/>
      <c r="T172" s="30"/>
    </row>
    <row r="173" spans="1:20" ht="24" customHeight="1" x14ac:dyDescent="0.25">
      <c r="A173" t="str">
        <f>IF('e1'!A173&gt;0,HYPERLINK("#"&amp;ADDRESS(173,'e1'!A173),""),IF('r1'!A173&gt;0,HYPERLINK("#"&amp;ADDRESS(173,'r1'!A173),""),""))</f>
        <v/>
      </c>
      <c r="C173" s="13"/>
      <c r="D173" s="14"/>
      <c r="E173" s="15"/>
      <c r="F173" s="16"/>
      <c r="G173" s="17"/>
      <c r="H173" s="18"/>
      <c r="I173" s="19"/>
      <c r="J173" s="20"/>
      <c r="K173" s="21"/>
      <c r="L173" s="22"/>
      <c r="M173" s="23"/>
      <c r="N173" s="24"/>
      <c r="O173" s="25"/>
      <c r="P173" s="26"/>
      <c r="Q173" s="27"/>
      <c r="R173" s="28"/>
      <c r="S173" s="29"/>
      <c r="T173" s="30"/>
    </row>
    <row r="174" spans="1:20" ht="24" customHeight="1" x14ac:dyDescent="0.25">
      <c r="A174" t="str">
        <f>IF('e1'!A174&gt;0,HYPERLINK("#"&amp;ADDRESS(174,'e1'!A174),""),IF('r1'!A174&gt;0,HYPERLINK("#"&amp;ADDRESS(174,'r1'!A174),""),""))</f>
        <v/>
      </c>
      <c r="C174" s="13"/>
      <c r="D174" s="14"/>
      <c r="E174" s="15"/>
      <c r="F174" s="16"/>
      <c r="G174" s="17"/>
      <c r="H174" s="18"/>
      <c r="I174" s="19"/>
      <c r="J174" s="20"/>
      <c r="K174" s="21"/>
      <c r="L174" s="22"/>
      <c r="M174" s="23"/>
      <c r="N174" s="24"/>
      <c r="O174" s="25"/>
      <c r="P174" s="26"/>
      <c r="Q174" s="27"/>
      <c r="R174" s="28"/>
      <c r="S174" s="29"/>
      <c r="T174" s="30"/>
    </row>
    <row r="175" spans="1:20" ht="24" customHeight="1" x14ac:dyDescent="0.25">
      <c r="A175" t="str">
        <f>IF('e1'!A175&gt;0,HYPERLINK("#"&amp;ADDRESS(175,'e1'!A175),""),IF('r1'!A175&gt;0,HYPERLINK("#"&amp;ADDRESS(175,'r1'!A175),""),""))</f>
        <v/>
      </c>
      <c r="C175" s="13"/>
      <c r="D175" s="14"/>
      <c r="E175" s="15"/>
      <c r="F175" s="16"/>
      <c r="G175" s="17"/>
      <c r="H175" s="18"/>
      <c r="I175" s="19"/>
      <c r="J175" s="20"/>
      <c r="K175" s="21"/>
      <c r="L175" s="22"/>
      <c r="M175" s="23"/>
      <c r="N175" s="24"/>
      <c r="O175" s="25"/>
      <c r="P175" s="26"/>
      <c r="Q175" s="27"/>
      <c r="R175" s="28"/>
      <c r="S175" s="29"/>
      <c r="T175" s="30"/>
    </row>
    <row r="176" spans="1:20" ht="24" customHeight="1" x14ac:dyDescent="0.25">
      <c r="A176" t="str">
        <f>IF('e1'!A176&gt;0,HYPERLINK("#"&amp;ADDRESS(176,'e1'!A176),""),IF('r1'!A176&gt;0,HYPERLINK("#"&amp;ADDRESS(176,'r1'!A176),""),""))</f>
        <v/>
      </c>
      <c r="C176" s="13"/>
      <c r="D176" s="14"/>
      <c r="E176" s="15"/>
      <c r="F176" s="16"/>
      <c r="G176" s="17"/>
      <c r="H176" s="18"/>
      <c r="I176" s="19"/>
      <c r="J176" s="20"/>
      <c r="K176" s="21"/>
      <c r="L176" s="22"/>
      <c r="M176" s="23"/>
      <c r="N176" s="24"/>
      <c r="O176" s="25"/>
      <c r="P176" s="26"/>
      <c r="Q176" s="27"/>
      <c r="R176" s="28"/>
      <c r="S176" s="29"/>
      <c r="T176" s="30"/>
    </row>
    <row r="177" spans="1:20" ht="24" customHeight="1" x14ac:dyDescent="0.25">
      <c r="A177" t="str">
        <f>IF('e1'!A177&gt;0,HYPERLINK("#"&amp;ADDRESS(177,'e1'!A177),""),IF('r1'!A177&gt;0,HYPERLINK("#"&amp;ADDRESS(177,'r1'!A177),""),""))</f>
        <v/>
      </c>
      <c r="C177" s="13"/>
      <c r="D177" s="14"/>
      <c r="E177" s="15"/>
      <c r="F177" s="16"/>
      <c r="G177" s="17"/>
      <c r="H177" s="18"/>
      <c r="I177" s="19"/>
      <c r="J177" s="20"/>
      <c r="K177" s="21"/>
      <c r="L177" s="22"/>
      <c r="M177" s="23"/>
      <c r="N177" s="24"/>
      <c r="O177" s="25"/>
      <c r="P177" s="26"/>
      <c r="Q177" s="27"/>
      <c r="R177" s="28"/>
      <c r="S177" s="29"/>
      <c r="T177" s="30"/>
    </row>
    <row r="178" spans="1:20" ht="24" customHeight="1" x14ac:dyDescent="0.25">
      <c r="A178" t="str">
        <f>IF('e1'!A178&gt;0,HYPERLINK("#"&amp;ADDRESS(178,'e1'!A178),""),IF('r1'!A178&gt;0,HYPERLINK("#"&amp;ADDRESS(178,'r1'!A178),""),""))</f>
        <v/>
      </c>
      <c r="C178" s="13"/>
      <c r="D178" s="14"/>
      <c r="E178" s="15"/>
      <c r="F178" s="16"/>
      <c r="G178" s="17"/>
      <c r="H178" s="18"/>
      <c r="I178" s="19"/>
      <c r="J178" s="20"/>
      <c r="K178" s="21"/>
      <c r="L178" s="22"/>
      <c r="M178" s="23"/>
      <c r="N178" s="24"/>
      <c r="O178" s="25"/>
      <c r="P178" s="26"/>
      <c r="Q178" s="27"/>
      <c r="R178" s="28"/>
      <c r="S178" s="29"/>
      <c r="T178" s="30"/>
    </row>
    <row r="179" spans="1:20" ht="24" customHeight="1" x14ac:dyDescent="0.25">
      <c r="A179" t="str">
        <f>IF('e1'!A179&gt;0,HYPERLINK("#"&amp;ADDRESS(179,'e1'!A179),""),IF('r1'!A179&gt;0,HYPERLINK("#"&amp;ADDRESS(179,'r1'!A179),""),""))</f>
        <v/>
      </c>
      <c r="C179" s="13"/>
      <c r="D179" s="14"/>
      <c r="E179" s="15"/>
      <c r="F179" s="16"/>
      <c r="G179" s="17"/>
      <c r="H179" s="18"/>
      <c r="I179" s="19"/>
      <c r="J179" s="20"/>
      <c r="K179" s="21"/>
      <c r="L179" s="22"/>
      <c r="M179" s="23"/>
      <c r="N179" s="24"/>
      <c r="O179" s="25"/>
      <c r="P179" s="26"/>
      <c r="Q179" s="27"/>
      <c r="R179" s="28"/>
      <c r="S179" s="29"/>
      <c r="T179" s="30"/>
    </row>
    <row r="180" spans="1:20" ht="24" customHeight="1" x14ac:dyDescent="0.25">
      <c r="A180" t="str">
        <f>IF('e1'!A180&gt;0,HYPERLINK("#"&amp;ADDRESS(180,'e1'!A180),""),IF('r1'!A180&gt;0,HYPERLINK("#"&amp;ADDRESS(180,'r1'!A180),""),""))</f>
        <v/>
      </c>
      <c r="C180" s="13"/>
      <c r="D180" s="14"/>
      <c r="E180" s="15"/>
      <c r="F180" s="16"/>
      <c r="G180" s="17"/>
      <c r="H180" s="18"/>
      <c r="I180" s="19"/>
      <c r="J180" s="20"/>
      <c r="K180" s="21"/>
      <c r="L180" s="22"/>
      <c r="M180" s="23"/>
      <c r="N180" s="24"/>
      <c r="O180" s="25"/>
      <c r="P180" s="26"/>
      <c r="Q180" s="27"/>
      <c r="R180" s="28"/>
      <c r="S180" s="29"/>
      <c r="T180" s="30"/>
    </row>
    <row r="181" spans="1:20" ht="24" customHeight="1" x14ac:dyDescent="0.25">
      <c r="A181" t="str">
        <f>IF('e1'!A181&gt;0,HYPERLINK("#"&amp;ADDRESS(181,'e1'!A181),""),IF('r1'!A181&gt;0,HYPERLINK("#"&amp;ADDRESS(181,'r1'!A181),""),""))</f>
        <v/>
      </c>
      <c r="C181" s="13"/>
      <c r="D181" s="14"/>
      <c r="E181" s="15"/>
      <c r="F181" s="16"/>
      <c r="G181" s="17"/>
      <c r="H181" s="18"/>
      <c r="I181" s="19"/>
      <c r="J181" s="20"/>
      <c r="K181" s="21"/>
      <c r="L181" s="22"/>
      <c r="M181" s="23"/>
      <c r="N181" s="24"/>
      <c r="O181" s="25"/>
      <c r="P181" s="26"/>
      <c r="Q181" s="27"/>
      <c r="R181" s="28"/>
      <c r="S181" s="29"/>
      <c r="T181" s="30"/>
    </row>
    <row r="182" spans="1:20" ht="24" customHeight="1" x14ac:dyDescent="0.25">
      <c r="A182" t="str">
        <f>IF('e1'!A182&gt;0,HYPERLINK("#"&amp;ADDRESS(182,'e1'!A182),""),IF('r1'!A182&gt;0,HYPERLINK("#"&amp;ADDRESS(182,'r1'!A182),""),""))</f>
        <v/>
      </c>
      <c r="C182" s="13"/>
      <c r="D182" s="14"/>
      <c r="E182" s="15"/>
      <c r="F182" s="16"/>
      <c r="G182" s="17"/>
      <c r="H182" s="18"/>
      <c r="I182" s="19"/>
      <c r="J182" s="20"/>
      <c r="K182" s="21"/>
      <c r="L182" s="22"/>
      <c r="M182" s="23"/>
      <c r="N182" s="24"/>
      <c r="O182" s="25"/>
      <c r="P182" s="26"/>
      <c r="Q182" s="27"/>
      <c r="R182" s="28"/>
      <c r="S182" s="29"/>
      <c r="T182" s="30"/>
    </row>
    <row r="183" spans="1:20" ht="24" customHeight="1" x14ac:dyDescent="0.25">
      <c r="A183" t="str">
        <f>IF('e1'!A183&gt;0,HYPERLINK("#"&amp;ADDRESS(183,'e1'!A183),""),IF('r1'!A183&gt;0,HYPERLINK("#"&amp;ADDRESS(183,'r1'!A183),""),""))</f>
        <v/>
      </c>
      <c r="C183" s="13"/>
      <c r="D183" s="14"/>
      <c r="E183" s="15"/>
      <c r="F183" s="16"/>
      <c r="G183" s="17"/>
      <c r="H183" s="18"/>
      <c r="I183" s="19"/>
      <c r="J183" s="20"/>
      <c r="K183" s="21"/>
      <c r="L183" s="22"/>
      <c r="M183" s="23"/>
      <c r="N183" s="24"/>
      <c r="O183" s="25"/>
      <c r="P183" s="26"/>
      <c r="Q183" s="27"/>
      <c r="R183" s="28"/>
      <c r="S183" s="29"/>
      <c r="T183" s="30"/>
    </row>
    <row r="184" spans="1:20" ht="24" customHeight="1" x14ac:dyDescent="0.25">
      <c r="A184" t="str">
        <f>IF('e1'!A184&gt;0,HYPERLINK("#"&amp;ADDRESS(184,'e1'!A184),""),IF('r1'!A184&gt;0,HYPERLINK("#"&amp;ADDRESS(184,'r1'!A184),""),""))</f>
        <v/>
      </c>
      <c r="C184" s="13"/>
      <c r="D184" s="14"/>
      <c r="E184" s="15"/>
      <c r="F184" s="16"/>
      <c r="G184" s="17"/>
      <c r="H184" s="18"/>
      <c r="I184" s="19"/>
      <c r="J184" s="20"/>
      <c r="K184" s="21"/>
      <c r="L184" s="22"/>
      <c r="M184" s="23"/>
      <c r="N184" s="24"/>
      <c r="O184" s="25"/>
      <c r="P184" s="26"/>
      <c r="Q184" s="27"/>
      <c r="R184" s="28"/>
      <c r="S184" s="29"/>
      <c r="T184" s="30"/>
    </row>
    <row r="185" spans="1:20" ht="24" customHeight="1" x14ac:dyDescent="0.25">
      <c r="A185" t="str">
        <f>IF('e1'!A185&gt;0,HYPERLINK("#"&amp;ADDRESS(185,'e1'!A185),""),IF('r1'!A185&gt;0,HYPERLINK("#"&amp;ADDRESS(185,'r1'!A185),""),""))</f>
        <v/>
      </c>
      <c r="C185" s="13"/>
      <c r="D185" s="14"/>
      <c r="E185" s="15"/>
      <c r="F185" s="16"/>
      <c r="G185" s="17"/>
      <c r="H185" s="18"/>
      <c r="I185" s="19"/>
      <c r="J185" s="20"/>
      <c r="K185" s="21"/>
      <c r="L185" s="22"/>
      <c r="M185" s="23"/>
      <c r="N185" s="24"/>
      <c r="O185" s="25"/>
      <c r="P185" s="26"/>
      <c r="Q185" s="27"/>
      <c r="R185" s="28"/>
      <c r="S185" s="29"/>
      <c r="T185" s="30"/>
    </row>
    <row r="186" spans="1:20" ht="24" customHeight="1" x14ac:dyDescent="0.25">
      <c r="A186" t="str">
        <f>IF('e1'!A186&gt;0,HYPERLINK("#"&amp;ADDRESS(186,'e1'!A186),""),IF('r1'!A186&gt;0,HYPERLINK("#"&amp;ADDRESS(186,'r1'!A186),""),""))</f>
        <v/>
      </c>
      <c r="C186" s="13"/>
      <c r="D186" s="14"/>
      <c r="E186" s="15"/>
      <c r="F186" s="16"/>
      <c r="G186" s="17"/>
      <c r="H186" s="18"/>
      <c r="I186" s="19"/>
      <c r="J186" s="20"/>
      <c r="K186" s="21"/>
      <c r="L186" s="22"/>
      <c r="M186" s="23"/>
      <c r="N186" s="24"/>
      <c r="O186" s="25"/>
      <c r="P186" s="26"/>
      <c r="Q186" s="27"/>
      <c r="R186" s="28"/>
      <c r="S186" s="29"/>
      <c r="T186" s="30"/>
    </row>
    <row r="187" spans="1:20" ht="24" customHeight="1" x14ac:dyDescent="0.25">
      <c r="A187" t="str">
        <f>IF('e1'!A187&gt;0,HYPERLINK("#"&amp;ADDRESS(187,'e1'!A187),""),IF('r1'!A187&gt;0,HYPERLINK("#"&amp;ADDRESS(187,'r1'!A187),""),""))</f>
        <v/>
      </c>
      <c r="C187" s="13"/>
      <c r="D187" s="14"/>
      <c r="E187" s="15"/>
      <c r="F187" s="16"/>
      <c r="G187" s="17"/>
      <c r="H187" s="18"/>
      <c r="I187" s="19"/>
      <c r="J187" s="20"/>
      <c r="K187" s="21"/>
      <c r="L187" s="22"/>
      <c r="M187" s="23"/>
      <c r="N187" s="24"/>
      <c r="O187" s="25"/>
      <c r="P187" s="26"/>
      <c r="Q187" s="27"/>
      <c r="R187" s="28"/>
      <c r="S187" s="29"/>
      <c r="T187" s="30"/>
    </row>
    <row r="188" spans="1:20" ht="24" customHeight="1" x14ac:dyDescent="0.25">
      <c r="A188" t="str">
        <f>IF('e1'!A188&gt;0,HYPERLINK("#"&amp;ADDRESS(188,'e1'!A188),""),IF('r1'!A188&gt;0,HYPERLINK("#"&amp;ADDRESS(188,'r1'!A188),""),""))</f>
        <v/>
      </c>
      <c r="C188" s="13"/>
      <c r="D188" s="14"/>
      <c r="E188" s="15"/>
      <c r="F188" s="16"/>
      <c r="G188" s="17"/>
      <c r="H188" s="18"/>
      <c r="I188" s="19"/>
      <c r="J188" s="20"/>
      <c r="K188" s="21"/>
      <c r="L188" s="22"/>
      <c r="M188" s="23"/>
      <c r="N188" s="24"/>
      <c r="O188" s="25"/>
      <c r="P188" s="26"/>
      <c r="Q188" s="27"/>
      <c r="R188" s="28"/>
      <c r="S188" s="29"/>
      <c r="T188" s="30"/>
    </row>
    <row r="189" spans="1:20" ht="24" customHeight="1" x14ac:dyDescent="0.25">
      <c r="A189" t="str">
        <f>IF('e1'!A189&gt;0,HYPERLINK("#"&amp;ADDRESS(189,'e1'!A189),""),IF('r1'!A189&gt;0,HYPERLINK("#"&amp;ADDRESS(189,'r1'!A189),""),""))</f>
        <v/>
      </c>
      <c r="C189" s="13"/>
      <c r="D189" s="14"/>
      <c r="E189" s="15"/>
      <c r="F189" s="16"/>
      <c r="G189" s="17"/>
      <c r="H189" s="18"/>
      <c r="I189" s="19"/>
      <c r="J189" s="20"/>
      <c r="K189" s="21"/>
      <c r="L189" s="22"/>
      <c r="M189" s="23"/>
      <c r="N189" s="24"/>
      <c r="O189" s="25"/>
      <c r="P189" s="26"/>
      <c r="Q189" s="27"/>
      <c r="R189" s="28"/>
      <c r="S189" s="29"/>
      <c r="T189" s="30"/>
    </row>
    <row r="190" spans="1:20" ht="24" customHeight="1" x14ac:dyDescent="0.25">
      <c r="A190" t="str">
        <f>IF('e1'!A190&gt;0,HYPERLINK("#"&amp;ADDRESS(190,'e1'!A190),""),IF('r1'!A190&gt;0,HYPERLINK("#"&amp;ADDRESS(190,'r1'!A190),""),""))</f>
        <v/>
      </c>
      <c r="C190" s="13"/>
      <c r="D190" s="14"/>
      <c r="E190" s="15"/>
      <c r="F190" s="16"/>
      <c r="G190" s="17"/>
      <c r="H190" s="18"/>
      <c r="I190" s="19"/>
      <c r="J190" s="20"/>
      <c r="K190" s="21"/>
      <c r="L190" s="22"/>
      <c r="M190" s="23"/>
      <c r="N190" s="24"/>
      <c r="O190" s="25"/>
      <c r="P190" s="26"/>
      <c r="Q190" s="27"/>
      <c r="R190" s="28"/>
      <c r="S190" s="29"/>
      <c r="T190" s="30"/>
    </row>
    <row r="191" spans="1:20" ht="24" customHeight="1" x14ac:dyDescent="0.25">
      <c r="A191" t="str">
        <f>IF('e1'!A191&gt;0,HYPERLINK("#"&amp;ADDRESS(191,'e1'!A191),""),IF('r1'!A191&gt;0,HYPERLINK("#"&amp;ADDRESS(191,'r1'!A191),""),""))</f>
        <v/>
      </c>
      <c r="C191" s="13"/>
      <c r="D191" s="14"/>
      <c r="E191" s="15"/>
      <c r="F191" s="16"/>
      <c r="G191" s="17"/>
      <c r="H191" s="18"/>
      <c r="I191" s="19"/>
      <c r="J191" s="20"/>
      <c r="K191" s="21"/>
      <c r="L191" s="22"/>
      <c r="M191" s="23"/>
      <c r="N191" s="24"/>
      <c r="O191" s="25"/>
      <c r="P191" s="26"/>
      <c r="Q191" s="27"/>
      <c r="R191" s="28"/>
      <c r="S191" s="29"/>
      <c r="T191" s="30"/>
    </row>
    <row r="192" spans="1:20" ht="24" customHeight="1" x14ac:dyDescent="0.25">
      <c r="A192" t="str">
        <f>IF('e1'!A192&gt;0,HYPERLINK("#"&amp;ADDRESS(192,'e1'!A192),""),IF('r1'!A192&gt;0,HYPERLINK("#"&amp;ADDRESS(192,'r1'!A192),""),""))</f>
        <v/>
      </c>
      <c r="C192" s="13"/>
      <c r="D192" s="14"/>
      <c r="E192" s="15"/>
      <c r="F192" s="16"/>
      <c r="G192" s="17"/>
      <c r="H192" s="18"/>
      <c r="I192" s="19"/>
      <c r="J192" s="20"/>
      <c r="K192" s="21"/>
      <c r="L192" s="22"/>
      <c r="M192" s="23"/>
      <c r="N192" s="24"/>
      <c r="O192" s="25"/>
      <c r="P192" s="26"/>
      <c r="Q192" s="27"/>
      <c r="R192" s="28"/>
      <c r="S192" s="29"/>
      <c r="T192" s="30"/>
    </row>
    <row r="193" spans="1:20" ht="24" customHeight="1" x14ac:dyDescent="0.25">
      <c r="A193" t="str">
        <f>IF('e1'!A193&gt;0,HYPERLINK("#"&amp;ADDRESS(193,'e1'!A193),""),IF('r1'!A193&gt;0,HYPERLINK("#"&amp;ADDRESS(193,'r1'!A193),""),""))</f>
        <v/>
      </c>
      <c r="C193" s="13"/>
      <c r="D193" s="14"/>
      <c r="E193" s="15"/>
      <c r="F193" s="16"/>
      <c r="G193" s="17"/>
      <c r="H193" s="18"/>
      <c r="I193" s="19"/>
      <c r="J193" s="20"/>
      <c r="K193" s="21"/>
      <c r="L193" s="22"/>
      <c r="M193" s="23"/>
      <c r="N193" s="24"/>
      <c r="O193" s="25"/>
      <c r="P193" s="26"/>
      <c r="Q193" s="27"/>
      <c r="R193" s="28"/>
      <c r="S193" s="29"/>
      <c r="T193" s="30"/>
    </row>
    <row r="194" spans="1:20" ht="24" customHeight="1" x14ac:dyDescent="0.25">
      <c r="A194" t="str">
        <f>IF('e1'!A194&gt;0,HYPERLINK("#"&amp;ADDRESS(194,'e1'!A194),""),IF('r1'!A194&gt;0,HYPERLINK("#"&amp;ADDRESS(194,'r1'!A194),""),""))</f>
        <v/>
      </c>
      <c r="C194" s="13"/>
      <c r="D194" s="14"/>
      <c r="E194" s="15"/>
      <c r="F194" s="16"/>
      <c r="G194" s="17"/>
      <c r="H194" s="18"/>
      <c r="I194" s="19"/>
      <c r="J194" s="20"/>
      <c r="K194" s="21"/>
      <c r="L194" s="22"/>
      <c r="M194" s="23"/>
      <c r="N194" s="24"/>
      <c r="O194" s="25"/>
      <c r="P194" s="26"/>
      <c r="Q194" s="27"/>
      <c r="R194" s="28"/>
      <c r="S194" s="29"/>
      <c r="T194" s="30"/>
    </row>
    <row r="195" spans="1:20" ht="24" customHeight="1" x14ac:dyDescent="0.25">
      <c r="A195" t="str">
        <f>IF('e1'!A195&gt;0,HYPERLINK("#"&amp;ADDRESS(195,'e1'!A195),""),IF('r1'!A195&gt;0,HYPERLINK("#"&amp;ADDRESS(195,'r1'!A195),""),""))</f>
        <v/>
      </c>
      <c r="C195" s="13"/>
      <c r="D195" s="14"/>
      <c r="E195" s="15"/>
      <c r="F195" s="16"/>
      <c r="G195" s="17"/>
      <c r="H195" s="18"/>
      <c r="I195" s="19"/>
      <c r="J195" s="20"/>
      <c r="K195" s="21"/>
      <c r="L195" s="22"/>
      <c r="M195" s="23"/>
      <c r="N195" s="24"/>
      <c r="O195" s="25"/>
      <c r="P195" s="26"/>
      <c r="Q195" s="27"/>
      <c r="R195" s="28"/>
      <c r="S195" s="29"/>
      <c r="T195" s="30"/>
    </row>
    <row r="196" spans="1:20" ht="24" customHeight="1" x14ac:dyDescent="0.25">
      <c r="A196" t="str">
        <f>IF('e1'!A196&gt;0,HYPERLINK("#"&amp;ADDRESS(196,'e1'!A196),""),IF('r1'!A196&gt;0,HYPERLINK("#"&amp;ADDRESS(196,'r1'!A196),""),""))</f>
        <v/>
      </c>
      <c r="C196" s="13"/>
      <c r="D196" s="14"/>
      <c r="E196" s="15"/>
      <c r="F196" s="16"/>
      <c r="G196" s="17"/>
      <c r="H196" s="18"/>
      <c r="I196" s="19"/>
      <c r="J196" s="20"/>
      <c r="K196" s="21"/>
      <c r="L196" s="22"/>
      <c r="M196" s="23"/>
      <c r="N196" s="24"/>
      <c r="O196" s="25"/>
      <c r="P196" s="26"/>
      <c r="Q196" s="27"/>
      <c r="R196" s="28"/>
      <c r="S196" s="29"/>
      <c r="T196" s="30"/>
    </row>
    <row r="197" spans="1:20" ht="24" customHeight="1" x14ac:dyDescent="0.25">
      <c r="A197" t="str">
        <f>IF('e1'!A197&gt;0,HYPERLINK("#"&amp;ADDRESS(197,'e1'!A197),""),IF('r1'!A197&gt;0,HYPERLINK("#"&amp;ADDRESS(197,'r1'!A197),""),""))</f>
        <v/>
      </c>
      <c r="C197" s="13"/>
      <c r="D197" s="14"/>
      <c r="E197" s="15"/>
      <c r="F197" s="16"/>
      <c r="G197" s="17"/>
      <c r="H197" s="18"/>
      <c r="I197" s="19"/>
      <c r="J197" s="20"/>
      <c r="K197" s="21"/>
      <c r="L197" s="22"/>
      <c r="M197" s="23"/>
      <c r="N197" s="24"/>
      <c r="O197" s="25"/>
      <c r="P197" s="26"/>
      <c r="Q197" s="27"/>
      <c r="R197" s="28"/>
      <c r="S197" s="29"/>
      <c r="T197" s="30"/>
    </row>
    <row r="198" spans="1:20" ht="24" customHeight="1" x14ac:dyDescent="0.25">
      <c r="A198" t="str">
        <f>IF('e1'!A198&gt;0,HYPERLINK("#"&amp;ADDRESS(198,'e1'!A198),""),IF('r1'!A198&gt;0,HYPERLINK("#"&amp;ADDRESS(198,'r1'!A198),""),""))</f>
        <v/>
      </c>
      <c r="C198" s="13"/>
      <c r="D198" s="14"/>
      <c r="E198" s="15"/>
      <c r="F198" s="16"/>
      <c r="G198" s="17"/>
      <c r="H198" s="18"/>
      <c r="I198" s="19"/>
      <c r="J198" s="20"/>
      <c r="K198" s="21"/>
      <c r="L198" s="22"/>
      <c r="M198" s="23"/>
      <c r="N198" s="24"/>
      <c r="O198" s="25"/>
      <c r="P198" s="26"/>
      <c r="Q198" s="27"/>
      <c r="R198" s="28"/>
      <c r="S198" s="29"/>
      <c r="T198" s="30"/>
    </row>
    <row r="199" spans="1:20" ht="24" customHeight="1" x14ac:dyDescent="0.25">
      <c r="A199" t="str">
        <f>IF('e1'!A199&gt;0,HYPERLINK("#"&amp;ADDRESS(199,'e1'!A199),""),IF('r1'!A199&gt;0,HYPERLINK("#"&amp;ADDRESS(199,'r1'!A199),""),""))</f>
        <v/>
      </c>
      <c r="C199" s="13"/>
      <c r="D199" s="14"/>
      <c r="E199" s="15"/>
      <c r="F199" s="16"/>
      <c r="G199" s="17"/>
      <c r="H199" s="18"/>
      <c r="I199" s="19"/>
      <c r="J199" s="20"/>
      <c r="K199" s="21"/>
      <c r="L199" s="22"/>
      <c r="M199" s="23"/>
      <c r="N199" s="24"/>
      <c r="O199" s="25"/>
      <c r="P199" s="26"/>
      <c r="Q199" s="27"/>
      <c r="R199" s="28"/>
      <c r="S199" s="29"/>
      <c r="T199" s="30"/>
    </row>
    <row r="200" spans="1:20" ht="24" customHeight="1" x14ac:dyDescent="0.25">
      <c r="A200" t="str">
        <f>IF('e1'!A200&gt;0,HYPERLINK("#"&amp;ADDRESS(200,'e1'!A200),""),IF('r1'!A200&gt;0,HYPERLINK("#"&amp;ADDRESS(200,'r1'!A200),""),""))</f>
        <v/>
      </c>
      <c r="C200" s="13"/>
      <c r="D200" s="14"/>
      <c r="E200" s="15"/>
      <c r="F200" s="16"/>
      <c r="G200" s="17"/>
      <c r="H200" s="18"/>
      <c r="I200" s="19"/>
      <c r="J200" s="20"/>
      <c r="K200" s="21"/>
      <c r="L200" s="22"/>
      <c r="M200" s="23"/>
      <c r="N200" s="24"/>
      <c r="O200" s="25"/>
      <c r="P200" s="26"/>
      <c r="Q200" s="27"/>
      <c r="R200" s="28"/>
      <c r="S200" s="29"/>
      <c r="T200" s="30"/>
    </row>
    <row r="201" spans="1:20" ht="24" customHeight="1" x14ac:dyDescent="0.25">
      <c r="A201" t="str">
        <f>IF('e1'!A201&gt;0,HYPERLINK("#"&amp;ADDRESS(201,'e1'!A201),""),IF('r1'!A201&gt;0,HYPERLINK("#"&amp;ADDRESS(201,'r1'!A201),""),""))</f>
        <v/>
      </c>
      <c r="C201" s="13"/>
      <c r="D201" s="14"/>
      <c r="E201" s="15"/>
      <c r="F201" s="16"/>
      <c r="G201" s="17"/>
      <c r="H201" s="18"/>
      <c r="I201" s="19"/>
      <c r="J201" s="20"/>
      <c r="K201" s="21"/>
      <c r="L201" s="22"/>
      <c r="M201" s="23"/>
      <c r="N201" s="24"/>
      <c r="O201" s="25"/>
      <c r="P201" s="26"/>
      <c r="Q201" s="27"/>
      <c r="R201" s="28"/>
      <c r="S201" s="29"/>
      <c r="T201" s="30"/>
    </row>
    <row r="202" spans="1:20" ht="24" customHeight="1" x14ac:dyDescent="0.25">
      <c r="A202" t="str">
        <f>IF('e1'!A202&gt;0,HYPERLINK("#"&amp;ADDRESS(202,'e1'!A202),""),IF('r1'!A202&gt;0,HYPERLINK("#"&amp;ADDRESS(202,'r1'!A202),""),""))</f>
        <v/>
      </c>
      <c r="C202" s="13"/>
      <c r="D202" s="14"/>
      <c r="E202" s="15"/>
      <c r="F202" s="16"/>
      <c r="G202" s="17"/>
      <c r="H202" s="18"/>
      <c r="I202" s="19"/>
      <c r="J202" s="20"/>
      <c r="K202" s="21"/>
      <c r="L202" s="22"/>
      <c r="M202" s="23"/>
      <c r="N202" s="24"/>
      <c r="O202" s="25"/>
      <c r="P202" s="26"/>
      <c r="Q202" s="27"/>
      <c r="R202" s="28"/>
      <c r="S202" s="29"/>
      <c r="T202" s="30"/>
    </row>
    <row r="203" spans="1:20" ht="24" customHeight="1" x14ac:dyDescent="0.25">
      <c r="A203" t="str">
        <f>IF('e1'!A203&gt;0,HYPERLINK("#"&amp;ADDRESS(203,'e1'!A203),""),IF('r1'!A203&gt;0,HYPERLINK("#"&amp;ADDRESS(203,'r1'!A203),""),""))</f>
        <v/>
      </c>
      <c r="C203" s="13"/>
      <c r="D203" s="14"/>
      <c r="E203" s="15"/>
      <c r="F203" s="16"/>
      <c r="G203" s="17"/>
      <c r="H203" s="18"/>
      <c r="I203" s="19"/>
      <c r="J203" s="20"/>
      <c r="K203" s="21"/>
      <c r="L203" s="22"/>
      <c r="M203" s="23"/>
      <c r="N203" s="24"/>
      <c r="O203" s="25"/>
      <c r="P203" s="26"/>
      <c r="Q203" s="27"/>
      <c r="R203" s="28"/>
      <c r="S203" s="29"/>
      <c r="T203" s="30"/>
    </row>
    <row r="204" spans="1:20" ht="24" customHeight="1" x14ac:dyDescent="0.25">
      <c r="A204" t="str">
        <f>IF('e1'!A204&gt;0,HYPERLINK("#"&amp;ADDRESS(204,'e1'!A204),""),IF('r1'!A204&gt;0,HYPERLINK("#"&amp;ADDRESS(204,'r1'!A204),""),""))</f>
        <v/>
      </c>
      <c r="C204" s="13"/>
      <c r="D204" s="14"/>
      <c r="E204" s="15"/>
      <c r="F204" s="16"/>
      <c r="G204" s="17"/>
      <c r="H204" s="18"/>
      <c r="I204" s="19"/>
      <c r="J204" s="20"/>
      <c r="K204" s="21"/>
      <c r="L204" s="22"/>
      <c r="M204" s="23"/>
      <c r="N204" s="24"/>
      <c r="O204" s="25"/>
      <c r="P204" s="26"/>
      <c r="Q204" s="27"/>
      <c r="R204" s="28"/>
      <c r="S204" s="29"/>
      <c r="T204" s="30"/>
    </row>
    <row r="205" spans="1:20" ht="24" customHeight="1" x14ac:dyDescent="0.25">
      <c r="A205" t="str">
        <f>IF('e1'!A205&gt;0,HYPERLINK("#"&amp;ADDRESS(205,'e1'!A205),""),IF('r1'!A205&gt;0,HYPERLINK("#"&amp;ADDRESS(205,'r1'!A205),""),""))</f>
        <v/>
      </c>
      <c r="C205" s="13"/>
      <c r="D205" s="14"/>
      <c r="E205" s="15"/>
      <c r="F205" s="16"/>
      <c r="G205" s="17"/>
      <c r="H205" s="18"/>
      <c r="I205" s="19"/>
      <c r="J205" s="20"/>
      <c r="K205" s="21"/>
      <c r="L205" s="22"/>
      <c r="M205" s="23"/>
      <c r="N205" s="24"/>
      <c r="O205" s="25"/>
      <c r="P205" s="26"/>
      <c r="Q205" s="27"/>
      <c r="R205" s="28"/>
      <c r="S205" s="29"/>
      <c r="T205" s="30"/>
    </row>
    <row r="206" spans="1:20" ht="24" customHeight="1" x14ac:dyDescent="0.25">
      <c r="A206" t="str">
        <f>IF('e1'!A206&gt;0,HYPERLINK("#"&amp;ADDRESS(206,'e1'!A206),""),IF('r1'!A206&gt;0,HYPERLINK("#"&amp;ADDRESS(206,'r1'!A206),""),""))</f>
        <v/>
      </c>
      <c r="C206" s="13"/>
      <c r="D206" s="14"/>
      <c r="E206" s="15"/>
      <c r="F206" s="16"/>
      <c r="G206" s="17"/>
      <c r="H206" s="18"/>
      <c r="I206" s="19"/>
      <c r="J206" s="20"/>
      <c r="K206" s="21"/>
      <c r="L206" s="22"/>
      <c r="M206" s="23"/>
      <c r="N206" s="24"/>
      <c r="O206" s="25"/>
      <c r="P206" s="26"/>
      <c r="Q206" s="27"/>
      <c r="R206" s="28"/>
      <c r="S206" s="29"/>
      <c r="T206" s="30"/>
    </row>
    <row r="207" spans="1:20" ht="24" customHeight="1" x14ac:dyDescent="0.25">
      <c r="A207" t="str">
        <f>IF('e1'!A207&gt;0,HYPERLINK("#"&amp;ADDRESS(207,'e1'!A207),""),IF('r1'!A207&gt;0,HYPERLINK("#"&amp;ADDRESS(207,'r1'!A207),""),""))</f>
        <v/>
      </c>
      <c r="C207" s="13"/>
      <c r="D207" s="14"/>
      <c r="E207" s="15"/>
      <c r="F207" s="16"/>
      <c r="G207" s="17"/>
      <c r="H207" s="18"/>
      <c r="I207" s="19"/>
      <c r="J207" s="20"/>
      <c r="K207" s="21"/>
      <c r="L207" s="22"/>
      <c r="M207" s="23"/>
      <c r="N207" s="24"/>
      <c r="O207" s="25"/>
      <c r="P207" s="26"/>
      <c r="Q207" s="27"/>
      <c r="R207" s="28"/>
      <c r="S207" s="29"/>
      <c r="T207" s="30"/>
    </row>
    <row r="208" spans="1:20" ht="24" customHeight="1" x14ac:dyDescent="0.25">
      <c r="A208" t="str">
        <f>IF('e1'!A208&gt;0,HYPERLINK("#"&amp;ADDRESS(208,'e1'!A208),""),IF('r1'!A208&gt;0,HYPERLINK("#"&amp;ADDRESS(208,'r1'!A208),""),""))</f>
        <v/>
      </c>
      <c r="C208" s="13"/>
      <c r="D208" s="14"/>
      <c r="E208" s="15"/>
      <c r="F208" s="16"/>
      <c r="G208" s="17"/>
      <c r="H208" s="18"/>
      <c r="I208" s="19"/>
      <c r="J208" s="20"/>
      <c r="K208" s="21"/>
      <c r="L208" s="22"/>
      <c r="M208" s="23"/>
      <c r="N208" s="24"/>
      <c r="O208" s="25"/>
      <c r="P208" s="26"/>
      <c r="Q208" s="27"/>
      <c r="R208" s="28"/>
      <c r="S208" s="29"/>
      <c r="T208" s="30"/>
    </row>
    <row r="209" spans="1:20" ht="24" customHeight="1" x14ac:dyDescent="0.25">
      <c r="A209" t="str">
        <f>IF('e1'!A209&gt;0,HYPERLINK("#"&amp;ADDRESS(209,'e1'!A209),""),IF('r1'!A209&gt;0,HYPERLINK("#"&amp;ADDRESS(209,'r1'!A209),""),""))</f>
        <v/>
      </c>
      <c r="C209" s="13"/>
      <c r="D209" s="14"/>
      <c r="E209" s="15"/>
      <c r="F209" s="16"/>
      <c r="G209" s="17"/>
      <c r="H209" s="18"/>
      <c r="I209" s="19"/>
      <c r="J209" s="20"/>
      <c r="K209" s="21"/>
      <c r="L209" s="22"/>
      <c r="M209" s="23"/>
      <c r="N209" s="24"/>
      <c r="O209" s="25"/>
      <c r="P209" s="26"/>
      <c r="Q209" s="27"/>
      <c r="R209" s="28"/>
      <c r="S209" s="29"/>
      <c r="T209" s="30"/>
    </row>
    <row r="210" spans="1:20" ht="24" customHeight="1" x14ac:dyDescent="0.25">
      <c r="A210" t="str">
        <f>IF('e1'!A210&gt;0,HYPERLINK("#"&amp;ADDRESS(210,'e1'!A210),""),IF('r1'!A210&gt;0,HYPERLINK("#"&amp;ADDRESS(210,'r1'!A210),""),""))</f>
        <v/>
      </c>
      <c r="C210" s="13"/>
      <c r="D210" s="14"/>
      <c r="E210" s="15"/>
      <c r="F210" s="16"/>
      <c r="G210" s="17"/>
      <c r="H210" s="18"/>
      <c r="I210" s="19"/>
      <c r="J210" s="20"/>
      <c r="K210" s="21"/>
      <c r="L210" s="22"/>
      <c r="M210" s="23"/>
      <c r="N210" s="24"/>
      <c r="O210" s="25"/>
      <c r="P210" s="26"/>
      <c r="Q210" s="27"/>
      <c r="R210" s="28"/>
      <c r="S210" s="29"/>
      <c r="T210" s="30"/>
    </row>
    <row r="211" spans="1:20" ht="24" customHeight="1" x14ac:dyDescent="0.25">
      <c r="A211" t="str">
        <f>IF('e1'!A211&gt;0,HYPERLINK("#"&amp;ADDRESS(211,'e1'!A211),""),IF('r1'!A211&gt;0,HYPERLINK("#"&amp;ADDRESS(211,'r1'!A211),""),""))</f>
        <v/>
      </c>
      <c r="C211" s="13"/>
      <c r="D211" s="14"/>
      <c r="E211" s="15"/>
      <c r="F211" s="16"/>
      <c r="G211" s="17"/>
      <c r="H211" s="18"/>
      <c r="I211" s="19"/>
      <c r="J211" s="20"/>
      <c r="K211" s="21"/>
      <c r="L211" s="22"/>
      <c r="M211" s="23"/>
      <c r="N211" s="24"/>
      <c r="O211" s="25"/>
      <c r="P211" s="26"/>
      <c r="Q211" s="27"/>
      <c r="R211" s="28"/>
      <c r="S211" s="29"/>
      <c r="T211" s="30"/>
    </row>
    <row r="212" spans="1:20" ht="24" customHeight="1" x14ac:dyDescent="0.25">
      <c r="A212" t="str">
        <f>IF('e1'!A212&gt;0,HYPERLINK("#"&amp;ADDRESS(212,'e1'!A212),""),IF('r1'!A212&gt;0,HYPERLINK("#"&amp;ADDRESS(212,'r1'!A212),""),""))</f>
        <v/>
      </c>
      <c r="C212" s="13"/>
      <c r="D212" s="14"/>
      <c r="E212" s="15"/>
      <c r="F212" s="16"/>
      <c r="G212" s="17"/>
      <c r="H212" s="18"/>
      <c r="I212" s="19"/>
      <c r="J212" s="20"/>
      <c r="K212" s="21"/>
      <c r="L212" s="22"/>
      <c r="M212" s="23"/>
      <c r="N212" s="24"/>
      <c r="O212" s="25"/>
      <c r="P212" s="26"/>
      <c r="Q212" s="27"/>
      <c r="R212" s="28"/>
      <c r="S212" s="29"/>
      <c r="T212" s="30"/>
    </row>
    <row r="213" spans="1:20" ht="24" customHeight="1" x14ac:dyDescent="0.25">
      <c r="A213" t="str">
        <f>IF('e1'!A213&gt;0,HYPERLINK("#"&amp;ADDRESS(213,'e1'!A213),""),IF('r1'!A213&gt;0,HYPERLINK("#"&amp;ADDRESS(213,'r1'!A213),""),""))</f>
        <v/>
      </c>
      <c r="C213" s="13"/>
      <c r="D213" s="14"/>
      <c r="E213" s="15"/>
      <c r="F213" s="16"/>
      <c r="G213" s="17"/>
      <c r="H213" s="18"/>
      <c r="I213" s="19"/>
      <c r="J213" s="20"/>
      <c r="K213" s="21"/>
      <c r="L213" s="22"/>
      <c r="M213" s="23"/>
      <c r="N213" s="24"/>
      <c r="O213" s="25"/>
      <c r="P213" s="26"/>
      <c r="Q213" s="27"/>
      <c r="R213" s="28"/>
      <c r="S213" s="29"/>
      <c r="T213" s="30"/>
    </row>
    <row r="214" spans="1:20" ht="24" customHeight="1" x14ac:dyDescent="0.25">
      <c r="A214" t="str">
        <f>IF('e1'!A214&gt;0,HYPERLINK("#"&amp;ADDRESS(214,'e1'!A214),""),IF('r1'!A214&gt;0,HYPERLINK("#"&amp;ADDRESS(214,'r1'!A214),""),""))</f>
        <v/>
      </c>
      <c r="C214" s="13"/>
      <c r="D214" s="14"/>
      <c r="E214" s="15"/>
      <c r="F214" s="16"/>
      <c r="G214" s="17"/>
      <c r="H214" s="18"/>
      <c r="I214" s="19"/>
      <c r="J214" s="20"/>
      <c r="K214" s="21"/>
      <c r="L214" s="22"/>
      <c r="M214" s="23"/>
      <c r="N214" s="24"/>
      <c r="O214" s="25"/>
      <c r="P214" s="26"/>
      <c r="Q214" s="27"/>
      <c r="R214" s="28"/>
      <c r="S214" s="29"/>
      <c r="T214" s="30"/>
    </row>
    <row r="215" spans="1:20" ht="24" customHeight="1" x14ac:dyDescent="0.25">
      <c r="A215" t="str">
        <f>IF('e1'!A215&gt;0,HYPERLINK("#"&amp;ADDRESS(215,'e1'!A215),""),IF('r1'!A215&gt;0,HYPERLINK("#"&amp;ADDRESS(215,'r1'!A215),""),""))</f>
        <v/>
      </c>
      <c r="C215" s="13"/>
      <c r="D215" s="14"/>
      <c r="E215" s="15"/>
      <c r="F215" s="16"/>
      <c r="G215" s="17"/>
      <c r="H215" s="18"/>
      <c r="I215" s="19"/>
      <c r="J215" s="20"/>
      <c r="K215" s="21"/>
      <c r="L215" s="22"/>
      <c r="M215" s="23"/>
      <c r="N215" s="24"/>
      <c r="O215" s="25"/>
      <c r="P215" s="26"/>
      <c r="Q215" s="27"/>
      <c r="R215" s="28"/>
      <c r="S215" s="29"/>
      <c r="T215" s="30"/>
    </row>
    <row r="216" spans="1:20" ht="24" customHeight="1" x14ac:dyDescent="0.25">
      <c r="A216" t="str">
        <f>IF('e1'!A216&gt;0,HYPERLINK("#"&amp;ADDRESS(216,'e1'!A216),""),IF('r1'!A216&gt;0,HYPERLINK("#"&amp;ADDRESS(216,'r1'!A216),""),""))</f>
        <v/>
      </c>
      <c r="C216" s="13"/>
      <c r="D216" s="14"/>
      <c r="E216" s="15"/>
      <c r="F216" s="16"/>
      <c r="G216" s="17"/>
      <c r="H216" s="18"/>
      <c r="I216" s="19"/>
      <c r="J216" s="20"/>
      <c r="K216" s="21"/>
      <c r="L216" s="22"/>
      <c r="M216" s="23"/>
      <c r="N216" s="24"/>
      <c r="O216" s="25"/>
      <c r="P216" s="26"/>
      <c r="Q216" s="27"/>
      <c r="R216" s="28"/>
      <c r="S216" s="29"/>
      <c r="T216" s="30"/>
    </row>
    <row r="217" spans="1:20" ht="24" customHeight="1" x14ac:dyDescent="0.25">
      <c r="A217" t="str">
        <f>IF('e1'!A217&gt;0,HYPERLINK("#"&amp;ADDRESS(217,'e1'!A217),""),IF('r1'!A217&gt;0,HYPERLINK("#"&amp;ADDRESS(217,'r1'!A217),""),""))</f>
        <v/>
      </c>
      <c r="C217" s="13"/>
      <c r="D217" s="14"/>
      <c r="E217" s="15"/>
      <c r="F217" s="16"/>
      <c r="G217" s="17"/>
      <c r="H217" s="18"/>
      <c r="I217" s="19"/>
      <c r="J217" s="20"/>
      <c r="K217" s="21"/>
      <c r="L217" s="22"/>
      <c r="M217" s="23"/>
      <c r="N217" s="24"/>
      <c r="O217" s="25"/>
      <c r="P217" s="26"/>
      <c r="Q217" s="27"/>
      <c r="R217" s="28"/>
      <c r="S217" s="29"/>
      <c r="T217" s="30"/>
    </row>
    <row r="218" spans="1:20" ht="24" customHeight="1" x14ac:dyDescent="0.25">
      <c r="A218" t="str">
        <f>IF('e1'!A218&gt;0,HYPERLINK("#"&amp;ADDRESS(218,'e1'!A218),""),IF('r1'!A218&gt;0,HYPERLINK("#"&amp;ADDRESS(218,'r1'!A218),""),""))</f>
        <v/>
      </c>
      <c r="C218" s="13"/>
      <c r="D218" s="14"/>
      <c r="E218" s="15"/>
      <c r="F218" s="16"/>
      <c r="G218" s="17"/>
      <c r="H218" s="18"/>
      <c r="I218" s="19"/>
      <c r="J218" s="20"/>
      <c r="K218" s="21"/>
      <c r="L218" s="22"/>
      <c r="M218" s="23"/>
      <c r="N218" s="24"/>
      <c r="O218" s="25"/>
      <c r="P218" s="26"/>
      <c r="Q218" s="27"/>
      <c r="R218" s="28"/>
      <c r="S218" s="29"/>
      <c r="T218" s="30"/>
    </row>
    <row r="219" spans="1:20" ht="24" customHeight="1" x14ac:dyDescent="0.25">
      <c r="A219" t="str">
        <f>IF('e1'!A219&gt;0,HYPERLINK("#"&amp;ADDRESS(219,'e1'!A219),""),IF('r1'!A219&gt;0,HYPERLINK("#"&amp;ADDRESS(219,'r1'!A219),""),""))</f>
        <v/>
      </c>
      <c r="C219" s="13"/>
      <c r="D219" s="14"/>
      <c r="E219" s="15"/>
      <c r="F219" s="16"/>
      <c r="G219" s="17"/>
      <c r="H219" s="18"/>
      <c r="I219" s="19"/>
      <c r="J219" s="20"/>
      <c r="K219" s="21"/>
      <c r="L219" s="22"/>
      <c r="M219" s="23"/>
      <c r="N219" s="24"/>
      <c r="O219" s="25"/>
      <c r="P219" s="26"/>
      <c r="Q219" s="27"/>
      <c r="R219" s="28"/>
      <c r="S219" s="29"/>
      <c r="T219" s="30"/>
    </row>
    <row r="220" spans="1:20" ht="24" customHeight="1" x14ac:dyDescent="0.25">
      <c r="A220" t="str">
        <f>IF('e1'!A220&gt;0,HYPERLINK("#"&amp;ADDRESS(220,'e1'!A220),""),IF('r1'!A220&gt;0,HYPERLINK("#"&amp;ADDRESS(220,'r1'!A220),""),""))</f>
        <v/>
      </c>
      <c r="C220" s="13"/>
      <c r="D220" s="14"/>
      <c r="E220" s="15"/>
      <c r="F220" s="16"/>
      <c r="G220" s="17"/>
      <c r="H220" s="18"/>
      <c r="I220" s="19"/>
      <c r="J220" s="20"/>
      <c r="K220" s="21"/>
      <c r="L220" s="22"/>
      <c r="M220" s="23"/>
      <c r="N220" s="24"/>
      <c r="O220" s="25"/>
      <c r="P220" s="26"/>
      <c r="Q220" s="27"/>
      <c r="R220" s="28"/>
      <c r="S220" s="29"/>
      <c r="T220" s="30"/>
    </row>
    <row r="221" spans="1:20" ht="24" customHeight="1" x14ac:dyDescent="0.25">
      <c r="A221" t="str">
        <f>IF('e1'!A221&gt;0,HYPERLINK("#"&amp;ADDRESS(221,'e1'!A221),""),IF('r1'!A221&gt;0,HYPERLINK("#"&amp;ADDRESS(221,'r1'!A221),""),""))</f>
        <v/>
      </c>
      <c r="C221" s="13"/>
      <c r="D221" s="14"/>
      <c r="E221" s="15"/>
      <c r="F221" s="16"/>
      <c r="G221" s="17"/>
      <c r="H221" s="18"/>
      <c r="I221" s="19"/>
      <c r="J221" s="20"/>
      <c r="K221" s="21"/>
      <c r="L221" s="22"/>
      <c r="M221" s="23"/>
      <c r="N221" s="24"/>
      <c r="O221" s="25"/>
      <c r="P221" s="26"/>
      <c r="Q221" s="27"/>
      <c r="R221" s="28"/>
      <c r="S221" s="29"/>
      <c r="T221" s="30"/>
    </row>
    <row r="222" spans="1:20" ht="24" customHeight="1" x14ac:dyDescent="0.25">
      <c r="A222" t="str">
        <f>IF('e1'!A222&gt;0,HYPERLINK("#"&amp;ADDRESS(222,'e1'!A222),""),IF('r1'!A222&gt;0,HYPERLINK("#"&amp;ADDRESS(222,'r1'!A222),""),""))</f>
        <v/>
      </c>
      <c r="C222" s="13"/>
      <c r="D222" s="14"/>
      <c r="E222" s="15"/>
      <c r="F222" s="16"/>
      <c r="G222" s="17"/>
      <c r="H222" s="18"/>
      <c r="I222" s="19"/>
      <c r="J222" s="20"/>
      <c r="K222" s="21"/>
      <c r="L222" s="22"/>
      <c r="M222" s="23"/>
      <c r="N222" s="24"/>
      <c r="O222" s="25"/>
      <c r="P222" s="26"/>
      <c r="Q222" s="27"/>
      <c r="R222" s="28"/>
      <c r="S222" s="29"/>
      <c r="T222" s="30"/>
    </row>
    <row r="223" spans="1:20" ht="24" customHeight="1" x14ac:dyDescent="0.25">
      <c r="A223" t="str">
        <f>IF('e1'!A223&gt;0,HYPERLINK("#"&amp;ADDRESS(223,'e1'!A223),""),IF('r1'!A223&gt;0,HYPERLINK("#"&amp;ADDRESS(223,'r1'!A223),""),""))</f>
        <v/>
      </c>
      <c r="C223" s="13"/>
      <c r="D223" s="14"/>
      <c r="E223" s="15"/>
      <c r="F223" s="16"/>
      <c r="G223" s="17"/>
      <c r="H223" s="18"/>
      <c r="I223" s="19"/>
      <c r="J223" s="20"/>
      <c r="K223" s="21"/>
      <c r="L223" s="22"/>
      <c r="M223" s="23"/>
      <c r="N223" s="24"/>
      <c r="O223" s="25"/>
      <c r="P223" s="26"/>
      <c r="Q223" s="27"/>
      <c r="R223" s="28"/>
      <c r="S223" s="29"/>
      <c r="T223" s="30"/>
    </row>
    <row r="224" spans="1:20" ht="24" customHeight="1" x14ac:dyDescent="0.25">
      <c r="A224" t="str">
        <f>IF('e1'!A224&gt;0,HYPERLINK("#"&amp;ADDRESS(224,'e1'!A224),""),IF('r1'!A224&gt;0,HYPERLINK("#"&amp;ADDRESS(224,'r1'!A224),""),""))</f>
        <v/>
      </c>
      <c r="C224" s="13"/>
      <c r="D224" s="14"/>
      <c r="E224" s="15"/>
      <c r="F224" s="16"/>
      <c r="G224" s="17"/>
      <c r="H224" s="18"/>
      <c r="I224" s="19"/>
      <c r="J224" s="20"/>
      <c r="K224" s="21"/>
      <c r="L224" s="22"/>
      <c r="M224" s="23"/>
      <c r="N224" s="24"/>
      <c r="O224" s="25"/>
      <c r="P224" s="26"/>
      <c r="Q224" s="27"/>
      <c r="R224" s="28"/>
      <c r="S224" s="29"/>
      <c r="T224" s="30"/>
    </row>
    <row r="225" spans="1:20" ht="24" customHeight="1" x14ac:dyDescent="0.25">
      <c r="A225" t="str">
        <f>IF('e1'!A225&gt;0,HYPERLINK("#"&amp;ADDRESS(225,'e1'!A225),""),IF('r1'!A225&gt;0,HYPERLINK("#"&amp;ADDRESS(225,'r1'!A225),""),""))</f>
        <v/>
      </c>
      <c r="C225" s="13"/>
      <c r="D225" s="14"/>
      <c r="E225" s="15"/>
      <c r="F225" s="16"/>
      <c r="G225" s="17"/>
      <c r="H225" s="18"/>
      <c r="I225" s="19"/>
      <c r="J225" s="20"/>
      <c r="K225" s="21"/>
      <c r="L225" s="22"/>
      <c r="M225" s="23"/>
      <c r="N225" s="24"/>
      <c r="O225" s="25"/>
      <c r="P225" s="26"/>
      <c r="Q225" s="27"/>
      <c r="R225" s="28"/>
      <c r="S225" s="29"/>
      <c r="T225" s="30"/>
    </row>
    <row r="226" spans="1:20" ht="24" customHeight="1" x14ac:dyDescent="0.25">
      <c r="A226" t="str">
        <f>IF('e1'!A226&gt;0,HYPERLINK("#"&amp;ADDRESS(226,'e1'!A226),""),IF('r1'!A226&gt;0,HYPERLINK("#"&amp;ADDRESS(226,'r1'!A226),""),""))</f>
        <v/>
      </c>
      <c r="C226" s="13"/>
      <c r="D226" s="14"/>
      <c r="E226" s="15"/>
      <c r="F226" s="16"/>
      <c r="G226" s="17"/>
      <c r="H226" s="18"/>
      <c r="I226" s="19"/>
      <c r="J226" s="20"/>
      <c r="K226" s="21"/>
      <c r="L226" s="22"/>
      <c r="M226" s="23"/>
      <c r="N226" s="24"/>
      <c r="O226" s="25"/>
      <c r="P226" s="26"/>
      <c r="Q226" s="27"/>
      <c r="R226" s="28"/>
      <c r="S226" s="29"/>
      <c r="T226" s="30"/>
    </row>
    <row r="227" spans="1:20" ht="24" customHeight="1" x14ac:dyDescent="0.25">
      <c r="A227" t="str">
        <f>IF('e1'!A227&gt;0,HYPERLINK("#"&amp;ADDRESS(227,'e1'!A227),""),IF('r1'!A227&gt;0,HYPERLINK("#"&amp;ADDRESS(227,'r1'!A227),""),""))</f>
        <v/>
      </c>
      <c r="C227" s="13"/>
      <c r="D227" s="14"/>
      <c r="E227" s="15"/>
      <c r="F227" s="16"/>
      <c r="G227" s="17"/>
      <c r="H227" s="18"/>
      <c r="I227" s="19"/>
      <c r="J227" s="20"/>
      <c r="K227" s="21"/>
      <c r="L227" s="22"/>
      <c r="M227" s="23"/>
      <c r="N227" s="24"/>
      <c r="O227" s="25"/>
      <c r="P227" s="26"/>
      <c r="Q227" s="27"/>
      <c r="R227" s="28"/>
      <c r="S227" s="29"/>
      <c r="T227" s="30"/>
    </row>
    <row r="228" spans="1:20" ht="24" customHeight="1" x14ac:dyDescent="0.25">
      <c r="A228" t="str">
        <f>IF('e1'!A228&gt;0,HYPERLINK("#"&amp;ADDRESS(228,'e1'!A228),""),IF('r1'!A228&gt;0,HYPERLINK("#"&amp;ADDRESS(228,'r1'!A228),""),""))</f>
        <v/>
      </c>
      <c r="C228" s="13"/>
      <c r="D228" s="14"/>
      <c r="E228" s="15"/>
      <c r="F228" s="16"/>
      <c r="G228" s="17"/>
      <c r="H228" s="18"/>
      <c r="I228" s="19"/>
      <c r="J228" s="20"/>
      <c r="K228" s="21"/>
      <c r="L228" s="22"/>
      <c r="M228" s="23"/>
      <c r="N228" s="24"/>
      <c r="O228" s="25"/>
      <c r="P228" s="26"/>
      <c r="Q228" s="27"/>
      <c r="R228" s="28"/>
      <c r="S228" s="29"/>
      <c r="T228" s="30"/>
    </row>
    <row r="229" spans="1:20" ht="24" customHeight="1" x14ac:dyDescent="0.25">
      <c r="A229" t="str">
        <f>IF('e1'!A229&gt;0,HYPERLINK("#"&amp;ADDRESS(229,'e1'!A229),""),IF('r1'!A229&gt;0,HYPERLINK("#"&amp;ADDRESS(229,'r1'!A229),""),""))</f>
        <v/>
      </c>
      <c r="C229" s="13"/>
      <c r="D229" s="14"/>
      <c r="E229" s="15"/>
      <c r="F229" s="16"/>
      <c r="G229" s="17"/>
      <c r="H229" s="18"/>
      <c r="I229" s="19"/>
      <c r="J229" s="20"/>
      <c r="K229" s="21"/>
      <c r="L229" s="22"/>
      <c r="M229" s="23"/>
      <c r="N229" s="24"/>
      <c r="O229" s="25"/>
      <c r="P229" s="26"/>
      <c r="Q229" s="27"/>
      <c r="R229" s="28"/>
      <c r="S229" s="29"/>
      <c r="T229" s="30"/>
    </row>
    <row r="230" spans="1:20" ht="24" customHeight="1" x14ac:dyDescent="0.25">
      <c r="A230" t="str">
        <f>IF('e1'!A230&gt;0,HYPERLINK("#"&amp;ADDRESS(230,'e1'!A230),""),IF('r1'!A230&gt;0,HYPERLINK("#"&amp;ADDRESS(230,'r1'!A230),""),""))</f>
        <v/>
      </c>
      <c r="C230" s="13"/>
      <c r="D230" s="14"/>
      <c r="E230" s="15"/>
      <c r="F230" s="16"/>
      <c r="G230" s="17"/>
      <c r="H230" s="18"/>
      <c r="I230" s="19"/>
      <c r="J230" s="20"/>
      <c r="K230" s="21"/>
      <c r="L230" s="22"/>
      <c r="M230" s="23"/>
      <c r="N230" s="24"/>
      <c r="O230" s="25"/>
      <c r="P230" s="26"/>
      <c r="Q230" s="27"/>
      <c r="R230" s="28"/>
      <c r="S230" s="29"/>
      <c r="T230" s="30"/>
    </row>
    <row r="231" spans="1:20" ht="24" customHeight="1" x14ac:dyDescent="0.25">
      <c r="A231" t="str">
        <f>IF('e1'!A231&gt;0,HYPERLINK("#"&amp;ADDRESS(231,'e1'!A231),""),IF('r1'!A231&gt;0,HYPERLINK("#"&amp;ADDRESS(231,'r1'!A231),""),""))</f>
        <v/>
      </c>
      <c r="C231" s="13"/>
      <c r="D231" s="14"/>
      <c r="E231" s="15"/>
      <c r="F231" s="16"/>
      <c r="G231" s="17"/>
      <c r="H231" s="18"/>
      <c r="I231" s="19"/>
      <c r="J231" s="20"/>
      <c r="K231" s="21"/>
      <c r="L231" s="22"/>
      <c r="M231" s="23"/>
      <c r="N231" s="24"/>
      <c r="O231" s="25"/>
      <c r="P231" s="26"/>
      <c r="Q231" s="27"/>
      <c r="R231" s="28"/>
      <c r="S231" s="29"/>
      <c r="T231" s="30"/>
    </row>
    <row r="232" spans="1:20" ht="24" customHeight="1" x14ac:dyDescent="0.25">
      <c r="A232" t="str">
        <f>IF('e1'!A232&gt;0,HYPERLINK("#"&amp;ADDRESS(232,'e1'!A232),""),IF('r1'!A232&gt;0,HYPERLINK("#"&amp;ADDRESS(232,'r1'!A232),""),""))</f>
        <v/>
      </c>
      <c r="C232" s="13"/>
      <c r="D232" s="14"/>
      <c r="E232" s="15"/>
      <c r="F232" s="16"/>
      <c r="G232" s="17"/>
      <c r="H232" s="18"/>
      <c r="I232" s="19"/>
      <c r="J232" s="20"/>
      <c r="K232" s="21"/>
      <c r="L232" s="22"/>
      <c r="M232" s="23"/>
      <c r="N232" s="24"/>
      <c r="O232" s="25"/>
      <c r="P232" s="26"/>
      <c r="Q232" s="27"/>
      <c r="R232" s="28"/>
      <c r="S232" s="29"/>
      <c r="T232" s="30"/>
    </row>
    <row r="233" spans="1:20" ht="24" customHeight="1" x14ac:dyDescent="0.25">
      <c r="A233" t="str">
        <f>IF('e1'!A233&gt;0,HYPERLINK("#"&amp;ADDRESS(233,'e1'!A233),""),IF('r1'!A233&gt;0,HYPERLINK("#"&amp;ADDRESS(233,'r1'!A233),""),""))</f>
        <v/>
      </c>
      <c r="C233" s="13"/>
      <c r="D233" s="14"/>
      <c r="E233" s="15"/>
      <c r="F233" s="16"/>
      <c r="G233" s="17"/>
      <c r="H233" s="18"/>
      <c r="I233" s="19"/>
      <c r="J233" s="20"/>
      <c r="K233" s="21"/>
      <c r="L233" s="22"/>
      <c r="M233" s="23"/>
      <c r="N233" s="24"/>
      <c r="O233" s="25"/>
      <c r="P233" s="26"/>
      <c r="Q233" s="27"/>
      <c r="R233" s="28"/>
      <c r="S233" s="29"/>
      <c r="T233" s="30"/>
    </row>
    <row r="234" spans="1:20" ht="24" customHeight="1" x14ac:dyDescent="0.25">
      <c r="A234" t="str">
        <f>IF('e1'!A234&gt;0,HYPERLINK("#"&amp;ADDRESS(234,'e1'!A234),""),IF('r1'!A234&gt;0,HYPERLINK("#"&amp;ADDRESS(234,'r1'!A234),""),""))</f>
        <v/>
      </c>
      <c r="C234" s="13"/>
      <c r="D234" s="14"/>
      <c r="E234" s="15"/>
      <c r="F234" s="16"/>
      <c r="G234" s="17"/>
      <c r="H234" s="18"/>
      <c r="I234" s="19"/>
      <c r="J234" s="20"/>
      <c r="K234" s="21"/>
      <c r="L234" s="22"/>
      <c r="M234" s="23"/>
      <c r="N234" s="24"/>
      <c r="O234" s="25"/>
      <c r="P234" s="26"/>
      <c r="Q234" s="27"/>
      <c r="R234" s="28"/>
      <c r="S234" s="29"/>
      <c r="T234" s="30"/>
    </row>
    <row r="235" spans="1:20" ht="24" customHeight="1" x14ac:dyDescent="0.25">
      <c r="A235" t="str">
        <f>IF('e1'!A235&gt;0,HYPERLINK("#"&amp;ADDRESS(235,'e1'!A235),""),IF('r1'!A235&gt;0,HYPERLINK("#"&amp;ADDRESS(235,'r1'!A235),""),""))</f>
        <v/>
      </c>
      <c r="C235" s="13"/>
      <c r="D235" s="14"/>
      <c r="E235" s="15"/>
      <c r="F235" s="16"/>
      <c r="G235" s="17"/>
      <c r="H235" s="18"/>
      <c r="I235" s="19"/>
      <c r="J235" s="20"/>
      <c r="K235" s="21"/>
      <c r="L235" s="22"/>
      <c r="M235" s="23"/>
      <c r="N235" s="24"/>
      <c r="O235" s="25"/>
      <c r="P235" s="26"/>
      <c r="Q235" s="27"/>
      <c r="R235" s="28"/>
      <c r="S235" s="29"/>
      <c r="T235" s="30"/>
    </row>
    <row r="236" spans="1:20" ht="24" customHeight="1" x14ac:dyDescent="0.25">
      <c r="A236" t="str">
        <f>IF('e1'!A236&gt;0,HYPERLINK("#"&amp;ADDRESS(236,'e1'!A236),""),IF('r1'!A236&gt;0,HYPERLINK("#"&amp;ADDRESS(236,'r1'!A236),""),""))</f>
        <v/>
      </c>
      <c r="C236" s="13"/>
      <c r="D236" s="14"/>
      <c r="E236" s="15"/>
      <c r="F236" s="16"/>
      <c r="G236" s="17"/>
      <c r="H236" s="18"/>
      <c r="I236" s="19"/>
      <c r="J236" s="20"/>
      <c r="K236" s="21"/>
      <c r="L236" s="22"/>
      <c r="M236" s="23"/>
      <c r="N236" s="24"/>
      <c r="O236" s="25"/>
      <c r="P236" s="26"/>
      <c r="Q236" s="27"/>
      <c r="R236" s="28"/>
      <c r="S236" s="29"/>
      <c r="T236" s="30"/>
    </row>
    <row r="237" spans="1:20" ht="24" customHeight="1" x14ac:dyDescent="0.25">
      <c r="A237" t="str">
        <f>IF('e1'!A237&gt;0,HYPERLINK("#"&amp;ADDRESS(237,'e1'!A237),""),IF('r1'!A237&gt;0,HYPERLINK("#"&amp;ADDRESS(237,'r1'!A237),""),""))</f>
        <v/>
      </c>
      <c r="C237" s="13"/>
      <c r="D237" s="14"/>
      <c r="E237" s="15"/>
      <c r="F237" s="16"/>
      <c r="G237" s="17"/>
      <c r="H237" s="18"/>
      <c r="I237" s="19"/>
      <c r="J237" s="20"/>
      <c r="K237" s="21"/>
      <c r="L237" s="22"/>
      <c r="M237" s="23"/>
      <c r="N237" s="24"/>
      <c r="O237" s="25"/>
      <c r="P237" s="26"/>
      <c r="Q237" s="27"/>
      <c r="R237" s="28"/>
      <c r="S237" s="29"/>
      <c r="T237" s="30"/>
    </row>
    <row r="238" spans="1:20" ht="24" customHeight="1" x14ac:dyDescent="0.25">
      <c r="A238" t="str">
        <f>IF('e1'!A238&gt;0,HYPERLINK("#"&amp;ADDRESS(238,'e1'!A238),""),IF('r1'!A238&gt;0,HYPERLINK("#"&amp;ADDRESS(238,'r1'!A238),""),""))</f>
        <v/>
      </c>
      <c r="C238" s="13"/>
      <c r="D238" s="14"/>
      <c r="E238" s="15"/>
      <c r="F238" s="16"/>
      <c r="G238" s="17"/>
      <c r="H238" s="18"/>
      <c r="I238" s="19"/>
      <c r="J238" s="20"/>
      <c r="K238" s="21"/>
      <c r="L238" s="22"/>
      <c r="M238" s="23"/>
      <c r="N238" s="24"/>
      <c r="O238" s="25"/>
      <c r="P238" s="26"/>
      <c r="Q238" s="27"/>
      <c r="R238" s="28"/>
      <c r="S238" s="29"/>
      <c r="T238" s="30"/>
    </row>
    <row r="239" spans="1:20" ht="24" customHeight="1" x14ac:dyDescent="0.25">
      <c r="A239" t="str">
        <f>IF('e1'!A239&gt;0,HYPERLINK("#"&amp;ADDRESS(239,'e1'!A239),""),IF('r1'!A239&gt;0,HYPERLINK("#"&amp;ADDRESS(239,'r1'!A239),""),""))</f>
        <v/>
      </c>
      <c r="C239" s="13"/>
      <c r="D239" s="14"/>
      <c r="E239" s="15"/>
      <c r="F239" s="16"/>
      <c r="G239" s="17"/>
      <c r="H239" s="18"/>
      <c r="I239" s="19"/>
      <c r="J239" s="20"/>
      <c r="K239" s="21"/>
      <c r="L239" s="22"/>
      <c r="M239" s="23"/>
      <c r="N239" s="24"/>
      <c r="O239" s="25"/>
      <c r="P239" s="26"/>
      <c r="Q239" s="27"/>
      <c r="R239" s="28"/>
      <c r="S239" s="29"/>
      <c r="T239" s="30"/>
    </row>
    <row r="240" spans="1:20" ht="24" customHeight="1" x14ac:dyDescent="0.25">
      <c r="A240" t="str">
        <f>IF('e1'!A240&gt;0,HYPERLINK("#"&amp;ADDRESS(240,'e1'!A240),""),IF('r1'!A240&gt;0,HYPERLINK("#"&amp;ADDRESS(240,'r1'!A240),""),""))</f>
        <v/>
      </c>
      <c r="C240" s="13"/>
      <c r="D240" s="14"/>
      <c r="E240" s="15"/>
      <c r="F240" s="16"/>
      <c r="G240" s="17"/>
      <c r="H240" s="18"/>
      <c r="I240" s="19"/>
      <c r="J240" s="20"/>
      <c r="K240" s="21"/>
      <c r="L240" s="22"/>
      <c r="M240" s="23"/>
      <c r="N240" s="24"/>
      <c r="O240" s="25"/>
      <c r="P240" s="26"/>
      <c r="Q240" s="27"/>
      <c r="R240" s="28"/>
      <c r="S240" s="29"/>
      <c r="T240" s="30"/>
    </row>
    <row r="241" spans="1:20" ht="24" customHeight="1" x14ac:dyDescent="0.25">
      <c r="A241" t="str">
        <f>IF('e1'!A241&gt;0,HYPERLINK("#"&amp;ADDRESS(241,'e1'!A241),""),IF('r1'!A241&gt;0,HYPERLINK("#"&amp;ADDRESS(241,'r1'!A241),""),""))</f>
        <v/>
      </c>
      <c r="C241" s="13"/>
      <c r="D241" s="14"/>
      <c r="E241" s="15"/>
      <c r="F241" s="16"/>
      <c r="G241" s="17"/>
      <c r="H241" s="18"/>
      <c r="I241" s="19"/>
      <c r="J241" s="20"/>
      <c r="K241" s="21"/>
      <c r="L241" s="22"/>
      <c r="M241" s="23"/>
      <c r="N241" s="24"/>
      <c r="O241" s="25"/>
      <c r="P241" s="26"/>
      <c r="Q241" s="27"/>
      <c r="R241" s="28"/>
      <c r="S241" s="29"/>
      <c r="T241" s="30"/>
    </row>
    <row r="242" spans="1:20" ht="24" customHeight="1" x14ac:dyDescent="0.25">
      <c r="A242" t="str">
        <f>IF('e1'!A242&gt;0,HYPERLINK("#"&amp;ADDRESS(242,'e1'!A242),""),IF('r1'!A242&gt;0,HYPERLINK("#"&amp;ADDRESS(242,'r1'!A242),""),""))</f>
        <v/>
      </c>
      <c r="C242" s="13"/>
      <c r="D242" s="14"/>
      <c r="E242" s="15"/>
      <c r="F242" s="16"/>
      <c r="G242" s="17"/>
      <c r="H242" s="18"/>
      <c r="I242" s="19"/>
      <c r="J242" s="20"/>
      <c r="K242" s="21"/>
      <c r="L242" s="22"/>
      <c r="M242" s="23"/>
      <c r="N242" s="24"/>
      <c r="O242" s="25"/>
      <c r="P242" s="26"/>
      <c r="Q242" s="27"/>
      <c r="R242" s="28"/>
      <c r="S242" s="29"/>
      <c r="T242" s="30"/>
    </row>
    <row r="243" spans="1:20" ht="24" customHeight="1" x14ac:dyDescent="0.25">
      <c r="A243" t="str">
        <f>IF('e1'!A243&gt;0,HYPERLINK("#"&amp;ADDRESS(243,'e1'!A243),""),IF('r1'!A243&gt;0,HYPERLINK("#"&amp;ADDRESS(243,'r1'!A243),""),""))</f>
        <v/>
      </c>
      <c r="C243" s="13"/>
      <c r="D243" s="14"/>
      <c r="E243" s="15"/>
      <c r="F243" s="16"/>
      <c r="G243" s="17"/>
      <c r="H243" s="18"/>
      <c r="I243" s="19"/>
      <c r="J243" s="20"/>
      <c r="K243" s="21"/>
      <c r="L243" s="22"/>
      <c r="M243" s="23"/>
      <c r="N243" s="24"/>
      <c r="O243" s="25"/>
      <c r="P243" s="26"/>
      <c r="Q243" s="27"/>
      <c r="R243" s="28"/>
      <c r="S243" s="29"/>
      <c r="T243" s="30"/>
    </row>
    <row r="244" spans="1:20" ht="24" customHeight="1" x14ac:dyDescent="0.25">
      <c r="A244" t="str">
        <f>IF('e1'!A244&gt;0,HYPERLINK("#"&amp;ADDRESS(244,'e1'!A244),""),IF('r1'!A244&gt;0,HYPERLINK("#"&amp;ADDRESS(244,'r1'!A244),""),""))</f>
        <v/>
      </c>
      <c r="C244" s="13"/>
      <c r="D244" s="14"/>
      <c r="E244" s="15"/>
      <c r="F244" s="16"/>
      <c r="G244" s="17"/>
      <c r="H244" s="18"/>
      <c r="I244" s="19"/>
      <c r="J244" s="20"/>
      <c r="K244" s="21"/>
      <c r="L244" s="22"/>
      <c r="M244" s="23"/>
      <c r="N244" s="24"/>
      <c r="O244" s="25"/>
      <c r="P244" s="26"/>
      <c r="Q244" s="27"/>
      <c r="R244" s="28"/>
      <c r="S244" s="29"/>
      <c r="T244" s="30"/>
    </row>
    <row r="245" spans="1:20" ht="24" customHeight="1" x14ac:dyDescent="0.25">
      <c r="A245" t="str">
        <f>IF('e1'!A245&gt;0,HYPERLINK("#"&amp;ADDRESS(245,'e1'!A245),""),IF('r1'!A245&gt;0,HYPERLINK("#"&amp;ADDRESS(245,'r1'!A245),""),""))</f>
        <v/>
      </c>
      <c r="C245" s="13"/>
      <c r="D245" s="14"/>
      <c r="E245" s="15"/>
      <c r="F245" s="16"/>
      <c r="G245" s="17"/>
      <c r="H245" s="18"/>
      <c r="I245" s="19"/>
      <c r="J245" s="20"/>
      <c r="K245" s="21"/>
      <c r="L245" s="22"/>
      <c r="M245" s="23"/>
      <c r="N245" s="24"/>
      <c r="O245" s="25"/>
      <c r="P245" s="26"/>
      <c r="Q245" s="27"/>
      <c r="R245" s="28"/>
      <c r="S245" s="29"/>
      <c r="T245" s="30"/>
    </row>
    <row r="246" spans="1:20" ht="24" customHeight="1" x14ac:dyDescent="0.25">
      <c r="A246" t="str">
        <f>IF('e1'!A246&gt;0,HYPERLINK("#"&amp;ADDRESS(246,'e1'!A246),""),IF('r1'!A246&gt;0,HYPERLINK("#"&amp;ADDRESS(246,'r1'!A246),""),""))</f>
        <v/>
      </c>
      <c r="C246" s="13"/>
      <c r="D246" s="14"/>
      <c r="E246" s="15"/>
      <c r="F246" s="16"/>
      <c r="G246" s="17"/>
      <c r="H246" s="18"/>
      <c r="I246" s="19"/>
      <c r="J246" s="20"/>
      <c r="K246" s="21"/>
      <c r="L246" s="22"/>
      <c r="M246" s="23"/>
      <c r="N246" s="24"/>
      <c r="O246" s="25"/>
      <c r="P246" s="26"/>
      <c r="Q246" s="27"/>
      <c r="R246" s="28"/>
      <c r="S246" s="29"/>
      <c r="T246" s="30"/>
    </row>
    <row r="247" spans="1:20" ht="24" customHeight="1" x14ac:dyDescent="0.25">
      <c r="A247" t="str">
        <f>IF('e1'!A247&gt;0,HYPERLINK("#"&amp;ADDRESS(247,'e1'!A247),""),IF('r1'!A247&gt;0,HYPERLINK("#"&amp;ADDRESS(247,'r1'!A247),""),""))</f>
        <v/>
      </c>
      <c r="C247" s="13"/>
      <c r="D247" s="14"/>
      <c r="E247" s="15"/>
      <c r="F247" s="16"/>
      <c r="G247" s="17"/>
      <c r="H247" s="18"/>
      <c r="I247" s="19"/>
      <c r="J247" s="20"/>
      <c r="K247" s="21"/>
      <c r="L247" s="22"/>
      <c r="M247" s="23"/>
      <c r="N247" s="24"/>
      <c r="O247" s="25"/>
      <c r="P247" s="26"/>
      <c r="Q247" s="27"/>
      <c r="R247" s="28"/>
      <c r="S247" s="29"/>
      <c r="T247" s="30"/>
    </row>
    <row r="248" spans="1:20" ht="24" customHeight="1" x14ac:dyDescent="0.25">
      <c r="A248" t="str">
        <f>IF('e1'!A248&gt;0,HYPERLINK("#"&amp;ADDRESS(248,'e1'!A248),""),IF('r1'!A248&gt;0,HYPERLINK("#"&amp;ADDRESS(248,'r1'!A248),""),""))</f>
        <v/>
      </c>
      <c r="C248" s="13"/>
      <c r="D248" s="14"/>
      <c r="E248" s="15"/>
      <c r="F248" s="16"/>
      <c r="G248" s="17"/>
      <c r="H248" s="18"/>
      <c r="I248" s="19"/>
      <c r="J248" s="20"/>
      <c r="K248" s="21"/>
      <c r="L248" s="22"/>
      <c r="M248" s="23"/>
      <c r="N248" s="24"/>
      <c r="O248" s="25"/>
      <c r="P248" s="26"/>
      <c r="Q248" s="27"/>
      <c r="R248" s="28"/>
      <c r="S248" s="29"/>
      <c r="T248" s="30"/>
    </row>
    <row r="249" spans="1:20" ht="24" customHeight="1" x14ac:dyDescent="0.25">
      <c r="A249" t="str">
        <f>IF('e1'!A249&gt;0,HYPERLINK("#"&amp;ADDRESS(249,'e1'!A249),""),IF('r1'!A249&gt;0,HYPERLINK("#"&amp;ADDRESS(249,'r1'!A249),""),""))</f>
        <v/>
      </c>
      <c r="C249" s="13"/>
      <c r="D249" s="14"/>
      <c r="E249" s="15"/>
      <c r="F249" s="16"/>
      <c r="G249" s="17"/>
      <c r="H249" s="18"/>
      <c r="I249" s="19"/>
      <c r="J249" s="20"/>
      <c r="K249" s="21"/>
      <c r="L249" s="22"/>
      <c r="M249" s="23"/>
      <c r="N249" s="24"/>
      <c r="O249" s="25"/>
      <c r="P249" s="26"/>
      <c r="Q249" s="27"/>
      <c r="R249" s="28"/>
      <c r="S249" s="29"/>
      <c r="T249" s="30"/>
    </row>
    <row r="250" spans="1:20" ht="24" customHeight="1" x14ac:dyDescent="0.25">
      <c r="A250" t="str">
        <f>IF('e1'!A250&gt;0,HYPERLINK("#"&amp;ADDRESS(250,'e1'!A250),""),IF('r1'!A250&gt;0,HYPERLINK("#"&amp;ADDRESS(250,'r1'!A250),""),""))</f>
        <v/>
      </c>
      <c r="C250" s="13"/>
      <c r="D250" s="14"/>
      <c r="E250" s="15"/>
      <c r="F250" s="16"/>
      <c r="G250" s="17"/>
      <c r="H250" s="18"/>
      <c r="I250" s="19"/>
      <c r="J250" s="20"/>
      <c r="K250" s="21"/>
      <c r="L250" s="22"/>
      <c r="M250" s="23"/>
      <c r="N250" s="24"/>
      <c r="O250" s="25"/>
      <c r="P250" s="26"/>
      <c r="Q250" s="27"/>
      <c r="R250" s="28"/>
      <c r="S250" s="29"/>
      <c r="T250" s="30"/>
    </row>
    <row r="251" spans="1:20" ht="24" customHeight="1" x14ac:dyDescent="0.25">
      <c r="A251" t="str">
        <f>IF('e1'!A251&gt;0,HYPERLINK("#"&amp;ADDRESS(251,'e1'!A251),""),IF('r1'!A251&gt;0,HYPERLINK("#"&amp;ADDRESS(251,'r1'!A251),""),""))</f>
        <v/>
      </c>
      <c r="C251" s="13"/>
      <c r="D251" s="14"/>
      <c r="E251" s="15"/>
      <c r="F251" s="16"/>
      <c r="G251" s="17"/>
      <c r="H251" s="18"/>
      <c r="I251" s="19"/>
      <c r="J251" s="20"/>
      <c r="K251" s="21"/>
      <c r="L251" s="22"/>
      <c r="M251" s="23"/>
      <c r="N251" s="24"/>
      <c r="O251" s="25"/>
      <c r="P251" s="26"/>
      <c r="Q251" s="27"/>
      <c r="R251" s="28"/>
      <c r="S251" s="29"/>
      <c r="T251" s="30"/>
    </row>
    <row r="252" spans="1:20" ht="24" customHeight="1" x14ac:dyDescent="0.25">
      <c r="A252" t="str">
        <f>IF('e1'!A252&gt;0,HYPERLINK("#"&amp;ADDRESS(252,'e1'!A252),""),IF('r1'!A252&gt;0,HYPERLINK("#"&amp;ADDRESS(252,'r1'!A252),""),""))</f>
        <v/>
      </c>
      <c r="C252" s="13"/>
      <c r="D252" s="14"/>
      <c r="E252" s="15"/>
      <c r="F252" s="16"/>
      <c r="G252" s="17"/>
      <c r="H252" s="18"/>
      <c r="I252" s="19"/>
      <c r="J252" s="20"/>
      <c r="K252" s="21"/>
      <c r="L252" s="22"/>
      <c r="M252" s="23"/>
      <c r="N252" s="24"/>
      <c r="O252" s="25"/>
      <c r="P252" s="26"/>
      <c r="Q252" s="27"/>
      <c r="R252" s="28"/>
      <c r="S252" s="29"/>
      <c r="T252" s="30"/>
    </row>
    <row r="253" spans="1:20" ht="24" customHeight="1" x14ac:dyDescent="0.25">
      <c r="A253" t="str">
        <f>IF('e1'!A253&gt;0,HYPERLINK("#"&amp;ADDRESS(253,'e1'!A253),""),IF('r1'!A253&gt;0,HYPERLINK("#"&amp;ADDRESS(253,'r1'!A253),""),""))</f>
        <v/>
      </c>
      <c r="C253" s="13"/>
      <c r="D253" s="14"/>
      <c r="E253" s="15"/>
      <c r="F253" s="16"/>
      <c r="G253" s="17"/>
      <c r="H253" s="18"/>
      <c r="I253" s="19"/>
      <c r="J253" s="20"/>
      <c r="K253" s="21"/>
      <c r="L253" s="22"/>
      <c r="M253" s="23"/>
      <c r="N253" s="24"/>
      <c r="O253" s="25"/>
      <c r="P253" s="26"/>
      <c r="Q253" s="27"/>
      <c r="R253" s="28"/>
      <c r="S253" s="29"/>
      <c r="T253" s="30"/>
    </row>
    <row r="254" spans="1:20" ht="24" customHeight="1" x14ac:dyDescent="0.25">
      <c r="A254" t="str">
        <f>IF('e1'!A254&gt;0,HYPERLINK("#"&amp;ADDRESS(254,'e1'!A254),""),IF('r1'!A254&gt;0,HYPERLINK("#"&amp;ADDRESS(254,'r1'!A254),""),""))</f>
        <v/>
      </c>
      <c r="C254" s="13"/>
      <c r="D254" s="14"/>
      <c r="E254" s="15"/>
      <c r="F254" s="16"/>
      <c r="G254" s="17"/>
      <c r="H254" s="18"/>
      <c r="I254" s="19"/>
      <c r="J254" s="20"/>
      <c r="K254" s="21"/>
      <c r="L254" s="22"/>
      <c r="M254" s="23"/>
      <c r="N254" s="24"/>
      <c r="O254" s="25"/>
      <c r="P254" s="26"/>
      <c r="Q254" s="27"/>
      <c r="R254" s="28"/>
      <c r="S254" s="29"/>
      <c r="T254" s="30"/>
    </row>
    <row r="255" spans="1:20" ht="24" customHeight="1" x14ac:dyDescent="0.25">
      <c r="A255" t="str">
        <f>IF('e1'!A255&gt;0,HYPERLINK("#"&amp;ADDRESS(255,'e1'!A255),""),IF('r1'!A255&gt;0,HYPERLINK("#"&amp;ADDRESS(255,'r1'!A255),""),""))</f>
        <v/>
      </c>
      <c r="C255" s="13"/>
      <c r="D255" s="14"/>
      <c r="E255" s="15"/>
      <c r="F255" s="16"/>
      <c r="G255" s="17"/>
      <c r="H255" s="18"/>
      <c r="I255" s="19"/>
      <c r="J255" s="20"/>
      <c r="K255" s="21"/>
      <c r="L255" s="22"/>
      <c r="M255" s="23"/>
      <c r="N255" s="24"/>
      <c r="O255" s="25"/>
      <c r="P255" s="26"/>
      <c r="Q255" s="27"/>
      <c r="R255" s="28"/>
      <c r="S255" s="29"/>
      <c r="T255" s="30"/>
    </row>
    <row r="256" spans="1:20" ht="24" customHeight="1" x14ac:dyDescent="0.25">
      <c r="A256" t="str">
        <f>IF('e1'!A256&gt;0,HYPERLINK("#"&amp;ADDRESS(256,'e1'!A256),""),IF('r1'!A256&gt;0,HYPERLINK("#"&amp;ADDRESS(256,'r1'!A256),""),""))</f>
        <v/>
      </c>
      <c r="C256" s="13"/>
      <c r="D256" s="14"/>
      <c r="E256" s="15"/>
      <c r="F256" s="16"/>
      <c r="G256" s="17"/>
      <c r="H256" s="18"/>
      <c r="I256" s="19"/>
      <c r="J256" s="20"/>
      <c r="K256" s="21"/>
      <c r="L256" s="22"/>
      <c r="M256" s="23"/>
      <c r="N256" s="24"/>
      <c r="O256" s="25"/>
      <c r="P256" s="26"/>
      <c r="Q256" s="27"/>
      <c r="R256" s="28"/>
      <c r="S256" s="29"/>
      <c r="T256" s="30"/>
    </row>
    <row r="257" spans="1:20" ht="24" customHeight="1" x14ac:dyDescent="0.25">
      <c r="A257" t="str">
        <f>IF('e1'!A257&gt;0,HYPERLINK("#"&amp;ADDRESS(257,'e1'!A257),""),IF('r1'!A257&gt;0,HYPERLINK("#"&amp;ADDRESS(257,'r1'!A257),""),""))</f>
        <v/>
      </c>
      <c r="C257" s="13"/>
      <c r="D257" s="14"/>
      <c r="E257" s="15"/>
      <c r="F257" s="16"/>
      <c r="G257" s="17"/>
      <c r="H257" s="18"/>
      <c r="I257" s="19"/>
      <c r="J257" s="20"/>
      <c r="K257" s="21"/>
      <c r="L257" s="22"/>
      <c r="M257" s="23"/>
      <c r="N257" s="24"/>
      <c r="O257" s="25"/>
      <c r="P257" s="26"/>
      <c r="Q257" s="27"/>
      <c r="R257" s="28"/>
      <c r="S257" s="29"/>
      <c r="T257" s="30"/>
    </row>
    <row r="258" spans="1:20" ht="24" customHeight="1" x14ac:dyDescent="0.25">
      <c r="A258" t="str">
        <f>IF('e1'!A258&gt;0,HYPERLINK("#"&amp;ADDRESS(258,'e1'!A258),""),IF('r1'!A258&gt;0,HYPERLINK("#"&amp;ADDRESS(258,'r1'!A258),""),""))</f>
        <v/>
      </c>
      <c r="C258" s="13"/>
      <c r="D258" s="14"/>
      <c r="E258" s="15"/>
      <c r="F258" s="16"/>
      <c r="G258" s="17"/>
      <c r="H258" s="18"/>
      <c r="I258" s="19"/>
      <c r="J258" s="20"/>
      <c r="K258" s="21"/>
      <c r="L258" s="22"/>
      <c r="M258" s="23"/>
      <c r="N258" s="24"/>
      <c r="O258" s="25"/>
      <c r="P258" s="26"/>
      <c r="Q258" s="27"/>
      <c r="R258" s="28"/>
      <c r="S258" s="29"/>
      <c r="T258" s="30"/>
    </row>
    <row r="259" spans="1:20" ht="24" customHeight="1" x14ac:dyDescent="0.25">
      <c r="A259" t="str">
        <f>IF('e1'!A259&gt;0,HYPERLINK("#"&amp;ADDRESS(259,'e1'!A259),""),IF('r1'!A259&gt;0,HYPERLINK("#"&amp;ADDRESS(259,'r1'!A259),""),""))</f>
        <v/>
      </c>
      <c r="C259" s="13"/>
      <c r="D259" s="14"/>
      <c r="E259" s="15"/>
      <c r="F259" s="16"/>
      <c r="G259" s="17"/>
      <c r="H259" s="18"/>
      <c r="I259" s="19"/>
      <c r="J259" s="20"/>
      <c r="K259" s="21"/>
      <c r="L259" s="22"/>
      <c r="M259" s="23"/>
      <c r="N259" s="24"/>
      <c r="O259" s="25"/>
      <c r="P259" s="26"/>
      <c r="Q259" s="27"/>
      <c r="R259" s="28"/>
      <c r="S259" s="29"/>
      <c r="T259" s="30"/>
    </row>
    <row r="260" spans="1:20" ht="24" customHeight="1" x14ac:dyDescent="0.25">
      <c r="A260" t="str">
        <f>IF('e1'!A260&gt;0,HYPERLINK("#"&amp;ADDRESS(260,'e1'!A260),""),IF('r1'!A260&gt;0,HYPERLINK("#"&amp;ADDRESS(260,'r1'!A260),""),""))</f>
        <v/>
      </c>
      <c r="C260" s="13"/>
      <c r="D260" s="14"/>
      <c r="E260" s="15"/>
      <c r="F260" s="16"/>
      <c r="G260" s="17"/>
      <c r="H260" s="18"/>
      <c r="I260" s="19"/>
      <c r="J260" s="20"/>
      <c r="K260" s="21"/>
      <c r="L260" s="22"/>
      <c r="M260" s="23"/>
      <c r="N260" s="24"/>
      <c r="O260" s="25"/>
      <c r="P260" s="26"/>
      <c r="Q260" s="27"/>
      <c r="R260" s="28"/>
      <c r="S260" s="29"/>
      <c r="T260" s="30"/>
    </row>
    <row r="261" spans="1:20" ht="24" customHeight="1" x14ac:dyDescent="0.25">
      <c r="A261" t="str">
        <f>IF('e1'!A261&gt;0,HYPERLINK("#"&amp;ADDRESS(261,'e1'!A261),""),IF('r1'!A261&gt;0,HYPERLINK("#"&amp;ADDRESS(261,'r1'!A261),""),""))</f>
        <v/>
      </c>
      <c r="C261" s="13"/>
      <c r="D261" s="14"/>
      <c r="E261" s="15"/>
      <c r="F261" s="16"/>
      <c r="G261" s="17"/>
      <c r="H261" s="18"/>
      <c r="I261" s="19"/>
      <c r="J261" s="20"/>
      <c r="K261" s="21"/>
      <c r="L261" s="22"/>
      <c r="M261" s="23"/>
      <c r="N261" s="24"/>
      <c r="O261" s="25"/>
      <c r="P261" s="26"/>
      <c r="Q261" s="27"/>
      <c r="R261" s="28"/>
      <c r="S261" s="29"/>
      <c r="T261" s="30"/>
    </row>
    <row r="262" spans="1:20" ht="24" customHeight="1" x14ac:dyDescent="0.25">
      <c r="A262" t="str">
        <f>IF('e1'!A262&gt;0,HYPERLINK("#"&amp;ADDRESS(262,'e1'!A262),""),IF('r1'!A262&gt;0,HYPERLINK("#"&amp;ADDRESS(262,'r1'!A262),""),""))</f>
        <v/>
      </c>
      <c r="C262" s="13"/>
      <c r="D262" s="14"/>
      <c r="E262" s="15"/>
      <c r="F262" s="16"/>
      <c r="G262" s="17"/>
      <c r="H262" s="18"/>
      <c r="I262" s="19"/>
      <c r="J262" s="20"/>
      <c r="K262" s="21"/>
      <c r="L262" s="22"/>
      <c r="M262" s="23"/>
      <c r="N262" s="24"/>
      <c r="O262" s="25"/>
      <c r="P262" s="26"/>
      <c r="Q262" s="27"/>
      <c r="R262" s="28"/>
      <c r="S262" s="29"/>
      <c r="T262" s="30"/>
    </row>
    <row r="263" spans="1:20" ht="24" customHeight="1" x14ac:dyDescent="0.25">
      <c r="A263" t="str">
        <f>IF('e1'!A263&gt;0,HYPERLINK("#"&amp;ADDRESS(263,'e1'!A263),""),IF('r1'!A263&gt;0,HYPERLINK("#"&amp;ADDRESS(263,'r1'!A263),""),""))</f>
        <v/>
      </c>
      <c r="C263" s="13"/>
      <c r="D263" s="14"/>
      <c r="E263" s="15"/>
      <c r="F263" s="16"/>
      <c r="G263" s="17"/>
      <c r="H263" s="18"/>
      <c r="I263" s="19"/>
      <c r="J263" s="20"/>
      <c r="K263" s="21"/>
      <c r="L263" s="22"/>
      <c r="M263" s="23"/>
      <c r="N263" s="24"/>
      <c r="O263" s="25"/>
      <c r="P263" s="26"/>
      <c r="Q263" s="27"/>
      <c r="R263" s="28"/>
      <c r="S263" s="29"/>
      <c r="T263" s="30"/>
    </row>
    <row r="264" spans="1:20" ht="24" customHeight="1" x14ac:dyDescent="0.25">
      <c r="A264" t="str">
        <f>IF('e1'!A264&gt;0,HYPERLINK("#"&amp;ADDRESS(264,'e1'!A264),""),IF('r1'!A264&gt;0,HYPERLINK("#"&amp;ADDRESS(264,'r1'!A264),""),""))</f>
        <v/>
      </c>
      <c r="C264" s="13"/>
      <c r="D264" s="14"/>
      <c r="E264" s="15"/>
      <c r="F264" s="16"/>
      <c r="G264" s="17"/>
      <c r="H264" s="18"/>
      <c r="I264" s="19"/>
      <c r="J264" s="20"/>
      <c r="K264" s="21"/>
      <c r="L264" s="22"/>
      <c r="M264" s="23"/>
      <c r="N264" s="24"/>
      <c r="O264" s="25"/>
      <c r="P264" s="26"/>
      <c r="Q264" s="27"/>
      <c r="R264" s="28"/>
      <c r="S264" s="29"/>
      <c r="T264" s="30"/>
    </row>
    <row r="265" spans="1:20" ht="24" customHeight="1" x14ac:dyDescent="0.25">
      <c r="A265" t="str">
        <f>IF('e1'!A265&gt;0,HYPERLINK("#"&amp;ADDRESS(265,'e1'!A265),""),IF('r1'!A265&gt;0,HYPERLINK("#"&amp;ADDRESS(265,'r1'!A265),""),""))</f>
        <v/>
      </c>
      <c r="C265" s="13"/>
      <c r="D265" s="14"/>
      <c r="E265" s="15"/>
      <c r="F265" s="16"/>
      <c r="G265" s="17"/>
      <c r="H265" s="18"/>
      <c r="I265" s="19"/>
      <c r="J265" s="20"/>
      <c r="K265" s="21"/>
      <c r="L265" s="22"/>
      <c r="M265" s="23"/>
      <c r="N265" s="24"/>
      <c r="O265" s="25"/>
      <c r="P265" s="26"/>
      <c r="Q265" s="27"/>
      <c r="R265" s="28"/>
      <c r="S265" s="29"/>
      <c r="T265" s="30"/>
    </row>
    <row r="266" spans="1:20" ht="24" customHeight="1" x14ac:dyDescent="0.25">
      <c r="A266" t="str">
        <f>IF('e1'!A266&gt;0,HYPERLINK("#"&amp;ADDRESS(266,'e1'!A266),""),IF('r1'!A266&gt;0,HYPERLINK("#"&amp;ADDRESS(266,'r1'!A266),""),""))</f>
        <v/>
      </c>
      <c r="C266" s="13"/>
      <c r="D266" s="14"/>
      <c r="E266" s="15"/>
      <c r="F266" s="16"/>
      <c r="G266" s="17"/>
      <c r="H266" s="18"/>
      <c r="I266" s="19"/>
      <c r="J266" s="20"/>
      <c r="K266" s="21"/>
      <c r="L266" s="22"/>
      <c r="M266" s="23"/>
      <c r="N266" s="24"/>
      <c r="O266" s="25"/>
      <c r="P266" s="26"/>
      <c r="Q266" s="27"/>
      <c r="R266" s="28"/>
      <c r="S266" s="29"/>
      <c r="T266" s="30"/>
    </row>
    <row r="267" spans="1:20" ht="24" customHeight="1" x14ac:dyDescent="0.25">
      <c r="A267" t="str">
        <f>IF('e1'!A267&gt;0,HYPERLINK("#"&amp;ADDRESS(267,'e1'!A267),""),IF('r1'!A267&gt;0,HYPERLINK("#"&amp;ADDRESS(267,'r1'!A267),""),""))</f>
        <v/>
      </c>
      <c r="C267" s="13"/>
      <c r="D267" s="14"/>
      <c r="E267" s="15"/>
      <c r="F267" s="16"/>
      <c r="G267" s="17"/>
      <c r="H267" s="18"/>
      <c r="I267" s="19"/>
      <c r="J267" s="20"/>
      <c r="K267" s="21"/>
      <c r="L267" s="22"/>
      <c r="M267" s="23"/>
      <c r="N267" s="24"/>
      <c r="O267" s="25"/>
      <c r="P267" s="26"/>
      <c r="Q267" s="27"/>
      <c r="R267" s="28"/>
      <c r="S267" s="29"/>
      <c r="T267" s="30"/>
    </row>
    <row r="268" spans="1:20" ht="24" customHeight="1" x14ac:dyDescent="0.25">
      <c r="A268" t="str">
        <f>IF('e1'!A268&gt;0,HYPERLINK("#"&amp;ADDRESS(268,'e1'!A268),""),IF('r1'!A268&gt;0,HYPERLINK("#"&amp;ADDRESS(268,'r1'!A268),""),""))</f>
        <v/>
      </c>
      <c r="C268" s="13"/>
      <c r="D268" s="14"/>
      <c r="E268" s="15"/>
      <c r="F268" s="16"/>
      <c r="G268" s="17"/>
      <c r="H268" s="18"/>
      <c r="I268" s="19"/>
      <c r="J268" s="20"/>
      <c r="K268" s="21"/>
      <c r="L268" s="22"/>
      <c r="M268" s="23"/>
      <c r="N268" s="24"/>
      <c r="O268" s="25"/>
      <c r="P268" s="26"/>
      <c r="Q268" s="27"/>
      <c r="R268" s="28"/>
      <c r="S268" s="29"/>
      <c r="T268" s="30"/>
    </row>
    <row r="269" spans="1:20" ht="24" customHeight="1" x14ac:dyDescent="0.25">
      <c r="A269" t="str">
        <f>IF('e1'!A269&gt;0,HYPERLINK("#"&amp;ADDRESS(269,'e1'!A269),""),IF('r1'!A269&gt;0,HYPERLINK("#"&amp;ADDRESS(269,'r1'!A269),""),""))</f>
        <v/>
      </c>
      <c r="C269" s="13"/>
      <c r="D269" s="14"/>
      <c r="E269" s="15"/>
      <c r="F269" s="16"/>
      <c r="G269" s="17"/>
      <c r="H269" s="18"/>
      <c r="I269" s="19"/>
      <c r="J269" s="20"/>
      <c r="K269" s="21"/>
      <c r="L269" s="22"/>
      <c r="M269" s="23"/>
      <c r="N269" s="24"/>
      <c r="O269" s="25"/>
      <c r="P269" s="26"/>
      <c r="Q269" s="27"/>
      <c r="R269" s="28"/>
      <c r="S269" s="29"/>
      <c r="T269" s="30"/>
    </row>
    <row r="270" spans="1:20" ht="24" customHeight="1" x14ac:dyDescent="0.25">
      <c r="A270" t="str">
        <f>IF('e1'!A270&gt;0,HYPERLINK("#"&amp;ADDRESS(270,'e1'!A270),""),IF('r1'!A270&gt;0,HYPERLINK("#"&amp;ADDRESS(270,'r1'!A270),""),""))</f>
        <v/>
      </c>
      <c r="C270" s="13"/>
      <c r="D270" s="14"/>
      <c r="E270" s="15"/>
      <c r="F270" s="16"/>
      <c r="G270" s="17"/>
      <c r="H270" s="18"/>
      <c r="I270" s="19"/>
      <c r="J270" s="20"/>
      <c r="K270" s="21"/>
      <c r="L270" s="22"/>
      <c r="M270" s="23"/>
      <c r="N270" s="24"/>
      <c r="O270" s="25"/>
      <c r="P270" s="26"/>
      <c r="Q270" s="27"/>
      <c r="R270" s="28"/>
      <c r="S270" s="29"/>
      <c r="T270" s="30"/>
    </row>
    <row r="271" spans="1:20" ht="24" customHeight="1" x14ac:dyDescent="0.25">
      <c r="A271" t="str">
        <f>IF('e1'!A271&gt;0,HYPERLINK("#"&amp;ADDRESS(271,'e1'!A271),""),IF('r1'!A271&gt;0,HYPERLINK("#"&amp;ADDRESS(271,'r1'!A271),""),""))</f>
        <v/>
      </c>
      <c r="C271" s="13"/>
      <c r="D271" s="14"/>
      <c r="E271" s="15"/>
      <c r="F271" s="16"/>
      <c r="G271" s="17"/>
      <c r="H271" s="18"/>
      <c r="I271" s="19"/>
      <c r="J271" s="20"/>
      <c r="K271" s="21"/>
      <c r="L271" s="22"/>
      <c r="M271" s="23"/>
      <c r="N271" s="24"/>
      <c r="O271" s="25"/>
      <c r="P271" s="26"/>
      <c r="Q271" s="27"/>
      <c r="R271" s="28"/>
      <c r="S271" s="29"/>
      <c r="T271" s="30"/>
    </row>
    <row r="272" spans="1:20" ht="24" customHeight="1" x14ac:dyDescent="0.25">
      <c r="A272" t="str">
        <f>IF('e1'!A272&gt;0,HYPERLINK("#"&amp;ADDRESS(272,'e1'!A272),""),IF('r1'!A272&gt;0,HYPERLINK("#"&amp;ADDRESS(272,'r1'!A272),""),""))</f>
        <v/>
      </c>
      <c r="C272" s="13"/>
      <c r="D272" s="14"/>
      <c r="E272" s="15"/>
      <c r="F272" s="16"/>
      <c r="G272" s="17"/>
      <c r="H272" s="18"/>
      <c r="I272" s="19"/>
      <c r="J272" s="20"/>
      <c r="K272" s="21"/>
      <c r="L272" s="22"/>
      <c r="M272" s="23"/>
      <c r="N272" s="24"/>
      <c r="O272" s="25"/>
      <c r="P272" s="26"/>
      <c r="Q272" s="27"/>
      <c r="R272" s="28"/>
      <c r="S272" s="29"/>
      <c r="T272" s="30"/>
    </row>
    <row r="273" spans="1:20" ht="24" customHeight="1" x14ac:dyDescent="0.25">
      <c r="A273" t="str">
        <f>IF('e1'!A273&gt;0,HYPERLINK("#"&amp;ADDRESS(273,'e1'!A273),""),IF('r1'!A273&gt;0,HYPERLINK("#"&amp;ADDRESS(273,'r1'!A273),""),""))</f>
        <v/>
      </c>
      <c r="C273" s="13"/>
      <c r="D273" s="14"/>
      <c r="E273" s="15"/>
      <c r="F273" s="16"/>
      <c r="G273" s="17"/>
      <c r="H273" s="18"/>
      <c r="I273" s="19"/>
      <c r="J273" s="20"/>
      <c r="K273" s="21"/>
      <c r="L273" s="22"/>
      <c r="M273" s="23"/>
      <c r="N273" s="24"/>
      <c r="O273" s="25"/>
      <c r="P273" s="26"/>
      <c r="Q273" s="27"/>
      <c r="R273" s="28"/>
      <c r="S273" s="29"/>
      <c r="T273" s="30"/>
    </row>
    <row r="274" spans="1:20" ht="24" customHeight="1" x14ac:dyDescent="0.25">
      <c r="A274" t="str">
        <f>IF('e1'!A274&gt;0,HYPERLINK("#"&amp;ADDRESS(274,'e1'!A274),""),IF('r1'!A274&gt;0,HYPERLINK("#"&amp;ADDRESS(274,'r1'!A274),""),""))</f>
        <v/>
      </c>
      <c r="C274" s="13"/>
      <c r="D274" s="14"/>
      <c r="E274" s="15"/>
      <c r="F274" s="16"/>
      <c r="G274" s="17"/>
      <c r="H274" s="18"/>
      <c r="I274" s="19"/>
      <c r="J274" s="20"/>
      <c r="K274" s="21"/>
      <c r="L274" s="22"/>
      <c r="M274" s="23"/>
      <c r="N274" s="24"/>
      <c r="O274" s="25"/>
      <c r="P274" s="26"/>
      <c r="Q274" s="27"/>
      <c r="R274" s="28"/>
      <c r="S274" s="29"/>
      <c r="T274" s="30"/>
    </row>
    <row r="275" spans="1:20" ht="24" customHeight="1" x14ac:dyDescent="0.25">
      <c r="A275" t="str">
        <f>IF('e1'!A275&gt;0,HYPERLINK("#"&amp;ADDRESS(275,'e1'!A275),""),IF('r1'!A275&gt;0,HYPERLINK("#"&amp;ADDRESS(275,'r1'!A275),""),""))</f>
        <v/>
      </c>
      <c r="C275" s="13"/>
      <c r="D275" s="14"/>
      <c r="E275" s="15"/>
      <c r="F275" s="16"/>
      <c r="G275" s="17"/>
      <c r="H275" s="18"/>
      <c r="I275" s="19"/>
      <c r="J275" s="20"/>
      <c r="K275" s="21"/>
      <c r="L275" s="22"/>
      <c r="M275" s="23"/>
      <c r="N275" s="24"/>
      <c r="O275" s="25"/>
      <c r="P275" s="26"/>
      <c r="Q275" s="27"/>
      <c r="R275" s="28"/>
      <c r="S275" s="29"/>
      <c r="T275" s="30"/>
    </row>
    <row r="276" spans="1:20" ht="24" customHeight="1" x14ac:dyDescent="0.25">
      <c r="A276" t="str">
        <f>IF('e1'!A276&gt;0,HYPERLINK("#"&amp;ADDRESS(276,'e1'!A276),""),IF('r1'!A276&gt;0,HYPERLINK("#"&amp;ADDRESS(276,'r1'!A276),""),""))</f>
        <v/>
      </c>
      <c r="C276" s="13"/>
      <c r="D276" s="14"/>
      <c r="E276" s="15"/>
      <c r="F276" s="16"/>
      <c r="G276" s="17"/>
      <c r="H276" s="18"/>
      <c r="I276" s="19"/>
      <c r="J276" s="20"/>
      <c r="K276" s="21"/>
      <c r="L276" s="22"/>
      <c r="M276" s="23"/>
      <c r="N276" s="24"/>
      <c r="O276" s="25"/>
      <c r="P276" s="26"/>
      <c r="Q276" s="27"/>
      <c r="R276" s="28"/>
      <c r="S276" s="29"/>
      <c r="T276" s="30"/>
    </row>
    <row r="277" spans="1:20" ht="24" customHeight="1" x14ac:dyDescent="0.25">
      <c r="A277" t="str">
        <f>IF('e1'!A277&gt;0,HYPERLINK("#"&amp;ADDRESS(277,'e1'!A277),""),IF('r1'!A277&gt;0,HYPERLINK("#"&amp;ADDRESS(277,'r1'!A277),""),""))</f>
        <v/>
      </c>
      <c r="C277" s="13"/>
      <c r="D277" s="14"/>
      <c r="E277" s="15"/>
      <c r="F277" s="16"/>
      <c r="G277" s="17"/>
      <c r="H277" s="18"/>
      <c r="I277" s="19"/>
      <c r="J277" s="20"/>
      <c r="K277" s="21"/>
      <c r="L277" s="22"/>
      <c r="M277" s="23"/>
      <c r="N277" s="24"/>
      <c r="O277" s="25"/>
      <c r="P277" s="26"/>
      <c r="Q277" s="27"/>
      <c r="R277" s="28"/>
      <c r="S277" s="29"/>
      <c r="T277" s="30"/>
    </row>
    <row r="278" spans="1:20" ht="24" customHeight="1" x14ac:dyDescent="0.25">
      <c r="A278" t="str">
        <f>IF('e1'!A278&gt;0,HYPERLINK("#"&amp;ADDRESS(278,'e1'!A278),""),IF('r1'!A278&gt;0,HYPERLINK("#"&amp;ADDRESS(278,'r1'!A278),""),""))</f>
        <v/>
      </c>
      <c r="C278" s="13"/>
      <c r="D278" s="14"/>
      <c r="E278" s="15"/>
      <c r="F278" s="16"/>
      <c r="G278" s="17"/>
      <c r="H278" s="18"/>
      <c r="I278" s="19"/>
      <c r="J278" s="20"/>
      <c r="K278" s="21"/>
      <c r="L278" s="22"/>
      <c r="M278" s="23"/>
      <c r="N278" s="24"/>
      <c r="O278" s="25"/>
      <c r="P278" s="26"/>
      <c r="Q278" s="27"/>
      <c r="R278" s="28"/>
      <c r="S278" s="29"/>
      <c r="T278" s="30"/>
    </row>
    <row r="279" spans="1:20" ht="24" customHeight="1" x14ac:dyDescent="0.25">
      <c r="A279" t="str">
        <f>IF('e1'!A279&gt;0,HYPERLINK("#"&amp;ADDRESS(279,'e1'!A279),""),IF('r1'!A279&gt;0,HYPERLINK("#"&amp;ADDRESS(279,'r1'!A279),""),""))</f>
        <v/>
      </c>
      <c r="C279" s="13"/>
      <c r="D279" s="14"/>
      <c r="E279" s="15"/>
      <c r="F279" s="16"/>
      <c r="G279" s="17"/>
      <c r="H279" s="18"/>
      <c r="I279" s="19"/>
      <c r="J279" s="20"/>
      <c r="K279" s="21"/>
      <c r="L279" s="22"/>
      <c r="M279" s="23"/>
      <c r="N279" s="24"/>
      <c r="O279" s="25"/>
      <c r="P279" s="26"/>
      <c r="Q279" s="27"/>
      <c r="R279" s="28"/>
      <c r="S279" s="29"/>
      <c r="T279" s="30"/>
    </row>
    <row r="280" spans="1:20" ht="24" customHeight="1" x14ac:dyDescent="0.25">
      <c r="A280" t="str">
        <f>IF('e1'!A280&gt;0,HYPERLINK("#"&amp;ADDRESS(280,'e1'!A280),""),IF('r1'!A280&gt;0,HYPERLINK("#"&amp;ADDRESS(280,'r1'!A280),""),""))</f>
        <v/>
      </c>
      <c r="C280" s="13"/>
      <c r="D280" s="14"/>
      <c r="E280" s="15"/>
      <c r="F280" s="16"/>
      <c r="G280" s="17"/>
      <c r="H280" s="18"/>
      <c r="I280" s="19"/>
      <c r="J280" s="20"/>
      <c r="K280" s="21"/>
      <c r="L280" s="22"/>
      <c r="M280" s="23"/>
      <c r="N280" s="24"/>
      <c r="O280" s="25"/>
      <c r="P280" s="26"/>
      <c r="Q280" s="27"/>
      <c r="R280" s="28"/>
      <c r="S280" s="29"/>
      <c r="T280" s="30"/>
    </row>
    <row r="281" spans="1:20" ht="24" customHeight="1" x14ac:dyDescent="0.25">
      <c r="A281" t="str">
        <f>IF('e1'!A281&gt;0,HYPERLINK("#"&amp;ADDRESS(281,'e1'!A281),""),IF('r1'!A281&gt;0,HYPERLINK("#"&amp;ADDRESS(281,'r1'!A281),""),""))</f>
        <v/>
      </c>
      <c r="C281" s="13"/>
      <c r="D281" s="14"/>
      <c r="E281" s="15"/>
      <c r="F281" s="16"/>
      <c r="G281" s="17"/>
      <c r="H281" s="18"/>
      <c r="I281" s="19"/>
      <c r="J281" s="20"/>
      <c r="K281" s="21"/>
      <c r="L281" s="22"/>
      <c r="M281" s="23"/>
      <c r="N281" s="24"/>
      <c r="O281" s="25"/>
      <c r="P281" s="26"/>
      <c r="Q281" s="27"/>
      <c r="R281" s="28"/>
      <c r="S281" s="29"/>
      <c r="T281" s="30"/>
    </row>
    <row r="282" spans="1:20" ht="24" customHeight="1" x14ac:dyDescent="0.25">
      <c r="A282" t="str">
        <f>IF('e1'!A282&gt;0,HYPERLINK("#"&amp;ADDRESS(282,'e1'!A282),""),IF('r1'!A282&gt;0,HYPERLINK("#"&amp;ADDRESS(282,'r1'!A282),""),""))</f>
        <v/>
      </c>
      <c r="C282" s="13"/>
      <c r="D282" s="14"/>
      <c r="E282" s="15"/>
      <c r="F282" s="16"/>
      <c r="G282" s="17"/>
      <c r="H282" s="18"/>
      <c r="I282" s="19"/>
      <c r="J282" s="20"/>
      <c r="K282" s="21"/>
      <c r="L282" s="22"/>
      <c r="M282" s="23"/>
      <c r="N282" s="24"/>
      <c r="O282" s="25"/>
      <c r="P282" s="26"/>
      <c r="Q282" s="27"/>
      <c r="R282" s="28"/>
      <c r="S282" s="29"/>
      <c r="T282" s="30"/>
    </row>
    <row r="283" spans="1:20" ht="24" customHeight="1" x14ac:dyDescent="0.25">
      <c r="A283" t="str">
        <f>IF('e1'!A283&gt;0,HYPERLINK("#"&amp;ADDRESS(283,'e1'!A283),""),IF('r1'!A283&gt;0,HYPERLINK("#"&amp;ADDRESS(283,'r1'!A283),""),""))</f>
        <v/>
      </c>
      <c r="C283" s="13"/>
      <c r="D283" s="14"/>
      <c r="E283" s="15"/>
      <c r="F283" s="16"/>
      <c r="G283" s="17"/>
      <c r="H283" s="18"/>
      <c r="I283" s="19"/>
      <c r="J283" s="20"/>
      <c r="K283" s="21"/>
      <c r="L283" s="22"/>
      <c r="M283" s="23"/>
      <c r="N283" s="24"/>
      <c r="O283" s="25"/>
      <c r="P283" s="26"/>
      <c r="Q283" s="27"/>
      <c r="R283" s="28"/>
      <c r="S283" s="29"/>
      <c r="T283" s="30"/>
    </row>
    <row r="284" spans="1:20" ht="24" customHeight="1" x14ac:dyDescent="0.25">
      <c r="A284" t="str">
        <f>IF('e1'!A284&gt;0,HYPERLINK("#"&amp;ADDRESS(284,'e1'!A284),""),IF('r1'!A284&gt;0,HYPERLINK("#"&amp;ADDRESS(284,'r1'!A284),""),""))</f>
        <v/>
      </c>
      <c r="C284" s="13"/>
      <c r="D284" s="14"/>
      <c r="E284" s="15"/>
      <c r="F284" s="16"/>
      <c r="G284" s="17"/>
      <c r="H284" s="18"/>
      <c r="I284" s="19"/>
      <c r="J284" s="20"/>
      <c r="K284" s="21"/>
      <c r="L284" s="22"/>
      <c r="M284" s="23"/>
      <c r="N284" s="24"/>
      <c r="O284" s="25"/>
      <c r="P284" s="26"/>
      <c r="Q284" s="27"/>
      <c r="R284" s="28"/>
      <c r="S284" s="29"/>
      <c r="T284" s="30"/>
    </row>
    <row r="285" spans="1:20" ht="24" customHeight="1" x14ac:dyDescent="0.25">
      <c r="A285" t="str">
        <f>IF('e1'!A285&gt;0,HYPERLINK("#"&amp;ADDRESS(285,'e1'!A285),""),IF('r1'!A285&gt;0,HYPERLINK("#"&amp;ADDRESS(285,'r1'!A285),""),""))</f>
        <v/>
      </c>
      <c r="C285" s="13"/>
      <c r="D285" s="14"/>
      <c r="E285" s="15"/>
      <c r="F285" s="16"/>
      <c r="G285" s="17"/>
      <c r="H285" s="18"/>
      <c r="I285" s="19"/>
      <c r="J285" s="20"/>
      <c r="K285" s="21"/>
      <c r="L285" s="22"/>
      <c r="M285" s="23"/>
      <c r="N285" s="24"/>
      <c r="O285" s="25"/>
      <c r="P285" s="26"/>
      <c r="Q285" s="27"/>
      <c r="R285" s="28"/>
      <c r="S285" s="29"/>
      <c r="T285" s="30"/>
    </row>
    <row r="286" spans="1:20" ht="24" customHeight="1" x14ac:dyDescent="0.25">
      <c r="A286" t="str">
        <f>IF('e1'!A286&gt;0,HYPERLINK("#"&amp;ADDRESS(286,'e1'!A286),""),IF('r1'!A286&gt;0,HYPERLINK("#"&amp;ADDRESS(286,'r1'!A286),""),""))</f>
        <v/>
      </c>
      <c r="C286" s="13"/>
      <c r="D286" s="14"/>
      <c r="E286" s="15"/>
      <c r="F286" s="16"/>
      <c r="G286" s="17"/>
      <c r="H286" s="18"/>
      <c r="I286" s="19"/>
      <c r="J286" s="20"/>
      <c r="K286" s="21"/>
      <c r="L286" s="22"/>
      <c r="M286" s="23"/>
      <c r="N286" s="24"/>
      <c r="O286" s="25"/>
      <c r="P286" s="26"/>
      <c r="Q286" s="27"/>
      <c r="R286" s="28"/>
      <c r="S286" s="29"/>
      <c r="T286" s="30"/>
    </row>
    <row r="287" spans="1:20" ht="24" customHeight="1" x14ac:dyDescent="0.25">
      <c r="A287" t="str">
        <f>IF('e1'!A287&gt;0,HYPERLINK("#"&amp;ADDRESS(287,'e1'!A287),""),IF('r1'!A287&gt;0,HYPERLINK("#"&amp;ADDRESS(287,'r1'!A287),""),""))</f>
        <v/>
      </c>
      <c r="C287" s="13"/>
      <c r="D287" s="14"/>
      <c r="E287" s="15"/>
      <c r="F287" s="16"/>
      <c r="G287" s="17"/>
      <c r="H287" s="18"/>
      <c r="I287" s="19"/>
      <c r="J287" s="20"/>
      <c r="K287" s="21"/>
      <c r="L287" s="22"/>
      <c r="M287" s="23"/>
      <c r="N287" s="24"/>
      <c r="O287" s="25"/>
      <c r="P287" s="26"/>
      <c r="Q287" s="27"/>
      <c r="R287" s="28"/>
      <c r="S287" s="29"/>
      <c r="T287" s="30"/>
    </row>
    <row r="288" spans="1:20" ht="24" customHeight="1" x14ac:dyDescent="0.25">
      <c r="A288" t="str">
        <f>IF('e1'!A288&gt;0,HYPERLINK("#"&amp;ADDRESS(288,'e1'!A288),""),IF('r1'!A288&gt;0,HYPERLINK("#"&amp;ADDRESS(288,'r1'!A288),""),""))</f>
        <v/>
      </c>
      <c r="C288" s="13"/>
      <c r="D288" s="14"/>
      <c r="E288" s="15"/>
      <c r="F288" s="16"/>
      <c r="G288" s="17"/>
      <c r="H288" s="18"/>
      <c r="I288" s="19"/>
      <c r="J288" s="20"/>
      <c r="K288" s="21"/>
      <c r="L288" s="22"/>
      <c r="M288" s="23"/>
      <c r="N288" s="24"/>
      <c r="O288" s="25"/>
      <c r="P288" s="26"/>
      <c r="Q288" s="27"/>
      <c r="R288" s="28"/>
      <c r="S288" s="29"/>
      <c r="T288" s="30"/>
    </row>
    <row r="289" spans="1:20" ht="24" customHeight="1" x14ac:dyDescent="0.25">
      <c r="A289" t="str">
        <f>IF('e1'!A289&gt;0,HYPERLINK("#"&amp;ADDRESS(289,'e1'!A289),""),IF('r1'!A289&gt;0,HYPERLINK("#"&amp;ADDRESS(289,'r1'!A289),""),""))</f>
        <v/>
      </c>
      <c r="C289" s="13"/>
      <c r="D289" s="14"/>
      <c r="E289" s="15"/>
      <c r="F289" s="16"/>
      <c r="G289" s="17"/>
      <c r="H289" s="18"/>
      <c r="I289" s="19"/>
      <c r="J289" s="20"/>
      <c r="K289" s="21"/>
      <c r="L289" s="22"/>
      <c r="M289" s="23"/>
      <c r="N289" s="24"/>
      <c r="O289" s="25"/>
      <c r="P289" s="26"/>
      <c r="Q289" s="27"/>
      <c r="R289" s="28"/>
      <c r="S289" s="29"/>
      <c r="T289" s="30"/>
    </row>
    <row r="290" spans="1:20" ht="24" customHeight="1" x14ac:dyDescent="0.25">
      <c r="A290" t="str">
        <f>IF('e1'!A290&gt;0,HYPERLINK("#"&amp;ADDRESS(290,'e1'!A290),""),IF('r1'!A290&gt;0,HYPERLINK("#"&amp;ADDRESS(290,'r1'!A290),""),""))</f>
        <v/>
      </c>
      <c r="C290" s="13"/>
      <c r="D290" s="14"/>
      <c r="E290" s="15"/>
      <c r="F290" s="16"/>
      <c r="G290" s="17"/>
      <c r="H290" s="18"/>
      <c r="I290" s="19"/>
      <c r="J290" s="20"/>
      <c r="K290" s="21"/>
      <c r="L290" s="22"/>
      <c r="M290" s="23"/>
      <c r="N290" s="24"/>
      <c r="O290" s="25"/>
      <c r="P290" s="26"/>
      <c r="Q290" s="27"/>
      <c r="R290" s="28"/>
      <c r="S290" s="29"/>
      <c r="T290" s="30"/>
    </row>
    <row r="291" spans="1:20" ht="24" customHeight="1" x14ac:dyDescent="0.25">
      <c r="A291" t="str">
        <f>IF('e1'!A291&gt;0,HYPERLINK("#"&amp;ADDRESS(291,'e1'!A291),""),IF('r1'!A291&gt;0,HYPERLINK("#"&amp;ADDRESS(291,'r1'!A291),""),""))</f>
        <v/>
      </c>
      <c r="C291" s="13"/>
      <c r="D291" s="14"/>
      <c r="E291" s="15"/>
      <c r="F291" s="16"/>
      <c r="G291" s="17"/>
      <c r="H291" s="18"/>
      <c r="I291" s="19"/>
      <c r="J291" s="20"/>
      <c r="K291" s="21"/>
      <c r="L291" s="22"/>
      <c r="M291" s="23"/>
      <c r="N291" s="24"/>
      <c r="O291" s="25"/>
      <c r="P291" s="26"/>
      <c r="Q291" s="27"/>
      <c r="R291" s="28"/>
      <c r="S291" s="29"/>
      <c r="T291" s="30"/>
    </row>
    <row r="292" spans="1:20" ht="24" customHeight="1" x14ac:dyDescent="0.25">
      <c r="A292" t="str">
        <f>IF('e1'!A292&gt;0,HYPERLINK("#"&amp;ADDRESS(292,'e1'!A292),""),IF('r1'!A292&gt;0,HYPERLINK("#"&amp;ADDRESS(292,'r1'!A292),""),""))</f>
        <v/>
      </c>
      <c r="C292" s="13"/>
      <c r="D292" s="14"/>
      <c r="E292" s="15"/>
      <c r="F292" s="16"/>
      <c r="G292" s="17"/>
      <c r="H292" s="18"/>
      <c r="I292" s="19"/>
      <c r="J292" s="20"/>
      <c r="K292" s="21"/>
      <c r="L292" s="22"/>
      <c r="M292" s="23"/>
      <c r="N292" s="24"/>
      <c r="O292" s="25"/>
      <c r="P292" s="26"/>
      <c r="Q292" s="27"/>
      <c r="R292" s="28"/>
      <c r="S292" s="29"/>
      <c r="T292" s="30"/>
    </row>
    <row r="293" spans="1:20" ht="24" customHeight="1" x14ac:dyDescent="0.25">
      <c r="A293" t="str">
        <f>IF('e1'!A293&gt;0,HYPERLINK("#"&amp;ADDRESS(293,'e1'!A293),""),IF('r1'!A293&gt;0,HYPERLINK("#"&amp;ADDRESS(293,'r1'!A293),""),""))</f>
        <v/>
      </c>
      <c r="C293" s="13"/>
      <c r="D293" s="14"/>
      <c r="E293" s="15"/>
      <c r="F293" s="16"/>
      <c r="G293" s="17"/>
      <c r="H293" s="18"/>
      <c r="I293" s="19"/>
      <c r="J293" s="20"/>
      <c r="K293" s="21"/>
      <c r="L293" s="22"/>
      <c r="M293" s="23"/>
      <c r="N293" s="24"/>
      <c r="O293" s="25"/>
      <c r="P293" s="26"/>
      <c r="Q293" s="27"/>
      <c r="R293" s="28"/>
      <c r="S293" s="29"/>
      <c r="T293" s="30"/>
    </row>
    <row r="294" spans="1:20" ht="24" customHeight="1" x14ac:dyDescent="0.25">
      <c r="A294" t="str">
        <f>IF('e1'!A294&gt;0,HYPERLINK("#"&amp;ADDRESS(294,'e1'!A294),""),IF('r1'!A294&gt;0,HYPERLINK("#"&amp;ADDRESS(294,'r1'!A294),""),""))</f>
        <v/>
      </c>
      <c r="C294" s="13"/>
      <c r="D294" s="14"/>
      <c r="E294" s="15"/>
      <c r="F294" s="16"/>
      <c r="G294" s="17"/>
      <c r="H294" s="18"/>
      <c r="I294" s="19"/>
      <c r="J294" s="20"/>
      <c r="K294" s="21"/>
      <c r="L294" s="22"/>
      <c r="M294" s="23"/>
      <c r="N294" s="24"/>
      <c r="O294" s="25"/>
      <c r="P294" s="26"/>
      <c r="Q294" s="27"/>
      <c r="R294" s="28"/>
      <c r="S294" s="29"/>
      <c r="T294" s="30"/>
    </row>
    <row r="295" spans="1:20" ht="24" customHeight="1" x14ac:dyDescent="0.25">
      <c r="A295" t="str">
        <f>IF('e1'!A295&gt;0,HYPERLINK("#"&amp;ADDRESS(295,'e1'!A295),""),IF('r1'!A295&gt;0,HYPERLINK("#"&amp;ADDRESS(295,'r1'!A295),""),""))</f>
        <v/>
      </c>
      <c r="C295" s="13"/>
      <c r="D295" s="14"/>
      <c r="E295" s="15"/>
      <c r="F295" s="16"/>
      <c r="G295" s="17"/>
      <c r="H295" s="18"/>
      <c r="I295" s="19"/>
      <c r="J295" s="20"/>
      <c r="K295" s="21"/>
      <c r="L295" s="22"/>
      <c r="M295" s="23"/>
      <c r="N295" s="24"/>
      <c r="O295" s="25"/>
      <c r="P295" s="26"/>
      <c r="Q295" s="27"/>
      <c r="R295" s="28"/>
      <c r="S295" s="29"/>
      <c r="T295" s="30"/>
    </row>
    <row r="296" spans="1:20" ht="24" customHeight="1" x14ac:dyDescent="0.25">
      <c r="A296" t="str">
        <f>IF('e1'!A296&gt;0,HYPERLINK("#"&amp;ADDRESS(296,'e1'!A296),""),IF('r1'!A296&gt;0,HYPERLINK("#"&amp;ADDRESS(296,'r1'!A296),""),""))</f>
        <v/>
      </c>
      <c r="C296" s="13"/>
      <c r="D296" s="14"/>
      <c r="E296" s="15"/>
      <c r="F296" s="16"/>
      <c r="G296" s="17"/>
      <c r="H296" s="18"/>
      <c r="I296" s="19"/>
      <c r="J296" s="20"/>
      <c r="K296" s="21"/>
      <c r="L296" s="22"/>
      <c r="M296" s="23"/>
      <c r="N296" s="24"/>
      <c r="O296" s="25"/>
      <c r="P296" s="26"/>
      <c r="Q296" s="27"/>
      <c r="R296" s="28"/>
      <c r="S296" s="29"/>
      <c r="T296" s="30"/>
    </row>
    <row r="297" spans="1:20" ht="24" customHeight="1" x14ac:dyDescent="0.25">
      <c r="A297" t="str">
        <f>IF('e1'!A297&gt;0,HYPERLINK("#"&amp;ADDRESS(297,'e1'!A297),""),IF('r1'!A297&gt;0,HYPERLINK("#"&amp;ADDRESS(297,'r1'!A297),""),""))</f>
        <v/>
      </c>
      <c r="C297" s="13"/>
      <c r="D297" s="14"/>
      <c r="E297" s="15"/>
      <c r="F297" s="16"/>
      <c r="G297" s="17"/>
      <c r="H297" s="18"/>
      <c r="I297" s="19"/>
      <c r="J297" s="20"/>
      <c r="K297" s="21"/>
      <c r="L297" s="22"/>
      <c r="M297" s="23"/>
      <c r="N297" s="24"/>
      <c r="O297" s="25"/>
      <c r="P297" s="26"/>
      <c r="Q297" s="27"/>
      <c r="R297" s="28"/>
      <c r="S297" s="29"/>
      <c r="T297" s="30"/>
    </row>
    <row r="298" spans="1:20" ht="24" customHeight="1" x14ac:dyDescent="0.25">
      <c r="A298" t="str">
        <f>IF('e1'!A298&gt;0,HYPERLINK("#"&amp;ADDRESS(298,'e1'!A298),""),IF('r1'!A298&gt;0,HYPERLINK("#"&amp;ADDRESS(298,'r1'!A298),""),""))</f>
        <v/>
      </c>
      <c r="C298" s="13"/>
      <c r="D298" s="14"/>
      <c r="E298" s="15"/>
      <c r="F298" s="16"/>
      <c r="G298" s="17"/>
      <c r="H298" s="18"/>
      <c r="I298" s="19"/>
      <c r="J298" s="20"/>
      <c r="K298" s="21"/>
      <c r="L298" s="22"/>
      <c r="M298" s="23"/>
      <c r="N298" s="24"/>
      <c r="O298" s="25"/>
      <c r="P298" s="26"/>
      <c r="Q298" s="27"/>
      <c r="R298" s="28"/>
      <c r="S298" s="29"/>
      <c r="T298" s="30"/>
    </row>
    <row r="299" spans="1:20" ht="24" customHeight="1" x14ac:dyDescent="0.25">
      <c r="A299" t="str">
        <f>IF('e1'!A299&gt;0,HYPERLINK("#"&amp;ADDRESS(299,'e1'!A299),""),IF('r1'!A299&gt;0,HYPERLINK("#"&amp;ADDRESS(299,'r1'!A299),""),""))</f>
        <v/>
      </c>
      <c r="C299" s="13"/>
      <c r="D299" s="14"/>
      <c r="E299" s="15"/>
      <c r="F299" s="16"/>
      <c r="G299" s="17"/>
      <c r="H299" s="18"/>
      <c r="I299" s="19"/>
      <c r="J299" s="20"/>
      <c r="K299" s="21"/>
      <c r="L299" s="22"/>
      <c r="M299" s="23"/>
      <c r="N299" s="24"/>
      <c r="O299" s="25"/>
      <c r="P299" s="26"/>
      <c r="Q299" s="27"/>
      <c r="R299" s="28"/>
      <c r="S299" s="29"/>
      <c r="T299" s="30"/>
    </row>
    <row r="300" spans="1:20" ht="24" customHeight="1" x14ac:dyDescent="0.25">
      <c r="A300" t="str">
        <f>IF('e1'!A300&gt;0,HYPERLINK("#"&amp;ADDRESS(300,'e1'!A300),""),IF('r1'!A300&gt;0,HYPERLINK("#"&amp;ADDRESS(300,'r1'!A300),""),""))</f>
        <v/>
      </c>
      <c r="C300" s="13"/>
      <c r="D300" s="14"/>
      <c r="E300" s="15"/>
      <c r="F300" s="16"/>
      <c r="G300" s="17"/>
      <c r="H300" s="18"/>
      <c r="I300" s="19"/>
      <c r="J300" s="20"/>
      <c r="K300" s="21"/>
      <c r="L300" s="22"/>
      <c r="M300" s="23"/>
      <c r="N300" s="24"/>
      <c r="O300" s="25"/>
      <c r="P300" s="26"/>
      <c r="Q300" s="27"/>
      <c r="R300" s="28"/>
      <c r="S300" s="29"/>
      <c r="T300" s="30"/>
    </row>
    <row r="301" spans="1:20" ht="24" customHeight="1" x14ac:dyDescent="0.25">
      <c r="A301" t="str">
        <f>IF('e1'!A301&gt;0,HYPERLINK("#"&amp;ADDRESS(301,'e1'!A301),""),IF('r1'!A301&gt;0,HYPERLINK("#"&amp;ADDRESS(301,'r1'!A301),""),""))</f>
        <v/>
      </c>
      <c r="C301" s="13"/>
      <c r="D301" s="14"/>
      <c r="E301" s="15"/>
      <c r="F301" s="16"/>
      <c r="G301" s="17"/>
      <c r="H301" s="18"/>
      <c r="I301" s="19"/>
      <c r="J301" s="20"/>
      <c r="K301" s="21"/>
      <c r="L301" s="22"/>
      <c r="M301" s="23"/>
      <c r="N301" s="24"/>
      <c r="O301" s="25"/>
      <c r="P301" s="26"/>
      <c r="Q301" s="27"/>
      <c r="R301" s="28"/>
      <c r="S301" s="29"/>
      <c r="T301" s="30"/>
    </row>
    <row r="302" spans="1:20" ht="24" customHeight="1" x14ac:dyDescent="0.25">
      <c r="A302" t="str">
        <f>IF('e1'!A302&gt;0,HYPERLINK("#"&amp;ADDRESS(302,'e1'!A302),""),IF('r1'!A302&gt;0,HYPERLINK("#"&amp;ADDRESS(302,'r1'!A302),""),""))</f>
        <v/>
      </c>
      <c r="C302" s="13"/>
      <c r="D302" s="14"/>
      <c r="E302" s="15"/>
      <c r="F302" s="16"/>
      <c r="G302" s="17"/>
      <c r="H302" s="18"/>
      <c r="I302" s="19"/>
      <c r="J302" s="20"/>
      <c r="K302" s="21"/>
      <c r="L302" s="22"/>
      <c r="M302" s="23"/>
      <c r="N302" s="24"/>
      <c r="O302" s="25"/>
      <c r="P302" s="26"/>
      <c r="Q302" s="27"/>
      <c r="R302" s="28"/>
      <c r="S302" s="29"/>
      <c r="T302" s="30"/>
    </row>
    <row r="303" spans="1:20" ht="24" customHeight="1" x14ac:dyDescent="0.25">
      <c r="A303" t="str">
        <f>IF('e1'!A303&gt;0,HYPERLINK("#"&amp;ADDRESS(303,'e1'!A303),""),IF('r1'!A303&gt;0,HYPERLINK("#"&amp;ADDRESS(303,'r1'!A303),""),""))</f>
        <v/>
      </c>
      <c r="C303" s="13"/>
      <c r="D303" s="14"/>
      <c r="E303" s="15"/>
      <c r="F303" s="16"/>
      <c r="G303" s="17"/>
      <c r="H303" s="18"/>
      <c r="I303" s="19"/>
      <c r="J303" s="20"/>
      <c r="K303" s="21"/>
      <c r="L303" s="22"/>
      <c r="M303" s="23"/>
      <c r="N303" s="24"/>
      <c r="O303" s="25"/>
      <c r="P303" s="26"/>
      <c r="Q303" s="27"/>
      <c r="R303" s="28"/>
      <c r="S303" s="29"/>
      <c r="T303" s="30"/>
    </row>
    <row r="304" spans="1:20" ht="24" customHeight="1" x14ac:dyDescent="0.25">
      <c r="A304" t="str">
        <f>IF('e1'!A304&gt;0,HYPERLINK("#"&amp;ADDRESS(304,'e1'!A304),""),IF('r1'!A304&gt;0,HYPERLINK("#"&amp;ADDRESS(304,'r1'!A304),""),""))</f>
        <v/>
      </c>
      <c r="C304" s="13"/>
      <c r="D304" s="14"/>
      <c r="E304" s="15"/>
      <c r="F304" s="16"/>
      <c r="G304" s="17"/>
      <c r="H304" s="18"/>
      <c r="I304" s="19"/>
      <c r="J304" s="20"/>
      <c r="K304" s="21"/>
      <c r="L304" s="22"/>
      <c r="M304" s="23"/>
      <c r="N304" s="24"/>
      <c r="O304" s="25"/>
      <c r="P304" s="26"/>
      <c r="Q304" s="27"/>
      <c r="R304" s="28"/>
      <c r="S304" s="29"/>
      <c r="T304" s="30"/>
    </row>
    <row r="305" spans="1:20" ht="24" customHeight="1" x14ac:dyDescent="0.25">
      <c r="A305" t="str">
        <f>IF('e1'!A305&gt;0,HYPERLINK("#"&amp;ADDRESS(305,'e1'!A305),""),IF('r1'!A305&gt;0,HYPERLINK("#"&amp;ADDRESS(305,'r1'!A305),""),""))</f>
        <v/>
      </c>
      <c r="C305" s="13"/>
      <c r="D305" s="14"/>
      <c r="E305" s="15"/>
      <c r="F305" s="16"/>
      <c r="G305" s="17"/>
      <c r="H305" s="18"/>
      <c r="I305" s="19"/>
      <c r="J305" s="20"/>
      <c r="K305" s="21"/>
      <c r="L305" s="22"/>
      <c r="M305" s="23"/>
      <c r="N305" s="24"/>
      <c r="O305" s="25"/>
      <c r="P305" s="26"/>
      <c r="Q305" s="27"/>
      <c r="R305" s="28"/>
      <c r="S305" s="29"/>
      <c r="T305" s="30"/>
    </row>
    <row r="306" spans="1:20" ht="24" customHeight="1" x14ac:dyDescent="0.25">
      <c r="A306" t="str">
        <f>IF('e1'!A306&gt;0,HYPERLINK("#"&amp;ADDRESS(306,'e1'!A306),""),IF('r1'!A306&gt;0,HYPERLINK("#"&amp;ADDRESS(306,'r1'!A306),""),""))</f>
        <v/>
      </c>
      <c r="C306" s="13"/>
      <c r="D306" s="14"/>
      <c r="E306" s="15"/>
      <c r="F306" s="16"/>
      <c r="G306" s="17"/>
      <c r="H306" s="18"/>
      <c r="I306" s="19"/>
      <c r="J306" s="20"/>
      <c r="K306" s="21"/>
      <c r="L306" s="22"/>
      <c r="M306" s="23"/>
      <c r="N306" s="24"/>
      <c r="O306" s="25"/>
      <c r="P306" s="26"/>
      <c r="Q306" s="27"/>
      <c r="R306" s="28"/>
      <c r="S306" s="29"/>
      <c r="T306" s="30"/>
    </row>
    <row r="307" spans="1:20" ht="24" customHeight="1" x14ac:dyDescent="0.25">
      <c r="A307" t="str">
        <f>IF('e1'!A307&gt;0,HYPERLINK("#"&amp;ADDRESS(307,'e1'!A307),""),IF('r1'!A307&gt;0,HYPERLINK("#"&amp;ADDRESS(307,'r1'!A307),""),""))</f>
        <v/>
      </c>
      <c r="C307" s="13"/>
      <c r="D307" s="14"/>
      <c r="E307" s="15"/>
      <c r="F307" s="16"/>
      <c r="G307" s="17"/>
      <c r="H307" s="18"/>
      <c r="I307" s="19"/>
      <c r="J307" s="20"/>
      <c r="K307" s="21"/>
      <c r="L307" s="22"/>
      <c r="M307" s="23"/>
      <c r="N307" s="24"/>
      <c r="O307" s="25"/>
      <c r="P307" s="26"/>
      <c r="Q307" s="27"/>
      <c r="R307" s="28"/>
      <c r="S307" s="29"/>
      <c r="T307" s="30"/>
    </row>
    <row r="308" spans="1:20" ht="24" customHeight="1" x14ac:dyDescent="0.25">
      <c r="A308" t="str">
        <f>IF('e1'!A308&gt;0,HYPERLINK("#"&amp;ADDRESS(308,'e1'!A308),""),IF('r1'!A308&gt;0,HYPERLINK("#"&amp;ADDRESS(308,'r1'!A308),""),""))</f>
        <v/>
      </c>
      <c r="C308" s="13"/>
      <c r="D308" s="14"/>
      <c r="E308" s="15"/>
      <c r="F308" s="16"/>
      <c r="G308" s="17"/>
      <c r="H308" s="18"/>
      <c r="I308" s="19"/>
      <c r="J308" s="20"/>
      <c r="K308" s="21"/>
      <c r="L308" s="22"/>
      <c r="M308" s="23"/>
      <c r="N308" s="24"/>
      <c r="O308" s="25"/>
      <c r="P308" s="26"/>
      <c r="Q308" s="27"/>
      <c r="R308" s="28"/>
      <c r="S308" s="29"/>
      <c r="T308" s="30"/>
    </row>
    <row r="309" spans="1:20" ht="24" customHeight="1" x14ac:dyDescent="0.25">
      <c r="A309" t="str">
        <f>IF('e1'!A309&gt;0,HYPERLINK("#"&amp;ADDRESS(309,'e1'!A309),""),IF('r1'!A309&gt;0,HYPERLINK("#"&amp;ADDRESS(309,'r1'!A309),""),""))</f>
        <v/>
      </c>
      <c r="C309" s="13"/>
      <c r="D309" s="14"/>
      <c r="E309" s="15"/>
      <c r="F309" s="16"/>
      <c r="G309" s="17"/>
      <c r="H309" s="18"/>
      <c r="I309" s="19"/>
      <c r="J309" s="20"/>
      <c r="K309" s="21"/>
      <c r="L309" s="22"/>
      <c r="M309" s="23"/>
      <c r="N309" s="24"/>
      <c r="O309" s="25"/>
      <c r="P309" s="26"/>
      <c r="Q309" s="27"/>
      <c r="R309" s="28"/>
      <c r="S309" s="29"/>
      <c r="T309" s="30"/>
    </row>
    <row r="310" spans="1:20" ht="24" customHeight="1" x14ac:dyDescent="0.25">
      <c r="A310" t="str">
        <f>IF('e1'!A310&gt;0,HYPERLINK("#"&amp;ADDRESS(310,'e1'!A310),""),IF('r1'!A310&gt;0,HYPERLINK("#"&amp;ADDRESS(310,'r1'!A310),""),""))</f>
        <v/>
      </c>
      <c r="C310" s="13"/>
      <c r="D310" s="14"/>
      <c r="E310" s="15"/>
      <c r="F310" s="16"/>
      <c r="G310" s="17"/>
      <c r="H310" s="18"/>
      <c r="I310" s="19"/>
      <c r="J310" s="20"/>
      <c r="K310" s="21"/>
      <c r="L310" s="22"/>
      <c r="M310" s="23"/>
      <c r="N310" s="24"/>
      <c r="O310" s="25"/>
      <c r="P310" s="26"/>
      <c r="Q310" s="27"/>
      <c r="R310" s="28"/>
      <c r="S310" s="29"/>
      <c r="T310" s="30"/>
    </row>
    <row r="311" spans="1:20" ht="24" customHeight="1" x14ac:dyDescent="0.25">
      <c r="A311" t="str">
        <f>IF('e1'!A311&gt;0,HYPERLINK("#"&amp;ADDRESS(311,'e1'!A311),""),IF('r1'!A311&gt;0,HYPERLINK("#"&amp;ADDRESS(311,'r1'!A311),""),""))</f>
        <v/>
      </c>
      <c r="C311" s="13"/>
      <c r="D311" s="14"/>
      <c r="E311" s="15"/>
      <c r="F311" s="16"/>
      <c r="G311" s="17"/>
      <c r="H311" s="18"/>
      <c r="I311" s="19"/>
      <c r="J311" s="20"/>
      <c r="K311" s="21"/>
      <c r="L311" s="22"/>
      <c r="M311" s="23"/>
      <c r="N311" s="24"/>
      <c r="O311" s="25"/>
      <c r="P311" s="26"/>
      <c r="Q311" s="27"/>
      <c r="R311" s="28"/>
      <c r="S311" s="29"/>
      <c r="T311" s="30"/>
    </row>
    <row r="312" spans="1:20" ht="24" customHeight="1" x14ac:dyDescent="0.25">
      <c r="A312" t="str">
        <f>IF('e1'!A312&gt;0,HYPERLINK("#"&amp;ADDRESS(312,'e1'!A312),""),IF('r1'!A312&gt;0,HYPERLINK("#"&amp;ADDRESS(312,'r1'!A312),""),""))</f>
        <v/>
      </c>
      <c r="C312" s="13"/>
      <c r="D312" s="14"/>
      <c r="E312" s="15"/>
      <c r="F312" s="16"/>
      <c r="G312" s="17"/>
      <c r="H312" s="18"/>
      <c r="I312" s="19"/>
      <c r="J312" s="20"/>
      <c r="K312" s="21"/>
      <c r="L312" s="22"/>
      <c r="M312" s="23"/>
      <c r="N312" s="24"/>
      <c r="O312" s="25"/>
      <c r="P312" s="26"/>
      <c r="Q312" s="27"/>
      <c r="R312" s="28"/>
      <c r="S312" s="29"/>
      <c r="T312" s="30"/>
    </row>
    <row r="313" spans="1:20" ht="24" customHeight="1" x14ac:dyDescent="0.25">
      <c r="A313" t="str">
        <f>IF('e1'!A313&gt;0,HYPERLINK("#"&amp;ADDRESS(313,'e1'!A313),""),IF('r1'!A313&gt;0,HYPERLINK("#"&amp;ADDRESS(313,'r1'!A313),""),""))</f>
        <v/>
      </c>
      <c r="C313" s="13"/>
      <c r="D313" s="14"/>
      <c r="E313" s="15"/>
      <c r="F313" s="16"/>
      <c r="G313" s="17"/>
      <c r="H313" s="18"/>
      <c r="I313" s="19"/>
      <c r="J313" s="20"/>
      <c r="K313" s="21"/>
      <c r="L313" s="22"/>
      <c r="M313" s="23"/>
      <c r="N313" s="24"/>
      <c r="O313" s="25"/>
      <c r="P313" s="26"/>
      <c r="Q313" s="27"/>
      <c r="R313" s="28"/>
      <c r="S313" s="29"/>
      <c r="T313" s="30"/>
    </row>
    <row r="314" spans="1:20" ht="24" customHeight="1" x14ac:dyDescent="0.25">
      <c r="A314" t="str">
        <f>IF('e1'!A314&gt;0,HYPERLINK("#"&amp;ADDRESS(314,'e1'!A314),""),IF('r1'!A314&gt;0,HYPERLINK("#"&amp;ADDRESS(314,'r1'!A314),""),""))</f>
        <v/>
      </c>
      <c r="C314" s="13"/>
      <c r="D314" s="14"/>
      <c r="E314" s="15"/>
      <c r="F314" s="16"/>
      <c r="G314" s="17"/>
      <c r="H314" s="18"/>
      <c r="I314" s="19"/>
      <c r="J314" s="20"/>
      <c r="K314" s="21"/>
      <c r="L314" s="22"/>
      <c r="M314" s="23"/>
      <c r="N314" s="24"/>
      <c r="O314" s="25"/>
      <c r="P314" s="26"/>
      <c r="Q314" s="27"/>
      <c r="R314" s="28"/>
      <c r="S314" s="29"/>
      <c r="T314" s="30"/>
    </row>
    <row r="315" spans="1:20" ht="24" customHeight="1" x14ac:dyDescent="0.25">
      <c r="A315" t="str">
        <f>IF('e1'!A315&gt;0,HYPERLINK("#"&amp;ADDRESS(315,'e1'!A315),""),IF('r1'!A315&gt;0,HYPERLINK("#"&amp;ADDRESS(315,'r1'!A315),""),""))</f>
        <v/>
      </c>
      <c r="C315" s="13"/>
      <c r="D315" s="14"/>
      <c r="E315" s="15"/>
      <c r="F315" s="16"/>
      <c r="G315" s="17"/>
      <c r="H315" s="18"/>
      <c r="I315" s="19"/>
      <c r="J315" s="20"/>
      <c r="K315" s="21"/>
      <c r="L315" s="22"/>
      <c r="M315" s="23"/>
      <c r="N315" s="24"/>
      <c r="O315" s="25"/>
      <c r="P315" s="26"/>
      <c r="Q315" s="27"/>
      <c r="R315" s="28"/>
      <c r="S315" s="29"/>
      <c r="T315" s="30"/>
    </row>
    <row r="316" spans="1:20" ht="24" customHeight="1" x14ac:dyDescent="0.25">
      <c r="A316" t="str">
        <f>IF('e1'!A316&gt;0,HYPERLINK("#"&amp;ADDRESS(316,'e1'!A316),""),IF('r1'!A316&gt;0,HYPERLINK("#"&amp;ADDRESS(316,'r1'!A316),""),""))</f>
        <v/>
      </c>
      <c r="C316" s="13"/>
      <c r="D316" s="14"/>
      <c r="E316" s="15"/>
      <c r="F316" s="16"/>
      <c r="G316" s="17"/>
      <c r="H316" s="18"/>
      <c r="I316" s="19"/>
      <c r="J316" s="20"/>
      <c r="K316" s="21"/>
      <c r="L316" s="22"/>
      <c r="M316" s="23"/>
      <c r="N316" s="24"/>
      <c r="O316" s="25"/>
      <c r="P316" s="26"/>
      <c r="Q316" s="27"/>
      <c r="R316" s="28"/>
      <c r="S316" s="29"/>
      <c r="T316" s="30"/>
    </row>
    <row r="317" spans="1:20" ht="24" customHeight="1" x14ac:dyDescent="0.25">
      <c r="A317" t="str">
        <f>IF('e1'!A317&gt;0,HYPERLINK("#"&amp;ADDRESS(317,'e1'!A317),""),IF('r1'!A317&gt;0,HYPERLINK("#"&amp;ADDRESS(317,'r1'!A317),""),""))</f>
        <v/>
      </c>
      <c r="C317" s="13"/>
      <c r="D317" s="14"/>
      <c r="E317" s="15"/>
      <c r="F317" s="16"/>
      <c r="G317" s="17"/>
      <c r="H317" s="18"/>
      <c r="I317" s="19"/>
      <c r="J317" s="20"/>
      <c r="K317" s="21"/>
      <c r="L317" s="22"/>
      <c r="M317" s="23"/>
      <c r="N317" s="24"/>
      <c r="O317" s="25"/>
      <c r="P317" s="26"/>
      <c r="Q317" s="27"/>
      <c r="R317" s="28"/>
      <c r="S317" s="29"/>
      <c r="T317" s="30"/>
    </row>
    <row r="318" spans="1:20" ht="24" customHeight="1" x14ac:dyDescent="0.25">
      <c r="A318" t="str">
        <f>IF('e1'!A318&gt;0,HYPERLINK("#"&amp;ADDRESS(318,'e1'!A318),""),IF('r1'!A318&gt;0,HYPERLINK("#"&amp;ADDRESS(318,'r1'!A318),""),""))</f>
        <v/>
      </c>
      <c r="C318" s="13"/>
      <c r="D318" s="14"/>
      <c r="E318" s="15"/>
      <c r="F318" s="16"/>
      <c r="G318" s="17"/>
      <c r="H318" s="18"/>
      <c r="I318" s="19"/>
      <c r="J318" s="20"/>
      <c r="K318" s="21"/>
      <c r="L318" s="22"/>
      <c r="M318" s="23"/>
      <c r="N318" s="24"/>
      <c r="O318" s="25"/>
      <c r="P318" s="26"/>
      <c r="Q318" s="27"/>
      <c r="R318" s="28"/>
      <c r="S318" s="29"/>
      <c r="T318" s="30"/>
    </row>
    <row r="319" spans="1:20" ht="24" customHeight="1" x14ac:dyDescent="0.25">
      <c r="A319" t="str">
        <f>IF('e1'!A319&gt;0,HYPERLINK("#"&amp;ADDRESS(319,'e1'!A319),""),IF('r1'!A319&gt;0,HYPERLINK("#"&amp;ADDRESS(319,'r1'!A319),""),""))</f>
        <v/>
      </c>
      <c r="C319" s="13"/>
      <c r="D319" s="14"/>
      <c r="E319" s="15"/>
      <c r="F319" s="16"/>
      <c r="G319" s="17"/>
      <c r="H319" s="18"/>
      <c r="I319" s="19"/>
      <c r="J319" s="20"/>
      <c r="K319" s="21"/>
      <c r="L319" s="22"/>
      <c r="M319" s="23"/>
      <c r="N319" s="24"/>
      <c r="O319" s="25"/>
      <c r="P319" s="26"/>
      <c r="Q319" s="27"/>
      <c r="R319" s="28"/>
      <c r="S319" s="29"/>
      <c r="T319" s="30"/>
    </row>
    <row r="320" spans="1:20" ht="24" customHeight="1" x14ac:dyDescent="0.25">
      <c r="A320" t="str">
        <f>IF('e1'!A320&gt;0,HYPERLINK("#"&amp;ADDRESS(320,'e1'!A320),""),IF('r1'!A320&gt;0,HYPERLINK("#"&amp;ADDRESS(320,'r1'!A320),""),""))</f>
        <v/>
      </c>
      <c r="C320" s="13"/>
      <c r="D320" s="14"/>
      <c r="E320" s="15"/>
      <c r="F320" s="16"/>
      <c r="G320" s="17"/>
      <c r="H320" s="18"/>
      <c r="I320" s="19"/>
      <c r="J320" s="20"/>
      <c r="K320" s="21"/>
      <c r="L320" s="22"/>
      <c r="M320" s="23"/>
      <c r="N320" s="24"/>
      <c r="O320" s="25"/>
      <c r="P320" s="26"/>
      <c r="Q320" s="27"/>
      <c r="R320" s="28"/>
      <c r="S320" s="29"/>
      <c r="T320" s="30"/>
    </row>
    <row r="321" spans="1:20" ht="24" customHeight="1" x14ac:dyDescent="0.25">
      <c r="A321" t="str">
        <f>IF('e1'!A321&gt;0,HYPERLINK("#"&amp;ADDRESS(321,'e1'!A321),""),IF('r1'!A321&gt;0,HYPERLINK("#"&amp;ADDRESS(321,'r1'!A321),""),""))</f>
        <v/>
      </c>
      <c r="C321" s="13"/>
      <c r="D321" s="14"/>
      <c r="E321" s="15"/>
      <c r="F321" s="16"/>
      <c r="G321" s="17"/>
      <c r="H321" s="18"/>
      <c r="I321" s="19"/>
      <c r="J321" s="20"/>
      <c r="K321" s="21"/>
      <c r="L321" s="22"/>
      <c r="M321" s="23"/>
      <c r="N321" s="24"/>
      <c r="O321" s="25"/>
      <c r="P321" s="26"/>
      <c r="Q321" s="27"/>
      <c r="R321" s="28"/>
      <c r="S321" s="29"/>
      <c r="T321" s="30"/>
    </row>
    <row r="322" spans="1:20" ht="24" customHeight="1" x14ac:dyDescent="0.25">
      <c r="A322" t="str">
        <f>IF('e1'!A322&gt;0,HYPERLINK("#"&amp;ADDRESS(322,'e1'!A322),""),IF('r1'!A322&gt;0,HYPERLINK("#"&amp;ADDRESS(322,'r1'!A322),""),""))</f>
        <v/>
      </c>
      <c r="C322" s="13"/>
      <c r="D322" s="14"/>
      <c r="E322" s="15"/>
      <c r="F322" s="16"/>
      <c r="G322" s="17"/>
      <c r="H322" s="18"/>
      <c r="I322" s="19"/>
      <c r="J322" s="20"/>
      <c r="K322" s="21"/>
      <c r="L322" s="22"/>
      <c r="M322" s="23"/>
      <c r="N322" s="24"/>
      <c r="O322" s="25"/>
      <c r="P322" s="26"/>
      <c r="Q322" s="27"/>
      <c r="R322" s="28"/>
      <c r="S322" s="29"/>
      <c r="T322" s="30"/>
    </row>
    <row r="323" spans="1:20" ht="24" customHeight="1" x14ac:dyDescent="0.25">
      <c r="A323" t="str">
        <f>IF('e1'!A323&gt;0,HYPERLINK("#"&amp;ADDRESS(323,'e1'!A323),""),IF('r1'!A323&gt;0,HYPERLINK("#"&amp;ADDRESS(323,'r1'!A323),""),""))</f>
        <v/>
      </c>
      <c r="C323" s="13"/>
      <c r="D323" s="14"/>
      <c r="E323" s="15"/>
      <c r="F323" s="16"/>
      <c r="G323" s="17"/>
      <c r="H323" s="18"/>
      <c r="I323" s="19"/>
      <c r="J323" s="20"/>
      <c r="K323" s="21"/>
      <c r="L323" s="22"/>
      <c r="M323" s="23"/>
      <c r="N323" s="24"/>
      <c r="O323" s="25"/>
      <c r="P323" s="26"/>
      <c r="Q323" s="27"/>
      <c r="R323" s="28"/>
      <c r="S323" s="29"/>
      <c r="T323" s="30"/>
    </row>
    <row r="324" spans="1:20" ht="24" customHeight="1" x14ac:dyDescent="0.25">
      <c r="A324" t="str">
        <f>IF('e1'!A324&gt;0,HYPERLINK("#"&amp;ADDRESS(324,'e1'!A324),""),IF('r1'!A324&gt;0,HYPERLINK("#"&amp;ADDRESS(324,'r1'!A324),""),""))</f>
        <v/>
      </c>
      <c r="C324" s="13"/>
      <c r="D324" s="14"/>
      <c r="E324" s="15"/>
      <c r="F324" s="16"/>
      <c r="G324" s="17"/>
      <c r="H324" s="18"/>
      <c r="I324" s="19"/>
      <c r="J324" s="20"/>
      <c r="K324" s="21"/>
      <c r="L324" s="22"/>
      <c r="M324" s="23"/>
      <c r="N324" s="24"/>
      <c r="O324" s="25"/>
      <c r="P324" s="26"/>
      <c r="Q324" s="27"/>
      <c r="R324" s="28"/>
      <c r="S324" s="29"/>
      <c r="T324" s="30"/>
    </row>
    <row r="325" spans="1:20" ht="24" customHeight="1" x14ac:dyDescent="0.25">
      <c r="A325" t="str">
        <f>IF('e1'!A325&gt;0,HYPERLINK("#"&amp;ADDRESS(325,'e1'!A325),""),IF('r1'!A325&gt;0,HYPERLINK("#"&amp;ADDRESS(325,'r1'!A325),""),""))</f>
        <v/>
      </c>
      <c r="C325" s="13"/>
      <c r="D325" s="14"/>
      <c r="E325" s="15"/>
      <c r="F325" s="16"/>
      <c r="G325" s="17"/>
      <c r="H325" s="18"/>
      <c r="I325" s="19"/>
      <c r="J325" s="20"/>
      <c r="K325" s="21"/>
      <c r="L325" s="22"/>
      <c r="M325" s="23"/>
      <c r="N325" s="24"/>
      <c r="O325" s="25"/>
      <c r="P325" s="26"/>
      <c r="Q325" s="27"/>
      <c r="R325" s="28"/>
      <c r="S325" s="29"/>
      <c r="T325" s="30"/>
    </row>
    <row r="326" spans="1:20" ht="24" customHeight="1" x14ac:dyDescent="0.25">
      <c r="A326" t="str">
        <f>IF('e1'!A326&gt;0,HYPERLINK("#"&amp;ADDRESS(326,'e1'!A326),""),IF('r1'!A326&gt;0,HYPERLINK("#"&amp;ADDRESS(326,'r1'!A326),""),""))</f>
        <v/>
      </c>
      <c r="C326" s="13"/>
      <c r="D326" s="14"/>
      <c r="E326" s="15"/>
      <c r="F326" s="16"/>
      <c r="G326" s="17"/>
      <c r="H326" s="18"/>
      <c r="I326" s="19"/>
      <c r="J326" s="20"/>
      <c r="K326" s="21"/>
      <c r="L326" s="22"/>
      <c r="M326" s="23"/>
      <c r="N326" s="24"/>
      <c r="O326" s="25"/>
      <c r="P326" s="26"/>
      <c r="Q326" s="27"/>
      <c r="R326" s="28"/>
      <c r="S326" s="29"/>
      <c r="T326" s="30"/>
    </row>
    <row r="327" spans="1:20" ht="24" customHeight="1" x14ac:dyDescent="0.25">
      <c r="A327" t="str">
        <f>IF('e1'!A327&gt;0,HYPERLINK("#"&amp;ADDRESS(327,'e1'!A327),""),IF('r1'!A327&gt;0,HYPERLINK("#"&amp;ADDRESS(327,'r1'!A327),""),""))</f>
        <v/>
      </c>
      <c r="C327" s="13"/>
      <c r="D327" s="14"/>
      <c r="E327" s="15"/>
      <c r="F327" s="16"/>
      <c r="G327" s="17"/>
      <c r="H327" s="18"/>
      <c r="I327" s="19"/>
      <c r="J327" s="20"/>
      <c r="K327" s="21"/>
      <c r="L327" s="22"/>
      <c r="M327" s="23"/>
      <c r="N327" s="24"/>
      <c r="O327" s="25"/>
      <c r="P327" s="26"/>
      <c r="Q327" s="27"/>
      <c r="R327" s="28"/>
      <c r="S327" s="29"/>
      <c r="T327" s="30"/>
    </row>
    <row r="328" spans="1:20" ht="24" customHeight="1" x14ac:dyDescent="0.25">
      <c r="A328" t="str">
        <f>IF('e1'!A328&gt;0,HYPERLINK("#"&amp;ADDRESS(328,'e1'!A328),""),IF('r1'!A328&gt;0,HYPERLINK("#"&amp;ADDRESS(328,'r1'!A328),""),""))</f>
        <v/>
      </c>
      <c r="C328" s="13"/>
      <c r="D328" s="14"/>
      <c r="E328" s="15"/>
      <c r="F328" s="16"/>
      <c r="G328" s="17"/>
      <c r="H328" s="18"/>
      <c r="I328" s="19"/>
      <c r="J328" s="20"/>
      <c r="K328" s="21"/>
      <c r="L328" s="22"/>
      <c r="M328" s="23"/>
      <c r="N328" s="24"/>
      <c r="O328" s="25"/>
      <c r="P328" s="26"/>
      <c r="Q328" s="27"/>
      <c r="R328" s="28"/>
      <c r="S328" s="29"/>
      <c r="T328" s="30"/>
    </row>
    <row r="329" spans="1:20" ht="24" customHeight="1" x14ac:dyDescent="0.25">
      <c r="A329" t="str">
        <f>IF('e1'!A329&gt;0,HYPERLINK("#"&amp;ADDRESS(329,'e1'!A329),""),IF('r1'!A329&gt;0,HYPERLINK("#"&amp;ADDRESS(329,'r1'!A329),""),""))</f>
        <v/>
      </c>
      <c r="C329" s="13"/>
      <c r="D329" s="14"/>
      <c r="E329" s="15"/>
      <c r="F329" s="16"/>
      <c r="G329" s="17"/>
      <c r="H329" s="18"/>
      <c r="I329" s="19"/>
      <c r="J329" s="20"/>
      <c r="K329" s="21"/>
      <c r="L329" s="22"/>
      <c r="M329" s="23"/>
      <c r="N329" s="24"/>
      <c r="O329" s="25"/>
      <c r="P329" s="26"/>
      <c r="Q329" s="27"/>
      <c r="R329" s="28"/>
      <c r="S329" s="29"/>
      <c r="T329" s="30"/>
    </row>
    <row r="330" spans="1:20" ht="24" customHeight="1" x14ac:dyDescent="0.25">
      <c r="A330" t="str">
        <f>IF('e1'!A330&gt;0,HYPERLINK("#"&amp;ADDRESS(330,'e1'!A330),""),IF('r1'!A330&gt;0,HYPERLINK("#"&amp;ADDRESS(330,'r1'!A330),""),""))</f>
        <v/>
      </c>
      <c r="C330" s="13"/>
      <c r="D330" s="14"/>
      <c r="E330" s="15"/>
      <c r="F330" s="16"/>
      <c r="G330" s="17"/>
      <c r="H330" s="18"/>
      <c r="I330" s="19"/>
      <c r="J330" s="20"/>
      <c r="K330" s="21"/>
      <c r="L330" s="22"/>
      <c r="M330" s="23"/>
      <c r="N330" s="24"/>
      <c r="O330" s="25"/>
      <c r="P330" s="26"/>
      <c r="Q330" s="27"/>
      <c r="R330" s="28"/>
      <c r="S330" s="29"/>
      <c r="T330" s="30"/>
    </row>
    <row r="331" spans="1:20" ht="24" customHeight="1" x14ac:dyDescent="0.25">
      <c r="A331" t="str">
        <f>IF('e1'!A331&gt;0,HYPERLINK("#"&amp;ADDRESS(331,'e1'!A331),""),IF('r1'!A331&gt;0,HYPERLINK("#"&amp;ADDRESS(331,'r1'!A331),""),""))</f>
        <v/>
      </c>
      <c r="C331" s="13"/>
      <c r="D331" s="14"/>
      <c r="E331" s="15"/>
      <c r="F331" s="16"/>
      <c r="G331" s="17"/>
      <c r="H331" s="18"/>
      <c r="I331" s="19"/>
      <c r="J331" s="20"/>
      <c r="K331" s="21"/>
      <c r="L331" s="22"/>
      <c r="M331" s="23"/>
      <c r="N331" s="24"/>
      <c r="O331" s="25"/>
      <c r="P331" s="26"/>
      <c r="Q331" s="27"/>
      <c r="R331" s="28"/>
      <c r="S331" s="29"/>
      <c r="T331" s="30"/>
    </row>
    <row r="332" spans="1:20" ht="24" customHeight="1" x14ac:dyDescent="0.25">
      <c r="A332" t="str">
        <f>IF('e1'!A332&gt;0,HYPERLINK("#"&amp;ADDRESS(332,'e1'!A332),""),IF('r1'!A332&gt;0,HYPERLINK("#"&amp;ADDRESS(332,'r1'!A332),""),""))</f>
        <v/>
      </c>
      <c r="C332" s="13"/>
      <c r="D332" s="14"/>
      <c r="E332" s="15"/>
      <c r="F332" s="16"/>
      <c r="G332" s="17"/>
      <c r="H332" s="18"/>
      <c r="I332" s="19"/>
      <c r="J332" s="20"/>
      <c r="K332" s="21"/>
      <c r="L332" s="22"/>
      <c r="M332" s="23"/>
      <c r="N332" s="24"/>
      <c r="O332" s="25"/>
      <c r="P332" s="26"/>
      <c r="Q332" s="27"/>
      <c r="R332" s="28"/>
      <c r="S332" s="29"/>
      <c r="T332" s="30"/>
    </row>
    <row r="333" spans="1:20" ht="24" customHeight="1" x14ac:dyDescent="0.25">
      <c r="A333" t="str">
        <f>IF('e1'!A333&gt;0,HYPERLINK("#"&amp;ADDRESS(333,'e1'!A333),""),IF('r1'!A333&gt;0,HYPERLINK("#"&amp;ADDRESS(333,'r1'!A333),""),""))</f>
        <v/>
      </c>
      <c r="C333" s="13"/>
      <c r="D333" s="14"/>
      <c r="E333" s="15"/>
      <c r="F333" s="16"/>
      <c r="G333" s="17"/>
      <c r="H333" s="18"/>
      <c r="I333" s="19"/>
      <c r="J333" s="20"/>
      <c r="K333" s="21"/>
      <c r="L333" s="22"/>
      <c r="M333" s="23"/>
      <c r="N333" s="24"/>
      <c r="O333" s="25"/>
      <c r="P333" s="26"/>
      <c r="Q333" s="27"/>
      <c r="R333" s="28"/>
      <c r="S333" s="29"/>
      <c r="T333" s="30"/>
    </row>
    <row r="334" spans="1:20" ht="24" customHeight="1" x14ac:dyDescent="0.25">
      <c r="A334" t="str">
        <f>IF('e1'!A334&gt;0,HYPERLINK("#"&amp;ADDRESS(334,'e1'!A334),""),IF('r1'!A334&gt;0,HYPERLINK("#"&amp;ADDRESS(334,'r1'!A334),""),""))</f>
        <v/>
      </c>
      <c r="C334" s="13"/>
      <c r="D334" s="14"/>
      <c r="E334" s="15"/>
      <c r="F334" s="16"/>
      <c r="G334" s="17"/>
      <c r="H334" s="18"/>
      <c r="I334" s="19"/>
      <c r="J334" s="20"/>
      <c r="K334" s="21"/>
      <c r="L334" s="22"/>
      <c r="M334" s="23"/>
      <c r="N334" s="24"/>
      <c r="O334" s="25"/>
      <c r="P334" s="26"/>
      <c r="Q334" s="27"/>
      <c r="R334" s="28"/>
      <c r="S334" s="29"/>
      <c r="T334" s="30"/>
    </row>
    <row r="335" spans="1:20" ht="24" customHeight="1" x14ac:dyDescent="0.25">
      <c r="A335" t="str">
        <f>IF('e1'!A335&gt;0,HYPERLINK("#"&amp;ADDRESS(335,'e1'!A335),""),IF('r1'!A335&gt;0,HYPERLINK("#"&amp;ADDRESS(335,'r1'!A335),""),""))</f>
        <v/>
      </c>
      <c r="C335" s="13"/>
      <c r="D335" s="14"/>
      <c r="E335" s="15"/>
      <c r="F335" s="16"/>
      <c r="G335" s="17"/>
      <c r="H335" s="18"/>
      <c r="I335" s="19"/>
      <c r="J335" s="20"/>
      <c r="K335" s="21"/>
      <c r="L335" s="22"/>
      <c r="M335" s="23"/>
      <c r="N335" s="24"/>
      <c r="O335" s="25"/>
      <c r="P335" s="26"/>
      <c r="Q335" s="27"/>
      <c r="R335" s="28"/>
      <c r="S335" s="29"/>
      <c r="T335" s="30"/>
    </row>
    <row r="336" spans="1:20" ht="24" customHeight="1" x14ac:dyDescent="0.25">
      <c r="A336" t="str">
        <f>IF('e1'!A336&gt;0,HYPERLINK("#"&amp;ADDRESS(336,'e1'!A336),""),IF('r1'!A336&gt;0,HYPERLINK("#"&amp;ADDRESS(336,'r1'!A336),""),""))</f>
        <v/>
      </c>
      <c r="C336" s="13"/>
      <c r="D336" s="14"/>
      <c r="E336" s="15"/>
      <c r="F336" s="16"/>
      <c r="G336" s="17"/>
      <c r="H336" s="18"/>
      <c r="I336" s="19"/>
      <c r="J336" s="20"/>
      <c r="K336" s="21"/>
      <c r="L336" s="22"/>
      <c r="M336" s="23"/>
      <c r="N336" s="24"/>
      <c r="O336" s="25"/>
      <c r="P336" s="26"/>
      <c r="Q336" s="27"/>
      <c r="R336" s="28"/>
      <c r="S336" s="29"/>
      <c r="T336" s="30"/>
    </row>
    <row r="337" spans="1:20" ht="24" customHeight="1" x14ac:dyDescent="0.25">
      <c r="A337" t="str">
        <f>IF('e1'!A337&gt;0,HYPERLINK("#"&amp;ADDRESS(337,'e1'!A337),""),IF('r1'!A337&gt;0,HYPERLINK("#"&amp;ADDRESS(337,'r1'!A337),""),""))</f>
        <v/>
      </c>
      <c r="C337" s="13"/>
      <c r="D337" s="14"/>
      <c r="E337" s="15"/>
      <c r="F337" s="16"/>
      <c r="G337" s="17"/>
      <c r="H337" s="18"/>
      <c r="I337" s="19"/>
      <c r="J337" s="20"/>
      <c r="K337" s="21"/>
      <c r="L337" s="22"/>
      <c r="M337" s="23"/>
      <c r="N337" s="24"/>
      <c r="O337" s="25"/>
      <c r="P337" s="26"/>
      <c r="Q337" s="27"/>
      <c r="R337" s="28"/>
      <c r="S337" s="29"/>
      <c r="T337" s="30"/>
    </row>
    <row r="338" spans="1:20" ht="24" customHeight="1" x14ac:dyDescent="0.25">
      <c r="A338" t="str">
        <f>IF('e1'!A338&gt;0,HYPERLINK("#"&amp;ADDRESS(338,'e1'!A338),""),IF('r1'!A338&gt;0,HYPERLINK("#"&amp;ADDRESS(338,'r1'!A338),""),""))</f>
        <v/>
      </c>
      <c r="C338" s="13"/>
      <c r="D338" s="14"/>
      <c r="E338" s="15"/>
      <c r="F338" s="16"/>
      <c r="G338" s="17"/>
      <c r="H338" s="18"/>
      <c r="I338" s="19"/>
      <c r="J338" s="20"/>
      <c r="K338" s="21"/>
      <c r="L338" s="22"/>
      <c r="M338" s="23"/>
      <c r="N338" s="24"/>
      <c r="O338" s="25"/>
      <c r="P338" s="26"/>
      <c r="Q338" s="27"/>
      <c r="R338" s="28"/>
      <c r="S338" s="29"/>
      <c r="T338" s="30"/>
    </row>
    <row r="339" spans="1:20" ht="24" customHeight="1" x14ac:dyDescent="0.25">
      <c r="A339" t="str">
        <f>IF('e1'!A339&gt;0,HYPERLINK("#"&amp;ADDRESS(339,'e1'!A339),""),IF('r1'!A339&gt;0,HYPERLINK("#"&amp;ADDRESS(339,'r1'!A339),""),""))</f>
        <v/>
      </c>
      <c r="C339" s="13"/>
      <c r="D339" s="14"/>
      <c r="E339" s="15"/>
      <c r="F339" s="16"/>
      <c r="G339" s="17"/>
      <c r="H339" s="18"/>
      <c r="I339" s="19"/>
      <c r="J339" s="20"/>
      <c r="K339" s="21"/>
      <c r="L339" s="22"/>
      <c r="M339" s="23"/>
      <c r="N339" s="24"/>
      <c r="O339" s="25"/>
      <c r="P339" s="26"/>
      <c r="Q339" s="27"/>
      <c r="R339" s="28"/>
      <c r="S339" s="29"/>
      <c r="T339" s="30"/>
    </row>
    <row r="340" spans="1:20" ht="24" customHeight="1" x14ac:dyDescent="0.25">
      <c r="A340" t="str">
        <f>IF('e1'!A340&gt;0,HYPERLINK("#"&amp;ADDRESS(340,'e1'!A340),""),IF('r1'!A340&gt;0,HYPERLINK("#"&amp;ADDRESS(340,'r1'!A340),""),""))</f>
        <v/>
      </c>
      <c r="C340" s="13"/>
      <c r="D340" s="14"/>
      <c r="E340" s="15"/>
      <c r="F340" s="16"/>
      <c r="G340" s="17"/>
      <c r="H340" s="18"/>
      <c r="I340" s="19"/>
      <c r="J340" s="20"/>
      <c r="K340" s="21"/>
      <c r="L340" s="22"/>
      <c r="M340" s="23"/>
      <c r="N340" s="24"/>
      <c r="O340" s="25"/>
      <c r="P340" s="26"/>
      <c r="Q340" s="27"/>
      <c r="R340" s="28"/>
      <c r="S340" s="29"/>
      <c r="T340" s="30"/>
    </row>
    <row r="341" spans="1:20" ht="24" customHeight="1" x14ac:dyDescent="0.25">
      <c r="A341" t="str">
        <f>IF('e1'!A341&gt;0,HYPERLINK("#"&amp;ADDRESS(341,'e1'!A341),""),IF('r1'!A341&gt;0,HYPERLINK("#"&amp;ADDRESS(341,'r1'!A341),""),""))</f>
        <v/>
      </c>
      <c r="C341" s="13"/>
      <c r="D341" s="14"/>
      <c r="E341" s="15"/>
      <c r="F341" s="16"/>
      <c r="G341" s="17"/>
      <c r="H341" s="18"/>
      <c r="I341" s="19"/>
      <c r="J341" s="20"/>
      <c r="K341" s="21"/>
      <c r="L341" s="22"/>
      <c r="M341" s="23"/>
      <c r="N341" s="24"/>
      <c r="O341" s="25"/>
      <c r="P341" s="26"/>
      <c r="Q341" s="27"/>
      <c r="R341" s="28"/>
      <c r="S341" s="29"/>
      <c r="T341" s="30"/>
    </row>
    <row r="342" spans="1:20" ht="24" customHeight="1" x14ac:dyDescent="0.25">
      <c r="A342" t="str">
        <f>IF('e1'!A342&gt;0,HYPERLINK("#"&amp;ADDRESS(342,'e1'!A342),""),IF('r1'!A342&gt;0,HYPERLINK("#"&amp;ADDRESS(342,'r1'!A342),""),""))</f>
        <v/>
      </c>
      <c r="C342" s="13"/>
      <c r="D342" s="14"/>
      <c r="E342" s="15"/>
      <c r="F342" s="16"/>
      <c r="G342" s="17"/>
      <c r="H342" s="18"/>
      <c r="I342" s="19"/>
      <c r="J342" s="20"/>
      <c r="K342" s="21"/>
      <c r="L342" s="22"/>
      <c r="M342" s="23"/>
      <c r="N342" s="24"/>
      <c r="O342" s="25"/>
      <c r="P342" s="26"/>
      <c r="Q342" s="27"/>
      <c r="R342" s="28"/>
      <c r="S342" s="29"/>
      <c r="T342" s="30"/>
    </row>
    <row r="343" spans="1:20" ht="24" customHeight="1" x14ac:dyDescent="0.25">
      <c r="A343" t="str">
        <f>IF('e1'!A343&gt;0,HYPERLINK("#"&amp;ADDRESS(343,'e1'!A343),""),IF('r1'!A343&gt;0,HYPERLINK("#"&amp;ADDRESS(343,'r1'!A343),""),""))</f>
        <v/>
      </c>
      <c r="C343" s="13"/>
      <c r="D343" s="14"/>
      <c r="E343" s="15"/>
      <c r="F343" s="16"/>
      <c r="G343" s="17"/>
      <c r="H343" s="18"/>
      <c r="I343" s="19"/>
      <c r="J343" s="20"/>
      <c r="K343" s="21"/>
      <c r="L343" s="22"/>
      <c r="M343" s="23"/>
      <c r="N343" s="24"/>
      <c r="O343" s="25"/>
      <c r="P343" s="26"/>
      <c r="Q343" s="27"/>
      <c r="R343" s="28"/>
      <c r="S343" s="29"/>
      <c r="T343" s="30"/>
    </row>
    <row r="344" spans="1:20" ht="24" customHeight="1" x14ac:dyDescent="0.25">
      <c r="A344" t="str">
        <f>IF('e1'!A344&gt;0,HYPERLINK("#"&amp;ADDRESS(344,'e1'!A344),""),IF('r1'!A344&gt;0,HYPERLINK("#"&amp;ADDRESS(344,'r1'!A344),""),""))</f>
        <v/>
      </c>
      <c r="C344" s="13"/>
      <c r="D344" s="14"/>
      <c r="E344" s="15"/>
      <c r="F344" s="16"/>
      <c r="G344" s="17"/>
      <c r="H344" s="18"/>
      <c r="I344" s="19"/>
      <c r="J344" s="20"/>
      <c r="K344" s="21"/>
      <c r="L344" s="22"/>
      <c r="M344" s="23"/>
      <c r="N344" s="24"/>
      <c r="O344" s="25"/>
      <c r="P344" s="26"/>
      <c r="Q344" s="27"/>
      <c r="R344" s="28"/>
      <c r="S344" s="29"/>
      <c r="T344" s="30"/>
    </row>
    <row r="345" spans="1:20" ht="24" customHeight="1" x14ac:dyDescent="0.25">
      <c r="A345" t="str">
        <f>IF('e1'!A345&gt;0,HYPERLINK("#"&amp;ADDRESS(345,'e1'!A345),""),IF('r1'!A345&gt;0,HYPERLINK("#"&amp;ADDRESS(345,'r1'!A345),""),""))</f>
        <v/>
      </c>
      <c r="C345" s="13"/>
      <c r="D345" s="14"/>
      <c r="E345" s="15"/>
      <c r="F345" s="16"/>
      <c r="G345" s="17"/>
      <c r="H345" s="18"/>
      <c r="I345" s="19"/>
      <c r="J345" s="20"/>
      <c r="K345" s="21"/>
      <c r="L345" s="22"/>
      <c r="M345" s="23"/>
      <c r="N345" s="24"/>
      <c r="O345" s="25"/>
      <c r="P345" s="26"/>
      <c r="Q345" s="27"/>
      <c r="R345" s="28"/>
      <c r="S345" s="29"/>
      <c r="T345" s="30"/>
    </row>
    <row r="346" spans="1:20" ht="24" customHeight="1" x14ac:dyDescent="0.25">
      <c r="A346" t="str">
        <f>IF('e1'!A346&gt;0,HYPERLINK("#"&amp;ADDRESS(346,'e1'!A346),""),IF('r1'!A346&gt;0,HYPERLINK("#"&amp;ADDRESS(346,'r1'!A346),""),""))</f>
        <v/>
      </c>
      <c r="C346" s="13"/>
      <c r="D346" s="14"/>
      <c r="E346" s="15"/>
      <c r="F346" s="16"/>
      <c r="G346" s="17"/>
      <c r="H346" s="18"/>
      <c r="I346" s="19"/>
      <c r="J346" s="20"/>
      <c r="K346" s="21"/>
      <c r="L346" s="22"/>
      <c r="M346" s="23"/>
      <c r="N346" s="24"/>
      <c r="O346" s="25"/>
      <c r="P346" s="26"/>
      <c r="Q346" s="27"/>
      <c r="R346" s="28"/>
      <c r="S346" s="29"/>
      <c r="T346" s="30"/>
    </row>
    <row r="347" spans="1:20" ht="24" customHeight="1" x14ac:dyDescent="0.25">
      <c r="A347" t="str">
        <f>IF('e1'!A347&gt;0,HYPERLINK("#"&amp;ADDRESS(347,'e1'!A347),""),IF('r1'!A347&gt;0,HYPERLINK("#"&amp;ADDRESS(347,'r1'!A347),""),""))</f>
        <v/>
      </c>
      <c r="C347" s="13"/>
      <c r="D347" s="14"/>
      <c r="E347" s="15"/>
      <c r="F347" s="16"/>
      <c r="G347" s="17"/>
      <c r="H347" s="18"/>
      <c r="I347" s="19"/>
      <c r="J347" s="20"/>
      <c r="K347" s="21"/>
      <c r="L347" s="22"/>
      <c r="M347" s="23"/>
      <c r="N347" s="24"/>
      <c r="O347" s="25"/>
      <c r="P347" s="26"/>
      <c r="Q347" s="27"/>
      <c r="R347" s="28"/>
      <c r="S347" s="29"/>
      <c r="T347" s="30"/>
    </row>
    <row r="348" spans="1:20" ht="24" customHeight="1" x14ac:dyDescent="0.25">
      <c r="A348" t="str">
        <f>IF('e1'!A348&gt;0,HYPERLINK("#"&amp;ADDRESS(348,'e1'!A348),""),IF('r1'!A348&gt;0,HYPERLINK("#"&amp;ADDRESS(348,'r1'!A348),""),""))</f>
        <v/>
      </c>
      <c r="C348" s="13"/>
      <c r="D348" s="14"/>
      <c r="E348" s="15"/>
      <c r="F348" s="16"/>
      <c r="G348" s="17"/>
      <c r="H348" s="18"/>
      <c r="I348" s="19"/>
      <c r="J348" s="20"/>
      <c r="K348" s="21"/>
      <c r="L348" s="22"/>
      <c r="M348" s="23"/>
      <c r="N348" s="24"/>
      <c r="O348" s="25"/>
      <c r="P348" s="26"/>
      <c r="Q348" s="27"/>
      <c r="R348" s="28"/>
      <c r="S348" s="29"/>
      <c r="T348" s="30"/>
    </row>
    <row r="349" spans="1:20" ht="24" customHeight="1" x14ac:dyDescent="0.25">
      <c r="A349" t="str">
        <f>IF('e1'!A349&gt;0,HYPERLINK("#"&amp;ADDRESS(349,'e1'!A349),""),IF('r1'!A349&gt;0,HYPERLINK("#"&amp;ADDRESS(349,'r1'!A349),""),""))</f>
        <v/>
      </c>
      <c r="C349" s="13"/>
      <c r="D349" s="14"/>
      <c r="E349" s="15"/>
      <c r="F349" s="16"/>
      <c r="G349" s="17"/>
      <c r="H349" s="18"/>
      <c r="I349" s="19"/>
      <c r="J349" s="20"/>
      <c r="K349" s="21"/>
      <c r="L349" s="22"/>
      <c r="M349" s="23"/>
      <c r="N349" s="24"/>
      <c r="O349" s="25"/>
      <c r="P349" s="26"/>
      <c r="Q349" s="27"/>
      <c r="R349" s="28"/>
      <c r="S349" s="29"/>
      <c r="T349" s="30"/>
    </row>
    <row r="350" spans="1:20" ht="24" customHeight="1" x14ac:dyDescent="0.25">
      <c r="A350" t="str">
        <f>IF('e1'!A350&gt;0,HYPERLINK("#"&amp;ADDRESS(350,'e1'!A350),""),IF('r1'!A350&gt;0,HYPERLINK("#"&amp;ADDRESS(350,'r1'!A350),""),""))</f>
        <v/>
      </c>
      <c r="C350" s="13"/>
      <c r="D350" s="14"/>
      <c r="E350" s="15"/>
      <c r="F350" s="16"/>
      <c r="G350" s="17"/>
      <c r="H350" s="18"/>
      <c r="I350" s="19"/>
      <c r="J350" s="20"/>
      <c r="K350" s="21"/>
      <c r="L350" s="22"/>
      <c r="M350" s="23"/>
      <c r="N350" s="24"/>
      <c r="O350" s="25"/>
      <c r="P350" s="26"/>
      <c r="Q350" s="27"/>
      <c r="R350" s="28"/>
      <c r="S350" s="29"/>
      <c r="T350" s="30"/>
    </row>
    <row r="351" spans="1:20" ht="24" customHeight="1" x14ac:dyDescent="0.25">
      <c r="A351" t="str">
        <f>IF('e1'!A351&gt;0,HYPERLINK("#"&amp;ADDRESS(351,'e1'!A351),""),IF('r1'!A351&gt;0,HYPERLINK("#"&amp;ADDRESS(351,'r1'!A351),""),""))</f>
        <v/>
      </c>
      <c r="C351" s="13"/>
      <c r="D351" s="14"/>
      <c r="E351" s="15"/>
      <c r="F351" s="16"/>
      <c r="G351" s="17"/>
      <c r="H351" s="18"/>
      <c r="I351" s="19"/>
      <c r="J351" s="20"/>
      <c r="K351" s="21"/>
      <c r="L351" s="22"/>
      <c r="M351" s="23"/>
      <c r="N351" s="24"/>
      <c r="O351" s="25"/>
      <c r="P351" s="26"/>
      <c r="Q351" s="27"/>
      <c r="R351" s="28"/>
      <c r="S351" s="29"/>
      <c r="T351" s="30"/>
    </row>
    <row r="352" spans="1:20" ht="24" customHeight="1" x14ac:dyDescent="0.25">
      <c r="A352" t="str">
        <f>IF('e1'!A352&gt;0,HYPERLINK("#"&amp;ADDRESS(352,'e1'!A352),""),IF('r1'!A352&gt;0,HYPERLINK("#"&amp;ADDRESS(352,'r1'!A352),""),""))</f>
        <v/>
      </c>
      <c r="C352" s="13"/>
      <c r="D352" s="14"/>
      <c r="E352" s="15"/>
      <c r="F352" s="16"/>
      <c r="G352" s="17"/>
      <c r="H352" s="18"/>
      <c r="I352" s="19"/>
      <c r="J352" s="20"/>
      <c r="K352" s="21"/>
      <c r="L352" s="22"/>
      <c r="M352" s="23"/>
      <c r="N352" s="24"/>
      <c r="O352" s="25"/>
      <c r="P352" s="26"/>
      <c r="Q352" s="27"/>
      <c r="R352" s="28"/>
      <c r="S352" s="29"/>
      <c r="T352" s="30"/>
    </row>
    <row r="353" spans="1:20" ht="24" customHeight="1" x14ac:dyDescent="0.25">
      <c r="A353" t="str">
        <f>IF('e1'!A353&gt;0,HYPERLINK("#"&amp;ADDRESS(353,'e1'!A353),""),IF('r1'!A353&gt;0,HYPERLINK("#"&amp;ADDRESS(353,'r1'!A353),""),""))</f>
        <v/>
      </c>
      <c r="C353" s="13"/>
      <c r="D353" s="14"/>
      <c r="E353" s="15"/>
      <c r="F353" s="16"/>
      <c r="G353" s="17"/>
      <c r="H353" s="18"/>
      <c r="I353" s="19"/>
      <c r="J353" s="20"/>
      <c r="K353" s="21"/>
      <c r="L353" s="22"/>
      <c r="M353" s="23"/>
      <c r="N353" s="24"/>
      <c r="O353" s="25"/>
      <c r="P353" s="26"/>
      <c r="Q353" s="27"/>
      <c r="R353" s="28"/>
      <c r="S353" s="29"/>
      <c r="T353" s="30"/>
    </row>
    <row r="354" spans="1:20" ht="24" customHeight="1" x14ac:dyDescent="0.25">
      <c r="A354" t="str">
        <f>IF('e1'!A354&gt;0,HYPERLINK("#"&amp;ADDRESS(354,'e1'!A354),""),IF('r1'!A354&gt;0,HYPERLINK("#"&amp;ADDRESS(354,'r1'!A354),""),""))</f>
        <v/>
      </c>
      <c r="C354" s="13"/>
      <c r="D354" s="14"/>
      <c r="E354" s="15"/>
      <c r="F354" s="16"/>
      <c r="G354" s="17"/>
      <c r="H354" s="18"/>
      <c r="I354" s="19"/>
      <c r="J354" s="20"/>
      <c r="K354" s="21"/>
      <c r="L354" s="22"/>
      <c r="M354" s="23"/>
      <c r="N354" s="24"/>
      <c r="O354" s="25"/>
      <c r="P354" s="26"/>
      <c r="Q354" s="27"/>
      <c r="R354" s="28"/>
      <c r="S354" s="29"/>
      <c r="T354" s="30"/>
    </row>
    <row r="355" spans="1:20" ht="24" customHeight="1" x14ac:dyDescent="0.25">
      <c r="A355" t="str">
        <f>IF('e1'!A355&gt;0,HYPERLINK("#"&amp;ADDRESS(355,'e1'!A355),""),IF('r1'!A355&gt;0,HYPERLINK("#"&amp;ADDRESS(355,'r1'!A355),""),""))</f>
        <v/>
      </c>
      <c r="C355" s="13"/>
      <c r="D355" s="14"/>
      <c r="E355" s="15"/>
      <c r="F355" s="16"/>
      <c r="G355" s="17"/>
      <c r="H355" s="18"/>
      <c r="I355" s="19"/>
      <c r="J355" s="20"/>
      <c r="K355" s="21"/>
      <c r="L355" s="22"/>
      <c r="M355" s="23"/>
      <c r="N355" s="24"/>
      <c r="O355" s="25"/>
      <c r="P355" s="26"/>
      <c r="Q355" s="27"/>
      <c r="R355" s="28"/>
      <c r="S355" s="29"/>
      <c r="T355" s="30"/>
    </row>
    <row r="356" spans="1:20" ht="24" customHeight="1" x14ac:dyDescent="0.25">
      <c r="A356" t="str">
        <f>IF('e1'!A356&gt;0,HYPERLINK("#"&amp;ADDRESS(356,'e1'!A356),""),IF('r1'!A356&gt;0,HYPERLINK("#"&amp;ADDRESS(356,'r1'!A356),""),""))</f>
        <v/>
      </c>
      <c r="C356" s="13"/>
      <c r="D356" s="14"/>
      <c r="E356" s="15"/>
      <c r="F356" s="16"/>
      <c r="G356" s="17"/>
      <c r="H356" s="18"/>
      <c r="I356" s="19"/>
      <c r="J356" s="20"/>
      <c r="K356" s="21"/>
      <c r="L356" s="22"/>
      <c r="M356" s="23"/>
      <c r="N356" s="24"/>
      <c r="O356" s="25"/>
      <c r="P356" s="26"/>
      <c r="Q356" s="27"/>
      <c r="R356" s="28"/>
      <c r="S356" s="29"/>
      <c r="T356" s="30"/>
    </row>
    <row r="357" spans="1:20" ht="24" customHeight="1" x14ac:dyDescent="0.25">
      <c r="A357" t="str">
        <f>IF('e1'!A357&gt;0,HYPERLINK("#"&amp;ADDRESS(357,'e1'!A357),""),IF('r1'!A357&gt;0,HYPERLINK("#"&amp;ADDRESS(357,'r1'!A357),""),""))</f>
        <v/>
      </c>
      <c r="C357" s="13"/>
      <c r="D357" s="14"/>
      <c r="E357" s="15"/>
      <c r="F357" s="16"/>
      <c r="G357" s="17"/>
      <c r="H357" s="18"/>
      <c r="I357" s="19"/>
      <c r="J357" s="20"/>
      <c r="K357" s="21"/>
      <c r="L357" s="22"/>
      <c r="M357" s="23"/>
      <c r="N357" s="24"/>
      <c r="O357" s="25"/>
      <c r="P357" s="26"/>
      <c r="Q357" s="27"/>
      <c r="R357" s="28"/>
      <c r="S357" s="29"/>
      <c r="T357" s="30"/>
    </row>
    <row r="358" spans="1:20" ht="24" customHeight="1" x14ac:dyDescent="0.25">
      <c r="A358" t="str">
        <f>IF('e1'!A358&gt;0,HYPERLINK("#"&amp;ADDRESS(358,'e1'!A358),""),IF('r1'!A358&gt;0,HYPERLINK("#"&amp;ADDRESS(358,'r1'!A358),""),""))</f>
        <v/>
      </c>
      <c r="C358" s="13"/>
      <c r="D358" s="14"/>
      <c r="E358" s="15"/>
      <c r="F358" s="16"/>
      <c r="G358" s="17"/>
      <c r="H358" s="18"/>
      <c r="I358" s="19"/>
      <c r="J358" s="20"/>
      <c r="K358" s="21"/>
      <c r="L358" s="22"/>
      <c r="M358" s="23"/>
      <c r="N358" s="24"/>
      <c r="O358" s="25"/>
      <c r="P358" s="26"/>
      <c r="Q358" s="27"/>
      <c r="R358" s="28"/>
      <c r="S358" s="29"/>
      <c r="T358" s="30"/>
    </row>
    <row r="359" spans="1:20" ht="24" customHeight="1" x14ac:dyDescent="0.25">
      <c r="A359" t="str">
        <f>IF('e1'!A359&gt;0,HYPERLINK("#"&amp;ADDRESS(359,'e1'!A359),""),IF('r1'!A359&gt;0,HYPERLINK("#"&amp;ADDRESS(359,'r1'!A359),""),""))</f>
        <v/>
      </c>
      <c r="C359" s="13"/>
      <c r="D359" s="14"/>
      <c r="E359" s="15"/>
      <c r="F359" s="16"/>
      <c r="G359" s="17"/>
      <c r="H359" s="18"/>
      <c r="I359" s="19"/>
      <c r="J359" s="20"/>
      <c r="K359" s="21"/>
      <c r="L359" s="22"/>
      <c r="M359" s="23"/>
      <c r="N359" s="24"/>
      <c r="O359" s="25"/>
      <c r="P359" s="26"/>
      <c r="Q359" s="27"/>
      <c r="R359" s="28"/>
      <c r="S359" s="29"/>
      <c r="T359" s="30"/>
    </row>
    <row r="360" spans="1:20" ht="24" customHeight="1" x14ac:dyDescent="0.25">
      <c r="A360" t="str">
        <f>IF('e1'!A360&gt;0,HYPERLINK("#"&amp;ADDRESS(360,'e1'!A360),""),IF('r1'!A360&gt;0,HYPERLINK("#"&amp;ADDRESS(360,'r1'!A360),""),""))</f>
        <v/>
      </c>
      <c r="C360" s="13"/>
      <c r="D360" s="14"/>
      <c r="E360" s="15"/>
      <c r="F360" s="16"/>
      <c r="G360" s="17"/>
      <c r="H360" s="18"/>
      <c r="I360" s="19"/>
      <c r="J360" s="20"/>
      <c r="K360" s="21"/>
      <c r="L360" s="22"/>
      <c r="M360" s="23"/>
      <c r="N360" s="24"/>
      <c r="O360" s="25"/>
      <c r="P360" s="26"/>
      <c r="Q360" s="27"/>
      <c r="R360" s="28"/>
      <c r="S360" s="29"/>
      <c r="T360" s="30"/>
    </row>
    <row r="361" spans="1:20" ht="24" customHeight="1" x14ac:dyDescent="0.25">
      <c r="A361" t="str">
        <f>IF('e1'!A361&gt;0,HYPERLINK("#"&amp;ADDRESS(361,'e1'!A361),""),IF('r1'!A361&gt;0,HYPERLINK("#"&amp;ADDRESS(361,'r1'!A361),""),""))</f>
        <v/>
      </c>
      <c r="C361" s="13"/>
      <c r="D361" s="14"/>
      <c r="E361" s="15"/>
      <c r="F361" s="16"/>
      <c r="G361" s="17"/>
      <c r="H361" s="18"/>
      <c r="I361" s="19"/>
      <c r="J361" s="20"/>
      <c r="K361" s="21"/>
      <c r="L361" s="22"/>
      <c r="M361" s="23"/>
      <c r="N361" s="24"/>
      <c r="O361" s="25"/>
      <c r="P361" s="26"/>
      <c r="Q361" s="27"/>
      <c r="R361" s="28"/>
      <c r="S361" s="29"/>
      <c r="T361" s="30"/>
    </row>
    <row r="362" spans="1:20" ht="24" customHeight="1" x14ac:dyDescent="0.25">
      <c r="A362" t="str">
        <f>IF('e1'!A362&gt;0,HYPERLINK("#"&amp;ADDRESS(362,'e1'!A362),""),IF('r1'!A362&gt;0,HYPERLINK("#"&amp;ADDRESS(362,'r1'!A362),""),""))</f>
        <v/>
      </c>
      <c r="C362" s="13"/>
      <c r="D362" s="14"/>
      <c r="E362" s="15"/>
      <c r="F362" s="16"/>
      <c r="G362" s="17"/>
      <c r="H362" s="18"/>
      <c r="I362" s="19"/>
      <c r="J362" s="20"/>
      <c r="K362" s="21"/>
      <c r="L362" s="22"/>
      <c r="M362" s="23"/>
      <c r="N362" s="24"/>
      <c r="O362" s="25"/>
      <c r="P362" s="26"/>
      <c r="Q362" s="27"/>
      <c r="R362" s="28"/>
      <c r="S362" s="29"/>
      <c r="T362" s="30"/>
    </row>
    <row r="363" spans="1:20" ht="24" customHeight="1" x14ac:dyDescent="0.25">
      <c r="A363" t="str">
        <f>IF('e1'!A363&gt;0,HYPERLINK("#"&amp;ADDRESS(363,'e1'!A363),""),IF('r1'!A363&gt;0,HYPERLINK("#"&amp;ADDRESS(363,'r1'!A363),""),""))</f>
        <v/>
      </c>
      <c r="C363" s="13"/>
      <c r="D363" s="14"/>
      <c r="E363" s="15"/>
      <c r="F363" s="16"/>
      <c r="G363" s="17"/>
      <c r="H363" s="18"/>
      <c r="I363" s="19"/>
      <c r="J363" s="20"/>
      <c r="K363" s="21"/>
      <c r="L363" s="22"/>
      <c r="M363" s="23"/>
      <c r="N363" s="24"/>
      <c r="O363" s="25"/>
      <c r="P363" s="26"/>
      <c r="Q363" s="27"/>
      <c r="R363" s="28"/>
      <c r="S363" s="29"/>
      <c r="T363" s="30"/>
    </row>
    <row r="364" spans="1:20" ht="24" customHeight="1" x14ac:dyDescent="0.25">
      <c r="A364" t="str">
        <f>IF('e1'!A364&gt;0,HYPERLINK("#"&amp;ADDRESS(364,'e1'!A364),""),IF('r1'!A364&gt;0,HYPERLINK("#"&amp;ADDRESS(364,'r1'!A364),""),""))</f>
        <v/>
      </c>
      <c r="C364" s="13"/>
      <c r="D364" s="14"/>
      <c r="E364" s="15"/>
      <c r="F364" s="16"/>
      <c r="G364" s="17"/>
      <c r="H364" s="18"/>
      <c r="I364" s="19"/>
      <c r="J364" s="20"/>
      <c r="K364" s="21"/>
      <c r="L364" s="22"/>
      <c r="M364" s="23"/>
      <c r="N364" s="24"/>
      <c r="O364" s="25"/>
      <c r="P364" s="26"/>
      <c r="Q364" s="27"/>
      <c r="R364" s="28"/>
      <c r="S364" s="29"/>
      <c r="T364" s="30"/>
    </row>
    <row r="365" spans="1:20" ht="24" customHeight="1" x14ac:dyDescent="0.25">
      <c r="A365" t="str">
        <f>IF('e1'!A365&gt;0,HYPERLINK("#"&amp;ADDRESS(365,'e1'!A365),""),IF('r1'!A365&gt;0,HYPERLINK("#"&amp;ADDRESS(365,'r1'!A365),""),""))</f>
        <v/>
      </c>
      <c r="C365" s="13"/>
      <c r="D365" s="14"/>
      <c r="E365" s="15"/>
      <c r="F365" s="16"/>
      <c r="G365" s="17"/>
      <c r="H365" s="18"/>
      <c r="I365" s="19"/>
      <c r="J365" s="20"/>
      <c r="K365" s="21"/>
      <c r="L365" s="22"/>
      <c r="M365" s="23"/>
      <c r="N365" s="24"/>
      <c r="O365" s="25"/>
      <c r="P365" s="26"/>
      <c r="Q365" s="27"/>
      <c r="R365" s="28"/>
      <c r="S365" s="29"/>
      <c r="T365" s="30"/>
    </row>
    <row r="366" spans="1:20" ht="24" customHeight="1" x14ac:dyDescent="0.25">
      <c r="A366" t="str">
        <f>IF('e1'!A366&gt;0,HYPERLINK("#"&amp;ADDRESS(366,'e1'!A366),""),IF('r1'!A366&gt;0,HYPERLINK("#"&amp;ADDRESS(366,'r1'!A366),""),""))</f>
        <v/>
      </c>
      <c r="C366" s="13"/>
      <c r="D366" s="14"/>
      <c r="E366" s="15"/>
      <c r="F366" s="16"/>
      <c r="G366" s="17"/>
      <c r="H366" s="18"/>
      <c r="I366" s="19"/>
      <c r="J366" s="20"/>
      <c r="K366" s="21"/>
      <c r="L366" s="22"/>
      <c r="M366" s="23"/>
      <c r="N366" s="24"/>
      <c r="O366" s="25"/>
      <c r="P366" s="26"/>
      <c r="Q366" s="27"/>
      <c r="R366" s="28"/>
      <c r="S366" s="29"/>
      <c r="T366" s="30"/>
    </row>
    <row r="367" spans="1:20" ht="24" customHeight="1" x14ac:dyDescent="0.25">
      <c r="A367" t="str">
        <f>IF('e1'!A367&gt;0,HYPERLINK("#"&amp;ADDRESS(367,'e1'!A367),""),IF('r1'!A367&gt;0,HYPERLINK("#"&amp;ADDRESS(367,'r1'!A367),""),""))</f>
        <v/>
      </c>
      <c r="C367" s="13"/>
      <c r="D367" s="14"/>
      <c r="E367" s="15"/>
      <c r="F367" s="16"/>
      <c r="G367" s="17"/>
      <c r="H367" s="18"/>
      <c r="I367" s="19"/>
      <c r="J367" s="20"/>
      <c r="K367" s="21"/>
      <c r="L367" s="22"/>
      <c r="M367" s="23"/>
      <c r="N367" s="24"/>
      <c r="O367" s="25"/>
      <c r="P367" s="26"/>
      <c r="Q367" s="27"/>
      <c r="R367" s="28"/>
      <c r="S367" s="29"/>
      <c r="T367" s="30"/>
    </row>
    <row r="368" spans="1:20" ht="24" customHeight="1" x14ac:dyDescent="0.25">
      <c r="A368" t="str">
        <f>IF('e1'!A368&gt;0,HYPERLINK("#"&amp;ADDRESS(368,'e1'!A368),""),IF('r1'!A368&gt;0,HYPERLINK("#"&amp;ADDRESS(368,'r1'!A368),""),""))</f>
        <v/>
      </c>
      <c r="C368" s="13"/>
      <c r="D368" s="14"/>
      <c r="E368" s="15"/>
      <c r="F368" s="16"/>
      <c r="G368" s="17"/>
      <c r="H368" s="18"/>
      <c r="I368" s="19"/>
      <c r="J368" s="20"/>
      <c r="K368" s="21"/>
      <c r="L368" s="22"/>
      <c r="M368" s="23"/>
      <c r="N368" s="24"/>
      <c r="O368" s="25"/>
      <c r="P368" s="26"/>
      <c r="Q368" s="27"/>
      <c r="R368" s="28"/>
      <c r="S368" s="29"/>
      <c r="T368" s="30"/>
    </row>
    <row r="369" spans="1:20" ht="24" customHeight="1" x14ac:dyDescent="0.25">
      <c r="A369" t="str">
        <f>IF('e1'!A369&gt;0,HYPERLINK("#"&amp;ADDRESS(369,'e1'!A369),""),IF('r1'!A369&gt;0,HYPERLINK("#"&amp;ADDRESS(369,'r1'!A369),""),""))</f>
        <v/>
      </c>
      <c r="C369" s="13"/>
      <c r="D369" s="14"/>
      <c r="E369" s="15"/>
      <c r="F369" s="16"/>
      <c r="G369" s="17"/>
      <c r="H369" s="18"/>
      <c r="I369" s="19"/>
      <c r="J369" s="20"/>
      <c r="K369" s="21"/>
      <c r="L369" s="22"/>
      <c r="M369" s="23"/>
      <c r="N369" s="24"/>
      <c r="O369" s="25"/>
      <c r="P369" s="26"/>
      <c r="Q369" s="27"/>
      <c r="R369" s="28"/>
      <c r="S369" s="29"/>
      <c r="T369" s="30"/>
    </row>
    <row r="370" spans="1:20" ht="24" customHeight="1" x14ac:dyDescent="0.25">
      <c r="A370" t="str">
        <f>IF('e1'!A370&gt;0,HYPERLINK("#"&amp;ADDRESS(370,'e1'!A370),""),IF('r1'!A370&gt;0,HYPERLINK("#"&amp;ADDRESS(370,'r1'!A370),""),""))</f>
        <v/>
      </c>
      <c r="C370" s="13"/>
      <c r="D370" s="14"/>
      <c r="E370" s="15"/>
      <c r="F370" s="16"/>
      <c r="G370" s="17"/>
      <c r="H370" s="18"/>
      <c r="I370" s="19"/>
      <c r="J370" s="20"/>
      <c r="K370" s="21"/>
      <c r="L370" s="22"/>
      <c r="M370" s="23"/>
      <c r="N370" s="24"/>
      <c r="O370" s="25"/>
      <c r="P370" s="26"/>
      <c r="Q370" s="27"/>
      <c r="R370" s="28"/>
      <c r="S370" s="29"/>
      <c r="T370" s="30"/>
    </row>
    <row r="371" spans="1:20" ht="24" customHeight="1" x14ac:dyDescent="0.25">
      <c r="A371" t="str">
        <f>IF('e1'!A371&gt;0,HYPERLINK("#"&amp;ADDRESS(371,'e1'!A371),""),IF('r1'!A371&gt;0,HYPERLINK("#"&amp;ADDRESS(371,'r1'!A371),""),""))</f>
        <v/>
      </c>
      <c r="C371" s="13"/>
      <c r="D371" s="14"/>
      <c r="E371" s="15"/>
      <c r="F371" s="16"/>
      <c r="G371" s="17"/>
      <c r="H371" s="18"/>
      <c r="I371" s="19"/>
      <c r="J371" s="20"/>
      <c r="K371" s="21"/>
      <c r="L371" s="22"/>
      <c r="M371" s="23"/>
      <c r="N371" s="24"/>
      <c r="O371" s="25"/>
      <c r="P371" s="26"/>
      <c r="Q371" s="27"/>
      <c r="R371" s="28"/>
      <c r="S371" s="29"/>
      <c r="T371" s="30"/>
    </row>
    <row r="372" spans="1:20" ht="24" customHeight="1" x14ac:dyDescent="0.25">
      <c r="A372" t="str">
        <f>IF('e1'!A372&gt;0,HYPERLINK("#"&amp;ADDRESS(372,'e1'!A372),""),IF('r1'!A372&gt;0,HYPERLINK("#"&amp;ADDRESS(372,'r1'!A372),""),""))</f>
        <v/>
      </c>
      <c r="C372" s="13"/>
      <c r="D372" s="14"/>
      <c r="E372" s="15"/>
      <c r="F372" s="16"/>
      <c r="G372" s="17"/>
      <c r="H372" s="18"/>
      <c r="I372" s="19"/>
      <c r="J372" s="20"/>
      <c r="K372" s="21"/>
      <c r="L372" s="22"/>
      <c r="M372" s="23"/>
      <c r="N372" s="24"/>
      <c r="O372" s="25"/>
      <c r="P372" s="26"/>
      <c r="Q372" s="27"/>
      <c r="R372" s="28"/>
      <c r="S372" s="29"/>
      <c r="T372" s="30"/>
    </row>
    <row r="373" spans="1:20" ht="24" customHeight="1" x14ac:dyDescent="0.25">
      <c r="A373" t="str">
        <f>IF('e1'!A373&gt;0,HYPERLINK("#"&amp;ADDRESS(373,'e1'!A373),""),IF('r1'!A373&gt;0,HYPERLINK("#"&amp;ADDRESS(373,'r1'!A373),""),""))</f>
        <v/>
      </c>
      <c r="C373" s="13"/>
      <c r="D373" s="14"/>
      <c r="E373" s="15"/>
      <c r="F373" s="16"/>
      <c r="G373" s="17"/>
      <c r="H373" s="18"/>
      <c r="I373" s="19"/>
      <c r="J373" s="20"/>
      <c r="K373" s="21"/>
      <c r="L373" s="22"/>
      <c r="M373" s="23"/>
      <c r="N373" s="24"/>
      <c r="O373" s="25"/>
      <c r="P373" s="26"/>
      <c r="Q373" s="27"/>
      <c r="R373" s="28"/>
      <c r="S373" s="29"/>
      <c r="T373" s="30"/>
    </row>
    <row r="374" spans="1:20" ht="24" customHeight="1" x14ac:dyDescent="0.25">
      <c r="A374" t="str">
        <f>IF('e1'!A374&gt;0,HYPERLINK("#"&amp;ADDRESS(374,'e1'!A374),""),IF('r1'!A374&gt;0,HYPERLINK("#"&amp;ADDRESS(374,'r1'!A374),""),""))</f>
        <v/>
      </c>
      <c r="C374" s="13"/>
      <c r="D374" s="14"/>
      <c r="E374" s="15"/>
      <c r="F374" s="16"/>
      <c r="G374" s="17"/>
      <c r="H374" s="18"/>
      <c r="I374" s="19"/>
      <c r="J374" s="20"/>
      <c r="K374" s="21"/>
      <c r="L374" s="22"/>
      <c r="M374" s="23"/>
      <c r="N374" s="24"/>
      <c r="O374" s="25"/>
      <c r="P374" s="26"/>
      <c r="Q374" s="27"/>
      <c r="R374" s="28"/>
      <c r="S374" s="29"/>
      <c r="T374" s="30"/>
    </row>
    <row r="375" spans="1:20" ht="24" customHeight="1" x14ac:dyDescent="0.25">
      <c r="A375" t="str">
        <f>IF('e1'!A375&gt;0,HYPERLINK("#"&amp;ADDRESS(375,'e1'!A375),""),IF('r1'!A375&gt;0,HYPERLINK("#"&amp;ADDRESS(375,'r1'!A375),""),""))</f>
        <v/>
      </c>
      <c r="C375" s="13"/>
      <c r="D375" s="14"/>
      <c r="E375" s="15"/>
      <c r="F375" s="16"/>
      <c r="G375" s="17"/>
      <c r="H375" s="18"/>
      <c r="I375" s="19"/>
      <c r="J375" s="20"/>
      <c r="K375" s="21"/>
      <c r="L375" s="22"/>
      <c r="M375" s="23"/>
      <c r="N375" s="24"/>
      <c r="O375" s="25"/>
      <c r="P375" s="26"/>
      <c r="Q375" s="27"/>
      <c r="R375" s="28"/>
      <c r="S375" s="29"/>
      <c r="T375" s="30"/>
    </row>
    <row r="376" spans="1:20" ht="24" customHeight="1" x14ac:dyDescent="0.25">
      <c r="A376" t="str">
        <f>IF('e1'!A376&gt;0,HYPERLINK("#"&amp;ADDRESS(376,'e1'!A376),""),IF('r1'!A376&gt;0,HYPERLINK("#"&amp;ADDRESS(376,'r1'!A376),""),""))</f>
        <v/>
      </c>
      <c r="C376" s="13"/>
      <c r="D376" s="14"/>
      <c r="E376" s="15"/>
      <c r="F376" s="16"/>
      <c r="G376" s="17"/>
      <c r="H376" s="18"/>
      <c r="I376" s="19"/>
      <c r="J376" s="20"/>
      <c r="K376" s="21"/>
      <c r="L376" s="22"/>
      <c r="M376" s="23"/>
      <c r="N376" s="24"/>
      <c r="O376" s="25"/>
      <c r="P376" s="26"/>
      <c r="Q376" s="27"/>
      <c r="R376" s="28"/>
      <c r="S376" s="29"/>
      <c r="T376" s="30"/>
    </row>
    <row r="377" spans="1:20" ht="24" customHeight="1" x14ac:dyDescent="0.25">
      <c r="A377" t="str">
        <f>IF('e1'!A377&gt;0,HYPERLINK("#"&amp;ADDRESS(377,'e1'!A377),""),IF('r1'!A377&gt;0,HYPERLINK("#"&amp;ADDRESS(377,'r1'!A377),""),""))</f>
        <v/>
      </c>
      <c r="C377" s="13"/>
      <c r="D377" s="14"/>
      <c r="E377" s="15"/>
      <c r="F377" s="16"/>
      <c r="G377" s="17"/>
      <c r="H377" s="18"/>
      <c r="I377" s="19"/>
      <c r="J377" s="20"/>
      <c r="K377" s="21"/>
      <c r="L377" s="22"/>
      <c r="M377" s="23"/>
      <c r="N377" s="24"/>
      <c r="O377" s="25"/>
      <c r="P377" s="26"/>
      <c r="Q377" s="27"/>
      <c r="R377" s="28"/>
      <c r="S377" s="29"/>
      <c r="T377" s="30"/>
    </row>
    <row r="378" spans="1:20" ht="24" customHeight="1" x14ac:dyDescent="0.25">
      <c r="A378" t="str">
        <f>IF('e1'!A378&gt;0,HYPERLINK("#"&amp;ADDRESS(378,'e1'!A378),""),IF('r1'!A378&gt;0,HYPERLINK("#"&amp;ADDRESS(378,'r1'!A378),""),""))</f>
        <v/>
      </c>
      <c r="C378" s="13"/>
      <c r="D378" s="14"/>
      <c r="E378" s="15"/>
      <c r="F378" s="16"/>
      <c r="G378" s="17"/>
      <c r="H378" s="18"/>
      <c r="I378" s="19"/>
      <c r="J378" s="20"/>
      <c r="K378" s="21"/>
      <c r="L378" s="22"/>
      <c r="M378" s="23"/>
      <c r="N378" s="24"/>
      <c r="O378" s="25"/>
      <c r="P378" s="26"/>
      <c r="Q378" s="27"/>
      <c r="R378" s="28"/>
      <c r="S378" s="29"/>
      <c r="T378" s="30"/>
    </row>
    <row r="379" spans="1:20" ht="24" customHeight="1" x14ac:dyDescent="0.25">
      <c r="A379" t="str">
        <f>IF('e1'!A379&gt;0,HYPERLINK("#"&amp;ADDRESS(379,'e1'!A379),""),IF('r1'!A379&gt;0,HYPERLINK("#"&amp;ADDRESS(379,'r1'!A379),""),""))</f>
        <v/>
      </c>
      <c r="C379" s="13"/>
      <c r="D379" s="14"/>
      <c r="E379" s="15"/>
      <c r="F379" s="16"/>
      <c r="G379" s="17"/>
      <c r="H379" s="18"/>
      <c r="I379" s="19"/>
      <c r="J379" s="20"/>
      <c r="K379" s="21"/>
      <c r="L379" s="22"/>
      <c r="M379" s="23"/>
      <c r="N379" s="24"/>
      <c r="O379" s="25"/>
      <c r="P379" s="26"/>
      <c r="Q379" s="27"/>
      <c r="R379" s="28"/>
      <c r="S379" s="29"/>
      <c r="T379" s="30"/>
    </row>
    <row r="380" spans="1:20" ht="24" customHeight="1" x14ac:dyDescent="0.25">
      <c r="A380" t="str">
        <f>IF('e1'!A380&gt;0,HYPERLINK("#"&amp;ADDRESS(380,'e1'!A380),""),IF('r1'!A380&gt;0,HYPERLINK("#"&amp;ADDRESS(380,'r1'!A380),""),""))</f>
        <v/>
      </c>
      <c r="C380" s="13"/>
      <c r="D380" s="14"/>
      <c r="E380" s="15"/>
      <c r="F380" s="16"/>
      <c r="G380" s="17"/>
      <c r="H380" s="18"/>
      <c r="I380" s="19"/>
      <c r="J380" s="20"/>
      <c r="K380" s="21"/>
      <c r="L380" s="22"/>
      <c r="M380" s="23"/>
      <c r="N380" s="24"/>
      <c r="O380" s="25"/>
      <c r="P380" s="26"/>
      <c r="Q380" s="27"/>
      <c r="R380" s="28"/>
      <c r="S380" s="29"/>
      <c r="T380" s="30"/>
    </row>
    <row r="381" spans="1:20" ht="24" customHeight="1" x14ac:dyDescent="0.25">
      <c r="A381" t="str">
        <f>IF('e1'!A381&gt;0,HYPERLINK("#"&amp;ADDRESS(381,'e1'!A381),""),IF('r1'!A381&gt;0,HYPERLINK("#"&amp;ADDRESS(381,'r1'!A381),""),""))</f>
        <v/>
      </c>
      <c r="C381" s="13"/>
      <c r="D381" s="14"/>
      <c r="E381" s="15"/>
      <c r="F381" s="16"/>
      <c r="G381" s="17"/>
      <c r="H381" s="18"/>
      <c r="I381" s="19"/>
      <c r="J381" s="20"/>
      <c r="K381" s="21"/>
      <c r="L381" s="22"/>
      <c r="M381" s="23"/>
      <c r="N381" s="24"/>
      <c r="O381" s="25"/>
      <c r="P381" s="26"/>
      <c r="Q381" s="27"/>
      <c r="R381" s="28"/>
      <c r="S381" s="29"/>
      <c r="T381" s="30"/>
    </row>
    <row r="382" spans="1:20" ht="24" customHeight="1" x14ac:dyDescent="0.25">
      <c r="A382" t="str">
        <f>IF('e1'!A382&gt;0,HYPERLINK("#"&amp;ADDRESS(382,'e1'!A382),""),IF('r1'!A382&gt;0,HYPERLINK("#"&amp;ADDRESS(382,'r1'!A382),""),""))</f>
        <v/>
      </c>
      <c r="C382" s="13"/>
      <c r="D382" s="14"/>
      <c r="E382" s="15"/>
      <c r="F382" s="16"/>
      <c r="G382" s="17"/>
      <c r="H382" s="18"/>
      <c r="I382" s="19"/>
      <c r="J382" s="20"/>
      <c r="K382" s="21"/>
      <c r="L382" s="22"/>
      <c r="M382" s="23"/>
      <c r="N382" s="24"/>
      <c r="O382" s="25"/>
      <c r="P382" s="26"/>
      <c r="Q382" s="27"/>
      <c r="R382" s="28"/>
      <c r="S382" s="29"/>
      <c r="T382" s="30"/>
    </row>
    <row r="383" spans="1:20" ht="24" customHeight="1" x14ac:dyDescent="0.25">
      <c r="A383" t="str">
        <f>IF('e1'!A383&gt;0,HYPERLINK("#"&amp;ADDRESS(383,'e1'!A383),""),IF('r1'!A383&gt;0,HYPERLINK("#"&amp;ADDRESS(383,'r1'!A383),""),""))</f>
        <v/>
      </c>
      <c r="C383" s="13"/>
      <c r="D383" s="14"/>
      <c r="E383" s="15"/>
      <c r="F383" s="16"/>
      <c r="G383" s="17"/>
      <c r="H383" s="18"/>
      <c r="I383" s="19"/>
      <c r="J383" s="20"/>
      <c r="K383" s="21"/>
      <c r="L383" s="22"/>
      <c r="M383" s="23"/>
      <c r="N383" s="24"/>
      <c r="O383" s="25"/>
      <c r="P383" s="26"/>
      <c r="Q383" s="27"/>
      <c r="R383" s="28"/>
      <c r="S383" s="29"/>
      <c r="T383" s="30"/>
    </row>
    <row r="384" spans="1:20" ht="24" customHeight="1" x14ac:dyDescent="0.25">
      <c r="A384" t="str">
        <f>IF('e1'!A384&gt;0,HYPERLINK("#"&amp;ADDRESS(384,'e1'!A384),""),IF('r1'!A384&gt;0,HYPERLINK("#"&amp;ADDRESS(384,'r1'!A384),""),""))</f>
        <v/>
      </c>
      <c r="C384" s="13"/>
      <c r="D384" s="14"/>
      <c r="E384" s="15"/>
      <c r="F384" s="16"/>
      <c r="G384" s="17"/>
      <c r="H384" s="18"/>
      <c r="I384" s="19"/>
      <c r="J384" s="20"/>
      <c r="K384" s="21"/>
      <c r="L384" s="22"/>
      <c r="M384" s="23"/>
      <c r="N384" s="24"/>
      <c r="O384" s="25"/>
      <c r="P384" s="26"/>
      <c r="Q384" s="27"/>
      <c r="R384" s="28"/>
      <c r="S384" s="29"/>
      <c r="T384" s="30"/>
    </row>
    <row r="385" spans="1:20" ht="24" customHeight="1" x14ac:dyDescent="0.25">
      <c r="A385" t="str">
        <f>IF('e1'!A385&gt;0,HYPERLINK("#"&amp;ADDRESS(385,'e1'!A385),""),IF('r1'!A385&gt;0,HYPERLINK("#"&amp;ADDRESS(385,'r1'!A385),""),""))</f>
        <v/>
      </c>
      <c r="C385" s="13"/>
      <c r="D385" s="14"/>
      <c r="E385" s="15"/>
      <c r="F385" s="16"/>
      <c r="G385" s="17"/>
      <c r="H385" s="18"/>
      <c r="I385" s="19"/>
      <c r="J385" s="20"/>
      <c r="K385" s="21"/>
      <c r="L385" s="22"/>
      <c r="M385" s="23"/>
      <c r="N385" s="24"/>
      <c r="O385" s="25"/>
      <c r="P385" s="26"/>
      <c r="Q385" s="27"/>
      <c r="R385" s="28"/>
      <c r="S385" s="29"/>
      <c r="T385" s="30"/>
    </row>
    <row r="386" spans="1:20" ht="24" customHeight="1" x14ac:dyDescent="0.25">
      <c r="A386" t="str">
        <f>IF('e1'!A386&gt;0,HYPERLINK("#"&amp;ADDRESS(386,'e1'!A386),""),IF('r1'!A386&gt;0,HYPERLINK("#"&amp;ADDRESS(386,'r1'!A386),""),""))</f>
        <v/>
      </c>
      <c r="C386" s="13"/>
      <c r="D386" s="14"/>
      <c r="E386" s="15"/>
      <c r="F386" s="16"/>
      <c r="G386" s="17"/>
      <c r="H386" s="18"/>
      <c r="I386" s="19"/>
      <c r="J386" s="20"/>
      <c r="K386" s="21"/>
      <c r="L386" s="22"/>
      <c r="M386" s="23"/>
      <c r="N386" s="24"/>
      <c r="O386" s="25"/>
      <c r="P386" s="26"/>
      <c r="Q386" s="27"/>
      <c r="R386" s="28"/>
      <c r="S386" s="29"/>
      <c r="T386" s="30"/>
    </row>
    <row r="387" spans="1:20" ht="24" customHeight="1" x14ac:dyDescent="0.25">
      <c r="A387" t="str">
        <f>IF('e1'!A387&gt;0,HYPERLINK("#"&amp;ADDRESS(387,'e1'!A387),""),IF('r1'!A387&gt;0,HYPERLINK("#"&amp;ADDRESS(387,'r1'!A387),""),""))</f>
        <v/>
      </c>
      <c r="C387" s="13"/>
      <c r="D387" s="14"/>
      <c r="E387" s="15"/>
      <c r="F387" s="16"/>
      <c r="G387" s="17"/>
      <c r="H387" s="18"/>
      <c r="I387" s="19"/>
      <c r="J387" s="20"/>
      <c r="K387" s="21"/>
      <c r="L387" s="22"/>
      <c r="M387" s="23"/>
      <c r="N387" s="24"/>
      <c r="O387" s="25"/>
      <c r="P387" s="26"/>
      <c r="Q387" s="27"/>
      <c r="R387" s="28"/>
      <c r="S387" s="29"/>
      <c r="T387" s="30"/>
    </row>
    <row r="388" spans="1:20" ht="24" customHeight="1" x14ac:dyDescent="0.25">
      <c r="A388" t="str">
        <f>IF('e1'!A388&gt;0,HYPERLINK("#"&amp;ADDRESS(388,'e1'!A388),""),IF('r1'!A388&gt;0,HYPERLINK("#"&amp;ADDRESS(388,'r1'!A388),""),""))</f>
        <v/>
      </c>
      <c r="C388" s="13"/>
      <c r="D388" s="14"/>
      <c r="E388" s="15"/>
      <c r="F388" s="16"/>
      <c r="G388" s="17"/>
      <c r="H388" s="18"/>
      <c r="I388" s="19"/>
      <c r="J388" s="20"/>
      <c r="K388" s="21"/>
      <c r="L388" s="22"/>
      <c r="M388" s="23"/>
      <c r="N388" s="24"/>
      <c r="O388" s="25"/>
      <c r="P388" s="26"/>
      <c r="Q388" s="27"/>
      <c r="R388" s="28"/>
      <c r="S388" s="29"/>
      <c r="T388" s="30"/>
    </row>
    <row r="389" spans="1:20" ht="24" customHeight="1" x14ac:dyDescent="0.25">
      <c r="A389" t="str">
        <f>IF('e1'!A389&gt;0,HYPERLINK("#"&amp;ADDRESS(389,'e1'!A389),""),IF('r1'!A389&gt;0,HYPERLINK("#"&amp;ADDRESS(389,'r1'!A389),""),""))</f>
        <v/>
      </c>
      <c r="C389" s="13"/>
      <c r="D389" s="14"/>
      <c r="E389" s="15"/>
      <c r="F389" s="16"/>
      <c r="G389" s="17"/>
      <c r="H389" s="18"/>
      <c r="I389" s="19"/>
      <c r="J389" s="20"/>
      <c r="K389" s="21"/>
      <c r="L389" s="22"/>
      <c r="M389" s="23"/>
      <c r="N389" s="24"/>
      <c r="O389" s="25"/>
      <c r="P389" s="26"/>
      <c r="Q389" s="27"/>
      <c r="R389" s="28"/>
      <c r="S389" s="29"/>
      <c r="T389" s="30"/>
    </row>
    <row r="390" spans="1:20" ht="24" customHeight="1" x14ac:dyDescent="0.25">
      <c r="A390" t="str">
        <f>IF('e1'!A390&gt;0,HYPERLINK("#"&amp;ADDRESS(390,'e1'!A390),""),IF('r1'!A390&gt;0,HYPERLINK("#"&amp;ADDRESS(390,'r1'!A390),""),""))</f>
        <v/>
      </c>
      <c r="C390" s="13"/>
      <c r="D390" s="14"/>
      <c r="E390" s="15"/>
      <c r="F390" s="16"/>
      <c r="G390" s="17"/>
      <c r="H390" s="18"/>
      <c r="I390" s="19"/>
      <c r="J390" s="20"/>
      <c r="K390" s="21"/>
      <c r="L390" s="22"/>
      <c r="M390" s="23"/>
      <c r="N390" s="24"/>
      <c r="O390" s="25"/>
      <c r="P390" s="26"/>
      <c r="Q390" s="27"/>
      <c r="R390" s="28"/>
      <c r="S390" s="29"/>
      <c r="T390" s="30"/>
    </row>
    <row r="391" spans="1:20" ht="24" customHeight="1" x14ac:dyDescent="0.25">
      <c r="A391" t="str">
        <f>IF('e1'!A391&gt;0,HYPERLINK("#"&amp;ADDRESS(391,'e1'!A391),""),IF('r1'!A391&gt;0,HYPERLINK("#"&amp;ADDRESS(391,'r1'!A391),""),""))</f>
        <v/>
      </c>
      <c r="C391" s="13"/>
      <c r="D391" s="14"/>
      <c r="E391" s="15"/>
      <c r="F391" s="16"/>
      <c r="G391" s="17"/>
      <c r="H391" s="18"/>
      <c r="I391" s="19"/>
      <c r="J391" s="20"/>
      <c r="K391" s="21"/>
      <c r="L391" s="22"/>
      <c r="M391" s="23"/>
      <c r="N391" s="24"/>
      <c r="O391" s="25"/>
      <c r="P391" s="26"/>
      <c r="Q391" s="27"/>
      <c r="R391" s="28"/>
      <c r="S391" s="29"/>
      <c r="T391" s="30"/>
    </row>
    <row r="392" spans="1:20" ht="24" customHeight="1" x14ac:dyDescent="0.25">
      <c r="A392" t="str">
        <f>IF('e1'!A392&gt;0,HYPERLINK("#"&amp;ADDRESS(392,'e1'!A392),""),IF('r1'!A392&gt;0,HYPERLINK("#"&amp;ADDRESS(392,'r1'!A392),""),""))</f>
        <v/>
      </c>
      <c r="C392" s="13"/>
      <c r="D392" s="14"/>
      <c r="E392" s="15"/>
      <c r="F392" s="16"/>
      <c r="G392" s="17"/>
      <c r="H392" s="18"/>
      <c r="I392" s="19"/>
      <c r="J392" s="20"/>
      <c r="K392" s="21"/>
      <c r="L392" s="22"/>
      <c r="M392" s="23"/>
      <c r="N392" s="24"/>
      <c r="O392" s="25"/>
      <c r="P392" s="26"/>
      <c r="Q392" s="27"/>
      <c r="R392" s="28"/>
      <c r="S392" s="29"/>
      <c r="T392" s="30"/>
    </row>
    <row r="393" spans="1:20" ht="24" customHeight="1" x14ac:dyDescent="0.25">
      <c r="A393" t="str">
        <f>IF('e1'!A393&gt;0,HYPERLINK("#"&amp;ADDRESS(393,'e1'!A393),""),IF('r1'!A393&gt;0,HYPERLINK("#"&amp;ADDRESS(393,'r1'!A393),""),""))</f>
        <v/>
      </c>
      <c r="C393" s="13"/>
      <c r="D393" s="14"/>
      <c r="E393" s="15"/>
      <c r="F393" s="16"/>
      <c r="G393" s="17"/>
      <c r="H393" s="18"/>
      <c r="I393" s="19"/>
      <c r="J393" s="20"/>
      <c r="K393" s="21"/>
      <c r="L393" s="22"/>
      <c r="M393" s="23"/>
      <c r="N393" s="24"/>
      <c r="O393" s="25"/>
      <c r="P393" s="26"/>
      <c r="Q393" s="27"/>
      <c r="R393" s="28"/>
      <c r="S393" s="29"/>
      <c r="T393" s="30"/>
    </row>
    <row r="394" spans="1:20" ht="24" customHeight="1" x14ac:dyDescent="0.25">
      <c r="A394" t="str">
        <f>IF('e1'!A394&gt;0,HYPERLINK("#"&amp;ADDRESS(394,'e1'!A394),""),IF('r1'!A394&gt;0,HYPERLINK("#"&amp;ADDRESS(394,'r1'!A394),""),""))</f>
        <v/>
      </c>
      <c r="C394" s="13"/>
      <c r="D394" s="14"/>
      <c r="E394" s="15"/>
      <c r="F394" s="16"/>
      <c r="G394" s="17"/>
      <c r="H394" s="18"/>
      <c r="I394" s="19"/>
      <c r="J394" s="20"/>
      <c r="K394" s="21"/>
      <c r="L394" s="22"/>
      <c r="M394" s="23"/>
      <c r="N394" s="24"/>
      <c r="O394" s="25"/>
      <c r="P394" s="26"/>
      <c r="Q394" s="27"/>
      <c r="R394" s="28"/>
      <c r="S394" s="29"/>
      <c r="T394" s="30"/>
    </row>
    <row r="395" spans="1:20" ht="24" customHeight="1" x14ac:dyDescent="0.25">
      <c r="A395" t="str">
        <f>IF('e1'!A395&gt;0,HYPERLINK("#"&amp;ADDRESS(395,'e1'!A395),""),IF('r1'!A395&gt;0,HYPERLINK("#"&amp;ADDRESS(395,'r1'!A395),""),""))</f>
        <v/>
      </c>
      <c r="C395" s="13"/>
      <c r="D395" s="14"/>
      <c r="E395" s="15"/>
      <c r="F395" s="16"/>
      <c r="G395" s="17"/>
      <c r="H395" s="18"/>
      <c r="I395" s="19"/>
      <c r="J395" s="20"/>
      <c r="K395" s="21"/>
      <c r="L395" s="22"/>
      <c r="M395" s="23"/>
      <c r="N395" s="24"/>
      <c r="O395" s="25"/>
      <c r="P395" s="26"/>
      <c r="Q395" s="27"/>
      <c r="R395" s="28"/>
      <c r="S395" s="29"/>
      <c r="T395" s="30"/>
    </row>
    <row r="396" spans="1:20" ht="24" customHeight="1" x14ac:dyDescent="0.25">
      <c r="A396" t="str">
        <f>IF('e1'!A396&gt;0,HYPERLINK("#"&amp;ADDRESS(396,'e1'!A396),""),IF('r1'!A396&gt;0,HYPERLINK("#"&amp;ADDRESS(396,'r1'!A396),""),""))</f>
        <v/>
      </c>
      <c r="C396" s="13"/>
      <c r="D396" s="14"/>
      <c r="E396" s="15"/>
      <c r="F396" s="16"/>
      <c r="G396" s="17"/>
      <c r="H396" s="18"/>
      <c r="I396" s="19"/>
      <c r="J396" s="20"/>
      <c r="K396" s="21"/>
      <c r="L396" s="22"/>
      <c r="M396" s="23"/>
      <c r="N396" s="24"/>
      <c r="O396" s="25"/>
      <c r="P396" s="26"/>
      <c r="Q396" s="27"/>
      <c r="R396" s="28"/>
      <c r="S396" s="29"/>
      <c r="T396" s="30"/>
    </row>
    <row r="397" spans="1:20" ht="24" customHeight="1" x14ac:dyDescent="0.25">
      <c r="A397" t="str">
        <f>IF('e1'!A397&gt;0,HYPERLINK("#"&amp;ADDRESS(397,'e1'!A397),""),IF('r1'!A397&gt;0,HYPERLINK("#"&amp;ADDRESS(397,'r1'!A397),""),""))</f>
        <v/>
      </c>
      <c r="C397" s="13"/>
      <c r="D397" s="14"/>
      <c r="E397" s="15"/>
      <c r="F397" s="16"/>
      <c r="G397" s="17"/>
      <c r="H397" s="18"/>
      <c r="I397" s="19"/>
      <c r="J397" s="20"/>
      <c r="K397" s="21"/>
      <c r="L397" s="22"/>
      <c r="M397" s="23"/>
      <c r="N397" s="24"/>
      <c r="O397" s="25"/>
      <c r="P397" s="26"/>
      <c r="Q397" s="27"/>
      <c r="R397" s="28"/>
      <c r="S397" s="29"/>
      <c r="T397" s="30"/>
    </row>
    <row r="398" spans="1:20" ht="24" customHeight="1" x14ac:dyDescent="0.25">
      <c r="A398" t="str">
        <f>IF('e1'!A398&gt;0,HYPERLINK("#"&amp;ADDRESS(398,'e1'!A398),""),IF('r1'!A398&gt;0,HYPERLINK("#"&amp;ADDRESS(398,'r1'!A398),""),""))</f>
        <v/>
      </c>
      <c r="C398" s="13"/>
      <c r="D398" s="14"/>
      <c r="E398" s="15"/>
      <c r="F398" s="16"/>
      <c r="G398" s="17"/>
      <c r="H398" s="18"/>
      <c r="I398" s="19"/>
      <c r="J398" s="20"/>
      <c r="K398" s="21"/>
      <c r="L398" s="22"/>
      <c r="M398" s="23"/>
      <c r="N398" s="24"/>
      <c r="O398" s="25"/>
      <c r="P398" s="26"/>
      <c r="Q398" s="27"/>
      <c r="R398" s="28"/>
      <c r="S398" s="29"/>
      <c r="T398" s="30"/>
    </row>
    <row r="399" spans="1:20" ht="24" customHeight="1" x14ac:dyDescent="0.25">
      <c r="A399" t="str">
        <f>IF('e1'!A399&gt;0,HYPERLINK("#"&amp;ADDRESS(399,'e1'!A399),""),IF('r1'!A399&gt;0,HYPERLINK("#"&amp;ADDRESS(399,'r1'!A399),""),""))</f>
        <v/>
      </c>
      <c r="C399" s="13"/>
      <c r="D399" s="14"/>
      <c r="E399" s="15"/>
      <c r="F399" s="16"/>
      <c r="G399" s="17"/>
      <c r="H399" s="18"/>
      <c r="I399" s="19"/>
      <c r="J399" s="20"/>
      <c r="K399" s="21"/>
      <c r="L399" s="22"/>
      <c r="M399" s="23"/>
      <c r="N399" s="24"/>
      <c r="O399" s="25"/>
      <c r="P399" s="26"/>
      <c r="Q399" s="27"/>
      <c r="R399" s="28"/>
      <c r="S399" s="29"/>
      <c r="T399" s="30"/>
    </row>
    <row r="400" spans="1:20" ht="24" customHeight="1" x14ac:dyDescent="0.25">
      <c r="A400" t="str">
        <f>IF('e1'!A400&gt;0,HYPERLINK("#"&amp;ADDRESS(400,'e1'!A400),""),IF('r1'!A400&gt;0,HYPERLINK("#"&amp;ADDRESS(400,'r1'!A400),""),""))</f>
        <v/>
      </c>
      <c r="C400" s="13"/>
      <c r="D400" s="14"/>
      <c r="E400" s="15"/>
      <c r="F400" s="16"/>
      <c r="G400" s="17"/>
      <c r="H400" s="18"/>
      <c r="I400" s="19"/>
      <c r="J400" s="20"/>
      <c r="K400" s="21"/>
      <c r="L400" s="22"/>
      <c r="M400" s="23"/>
      <c r="N400" s="24"/>
      <c r="O400" s="25"/>
      <c r="P400" s="26"/>
      <c r="Q400" s="27"/>
      <c r="R400" s="28"/>
      <c r="S400" s="29"/>
      <c r="T400" s="30"/>
    </row>
    <row r="401" spans="1:20" ht="24" customHeight="1" x14ac:dyDescent="0.25">
      <c r="A401" t="str">
        <f>IF('e1'!A401&gt;0,HYPERLINK("#"&amp;ADDRESS(401,'e1'!A401),""),IF('r1'!A401&gt;0,HYPERLINK("#"&amp;ADDRESS(401,'r1'!A401),""),""))</f>
        <v/>
      </c>
      <c r="C401" s="13"/>
      <c r="D401" s="14"/>
      <c r="E401" s="15"/>
      <c r="F401" s="16"/>
      <c r="G401" s="17"/>
      <c r="H401" s="18"/>
      <c r="I401" s="19"/>
      <c r="J401" s="20"/>
      <c r="K401" s="21"/>
      <c r="L401" s="22"/>
      <c r="M401" s="23"/>
      <c r="N401" s="24"/>
      <c r="O401" s="25"/>
      <c r="P401" s="26"/>
      <c r="Q401" s="27"/>
      <c r="R401" s="28"/>
      <c r="S401" s="29"/>
      <c r="T401" s="30"/>
    </row>
    <row r="402" spans="1:20" ht="24" customHeight="1" x14ac:dyDescent="0.25">
      <c r="A402" t="str">
        <f>IF('e1'!A402&gt;0,HYPERLINK("#"&amp;ADDRESS(402,'e1'!A402),""),IF('r1'!A402&gt;0,HYPERLINK("#"&amp;ADDRESS(402,'r1'!A402),""),""))</f>
        <v/>
      </c>
      <c r="C402" s="13"/>
      <c r="D402" s="14"/>
      <c r="E402" s="15"/>
      <c r="F402" s="16"/>
      <c r="G402" s="17"/>
      <c r="H402" s="18"/>
      <c r="I402" s="19"/>
      <c r="J402" s="20"/>
      <c r="K402" s="21"/>
      <c r="L402" s="22"/>
      <c r="M402" s="23"/>
      <c r="N402" s="24"/>
      <c r="O402" s="25"/>
      <c r="P402" s="26"/>
      <c r="Q402" s="27"/>
      <c r="R402" s="28"/>
      <c r="S402" s="29"/>
      <c r="T402" s="30"/>
    </row>
    <row r="403" spans="1:20" ht="24" customHeight="1" x14ac:dyDescent="0.25">
      <c r="A403" t="str">
        <f>IF('e1'!A403&gt;0,HYPERLINK("#"&amp;ADDRESS(403,'e1'!A403),""),IF('r1'!A403&gt;0,HYPERLINK("#"&amp;ADDRESS(403,'r1'!A403),""),""))</f>
        <v/>
      </c>
      <c r="C403" s="13"/>
      <c r="D403" s="14"/>
      <c r="E403" s="15"/>
      <c r="F403" s="16"/>
      <c r="G403" s="17"/>
      <c r="H403" s="18"/>
      <c r="I403" s="19"/>
      <c r="J403" s="20"/>
      <c r="K403" s="21"/>
      <c r="L403" s="22"/>
      <c r="M403" s="23"/>
      <c r="N403" s="24"/>
      <c r="O403" s="25"/>
      <c r="P403" s="26"/>
      <c r="Q403" s="27"/>
      <c r="R403" s="28"/>
      <c r="S403" s="29"/>
      <c r="T403" s="30"/>
    </row>
    <row r="404" spans="1:20" ht="24" customHeight="1" x14ac:dyDescent="0.25">
      <c r="A404" t="str">
        <f>IF('e1'!A404&gt;0,HYPERLINK("#"&amp;ADDRESS(404,'e1'!A404),""),IF('r1'!A404&gt;0,HYPERLINK("#"&amp;ADDRESS(404,'r1'!A404),""),""))</f>
        <v/>
      </c>
      <c r="C404" s="13"/>
      <c r="D404" s="14"/>
      <c r="E404" s="15"/>
      <c r="F404" s="16"/>
      <c r="G404" s="17"/>
      <c r="H404" s="18"/>
      <c r="I404" s="19"/>
      <c r="J404" s="20"/>
      <c r="K404" s="21"/>
      <c r="L404" s="22"/>
      <c r="M404" s="23"/>
      <c r="N404" s="24"/>
      <c r="O404" s="25"/>
      <c r="P404" s="26"/>
      <c r="Q404" s="27"/>
      <c r="R404" s="28"/>
      <c r="S404" s="29"/>
      <c r="T404" s="30"/>
    </row>
    <row r="405" spans="1:20" ht="24" customHeight="1" x14ac:dyDescent="0.25">
      <c r="A405" t="str">
        <f>IF('e1'!A405&gt;0,HYPERLINK("#"&amp;ADDRESS(405,'e1'!A405),""),IF('r1'!A405&gt;0,HYPERLINK("#"&amp;ADDRESS(405,'r1'!A405),""),""))</f>
        <v/>
      </c>
      <c r="C405" s="13"/>
      <c r="D405" s="14"/>
      <c r="E405" s="15"/>
      <c r="F405" s="16"/>
      <c r="G405" s="17"/>
      <c r="H405" s="18"/>
      <c r="I405" s="19"/>
      <c r="J405" s="20"/>
      <c r="K405" s="21"/>
      <c r="L405" s="22"/>
      <c r="M405" s="23"/>
      <c r="N405" s="24"/>
      <c r="O405" s="25"/>
      <c r="P405" s="26"/>
      <c r="Q405" s="27"/>
      <c r="R405" s="28"/>
      <c r="S405" s="29"/>
      <c r="T405" s="30"/>
    </row>
    <row r="406" spans="1:20" ht="24" customHeight="1" x14ac:dyDescent="0.25">
      <c r="A406" t="str">
        <f>IF('e1'!A406&gt;0,HYPERLINK("#"&amp;ADDRESS(406,'e1'!A406),""),IF('r1'!A406&gt;0,HYPERLINK("#"&amp;ADDRESS(406,'r1'!A406),""),""))</f>
        <v/>
      </c>
      <c r="C406" s="13"/>
      <c r="D406" s="14"/>
      <c r="E406" s="15"/>
      <c r="F406" s="16"/>
      <c r="G406" s="17"/>
      <c r="H406" s="18"/>
      <c r="I406" s="19"/>
      <c r="J406" s="20"/>
      <c r="K406" s="21"/>
      <c r="L406" s="22"/>
      <c r="M406" s="23"/>
      <c r="N406" s="24"/>
      <c r="O406" s="25"/>
      <c r="P406" s="26"/>
      <c r="Q406" s="27"/>
      <c r="R406" s="28"/>
      <c r="S406" s="29"/>
      <c r="T406" s="30"/>
    </row>
    <row r="407" spans="1:20" ht="24" customHeight="1" x14ac:dyDescent="0.25">
      <c r="A407" t="str">
        <f>IF('e1'!A407&gt;0,HYPERLINK("#"&amp;ADDRESS(407,'e1'!A407),""),IF('r1'!A407&gt;0,HYPERLINK("#"&amp;ADDRESS(407,'r1'!A407),""),""))</f>
        <v/>
      </c>
      <c r="C407" s="13"/>
      <c r="D407" s="14"/>
      <c r="E407" s="15"/>
      <c r="F407" s="16"/>
      <c r="G407" s="17"/>
      <c r="H407" s="18"/>
      <c r="I407" s="19"/>
      <c r="J407" s="20"/>
      <c r="K407" s="21"/>
      <c r="L407" s="22"/>
      <c r="M407" s="23"/>
      <c r="N407" s="24"/>
      <c r="O407" s="25"/>
      <c r="P407" s="26"/>
      <c r="Q407" s="27"/>
      <c r="R407" s="28"/>
      <c r="S407" s="29"/>
      <c r="T407" s="30"/>
    </row>
    <row r="408" spans="1:20" ht="24" customHeight="1" x14ac:dyDescent="0.25">
      <c r="A408" t="str">
        <f>IF('e1'!A408&gt;0,HYPERLINK("#"&amp;ADDRESS(408,'e1'!A408),""),IF('r1'!A408&gt;0,HYPERLINK("#"&amp;ADDRESS(408,'r1'!A408),""),""))</f>
        <v/>
      </c>
      <c r="C408" s="13"/>
      <c r="D408" s="14"/>
      <c r="E408" s="15"/>
      <c r="F408" s="16"/>
      <c r="G408" s="17"/>
      <c r="H408" s="18"/>
      <c r="I408" s="19"/>
      <c r="J408" s="20"/>
      <c r="K408" s="21"/>
      <c r="L408" s="22"/>
      <c r="M408" s="23"/>
      <c r="N408" s="24"/>
      <c r="O408" s="25"/>
      <c r="P408" s="26"/>
      <c r="Q408" s="27"/>
      <c r="R408" s="28"/>
      <c r="S408" s="29"/>
      <c r="T408" s="30"/>
    </row>
    <row r="409" spans="1:20" ht="24" customHeight="1" x14ac:dyDescent="0.25">
      <c r="A409" t="str">
        <f>IF('e1'!A409&gt;0,HYPERLINK("#"&amp;ADDRESS(409,'e1'!A409),""),IF('r1'!A409&gt;0,HYPERLINK("#"&amp;ADDRESS(409,'r1'!A409),""),""))</f>
        <v/>
      </c>
      <c r="C409" s="13"/>
      <c r="D409" s="14"/>
      <c r="E409" s="15"/>
      <c r="F409" s="16"/>
      <c r="G409" s="17"/>
      <c r="H409" s="18"/>
      <c r="I409" s="19"/>
      <c r="J409" s="20"/>
      <c r="K409" s="21"/>
      <c r="L409" s="22"/>
      <c r="M409" s="23"/>
      <c r="N409" s="24"/>
      <c r="O409" s="25"/>
      <c r="P409" s="26"/>
      <c r="Q409" s="27"/>
      <c r="R409" s="28"/>
      <c r="S409" s="29"/>
      <c r="T409" s="30"/>
    </row>
    <row r="410" spans="1:20" ht="24" customHeight="1" x14ac:dyDescent="0.25">
      <c r="A410" t="str">
        <f>IF('e1'!A410&gt;0,HYPERLINK("#"&amp;ADDRESS(410,'e1'!A410),""),IF('r1'!A410&gt;0,HYPERLINK("#"&amp;ADDRESS(410,'r1'!A410),""),""))</f>
        <v/>
      </c>
      <c r="C410" s="13"/>
      <c r="D410" s="14"/>
      <c r="E410" s="15"/>
      <c r="F410" s="16"/>
      <c r="G410" s="17"/>
      <c r="H410" s="18"/>
      <c r="I410" s="19"/>
      <c r="J410" s="20"/>
      <c r="K410" s="21"/>
      <c r="L410" s="22"/>
      <c r="M410" s="23"/>
      <c r="N410" s="24"/>
      <c r="O410" s="25"/>
      <c r="P410" s="26"/>
      <c r="Q410" s="27"/>
      <c r="R410" s="28"/>
      <c r="S410" s="29"/>
      <c r="T410" s="30"/>
    </row>
    <row r="411" spans="1:20" ht="24" customHeight="1" x14ac:dyDescent="0.25">
      <c r="A411" t="str">
        <f>IF('e1'!A411&gt;0,HYPERLINK("#"&amp;ADDRESS(411,'e1'!A411),""),IF('r1'!A411&gt;0,HYPERLINK("#"&amp;ADDRESS(411,'r1'!A411),""),""))</f>
        <v/>
      </c>
      <c r="C411" s="13"/>
      <c r="D411" s="14"/>
      <c r="E411" s="15"/>
      <c r="F411" s="16"/>
      <c r="G411" s="17"/>
      <c r="H411" s="18"/>
      <c r="I411" s="19"/>
      <c r="J411" s="20"/>
      <c r="K411" s="21"/>
      <c r="L411" s="22"/>
      <c r="M411" s="23"/>
      <c r="N411" s="24"/>
      <c r="O411" s="25"/>
      <c r="P411" s="26"/>
      <c r="Q411" s="27"/>
      <c r="R411" s="28"/>
      <c r="S411" s="29"/>
      <c r="T411" s="30"/>
    </row>
    <row r="412" spans="1:20" ht="24" customHeight="1" x14ac:dyDescent="0.25">
      <c r="A412" t="str">
        <f>IF('e1'!A412&gt;0,HYPERLINK("#"&amp;ADDRESS(412,'e1'!A412),""),IF('r1'!A412&gt;0,HYPERLINK("#"&amp;ADDRESS(412,'r1'!A412),""),""))</f>
        <v/>
      </c>
      <c r="C412" s="13"/>
      <c r="D412" s="14"/>
      <c r="E412" s="15"/>
      <c r="F412" s="16"/>
      <c r="G412" s="17"/>
      <c r="H412" s="18"/>
      <c r="I412" s="19"/>
      <c r="J412" s="20"/>
      <c r="K412" s="21"/>
      <c r="L412" s="22"/>
      <c r="M412" s="23"/>
      <c r="N412" s="24"/>
      <c r="O412" s="25"/>
      <c r="P412" s="26"/>
      <c r="Q412" s="27"/>
      <c r="R412" s="28"/>
      <c r="S412" s="29"/>
      <c r="T412" s="30"/>
    </row>
    <row r="413" spans="1:20" ht="24" customHeight="1" x14ac:dyDescent="0.25">
      <c r="A413" t="str">
        <f>IF('e1'!A413&gt;0,HYPERLINK("#"&amp;ADDRESS(413,'e1'!A413),""),IF('r1'!A413&gt;0,HYPERLINK("#"&amp;ADDRESS(413,'r1'!A413),""),""))</f>
        <v/>
      </c>
      <c r="C413" s="13"/>
      <c r="D413" s="14"/>
      <c r="E413" s="15"/>
      <c r="F413" s="16"/>
      <c r="G413" s="17"/>
      <c r="H413" s="18"/>
      <c r="I413" s="19"/>
      <c r="J413" s="20"/>
      <c r="K413" s="21"/>
      <c r="L413" s="22"/>
      <c r="M413" s="23"/>
      <c r="N413" s="24"/>
      <c r="O413" s="25"/>
      <c r="P413" s="26"/>
      <c r="Q413" s="27"/>
      <c r="R413" s="28"/>
      <c r="S413" s="29"/>
      <c r="T413" s="30"/>
    </row>
    <row r="414" spans="1:20" ht="24" customHeight="1" x14ac:dyDescent="0.25">
      <c r="A414" t="str">
        <f>IF('e1'!A414&gt;0,HYPERLINK("#"&amp;ADDRESS(414,'e1'!A414),""),IF('r1'!A414&gt;0,HYPERLINK("#"&amp;ADDRESS(414,'r1'!A414),""),""))</f>
        <v/>
      </c>
      <c r="C414" s="13"/>
      <c r="D414" s="14"/>
      <c r="E414" s="15"/>
      <c r="F414" s="16"/>
      <c r="G414" s="17"/>
      <c r="H414" s="18"/>
      <c r="I414" s="19"/>
      <c r="J414" s="20"/>
      <c r="K414" s="21"/>
      <c r="L414" s="22"/>
      <c r="M414" s="23"/>
      <c r="N414" s="24"/>
      <c r="O414" s="25"/>
      <c r="P414" s="26"/>
      <c r="Q414" s="27"/>
      <c r="R414" s="28"/>
      <c r="S414" s="29"/>
      <c r="T414" s="30"/>
    </row>
    <row r="415" spans="1:20" ht="24" customHeight="1" x14ac:dyDescent="0.25">
      <c r="A415" t="str">
        <f>IF('e1'!A415&gt;0,HYPERLINK("#"&amp;ADDRESS(415,'e1'!A415),""),IF('r1'!A415&gt;0,HYPERLINK("#"&amp;ADDRESS(415,'r1'!A415),""),""))</f>
        <v/>
      </c>
      <c r="C415" s="13"/>
      <c r="D415" s="14"/>
      <c r="E415" s="15"/>
      <c r="F415" s="16"/>
      <c r="G415" s="17"/>
      <c r="H415" s="18"/>
      <c r="I415" s="19"/>
      <c r="J415" s="20"/>
      <c r="K415" s="21"/>
      <c r="L415" s="22"/>
      <c r="M415" s="23"/>
      <c r="N415" s="24"/>
      <c r="O415" s="25"/>
      <c r="P415" s="26"/>
      <c r="Q415" s="27"/>
      <c r="R415" s="28"/>
      <c r="S415" s="29"/>
      <c r="T415" s="30"/>
    </row>
    <row r="416" spans="1:20" ht="24" customHeight="1" x14ac:dyDescent="0.25">
      <c r="A416" t="str">
        <f>IF('e1'!A416&gt;0,HYPERLINK("#"&amp;ADDRESS(416,'e1'!A416),""),IF('r1'!A416&gt;0,HYPERLINK("#"&amp;ADDRESS(416,'r1'!A416),""),""))</f>
        <v/>
      </c>
      <c r="C416" s="13"/>
      <c r="D416" s="14"/>
      <c r="E416" s="15"/>
      <c r="F416" s="16"/>
      <c r="G416" s="17"/>
      <c r="H416" s="18"/>
      <c r="I416" s="19"/>
      <c r="J416" s="20"/>
      <c r="K416" s="21"/>
      <c r="L416" s="22"/>
      <c r="M416" s="23"/>
      <c r="N416" s="24"/>
      <c r="O416" s="25"/>
      <c r="P416" s="26"/>
      <c r="Q416" s="27"/>
      <c r="R416" s="28"/>
      <c r="S416" s="29"/>
      <c r="T416" s="30"/>
    </row>
    <row r="417" spans="1:20" ht="24" customHeight="1" x14ac:dyDescent="0.25">
      <c r="A417" t="str">
        <f>IF('e1'!A417&gt;0,HYPERLINK("#"&amp;ADDRESS(417,'e1'!A417),""),IF('r1'!A417&gt;0,HYPERLINK("#"&amp;ADDRESS(417,'r1'!A417),""),""))</f>
        <v/>
      </c>
      <c r="C417" s="13"/>
      <c r="D417" s="14"/>
      <c r="E417" s="15"/>
      <c r="F417" s="16"/>
      <c r="G417" s="17"/>
      <c r="H417" s="18"/>
      <c r="I417" s="19"/>
      <c r="J417" s="20"/>
      <c r="K417" s="21"/>
      <c r="L417" s="22"/>
      <c r="M417" s="23"/>
      <c r="N417" s="24"/>
      <c r="O417" s="25"/>
      <c r="P417" s="26"/>
      <c r="Q417" s="27"/>
      <c r="R417" s="28"/>
      <c r="S417" s="29"/>
      <c r="T417" s="30"/>
    </row>
    <row r="418" spans="1:20" ht="24" customHeight="1" x14ac:dyDescent="0.25">
      <c r="A418" t="str">
        <f>IF('e1'!A418&gt;0,HYPERLINK("#"&amp;ADDRESS(418,'e1'!A418),""),IF('r1'!A418&gt;0,HYPERLINK("#"&amp;ADDRESS(418,'r1'!A418),""),""))</f>
        <v/>
      </c>
      <c r="C418" s="13"/>
      <c r="D418" s="14"/>
      <c r="E418" s="15"/>
      <c r="F418" s="16"/>
      <c r="G418" s="17"/>
      <c r="H418" s="18"/>
      <c r="I418" s="19"/>
      <c r="J418" s="20"/>
      <c r="K418" s="21"/>
      <c r="L418" s="22"/>
      <c r="M418" s="23"/>
      <c r="N418" s="24"/>
      <c r="O418" s="25"/>
      <c r="P418" s="26"/>
      <c r="Q418" s="27"/>
      <c r="R418" s="28"/>
      <c r="S418" s="29"/>
      <c r="T418" s="30"/>
    </row>
    <row r="419" spans="1:20" ht="24" customHeight="1" x14ac:dyDescent="0.25">
      <c r="A419" t="str">
        <f>IF('e1'!A419&gt;0,HYPERLINK("#"&amp;ADDRESS(419,'e1'!A419),""),IF('r1'!A419&gt;0,HYPERLINK("#"&amp;ADDRESS(419,'r1'!A419),""),""))</f>
        <v/>
      </c>
      <c r="C419" s="13"/>
      <c r="D419" s="14"/>
      <c r="E419" s="15"/>
      <c r="F419" s="16"/>
      <c r="G419" s="17"/>
      <c r="H419" s="18"/>
      <c r="I419" s="19"/>
      <c r="J419" s="20"/>
      <c r="K419" s="21"/>
      <c r="L419" s="22"/>
      <c r="M419" s="23"/>
      <c r="N419" s="24"/>
      <c r="O419" s="25"/>
      <c r="P419" s="26"/>
      <c r="Q419" s="27"/>
      <c r="R419" s="28"/>
      <c r="S419" s="29"/>
      <c r="T419" s="30"/>
    </row>
    <row r="420" spans="1:20" ht="24" customHeight="1" x14ac:dyDescent="0.25">
      <c r="A420" t="str">
        <f>IF('e1'!A420&gt;0,HYPERLINK("#"&amp;ADDRESS(420,'e1'!A420),""),IF('r1'!A420&gt;0,HYPERLINK("#"&amp;ADDRESS(420,'r1'!A420),""),""))</f>
        <v/>
      </c>
      <c r="C420" s="13"/>
      <c r="D420" s="14"/>
      <c r="E420" s="15"/>
      <c r="F420" s="16"/>
      <c r="G420" s="17"/>
      <c r="H420" s="18"/>
      <c r="I420" s="19"/>
      <c r="J420" s="20"/>
      <c r="K420" s="21"/>
      <c r="L420" s="22"/>
      <c r="M420" s="23"/>
      <c r="N420" s="24"/>
      <c r="O420" s="25"/>
      <c r="P420" s="26"/>
      <c r="Q420" s="27"/>
      <c r="R420" s="28"/>
      <c r="S420" s="29"/>
      <c r="T420" s="30"/>
    </row>
    <row r="421" spans="1:20" ht="24" customHeight="1" x14ac:dyDescent="0.25">
      <c r="A421" t="str">
        <f>IF('e1'!A421&gt;0,HYPERLINK("#"&amp;ADDRESS(421,'e1'!A421),""),IF('r1'!A421&gt;0,HYPERLINK("#"&amp;ADDRESS(421,'r1'!A421),""),""))</f>
        <v/>
      </c>
      <c r="C421" s="13"/>
      <c r="D421" s="14"/>
      <c r="E421" s="15"/>
      <c r="F421" s="16"/>
      <c r="G421" s="17"/>
      <c r="H421" s="18"/>
      <c r="I421" s="19"/>
      <c r="J421" s="20"/>
      <c r="K421" s="21"/>
      <c r="L421" s="22"/>
      <c r="M421" s="23"/>
      <c r="N421" s="24"/>
      <c r="O421" s="25"/>
      <c r="P421" s="26"/>
      <c r="Q421" s="27"/>
      <c r="R421" s="28"/>
      <c r="S421" s="29"/>
      <c r="T421" s="30"/>
    </row>
    <row r="422" spans="1:20" ht="24" customHeight="1" x14ac:dyDescent="0.25">
      <c r="A422" t="str">
        <f>IF('e1'!A422&gt;0,HYPERLINK("#"&amp;ADDRESS(422,'e1'!A422),""),IF('r1'!A422&gt;0,HYPERLINK("#"&amp;ADDRESS(422,'r1'!A422),""),""))</f>
        <v/>
      </c>
      <c r="C422" s="13"/>
      <c r="D422" s="14"/>
      <c r="E422" s="15"/>
      <c r="F422" s="16"/>
      <c r="G422" s="17"/>
      <c r="H422" s="18"/>
      <c r="I422" s="19"/>
      <c r="J422" s="20"/>
      <c r="K422" s="21"/>
      <c r="L422" s="22"/>
      <c r="M422" s="23"/>
      <c r="N422" s="24"/>
      <c r="O422" s="25"/>
      <c r="P422" s="26"/>
      <c r="Q422" s="27"/>
      <c r="R422" s="28"/>
      <c r="S422" s="29"/>
      <c r="T422" s="30"/>
    </row>
    <row r="423" spans="1:20" ht="24" customHeight="1" x14ac:dyDescent="0.25">
      <c r="A423" t="str">
        <f>IF('e1'!A423&gt;0,HYPERLINK("#"&amp;ADDRESS(423,'e1'!A423),""),IF('r1'!A423&gt;0,HYPERLINK("#"&amp;ADDRESS(423,'r1'!A423),""),""))</f>
        <v/>
      </c>
      <c r="C423" s="13"/>
      <c r="D423" s="14"/>
      <c r="E423" s="15"/>
      <c r="F423" s="16"/>
      <c r="G423" s="17"/>
      <c r="H423" s="18"/>
      <c r="I423" s="19"/>
      <c r="J423" s="20"/>
      <c r="K423" s="21"/>
      <c r="L423" s="22"/>
      <c r="M423" s="23"/>
      <c r="N423" s="24"/>
      <c r="O423" s="25"/>
      <c r="P423" s="26"/>
      <c r="Q423" s="27"/>
      <c r="R423" s="28"/>
      <c r="S423" s="29"/>
      <c r="T423" s="30"/>
    </row>
    <row r="424" spans="1:20" ht="24" customHeight="1" x14ac:dyDescent="0.25">
      <c r="A424" t="str">
        <f>IF('e1'!A424&gt;0,HYPERLINK("#"&amp;ADDRESS(424,'e1'!A424),""),IF('r1'!A424&gt;0,HYPERLINK("#"&amp;ADDRESS(424,'r1'!A424),""),""))</f>
        <v/>
      </c>
      <c r="C424" s="13"/>
      <c r="D424" s="14"/>
      <c r="E424" s="15"/>
      <c r="F424" s="16"/>
      <c r="G424" s="17"/>
      <c r="H424" s="18"/>
      <c r="I424" s="19"/>
      <c r="J424" s="20"/>
      <c r="K424" s="21"/>
      <c r="L424" s="22"/>
      <c r="M424" s="23"/>
      <c r="N424" s="24"/>
      <c r="O424" s="25"/>
      <c r="P424" s="26"/>
      <c r="Q424" s="27"/>
      <c r="R424" s="28"/>
      <c r="S424" s="29"/>
      <c r="T424" s="30"/>
    </row>
    <row r="425" spans="1:20" ht="24" customHeight="1" x14ac:dyDescent="0.25">
      <c r="A425" t="str">
        <f>IF('e1'!A425&gt;0,HYPERLINK("#"&amp;ADDRESS(425,'e1'!A425),""),IF('r1'!A425&gt;0,HYPERLINK("#"&amp;ADDRESS(425,'r1'!A425),""),""))</f>
        <v/>
      </c>
      <c r="C425" s="13"/>
      <c r="D425" s="14"/>
      <c r="E425" s="15"/>
      <c r="F425" s="16"/>
      <c r="G425" s="17"/>
      <c r="H425" s="18"/>
      <c r="I425" s="19"/>
      <c r="J425" s="20"/>
      <c r="K425" s="21"/>
      <c r="L425" s="22"/>
      <c r="M425" s="23"/>
      <c r="N425" s="24"/>
      <c r="O425" s="25"/>
      <c r="P425" s="26"/>
      <c r="Q425" s="27"/>
      <c r="R425" s="28"/>
      <c r="S425" s="29"/>
      <c r="T425" s="30"/>
    </row>
    <row r="426" spans="1:20" ht="24" customHeight="1" x14ac:dyDescent="0.25">
      <c r="A426" t="str">
        <f>IF('e1'!A426&gt;0,HYPERLINK("#"&amp;ADDRESS(426,'e1'!A426),""),IF('r1'!A426&gt;0,HYPERLINK("#"&amp;ADDRESS(426,'r1'!A426),""),""))</f>
        <v/>
      </c>
      <c r="C426" s="13"/>
      <c r="D426" s="14"/>
      <c r="E426" s="15"/>
      <c r="F426" s="16"/>
      <c r="G426" s="17"/>
      <c r="H426" s="18"/>
      <c r="I426" s="19"/>
      <c r="J426" s="20"/>
      <c r="K426" s="21"/>
      <c r="L426" s="22"/>
      <c r="M426" s="23"/>
      <c r="N426" s="24"/>
      <c r="O426" s="25"/>
      <c r="P426" s="26"/>
      <c r="Q426" s="27"/>
      <c r="R426" s="28"/>
      <c r="S426" s="29"/>
      <c r="T426" s="30"/>
    </row>
    <row r="427" spans="1:20" ht="24" customHeight="1" x14ac:dyDescent="0.25">
      <c r="A427" t="str">
        <f>IF('e1'!A427&gt;0,HYPERLINK("#"&amp;ADDRESS(427,'e1'!A427),""),IF('r1'!A427&gt;0,HYPERLINK("#"&amp;ADDRESS(427,'r1'!A427),""),""))</f>
        <v/>
      </c>
      <c r="C427" s="13"/>
      <c r="D427" s="14"/>
      <c r="E427" s="15"/>
      <c r="F427" s="16"/>
      <c r="G427" s="17"/>
      <c r="H427" s="18"/>
      <c r="I427" s="19"/>
      <c r="J427" s="20"/>
      <c r="K427" s="21"/>
      <c r="L427" s="22"/>
      <c r="M427" s="23"/>
      <c r="N427" s="24"/>
      <c r="O427" s="25"/>
      <c r="P427" s="26"/>
      <c r="Q427" s="27"/>
      <c r="R427" s="28"/>
      <c r="S427" s="29"/>
      <c r="T427" s="30"/>
    </row>
    <row r="428" spans="1:20" ht="24" customHeight="1" x14ac:dyDescent="0.25">
      <c r="A428" t="str">
        <f>IF('e1'!A428&gt;0,HYPERLINK("#"&amp;ADDRESS(428,'e1'!A428),""),IF('r1'!A428&gt;0,HYPERLINK("#"&amp;ADDRESS(428,'r1'!A428),""),""))</f>
        <v/>
      </c>
      <c r="C428" s="13"/>
      <c r="D428" s="14"/>
      <c r="E428" s="15"/>
      <c r="F428" s="16"/>
      <c r="G428" s="17"/>
      <c r="H428" s="18"/>
      <c r="I428" s="19"/>
      <c r="J428" s="20"/>
      <c r="K428" s="21"/>
      <c r="L428" s="22"/>
      <c r="M428" s="23"/>
      <c r="N428" s="24"/>
      <c r="O428" s="25"/>
      <c r="P428" s="26"/>
      <c r="Q428" s="27"/>
      <c r="R428" s="28"/>
      <c r="S428" s="29"/>
      <c r="T428" s="30"/>
    </row>
    <row r="429" spans="1:20" ht="24" customHeight="1" x14ac:dyDescent="0.25">
      <c r="A429" t="str">
        <f>IF('e1'!A429&gt;0,HYPERLINK("#"&amp;ADDRESS(429,'e1'!A429),""),IF('r1'!A429&gt;0,HYPERLINK("#"&amp;ADDRESS(429,'r1'!A429),""),""))</f>
        <v/>
      </c>
      <c r="C429" s="13"/>
      <c r="D429" s="14"/>
      <c r="E429" s="15"/>
      <c r="F429" s="16"/>
      <c r="G429" s="17"/>
      <c r="H429" s="18"/>
      <c r="I429" s="19"/>
      <c r="J429" s="20"/>
      <c r="K429" s="21"/>
      <c r="L429" s="22"/>
      <c r="M429" s="23"/>
      <c r="N429" s="24"/>
      <c r="O429" s="25"/>
      <c r="P429" s="26"/>
      <c r="Q429" s="27"/>
      <c r="R429" s="28"/>
      <c r="S429" s="29"/>
      <c r="T429" s="30"/>
    </row>
    <row r="430" spans="1:20" ht="24" customHeight="1" x14ac:dyDescent="0.25">
      <c r="A430" t="str">
        <f>IF('e1'!A430&gt;0,HYPERLINK("#"&amp;ADDRESS(430,'e1'!A430),""),IF('r1'!A430&gt;0,HYPERLINK("#"&amp;ADDRESS(430,'r1'!A430),""),""))</f>
        <v/>
      </c>
      <c r="C430" s="13"/>
      <c r="D430" s="14"/>
      <c r="E430" s="15"/>
      <c r="F430" s="16"/>
      <c r="G430" s="17"/>
      <c r="H430" s="18"/>
      <c r="I430" s="19"/>
      <c r="J430" s="20"/>
      <c r="K430" s="21"/>
      <c r="L430" s="22"/>
      <c r="M430" s="23"/>
      <c r="N430" s="24"/>
      <c r="O430" s="25"/>
      <c r="P430" s="26"/>
      <c r="Q430" s="27"/>
      <c r="R430" s="28"/>
      <c r="S430" s="29"/>
      <c r="T430" s="30"/>
    </row>
    <row r="431" spans="1:20" ht="24" customHeight="1" x14ac:dyDescent="0.25">
      <c r="A431" t="str">
        <f>IF('e1'!A431&gt;0,HYPERLINK("#"&amp;ADDRESS(431,'e1'!A431),""),IF('r1'!A431&gt;0,HYPERLINK("#"&amp;ADDRESS(431,'r1'!A431),""),""))</f>
        <v/>
      </c>
      <c r="C431" s="13"/>
      <c r="D431" s="14"/>
      <c r="E431" s="15"/>
      <c r="F431" s="16"/>
      <c r="G431" s="17"/>
      <c r="H431" s="18"/>
      <c r="I431" s="19"/>
      <c r="J431" s="20"/>
      <c r="K431" s="21"/>
      <c r="L431" s="22"/>
      <c r="M431" s="23"/>
      <c r="N431" s="24"/>
      <c r="O431" s="25"/>
      <c r="P431" s="26"/>
      <c r="Q431" s="27"/>
      <c r="R431" s="28"/>
      <c r="S431" s="29"/>
      <c r="T431" s="30"/>
    </row>
    <row r="432" spans="1:20" ht="24" customHeight="1" x14ac:dyDescent="0.25">
      <c r="A432" t="str">
        <f>IF('e1'!A432&gt;0,HYPERLINK("#"&amp;ADDRESS(432,'e1'!A432),""),IF('r1'!A432&gt;0,HYPERLINK("#"&amp;ADDRESS(432,'r1'!A432),""),""))</f>
        <v/>
      </c>
      <c r="C432" s="13"/>
      <c r="D432" s="14"/>
      <c r="E432" s="15"/>
      <c r="F432" s="16"/>
      <c r="G432" s="17"/>
      <c r="H432" s="18"/>
      <c r="I432" s="19"/>
      <c r="J432" s="20"/>
      <c r="K432" s="21"/>
      <c r="L432" s="22"/>
      <c r="M432" s="23"/>
      <c r="N432" s="24"/>
      <c r="O432" s="25"/>
      <c r="P432" s="26"/>
      <c r="Q432" s="27"/>
      <c r="R432" s="28"/>
      <c r="S432" s="29"/>
      <c r="T432" s="30"/>
    </row>
    <row r="433" spans="1:20" ht="24" customHeight="1" x14ac:dyDescent="0.25">
      <c r="A433" t="str">
        <f>IF('e1'!A433&gt;0,HYPERLINK("#"&amp;ADDRESS(433,'e1'!A433),""),IF('r1'!A433&gt;0,HYPERLINK("#"&amp;ADDRESS(433,'r1'!A433),""),""))</f>
        <v/>
      </c>
      <c r="C433" s="13"/>
      <c r="D433" s="14"/>
      <c r="E433" s="15"/>
      <c r="F433" s="16"/>
      <c r="G433" s="17"/>
      <c r="H433" s="18"/>
      <c r="I433" s="19"/>
      <c r="J433" s="20"/>
      <c r="K433" s="21"/>
      <c r="L433" s="22"/>
      <c r="M433" s="23"/>
      <c r="N433" s="24"/>
      <c r="O433" s="25"/>
      <c r="P433" s="26"/>
      <c r="Q433" s="27"/>
      <c r="R433" s="28"/>
      <c r="S433" s="29"/>
      <c r="T433" s="30"/>
    </row>
    <row r="434" spans="1:20" ht="24" customHeight="1" x14ac:dyDescent="0.25">
      <c r="A434" t="str">
        <f>IF('e1'!A434&gt;0,HYPERLINK("#"&amp;ADDRESS(434,'e1'!A434),""),IF('r1'!A434&gt;0,HYPERLINK("#"&amp;ADDRESS(434,'r1'!A434),""),""))</f>
        <v/>
      </c>
      <c r="C434" s="13"/>
      <c r="D434" s="14"/>
      <c r="E434" s="15"/>
      <c r="F434" s="16"/>
      <c r="G434" s="17"/>
      <c r="H434" s="18"/>
      <c r="I434" s="19"/>
      <c r="J434" s="20"/>
      <c r="K434" s="21"/>
      <c r="L434" s="22"/>
      <c r="M434" s="23"/>
      <c r="N434" s="24"/>
      <c r="O434" s="25"/>
      <c r="P434" s="26"/>
      <c r="Q434" s="27"/>
      <c r="R434" s="28"/>
      <c r="S434" s="29"/>
      <c r="T434" s="30"/>
    </row>
    <row r="435" spans="1:20" ht="24" customHeight="1" x14ac:dyDescent="0.25">
      <c r="A435" t="str">
        <f>IF('e1'!A435&gt;0,HYPERLINK("#"&amp;ADDRESS(435,'e1'!A435),""),IF('r1'!A435&gt;0,HYPERLINK("#"&amp;ADDRESS(435,'r1'!A435),""),""))</f>
        <v/>
      </c>
      <c r="C435" s="13"/>
      <c r="D435" s="14"/>
      <c r="E435" s="15"/>
      <c r="F435" s="16"/>
      <c r="G435" s="17"/>
      <c r="H435" s="18"/>
      <c r="I435" s="19"/>
      <c r="J435" s="20"/>
      <c r="K435" s="21"/>
      <c r="L435" s="22"/>
      <c r="M435" s="23"/>
      <c r="N435" s="24"/>
      <c r="O435" s="25"/>
      <c r="P435" s="26"/>
      <c r="Q435" s="27"/>
      <c r="R435" s="28"/>
      <c r="S435" s="29"/>
      <c r="T435" s="30"/>
    </row>
    <row r="436" spans="1:20" ht="24" customHeight="1" x14ac:dyDescent="0.25">
      <c r="A436" t="str">
        <f>IF('e1'!A436&gt;0,HYPERLINK("#"&amp;ADDRESS(436,'e1'!A436),""),IF('r1'!A436&gt;0,HYPERLINK("#"&amp;ADDRESS(436,'r1'!A436),""),""))</f>
        <v/>
      </c>
      <c r="C436" s="13"/>
      <c r="D436" s="14"/>
      <c r="E436" s="15"/>
      <c r="F436" s="16"/>
      <c r="G436" s="17"/>
      <c r="H436" s="18"/>
      <c r="I436" s="19"/>
      <c r="J436" s="20"/>
      <c r="K436" s="21"/>
      <c r="L436" s="22"/>
      <c r="M436" s="23"/>
      <c r="N436" s="24"/>
      <c r="O436" s="25"/>
      <c r="P436" s="26"/>
      <c r="Q436" s="27"/>
      <c r="R436" s="28"/>
      <c r="S436" s="29"/>
      <c r="T436" s="30"/>
    </row>
    <row r="437" spans="1:20" ht="24" customHeight="1" x14ac:dyDescent="0.25">
      <c r="A437" t="str">
        <f>IF('e1'!A437&gt;0,HYPERLINK("#"&amp;ADDRESS(437,'e1'!A437),""),IF('r1'!A437&gt;0,HYPERLINK("#"&amp;ADDRESS(437,'r1'!A437),""),""))</f>
        <v/>
      </c>
      <c r="C437" s="13"/>
      <c r="D437" s="14"/>
      <c r="E437" s="15"/>
      <c r="F437" s="16"/>
      <c r="G437" s="17"/>
      <c r="H437" s="18"/>
      <c r="I437" s="19"/>
      <c r="J437" s="20"/>
      <c r="K437" s="21"/>
      <c r="L437" s="22"/>
      <c r="M437" s="23"/>
      <c r="N437" s="24"/>
      <c r="O437" s="25"/>
      <c r="P437" s="26"/>
      <c r="Q437" s="27"/>
      <c r="R437" s="28"/>
      <c r="S437" s="29"/>
      <c r="T437" s="30"/>
    </row>
    <row r="438" spans="1:20" ht="24" customHeight="1" x14ac:dyDescent="0.25">
      <c r="A438" t="str">
        <f>IF('e1'!A438&gt;0,HYPERLINK("#"&amp;ADDRESS(438,'e1'!A438),""),IF('r1'!A438&gt;0,HYPERLINK("#"&amp;ADDRESS(438,'r1'!A438),""),""))</f>
        <v/>
      </c>
      <c r="C438" s="13"/>
      <c r="D438" s="14"/>
      <c r="E438" s="15"/>
      <c r="F438" s="16"/>
      <c r="G438" s="17"/>
      <c r="H438" s="18"/>
      <c r="I438" s="19"/>
      <c r="J438" s="20"/>
      <c r="K438" s="21"/>
      <c r="L438" s="22"/>
      <c r="M438" s="23"/>
      <c r="N438" s="24"/>
      <c r="O438" s="25"/>
      <c r="P438" s="26"/>
      <c r="Q438" s="27"/>
      <c r="R438" s="28"/>
      <c r="S438" s="29"/>
      <c r="T438" s="30"/>
    </row>
    <row r="439" spans="1:20" ht="24" customHeight="1" x14ac:dyDescent="0.25">
      <c r="A439" t="str">
        <f>IF('e1'!A439&gt;0,HYPERLINK("#"&amp;ADDRESS(439,'e1'!A439),""),IF('r1'!A439&gt;0,HYPERLINK("#"&amp;ADDRESS(439,'r1'!A439),""),""))</f>
        <v/>
      </c>
      <c r="C439" s="13"/>
      <c r="D439" s="14"/>
      <c r="E439" s="15"/>
      <c r="F439" s="16"/>
      <c r="G439" s="17"/>
      <c r="H439" s="18"/>
      <c r="I439" s="19"/>
      <c r="J439" s="20"/>
      <c r="K439" s="21"/>
      <c r="L439" s="22"/>
      <c r="M439" s="23"/>
      <c r="N439" s="24"/>
      <c r="O439" s="25"/>
      <c r="P439" s="26"/>
      <c r="Q439" s="27"/>
      <c r="R439" s="28"/>
      <c r="S439" s="29"/>
      <c r="T439" s="30"/>
    </row>
    <row r="440" spans="1:20" ht="24" customHeight="1" x14ac:dyDescent="0.25">
      <c r="A440" t="str">
        <f>IF('e1'!A440&gt;0,HYPERLINK("#"&amp;ADDRESS(440,'e1'!A440),""),IF('r1'!A440&gt;0,HYPERLINK("#"&amp;ADDRESS(440,'r1'!A440),""),""))</f>
        <v/>
      </c>
      <c r="C440" s="13"/>
      <c r="D440" s="14"/>
      <c r="E440" s="15"/>
      <c r="F440" s="16"/>
      <c r="G440" s="17"/>
      <c r="H440" s="18"/>
      <c r="I440" s="19"/>
      <c r="J440" s="20"/>
      <c r="K440" s="21"/>
      <c r="L440" s="22"/>
      <c r="M440" s="23"/>
      <c r="N440" s="24"/>
      <c r="O440" s="25"/>
      <c r="P440" s="26"/>
      <c r="Q440" s="27"/>
      <c r="R440" s="28"/>
      <c r="S440" s="29"/>
      <c r="T440" s="30"/>
    </row>
    <row r="441" spans="1:20" ht="24" customHeight="1" x14ac:dyDescent="0.25">
      <c r="A441" t="str">
        <f>IF('e1'!A441&gt;0,HYPERLINK("#"&amp;ADDRESS(441,'e1'!A441),""),IF('r1'!A441&gt;0,HYPERLINK("#"&amp;ADDRESS(441,'r1'!A441),""),""))</f>
        <v/>
      </c>
      <c r="C441" s="13"/>
      <c r="D441" s="14"/>
      <c r="E441" s="15"/>
      <c r="F441" s="16"/>
      <c r="G441" s="17"/>
      <c r="H441" s="18"/>
      <c r="I441" s="19"/>
      <c r="J441" s="20"/>
      <c r="K441" s="21"/>
      <c r="L441" s="22"/>
      <c r="M441" s="23"/>
      <c r="N441" s="24"/>
      <c r="O441" s="25"/>
      <c r="P441" s="26"/>
      <c r="Q441" s="27"/>
      <c r="R441" s="28"/>
      <c r="S441" s="29"/>
      <c r="T441" s="30"/>
    </row>
    <row r="442" spans="1:20" ht="24" customHeight="1" x14ac:dyDescent="0.25">
      <c r="A442" t="str">
        <f>IF('e1'!A442&gt;0,HYPERLINK("#"&amp;ADDRESS(442,'e1'!A442),""),IF('r1'!A442&gt;0,HYPERLINK("#"&amp;ADDRESS(442,'r1'!A442),""),""))</f>
        <v/>
      </c>
      <c r="C442" s="13"/>
      <c r="D442" s="14"/>
      <c r="E442" s="15"/>
      <c r="F442" s="16"/>
      <c r="G442" s="17"/>
      <c r="H442" s="18"/>
      <c r="I442" s="19"/>
      <c r="J442" s="20"/>
      <c r="K442" s="21"/>
      <c r="L442" s="22"/>
      <c r="M442" s="23"/>
      <c r="N442" s="24"/>
      <c r="O442" s="25"/>
      <c r="P442" s="26"/>
      <c r="Q442" s="27"/>
      <c r="R442" s="28"/>
      <c r="S442" s="29"/>
      <c r="T442" s="30"/>
    </row>
    <row r="443" spans="1:20" ht="24" customHeight="1" x14ac:dyDescent="0.25">
      <c r="A443" t="str">
        <f>IF('e1'!A443&gt;0,HYPERLINK("#"&amp;ADDRESS(443,'e1'!A443),""),IF('r1'!A443&gt;0,HYPERLINK("#"&amp;ADDRESS(443,'r1'!A443),""),""))</f>
        <v/>
      </c>
      <c r="C443" s="13"/>
      <c r="D443" s="14"/>
      <c r="E443" s="15"/>
      <c r="F443" s="16"/>
      <c r="G443" s="17"/>
      <c r="H443" s="18"/>
      <c r="I443" s="19"/>
      <c r="J443" s="20"/>
      <c r="K443" s="21"/>
      <c r="L443" s="22"/>
      <c r="M443" s="23"/>
      <c r="N443" s="24"/>
      <c r="O443" s="25"/>
      <c r="P443" s="26"/>
      <c r="Q443" s="27"/>
      <c r="R443" s="28"/>
      <c r="S443" s="29"/>
      <c r="T443" s="30"/>
    </row>
    <row r="444" spans="1:20" ht="24" customHeight="1" x14ac:dyDescent="0.25">
      <c r="A444" t="str">
        <f>IF('e1'!A444&gt;0,HYPERLINK("#"&amp;ADDRESS(444,'e1'!A444),""),IF('r1'!A444&gt;0,HYPERLINK("#"&amp;ADDRESS(444,'r1'!A444),""),""))</f>
        <v/>
      </c>
      <c r="C444" s="13"/>
      <c r="D444" s="14"/>
      <c r="E444" s="15"/>
      <c r="F444" s="16"/>
      <c r="G444" s="17"/>
      <c r="H444" s="18"/>
      <c r="I444" s="19"/>
      <c r="J444" s="20"/>
      <c r="K444" s="21"/>
      <c r="L444" s="22"/>
      <c r="M444" s="23"/>
      <c r="N444" s="24"/>
      <c r="O444" s="25"/>
      <c r="P444" s="26"/>
      <c r="Q444" s="27"/>
      <c r="R444" s="28"/>
      <c r="S444" s="29"/>
      <c r="T444" s="30"/>
    </row>
    <row r="445" spans="1:20" ht="24" customHeight="1" x14ac:dyDescent="0.25">
      <c r="A445" t="str">
        <f>IF('e1'!A445&gt;0,HYPERLINK("#"&amp;ADDRESS(445,'e1'!A445),""),IF('r1'!A445&gt;0,HYPERLINK("#"&amp;ADDRESS(445,'r1'!A445),""),""))</f>
        <v/>
      </c>
      <c r="C445" s="13"/>
      <c r="D445" s="14"/>
      <c r="E445" s="15"/>
      <c r="F445" s="16"/>
      <c r="G445" s="17"/>
      <c r="H445" s="18"/>
      <c r="I445" s="19"/>
      <c r="J445" s="20"/>
      <c r="K445" s="21"/>
      <c r="L445" s="22"/>
      <c r="M445" s="23"/>
      <c r="N445" s="24"/>
      <c r="O445" s="25"/>
      <c r="P445" s="26"/>
      <c r="Q445" s="27"/>
      <c r="R445" s="28"/>
      <c r="S445" s="29"/>
      <c r="T445" s="30"/>
    </row>
    <row r="446" spans="1:20" ht="24" customHeight="1" x14ac:dyDescent="0.25">
      <c r="A446" t="str">
        <f>IF('e1'!A446&gt;0,HYPERLINK("#"&amp;ADDRESS(446,'e1'!A446),""),IF('r1'!A446&gt;0,HYPERLINK("#"&amp;ADDRESS(446,'r1'!A446),""),""))</f>
        <v/>
      </c>
      <c r="C446" s="13"/>
      <c r="D446" s="14"/>
      <c r="E446" s="15"/>
      <c r="F446" s="16"/>
      <c r="G446" s="17"/>
      <c r="H446" s="18"/>
      <c r="I446" s="19"/>
      <c r="J446" s="20"/>
      <c r="K446" s="21"/>
      <c r="L446" s="22"/>
      <c r="M446" s="23"/>
      <c r="N446" s="24"/>
      <c r="O446" s="25"/>
      <c r="P446" s="26"/>
      <c r="Q446" s="27"/>
      <c r="R446" s="28"/>
      <c r="S446" s="29"/>
      <c r="T446" s="30"/>
    </row>
    <row r="447" spans="1:20" ht="24" customHeight="1" x14ac:dyDescent="0.25">
      <c r="A447" t="str">
        <f>IF('e1'!A447&gt;0,HYPERLINK("#"&amp;ADDRESS(447,'e1'!A447),""),IF('r1'!A447&gt;0,HYPERLINK("#"&amp;ADDRESS(447,'r1'!A447),""),""))</f>
        <v/>
      </c>
      <c r="C447" s="13"/>
      <c r="D447" s="14"/>
      <c r="E447" s="15"/>
      <c r="F447" s="16"/>
      <c r="G447" s="17"/>
      <c r="H447" s="18"/>
      <c r="I447" s="19"/>
      <c r="J447" s="20"/>
      <c r="K447" s="21"/>
      <c r="L447" s="22"/>
      <c r="M447" s="23"/>
      <c r="N447" s="24"/>
      <c r="O447" s="25"/>
      <c r="P447" s="26"/>
      <c r="Q447" s="27"/>
      <c r="R447" s="28"/>
      <c r="S447" s="29"/>
      <c r="T447" s="30"/>
    </row>
    <row r="448" spans="1:20" ht="24" customHeight="1" x14ac:dyDescent="0.25">
      <c r="A448" t="str">
        <f>IF('e1'!A448&gt;0,HYPERLINK("#"&amp;ADDRESS(448,'e1'!A448),""),IF('r1'!A448&gt;0,HYPERLINK("#"&amp;ADDRESS(448,'r1'!A448),""),""))</f>
        <v/>
      </c>
      <c r="C448" s="13"/>
      <c r="D448" s="14"/>
      <c r="E448" s="15"/>
      <c r="F448" s="16"/>
      <c r="G448" s="17"/>
      <c r="H448" s="18"/>
      <c r="I448" s="19"/>
      <c r="J448" s="20"/>
      <c r="K448" s="21"/>
      <c r="L448" s="22"/>
      <c r="M448" s="23"/>
      <c r="N448" s="24"/>
      <c r="O448" s="25"/>
      <c r="P448" s="26"/>
      <c r="Q448" s="27"/>
      <c r="R448" s="28"/>
      <c r="S448" s="29"/>
      <c r="T448" s="30"/>
    </row>
    <row r="449" spans="1:20" ht="24" customHeight="1" x14ac:dyDescent="0.25">
      <c r="A449" t="str">
        <f>IF('e1'!A449&gt;0,HYPERLINK("#"&amp;ADDRESS(449,'e1'!A449),""),IF('r1'!A449&gt;0,HYPERLINK("#"&amp;ADDRESS(449,'r1'!A449),""),""))</f>
        <v/>
      </c>
      <c r="C449" s="13"/>
      <c r="D449" s="14"/>
      <c r="E449" s="15"/>
      <c r="F449" s="16"/>
      <c r="G449" s="17"/>
      <c r="H449" s="18"/>
      <c r="I449" s="19"/>
      <c r="J449" s="20"/>
      <c r="K449" s="21"/>
      <c r="L449" s="22"/>
      <c r="M449" s="23"/>
      <c r="N449" s="24"/>
      <c r="O449" s="25"/>
      <c r="P449" s="26"/>
      <c r="Q449" s="27"/>
      <c r="R449" s="28"/>
      <c r="S449" s="29"/>
      <c r="T449" s="30"/>
    </row>
    <row r="450" spans="1:20" ht="24" customHeight="1" x14ac:dyDescent="0.25">
      <c r="A450" t="str">
        <f>IF('e1'!A450&gt;0,HYPERLINK("#"&amp;ADDRESS(450,'e1'!A450),""),IF('r1'!A450&gt;0,HYPERLINK("#"&amp;ADDRESS(450,'r1'!A450),""),""))</f>
        <v/>
      </c>
      <c r="C450" s="13"/>
      <c r="D450" s="14"/>
      <c r="E450" s="15"/>
      <c r="F450" s="16"/>
      <c r="G450" s="17"/>
      <c r="H450" s="18"/>
      <c r="I450" s="19"/>
      <c r="J450" s="20"/>
      <c r="K450" s="21"/>
      <c r="L450" s="22"/>
      <c r="M450" s="23"/>
      <c r="N450" s="24"/>
      <c r="O450" s="25"/>
      <c r="P450" s="26"/>
      <c r="Q450" s="27"/>
      <c r="R450" s="28"/>
      <c r="S450" s="29"/>
      <c r="T450" s="30"/>
    </row>
    <row r="451" spans="1:20" ht="24" customHeight="1" x14ac:dyDescent="0.25">
      <c r="A451" t="str">
        <f>IF('e1'!A451&gt;0,HYPERLINK("#"&amp;ADDRESS(451,'e1'!A451),""),IF('r1'!A451&gt;0,HYPERLINK("#"&amp;ADDRESS(451,'r1'!A451),""),""))</f>
        <v/>
      </c>
      <c r="C451" s="13"/>
      <c r="D451" s="14"/>
      <c r="E451" s="15"/>
      <c r="F451" s="16"/>
      <c r="G451" s="17"/>
      <c r="H451" s="18"/>
      <c r="I451" s="19"/>
      <c r="J451" s="20"/>
      <c r="K451" s="21"/>
      <c r="L451" s="22"/>
      <c r="M451" s="23"/>
      <c r="N451" s="24"/>
      <c r="O451" s="25"/>
      <c r="P451" s="26"/>
      <c r="Q451" s="27"/>
      <c r="R451" s="28"/>
      <c r="S451" s="29"/>
      <c r="T451" s="30"/>
    </row>
    <row r="452" spans="1:20" ht="24" customHeight="1" x14ac:dyDescent="0.25">
      <c r="A452" t="str">
        <f>IF('e1'!A452&gt;0,HYPERLINK("#"&amp;ADDRESS(452,'e1'!A452),""),IF('r1'!A452&gt;0,HYPERLINK("#"&amp;ADDRESS(452,'r1'!A452),""),""))</f>
        <v/>
      </c>
      <c r="C452" s="13"/>
      <c r="D452" s="14"/>
      <c r="E452" s="15"/>
      <c r="F452" s="16"/>
      <c r="G452" s="17"/>
      <c r="H452" s="18"/>
      <c r="I452" s="19"/>
      <c r="J452" s="20"/>
      <c r="K452" s="21"/>
      <c r="L452" s="22"/>
      <c r="M452" s="23"/>
      <c r="N452" s="24"/>
      <c r="O452" s="25"/>
      <c r="P452" s="26"/>
      <c r="Q452" s="27"/>
      <c r="R452" s="28"/>
      <c r="S452" s="29"/>
      <c r="T452" s="30"/>
    </row>
    <row r="453" spans="1:20" ht="24" customHeight="1" x14ac:dyDescent="0.25">
      <c r="A453" t="str">
        <f>IF('e1'!A453&gt;0,HYPERLINK("#"&amp;ADDRESS(453,'e1'!A453),""),IF('r1'!A453&gt;0,HYPERLINK("#"&amp;ADDRESS(453,'r1'!A453),""),""))</f>
        <v/>
      </c>
      <c r="C453" s="13"/>
      <c r="D453" s="14"/>
      <c r="E453" s="15"/>
      <c r="F453" s="16"/>
      <c r="G453" s="17"/>
      <c r="H453" s="18"/>
      <c r="I453" s="19"/>
      <c r="J453" s="20"/>
      <c r="K453" s="21"/>
      <c r="L453" s="22"/>
      <c r="M453" s="23"/>
      <c r="N453" s="24"/>
      <c r="O453" s="25"/>
      <c r="P453" s="26"/>
      <c r="Q453" s="27"/>
      <c r="R453" s="28"/>
      <c r="S453" s="29"/>
      <c r="T453" s="30"/>
    </row>
    <row r="454" spans="1:20" ht="24" customHeight="1" x14ac:dyDescent="0.25">
      <c r="A454" t="str">
        <f>IF('e1'!A454&gt;0,HYPERLINK("#"&amp;ADDRESS(454,'e1'!A454),""),IF('r1'!A454&gt;0,HYPERLINK("#"&amp;ADDRESS(454,'r1'!A454),""),""))</f>
        <v/>
      </c>
      <c r="C454" s="13"/>
      <c r="D454" s="14"/>
      <c r="E454" s="15"/>
      <c r="F454" s="16"/>
      <c r="G454" s="17"/>
      <c r="H454" s="18"/>
      <c r="I454" s="19"/>
      <c r="J454" s="20"/>
      <c r="K454" s="21"/>
      <c r="L454" s="22"/>
      <c r="M454" s="23"/>
      <c r="N454" s="24"/>
      <c r="O454" s="25"/>
      <c r="P454" s="26"/>
      <c r="Q454" s="27"/>
      <c r="R454" s="28"/>
      <c r="S454" s="29"/>
      <c r="T454" s="30"/>
    </row>
    <row r="455" spans="1:20" ht="24" customHeight="1" x14ac:dyDescent="0.25">
      <c r="A455" t="str">
        <f>IF('e1'!A455&gt;0,HYPERLINK("#"&amp;ADDRESS(455,'e1'!A455),""),IF('r1'!A455&gt;0,HYPERLINK("#"&amp;ADDRESS(455,'r1'!A455),""),""))</f>
        <v/>
      </c>
      <c r="C455" s="13"/>
      <c r="D455" s="14"/>
      <c r="E455" s="15"/>
      <c r="F455" s="16"/>
      <c r="G455" s="17"/>
      <c r="H455" s="18"/>
      <c r="I455" s="19"/>
      <c r="J455" s="20"/>
      <c r="K455" s="21"/>
      <c r="L455" s="22"/>
      <c r="M455" s="23"/>
      <c r="N455" s="24"/>
      <c r="O455" s="25"/>
      <c r="P455" s="26"/>
      <c r="Q455" s="27"/>
      <c r="R455" s="28"/>
      <c r="S455" s="29"/>
      <c r="T455" s="30"/>
    </row>
    <row r="456" spans="1:20" ht="24" customHeight="1" x14ac:dyDescent="0.25">
      <c r="A456" t="str">
        <f>IF('e1'!A456&gt;0,HYPERLINK("#"&amp;ADDRESS(456,'e1'!A456),""),IF('r1'!A456&gt;0,HYPERLINK("#"&amp;ADDRESS(456,'r1'!A456),""),""))</f>
        <v/>
      </c>
      <c r="C456" s="13"/>
      <c r="D456" s="14"/>
      <c r="E456" s="15"/>
      <c r="F456" s="16"/>
      <c r="G456" s="17"/>
      <c r="H456" s="18"/>
      <c r="I456" s="19"/>
      <c r="J456" s="20"/>
      <c r="K456" s="21"/>
      <c r="L456" s="22"/>
      <c r="M456" s="23"/>
      <c r="N456" s="24"/>
      <c r="O456" s="25"/>
      <c r="P456" s="26"/>
      <c r="Q456" s="27"/>
      <c r="R456" s="28"/>
      <c r="S456" s="29"/>
      <c r="T456" s="30"/>
    </row>
    <row r="457" spans="1:20" ht="24" customHeight="1" x14ac:dyDescent="0.25">
      <c r="A457" t="str">
        <f>IF('e1'!A457&gt;0,HYPERLINK("#"&amp;ADDRESS(457,'e1'!A457),""),IF('r1'!A457&gt;0,HYPERLINK("#"&amp;ADDRESS(457,'r1'!A457),""),""))</f>
        <v/>
      </c>
      <c r="C457" s="13"/>
      <c r="D457" s="14"/>
      <c r="E457" s="15"/>
      <c r="F457" s="16"/>
      <c r="G457" s="17"/>
      <c r="H457" s="18"/>
      <c r="I457" s="19"/>
      <c r="J457" s="20"/>
      <c r="K457" s="21"/>
      <c r="L457" s="22"/>
      <c r="M457" s="23"/>
      <c r="N457" s="24"/>
      <c r="O457" s="25"/>
      <c r="P457" s="26"/>
      <c r="Q457" s="27"/>
      <c r="R457" s="28"/>
      <c r="S457" s="29"/>
      <c r="T457" s="30"/>
    </row>
    <row r="458" spans="1:20" ht="24" customHeight="1" x14ac:dyDescent="0.25">
      <c r="A458" t="str">
        <f>IF('e1'!A458&gt;0,HYPERLINK("#"&amp;ADDRESS(458,'e1'!A458),""),IF('r1'!A458&gt;0,HYPERLINK("#"&amp;ADDRESS(458,'r1'!A458),""),""))</f>
        <v/>
      </c>
      <c r="C458" s="13"/>
      <c r="D458" s="14"/>
      <c r="E458" s="15"/>
      <c r="F458" s="16"/>
      <c r="G458" s="17"/>
      <c r="H458" s="18"/>
      <c r="I458" s="19"/>
      <c r="J458" s="20"/>
      <c r="K458" s="21"/>
      <c r="L458" s="22"/>
      <c r="M458" s="23"/>
      <c r="N458" s="24"/>
      <c r="O458" s="25"/>
      <c r="P458" s="26"/>
      <c r="Q458" s="27"/>
      <c r="R458" s="28"/>
      <c r="S458" s="29"/>
      <c r="T458" s="30"/>
    </row>
    <row r="459" spans="1:20" ht="24" customHeight="1" x14ac:dyDescent="0.25">
      <c r="A459" t="str">
        <f>IF('e1'!A459&gt;0,HYPERLINK("#"&amp;ADDRESS(459,'e1'!A459),""),IF('r1'!A459&gt;0,HYPERLINK("#"&amp;ADDRESS(459,'r1'!A459),""),""))</f>
        <v/>
      </c>
      <c r="C459" s="13"/>
      <c r="D459" s="14"/>
      <c r="E459" s="15"/>
      <c r="F459" s="16"/>
      <c r="G459" s="17"/>
      <c r="H459" s="18"/>
      <c r="I459" s="19"/>
      <c r="J459" s="20"/>
      <c r="K459" s="21"/>
      <c r="L459" s="22"/>
      <c r="M459" s="23"/>
      <c r="N459" s="24"/>
      <c r="O459" s="25"/>
      <c r="P459" s="26"/>
      <c r="Q459" s="27"/>
      <c r="R459" s="28"/>
      <c r="S459" s="29"/>
      <c r="T459" s="30"/>
    </row>
    <row r="460" spans="1:20" ht="24" customHeight="1" x14ac:dyDescent="0.25">
      <c r="A460" t="str">
        <f>IF('e1'!A460&gt;0,HYPERLINK("#"&amp;ADDRESS(460,'e1'!A460),""),IF('r1'!A460&gt;0,HYPERLINK("#"&amp;ADDRESS(460,'r1'!A460),""),""))</f>
        <v/>
      </c>
      <c r="C460" s="13"/>
      <c r="D460" s="14"/>
      <c r="E460" s="15"/>
      <c r="F460" s="16"/>
      <c r="G460" s="17"/>
      <c r="H460" s="18"/>
      <c r="I460" s="19"/>
      <c r="J460" s="20"/>
      <c r="K460" s="21"/>
      <c r="L460" s="22"/>
      <c r="M460" s="23"/>
      <c r="N460" s="24"/>
      <c r="O460" s="25"/>
      <c r="P460" s="26"/>
      <c r="Q460" s="27"/>
      <c r="R460" s="28"/>
      <c r="S460" s="29"/>
      <c r="T460" s="30"/>
    </row>
    <row r="461" spans="1:20" ht="24" customHeight="1" x14ac:dyDescent="0.25">
      <c r="A461" t="str">
        <f>IF('e1'!A461&gt;0,HYPERLINK("#"&amp;ADDRESS(461,'e1'!A461),""),IF('r1'!A461&gt;0,HYPERLINK("#"&amp;ADDRESS(461,'r1'!A461),""),""))</f>
        <v/>
      </c>
      <c r="C461" s="13"/>
      <c r="D461" s="14"/>
      <c r="E461" s="15"/>
      <c r="F461" s="16"/>
      <c r="G461" s="17"/>
      <c r="H461" s="18"/>
      <c r="I461" s="19"/>
      <c r="J461" s="20"/>
      <c r="K461" s="21"/>
      <c r="L461" s="22"/>
      <c r="M461" s="23"/>
      <c r="N461" s="24"/>
      <c r="O461" s="25"/>
      <c r="P461" s="26"/>
      <c r="Q461" s="27"/>
      <c r="R461" s="28"/>
      <c r="S461" s="29"/>
      <c r="T461" s="30"/>
    </row>
    <row r="462" spans="1:20" ht="24" customHeight="1" x14ac:dyDescent="0.25">
      <c r="A462" t="str">
        <f>IF('e1'!A462&gt;0,HYPERLINK("#"&amp;ADDRESS(462,'e1'!A462),""),IF('r1'!A462&gt;0,HYPERLINK("#"&amp;ADDRESS(462,'r1'!A462),""),""))</f>
        <v/>
      </c>
      <c r="C462" s="13"/>
      <c r="D462" s="14"/>
      <c r="E462" s="15"/>
      <c r="F462" s="16"/>
      <c r="G462" s="17"/>
      <c r="H462" s="18"/>
      <c r="I462" s="19"/>
      <c r="J462" s="20"/>
      <c r="K462" s="21"/>
      <c r="L462" s="22"/>
      <c r="M462" s="23"/>
      <c r="N462" s="24"/>
      <c r="O462" s="25"/>
      <c r="P462" s="26"/>
      <c r="Q462" s="27"/>
      <c r="R462" s="28"/>
      <c r="S462" s="29"/>
      <c r="T462" s="30"/>
    </row>
    <row r="463" spans="1:20" ht="24" customHeight="1" x14ac:dyDescent="0.25">
      <c r="A463" t="str">
        <f>IF('e1'!A463&gt;0,HYPERLINK("#"&amp;ADDRESS(463,'e1'!A463),""),IF('r1'!A463&gt;0,HYPERLINK("#"&amp;ADDRESS(463,'r1'!A463),""),""))</f>
        <v/>
      </c>
      <c r="C463" s="13"/>
      <c r="D463" s="14"/>
      <c r="E463" s="15"/>
      <c r="F463" s="16"/>
      <c r="G463" s="17"/>
      <c r="H463" s="18"/>
      <c r="I463" s="19"/>
      <c r="J463" s="20"/>
      <c r="K463" s="21"/>
      <c r="L463" s="22"/>
      <c r="M463" s="23"/>
      <c r="N463" s="24"/>
      <c r="O463" s="25"/>
      <c r="P463" s="26"/>
      <c r="Q463" s="27"/>
      <c r="R463" s="28"/>
      <c r="S463" s="29"/>
      <c r="T463" s="30"/>
    </row>
    <row r="464" spans="1:20" ht="24" customHeight="1" x14ac:dyDescent="0.25">
      <c r="A464" t="str">
        <f>IF('e1'!A464&gt;0,HYPERLINK("#"&amp;ADDRESS(464,'e1'!A464),""),IF('r1'!A464&gt;0,HYPERLINK("#"&amp;ADDRESS(464,'r1'!A464),""),""))</f>
        <v/>
      </c>
      <c r="C464" s="13"/>
      <c r="D464" s="14"/>
      <c r="E464" s="15"/>
      <c r="F464" s="16"/>
      <c r="G464" s="17"/>
      <c r="H464" s="18"/>
      <c r="I464" s="19"/>
      <c r="J464" s="20"/>
      <c r="K464" s="21"/>
      <c r="L464" s="22"/>
      <c r="M464" s="23"/>
      <c r="N464" s="24"/>
      <c r="O464" s="25"/>
      <c r="P464" s="26"/>
      <c r="Q464" s="27"/>
      <c r="R464" s="28"/>
      <c r="S464" s="29"/>
      <c r="T464" s="30"/>
    </row>
    <row r="465" spans="1:20" ht="24" customHeight="1" x14ac:dyDescent="0.25">
      <c r="A465" t="str">
        <f>IF('e1'!A465&gt;0,HYPERLINK("#"&amp;ADDRESS(465,'e1'!A465),""),IF('r1'!A465&gt;0,HYPERLINK("#"&amp;ADDRESS(465,'r1'!A465),""),""))</f>
        <v/>
      </c>
      <c r="C465" s="13"/>
      <c r="D465" s="14"/>
      <c r="E465" s="15"/>
      <c r="F465" s="16"/>
      <c r="G465" s="17"/>
      <c r="H465" s="18"/>
      <c r="I465" s="19"/>
      <c r="J465" s="20"/>
      <c r="K465" s="21"/>
      <c r="L465" s="22"/>
      <c r="M465" s="23"/>
      <c r="N465" s="24"/>
      <c r="O465" s="25"/>
      <c r="P465" s="26"/>
      <c r="Q465" s="27"/>
      <c r="R465" s="28"/>
      <c r="S465" s="29"/>
      <c r="T465" s="30"/>
    </row>
    <row r="466" spans="1:20" ht="24" customHeight="1" x14ac:dyDescent="0.25">
      <c r="A466" t="str">
        <f>IF('e1'!A466&gt;0,HYPERLINK("#"&amp;ADDRESS(466,'e1'!A466),""),IF('r1'!A466&gt;0,HYPERLINK("#"&amp;ADDRESS(466,'r1'!A466),""),""))</f>
        <v/>
      </c>
      <c r="C466" s="13"/>
      <c r="D466" s="14"/>
      <c r="E466" s="15"/>
      <c r="F466" s="16"/>
      <c r="G466" s="17"/>
      <c r="H466" s="18"/>
      <c r="I466" s="19"/>
      <c r="J466" s="20"/>
      <c r="K466" s="21"/>
      <c r="L466" s="22"/>
      <c r="M466" s="23"/>
      <c r="N466" s="24"/>
      <c r="O466" s="25"/>
      <c r="P466" s="26"/>
      <c r="Q466" s="27"/>
      <c r="R466" s="28"/>
      <c r="S466" s="29"/>
      <c r="T466" s="30"/>
    </row>
    <row r="467" spans="1:20" ht="24" customHeight="1" x14ac:dyDescent="0.25">
      <c r="A467" t="str">
        <f>IF('e1'!A467&gt;0,HYPERLINK("#"&amp;ADDRESS(467,'e1'!A467),""),IF('r1'!A467&gt;0,HYPERLINK("#"&amp;ADDRESS(467,'r1'!A467),""),""))</f>
        <v/>
      </c>
      <c r="C467" s="13"/>
      <c r="D467" s="14"/>
      <c r="E467" s="15"/>
      <c r="F467" s="16"/>
      <c r="G467" s="17"/>
      <c r="H467" s="18"/>
      <c r="I467" s="19"/>
      <c r="J467" s="20"/>
      <c r="K467" s="21"/>
      <c r="L467" s="22"/>
      <c r="M467" s="23"/>
      <c r="N467" s="24"/>
      <c r="O467" s="25"/>
      <c r="P467" s="26"/>
      <c r="Q467" s="27"/>
      <c r="R467" s="28"/>
      <c r="S467" s="29"/>
      <c r="T467" s="30"/>
    </row>
    <row r="468" spans="1:20" ht="24" customHeight="1" x14ac:dyDescent="0.25">
      <c r="A468" t="str">
        <f>IF('e1'!A468&gt;0,HYPERLINK("#"&amp;ADDRESS(468,'e1'!A468),""),IF('r1'!A468&gt;0,HYPERLINK("#"&amp;ADDRESS(468,'r1'!A468),""),""))</f>
        <v/>
      </c>
      <c r="C468" s="13"/>
      <c r="D468" s="14"/>
      <c r="E468" s="15"/>
      <c r="F468" s="16"/>
      <c r="G468" s="17"/>
      <c r="H468" s="18"/>
      <c r="I468" s="19"/>
      <c r="J468" s="20"/>
      <c r="K468" s="21"/>
      <c r="L468" s="22"/>
      <c r="M468" s="23"/>
      <c r="N468" s="24"/>
      <c r="O468" s="25"/>
      <c r="P468" s="26"/>
      <c r="Q468" s="27"/>
      <c r="R468" s="28"/>
      <c r="S468" s="29"/>
      <c r="T468" s="30"/>
    </row>
    <row r="469" spans="1:20" ht="24" customHeight="1" x14ac:dyDescent="0.25">
      <c r="A469" t="str">
        <f>IF('e1'!A469&gt;0,HYPERLINK("#"&amp;ADDRESS(469,'e1'!A469),""),IF('r1'!A469&gt;0,HYPERLINK("#"&amp;ADDRESS(469,'r1'!A469),""),""))</f>
        <v/>
      </c>
      <c r="C469" s="13"/>
      <c r="D469" s="14"/>
      <c r="E469" s="15"/>
      <c r="F469" s="16"/>
      <c r="G469" s="17"/>
      <c r="H469" s="18"/>
      <c r="I469" s="19"/>
      <c r="J469" s="20"/>
      <c r="K469" s="21"/>
      <c r="L469" s="22"/>
      <c r="M469" s="23"/>
      <c r="N469" s="24"/>
      <c r="O469" s="25"/>
      <c r="P469" s="26"/>
      <c r="Q469" s="27"/>
      <c r="R469" s="28"/>
      <c r="S469" s="29"/>
      <c r="T469" s="30"/>
    </row>
    <row r="470" spans="1:20" ht="24" customHeight="1" x14ac:dyDescent="0.25">
      <c r="A470" t="str">
        <f>IF('e1'!A470&gt;0,HYPERLINK("#"&amp;ADDRESS(470,'e1'!A470),""),IF('r1'!A470&gt;0,HYPERLINK("#"&amp;ADDRESS(470,'r1'!A470),""),""))</f>
        <v/>
      </c>
      <c r="C470" s="13"/>
      <c r="D470" s="14"/>
      <c r="E470" s="15"/>
      <c r="F470" s="16"/>
      <c r="G470" s="17"/>
      <c r="H470" s="18"/>
      <c r="I470" s="19"/>
      <c r="J470" s="20"/>
      <c r="K470" s="21"/>
      <c r="L470" s="22"/>
      <c r="M470" s="23"/>
      <c r="N470" s="24"/>
      <c r="O470" s="25"/>
      <c r="P470" s="26"/>
      <c r="Q470" s="27"/>
      <c r="R470" s="28"/>
      <c r="S470" s="29"/>
      <c r="T470" s="30"/>
    </row>
    <row r="471" spans="1:20" ht="24" customHeight="1" x14ac:dyDescent="0.25">
      <c r="A471" t="str">
        <f>IF('e1'!A471&gt;0,HYPERLINK("#"&amp;ADDRESS(471,'e1'!A471),""),IF('r1'!A471&gt;0,HYPERLINK("#"&amp;ADDRESS(471,'r1'!A471),""),""))</f>
        <v/>
      </c>
      <c r="C471" s="13"/>
      <c r="D471" s="14"/>
      <c r="E471" s="15"/>
      <c r="F471" s="16"/>
      <c r="G471" s="17"/>
      <c r="H471" s="18"/>
      <c r="I471" s="19"/>
      <c r="J471" s="20"/>
      <c r="K471" s="21"/>
      <c r="L471" s="22"/>
      <c r="M471" s="23"/>
      <c r="N471" s="24"/>
      <c r="O471" s="25"/>
      <c r="P471" s="26"/>
      <c r="Q471" s="27"/>
      <c r="R471" s="28"/>
      <c r="S471" s="29"/>
      <c r="T471" s="30"/>
    </row>
    <row r="472" spans="1:20" ht="24" customHeight="1" x14ac:dyDescent="0.25">
      <c r="A472" t="str">
        <f>IF('e1'!A472&gt;0,HYPERLINK("#"&amp;ADDRESS(472,'e1'!A472),""),IF('r1'!A472&gt;0,HYPERLINK("#"&amp;ADDRESS(472,'r1'!A472),""),""))</f>
        <v/>
      </c>
      <c r="C472" s="13"/>
      <c r="D472" s="14"/>
      <c r="E472" s="15"/>
      <c r="F472" s="16"/>
      <c r="G472" s="17"/>
      <c r="H472" s="18"/>
      <c r="I472" s="19"/>
      <c r="J472" s="20"/>
      <c r="K472" s="21"/>
      <c r="L472" s="22"/>
      <c r="M472" s="23"/>
      <c r="N472" s="24"/>
      <c r="O472" s="25"/>
      <c r="P472" s="26"/>
      <c r="Q472" s="27"/>
      <c r="R472" s="28"/>
      <c r="S472" s="29"/>
      <c r="T472" s="30"/>
    </row>
    <row r="473" spans="1:20" ht="24" customHeight="1" x14ac:dyDescent="0.25">
      <c r="A473" t="str">
        <f>IF('e1'!A473&gt;0,HYPERLINK("#"&amp;ADDRESS(473,'e1'!A473),""),IF('r1'!A473&gt;0,HYPERLINK("#"&amp;ADDRESS(473,'r1'!A473),""),""))</f>
        <v/>
      </c>
      <c r="C473" s="13"/>
      <c r="D473" s="14"/>
      <c r="E473" s="15"/>
      <c r="F473" s="16"/>
      <c r="G473" s="17"/>
      <c r="H473" s="18"/>
      <c r="I473" s="19"/>
      <c r="J473" s="20"/>
      <c r="K473" s="21"/>
      <c r="L473" s="22"/>
      <c r="M473" s="23"/>
      <c r="N473" s="24"/>
      <c r="O473" s="25"/>
      <c r="P473" s="26"/>
      <c r="Q473" s="27"/>
      <c r="R473" s="28"/>
      <c r="S473" s="29"/>
      <c r="T473" s="30"/>
    </row>
    <row r="474" spans="1:20" ht="24" customHeight="1" x14ac:dyDescent="0.25">
      <c r="A474" t="str">
        <f>IF('e1'!A474&gt;0,HYPERLINK("#"&amp;ADDRESS(474,'e1'!A474),""),IF('r1'!A474&gt;0,HYPERLINK("#"&amp;ADDRESS(474,'r1'!A474),""),""))</f>
        <v/>
      </c>
      <c r="C474" s="13"/>
      <c r="D474" s="14"/>
      <c r="E474" s="15"/>
      <c r="F474" s="16"/>
      <c r="G474" s="17"/>
      <c r="H474" s="18"/>
      <c r="I474" s="19"/>
      <c r="J474" s="20"/>
      <c r="K474" s="21"/>
      <c r="L474" s="22"/>
      <c r="M474" s="23"/>
      <c r="N474" s="24"/>
      <c r="O474" s="25"/>
      <c r="P474" s="26"/>
      <c r="Q474" s="27"/>
      <c r="R474" s="28"/>
      <c r="S474" s="29"/>
      <c r="T474" s="30"/>
    </row>
    <row r="475" spans="1:20" ht="24" customHeight="1" x14ac:dyDescent="0.25">
      <c r="A475" t="str">
        <f>IF('e1'!A475&gt;0,HYPERLINK("#"&amp;ADDRESS(475,'e1'!A475),""),IF('r1'!A475&gt;0,HYPERLINK("#"&amp;ADDRESS(475,'r1'!A475),""),""))</f>
        <v/>
      </c>
      <c r="C475" s="13"/>
      <c r="D475" s="14"/>
      <c r="E475" s="15"/>
      <c r="F475" s="16"/>
      <c r="G475" s="17"/>
      <c r="H475" s="18"/>
      <c r="I475" s="19"/>
      <c r="J475" s="20"/>
      <c r="K475" s="21"/>
      <c r="L475" s="22"/>
      <c r="M475" s="23"/>
      <c r="N475" s="24"/>
      <c r="O475" s="25"/>
      <c r="P475" s="26"/>
      <c r="Q475" s="27"/>
      <c r="R475" s="28"/>
      <c r="S475" s="29"/>
      <c r="T475" s="30"/>
    </row>
    <row r="476" spans="1:20" ht="24" customHeight="1" x14ac:dyDescent="0.25">
      <c r="A476" t="str">
        <f>IF('e1'!A476&gt;0,HYPERLINK("#"&amp;ADDRESS(476,'e1'!A476),""),IF('r1'!A476&gt;0,HYPERLINK("#"&amp;ADDRESS(476,'r1'!A476),""),""))</f>
        <v/>
      </c>
      <c r="C476" s="13"/>
      <c r="D476" s="14"/>
      <c r="E476" s="15"/>
      <c r="F476" s="16"/>
      <c r="G476" s="17"/>
      <c r="H476" s="18"/>
      <c r="I476" s="19"/>
      <c r="J476" s="20"/>
      <c r="K476" s="21"/>
      <c r="L476" s="22"/>
      <c r="M476" s="23"/>
      <c r="N476" s="24"/>
      <c r="O476" s="25"/>
      <c r="P476" s="26"/>
      <c r="Q476" s="27"/>
      <c r="R476" s="28"/>
      <c r="S476" s="29"/>
      <c r="T476" s="30"/>
    </row>
    <row r="477" spans="1:20" ht="24" customHeight="1" x14ac:dyDescent="0.25">
      <c r="A477" t="str">
        <f>IF('e1'!A477&gt;0,HYPERLINK("#"&amp;ADDRESS(477,'e1'!A477),""),IF('r1'!A477&gt;0,HYPERLINK("#"&amp;ADDRESS(477,'r1'!A477),""),""))</f>
        <v/>
      </c>
      <c r="C477" s="13"/>
      <c r="D477" s="14"/>
      <c r="E477" s="15"/>
      <c r="F477" s="16"/>
      <c r="G477" s="17"/>
      <c r="H477" s="18"/>
      <c r="I477" s="19"/>
      <c r="J477" s="20"/>
      <c r="K477" s="21"/>
      <c r="L477" s="22"/>
      <c r="M477" s="23"/>
      <c r="N477" s="24"/>
      <c r="O477" s="25"/>
      <c r="P477" s="26"/>
      <c r="Q477" s="27"/>
      <c r="R477" s="28"/>
      <c r="S477" s="29"/>
      <c r="T477" s="30"/>
    </row>
    <row r="478" spans="1:20" ht="24" customHeight="1" x14ac:dyDescent="0.25">
      <c r="A478" t="str">
        <f>IF('e1'!A478&gt;0,HYPERLINK("#"&amp;ADDRESS(478,'e1'!A478),""),IF('r1'!A478&gt;0,HYPERLINK("#"&amp;ADDRESS(478,'r1'!A478),""),""))</f>
        <v/>
      </c>
      <c r="C478" s="13"/>
      <c r="D478" s="14"/>
      <c r="E478" s="15"/>
      <c r="F478" s="16"/>
      <c r="G478" s="17"/>
      <c r="H478" s="18"/>
      <c r="I478" s="19"/>
      <c r="J478" s="20"/>
      <c r="K478" s="21"/>
      <c r="L478" s="22"/>
      <c r="M478" s="23"/>
      <c r="N478" s="24"/>
      <c r="O478" s="25"/>
      <c r="P478" s="26"/>
      <c r="Q478" s="27"/>
      <c r="R478" s="28"/>
      <c r="S478" s="29"/>
      <c r="T478" s="30"/>
    </row>
    <row r="479" spans="1:20" ht="24" customHeight="1" x14ac:dyDescent="0.25">
      <c r="A479" t="str">
        <f>IF('e1'!A479&gt;0,HYPERLINK("#"&amp;ADDRESS(479,'e1'!A479),""),IF('r1'!A479&gt;0,HYPERLINK("#"&amp;ADDRESS(479,'r1'!A479),""),""))</f>
        <v/>
      </c>
      <c r="C479" s="13"/>
      <c r="D479" s="14"/>
      <c r="E479" s="15"/>
      <c r="F479" s="16"/>
      <c r="G479" s="17"/>
      <c r="H479" s="18"/>
      <c r="I479" s="19"/>
      <c r="J479" s="20"/>
      <c r="K479" s="21"/>
      <c r="L479" s="22"/>
      <c r="M479" s="23"/>
      <c r="N479" s="24"/>
      <c r="O479" s="25"/>
      <c r="P479" s="26"/>
      <c r="Q479" s="27"/>
      <c r="R479" s="28"/>
      <c r="S479" s="29"/>
      <c r="T479" s="30"/>
    </row>
    <row r="480" spans="1:20" ht="24" customHeight="1" x14ac:dyDescent="0.25">
      <c r="A480" t="str">
        <f>IF('e1'!A480&gt;0,HYPERLINK("#"&amp;ADDRESS(480,'e1'!A480),""),IF('r1'!A480&gt;0,HYPERLINK("#"&amp;ADDRESS(480,'r1'!A480),""),""))</f>
        <v/>
      </c>
      <c r="C480" s="13"/>
      <c r="D480" s="14"/>
      <c r="E480" s="15"/>
      <c r="F480" s="16"/>
      <c r="G480" s="17"/>
      <c r="H480" s="18"/>
      <c r="I480" s="19"/>
      <c r="J480" s="20"/>
      <c r="K480" s="21"/>
      <c r="L480" s="22"/>
      <c r="M480" s="23"/>
      <c r="N480" s="24"/>
      <c r="O480" s="25"/>
      <c r="P480" s="26"/>
      <c r="Q480" s="27"/>
      <c r="R480" s="28"/>
      <c r="S480" s="29"/>
      <c r="T480" s="30"/>
    </row>
    <row r="481" spans="1:20" ht="24" customHeight="1" x14ac:dyDescent="0.25">
      <c r="A481" t="str">
        <f>IF('e1'!A481&gt;0,HYPERLINK("#"&amp;ADDRESS(481,'e1'!A481),""),IF('r1'!A481&gt;0,HYPERLINK("#"&amp;ADDRESS(481,'r1'!A481),""),""))</f>
        <v/>
      </c>
      <c r="C481" s="13"/>
      <c r="D481" s="14"/>
      <c r="E481" s="15"/>
      <c r="F481" s="16"/>
      <c r="G481" s="17"/>
      <c r="H481" s="18"/>
      <c r="I481" s="19"/>
      <c r="J481" s="20"/>
      <c r="K481" s="21"/>
      <c r="L481" s="22"/>
      <c r="M481" s="23"/>
      <c r="N481" s="24"/>
      <c r="O481" s="25"/>
      <c r="P481" s="26"/>
      <c r="Q481" s="27"/>
      <c r="R481" s="28"/>
      <c r="S481" s="29"/>
      <c r="T481" s="30"/>
    </row>
    <row r="482" spans="1:20" ht="24" customHeight="1" x14ac:dyDescent="0.25">
      <c r="A482" t="str">
        <f>IF('e1'!A482&gt;0,HYPERLINK("#"&amp;ADDRESS(482,'e1'!A482),""),IF('r1'!A482&gt;0,HYPERLINK("#"&amp;ADDRESS(482,'r1'!A482),""),""))</f>
        <v/>
      </c>
      <c r="C482" s="13"/>
      <c r="D482" s="14"/>
      <c r="E482" s="15"/>
      <c r="F482" s="16"/>
      <c r="G482" s="17"/>
      <c r="H482" s="18"/>
      <c r="I482" s="19"/>
      <c r="J482" s="20"/>
      <c r="K482" s="21"/>
      <c r="L482" s="22"/>
      <c r="M482" s="23"/>
      <c r="N482" s="24"/>
      <c r="O482" s="25"/>
      <c r="P482" s="26"/>
      <c r="Q482" s="27"/>
      <c r="R482" s="28"/>
      <c r="S482" s="29"/>
      <c r="T482" s="30"/>
    </row>
    <row r="483" spans="1:20" ht="24" customHeight="1" x14ac:dyDescent="0.25">
      <c r="A483" t="str">
        <f>IF('e1'!A483&gt;0,HYPERLINK("#"&amp;ADDRESS(483,'e1'!A483),""),IF('r1'!A483&gt;0,HYPERLINK("#"&amp;ADDRESS(483,'r1'!A483),""),""))</f>
        <v/>
      </c>
      <c r="C483" s="13"/>
      <c r="D483" s="14"/>
      <c r="E483" s="15"/>
      <c r="F483" s="16"/>
      <c r="G483" s="17"/>
      <c r="H483" s="18"/>
      <c r="I483" s="19"/>
      <c r="J483" s="20"/>
      <c r="K483" s="21"/>
      <c r="L483" s="22"/>
      <c r="M483" s="23"/>
      <c r="N483" s="24"/>
      <c r="O483" s="25"/>
      <c r="P483" s="26"/>
      <c r="Q483" s="27"/>
      <c r="R483" s="28"/>
      <c r="S483" s="29"/>
      <c r="T483" s="30"/>
    </row>
    <row r="484" spans="1:20" ht="24" customHeight="1" x14ac:dyDescent="0.25">
      <c r="A484" t="str">
        <f>IF('e1'!A484&gt;0,HYPERLINK("#"&amp;ADDRESS(484,'e1'!A484),""),IF('r1'!A484&gt;0,HYPERLINK("#"&amp;ADDRESS(484,'r1'!A484),""),""))</f>
        <v/>
      </c>
      <c r="C484" s="13"/>
      <c r="D484" s="14"/>
      <c r="E484" s="15"/>
      <c r="F484" s="16"/>
      <c r="G484" s="17"/>
      <c r="H484" s="18"/>
      <c r="I484" s="19"/>
      <c r="J484" s="20"/>
      <c r="K484" s="21"/>
      <c r="L484" s="22"/>
      <c r="M484" s="23"/>
      <c r="N484" s="24"/>
      <c r="O484" s="25"/>
      <c r="P484" s="26"/>
      <c r="Q484" s="27"/>
      <c r="R484" s="28"/>
      <c r="S484" s="29"/>
      <c r="T484" s="30"/>
    </row>
    <row r="485" spans="1:20" ht="24" customHeight="1" x14ac:dyDescent="0.25">
      <c r="A485" t="str">
        <f>IF('e1'!A485&gt;0,HYPERLINK("#"&amp;ADDRESS(485,'e1'!A485),""),IF('r1'!A485&gt;0,HYPERLINK("#"&amp;ADDRESS(485,'r1'!A485),""),""))</f>
        <v/>
      </c>
      <c r="C485" s="13"/>
      <c r="D485" s="14"/>
      <c r="E485" s="15"/>
      <c r="F485" s="16"/>
      <c r="G485" s="17"/>
      <c r="H485" s="18"/>
      <c r="I485" s="19"/>
      <c r="J485" s="20"/>
      <c r="K485" s="21"/>
      <c r="L485" s="22"/>
      <c r="M485" s="23"/>
      <c r="N485" s="24"/>
      <c r="O485" s="25"/>
      <c r="P485" s="26"/>
      <c r="Q485" s="27"/>
      <c r="R485" s="28"/>
      <c r="S485" s="29"/>
      <c r="T485" s="30"/>
    </row>
    <row r="486" spans="1:20" ht="24" customHeight="1" x14ac:dyDescent="0.25">
      <c r="A486" t="str">
        <f>IF('e1'!A486&gt;0,HYPERLINK("#"&amp;ADDRESS(486,'e1'!A486),""),IF('r1'!A486&gt;0,HYPERLINK("#"&amp;ADDRESS(486,'r1'!A486),""),""))</f>
        <v/>
      </c>
      <c r="C486" s="13"/>
      <c r="D486" s="14"/>
      <c r="E486" s="15"/>
      <c r="F486" s="16"/>
      <c r="G486" s="17"/>
      <c r="H486" s="18"/>
      <c r="I486" s="19"/>
      <c r="J486" s="20"/>
      <c r="K486" s="21"/>
      <c r="L486" s="22"/>
      <c r="M486" s="23"/>
      <c r="N486" s="24"/>
      <c r="O486" s="25"/>
      <c r="P486" s="26"/>
      <c r="Q486" s="27"/>
      <c r="R486" s="28"/>
      <c r="S486" s="29"/>
      <c r="T486" s="30"/>
    </row>
    <row r="487" spans="1:20" ht="24" customHeight="1" x14ac:dyDescent="0.25">
      <c r="A487" t="str">
        <f>IF('e1'!A487&gt;0,HYPERLINK("#"&amp;ADDRESS(487,'e1'!A487),""),IF('r1'!A487&gt;0,HYPERLINK("#"&amp;ADDRESS(487,'r1'!A487),""),""))</f>
        <v/>
      </c>
      <c r="C487" s="13"/>
      <c r="D487" s="14"/>
      <c r="E487" s="15"/>
      <c r="F487" s="16"/>
      <c r="G487" s="17"/>
      <c r="H487" s="18"/>
      <c r="I487" s="19"/>
      <c r="J487" s="20"/>
      <c r="K487" s="21"/>
      <c r="L487" s="22"/>
      <c r="M487" s="23"/>
      <c r="N487" s="24"/>
      <c r="O487" s="25"/>
      <c r="P487" s="26"/>
      <c r="Q487" s="27"/>
      <c r="R487" s="28"/>
      <c r="S487" s="29"/>
      <c r="T487" s="30"/>
    </row>
    <row r="488" spans="1:20" ht="24" customHeight="1" x14ac:dyDescent="0.25">
      <c r="A488" t="str">
        <f>IF('e1'!A488&gt;0,HYPERLINK("#"&amp;ADDRESS(488,'e1'!A488),""),IF('r1'!A488&gt;0,HYPERLINK("#"&amp;ADDRESS(488,'r1'!A488),""),""))</f>
        <v/>
      </c>
      <c r="C488" s="13"/>
      <c r="D488" s="14"/>
      <c r="E488" s="15"/>
      <c r="F488" s="16"/>
      <c r="G488" s="17"/>
      <c r="H488" s="18"/>
      <c r="I488" s="19"/>
      <c r="J488" s="20"/>
      <c r="K488" s="21"/>
      <c r="L488" s="22"/>
      <c r="M488" s="23"/>
      <c r="N488" s="24"/>
      <c r="O488" s="25"/>
      <c r="P488" s="26"/>
      <c r="Q488" s="27"/>
      <c r="R488" s="28"/>
      <c r="S488" s="29"/>
      <c r="T488" s="30"/>
    </row>
    <row r="489" spans="1:20" ht="24" customHeight="1" x14ac:dyDescent="0.25">
      <c r="A489" t="str">
        <f>IF('e1'!A489&gt;0,HYPERLINK("#"&amp;ADDRESS(489,'e1'!A489),""),IF('r1'!A489&gt;0,HYPERLINK("#"&amp;ADDRESS(489,'r1'!A489),""),""))</f>
        <v/>
      </c>
      <c r="C489" s="13"/>
      <c r="D489" s="14"/>
      <c r="E489" s="15"/>
      <c r="F489" s="16"/>
      <c r="G489" s="17"/>
      <c r="H489" s="18"/>
      <c r="I489" s="19"/>
      <c r="J489" s="20"/>
      <c r="K489" s="21"/>
      <c r="L489" s="22"/>
      <c r="M489" s="23"/>
      <c r="N489" s="24"/>
      <c r="O489" s="25"/>
      <c r="P489" s="26"/>
      <c r="Q489" s="27"/>
      <c r="R489" s="28"/>
      <c r="S489" s="29"/>
      <c r="T489" s="30"/>
    </row>
    <row r="490" spans="1:20" ht="24" customHeight="1" x14ac:dyDescent="0.25">
      <c r="A490" t="str">
        <f>IF('e1'!A490&gt;0,HYPERLINK("#"&amp;ADDRESS(490,'e1'!A490),""),IF('r1'!A490&gt;0,HYPERLINK("#"&amp;ADDRESS(490,'r1'!A490),""),""))</f>
        <v/>
      </c>
      <c r="C490" s="13"/>
      <c r="D490" s="14"/>
      <c r="E490" s="15"/>
      <c r="F490" s="16"/>
      <c r="G490" s="17"/>
      <c r="H490" s="18"/>
      <c r="I490" s="19"/>
      <c r="J490" s="20"/>
      <c r="K490" s="21"/>
      <c r="L490" s="22"/>
      <c r="M490" s="23"/>
      <c r="N490" s="24"/>
      <c r="O490" s="25"/>
      <c r="P490" s="26"/>
      <c r="Q490" s="27"/>
      <c r="R490" s="28"/>
      <c r="S490" s="29"/>
      <c r="T490" s="30"/>
    </row>
    <row r="491" spans="1:20" ht="24" customHeight="1" x14ac:dyDescent="0.25">
      <c r="A491" t="str">
        <f>IF('e1'!A491&gt;0,HYPERLINK("#"&amp;ADDRESS(491,'e1'!A491),""),IF('r1'!A491&gt;0,HYPERLINK("#"&amp;ADDRESS(491,'r1'!A491),""),""))</f>
        <v/>
      </c>
      <c r="C491" s="13"/>
      <c r="D491" s="14"/>
      <c r="E491" s="15"/>
      <c r="F491" s="16"/>
      <c r="G491" s="17"/>
      <c r="H491" s="18"/>
      <c r="I491" s="19"/>
      <c r="J491" s="20"/>
      <c r="K491" s="21"/>
      <c r="L491" s="22"/>
      <c r="M491" s="23"/>
      <c r="N491" s="24"/>
      <c r="O491" s="25"/>
      <c r="P491" s="26"/>
      <c r="Q491" s="27"/>
      <c r="R491" s="28"/>
      <c r="S491" s="29"/>
      <c r="T491" s="30"/>
    </row>
    <row r="492" spans="1:20" ht="24" customHeight="1" x14ac:dyDescent="0.25">
      <c r="A492" t="str">
        <f>IF('e1'!A492&gt;0,HYPERLINK("#"&amp;ADDRESS(492,'e1'!A492),""),IF('r1'!A492&gt;0,HYPERLINK("#"&amp;ADDRESS(492,'r1'!A492),""),""))</f>
        <v/>
      </c>
      <c r="C492" s="13"/>
      <c r="D492" s="14"/>
      <c r="E492" s="15"/>
      <c r="F492" s="16"/>
      <c r="G492" s="17"/>
      <c r="H492" s="18"/>
      <c r="I492" s="19"/>
      <c r="J492" s="20"/>
      <c r="K492" s="21"/>
      <c r="L492" s="22"/>
      <c r="M492" s="23"/>
      <c r="N492" s="24"/>
      <c r="O492" s="25"/>
      <c r="P492" s="26"/>
      <c r="Q492" s="27"/>
      <c r="R492" s="28"/>
      <c r="S492" s="29"/>
      <c r="T492" s="30"/>
    </row>
    <row r="493" spans="1:20" ht="24" customHeight="1" x14ac:dyDescent="0.25">
      <c r="A493" t="str">
        <f>IF('e1'!A493&gt;0,HYPERLINK("#"&amp;ADDRESS(493,'e1'!A493),""),IF('r1'!A493&gt;0,HYPERLINK("#"&amp;ADDRESS(493,'r1'!A493),""),""))</f>
        <v/>
      </c>
      <c r="C493" s="13"/>
      <c r="D493" s="14"/>
      <c r="E493" s="15"/>
      <c r="F493" s="16"/>
      <c r="G493" s="17"/>
      <c r="H493" s="18"/>
      <c r="I493" s="19"/>
      <c r="J493" s="20"/>
      <c r="K493" s="21"/>
      <c r="L493" s="22"/>
      <c r="M493" s="23"/>
      <c r="N493" s="24"/>
      <c r="O493" s="25"/>
      <c r="P493" s="26"/>
      <c r="Q493" s="27"/>
      <c r="R493" s="28"/>
      <c r="S493" s="29"/>
      <c r="T493" s="30"/>
    </row>
    <row r="494" spans="1:20" ht="24" customHeight="1" x14ac:dyDescent="0.25">
      <c r="A494" t="str">
        <f>IF('e1'!A494&gt;0,HYPERLINK("#"&amp;ADDRESS(494,'e1'!A494),""),IF('r1'!A494&gt;0,HYPERLINK("#"&amp;ADDRESS(494,'r1'!A494),""),""))</f>
        <v/>
      </c>
      <c r="C494" s="13"/>
      <c r="D494" s="14"/>
      <c r="E494" s="15"/>
      <c r="F494" s="16"/>
      <c r="G494" s="17"/>
      <c r="H494" s="18"/>
      <c r="I494" s="19"/>
      <c r="J494" s="20"/>
      <c r="K494" s="21"/>
      <c r="L494" s="22"/>
      <c r="M494" s="23"/>
      <c r="N494" s="24"/>
      <c r="O494" s="25"/>
      <c r="P494" s="26"/>
      <c r="Q494" s="27"/>
      <c r="R494" s="28"/>
      <c r="S494" s="29"/>
      <c r="T494" s="30"/>
    </row>
    <row r="495" spans="1:20" ht="24" customHeight="1" x14ac:dyDescent="0.25">
      <c r="A495" t="str">
        <f>IF('e1'!A495&gt;0,HYPERLINK("#"&amp;ADDRESS(495,'e1'!A495),""),IF('r1'!A495&gt;0,HYPERLINK("#"&amp;ADDRESS(495,'r1'!A495),""),""))</f>
        <v/>
      </c>
      <c r="C495" s="13"/>
      <c r="D495" s="14"/>
      <c r="E495" s="15"/>
      <c r="F495" s="16"/>
      <c r="G495" s="17"/>
      <c r="H495" s="18"/>
      <c r="I495" s="19"/>
      <c r="J495" s="20"/>
      <c r="K495" s="21"/>
      <c r="L495" s="22"/>
      <c r="M495" s="23"/>
      <c r="N495" s="24"/>
      <c r="O495" s="25"/>
      <c r="P495" s="26"/>
      <c r="Q495" s="27"/>
      <c r="R495" s="28"/>
      <c r="S495" s="29"/>
      <c r="T495" s="30"/>
    </row>
    <row r="496" spans="1:20" ht="24" customHeight="1" x14ac:dyDescent="0.25">
      <c r="A496" t="str">
        <f>IF('e1'!A496&gt;0,HYPERLINK("#"&amp;ADDRESS(496,'e1'!A496),""),IF('r1'!A496&gt;0,HYPERLINK("#"&amp;ADDRESS(496,'r1'!A496),""),""))</f>
        <v/>
      </c>
      <c r="C496" s="13"/>
      <c r="D496" s="14"/>
      <c r="E496" s="15"/>
      <c r="F496" s="16"/>
      <c r="G496" s="17"/>
      <c r="H496" s="18"/>
      <c r="I496" s="19"/>
      <c r="J496" s="20"/>
      <c r="K496" s="21"/>
      <c r="L496" s="22"/>
      <c r="M496" s="23"/>
      <c r="N496" s="24"/>
      <c r="O496" s="25"/>
      <c r="P496" s="26"/>
      <c r="Q496" s="27"/>
      <c r="R496" s="28"/>
      <c r="S496" s="29"/>
      <c r="T496" s="30"/>
    </row>
    <row r="497" spans="1:20" ht="24" customHeight="1" x14ac:dyDescent="0.25">
      <c r="A497" t="str">
        <f>IF('e1'!A497&gt;0,HYPERLINK("#"&amp;ADDRESS(497,'e1'!A497),""),IF('r1'!A497&gt;0,HYPERLINK("#"&amp;ADDRESS(497,'r1'!A497),""),""))</f>
        <v/>
      </c>
      <c r="C497" s="13"/>
      <c r="D497" s="14"/>
      <c r="E497" s="15"/>
      <c r="F497" s="16"/>
      <c r="G497" s="17"/>
      <c r="H497" s="18"/>
      <c r="I497" s="19"/>
      <c r="J497" s="20"/>
      <c r="K497" s="21"/>
      <c r="L497" s="22"/>
      <c r="M497" s="23"/>
      <c r="N497" s="24"/>
      <c r="O497" s="25"/>
      <c r="P497" s="26"/>
      <c r="Q497" s="27"/>
      <c r="R497" s="28"/>
      <c r="S497" s="29"/>
      <c r="T497" s="30"/>
    </row>
    <row r="498" spans="1:20" ht="24" customHeight="1" x14ac:dyDescent="0.25">
      <c r="A498" t="str">
        <f>IF('e1'!A498&gt;0,HYPERLINK("#"&amp;ADDRESS(498,'e1'!A498),""),IF('r1'!A498&gt;0,HYPERLINK("#"&amp;ADDRESS(498,'r1'!A498),""),""))</f>
        <v/>
      </c>
      <c r="C498" s="13"/>
      <c r="D498" s="14"/>
      <c r="E498" s="15"/>
      <c r="F498" s="16"/>
      <c r="G498" s="17"/>
      <c r="H498" s="18"/>
      <c r="I498" s="19"/>
      <c r="J498" s="20"/>
      <c r="K498" s="21"/>
      <c r="L498" s="22"/>
      <c r="M498" s="23"/>
      <c r="N498" s="24"/>
      <c r="O498" s="25"/>
      <c r="P498" s="26"/>
      <c r="Q498" s="27"/>
      <c r="R498" s="28"/>
      <c r="S498" s="29"/>
      <c r="T498" s="30"/>
    </row>
    <row r="499" spans="1:20" ht="24" customHeight="1" x14ac:dyDescent="0.25">
      <c r="A499" t="str">
        <f>IF('e1'!A499&gt;0,HYPERLINK("#"&amp;ADDRESS(499,'e1'!A499),""),IF('r1'!A499&gt;0,HYPERLINK("#"&amp;ADDRESS(499,'r1'!A499),""),""))</f>
        <v/>
      </c>
      <c r="C499" s="13"/>
      <c r="D499" s="14"/>
      <c r="E499" s="15"/>
      <c r="F499" s="16"/>
      <c r="G499" s="17"/>
      <c r="H499" s="18"/>
      <c r="I499" s="19"/>
      <c r="J499" s="20"/>
      <c r="K499" s="21"/>
      <c r="L499" s="22"/>
      <c r="M499" s="23"/>
      <c r="N499" s="24"/>
      <c r="O499" s="25"/>
      <c r="P499" s="26"/>
      <c r="Q499" s="27"/>
      <c r="R499" s="28"/>
      <c r="S499" s="29"/>
      <c r="T499" s="30"/>
    </row>
    <row r="500" spans="1:20" ht="24" customHeight="1" x14ac:dyDescent="0.25">
      <c r="A500" t="str">
        <f>IF('e1'!A500&gt;0,HYPERLINK("#"&amp;ADDRESS(500,'e1'!A500),""),IF('r1'!A500&gt;0,HYPERLINK("#"&amp;ADDRESS(500,'r1'!A500),""),""))</f>
        <v/>
      </c>
      <c r="C500" s="13"/>
      <c r="D500" s="14"/>
      <c r="E500" s="15"/>
      <c r="F500" s="16"/>
      <c r="G500" s="17"/>
      <c r="H500" s="18"/>
      <c r="I500" s="19"/>
      <c r="J500" s="20"/>
      <c r="K500" s="21"/>
      <c r="L500" s="22"/>
      <c r="M500" s="23"/>
      <c r="N500" s="24"/>
      <c r="O500" s="25"/>
      <c r="P500" s="26"/>
      <c r="Q500" s="27"/>
      <c r="R500" s="28"/>
      <c r="S500" s="29"/>
      <c r="T500" s="30"/>
    </row>
    <row r="501" spans="1:20" ht="24" customHeight="1" x14ac:dyDescent="0.25">
      <c r="A501" t="str">
        <f>IF('e1'!A501&gt;0,HYPERLINK("#"&amp;ADDRESS(501,'e1'!A501),""),IF('r1'!A501&gt;0,HYPERLINK("#"&amp;ADDRESS(501,'r1'!A501),""),""))</f>
        <v/>
      </c>
      <c r="C501" s="13"/>
      <c r="D501" s="14"/>
      <c r="E501" s="15"/>
      <c r="F501" s="16"/>
      <c r="G501" s="17"/>
      <c r="H501" s="18"/>
      <c r="I501" s="19"/>
      <c r="J501" s="20"/>
      <c r="K501" s="21"/>
      <c r="L501" s="22"/>
      <c r="M501" s="23"/>
      <c r="N501" s="24"/>
      <c r="O501" s="25"/>
      <c r="P501" s="26"/>
      <c r="Q501" s="27"/>
      <c r="R501" s="28"/>
      <c r="S501" s="29"/>
      <c r="T501" s="30"/>
    </row>
    <row r="502" spans="1:20" ht="24" customHeight="1" x14ac:dyDescent="0.25">
      <c r="A502" t="str">
        <f>IF('e1'!A502&gt;0,HYPERLINK("#"&amp;ADDRESS(502,'e1'!A502),""),IF('r1'!A502&gt;0,HYPERLINK("#"&amp;ADDRESS(502,'r1'!A502),""),""))</f>
        <v/>
      </c>
      <c r="C502" s="13"/>
      <c r="D502" s="14"/>
      <c r="E502" s="15"/>
      <c r="F502" s="16"/>
      <c r="G502" s="17"/>
      <c r="H502" s="18"/>
      <c r="I502" s="19"/>
      <c r="J502" s="20"/>
      <c r="K502" s="21"/>
      <c r="L502" s="22"/>
      <c r="M502" s="23"/>
      <c r="N502" s="24"/>
      <c r="O502" s="25"/>
      <c r="P502" s="26"/>
      <c r="Q502" s="27"/>
      <c r="R502" s="28"/>
      <c r="S502" s="29"/>
      <c r="T502" s="30"/>
    </row>
    <row r="503" spans="1:20" ht="24" customHeight="1" x14ac:dyDescent="0.25">
      <c r="A503" t="str">
        <f>IF('e1'!A503&gt;0,HYPERLINK("#"&amp;ADDRESS(503,'e1'!A503),""),IF('r1'!A503&gt;0,HYPERLINK("#"&amp;ADDRESS(503,'r1'!A503),""),""))</f>
        <v/>
      </c>
      <c r="C503" s="13"/>
      <c r="D503" s="14"/>
      <c r="E503" s="15"/>
      <c r="F503" s="16"/>
      <c r="G503" s="17"/>
      <c r="H503" s="18"/>
      <c r="I503" s="19"/>
      <c r="J503" s="20"/>
      <c r="K503" s="21"/>
      <c r="L503" s="22"/>
      <c r="M503" s="23"/>
      <c r="N503" s="24"/>
      <c r="O503" s="25"/>
      <c r="P503" s="26"/>
      <c r="Q503" s="27"/>
      <c r="R503" s="28"/>
      <c r="S503" s="29"/>
      <c r="T503" s="30"/>
    </row>
    <row r="504" spans="1:20" ht="24" customHeight="1" x14ac:dyDescent="0.25">
      <c r="A504" t="str">
        <f>IF('e1'!A504&gt;0,HYPERLINK("#"&amp;ADDRESS(504,'e1'!A504),""),IF('r1'!A504&gt;0,HYPERLINK("#"&amp;ADDRESS(504,'r1'!A504),""),""))</f>
        <v/>
      </c>
      <c r="C504" s="13"/>
      <c r="D504" s="14"/>
      <c r="E504" s="15"/>
      <c r="F504" s="16"/>
      <c r="G504" s="17"/>
      <c r="H504" s="18"/>
      <c r="I504" s="19"/>
      <c r="J504" s="20"/>
      <c r="K504" s="21"/>
      <c r="L504" s="22"/>
      <c r="M504" s="23"/>
      <c r="N504" s="24"/>
      <c r="O504" s="25"/>
      <c r="P504" s="26"/>
      <c r="Q504" s="27"/>
      <c r="R504" s="28"/>
      <c r="S504" s="29"/>
      <c r="T504" s="30"/>
    </row>
    <row r="505" spans="1:20" ht="24" customHeight="1" x14ac:dyDescent="0.25">
      <c r="A505" t="str">
        <f>IF('e1'!A505&gt;0,HYPERLINK("#"&amp;ADDRESS(505,'e1'!A505),""),IF('r1'!A505&gt;0,HYPERLINK("#"&amp;ADDRESS(505,'r1'!A505),""),""))</f>
        <v/>
      </c>
      <c r="C505" s="13"/>
      <c r="D505" s="14"/>
      <c r="E505" s="15"/>
      <c r="F505" s="16"/>
      <c r="G505" s="17"/>
      <c r="H505" s="18"/>
      <c r="I505" s="19"/>
      <c r="J505" s="20"/>
      <c r="K505" s="21"/>
      <c r="L505" s="22"/>
      <c r="M505" s="23"/>
      <c r="N505" s="24"/>
      <c r="O505" s="25"/>
      <c r="P505" s="26"/>
      <c r="Q505" s="27"/>
      <c r="R505" s="28"/>
      <c r="S505" s="29"/>
      <c r="T505" s="30"/>
    </row>
    <row r="506" spans="1:20" ht="24" customHeight="1" x14ac:dyDescent="0.25">
      <c r="A506" t="str">
        <f>IF('e1'!A506&gt;0,HYPERLINK("#"&amp;ADDRESS(506,'e1'!A506),""),IF('r1'!A506&gt;0,HYPERLINK("#"&amp;ADDRESS(506,'r1'!A506),""),""))</f>
        <v/>
      </c>
      <c r="C506" s="13"/>
      <c r="D506" s="14"/>
      <c r="E506" s="15"/>
      <c r="F506" s="16"/>
      <c r="G506" s="17"/>
      <c r="H506" s="18"/>
      <c r="I506" s="19"/>
      <c r="J506" s="20"/>
      <c r="K506" s="21"/>
      <c r="L506" s="22"/>
      <c r="M506" s="23"/>
      <c r="N506" s="24"/>
      <c r="O506" s="25"/>
      <c r="P506" s="26"/>
      <c r="Q506" s="27"/>
      <c r="R506" s="28"/>
      <c r="S506" s="29"/>
      <c r="T506" s="30"/>
    </row>
    <row r="507" spans="1:20" ht="24" customHeight="1" x14ac:dyDescent="0.25">
      <c r="A507" t="str">
        <f>IF('e1'!A507&gt;0,HYPERLINK("#"&amp;ADDRESS(507,'e1'!A507),""),IF('r1'!A507&gt;0,HYPERLINK("#"&amp;ADDRESS(507,'r1'!A507),""),""))</f>
        <v/>
      </c>
      <c r="C507" s="13"/>
      <c r="D507" s="14"/>
      <c r="E507" s="15"/>
      <c r="F507" s="16"/>
      <c r="G507" s="17"/>
      <c r="H507" s="18"/>
      <c r="I507" s="19"/>
      <c r="J507" s="20"/>
      <c r="K507" s="21"/>
      <c r="L507" s="22"/>
      <c r="M507" s="23"/>
      <c r="N507" s="24"/>
      <c r="O507" s="25"/>
      <c r="P507" s="26"/>
      <c r="Q507" s="27"/>
      <c r="R507" s="28"/>
      <c r="S507" s="29"/>
      <c r="T507" s="30"/>
    </row>
    <row r="508" spans="1:20" ht="24" customHeight="1" x14ac:dyDescent="0.25">
      <c r="A508" t="str">
        <f>IF('e1'!A508&gt;0,HYPERLINK("#"&amp;ADDRESS(508,'e1'!A508),""),IF('r1'!A508&gt;0,HYPERLINK("#"&amp;ADDRESS(508,'r1'!A508),""),""))</f>
        <v/>
      </c>
      <c r="C508" s="13"/>
      <c r="D508" s="14"/>
      <c r="E508" s="15"/>
      <c r="F508" s="16"/>
      <c r="G508" s="17"/>
      <c r="H508" s="18"/>
      <c r="I508" s="19"/>
      <c r="J508" s="20"/>
      <c r="K508" s="21"/>
      <c r="L508" s="22"/>
      <c r="M508" s="23"/>
      <c r="N508" s="24"/>
      <c r="O508" s="25"/>
      <c r="P508" s="26"/>
      <c r="Q508" s="27"/>
      <c r="R508" s="28"/>
      <c r="S508" s="29"/>
      <c r="T508" s="30"/>
    </row>
    <row r="509" spans="1:20" ht="24" customHeight="1" x14ac:dyDescent="0.25">
      <c r="A509" t="str">
        <f>IF('e1'!A509&gt;0,HYPERLINK("#"&amp;ADDRESS(509,'e1'!A509),""),IF('r1'!A509&gt;0,HYPERLINK("#"&amp;ADDRESS(509,'r1'!A509),""),""))</f>
        <v/>
      </c>
      <c r="C509" s="13"/>
      <c r="D509" s="14"/>
      <c r="E509" s="15"/>
      <c r="F509" s="16"/>
      <c r="G509" s="17"/>
      <c r="H509" s="18"/>
      <c r="I509" s="19"/>
      <c r="J509" s="20"/>
      <c r="K509" s="21"/>
      <c r="L509" s="22"/>
      <c r="M509" s="23"/>
      <c r="N509" s="24"/>
      <c r="O509" s="25"/>
      <c r="P509" s="26"/>
      <c r="Q509" s="27"/>
      <c r="R509" s="28"/>
      <c r="S509" s="29"/>
      <c r="T509" s="30"/>
    </row>
    <row r="510" spans="1:20" ht="24" customHeight="1" x14ac:dyDescent="0.25">
      <c r="A510" t="str">
        <f>IF('e1'!A510&gt;0,HYPERLINK("#"&amp;ADDRESS(510,'e1'!A510),""),IF('r1'!A510&gt;0,HYPERLINK("#"&amp;ADDRESS(510,'r1'!A510),""),""))</f>
        <v/>
      </c>
      <c r="C510" s="13"/>
      <c r="D510" s="14"/>
      <c r="E510" s="15"/>
      <c r="F510" s="16"/>
      <c r="G510" s="17"/>
      <c r="H510" s="18"/>
      <c r="I510" s="19"/>
      <c r="J510" s="20"/>
      <c r="K510" s="21"/>
      <c r="L510" s="22"/>
      <c r="M510" s="23"/>
      <c r="N510" s="24"/>
      <c r="O510" s="25"/>
      <c r="P510" s="26"/>
      <c r="Q510" s="27"/>
      <c r="R510" s="28"/>
      <c r="S510" s="29"/>
      <c r="T510" s="30"/>
    </row>
    <row r="511" spans="1:20" ht="24" customHeight="1" x14ac:dyDescent="0.25">
      <c r="A511" t="str">
        <f>IF('e1'!A511&gt;0,HYPERLINK("#"&amp;ADDRESS(511,'e1'!A511),""),IF('r1'!A511&gt;0,HYPERLINK("#"&amp;ADDRESS(511,'r1'!A511),""),""))</f>
        <v/>
      </c>
      <c r="C511" s="13"/>
      <c r="D511" s="14"/>
      <c r="E511" s="15"/>
      <c r="F511" s="16"/>
      <c r="G511" s="17"/>
      <c r="H511" s="18"/>
      <c r="I511" s="19"/>
      <c r="J511" s="20"/>
      <c r="K511" s="21"/>
      <c r="L511" s="22"/>
      <c r="M511" s="23"/>
      <c r="N511" s="24"/>
      <c r="O511" s="25"/>
      <c r="P511" s="26"/>
      <c r="Q511" s="27"/>
      <c r="R511" s="28"/>
      <c r="S511" s="29"/>
      <c r="T511" s="30"/>
    </row>
    <row r="512" spans="1:20" ht="24" customHeight="1" x14ac:dyDescent="0.25">
      <c r="A512" t="str">
        <f>IF('e1'!A512&gt;0,HYPERLINK("#"&amp;ADDRESS(512,'e1'!A512),""),IF('r1'!A512&gt;0,HYPERLINK("#"&amp;ADDRESS(512,'r1'!A512),""),""))</f>
        <v/>
      </c>
      <c r="C512" s="13"/>
      <c r="D512" s="14"/>
      <c r="E512" s="15"/>
      <c r="F512" s="16"/>
      <c r="G512" s="17"/>
      <c r="H512" s="18"/>
      <c r="I512" s="19"/>
      <c r="J512" s="20"/>
      <c r="K512" s="21"/>
      <c r="L512" s="22"/>
      <c r="M512" s="23"/>
      <c r="N512" s="24"/>
      <c r="O512" s="25"/>
      <c r="P512" s="26"/>
      <c r="Q512" s="27"/>
      <c r="R512" s="28"/>
      <c r="S512" s="29"/>
      <c r="T512" s="30"/>
    </row>
    <row r="513" spans="1:20" ht="24" customHeight="1" x14ac:dyDescent="0.25">
      <c r="A513" t="str">
        <f>IF('e1'!A513&gt;0,HYPERLINK("#"&amp;ADDRESS(513,'e1'!A513),""),IF('r1'!A513&gt;0,HYPERLINK("#"&amp;ADDRESS(513,'r1'!A513),""),""))</f>
        <v/>
      </c>
      <c r="C513" s="13"/>
      <c r="D513" s="14"/>
      <c r="E513" s="15"/>
      <c r="F513" s="16"/>
      <c r="G513" s="17"/>
      <c r="H513" s="18"/>
      <c r="I513" s="19"/>
      <c r="J513" s="20"/>
      <c r="K513" s="21"/>
      <c r="L513" s="22"/>
      <c r="M513" s="23"/>
      <c r="N513" s="24"/>
      <c r="O513" s="25"/>
      <c r="P513" s="26"/>
      <c r="Q513" s="27"/>
      <c r="R513" s="28"/>
      <c r="S513" s="29"/>
      <c r="T513" s="30"/>
    </row>
    <row r="514" spans="1:20" ht="24" customHeight="1" x14ac:dyDescent="0.25">
      <c r="A514" t="str">
        <f>IF('e1'!A514&gt;0,HYPERLINK("#"&amp;ADDRESS(514,'e1'!A514),""),IF('r1'!A514&gt;0,HYPERLINK("#"&amp;ADDRESS(514,'r1'!A514),""),""))</f>
        <v/>
      </c>
      <c r="C514" s="13"/>
      <c r="D514" s="14"/>
      <c r="E514" s="15"/>
      <c r="F514" s="16"/>
      <c r="G514" s="17"/>
      <c r="H514" s="18"/>
      <c r="I514" s="19"/>
      <c r="J514" s="20"/>
      <c r="K514" s="21"/>
      <c r="L514" s="22"/>
      <c r="M514" s="23"/>
      <c r="N514" s="24"/>
      <c r="O514" s="25"/>
      <c r="P514" s="26"/>
      <c r="Q514" s="27"/>
      <c r="R514" s="28"/>
      <c r="S514" s="29"/>
      <c r="T514" s="30"/>
    </row>
    <row r="515" spans="1:20" ht="24" customHeight="1" x14ac:dyDescent="0.25">
      <c r="A515" t="str">
        <f>IF('e1'!A515&gt;0,HYPERLINK("#"&amp;ADDRESS(515,'e1'!A515),""),IF('r1'!A515&gt;0,HYPERLINK("#"&amp;ADDRESS(515,'r1'!A515),""),""))</f>
        <v/>
      </c>
      <c r="C515" s="13"/>
      <c r="D515" s="14"/>
      <c r="E515" s="15"/>
      <c r="F515" s="16"/>
      <c r="G515" s="17"/>
      <c r="H515" s="18"/>
      <c r="I515" s="19"/>
      <c r="J515" s="20"/>
      <c r="K515" s="21"/>
      <c r="L515" s="22"/>
      <c r="M515" s="23"/>
      <c r="N515" s="24"/>
      <c r="O515" s="25"/>
      <c r="P515" s="26"/>
      <c r="Q515" s="27"/>
      <c r="R515" s="28"/>
      <c r="S515" s="29"/>
      <c r="T515" s="30"/>
    </row>
    <row r="516" spans="1:20" ht="24" customHeight="1" x14ac:dyDescent="0.25">
      <c r="A516" t="str">
        <f>IF('e1'!A516&gt;0,HYPERLINK("#"&amp;ADDRESS(516,'e1'!A516),""),IF('r1'!A516&gt;0,HYPERLINK("#"&amp;ADDRESS(516,'r1'!A516),""),""))</f>
        <v/>
      </c>
      <c r="C516" s="13"/>
      <c r="D516" s="14"/>
      <c r="E516" s="15"/>
      <c r="F516" s="16"/>
      <c r="G516" s="17"/>
      <c r="H516" s="18"/>
      <c r="I516" s="19"/>
      <c r="J516" s="20"/>
      <c r="K516" s="21"/>
      <c r="L516" s="22"/>
      <c r="M516" s="23"/>
      <c r="N516" s="24"/>
      <c r="O516" s="25"/>
      <c r="P516" s="26"/>
      <c r="Q516" s="27"/>
      <c r="R516" s="28"/>
      <c r="S516" s="29"/>
      <c r="T516" s="30"/>
    </row>
    <row r="517" spans="1:20" ht="24" customHeight="1" x14ac:dyDescent="0.25">
      <c r="A517" t="str">
        <f>IF('e1'!A517&gt;0,HYPERLINK("#"&amp;ADDRESS(517,'e1'!A517),""),IF('r1'!A517&gt;0,HYPERLINK("#"&amp;ADDRESS(517,'r1'!A517),""),""))</f>
        <v/>
      </c>
      <c r="C517" s="13"/>
      <c r="D517" s="14"/>
      <c r="E517" s="15"/>
      <c r="F517" s="16"/>
      <c r="G517" s="17"/>
      <c r="H517" s="18"/>
      <c r="I517" s="19"/>
      <c r="J517" s="20"/>
      <c r="K517" s="21"/>
      <c r="L517" s="22"/>
      <c r="M517" s="23"/>
      <c r="N517" s="24"/>
      <c r="O517" s="25"/>
      <c r="P517" s="26"/>
      <c r="Q517" s="27"/>
      <c r="R517" s="28"/>
      <c r="S517" s="29"/>
      <c r="T517" s="30"/>
    </row>
    <row r="518" spans="1:20" ht="24" customHeight="1" x14ac:dyDescent="0.25">
      <c r="A518" t="str">
        <f>IF('e1'!A518&gt;0,HYPERLINK("#"&amp;ADDRESS(518,'e1'!A518),""),IF('r1'!A518&gt;0,HYPERLINK("#"&amp;ADDRESS(518,'r1'!A518),""),""))</f>
        <v/>
      </c>
      <c r="C518" s="13"/>
      <c r="D518" s="14"/>
      <c r="E518" s="15"/>
      <c r="F518" s="16"/>
      <c r="G518" s="17"/>
      <c r="H518" s="18"/>
      <c r="I518" s="19"/>
      <c r="J518" s="20"/>
      <c r="K518" s="21"/>
      <c r="L518" s="22"/>
      <c r="M518" s="23"/>
      <c r="N518" s="24"/>
      <c r="O518" s="25"/>
      <c r="P518" s="26"/>
      <c r="Q518" s="27"/>
      <c r="R518" s="28"/>
      <c r="S518" s="29"/>
      <c r="T518" s="30"/>
    </row>
    <row r="519" spans="1:20" ht="24" customHeight="1" x14ac:dyDescent="0.25">
      <c r="A519" t="str">
        <f>IF('e1'!A519&gt;0,HYPERLINK("#"&amp;ADDRESS(519,'e1'!A519),""),IF('r1'!A519&gt;0,HYPERLINK("#"&amp;ADDRESS(519,'r1'!A519),""),""))</f>
        <v/>
      </c>
      <c r="C519" s="13"/>
      <c r="D519" s="14"/>
      <c r="E519" s="15"/>
      <c r="F519" s="16"/>
      <c r="G519" s="17"/>
      <c r="H519" s="18"/>
      <c r="I519" s="19"/>
      <c r="J519" s="20"/>
      <c r="K519" s="21"/>
      <c r="L519" s="22"/>
      <c r="M519" s="23"/>
      <c r="N519" s="24"/>
      <c r="O519" s="25"/>
      <c r="P519" s="26"/>
      <c r="Q519" s="27"/>
      <c r="R519" s="28"/>
      <c r="S519" s="29"/>
      <c r="T519" s="30"/>
    </row>
    <row r="520" spans="1:20" ht="24" customHeight="1" x14ac:dyDescent="0.25">
      <c r="A520" t="str">
        <f>IF('e1'!A520&gt;0,HYPERLINK("#"&amp;ADDRESS(520,'e1'!A520),""),IF('r1'!A520&gt;0,HYPERLINK("#"&amp;ADDRESS(520,'r1'!A520),""),""))</f>
        <v/>
      </c>
      <c r="C520" s="13"/>
      <c r="D520" s="14"/>
      <c r="E520" s="15"/>
      <c r="F520" s="16"/>
      <c r="G520" s="17"/>
      <c r="H520" s="18"/>
      <c r="I520" s="19"/>
      <c r="J520" s="20"/>
      <c r="K520" s="21"/>
      <c r="L520" s="22"/>
      <c r="M520" s="23"/>
      <c r="N520" s="24"/>
      <c r="O520" s="25"/>
      <c r="P520" s="26"/>
      <c r="Q520" s="27"/>
      <c r="R520" s="28"/>
      <c r="S520" s="29"/>
      <c r="T520" s="30"/>
    </row>
    <row r="521" spans="1:20" ht="24" customHeight="1" x14ac:dyDescent="0.25">
      <c r="A521" t="str">
        <f>IF('e1'!A521&gt;0,HYPERLINK("#"&amp;ADDRESS(521,'e1'!A521),""),IF('r1'!A521&gt;0,HYPERLINK("#"&amp;ADDRESS(521,'r1'!A521),""),""))</f>
        <v/>
      </c>
      <c r="C521" s="13"/>
      <c r="D521" s="14"/>
      <c r="E521" s="15"/>
      <c r="F521" s="16"/>
      <c r="G521" s="17"/>
      <c r="H521" s="18"/>
      <c r="I521" s="19"/>
      <c r="J521" s="20"/>
      <c r="K521" s="21"/>
      <c r="L521" s="22"/>
      <c r="M521" s="23"/>
      <c r="N521" s="24"/>
      <c r="O521" s="25"/>
      <c r="P521" s="26"/>
      <c r="Q521" s="27"/>
      <c r="R521" s="28"/>
      <c r="S521" s="29"/>
      <c r="T521" s="30"/>
    </row>
    <row r="522" spans="1:20" ht="24" customHeight="1" x14ac:dyDescent="0.25">
      <c r="A522" t="str">
        <f>IF('e1'!A522&gt;0,HYPERLINK("#"&amp;ADDRESS(522,'e1'!A522),""),IF('r1'!A522&gt;0,HYPERLINK("#"&amp;ADDRESS(522,'r1'!A522),""),""))</f>
        <v/>
      </c>
      <c r="C522" s="13"/>
      <c r="D522" s="14"/>
      <c r="E522" s="15"/>
      <c r="F522" s="16"/>
      <c r="G522" s="17"/>
      <c r="H522" s="18"/>
      <c r="I522" s="19"/>
      <c r="J522" s="20"/>
      <c r="K522" s="21"/>
      <c r="L522" s="22"/>
      <c r="M522" s="23"/>
      <c r="N522" s="24"/>
      <c r="O522" s="25"/>
      <c r="P522" s="26"/>
      <c r="Q522" s="27"/>
      <c r="R522" s="28"/>
      <c r="S522" s="29"/>
      <c r="T522" s="30"/>
    </row>
    <row r="523" spans="1:20" ht="24" customHeight="1" x14ac:dyDescent="0.25">
      <c r="A523" t="str">
        <f>IF('e1'!A523&gt;0,HYPERLINK("#"&amp;ADDRESS(523,'e1'!A523),""),IF('r1'!A523&gt;0,HYPERLINK("#"&amp;ADDRESS(523,'r1'!A523),""),""))</f>
        <v/>
      </c>
      <c r="C523" s="13"/>
      <c r="D523" s="14"/>
      <c r="E523" s="15"/>
      <c r="F523" s="16"/>
      <c r="G523" s="17"/>
      <c r="H523" s="18"/>
      <c r="I523" s="19"/>
      <c r="J523" s="20"/>
      <c r="K523" s="21"/>
      <c r="L523" s="22"/>
      <c r="M523" s="23"/>
      <c r="N523" s="24"/>
      <c r="O523" s="25"/>
      <c r="P523" s="26"/>
      <c r="Q523" s="27"/>
      <c r="R523" s="28"/>
      <c r="S523" s="29"/>
      <c r="T523" s="30"/>
    </row>
    <row r="524" spans="1:20" ht="24" customHeight="1" x14ac:dyDescent="0.25">
      <c r="A524" t="str">
        <f>IF('e1'!A524&gt;0,HYPERLINK("#"&amp;ADDRESS(524,'e1'!A524),""),IF('r1'!A524&gt;0,HYPERLINK("#"&amp;ADDRESS(524,'r1'!A524),""),""))</f>
        <v/>
      </c>
      <c r="C524" s="13"/>
      <c r="D524" s="14"/>
      <c r="E524" s="15"/>
      <c r="F524" s="16"/>
      <c r="G524" s="17"/>
      <c r="H524" s="18"/>
      <c r="I524" s="19"/>
      <c r="J524" s="20"/>
      <c r="K524" s="21"/>
      <c r="L524" s="22"/>
      <c r="M524" s="23"/>
      <c r="N524" s="24"/>
      <c r="O524" s="25"/>
      <c r="P524" s="26"/>
      <c r="Q524" s="27"/>
      <c r="R524" s="28"/>
      <c r="S524" s="29"/>
      <c r="T524" s="30"/>
    </row>
    <row r="525" spans="1:20" ht="24" customHeight="1" x14ac:dyDescent="0.25">
      <c r="A525" t="str">
        <f>IF('e1'!A525&gt;0,HYPERLINK("#"&amp;ADDRESS(525,'e1'!A525),""),IF('r1'!A525&gt;0,HYPERLINK("#"&amp;ADDRESS(525,'r1'!A525),""),""))</f>
        <v/>
      </c>
      <c r="C525" s="13"/>
      <c r="D525" s="14"/>
      <c r="E525" s="15"/>
      <c r="F525" s="16"/>
      <c r="G525" s="17"/>
      <c r="H525" s="18"/>
      <c r="I525" s="19"/>
      <c r="J525" s="20"/>
      <c r="K525" s="21"/>
      <c r="L525" s="22"/>
      <c r="M525" s="23"/>
      <c r="N525" s="24"/>
      <c r="O525" s="25"/>
      <c r="P525" s="26"/>
      <c r="Q525" s="27"/>
      <c r="R525" s="28"/>
      <c r="S525" s="29"/>
      <c r="T525" s="30"/>
    </row>
    <row r="526" spans="1:20" ht="24" customHeight="1" x14ac:dyDescent="0.25">
      <c r="A526" t="str">
        <f>IF('e1'!A526&gt;0,HYPERLINK("#"&amp;ADDRESS(526,'e1'!A526),""),IF('r1'!A526&gt;0,HYPERLINK("#"&amp;ADDRESS(526,'r1'!A526),""),""))</f>
        <v/>
      </c>
      <c r="C526" s="13"/>
      <c r="D526" s="14"/>
      <c r="E526" s="15"/>
      <c r="F526" s="16"/>
      <c r="G526" s="17"/>
      <c r="H526" s="18"/>
      <c r="I526" s="19"/>
      <c r="J526" s="20"/>
      <c r="K526" s="21"/>
      <c r="L526" s="22"/>
      <c r="M526" s="23"/>
      <c r="N526" s="24"/>
      <c r="O526" s="25"/>
      <c r="P526" s="26"/>
      <c r="Q526" s="27"/>
      <c r="R526" s="28"/>
      <c r="S526" s="29"/>
      <c r="T526" s="30"/>
    </row>
    <row r="527" spans="1:20" ht="24" customHeight="1" x14ac:dyDescent="0.25">
      <c r="A527" t="str">
        <f>IF('e1'!A527&gt;0,HYPERLINK("#"&amp;ADDRESS(527,'e1'!A527),""),IF('r1'!A527&gt;0,HYPERLINK("#"&amp;ADDRESS(527,'r1'!A527),""),""))</f>
        <v/>
      </c>
      <c r="C527" s="13"/>
      <c r="D527" s="14"/>
      <c r="E527" s="15"/>
      <c r="F527" s="16"/>
      <c r="G527" s="17"/>
      <c r="H527" s="18"/>
      <c r="I527" s="19"/>
      <c r="J527" s="20"/>
      <c r="K527" s="21"/>
      <c r="L527" s="22"/>
      <c r="M527" s="23"/>
      <c r="N527" s="24"/>
      <c r="O527" s="25"/>
      <c r="P527" s="26"/>
      <c r="Q527" s="27"/>
      <c r="R527" s="28"/>
      <c r="S527" s="29"/>
      <c r="T527" s="30"/>
    </row>
    <row r="528" spans="1:20" ht="24" customHeight="1" x14ac:dyDescent="0.25">
      <c r="A528" t="str">
        <f>IF('e1'!A528&gt;0,HYPERLINK("#"&amp;ADDRESS(528,'e1'!A528),""),IF('r1'!A528&gt;0,HYPERLINK("#"&amp;ADDRESS(528,'r1'!A528),""),""))</f>
        <v/>
      </c>
      <c r="C528" s="13"/>
      <c r="D528" s="14"/>
      <c r="E528" s="15"/>
      <c r="F528" s="16"/>
      <c r="G528" s="17"/>
      <c r="H528" s="18"/>
      <c r="I528" s="19"/>
      <c r="J528" s="20"/>
      <c r="K528" s="21"/>
      <c r="L528" s="22"/>
      <c r="M528" s="23"/>
      <c r="N528" s="24"/>
      <c r="O528" s="25"/>
      <c r="P528" s="26"/>
      <c r="Q528" s="27"/>
      <c r="R528" s="28"/>
      <c r="S528" s="29"/>
      <c r="T528" s="30"/>
    </row>
    <row r="529" spans="1:20" ht="24" customHeight="1" x14ac:dyDescent="0.25">
      <c r="A529" t="str">
        <f>IF('e1'!A529&gt;0,HYPERLINK("#"&amp;ADDRESS(529,'e1'!A529),""),IF('r1'!A529&gt;0,HYPERLINK("#"&amp;ADDRESS(529,'r1'!A529),""),""))</f>
        <v/>
      </c>
      <c r="C529" s="13"/>
      <c r="D529" s="14"/>
      <c r="E529" s="15"/>
      <c r="F529" s="16"/>
      <c r="G529" s="17"/>
      <c r="H529" s="18"/>
      <c r="I529" s="19"/>
      <c r="J529" s="20"/>
      <c r="K529" s="21"/>
      <c r="L529" s="22"/>
      <c r="M529" s="23"/>
      <c r="N529" s="24"/>
      <c r="O529" s="25"/>
      <c r="P529" s="26"/>
      <c r="Q529" s="27"/>
      <c r="R529" s="28"/>
      <c r="S529" s="29"/>
      <c r="T529" s="30"/>
    </row>
    <row r="530" spans="1:20" ht="24" customHeight="1" x14ac:dyDescent="0.25">
      <c r="A530" t="str">
        <f>IF('e1'!A530&gt;0,HYPERLINK("#"&amp;ADDRESS(530,'e1'!A530),""),IF('r1'!A530&gt;0,HYPERLINK("#"&amp;ADDRESS(530,'r1'!A530),""),""))</f>
        <v/>
      </c>
      <c r="C530" s="13"/>
      <c r="D530" s="14"/>
      <c r="E530" s="15"/>
      <c r="F530" s="16"/>
      <c r="G530" s="17"/>
      <c r="H530" s="18"/>
      <c r="I530" s="19"/>
      <c r="J530" s="20"/>
      <c r="K530" s="21"/>
      <c r="L530" s="22"/>
      <c r="M530" s="23"/>
      <c r="N530" s="24"/>
      <c r="O530" s="25"/>
      <c r="P530" s="26"/>
      <c r="Q530" s="27"/>
      <c r="R530" s="28"/>
      <c r="S530" s="29"/>
      <c r="T530" s="30"/>
    </row>
    <row r="531" spans="1:20" ht="24" customHeight="1" x14ac:dyDescent="0.25">
      <c r="A531" t="str">
        <f>IF('e1'!A531&gt;0,HYPERLINK("#"&amp;ADDRESS(531,'e1'!A531),""),IF('r1'!A531&gt;0,HYPERLINK("#"&amp;ADDRESS(531,'r1'!A531),""),""))</f>
        <v/>
      </c>
      <c r="C531" s="13"/>
      <c r="D531" s="14"/>
      <c r="E531" s="15"/>
      <c r="F531" s="16"/>
      <c r="G531" s="17"/>
      <c r="H531" s="18"/>
      <c r="I531" s="19"/>
      <c r="J531" s="20"/>
      <c r="K531" s="21"/>
      <c r="L531" s="22"/>
      <c r="M531" s="23"/>
      <c r="N531" s="24"/>
      <c r="O531" s="25"/>
      <c r="P531" s="26"/>
      <c r="Q531" s="27"/>
      <c r="R531" s="28"/>
      <c r="S531" s="29"/>
      <c r="T531" s="30"/>
    </row>
    <row r="532" spans="1:20" ht="24" customHeight="1" x14ac:dyDescent="0.25">
      <c r="A532" t="str">
        <f>IF('e1'!A532&gt;0,HYPERLINK("#"&amp;ADDRESS(532,'e1'!A532),""),IF('r1'!A532&gt;0,HYPERLINK("#"&amp;ADDRESS(532,'r1'!A532),""),""))</f>
        <v/>
      </c>
      <c r="C532" s="13"/>
      <c r="D532" s="14"/>
      <c r="E532" s="15"/>
      <c r="F532" s="16"/>
      <c r="G532" s="17"/>
      <c r="H532" s="18"/>
      <c r="I532" s="19"/>
      <c r="J532" s="20"/>
      <c r="K532" s="21"/>
      <c r="L532" s="22"/>
      <c r="M532" s="23"/>
      <c r="N532" s="24"/>
      <c r="O532" s="25"/>
      <c r="P532" s="26"/>
      <c r="Q532" s="27"/>
      <c r="R532" s="28"/>
      <c r="S532" s="29"/>
      <c r="T532" s="30"/>
    </row>
    <row r="533" spans="1:20" ht="24" customHeight="1" x14ac:dyDescent="0.25">
      <c r="A533" t="str">
        <f>IF('e1'!A533&gt;0,HYPERLINK("#"&amp;ADDRESS(533,'e1'!A533),""),IF('r1'!A533&gt;0,HYPERLINK("#"&amp;ADDRESS(533,'r1'!A533),""),""))</f>
        <v/>
      </c>
      <c r="C533" s="13"/>
      <c r="D533" s="14"/>
      <c r="E533" s="15"/>
      <c r="F533" s="16"/>
      <c r="G533" s="17"/>
      <c r="H533" s="18"/>
      <c r="I533" s="19"/>
      <c r="J533" s="20"/>
      <c r="K533" s="21"/>
      <c r="L533" s="22"/>
      <c r="M533" s="23"/>
      <c r="N533" s="24"/>
      <c r="O533" s="25"/>
      <c r="P533" s="26"/>
      <c r="Q533" s="27"/>
      <c r="R533" s="28"/>
      <c r="S533" s="29"/>
      <c r="T533" s="30"/>
    </row>
    <row r="534" spans="1:20" ht="24" customHeight="1" x14ac:dyDescent="0.25">
      <c r="A534" t="str">
        <f>IF('e1'!A534&gt;0,HYPERLINK("#"&amp;ADDRESS(534,'e1'!A534),""),IF('r1'!A534&gt;0,HYPERLINK("#"&amp;ADDRESS(534,'r1'!A534),""),""))</f>
        <v/>
      </c>
      <c r="C534" s="13"/>
      <c r="D534" s="14"/>
      <c r="E534" s="15"/>
      <c r="F534" s="16"/>
      <c r="G534" s="17"/>
      <c r="H534" s="18"/>
      <c r="I534" s="19"/>
      <c r="J534" s="20"/>
      <c r="K534" s="21"/>
      <c r="L534" s="22"/>
      <c r="M534" s="23"/>
      <c r="N534" s="24"/>
      <c r="O534" s="25"/>
      <c r="P534" s="26"/>
      <c r="Q534" s="27"/>
      <c r="R534" s="28"/>
      <c r="S534" s="29"/>
      <c r="T534" s="30"/>
    </row>
    <row r="535" spans="1:20" ht="24" customHeight="1" x14ac:dyDescent="0.25">
      <c r="A535" t="str">
        <f>IF('e1'!A535&gt;0,HYPERLINK("#"&amp;ADDRESS(535,'e1'!A535),""),IF('r1'!A535&gt;0,HYPERLINK("#"&amp;ADDRESS(535,'r1'!A535),""),""))</f>
        <v/>
      </c>
      <c r="C535" s="13"/>
      <c r="D535" s="14"/>
      <c r="E535" s="15"/>
      <c r="F535" s="16"/>
      <c r="G535" s="17"/>
      <c r="H535" s="18"/>
      <c r="I535" s="19"/>
      <c r="J535" s="20"/>
      <c r="K535" s="21"/>
      <c r="L535" s="22"/>
      <c r="M535" s="23"/>
      <c r="N535" s="24"/>
      <c r="O535" s="25"/>
      <c r="P535" s="26"/>
      <c r="Q535" s="27"/>
      <c r="R535" s="28"/>
      <c r="S535" s="29"/>
      <c r="T535" s="30"/>
    </row>
    <row r="536" spans="1:20" ht="24" customHeight="1" x14ac:dyDescent="0.25">
      <c r="A536" t="str">
        <f>IF('e1'!A536&gt;0,HYPERLINK("#"&amp;ADDRESS(536,'e1'!A536),""),IF('r1'!A536&gt;0,HYPERLINK("#"&amp;ADDRESS(536,'r1'!A536),""),""))</f>
        <v/>
      </c>
      <c r="C536" s="13"/>
      <c r="D536" s="14"/>
      <c r="E536" s="15"/>
      <c r="F536" s="16"/>
      <c r="G536" s="17"/>
      <c r="H536" s="18"/>
      <c r="I536" s="19"/>
      <c r="J536" s="20"/>
      <c r="K536" s="21"/>
      <c r="L536" s="22"/>
      <c r="M536" s="23"/>
      <c r="N536" s="24"/>
      <c r="O536" s="25"/>
      <c r="P536" s="26"/>
      <c r="Q536" s="27"/>
      <c r="R536" s="28"/>
      <c r="S536" s="29"/>
      <c r="T536" s="30"/>
    </row>
    <row r="537" spans="1:20" ht="24" customHeight="1" x14ac:dyDescent="0.25">
      <c r="A537" t="str">
        <f>IF('e1'!A537&gt;0,HYPERLINK("#"&amp;ADDRESS(537,'e1'!A537),""),IF('r1'!A537&gt;0,HYPERLINK("#"&amp;ADDRESS(537,'r1'!A537),""),""))</f>
        <v/>
      </c>
      <c r="C537" s="13"/>
      <c r="D537" s="14"/>
      <c r="E537" s="15"/>
      <c r="F537" s="16"/>
      <c r="G537" s="17"/>
      <c r="H537" s="18"/>
      <c r="I537" s="19"/>
      <c r="J537" s="20"/>
      <c r="K537" s="21"/>
      <c r="L537" s="22"/>
      <c r="M537" s="23"/>
      <c r="N537" s="24"/>
      <c r="O537" s="25"/>
      <c r="P537" s="26"/>
      <c r="Q537" s="27"/>
      <c r="R537" s="28"/>
      <c r="S537" s="29"/>
      <c r="T537" s="30"/>
    </row>
    <row r="538" spans="1:20" ht="24" customHeight="1" x14ac:dyDescent="0.25">
      <c r="A538" t="str">
        <f>IF('e1'!A538&gt;0,HYPERLINK("#"&amp;ADDRESS(538,'e1'!A538),""),IF('r1'!A538&gt;0,HYPERLINK("#"&amp;ADDRESS(538,'r1'!A538),""),""))</f>
        <v/>
      </c>
      <c r="C538" s="13"/>
      <c r="D538" s="14"/>
      <c r="E538" s="15"/>
      <c r="F538" s="16"/>
      <c r="G538" s="17"/>
      <c r="H538" s="18"/>
      <c r="I538" s="19"/>
      <c r="J538" s="20"/>
      <c r="K538" s="21"/>
      <c r="L538" s="22"/>
      <c r="M538" s="23"/>
      <c r="N538" s="24"/>
      <c r="O538" s="25"/>
      <c r="P538" s="26"/>
      <c r="Q538" s="27"/>
      <c r="R538" s="28"/>
      <c r="S538" s="29"/>
      <c r="T538" s="30"/>
    </row>
    <row r="539" spans="1:20" ht="24" customHeight="1" x14ac:dyDescent="0.25">
      <c r="A539" t="str">
        <f>IF('e1'!A539&gt;0,HYPERLINK("#"&amp;ADDRESS(539,'e1'!A539),""),IF('r1'!A539&gt;0,HYPERLINK("#"&amp;ADDRESS(539,'r1'!A539),""),""))</f>
        <v/>
      </c>
      <c r="C539" s="13"/>
      <c r="D539" s="14"/>
      <c r="E539" s="15"/>
      <c r="F539" s="16"/>
      <c r="G539" s="17"/>
      <c r="H539" s="18"/>
      <c r="I539" s="19"/>
      <c r="J539" s="20"/>
      <c r="K539" s="21"/>
      <c r="L539" s="22"/>
      <c r="M539" s="23"/>
      <c r="N539" s="24"/>
      <c r="O539" s="25"/>
      <c r="P539" s="26"/>
      <c r="Q539" s="27"/>
      <c r="R539" s="28"/>
      <c r="S539" s="29"/>
      <c r="T539" s="30"/>
    </row>
    <row r="540" spans="1:20" ht="24" customHeight="1" x14ac:dyDescent="0.25">
      <c r="A540" t="str">
        <f>IF('e1'!A540&gt;0,HYPERLINK("#"&amp;ADDRESS(540,'e1'!A540),""),IF('r1'!A540&gt;0,HYPERLINK("#"&amp;ADDRESS(540,'r1'!A540),""),""))</f>
        <v/>
      </c>
      <c r="C540" s="13"/>
      <c r="D540" s="14"/>
      <c r="E540" s="15"/>
      <c r="F540" s="16"/>
      <c r="G540" s="17"/>
      <c r="H540" s="18"/>
      <c r="I540" s="19"/>
      <c r="J540" s="20"/>
      <c r="K540" s="21"/>
      <c r="L540" s="22"/>
      <c r="M540" s="23"/>
      <c r="N540" s="24"/>
      <c r="O540" s="25"/>
      <c r="P540" s="26"/>
      <c r="Q540" s="27"/>
      <c r="R540" s="28"/>
      <c r="S540" s="29"/>
      <c r="T540" s="30"/>
    </row>
    <row r="541" spans="1:20" ht="24" customHeight="1" x14ac:dyDescent="0.25">
      <c r="A541" t="str">
        <f>IF('e1'!A541&gt;0,HYPERLINK("#"&amp;ADDRESS(541,'e1'!A541),""),IF('r1'!A541&gt;0,HYPERLINK("#"&amp;ADDRESS(541,'r1'!A541),""),""))</f>
        <v/>
      </c>
      <c r="C541" s="13"/>
      <c r="D541" s="14"/>
      <c r="E541" s="15"/>
      <c r="F541" s="16"/>
      <c r="G541" s="17"/>
      <c r="H541" s="18"/>
      <c r="I541" s="19"/>
      <c r="J541" s="20"/>
      <c r="K541" s="21"/>
      <c r="L541" s="22"/>
      <c r="M541" s="23"/>
      <c r="N541" s="24"/>
      <c r="O541" s="25"/>
      <c r="P541" s="26"/>
      <c r="Q541" s="27"/>
      <c r="R541" s="28"/>
      <c r="S541" s="29"/>
      <c r="T541" s="30"/>
    </row>
    <row r="542" spans="1:20" ht="24" customHeight="1" x14ac:dyDescent="0.25">
      <c r="A542" t="str">
        <f>IF('e1'!A542&gt;0,HYPERLINK("#"&amp;ADDRESS(542,'e1'!A542),""),IF('r1'!A542&gt;0,HYPERLINK("#"&amp;ADDRESS(542,'r1'!A542),""),""))</f>
        <v/>
      </c>
      <c r="C542" s="13"/>
      <c r="D542" s="14"/>
      <c r="E542" s="15"/>
      <c r="F542" s="16"/>
      <c r="G542" s="17"/>
      <c r="H542" s="18"/>
      <c r="I542" s="19"/>
      <c r="J542" s="20"/>
      <c r="K542" s="21"/>
      <c r="L542" s="22"/>
      <c r="M542" s="23"/>
      <c r="N542" s="24"/>
      <c r="O542" s="25"/>
      <c r="P542" s="26"/>
      <c r="Q542" s="27"/>
      <c r="R542" s="28"/>
      <c r="S542" s="29"/>
      <c r="T542" s="30"/>
    </row>
    <row r="543" spans="1:20" ht="24" customHeight="1" x14ac:dyDescent="0.25">
      <c r="A543" t="str">
        <f>IF('e1'!A543&gt;0,HYPERLINK("#"&amp;ADDRESS(543,'e1'!A543),""),IF('r1'!A543&gt;0,HYPERLINK("#"&amp;ADDRESS(543,'r1'!A543),""),""))</f>
        <v/>
      </c>
      <c r="C543" s="13"/>
      <c r="D543" s="14"/>
      <c r="E543" s="15"/>
      <c r="F543" s="16"/>
      <c r="G543" s="17"/>
      <c r="H543" s="18"/>
      <c r="I543" s="19"/>
      <c r="J543" s="20"/>
      <c r="K543" s="21"/>
      <c r="L543" s="22"/>
      <c r="M543" s="23"/>
      <c r="N543" s="24"/>
      <c r="O543" s="25"/>
      <c r="P543" s="26"/>
      <c r="Q543" s="27"/>
      <c r="R543" s="28"/>
      <c r="S543" s="29"/>
      <c r="T543" s="30"/>
    </row>
    <row r="544" spans="1:20" ht="24" customHeight="1" x14ac:dyDescent="0.25">
      <c r="A544" t="str">
        <f>IF('e1'!A544&gt;0,HYPERLINK("#"&amp;ADDRESS(544,'e1'!A544),""),IF('r1'!A544&gt;0,HYPERLINK("#"&amp;ADDRESS(544,'r1'!A544),""),""))</f>
        <v/>
      </c>
      <c r="C544" s="13"/>
      <c r="D544" s="14"/>
      <c r="E544" s="15"/>
      <c r="F544" s="16"/>
      <c r="G544" s="17"/>
      <c r="H544" s="18"/>
      <c r="I544" s="19"/>
      <c r="J544" s="20"/>
      <c r="K544" s="21"/>
      <c r="L544" s="22"/>
      <c r="M544" s="23"/>
      <c r="N544" s="24"/>
      <c r="O544" s="25"/>
      <c r="P544" s="26"/>
      <c r="Q544" s="27"/>
      <c r="R544" s="28"/>
      <c r="S544" s="29"/>
      <c r="T544" s="30"/>
    </row>
    <row r="545" spans="1:20" ht="24" customHeight="1" x14ac:dyDescent="0.25">
      <c r="A545" t="str">
        <f>IF('e1'!A545&gt;0,HYPERLINK("#"&amp;ADDRESS(545,'e1'!A545),""),IF('r1'!A545&gt;0,HYPERLINK("#"&amp;ADDRESS(545,'r1'!A545),""),""))</f>
        <v/>
      </c>
      <c r="C545" s="13"/>
      <c r="D545" s="14"/>
      <c r="E545" s="15"/>
      <c r="F545" s="16"/>
      <c r="G545" s="17"/>
      <c r="H545" s="18"/>
      <c r="I545" s="19"/>
      <c r="J545" s="20"/>
      <c r="K545" s="21"/>
      <c r="L545" s="22"/>
      <c r="M545" s="23"/>
      <c r="N545" s="24"/>
      <c r="O545" s="25"/>
      <c r="P545" s="26"/>
      <c r="Q545" s="27"/>
      <c r="R545" s="28"/>
      <c r="S545" s="29"/>
      <c r="T545" s="30"/>
    </row>
    <row r="546" spans="1:20" ht="24" customHeight="1" x14ac:dyDescent="0.25">
      <c r="A546" t="str">
        <f>IF('e1'!A546&gt;0,HYPERLINK("#"&amp;ADDRESS(546,'e1'!A546),""),IF('r1'!A546&gt;0,HYPERLINK("#"&amp;ADDRESS(546,'r1'!A546),""),""))</f>
        <v/>
      </c>
      <c r="C546" s="13"/>
      <c r="D546" s="14"/>
      <c r="E546" s="15"/>
      <c r="F546" s="16"/>
      <c r="G546" s="17"/>
      <c r="H546" s="18"/>
      <c r="I546" s="19"/>
      <c r="J546" s="20"/>
      <c r="K546" s="21"/>
      <c r="L546" s="22"/>
      <c r="M546" s="23"/>
      <c r="N546" s="24"/>
      <c r="O546" s="25"/>
      <c r="P546" s="26"/>
      <c r="Q546" s="27"/>
      <c r="R546" s="28"/>
      <c r="S546" s="29"/>
      <c r="T546" s="30"/>
    </row>
    <row r="547" spans="1:20" ht="24" customHeight="1" x14ac:dyDescent="0.25">
      <c r="A547" t="str">
        <f>IF('e1'!A547&gt;0,HYPERLINK("#"&amp;ADDRESS(547,'e1'!A547),""),IF('r1'!A547&gt;0,HYPERLINK("#"&amp;ADDRESS(547,'r1'!A547),""),""))</f>
        <v/>
      </c>
      <c r="C547" s="13"/>
      <c r="D547" s="14"/>
      <c r="E547" s="15"/>
      <c r="F547" s="16"/>
      <c r="G547" s="17"/>
      <c r="H547" s="18"/>
      <c r="I547" s="19"/>
      <c r="J547" s="20"/>
      <c r="K547" s="21"/>
      <c r="L547" s="22"/>
      <c r="M547" s="23"/>
      <c r="N547" s="24"/>
      <c r="O547" s="25"/>
      <c r="P547" s="26"/>
      <c r="Q547" s="27"/>
      <c r="R547" s="28"/>
      <c r="S547" s="29"/>
      <c r="T547" s="30"/>
    </row>
    <row r="548" spans="1:20" ht="24" customHeight="1" x14ac:dyDescent="0.25">
      <c r="A548" t="str">
        <f>IF('e1'!A548&gt;0,HYPERLINK("#"&amp;ADDRESS(548,'e1'!A548),""),IF('r1'!A548&gt;0,HYPERLINK("#"&amp;ADDRESS(548,'r1'!A548),""),""))</f>
        <v/>
      </c>
      <c r="C548" s="13"/>
      <c r="D548" s="14"/>
      <c r="E548" s="15"/>
      <c r="F548" s="16"/>
      <c r="G548" s="17"/>
      <c r="H548" s="18"/>
      <c r="I548" s="19"/>
      <c r="J548" s="20"/>
      <c r="K548" s="21"/>
      <c r="L548" s="22"/>
      <c r="M548" s="23"/>
      <c r="N548" s="24"/>
      <c r="O548" s="25"/>
      <c r="P548" s="26"/>
      <c r="Q548" s="27"/>
      <c r="R548" s="28"/>
      <c r="S548" s="29"/>
      <c r="T548" s="30"/>
    </row>
    <row r="549" spans="1:20" ht="24" customHeight="1" x14ac:dyDescent="0.25">
      <c r="A549" t="str">
        <f>IF('e1'!A549&gt;0,HYPERLINK("#"&amp;ADDRESS(549,'e1'!A549),""),IF('r1'!A549&gt;0,HYPERLINK("#"&amp;ADDRESS(549,'r1'!A549),""),""))</f>
        <v/>
      </c>
      <c r="C549" s="13"/>
      <c r="D549" s="14"/>
      <c r="E549" s="15"/>
      <c r="F549" s="16"/>
      <c r="G549" s="17"/>
      <c r="H549" s="18"/>
      <c r="I549" s="19"/>
      <c r="J549" s="20"/>
      <c r="K549" s="21"/>
      <c r="L549" s="22"/>
      <c r="M549" s="23"/>
      <c r="N549" s="24"/>
      <c r="O549" s="25"/>
      <c r="P549" s="26"/>
      <c r="Q549" s="27"/>
      <c r="R549" s="28"/>
      <c r="S549" s="29"/>
      <c r="T549" s="30"/>
    </row>
    <row r="550" spans="1:20" ht="24" customHeight="1" x14ac:dyDescent="0.25">
      <c r="A550" t="str">
        <f>IF('e1'!A550&gt;0,HYPERLINK("#"&amp;ADDRESS(550,'e1'!A550),""),IF('r1'!A550&gt;0,HYPERLINK("#"&amp;ADDRESS(550,'r1'!A550),""),""))</f>
        <v/>
      </c>
      <c r="C550" s="13"/>
      <c r="D550" s="14"/>
      <c r="E550" s="15"/>
      <c r="F550" s="16"/>
      <c r="G550" s="17"/>
      <c r="H550" s="18"/>
      <c r="I550" s="19"/>
      <c r="J550" s="20"/>
      <c r="K550" s="21"/>
      <c r="L550" s="22"/>
      <c r="M550" s="23"/>
      <c r="N550" s="24"/>
      <c r="O550" s="25"/>
      <c r="P550" s="26"/>
      <c r="Q550" s="27"/>
      <c r="R550" s="28"/>
      <c r="S550" s="29"/>
      <c r="T550" s="30"/>
    </row>
    <row r="551" spans="1:20" ht="24" customHeight="1" x14ac:dyDescent="0.25">
      <c r="A551" t="str">
        <f>IF('e1'!A551&gt;0,HYPERLINK("#"&amp;ADDRESS(551,'e1'!A551),""),IF('r1'!A551&gt;0,HYPERLINK("#"&amp;ADDRESS(551,'r1'!A551),""),""))</f>
        <v/>
      </c>
      <c r="C551" s="13"/>
      <c r="D551" s="14"/>
      <c r="E551" s="15"/>
      <c r="F551" s="16"/>
      <c r="G551" s="17"/>
      <c r="H551" s="18"/>
      <c r="I551" s="19"/>
      <c r="J551" s="20"/>
      <c r="K551" s="21"/>
      <c r="L551" s="22"/>
      <c r="M551" s="23"/>
      <c r="N551" s="24"/>
      <c r="O551" s="25"/>
      <c r="P551" s="26"/>
      <c r="Q551" s="27"/>
      <c r="R551" s="28"/>
      <c r="S551" s="29"/>
      <c r="T551" s="30"/>
    </row>
    <row r="552" spans="1:20" ht="24" customHeight="1" x14ac:dyDescent="0.25">
      <c r="A552" t="str">
        <f>IF('e1'!A552&gt;0,HYPERLINK("#"&amp;ADDRESS(552,'e1'!A552),""),IF('r1'!A552&gt;0,HYPERLINK("#"&amp;ADDRESS(552,'r1'!A552),""),""))</f>
        <v/>
      </c>
      <c r="C552" s="13"/>
      <c r="D552" s="14"/>
      <c r="E552" s="15"/>
      <c r="F552" s="16"/>
      <c r="G552" s="17"/>
      <c r="H552" s="18"/>
      <c r="I552" s="19"/>
      <c r="J552" s="20"/>
      <c r="K552" s="21"/>
      <c r="L552" s="22"/>
      <c r="M552" s="23"/>
      <c r="N552" s="24"/>
      <c r="O552" s="25"/>
      <c r="P552" s="26"/>
      <c r="Q552" s="27"/>
      <c r="R552" s="28"/>
      <c r="S552" s="29"/>
      <c r="T552" s="30"/>
    </row>
    <row r="553" spans="1:20" ht="24" customHeight="1" x14ac:dyDescent="0.25">
      <c r="A553" t="str">
        <f>IF('e1'!A553&gt;0,HYPERLINK("#"&amp;ADDRESS(553,'e1'!A553),""),IF('r1'!A553&gt;0,HYPERLINK("#"&amp;ADDRESS(553,'r1'!A553),""),""))</f>
        <v/>
      </c>
      <c r="C553" s="13"/>
      <c r="D553" s="14"/>
      <c r="E553" s="15"/>
      <c r="F553" s="16"/>
      <c r="G553" s="17"/>
      <c r="H553" s="18"/>
      <c r="I553" s="19"/>
      <c r="J553" s="20"/>
      <c r="K553" s="21"/>
      <c r="L553" s="22"/>
      <c r="M553" s="23"/>
      <c r="N553" s="24"/>
      <c r="O553" s="25"/>
      <c r="P553" s="26"/>
      <c r="Q553" s="27"/>
      <c r="R553" s="28"/>
      <c r="S553" s="29"/>
      <c r="T553" s="30"/>
    </row>
    <row r="554" spans="1:20" ht="24" customHeight="1" x14ac:dyDescent="0.25">
      <c r="A554" t="str">
        <f>IF('e1'!A554&gt;0,HYPERLINK("#"&amp;ADDRESS(554,'e1'!A554),""),IF('r1'!A554&gt;0,HYPERLINK("#"&amp;ADDRESS(554,'r1'!A554),""),""))</f>
        <v/>
      </c>
      <c r="C554" s="13"/>
      <c r="D554" s="14"/>
      <c r="E554" s="15"/>
      <c r="F554" s="16"/>
      <c r="G554" s="17"/>
      <c r="H554" s="18"/>
      <c r="I554" s="19"/>
      <c r="J554" s="20"/>
      <c r="K554" s="21"/>
      <c r="L554" s="22"/>
      <c r="M554" s="23"/>
      <c r="N554" s="24"/>
      <c r="O554" s="25"/>
      <c r="P554" s="26"/>
      <c r="Q554" s="27"/>
      <c r="R554" s="28"/>
      <c r="S554" s="29"/>
      <c r="T554" s="30"/>
    </row>
    <row r="555" spans="1:20" ht="24" customHeight="1" x14ac:dyDescent="0.25">
      <c r="A555" t="str">
        <f>IF('e1'!A555&gt;0,HYPERLINK("#"&amp;ADDRESS(555,'e1'!A555),""),IF('r1'!A555&gt;0,HYPERLINK("#"&amp;ADDRESS(555,'r1'!A555),""),""))</f>
        <v/>
      </c>
      <c r="C555" s="13"/>
      <c r="D555" s="14"/>
      <c r="E555" s="15"/>
      <c r="F555" s="16"/>
      <c r="G555" s="17"/>
      <c r="H555" s="18"/>
      <c r="I555" s="19"/>
      <c r="J555" s="20"/>
      <c r="K555" s="21"/>
      <c r="L555" s="22"/>
      <c r="M555" s="23"/>
      <c r="N555" s="24"/>
      <c r="O555" s="25"/>
      <c r="P555" s="26"/>
      <c r="Q555" s="27"/>
      <c r="R555" s="28"/>
      <c r="S555" s="29"/>
      <c r="T555" s="30"/>
    </row>
    <row r="556" spans="1:20" ht="24" customHeight="1" x14ac:dyDescent="0.25">
      <c r="A556" t="str">
        <f>IF('e1'!A556&gt;0,HYPERLINK("#"&amp;ADDRESS(556,'e1'!A556),""),IF('r1'!A556&gt;0,HYPERLINK("#"&amp;ADDRESS(556,'r1'!A556),""),""))</f>
        <v/>
      </c>
      <c r="C556" s="13"/>
      <c r="D556" s="14"/>
      <c r="E556" s="15"/>
      <c r="F556" s="16"/>
      <c r="G556" s="17"/>
      <c r="H556" s="18"/>
      <c r="I556" s="19"/>
      <c r="J556" s="20"/>
      <c r="K556" s="21"/>
      <c r="L556" s="22"/>
      <c r="M556" s="23"/>
      <c r="N556" s="24"/>
      <c r="O556" s="25"/>
      <c r="P556" s="26"/>
      <c r="Q556" s="27"/>
      <c r="R556" s="28"/>
      <c r="S556" s="29"/>
      <c r="T556" s="30"/>
    </row>
    <row r="557" spans="1:20" ht="24" customHeight="1" x14ac:dyDescent="0.25">
      <c r="A557" t="str">
        <f>IF('e1'!A557&gt;0,HYPERLINK("#"&amp;ADDRESS(557,'e1'!A557),""),IF('r1'!A557&gt;0,HYPERLINK("#"&amp;ADDRESS(557,'r1'!A557),""),""))</f>
        <v/>
      </c>
      <c r="C557" s="13"/>
      <c r="D557" s="14"/>
      <c r="E557" s="15"/>
      <c r="F557" s="16"/>
      <c r="G557" s="17"/>
      <c r="H557" s="18"/>
      <c r="I557" s="19"/>
      <c r="J557" s="20"/>
      <c r="K557" s="21"/>
      <c r="L557" s="22"/>
      <c r="M557" s="23"/>
      <c r="N557" s="24"/>
      <c r="O557" s="25"/>
      <c r="P557" s="26"/>
      <c r="Q557" s="27"/>
      <c r="R557" s="28"/>
      <c r="S557" s="29"/>
      <c r="T557" s="30"/>
    </row>
    <row r="558" spans="1:20" ht="24" customHeight="1" x14ac:dyDescent="0.25">
      <c r="A558" t="str">
        <f>IF('e1'!A558&gt;0,HYPERLINK("#"&amp;ADDRESS(558,'e1'!A558),""),IF('r1'!A558&gt;0,HYPERLINK("#"&amp;ADDRESS(558,'r1'!A558),""),""))</f>
        <v/>
      </c>
      <c r="C558" s="13"/>
      <c r="D558" s="14"/>
      <c r="E558" s="15"/>
      <c r="F558" s="16"/>
      <c r="G558" s="17"/>
      <c r="H558" s="18"/>
      <c r="I558" s="19"/>
      <c r="J558" s="20"/>
      <c r="K558" s="21"/>
      <c r="L558" s="22"/>
      <c r="M558" s="23"/>
      <c r="N558" s="24"/>
      <c r="O558" s="25"/>
      <c r="P558" s="26"/>
      <c r="Q558" s="27"/>
      <c r="R558" s="28"/>
      <c r="S558" s="29"/>
      <c r="T558" s="30"/>
    </row>
    <row r="559" spans="1:20" ht="24" customHeight="1" x14ac:dyDescent="0.25">
      <c r="A559" t="str">
        <f>IF('e1'!A559&gt;0,HYPERLINK("#"&amp;ADDRESS(559,'e1'!A559),""),IF('r1'!A559&gt;0,HYPERLINK("#"&amp;ADDRESS(559,'r1'!A559),""),""))</f>
        <v/>
      </c>
      <c r="C559" s="13"/>
      <c r="D559" s="14"/>
      <c r="E559" s="15"/>
      <c r="F559" s="16"/>
      <c r="G559" s="17"/>
      <c r="H559" s="18"/>
      <c r="I559" s="19"/>
      <c r="J559" s="20"/>
      <c r="K559" s="21"/>
      <c r="L559" s="22"/>
      <c r="M559" s="23"/>
      <c r="N559" s="24"/>
      <c r="O559" s="25"/>
      <c r="P559" s="26"/>
      <c r="Q559" s="27"/>
      <c r="R559" s="28"/>
      <c r="S559" s="29"/>
      <c r="T559" s="30"/>
    </row>
    <row r="560" spans="1:20" ht="24" customHeight="1" x14ac:dyDescent="0.25">
      <c r="A560" t="str">
        <f>IF('e1'!A560&gt;0,HYPERLINK("#"&amp;ADDRESS(560,'e1'!A560),""),IF('r1'!A560&gt;0,HYPERLINK("#"&amp;ADDRESS(560,'r1'!A560),""),""))</f>
        <v/>
      </c>
      <c r="C560" s="13"/>
      <c r="D560" s="14"/>
      <c r="E560" s="15"/>
      <c r="F560" s="16"/>
      <c r="G560" s="17"/>
      <c r="H560" s="18"/>
      <c r="I560" s="19"/>
      <c r="J560" s="20"/>
      <c r="K560" s="21"/>
      <c r="L560" s="22"/>
      <c r="M560" s="23"/>
      <c r="N560" s="24"/>
      <c r="O560" s="25"/>
      <c r="P560" s="26"/>
      <c r="Q560" s="27"/>
      <c r="R560" s="28"/>
      <c r="S560" s="29"/>
      <c r="T560" s="30"/>
    </row>
    <row r="561" spans="1:20" ht="24" customHeight="1" x14ac:dyDescent="0.25">
      <c r="A561" t="str">
        <f>IF('e1'!A561&gt;0,HYPERLINK("#"&amp;ADDRESS(561,'e1'!A561),""),IF('r1'!A561&gt;0,HYPERLINK("#"&amp;ADDRESS(561,'r1'!A561),""),""))</f>
        <v/>
      </c>
      <c r="C561" s="13"/>
      <c r="D561" s="14"/>
      <c r="E561" s="15"/>
      <c r="F561" s="16"/>
      <c r="G561" s="17"/>
      <c r="H561" s="18"/>
      <c r="I561" s="19"/>
      <c r="J561" s="20"/>
      <c r="K561" s="21"/>
      <c r="L561" s="22"/>
      <c r="M561" s="23"/>
      <c r="N561" s="24"/>
      <c r="O561" s="25"/>
      <c r="P561" s="26"/>
      <c r="Q561" s="27"/>
      <c r="R561" s="28"/>
      <c r="S561" s="29"/>
      <c r="T561" s="30"/>
    </row>
    <row r="562" spans="1:20" ht="24" customHeight="1" x14ac:dyDescent="0.25">
      <c r="A562" t="str">
        <f>IF('e1'!A562&gt;0,HYPERLINK("#"&amp;ADDRESS(562,'e1'!A562),""),IF('r1'!A562&gt;0,HYPERLINK("#"&amp;ADDRESS(562,'r1'!A562),""),""))</f>
        <v/>
      </c>
      <c r="C562" s="13"/>
      <c r="D562" s="14"/>
      <c r="E562" s="15"/>
      <c r="F562" s="16"/>
      <c r="G562" s="17"/>
      <c r="H562" s="18"/>
      <c r="I562" s="19"/>
      <c r="J562" s="20"/>
      <c r="K562" s="21"/>
      <c r="L562" s="22"/>
      <c r="M562" s="23"/>
      <c r="N562" s="24"/>
      <c r="O562" s="25"/>
      <c r="P562" s="26"/>
      <c r="Q562" s="27"/>
      <c r="R562" s="28"/>
      <c r="S562" s="29"/>
      <c r="T562" s="30"/>
    </row>
    <row r="563" spans="1:20" ht="24" customHeight="1" x14ac:dyDescent="0.25">
      <c r="A563" t="str">
        <f>IF('e1'!A563&gt;0,HYPERLINK("#"&amp;ADDRESS(563,'e1'!A563),""),IF('r1'!A563&gt;0,HYPERLINK("#"&amp;ADDRESS(563,'r1'!A563),""),""))</f>
        <v/>
      </c>
      <c r="C563" s="13"/>
      <c r="D563" s="14"/>
      <c r="E563" s="15"/>
      <c r="F563" s="16"/>
      <c r="G563" s="17"/>
      <c r="H563" s="18"/>
      <c r="I563" s="19"/>
      <c r="J563" s="20"/>
      <c r="K563" s="21"/>
      <c r="L563" s="22"/>
      <c r="M563" s="23"/>
      <c r="N563" s="24"/>
      <c r="O563" s="25"/>
      <c r="P563" s="26"/>
      <c r="Q563" s="27"/>
      <c r="R563" s="28"/>
      <c r="S563" s="29"/>
      <c r="T563" s="30"/>
    </row>
    <row r="564" spans="1:20" ht="24" customHeight="1" x14ac:dyDescent="0.25">
      <c r="A564" t="str">
        <f>IF('e1'!A564&gt;0,HYPERLINK("#"&amp;ADDRESS(564,'e1'!A564),""),IF('r1'!A564&gt;0,HYPERLINK("#"&amp;ADDRESS(564,'r1'!A564),""),""))</f>
        <v/>
      </c>
      <c r="C564" s="13"/>
      <c r="D564" s="14"/>
      <c r="E564" s="15"/>
      <c r="F564" s="16"/>
      <c r="G564" s="17"/>
      <c r="H564" s="18"/>
      <c r="I564" s="19"/>
      <c r="J564" s="20"/>
      <c r="K564" s="21"/>
      <c r="L564" s="22"/>
      <c r="M564" s="23"/>
      <c r="N564" s="24"/>
      <c r="O564" s="25"/>
      <c r="P564" s="26"/>
      <c r="Q564" s="27"/>
      <c r="R564" s="28"/>
      <c r="S564" s="29"/>
      <c r="T564" s="30"/>
    </row>
    <row r="565" spans="1:20" ht="24" customHeight="1" x14ac:dyDescent="0.25">
      <c r="A565" t="str">
        <f>IF('e1'!A565&gt;0,HYPERLINK("#"&amp;ADDRESS(565,'e1'!A565),""),IF('r1'!A565&gt;0,HYPERLINK("#"&amp;ADDRESS(565,'r1'!A565),""),""))</f>
        <v/>
      </c>
      <c r="C565" s="13"/>
      <c r="D565" s="14"/>
      <c r="E565" s="15"/>
      <c r="F565" s="16"/>
      <c r="G565" s="17"/>
      <c r="H565" s="18"/>
      <c r="I565" s="19"/>
      <c r="J565" s="20"/>
      <c r="K565" s="21"/>
      <c r="L565" s="22"/>
      <c r="M565" s="23"/>
      <c r="N565" s="24"/>
      <c r="O565" s="25"/>
      <c r="P565" s="26"/>
      <c r="Q565" s="27"/>
      <c r="R565" s="28"/>
      <c r="S565" s="29"/>
      <c r="T565" s="30"/>
    </row>
    <row r="566" spans="1:20" ht="24" customHeight="1" x14ac:dyDescent="0.25">
      <c r="A566" t="str">
        <f>IF('e1'!A566&gt;0,HYPERLINK("#"&amp;ADDRESS(566,'e1'!A566),""),IF('r1'!A566&gt;0,HYPERLINK("#"&amp;ADDRESS(566,'r1'!A566),""),""))</f>
        <v/>
      </c>
      <c r="C566" s="13"/>
      <c r="D566" s="14"/>
      <c r="E566" s="15"/>
      <c r="F566" s="16"/>
      <c r="G566" s="17"/>
      <c r="H566" s="18"/>
      <c r="I566" s="19"/>
      <c r="J566" s="20"/>
      <c r="K566" s="21"/>
      <c r="L566" s="22"/>
      <c r="M566" s="23"/>
      <c r="N566" s="24"/>
      <c r="O566" s="25"/>
      <c r="P566" s="26"/>
      <c r="Q566" s="27"/>
      <c r="R566" s="28"/>
      <c r="S566" s="29"/>
      <c r="T566" s="30"/>
    </row>
    <row r="567" spans="1:20" ht="24" customHeight="1" x14ac:dyDescent="0.25">
      <c r="A567" t="str">
        <f>IF('e1'!A567&gt;0,HYPERLINK("#"&amp;ADDRESS(567,'e1'!A567),""),IF('r1'!A567&gt;0,HYPERLINK("#"&amp;ADDRESS(567,'r1'!A567),""),""))</f>
        <v/>
      </c>
      <c r="C567" s="13"/>
      <c r="D567" s="14"/>
      <c r="E567" s="15"/>
      <c r="F567" s="16"/>
      <c r="G567" s="17"/>
      <c r="H567" s="18"/>
      <c r="I567" s="19"/>
      <c r="J567" s="20"/>
      <c r="K567" s="21"/>
      <c r="L567" s="22"/>
      <c r="M567" s="23"/>
      <c r="N567" s="24"/>
      <c r="O567" s="25"/>
      <c r="P567" s="26"/>
      <c r="Q567" s="27"/>
      <c r="R567" s="28"/>
      <c r="S567" s="29"/>
      <c r="T567" s="30"/>
    </row>
    <row r="568" spans="1:20" ht="24" customHeight="1" x14ac:dyDescent="0.25">
      <c r="A568" t="str">
        <f>IF('e1'!A568&gt;0,HYPERLINK("#"&amp;ADDRESS(568,'e1'!A568),""),IF('r1'!A568&gt;0,HYPERLINK("#"&amp;ADDRESS(568,'r1'!A568),""),""))</f>
        <v/>
      </c>
      <c r="C568" s="13"/>
      <c r="D568" s="14"/>
      <c r="E568" s="15"/>
      <c r="F568" s="16"/>
      <c r="G568" s="17"/>
      <c r="H568" s="18"/>
      <c r="I568" s="19"/>
      <c r="J568" s="20"/>
      <c r="K568" s="21"/>
      <c r="L568" s="22"/>
      <c r="M568" s="23"/>
      <c r="N568" s="24"/>
      <c r="O568" s="25"/>
      <c r="P568" s="26"/>
      <c r="Q568" s="27"/>
      <c r="R568" s="28"/>
      <c r="S568" s="29"/>
      <c r="T568" s="30"/>
    </row>
    <row r="569" spans="1:20" ht="24" customHeight="1" x14ac:dyDescent="0.25">
      <c r="A569" t="str">
        <f>IF('e1'!A569&gt;0,HYPERLINK("#"&amp;ADDRESS(569,'e1'!A569),""),IF('r1'!A569&gt;0,HYPERLINK("#"&amp;ADDRESS(569,'r1'!A569),""),""))</f>
        <v/>
      </c>
      <c r="C569" s="13"/>
      <c r="D569" s="14"/>
      <c r="E569" s="15"/>
      <c r="F569" s="16"/>
      <c r="G569" s="17"/>
      <c r="H569" s="18"/>
      <c r="I569" s="19"/>
      <c r="J569" s="20"/>
      <c r="K569" s="21"/>
      <c r="L569" s="22"/>
      <c r="M569" s="23"/>
      <c r="N569" s="24"/>
      <c r="O569" s="25"/>
      <c r="P569" s="26"/>
      <c r="Q569" s="27"/>
      <c r="R569" s="28"/>
      <c r="S569" s="29"/>
      <c r="T569" s="30"/>
    </row>
    <row r="570" spans="1:20" ht="24" customHeight="1" x14ac:dyDescent="0.25">
      <c r="A570" t="str">
        <f>IF('e1'!A570&gt;0,HYPERLINK("#"&amp;ADDRESS(570,'e1'!A570),""),IF('r1'!A570&gt;0,HYPERLINK("#"&amp;ADDRESS(570,'r1'!A570),""),""))</f>
        <v/>
      </c>
      <c r="C570" s="13"/>
      <c r="D570" s="14"/>
      <c r="E570" s="15"/>
      <c r="F570" s="16"/>
      <c r="G570" s="17"/>
      <c r="H570" s="18"/>
      <c r="I570" s="19"/>
      <c r="J570" s="20"/>
      <c r="K570" s="21"/>
      <c r="L570" s="22"/>
      <c r="M570" s="23"/>
      <c r="N570" s="24"/>
      <c r="O570" s="25"/>
      <c r="P570" s="26"/>
      <c r="Q570" s="27"/>
      <c r="R570" s="28"/>
      <c r="S570" s="29"/>
      <c r="T570" s="30"/>
    </row>
    <row r="571" spans="1:20" ht="24" customHeight="1" x14ac:dyDescent="0.25">
      <c r="A571" t="str">
        <f>IF('e1'!A571&gt;0,HYPERLINK("#"&amp;ADDRESS(571,'e1'!A571),""),IF('r1'!A571&gt;0,HYPERLINK("#"&amp;ADDRESS(571,'r1'!A571),""),""))</f>
        <v/>
      </c>
      <c r="C571" s="13"/>
      <c r="D571" s="14"/>
      <c r="E571" s="15"/>
      <c r="F571" s="16"/>
      <c r="G571" s="17"/>
      <c r="H571" s="18"/>
      <c r="I571" s="19"/>
      <c r="J571" s="20"/>
      <c r="K571" s="21"/>
      <c r="L571" s="22"/>
      <c r="M571" s="23"/>
      <c r="N571" s="24"/>
      <c r="O571" s="25"/>
      <c r="P571" s="26"/>
      <c r="Q571" s="27"/>
      <c r="R571" s="28"/>
      <c r="S571" s="29"/>
      <c r="T571" s="30"/>
    </row>
    <row r="572" spans="1:20" ht="24" customHeight="1" x14ac:dyDescent="0.25">
      <c r="A572" t="str">
        <f>IF('e1'!A572&gt;0,HYPERLINK("#"&amp;ADDRESS(572,'e1'!A572),""),IF('r1'!A572&gt;0,HYPERLINK("#"&amp;ADDRESS(572,'r1'!A572),""),""))</f>
        <v/>
      </c>
      <c r="C572" s="13"/>
      <c r="D572" s="14"/>
      <c r="E572" s="15"/>
      <c r="F572" s="16"/>
      <c r="G572" s="17"/>
      <c r="H572" s="18"/>
      <c r="I572" s="19"/>
      <c r="J572" s="20"/>
      <c r="K572" s="21"/>
      <c r="L572" s="22"/>
      <c r="M572" s="23"/>
      <c r="N572" s="24"/>
      <c r="O572" s="25"/>
      <c r="P572" s="26"/>
      <c r="Q572" s="27"/>
      <c r="R572" s="28"/>
      <c r="S572" s="29"/>
      <c r="T572" s="30"/>
    </row>
    <row r="573" spans="1:20" ht="24" customHeight="1" x14ac:dyDescent="0.25">
      <c r="A573" t="str">
        <f>IF('e1'!A573&gt;0,HYPERLINK("#"&amp;ADDRESS(573,'e1'!A573),""),IF('r1'!A573&gt;0,HYPERLINK("#"&amp;ADDRESS(573,'r1'!A573),""),""))</f>
        <v/>
      </c>
      <c r="C573" s="13"/>
      <c r="D573" s="14"/>
      <c r="E573" s="15"/>
      <c r="F573" s="16"/>
      <c r="G573" s="17"/>
      <c r="H573" s="18"/>
      <c r="I573" s="19"/>
      <c r="J573" s="20"/>
      <c r="K573" s="21"/>
      <c r="L573" s="22"/>
      <c r="M573" s="23"/>
      <c r="N573" s="24"/>
      <c r="O573" s="25"/>
      <c r="P573" s="26"/>
      <c r="Q573" s="27"/>
      <c r="R573" s="28"/>
      <c r="S573" s="29"/>
      <c r="T573" s="30"/>
    </row>
    <row r="574" spans="1:20" ht="24" customHeight="1" x14ac:dyDescent="0.25">
      <c r="A574" t="str">
        <f>IF('e1'!A574&gt;0,HYPERLINK("#"&amp;ADDRESS(574,'e1'!A574),""),IF('r1'!A574&gt;0,HYPERLINK("#"&amp;ADDRESS(574,'r1'!A574),""),""))</f>
        <v/>
      </c>
      <c r="C574" s="13"/>
      <c r="D574" s="14"/>
      <c r="E574" s="15"/>
      <c r="F574" s="16"/>
      <c r="G574" s="17"/>
      <c r="H574" s="18"/>
      <c r="I574" s="19"/>
      <c r="J574" s="20"/>
      <c r="K574" s="21"/>
      <c r="L574" s="22"/>
      <c r="M574" s="23"/>
      <c r="N574" s="24"/>
      <c r="O574" s="25"/>
      <c r="P574" s="26"/>
      <c r="Q574" s="27"/>
      <c r="R574" s="28"/>
      <c r="S574" s="29"/>
      <c r="T574" s="30"/>
    </row>
    <row r="575" spans="1:20" ht="24" customHeight="1" x14ac:dyDescent="0.25">
      <c r="A575" t="str">
        <f>IF('e1'!A575&gt;0,HYPERLINK("#"&amp;ADDRESS(575,'e1'!A575),""),IF('r1'!A575&gt;0,HYPERLINK("#"&amp;ADDRESS(575,'r1'!A575),""),""))</f>
        <v/>
      </c>
      <c r="C575" s="13"/>
      <c r="D575" s="14"/>
      <c r="E575" s="15"/>
      <c r="F575" s="16"/>
      <c r="G575" s="17"/>
      <c r="H575" s="18"/>
      <c r="I575" s="19"/>
      <c r="J575" s="20"/>
      <c r="K575" s="21"/>
      <c r="L575" s="22"/>
      <c r="M575" s="23"/>
      <c r="N575" s="24"/>
      <c r="O575" s="25"/>
      <c r="P575" s="26"/>
      <c r="Q575" s="27"/>
      <c r="R575" s="28"/>
      <c r="S575" s="29"/>
      <c r="T575" s="30"/>
    </row>
    <row r="576" spans="1:20" ht="24" customHeight="1" x14ac:dyDescent="0.25">
      <c r="A576" t="str">
        <f>IF('e1'!A576&gt;0,HYPERLINK("#"&amp;ADDRESS(576,'e1'!A576),""),IF('r1'!A576&gt;0,HYPERLINK("#"&amp;ADDRESS(576,'r1'!A576),""),""))</f>
        <v/>
      </c>
      <c r="C576" s="13"/>
      <c r="D576" s="14"/>
      <c r="E576" s="15"/>
      <c r="F576" s="16"/>
      <c r="G576" s="17"/>
      <c r="H576" s="18"/>
      <c r="I576" s="19"/>
      <c r="J576" s="20"/>
      <c r="K576" s="21"/>
      <c r="L576" s="22"/>
      <c r="M576" s="23"/>
      <c r="N576" s="24"/>
      <c r="O576" s="25"/>
      <c r="P576" s="26"/>
      <c r="Q576" s="27"/>
      <c r="R576" s="28"/>
      <c r="S576" s="29"/>
      <c r="T576" s="30"/>
    </row>
    <row r="577" spans="1:20" ht="24" customHeight="1" x14ac:dyDescent="0.25">
      <c r="A577" t="str">
        <f>IF('e1'!A577&gt;0,HYPERLINK("#"&amp;ADDRESS(577,'e1'!A577),""),IF('r1'!A577&gt;0,HYPERLINK("#"&amp;ADDRESS(577,'r1'!A577),""),""))</f>
        <v/>
      </c>
      <c r="C577" s="13"/>
      <c r="D577" s="14"/>
      <c r="E577" s="15"/>
      <c r="F577" s="16"/>
      <c r="G577" s="17"/>
      <c r="H577" s="18"/>
      <c r="I577" s="19"/>
      <c r="J577" s="20"/>
      <c r="K577" s="21"/>
      <c r="L577" s="22"/>
      <c r="M577" s="23"/>
      <c r="N577" s="24"/>
      <c r="O577" s="25"/>
      <c r="P577" s="26"/>
      <c r="Q577" s="27"/>
      <c r="R577" s="28"/>
      <c r="S577" s="29"/>
      <c r="T577" s="30"/>
    </row>
    <row r="578" spans="1:20" ht="24" customHeight="1" x14ac:dyDescent="0.25">
      <c r="A578" t="str">
        <f>IF('e1'!A578&gt;0,HYPERLINK("#"&amp;ADDRESS(578,'e1'!A578),""),IF('r1'!A578&gt;0,HYPERLINK("#"&amp;ADDRESS(578,'r1'!A578),""),""))</f>
        <v/>
      </c>
      <c r="C578" s="13"/>
      <c r="D578" s="14"/>
      <c r="E578" s="15"/>
      <c r="F578" s="16"/>
      <c r="G578" s="17"/>
      <c r="H578" s="18"/>
      <c r="I578" s="19"/>
      <c r="J578" s="20"/>
      <c r="K578" s="21"/>
      <c r="L578" s="22"/>
      <c r="M578" s="23"/>
      <c r="N578" s="24"/>
      <c r="O578" s="25"/>
      <c r="P578" s="26"/>
      <c r="Q578" s="27"/>
      <c r="R578" s="28"/>
      <c r="S578" s="29"/>
      <c r="T578" s="30"/>
    </row>
    <row r="579" spans="1:20" ht="24" customHeight="1" x14ac:dyDescent="0.25">
      <c r="A579" t="str">
        <f>IF('e1'!A579&gt;0,HYPERLINK("#"&amp;ADDRESS(579,'e1'!A579),""),IF('r1'!A579&gt;0,HYPERLINK("#"&amp;ADDRESS(579,'r1'!A579),""),""))</f>
        <v/>
      </c>
      <c r="C579" s="13"/>
      <c r="D579" s="14"/>
      <c r="E579" s="15"/>
      <c r="F579" s="16"/>
      <c r="G579" s="17"/>
      <c r="H579" s="18"/>
      <c r="I579" s="19"/>
      <c r="J579" s="20"/>
      <c r="K579" s="21"/>
      <c r="L579" s="22"/>
      <c r="M579" s="23"/>
      <c r="N579" s="24"/>
      <c r="O579" s="25"/>
      <c r="P579" s="26"/>
      <c r="Q579" s="27"/>
      <c r="R579" s="28"/>
      <c r="S579" s="29"/>
      <c r="T579" s="30"/>
    </row>
    <row r="580" spans="1:20" ht="24" customHeight="1" x14ac:dyDescent="0.25">
      <c r="A580" t="str">
        <f>IF('e1'!A580&gt;0,HYPERLINK("#"&amp;ADDRESS(580,'e1'!A580),""),IF('r1'!A580&gt;0,HYPERLINK("#"&amp;ADDRESS(580,'r1'!A580),""),""))</f>
        <v/>
      </c>
      <c r="C580" s="13"/>
      <c r="D580" s="14"/>
      <c r="E580" s="15"/>
      <c r="F580" s="16"/>
      <c r="G580" s="17"/>
      <c r="H580" s="18"/>
      <c r="I580" s="19"/>
      <c r="J580" s="20"/>
      <c r="K580" s="21"/>
      <c r="L580" s="22"/>
      <c r="M580" s="23"/>
      <c r="N580" s="24"/>
      <c r="O580" s="25"/>
      <c r="P580" s="26"/>
      <c r="Q580" s="27"/>
      <c r="R580" s="28"/>
      <c r="S580" s="29"/>
      <c r="T580" s="30"/>
    </row>
    <row r="581" spans="1:20" ht="24" customHeight="1" x14ac:dyDescent="0.25">
      <c r="A581" t="str">
        <f>IF('e1'!A581&gt;0,HYPERLINK("#"&amp;ADDRESS(581,'e1'!A581),""),IF('r1'!A581&gt;0,HYPERLINK("#"&amp;ADDRESS(581,'r1'!A581),""),""))</f>
        <v/>
      </c>
      <c r="C581" s="13"/>
      <c r="D581" s="14"/>
      <c r="E581" s="15"/>
      <c r="F581" s="16"/>
      <c r="G581" s="17"/>
      <c r="H581" s="18"/>
      <c r="I581" s="19"/>
      <c r="J581" s="20"/>
      <c r="K581" s="21"/>
      <c r="L581" s="22"/>
      <c r="M581" s="23"/>
      <c r="N581" s="24"/>
      <c r="O581" s="25"/>
      <c r="P581" s="26"/>
      <c r="Q581" s="27"/>
      <c r="R581" s="28"/>
      <c r="S581" s="29"/>
      <c r="T581" s="30"/>
    </row>
    <row r="582" spans="1:20" ht="24" customHeight="1" x14ac:dyDescent="0.25">
      <c r="A582" t="str">
        <f>IF('e1'!A582&gt;0,HYPERLINK("#"&amp;ADDRESS(582,'e1'!A582),""),IF('r1'!A582&gt;0,HYPERLINK("#"&amp;ADDRESS(582,'r1'!A582),""),""))</f>
        <v/>
      </c>
      <c r="C582" s="13"/>
      <c r="D582" s="14"/>
      <c r="E582" s="15"/>
      <c r="F582" s="16"/>
      <c r="G582" s="17"/>
      <c r="H582" s="18"/>
      <c r="I582" s="19"/>
      <c r="J582" s="20"/>
      <c r="K582" s="21"/>
      <c r="L582" s="22"/>
      <c r="M582" s="23"/>
      <c r="N582" s="24"/>
      <c r="O582" s="25"/>
      <c r="P582" s="26"/>
      <c r="Q582" s="27"/>
      <c r="R582" s="28"/>
      <c r="S582" s="29"/>
      <c r="T582" s="30"/>
    </row>
    <row r="583" spans="1:20" ht="24" customHeight="1" x14ac:dyDescent="0.25">
      <c r="A583" t="str">
        <f>IF('e1'!A583&gt;0,HYPERLINK("#"&amp;ADDRESS(583,'e1'!A583),""),IF('r1'!A583&gt;0,HYPERLINK("#"&amp;ADDRESS(583,'r1'!A583),""),""))</f>
        <v/>
      </c>
      <c r="C583" s="13"/>
      <c r="D583" s="14"/>
      <c r="E583" s="15"/>
      <c r="F583" s="16"/>
      <c r="G583" s="17"/>
      <c r="H583" s="18"/>
      <c r="I583" s="19"/>
      <c r="J583" s="20"/>
      <c r="K583" s="21"/>
      <c r="L583" s="22"/>
      <c r="M583" s="23"/>
      <c r="N583" s="24"/>
      <c r="O583" s="25"/>
      <c r="P583" s="26"/>
      <c r="Q583" s="27"/>
      <c r="R583" s="28"/>
      <c r="S583" s="29"/>
      <c r="T583" s="30"/>
    </row>
    <row r="584" spans="1:20" ht="24" customHeight="1" x14ac:dyDescent="0.25">
      <c r="A584" t="str">
        <f>IF('e1'!A584&gt;0,HYPERLINK("#"&amp;ADDRESS(584,'e1'!A584),""),IF('r1'!A584&gt;0,HYPERLINK("#"&amp;ADDRESS(584,'r1'!A584),""),""))</f>
        <v/>
      </c>
      <c r="C584" s="13"/>
      <c r="D584" s="14"/>
      <c r="E584" s="15"/>
      <c r="F584" s="16"/>
      <c r="G584" s="17"/>
      <c r="H584" s="18"/>
      <c r="I584" s="19"/>
      <c r="J584" s="20"/>
      <c r="K584" s="21"/>
      <c r="L584" s="22"/>
      <c r="M584" s="23"/>
      <c r="N584" s="24"/>
      <c r="O584" s="25"/>
      <c r="P584" s="26"/>
      <c r="Q584" s="27"/>
      <c r="R584" s="28"/>
      <c r="S584" s="29"/>
      <c r="T584" s="30"/>
    </row>
    <row r="585" spans="1:20" ht="24" customHeight="1" x14ac:dyDescent="0.25">
      <c r="A585" t="str">
        <f>IF('e1'!A585&gt;0,HYPERLINK("#"&amp;ADDRESS(585,'e1'!A585),""),IF('r1'!A585&gt;0,HYPERLINK("#"&amp;ADDRESS(585,'r1'!A585),""),""))</f>
        <v/>
      </c>
      <c r="C585" s="13"/>
      <c r="D585" s="14"/>
      <c r="E585" s="15"/>
      <c r="F585" s="16"/>
      <c r="G585" s="17"/>
      <c r="H585" s="18"/>
      <c r="I585" s="19"/>
      <c r="J585" s="20"/>
      <c r="K585" s="21"/>
      <c r="L585" s="22"/>
      <c r="M585" s="23"/>
      <c r="N585" s="24"/>
      <c r="O585" s="25"/>
      <c r="P585" s="26"/>
      <c r="Q585" s="27"/>
      <c r="R585" s="28"/>
      <c r="S585" s="29"/>
      <c r="T585" s="30"/>
    </row>
    <row r="586" spans="1:20" ht="24" customHeight="1" x14ac:dyDescent="0.25">
      <c r="A586" t="str">
        <f>IF('e1'!A586&gt;0,HYPERLINK("#"&amp;ADDRESS(586,'e1'!A586),""),IF('r1'!A586&gt;0,HYPERLINK("#"&amp;ADDRESS(586,'r1'!A586),""),""))</f>
        <v/>
      </c>
      <c r="C586" s="13"/>
      <c r="D586" s="14"/>
      <c r="E586" s="15"/>
      <c r="F586" s="16"/>
      <c r="G586" s="17"/>
      <c r="H586" s="18"/>
      <c r="I586" s="19"/>
      <c r="J586" s="20"/>
      <c r="K586" s="21"/>
      <c r="L586" s="22"/>
      <c r="M586" s="23"/>
      <c r="N586" s="24"/>
      <c r="O586" s="25"/>
      <c r="P586" s="26"/>
      <c r="Q586" s="27"/>
      <c r="R586" s="28"/>
      <c r="S586" s="29"/>
      <c r="T586" s="30"/>
    </row>
    <row r="587" spans="1:20" ht="24" customHeight="1" x14ac:dyDescent="0.25">
      <c r="A587" t="str">
        <f>IF('e1'!A587&gt;0,HYPERLINK("#"&amp;ADDRESS(587,'e1'!A587),""),IF('r1'!A587&gt;0,HYPERLINK("#"&amp;ADDRESS(587,'r1'!A587),""),""))</f>
        <v/>
      </c>
      <c r="C587" s="13"/>
      <c r="D587" s="14"/>
      <c r="E587" s="15"/>
      <c r="F587" s="16"/>
      <c r="G587" s="17"/>
      <c r="H587" s="18"/>
      <c r="I587" s="19"/>
      <c r="J587" s="20"/>
      <c r="K587" s="21"/>
      <c r="L587" s="22"/>
      <c r="M587" s="23"/>
      <c r="N587" s="24"/>
      <c r="O587" s="25"/>
      <c r="P587" s="26"/>
      <c r="Q587" s="27"/>
      <c r="R587" s="28"/>
      <c r="S587" s="29"/>
      <c r="T587" s="30"/>
    </row>
    <row r="588" spans="1:20" ht="24" customHeight="1" x14ac:dyDescent="0.25">
      <c r="A588" t="str">
        <f>IF('e1'!A588&gt;0,HYPERLINK("#"&amp;ADDRESS(588,'e1'!A588),""),IF('r1'!A588&gt;0,HYPERLINK("#"&amp;ADDRESS(588,'r1'!A588),""),""))</f>
        <v/>
      </c>
      <c r="C588" s="13"/>
      <c r="D588" s="14"/>
      <c r="E588" s="15"/>
      <c r="F588" s="16"/>
      <c r="G588" s="17"/>
      <c r="H588" s="18"/>
      <c r="I588" s="19"/>
      <c r="J588" s="20"/>
      <c r="K588" s="21"/>
      <c r="L588" s="22"/>
      <c r="M588" s="23"/>
      <c r="N588" s="24"/>
      <c r="O588" s="25"/>
      <c r="P588" s="26"/>
      <c r="Q588" s="27"/>
      <c r="R588" s="28"/>
      <c r="S588" s="29"/>
      <c r="T588" s="30"/>
    </row>
    <row r="589" spans="1:20" ht="24" customHeight="1" x14ac:dyDescent="0.25">
      <c r="A589" t="str">
        <f>IF('e1'!A589&gt;0,HYPERLINK("#"&amp;ADDRESS(589,'e1'!A589),""),IF('r1'!A589&gt;0,HYPERLINK("#"&amp;ADDRESS(589,'r1'!A589),""),""))</f>
        <v/>
      </c>
      <c r="C589" s="13"/>
      <c r="D589" s="14"/>
      <c r="E589" s="15"/>
      <c r="F589" s="16"/>
      <c r="G589" s="17"/>
      <c r="H589" s="18"/>
      <c r="I589" s="19"/>
      <c r="J589" s="20"/>
      <c r="K589" s="21"/>
      <c r="L589" s="22"/>
      <c r="M589" s="23"/>
      <c r="N589" s="24"/>
      <c r="O589" s="25"/>
      <c r="P589" s="26"/>
      <c r="Q589" s="27"/>
      <c r="R589" s="28"/>
      <c r="S589" s="29"/>
      <c r="T589" s="30"/>
    </row>
    <row r="590" spans="1:20" ht="24" customHeight="1" x14ac:dyDescent="0.25">
      <c r="A590" t="str">
        <f>IF('e1'!A590&gt;0,HYPERLINK("#"&amp;ADDRESS(590,'e1'!A590),""),IF('r1'!A590&gt;0,HYPERLINK("#"&amp;ADDRESS(590,'r1'!A590),""),""))</f>
        <v/>
      </c>
      <c r="C590" s="13"/>
      <c r="D590" s="14"/>
      <c r="E590" s="15"/>
      <c r="F590" s="16"/>
      <c r="G590" s="17"/>
      <c r="H590" s="18"/>
      <c r="I590" s="19"/>
      <c r="J590" s="20"/>
      <c r="K590" s="21"/>
      <c r="L590" s="22"/>
      <c r="M590" s="23"/>
      <c r="N590" s="24"/>
      <c r="O590" s="25"/>
      <c r="P590" s="26"/>
      <c r="Q590" s="27"/>
      <c r="R590" s="28"/>
      <c r="S590" s="29"/>
      <c r="T590" s="30"/>
    </row>
    <row r="591" spans="1:20" ht="24" customHeight="1" x14ac:dyDescent="0.25">
      <c r="A591" t="str">
        <f>IF('e1'!A591&gt;0,HYPERLINK("#"&amp;ADDRESS(591,'e1'!A591),""),IF('r1'!A591&gt;0,HYPERLINK("#"&amp;ADDRESS(591,'r1'!A591),""),""))</f>
        <v/>
      </c>
      <c r="C591" s="13"/>
      <c r="D591" s="14"/>
      <c r="E591" s="15"/>
      <c r="F591" s="16"/>
      <c r="G591" s="17"/>
      <c r="H591" s="18"/>
      <c r="I591" s="19"/>
      <c r="J591" s="20"/>
      <c r="K591" s="21"/>
      <c r="L591" s="22"/>
      <c r="M591" s="23"/>
      <c r="N591" s="24"/>
      <c r="O591" s="25"/>
      <c r="P591" s="26"/>
      <c r="Q591" s="27"/>
      <c r="R591" s="28"/>
      <c r="S591" s="29"/>
      <c r="T591" s="30"/>
    </row>
    <row r="592" spans="1:20" ht="24" customHeight="1" x14ac:dyDescent="0.25">
      <c r="A592" t="str">
        <f>IF('e1'!A592&gt;0,HYPERLINK("#"&amp;ADDRESS(592,'e1'!A592),""),IF('r1'!A592&gt;0,HYPERLINK("#"&amp;ADDRESS(592,'r1'!A592),""),""))</f>
        <v/>
      </c>
      <c r="C592" s="13"/>
      <c r="D592" s="14"/>
      <c r="E592" s="15"/>
      <c r="F592" s="16"/>
      <c r="G592" s="17"/>
      <c r="H592" s="18"/>
      <c r="I592" s="19"/>
      <c r="J592" s="20"/>
      <c r="K592" s="21"/>
      <c r="L592" s="22"/>
      <c r="M592" s="23"/>
      <c r="N592" s="24"/>
      <c r="O592" s="25"/>
      <c r="P592" s="26"/>
      <c r="Q592" s="27"/>
      <c r="R592" s="28"/>
      <c r="S592" s="29"/>
      <c r="T592" s="30"/>
    </row>
    <row r="593" spans="1:20" ht="24" customHeight="1" x14ac:dyDescent="0.25">
      <c r="A593" t="str">
        <f>IF('e1'!A593&gt;0,HYPERLINK("#"&amp;ADDRESS(593,'e1'!A593),""),IF('r1'!A593&gt;0,HYPERLINK("#"&amp;ADDRESS(593,'r1'!A593),""),""))</f>
        <v/>
      </c>
      <c r="C593" s="13"/>
      <c r="D593" s="14"/>
      <c r="E593" s="15"/>
      <c r="F593" s="16"/>
      <c r="G593" s="17"/>
      <c r="H593" s="18"/>
      <c r="I593" s="19"/>
      <c r="J593" s="20"/>
      <c r="K593" s="21"/>
      <c r="L593" s="22"/>
      <c r="M593" s="23"/>
      <c r="N593" s="24"/>
      <c r="O593" s="25"/>
      <c r="P593" s="26"/>
      <c r="Q593" s="27"/>
      <c r="R593" s="28"/>
      <c r="S593" s="29"/>
      <c r="T593" s="30"/>
    </row>
    <row r="594" spans="1:20" ht="24" customHeight="1" x14ac:dyDescent="0.25">
      <c r="A594" t="str">
        <f>IF('e1'!A594&gt;0,HYPERLINK("#"&amp;ADDRESS(594,'e1'!A594),""),IF('r1'!A594&gt;0,HYPERLINK("#"&amp;ADDRESS(594,'r1'!A594),""),""))</f>
        <v/>
      </c>
      <c r="C594" s="13"/>
      <c r="D594" s="14"/>
      <c r="E594" s="15"/>
      <c r="F594" s="16"/>
      <c r="G594" s="17"/>
      <c r="H594" s="18"/>
      <c r="I594" s="19"/>
      <c r="J594" s="20"/>
      <c r="K594" s="21"/>
      <c r="L594" s="22"/>
      <c r="M594" s="23"/>
      <c r="N594" s="24"/>
      <c r="O594" s="25"/>
      <c r="P594" s="26"/>
      <c r="Q594" s="27"/>
      <c r="R594" s="28"/>
      <c r="S594" s="29"/>
      <c r="T594" s="30"/>
    </row>
    <row r="595" spans="1:20" ht="24" customHeight="1" x14ac:dyDescent="0.25">
      <c r="A595" t="str">
        <f>IF('e1'!A595&gt;0,HYPERLINK("#"&amp;ADDRESS(595,'e1'!A595),""),IF('r1'!A595&gt;0,HYPERLINK("#"&amp;ADDRESS(595,'r1'!A595),""),""))</f>
        <v/>
      </c>
      <c r="C595" s="13"/>
      <c r="D595" s="14"/>
      <c r="E595" s="15"/>
      <c r="F595" s="16"/>
      <c r="G595" s="17"/>
      <c r="H595" s="18"/>
      <c r="I595" s="19"/>
      <c r="J595" s="20"/>
      <c r="K595" s="21"/>
      <c r="L595" s="22"/>
      <c r="M595" s="23"/>
      <c r="N595" s="24"/>
      <c r="O595" s="25"/>
      <c r="P595" s="26"/>
      <c r="Q595" s="27"/>
      <c r="R595" s="28"/>
      <c r="S595" s="29"/>
      <c r="T595" s="30"/>
    </row>
    <row r="596" spans="1:20" ht="24" customHeight="1" x14ac:dyDescent="0.25">
      <c r="A596" t="str">
        <f>IF('e1'!A596&gt;0,HYPERLINK("#"&amp;ADDRESS(596,'e1'!A596),""),IF('r1'!A596&gt;0,HYPERLINK("#"&amp;ADDRESS(596,'r1'!A596),""),""))</f>
        <v/>
      </c>
      <c r="C596" s="13"/>
      <c r="D596" s="14"/>
      <c r="E596" s="15"/>
      <c r="F596" s="16"/>
      <c r="G596" s="17"/>
      <c r="H596" s="18"/>
      <c r="I596" s="19"/>
      <c r="J596" s="20"/>
      <c r="K596" s="21"/>
      <c r="L596" s="22"/>
      <c r="M596" s="23"/>
      <c r="N596" s="24"/>
      <c r="O596" s="25"/>
      <c r="P596" s="26"/>
      <c r="Q596" s="27"/>
      <c r="R596" s="28"/>
      <c r="S596" s="29"/>
      <c r="T596" s="30"/>
    </row>
    <row r="597" spans="1:20" ht="24" customHeight="1" x14ac:dyDescent="0.25">
      <c r="A597" t="str">
        <f>IF('e1'!A597&gt;0,HYPERLINK("#"&amp;ADDRESS(597,'e1'!A597),""),IF('r1'!A597&gt;0,HYPERLINK("#"&amp;ADDRESS(597,'r1'!A597),""),""))</f>
        <v/>
      </c>
      <c r="C597" s="13"/>
      <c r="D597" s="14"/>
      <c r="E597" s="15"/>
      <c r="F597" s="16"/>
      <c r="G597" s="17"/>
      <c r="H597" s="18"/>
      <c r="I597" s="19"/>
      <c r="J597" s="20"/>
      <c r="K597" s="21"/>
      <c r="L597" s="22"/>
      <c r="M597" s="23"/>
      <c r="N597" s="24"/>
      <c r="O597" s="25"/>
      <c r="P597" s="26"/>
      <c r="Q597" s="27"/>
      <c r="R597" s="28"/>
      <c r="S597" s="29"/>
      <c r="T597" s="30"/>
    </row>
    <row r="598" spans="1:20" ht="24" customHeight="1" x14ac:dyDescent="0.25">
      <c r="A598" t="str">
        <f>IF('e1'!A598&gt;0,HYPERLINK("#"&amp;ADDRESS(598,'e1'!A598),""),IF('r1'!A598&gt;0,HYPERLINK("#"&amp;ADDRESS(598,'r1'!A598),""),""))</f>
        <v/>
      </c>
      <c r="C598" s="13"/>
      <c r="D598" s="14"/>
      <c r="E598" s="15"/>
      <c r="F598" s="16"/>
      <c r="G598" s="17"/>
      <c r="H598" s="18"/>
      <c r="I598" s="19"/>
      <c r="J598" s="20"/>
      <c r="K598" s="21"/>
      <c r="L598" s="22"/>
      <c r="M598" s="23"/>
      <c r="N598" s="24"/>
      <c r="O598" s="25"/>
      <c r="P598" s="26"/>
      <c r="Q598" s="27"/>
      <c r="R598" s="28"/>
      <c r="S598" s="29"/>
      <c r="T598" s="30"/>
    </row>
    <row r="599" spans="1:20" ht="24" customHeight="1" x14ac:dyDescent="0.25">
      <c r="A599" t="str">
        <f>IF('e1'!A599&gt;0,HYPERLINK("#"&amp;ADDRESS(599,'e1'!A599),""),IF('r1'!A599&gt;0,HYPERLINK("#"&amp;ADDRESS(599,'r1'!A599),""),""))</f>
        <v/>
      </c>
      <c r="C599" s="13"/>
      <c r="D599" s="14"/>
      <c r="E599" s="15"/>
      <c r="F599" s="16"/>
      <c r="G599" s="17"/>
      <c r="H599" s="18"/>
      <c r="I599" s="19"/>
      <c r="J599" s="20"/>
      <c r="K599" s="21"/>
      <c r="L599" s="22"/>
      <c r="M599" s="23"/>
      <c r="N599" s="24"/>
      <c r="O599" s="25"/>
      <c r="P599" s="26"/>
      <c r="Q599" s="27"/>
      <c r="R599" s="28"/>
      <c r="S599" s="29"/>
      <c r="T599" s="30"/>
    </row>
    <row r="600" spans="1:20" ht="24" customHeight="1" x14ac:dyDescent="0.25">
      <c r="A600" t="str">
        <f>IF('e1'!A600&gt;0,HYPERLINK("#"&amp;ADDRESS(600,'e1'!A600),""),IF('r1'!A600&gt;0,HYPERLINK("#"&amp;ADDRESS(600,'r1'!A600),""),""))</f>
        <v/>
      </c>
      <c r="C600" s="13"/>
      <c r="D600" s="14"/>
      <c r="E600" s="15"/>
      <c r="F600" s="16"/>
      <c r="G600" s="17"/>
      <c r="H600" s="18"/>
      <c r="I600" s="19"/>
      <c r="J600" s="20"/>
      <c r="K600" s="21"/>
      <c r="L600" s="22"/>
      <c r="M600" s="23"/>
      <c r="N600" s="24"/>
      <c r="O600" s="25"/>
      <c r="P600" s="26"/>
      <c r="Q600" s="27"/>
      <c r="R600" s="28"/>
      <c r="S600" s="29"/>
      <c r="T600" s="30"/>
    </row>
    <row r="601" spans="1:20" ht="24" customHeight="1" x14ac:dyDescent="0.25">
      <c r="A601" t="str">
        <f>IF('e1'!A601&gt;0,HYPERLINK("#"&amp;ADDRESS(601,'e1'!A601),""),IF('r1'!A601&gt;0,HYPERLINK("#"&amp;ADDRESS(601,'r1'!A601),""),""))</f>
        <v/>
      </c>
      <c r="C601" s="13"/>
      <c r="D601" s="14"/>
      <c r="E601" s="15"/>
      <c r="F601" s="16"/>
      <c r="G601" s="17"/>
      <c r="H601" s="18"/>
      <c r="I601" s="19"/>
      <c r="J601" s="20"/>
      <c r="K601" s="21"/>
      <c r="L601" s="22"/>
      <c r="M601" s="23"/>
      <c r="N601" s="24"/>
      <c r="O601" s="25"/>
      <c r="P601" s="26"/>
      <c r="Q601" s="27"/>
      <c r="R601" s="28"/>
      <c r="S601" s="29"/>
      <c r="T601" s="30"/>
    </row>
    <row r="602" spans="1:20" ht="24" customHeight="1" x14ac:dyDescent="0.25">
      <c r="A602" t="str">
        <f>IF('e1'!A602&gt;0,HYPERLINK("#"&amp;ADDRESS(602,'e1'!A602),""),IF('r1'!A602&gt;0,HYPERLINK("#"&amp;ADDRESS(602,'r1'!A602),""),""))</f>
        <v/>
      </c>
      <c r="C602" s="13"/>
      <c r="D602" s="14"/>
      <c r="E602" s="15"/>
      <c r="F602" s="16"/>
      <c r="G602" s="17"/>
      <c r="H602" s="18"/>
      <c r="I602" s="19"/>
      <c r="J602" s="20"/>
      <c r="K602" s="21"/>
      <c r="L602" s="22"/>
      <c r="M602" s="23"/>
      <c r="N602" s="24"/>
      <c r="O602" s="25"/>
      <c r="P602" s="26"/>
      <c r="Q602" s="27"/>
      <c r="R602" s="28"/>
      <c r="S602" s="29"/>
      <c r="T602" s="30"/>
    </row>
    <row r="603" spans="1:20" ht="24" customHeight="1" x14ac:dyDescent="0.25">
      <c r="A603" t="str">
        <f>IF('e1'!A603&gt;0,HYPERLINK("#"&amp;ADDRESS(603,'e1'!A603),""),IF('r1'!A603&gt;0,HYPERLINK("#"&amp;ADDRESS(603,'r1'!A603),""),""))</f>
        <v/>
      </c>
      <c r="C603" s="13"/>
      <c r="D603" s="14"/>
      <c r="E603" s="15"/>
      <c r="F603" s="16"/>
      <c r="G603" s="17"/>
      <c r="H603" s="18"/>
      <c r="I603" s="19"/>
      <c r="J603" s="20"/>
      <c r="K603" s="21"/>
      <c r="L603" s="22"/>
      <c r="M603" s="23"/>
      <c r="N603" s="24"/>
      <c r="O603" s="25"/>
      <c r="P603" s="26"/>
      <c r="Q603" s="27"/>
      <c r="R603" s="28"/>
      <c r="S603" s="29"/>
      <c r="T603" s="30"/>
    </row>
    <row r="604" spans="1:20" ht="24" customHeight="1" x14ac:dyDescent="0.25">
      <c r="A604" t="str">
        <f>IF('e1'!A604&gt;0,HYPERLINK("#"&amp;ADDRESS(604,'e1'!A604),""),IF('r1'!A604&gt;0,HYPERLINK("#"&amp;ADDRESS(604,'r1'!A604),""),""))</f>
        <v/>
      </c>
      <c r="C604" s="13"/>
      <c r="D604" s="14"/>
      <c r="E604" s="15"/>
      <c r="F604" s="16"/>
      <c r="G604" s="17"/>
      <c r="H604" s="18"/>
      <c r="I604" s="19"/>
      <c r="J604" s="20"/>
      <c r="K604" s="21"/>
      <c r="L604" s="22"/>
      <c r="M604" s="23"/>
      <c r="N604" s="24"/>
      <c r="O604" s="25"/>
      <c r="P604" s="26"/>
      <c r="Q604" s="27"/>
      <c r="R604" s="28"/>
      <c r="S604" s="29"/>
      <c r="T604" s="30"/>
    </row>
    <row r="605" spans="1:20" ht="24" customHeight="1" x14ac:dyDescent="0.25">
      <c r="A605" t="str">
        <f>IF('e1'!A605&gt;0,HYPERLINK("#"&amp;ADDRESS(605,'e1'!A605),""),IF('r1'!A605&gt;0,HYPERLINK("#"&amp;ADDRESS(605,'r1'!A605),""),""))</f>
        <v/>
      </c>
      <c r="C605" s="13"/>
      <c r="D605" s="14"/>
      <c r="E605" s="15"/>
      <c r="F605" s="16"/>
      <c r="G605" s="17"/>
      <c r="H605" s="18"/>
      <c r="I605" s="19"/>
      <c r="J605" s="20"/>
      <c r="K605" s="21"/>
      <c r="L605" s="22"/>
      <c r="M605" s="23"/>
      <c r="N605" s="24"/>
      <c r="O605" s="25"/>
      <c r="P605" s="26"/>
      <c r="Q605" s="27"/>
      <c r="R605" s="28"/>
      <c r="S605" s="29"/>
      <c r="T605" s="30"/>
    </row>
    <row r="606" spans="1:20" ht="24" customHeight="1" x14ac:dyDescent="0.25">
      <c r="A606" t="str">
        <f>IF('e1'!A606&gt;0,HYPERLINK("#"&amp;ADDRESS(606,'e1'!A606),""),IF('r1'!A606&gt;0,HYPERLINK("#"&amp;ADDRESS(606,'r1'!A606),""),""))</f>
        <v/>
      </c>
      <c r="C606" s="13"/>
      <c r="D606" s="14"/>
      <c r="E606" s="15"/>
      <c r="F606" s="16"/>
      <c r="G606" s="17"/>
      <c r="H606" s="18"/>
      <c r="I606" s="19"/>
      <c r="J606" s="20"/>
      <c r="K606" s="21"/>
      <c r="L606" s="22"/>
      <c r="M606" s="23"/>
      <c r="N606" s="24"/>
      <c r="O606" s="25"/>
      <c r="P606" s="26"/>
      <c r="Q606" s="27"/>
      <c r="R606" s="28"/>
      <c r="S606" s="29"/>
      <c r="T606" s="30"/>
    </row>
    <row r="607" spans="1:20" ht="24" customHeight="1" x14ac:dyDescent="0.25">
      <c r="A607" t="str">
        <f>IF('e1'!A607&gt;0,HYPERLINK("#"&amp;ADDRESS(607,'e1'!A607),""),IF('r1'!A607&gt;0,HYPERLINK("#"&amp;ADDRESS(607,'r1'!A607),""),""))</f>
        <v/>
      </c>
      <c r="C607" s="13"/>
      <c r="D607" s="14"/>
      <c r="E607" s="15"/>
      <c r="F607" s="16"/>
      <c r="G607" s="17"/>
      <c r="H607" s="18"/>
      <c r="I607" s="19"/>
      <c r="J607" s="20"/>
      <c r="K607" s="21"/>
      <c r="L607" s="22"/>
      <c r="M607" s="23"/>
      <c r="N607" s="24"/>
      <c r="O607" s="25"/>
      <c r="P607" s="26"/>
      <c r="Q607" s="27"/>
      <c r="R607" s="28"/>
      <c r="S607" s="29"/>
      <c r="T607" s="30"/>
    </row>
    <row r="608" spans="1:20" ht="24" customHeight="1" x14ac:dyDescent="0.25">
      <c r="A608" t="str">
        <f>IF('e1'!A608&gt;0,HYPERLINK("#"&amp;ADDRESS(608,'e1'!A608),""),IF('r1'!A608&gt;0,HYPERLINK("#"&amp;ADDRESS(608,'r1'!A608),""),""))</f>
        <v/>
      </c>
      <c r="C608" s="13"/>
      <c r="D608" s="14"/>
      <c r="E608" s="15"/>
      <c r="F608" s="16"/>
      <c r="G608" s="17"/>
      <c r="H608" s="18"/>
      <c r="I608" s="19"/>
      <c r="J608" s="20"/>
      <c r="K608" s="21"/>
      <c r="L608" s="22"/>
      <c r="M608" s="23"/>
      <c r="N608" s="24"/>
      <c r="O608" s="25"/>
      <c r="P608" s="26"/>
      <c r="Q608" s="27"/>
      <c r="R608" s="28"/>
      <c r="S608" s="29"/>
      <c r="T608" s="30"/>
    </row>
    <row r="609" spans="1:20" ht="24" customHeight="1" x14ac:dyDescent="0.25">
      <c r="A609" t="str">
        <f>IF('e1'!A609&gt;0,HYPERLINK("#"&amp;ADDRESS(609,'e1'!A609),""),IF('r1'!A609&gt;0,HYPERLINK("#"&amp;ADDRESS(609,'r1'!A609),""),""))</f>
        <v/>
      </c>
      <c r="C609" s="13"/>
      <c r="D609" s="14"/>
      <c r="E609" s="15"/>
      <c r="F609" s="16"/>
      <c r="G609" s="17"/>
      <c r="H609" s="18"/>
      <c r="I609" s="19"/>
      <c r="J609" s="20"/>
      <c r="K609" s="21"/>
      <c r="L609" s="22"/>
      <c r="M609" s="23"/>
      <c r="N609" s="24"/>
      <c r="O609" s="25"/>
      <c r="P609" s="26"/>
      <c r="Q609" s="27"/>
      <c r="R609" s="28"/>
      <c r="S609" s="29"/>
      <c r="T609" s="30"/>
    </row>
    <row r="610" spans="1:20" ht="24" customHeight="1" x14ac:dyDescent="0.25">
      <c r="A610" t="str">
        <f>IF('e1'!A610&gt;0,HYPERLINK("#"&amp;ADDRESS(610,'e1'!A610),""),IF('r1'!A610&gt;0,HYPERLINK("#"&amp;ADDRESS(610,'r1'!A610),""),""))</f>
        <v/>
      </c>
      <c r="C610" s="13"/>
      <c r="D610" s="14"/>
      <c r="E610" s="15"/>
      <c r="F610" s="16"/>
      <c r="G610" s="17"/>
      <c r="H610" s="18"/>
      <c r="I610" s="19"/>
      <c r="J610" s="20"/>
      <c r="K610" s="21"/>
      <c r="L610" s="22"/>
      <c r="M610" s="23"/>
      <c r="N610" s="24"/>
      <c r="O610" s="25"/>
      <c r="P610" s="26"/>
      <c r="Q610" s="27"/>
      <c r="R610" s="28"/>
      <c r="S610" s="29"/>
      <c r="T610" s="30"/>
    </row>
    <row r="611" spans="1:20" ht="24" customHeight="1" x14ac:dyDescent="0.25">
      <c r="A611" t="str">
        <f>IF('e1'!A611&gt;0,HYPERLINK("#"&amp;ADDRESS(611,'e1'!A611),""),IF('r1'!A611&gt;0,HYPERLINK("#"&amp;ADDRESS(611,'r1'!A611),""),""))</f>
        <v/>
      </c>
      <c r="C611" s="13"/>
      <c r="D611" s="14"/>
      <c r="E611" s="15"/>
      <c r="F611" s="16"/>
      <c r="G611" s="17"/>
      <c r="H611" s="18"/>
      <c r="I611" s="19"/>
      <c r="J611" s="20"/>
      <c r="K611" s="21"/>
      <c r="L611" s="22"/>
      <c r="M611" s="23"/>
      <c r="N611" s="24"/>
      <c r="O611" s="25"/>
      <c r="P611" s="26"/>
      <c r="Q611" s="27"/>
      <c r="R611" s="28"/>
      <c r="S611" s="29"/>
      <c r="T611" s="30"/>
    </row>
    <row r="612" spans="1:20" ht="24" customHeight="1" x14ac:dyDescent="0.25">
      <c r="A612" t="str">
        <f>IF('e1'!A612&gt;0,HYPERLINK("#"&amp;ADDRESS(612,'e1'!A612),""),IF('r1'!A612&gt;0,HYPERLINK("#"&amp;ADDRESS(612,'r1'!A612),""),""))</f>
        <v/>
      </c>
      <c r="C612" s="13"/>
      <c r="D612" s="14"/>
      <c r="E612" s="15"/>
      <c r="F612" s="16"/>
      <c r="G612" s="17"/>
      <c r="H612" s="18"/>
      <c r="I612" s="19"/>
      <c r="J612" s="20"/>
      <c r="K612" s="21"/>
      <c r="L612" s="22"/>
      <c r="M612" s="23"/>
      <c r="N612" s="24"/>
      <c r="O612" s="25"/>
      <c r="P612" s="26"/>
      <c r="Q612" s="27"/>
      <c r="R612" s="28"/>
      <c r="S612" s="29"/>
      <c r="T612" s="30"/>
    </row>
    <row r="613" spans="1:20" ht="24" customHeight="1" x14ac:dyDescent="0.25">
      <c r="A613" t="str">
        <f>IF('e1'!A613&gt;0,HYPERLINK("#"&amp;ADDRESS(613,'e1'!A613),""),IF('r1'!A613&gt;0,HYPERLINK("#"&amp;ADDRESS(613,'r1'!A613),""),""))</f>
        <v/>
      </c>
      <c r="C613" s="13"/>
      <c r="D613" s="14"/>
      <c r="E613" s="15"/>
      <c r="F613" s="16"/>
      <c r="G613" s="17"/>
      <c r="H613" s="18"/>
      <c r="I613" s="19"/>
      <c r="J613" s="20"/>
      <c r="K613" s="21"/>
      <c r="L613" s="22"/>
      <c r="M613" s="23"/>
      <c r="N613" s="24"/>
      <c r="O613" s="25"/>
      <c r="P613" s="26"/>
      <c r="Q613" s="27"/>
      <c r="R613" s="28"/>
      <c r="S613" s="29"/>
      <c r="T613" s="30"/>
    </row>
    <row r="614" spans="1:20" ht="24" customHeight="1" x14ac:dyDescent="0.25">
      <c r="A614" t="str">
        <f>IF('e1'!A614&gt;0,HYPERLINK("#"&amp;ADDRESS(614,'e1'!A614),""),IF('r1'!A614&gt;0,HYPERLINK("#"&amp;ADDRESS(614,'r1'!A614),""),""))</f>
        <v/>
      </c>
      <c r="C614" s="13"/>
      <c r="D614" s="14"/>
      <c r="E614" s="15"/>
      <c r="F614" s="16"/>
      <c r="G614" s="17"/>
      <c r="H614" s="18"/>
      <c r="I614" s="19"/>
      <c r="J614" s="20"/>
      <c r="K614" s="21"/>
      <c r="L614" s="22"/>
      <c r="M614" s="23"/>
      <c r="N614" s="24"/>
      <c r="O614" s="25"/>
      <c r="P614" s="26"/>
      <c r="Q614" s="27"/>
      <c r="R614" s="28"/>
      <c r="S614" s="29"/>
      <c r="T614" s="30"/>
    </row>
    <row r="615" spans="1:20" ht="24" customHeight="1" x14ac:dyDescent="0.25">
      <c r="A615" t="str">
        <f>IF('e1'!A615&gt;0,HYPERLINK("#"&amp;ADDRESS(615,'e1'!A615),""),IF('r1'!A615&gt;0,HYPERLINK("#"&amp;ADDRESS(615,'r1'!A615),""),""))</f>
        <v/>
      </c>
      <c r="C615" s="13"/>
      <c r="D615" s="14"/>
      <c r="E615" s="15"/>
      <c r="F615" s="16"/>
      <c r="G615" s="17"/>
      <c r="H615" s="18"/>
      <c r="I615" s="19"/>
      <c r="J615" s="20"/>
      <c r="K615" s="21"/>
      <c r="L615" s="22"/>
      <c r="M615" s="23"/>
      <c r="N615" s="24"/>
      <c r="O615" s="25"/>
      <c r="P615" s="26"/>
      <c r="Q615" s="27"/>
      <c r="R615" s="28"/>
      <c r="S615" s="29"/>
      <c r="T615" s="30"/>
    </row>
    <row r="616" spans="1:20" ht="24" customHeight="1" x14ac:dyDescent="0.25">
      <c r="A616" t="str">
        <f>IF('e1'!A616&gt;0,HYPERLINK("#"&amp;ADDRESS(616,'e1'!A616),""),IF('r1'!A616&gt;0,HYPERLINK("#"&amp;ADDRESS(616,'r1'!A616),""),""))</f>
        <v/>
      </c>
      <c r="C616" s="13"/>
      <c r="D616" s="14"/>
      <c r="E616" s="15"/>
      <c r="F616" s="16"/>
      <c r="G616" s="17"/>
      <c r="H616" s="18"/>
      <c r="I616" s="19"/>
      <c r="J616" s="20"/>
      <c r="K616" s="21"/>
      <c r="L616" s="22"/>
      <c r="M616" s="23"/>
      <c r="N616" s="24"/>
      <c r="O616" s="25"/>
      <c r="P616" s="26"/>
      <c r="Q616" s="27"/>
      <c r="R616" s="28"/>
      <c r="S616" s="29"/>
      <c r="T616" s="30"/>
    </row>
    <row r="617" spans="1:20" ht="24" customHeight="1" x14ac:dyDescent="0.25">
      <c r="A617" t="str">
        <f>IF('e1'!A617&gt;0,HYPERLINK("#"&amp;ADDRESS(617,'e1'!A617),""),IF('r1'!A617&gt;0,HYPERLINK("#"&amp;ADDRESS(617,'r1'!A617),""),""))</f>
        <v/>
      </c>
      <c r="C617" s="13"/>
      <c r="D617" s="14"/>
      <c r="E617" s="15"/>
      <c r="F617" s="16"/>
      <c r="G617" s="17"/>
      <c r="H617" s="18"/>
      <c r="I617" s="19"/>
      <c r="J617" s="20"/>
      <c r="K617" s="21"/>
      <c r="L617" s="22"/>
      <c r="M617" s="23"/>
      <c r="N617" s="24"/>
      <c r="O617" s="25"/>
      <c r="P617" s="26"/>
      <c r="Q617" s="27"/>
      <c r="R617" s="28"/>
      <c r="S617" s="29"/>
      <c r="T617" s="30"/>
    </row>
    <row r="618" spans="1:20" ht="24" customHeight="1" x14ac:dyDescent="0.25">
      <c r="A618" t="str">
        <f>IF('e1'!A618&gt;0,HYPERLINK("#"&amp;ADDRESS(618,'e1'!A618),""),IF('r1'!A618&gt;0,HYPERLINK("#"&amp;ADDRESS(618,'r1'!A618),""),""))</f>
        <v/>
      </c>
      <c r="C618" s="13"/>
      <c r="D618" s="14"/>
      <c r="E618" s="15"/>
      <c r="F618" s="16"/>
      <c r="G618" s="17"/>
      <c r="H618" s="18"/>
      <c r="I618" s="19"/>
      <c r="J618" s="20"/>
      <c r="K618" s="21"/>
      <c r="L618" s="22"/>
      <c r="M618" s="23"/>
      <c r="N618" s="24"/>
      <c r="O618" s="25"/>
      <c r="P618" s="26"/>
      <c r="Q618" s="27"/>
      <c r="R618" s="28"/>
      <c r="S618" s="29"/>
      <c r="T618" s="30"/>
    </row>
    <row r="619" spans="1:20" ht="24" customHeight="1" x14ac:dyDescent="0.25">
      <c r="A619" t="str">
        <f>IF('e1'!A619&gt;0,HYPERLINK("#"&amp;ADDRESS(619,'e1'!A619),""),IF('r1'!A619&gt;0,HYPERLINK("#"&amp;ADDRESS(619,'r1'!A619),""),""))</f>
        <v/>
      </c>
      <c r="C619" s="13"/>
      <c r="D619" s="14"/>
      <c r="E619" s="15"/>
      <c r="F619" s="16"/>
      <c r="G619" s="17"/>
      <c r="H619" s="18"/>
      <c r="I619" s="19"/>
      <c r="J619" s="20"/>
      <c r="K619" s="21"/>
      <c r="L619" s="22"/>
      <c r="M619" s="23"/>
      <c r="N619" s="24"/>
      <c r="O619" s="25"/>
      <c r="P619" s="26"/>
      <c r="Q619" s="27"/>
      <c r="R619" s="28"/>
      <c r="S619" s="29"/>
      <c r="T619" s="30"/>
    </row>
    <row r="620" spans="1:20" ht="24" customHeight="1" x14ac:dyDescent="0.25">
      <c r="A620" t="str">
        <f>IF('e1'!A620&gt;0,HYPERLINK("#"&amp;ADDRESS(620,'e1'!A620),""),IF('r1'!A620&gt;0,HYPERLINK("#"&amp;ADDRESS(620,'r1'!A620),""),""))</f>
        <v/>
      </c>
      <c r="C620" s="13"/>
      <c r="D620" s="14"/>
      <c r="E620" s="15"/>
      <c r="F620" s="16"/>
      <c r="G620" s="17"/>
      <c r="H620" s="18"/>
      <c r="I620" s="19"/>
      <c r="J620" s="20"/>
      <c r="K620" s="21"/>
      <c r="L620" s="22"/>
      <c r="M620" s="23"/>
      <c r="N620" s="24"/>
      <c r="O620" s="25"/>
      <c r="P620" s="26"/>
      <c r="Q620" s="27"/>
      <c r="R620" s="28"/>
      <c r="S620" s="29"/>
      <c r="T620" s="30"/>
    </row>
    <row r="621" spans="1:20" ht="24" customHeight="1" x14ac:dyDescent="0.25">
      <c r="A621" t="str">
        <f>IF('e1'!A621&gt;0,HYPERLINK("#"&amp;ADDRESS(621,'e1'!A621),""),IF('r1'!A621&gt;0,HYPERLINK("#"&amp;ADDRESS(621,'r1'!A621),""),""))</f>
        <v/>
      </c>
      <c r="C621" s="13"/>
      <c r="D621" s="14"/>
      <c r="E621" s="15"/>
      <c r="F621" s="16"/>
      <c r="G621" s="17"/>
      <c r="H621" s="18"/>
      <c r="I621" s="19"/>
      <c r="J621" s="20"/>
      <c r="K621" s="21"/>
      <c r="L621" s="22"/>
      <c r="M621" s="23"/>
      <c r="N621" s="24"/>
      <c r="O621" s="25"/>
      <c r="P621" s="26"/>
      <c r="Q621" s="27"/>
      <c r="R621" s="28"/>
      <c r="S621" s="29"/>
      <c r="T621" s="30"/>
    </row>
    <row r="622" spans="1:20" ht="24" customHeight="1" x14ac:dyDescent="0.25">
      <c r="A622" t="str">
        <f>IF('e1'!A622&gt;0,HYPERLINK("#"&amp;ADDRESS(622,'e1'!A622),""),IF('r1'!A622&gt;0,HYPERLINK("#"&amp;ADDRESS(622,'r1'!A622),""),""))</f>
        <v/>
      </c>
      <c r="C622" s="13"/>
      <c r="D622" s="14"/>
      <c r="E622" s="15"/>
      <c r="F622" s="16"/>
      <c r="G622" s="17"/>
      <c r="H622" s="18"/>
      <c r="I622" s="19"/>
      <c r="J622" s="20"/>
      <c r="K622" s="21"/>
      <c r="L622" s="22"/>
      <c r="M622" s="23"/>
      <c r="N622" s="24"/>
      <c r="O622" s="25"/>
      <c r="P622" s="26"/>
      <c r="Q622" s="27"/>
      <c r="R622" s="28"/>
      <c r="S622" s="29"/>
      <c r="T622" s="30"/>
    </row>
    <row r="623" spans="1:20" ht="24" customHeight="1" x14ac:dyDescent="0.25">
      <c r="A623" t="str">
        <f>IF('e1'!A623&gt;0,HYPERLINK("#"&amp;ADDRESS(623,'e1'!A623),""),IF('r1'!A623&gt;0,HYPERLINK("#"&amp;ADDRESS(623,'r1'!A623),""),""))</f>
        <v/>
      </c>
      <c r="C623" s="13"/>
      <c r="D623" s="14"/>
      <c r="E623" s="15"/>
      <c r="F623" s="16"/>
      <c r="G623" s="17"/>
      <c r="H623" s="18"/>
      <c r="I623" s="19"/>
      <c r="J623" s="20"/>
      <c r="K623" s="21"/>
      <c r="L623" s="22"/>
      <c r="M623" s="23"/>
      <c r="N623" s="24"/>
      <c r="O623" s="25"/>
      <c r="P623" s="26"/>
      <c r="Q623" s="27"/>
      <c r="R623" s="28"/>
      <c r="S623" s="29"/>
      <c r="T623" s="30"/>
    </row>
    <row r="624" spans="1:20" ht="24" customHeight="1" x14ac:dyDescent="0.25">
      <c r="A624" t="str">
        <f>IF('e1'!A624&gt;0,HYPERLINK("#"&amp;ADDRESS(624,'e1'!A624),""),IF('r1'!A624&gt;0,HYPERLINK("#"&amp;ADDRESS(624,'r1'!A624),""),""))</f>
        <v/>
      </c>
      <c r="C624" s="13"/>
      <c r="D624" s="14"/>
      <c r="E624" s="15"/>
      <c r="F624" s="16"/>
      <c r="G624" s="17"/>
      <c r="H624" s="18"/>
      <c r="I624" s="19"/>
      <c r="J624" s="20"/>
      <c r="K624" s="21"/>
      <c r="L624" s="22"/>
      <c r="M624" s="23"/>
      <c r="N624" s="24"/>
      <c r="O624" s="25"/>
      <c r="P624" s="26"/>
      <c r="Q624" s="27"/>
      <c r="R624" s="28"/>
      <c r="S624" s="29"/>
      <c r="T624" s="30"/>
    </row>
    <row r="625" spans="1:20" ht="24" customHeight="1" x14ac:dyDescent="0.25">
      <c r="A625" t="str">
        <f>IF('e1'!A625&gt;0,HYPERLINK("#"&amp;ADDRESS(625,'e1'!A625),""),IF('r1'!A625&gt;0,HYPERLINK("#"&amp;ADDRESS(625,'r1'!A625),""),""))</f>
        <v/>
      </c>
      <c r="C625" s="13"/>
      <c r="D625" s="14"/>
      <c r="E625" s="15"/>
      <c r="F625" s="16"/>
      <c r="G625" s="17"/>
      <c r="H625" s="18"/>
      <c r="I625" s="19"/>
      <c r="J625" s="20"/>
      <c r="K625" s="21"/>
      <c r="L625" s="22"/>
      <c r="M625" s="23"/>
      <c r="N625" s="24"/>
      <c r="O625" s="25"/>
      <c r="P625" s="26"/>
      <c r="Q625" s="27"/>
      <c r="R625" s="28"/>
      <c r="S625" s="29"/>
      <c r="T625" s="30"/>
    </row>
    <row r="626" spans="1:20" ht="24" customHeight="1" x14ac:dyDescent="0.25">
      <c r="A626" t="str">
        <f>IF('e1'!A626&gt;0,HYPERLINK("#"&amp;ADDRESS(626,'e1'!A626),""),IF('r1'!A626&gt;0,HYPERLINK("#"&amp;ADDRESS(626,'r1'!A626),""),""))</f>
        <v/>
      </c>
      <c r="C626" s="13"/>
      <c r="D626" s="14"/>
      <c r="E626" s="15"/>
      <c r="F626" s="16"/>
      <c r="G626" s="17"/>
      <c r="H626" s="18"/>
      <c r="I626" s="19"/>
      <c r="J626" s="20"/>
      <c r="K626" s="21"/>
      <c r="L626" s="22"/>
      <c r="M626" s="23"/>
      <c r="N626" s="24"/>
      <c r="O626" s="25"/>
      <c r="P626" s="26"/>
      <c r="Q626" s="27"/>
      <c r="R626" s="28"/>
      <c r="S626" s="29"/>
      <c r="T626" s="30"/>
    </row>
    <row r="627" spans="1:20" ht="24" customHeight="1" x14ac:dyDescent="0.25">
      <c r="A627" t="str">
        <f>IF('e1'!A627&gt;0,HYPERLINK("#"&amp;ADDRESS(627,'e1'!A627),""),IF('r1'!A627&gt;0,HYPERLINK("#"&amp;ADDRESS(627,'r1'!A627),""),""))</f>
        <v/>
      </c>
      <c r="C627" s="13"/>
      <c r="D627" s="14"/>
      <c r="E627" s="15"/>
      <c r="F627" s="16"/>
      <c r="G627" s="17"/>
      <c r="H627" s="18"/>
      <c r="I627" s="19"/>
      <c r="J627" s="20"/>
      <c r="K627" s="21"/>
      <c r="L627" s="22"/>
      <c r="M627" s="23"/>
      <c r="N627" s="24"/>
      <c r="O627" s="25"/>
      <c r="P627" s="26"/>
      <c r="Q627" s="27"/>
      <c r="R627" s="28"/>
      <c r="S627" s="29"/>
      <c r="T627" s="30"/>
    </row>
    <row r="628" spans="1:20" ht="24" customHeight="1" x14ac:dyDescent="0.25">
      <c r="A628" t="str">
        <f>IF('e1'!A628&gt;0,HYPERLINK("#"&amp;ADDRESS(628,'e1'!A628),""),IF('r1'!A628&gt;0,HYPERLINK("#"&amp;ADDRESS(628,'r1'!A628),""),""))</f>
        <v/>
      </c>
      <c r="C628" s="13"/>
      <c r="D628" s="14"/>
      <c r="E628" s="15"/>
      <c r="F628" s="16"/>
      <c r="G628" s="17"/>
      <c r="H628" s="18"/>
      <c r="I628" s="19"/>
      <c r="J628" s="20"/>
      <c r="K628" s="21"/>
      <c r="L628" s="22"/>
      <c r="M628" s="23"/>
      <c r="N628" s="24"/>
      <c r="O628" s="25"/>
      <c r="P628" s="26"/>
      <c r="Q628" s="27"/>
      <c r="R628" s="28"/>
      <c r="S628" s="29"/>
      <c r="T628" s="30"/>
    </row>
    <row r="629" spans="1:20" ht="24" customHeight="1" x14ac:dyDescent="0.25">
      <c r="A629" t="str">
        <f>IF('e1'!A629&gt;0,HYPERLINK("#"&amp;ADDRESS(629,'e1'!A629),""),IF('r1'!A629&gt;0,HYPERLINK("#"&amp;ADDRESS(629,'r1'!A629),""),""))</f>
        <v/>
      </c>
      <c r="C629" s="13"/>
      <c r="D629" s="14"/>
      <c r="E629" s="15"/>
      <c r="F629" s="16"/>
      <c r="G629" s="17"/>
      <c r="H629" s="18"/>
      <c r="I629" s="19"/>
      <c r="J629" s="20"/>
      <c r="K629" s="21"/>
      <c r="L629" s="22"/>
      <c r="M629" s="23"/>
      <c r="N629" s="24"/>
      <c r="O629" s="25"/>
      <c r="P629" s="26"/>
      <c r="Q629" s="27"/>
      <c r="R629" s="28"/>
      <c r="S629" s="29"/>
      <c r="T629" s="30"/>
    </row>
    <row r="630" spans="1:20" ht="24" customHeight="1" x14ac:dyDescent="0.25">
      <c r="A630" t="str">
        <f>IF('e1'!A630&gt;0,HYPERLINK("#"&amp;ADDRESS(630,'e1'!A630),""),IF('r1'!A630&gt;0,HYPERLINK("#"&amp;ADDRESS(630,'r1'!A630),""),""))</f>
        <v/>
      </c>
      <c r="C630" s="13"/>
      <c r="D630" s="14"/>
      <c r="E630" s="15"/>
      <c r="F630" s="16"/>
      <c r="G630" s="17"/>
      <c r="H630" s="18"/>
      <c r="I630" s="19"/>
      <c r="J630" s="20"/>
      <c r="K630" s="21"/>
      <c r="L630" s="22"/>
      <c r="M630" s="23"/>
      <c r="N630" s="24"/>
      <c r="O630" s="25"/>
      <c r="P630" s="26"/>
      <c r="Q630" s="27"/>
      <c r="R630" s="28"/>
      <c r="S630" s="29"/>
      <c r="T630" s="30"/>
    </row>
    <row r="631" spans="1:20" ht="24" customHeight="1" x14ac:dyDescent="0.25">
      <c r="A631" t="str">
        <f>IF('e1'!A631&gt;0,HYPERLINK("#"&amp;ADDRESS(631,'e1'!A631),""),IF('r1'!A631&gt;0,HYPERLINK("#"&amp;ADDRESS(631,'r1'!A631),""),""))</f>
        <v/>
      </c>
      <c r="C631" s="13"/>
      <c r="D631" s="14"/>
      <c r="E631" s="15"/>
      <c r="F631" s="16"/>
      <c r="G631" s="17"/>
      <c r="H631" s="18"/>
      <c r="I631" s="19"/>
      <c r="J631" s="20"/>
      <c r="K631" s="21"/>
      <c r="L631" s="22"/>
      <c r="M631" s="23"/>
      <c r="N631" s="24"/>
      <c r="O631" s="25"/>
      <c r="P631" s="26"/>
      <c r="Q631" s="27"/>
      <c r="R631" s="28"/>
      <c r="S631" s="29"/>
      <c r="T631" s="30"/>
    </row>
    <row r="632" spans="1:20" ht="24" customHeight="1" x14ac:dyDescent="0.25">
      <c r="A632" t="str">
        <f>IF('e1'!A632&gt;0,HYPERLINK("#"&amp;ADDRESS(632,'e1'!A632),""),IF('r1'!A632&gt;0,HYPERLINK("#"&amp;ADDRESS(632,'r1'!A632),""),""))</f>
        <v/>
      </c>
      <c r="C632" s="13"/>
      <c r="D632" s="14"/>
      <c r="E632" s="15"/>
      <c r="F632" s="16"/>
      <c r="G632" s="17"/>
      <c r="H632" s="18"/>
      <c r="I632" s="19"/>
      <c r="J632" s="20"/>
      <c r="K632" s="21"/>
      <c r="L632" s="22"/>
      <c r="M632" s="23"/>
      <c r="N632" s="24"/>
      <c r="O632" s="25"/>
      <c r="P632" s="26"/>
      <c r="Q632" s="27"/>
      <c r="R632" s="28"/>
      <c r="S632" s="29"/>
      <c r="T632" s="30"/>
    </row>
    <row r="633" spans="1:20" ht="24" customHeight="1" x14ac:dyDescent="0.25">
      <c r="A633" t="str">
        <f>IF('e1'!A633&gt;0,HYPERLINK("#"&amp;ADDRESS(633,'e1'!A633),""),IF('r1'!A633&gt;0,HYPERLINK("#"&amp;ADDRESS(633,'r1'!A633),""),""))</f>
        <v/>
      </c>
      <c r="C633" s="13"/>
      <c r="D633" s="14"/>
      <c r="E633" s="15"/>
      <c r="F633" s="16"/>
      <c r="G633" s="17"/>
      <c r="H633" s="18"/>
      <c r="I633" s="19"/>
      <c r="J633" s="20"/>
      <c r="K633" s="21"/>
      <c r="L633" s="22"/>
      <c r="M633" s="23"/>
      <c r="N633" s="24"/>
      <c r="O633" s="25"/>
      <c r="P633" s="26"/>
      <c r="Q633" s="27"/>
      <c r="R633" s="28"/>
      <c r="S633" s="29"/>
      <c r="T633" s="30"/>
    </row>
    <row r="634" spans="1:20" ht="24" customHeight="1" x14ac:dyDescent="0.25">
      <c r="A634" t="str">
        <f>IF('e1'!A634&gt;0,HYPERLINK("#"&amp;ADDRESS(634,'e1'!A634),""),IF('r1'!A634&gt;0,HYPERLINK("#"&amp;ADDRESS(634,'r1'!A634),""),""))</f>
        <v/>
      </c>
      <c r="C634" s="13"/>
      <c r="D634" s="14"/>
      <c r="E634" s="15"/>
      <c r="F634" s="16"/>
      <c r="G634" s="17"/>
      <c r="H634" s="18"/>
      <c r="I634" s="19"/>
      <c r="J634" s="20"/>
      <c r="K634" s="21"/>
      <c r="L634" s="22"/>
      <c r="M634" s="23"/>
      <c r="N634" s="24"/>
      <c r="O634" s="25"/>
      <c r="P634" s="26"/>
      <c r="Q634" s="27"/>
      <c r="R634" s="28"/>
      <c r="S634" s="29"/>
      <c r="T634" s="30"/>
    </row>
    <row r="635" spans="1:20" ht="24" customHeight="1" x14ac:dyDescent="0.25">
      <c r="A635" t="str">
        <f>IF('e1'!A635&gt;0,HYPERLINK("#"&amp;ADDRESS(635,'e1'!A635),""),IF('r1'!A635&gt;0,HYPERLINK("#"&amp;ADDRESS(635,'r1'!A635),""),""))</f>
        <v/>
      </c>
      <c r="C635" s="13"/>
      <c r="D635" s="14"/>
      <c r="E635" s="15"/>
      <c r="F635" s="16"/>
      <c r="G635" s="17"/>
      <c r="H635" s="18"/>
      <c r="I635" s="19"/>
      <c r="J635" s="20"/>
      <c r="K635" s="21"/>
      <c r="L635" s="22"/>
      <c r="M635" s="23"/>
      <c r="N635" s="24"/>
      <c r="O635" s="25"/>
      <c r="P635" s="26"/>
      <c r="Q635" s="27"/>
      <c r="R635" s="28"/>
      <c r="S635" s="29"/>
      <c r="T635" s="30"/>
    </row>
    <row r="636" spans="1:20" ht="24" customHeight="1" x14ac:dyDescent="0.25">
      <c r="A636" t="str">
        <f>IF('e1'!A636&gt;0,HYPERLINK("#"&amp;ADDRESS(636,'e1'!A636),""),IF('r1'!A636&gt;0,HYPERLINK("#"&amp;ADDRESS(636,'r1'!A636),""),""))</f>
        <v/>
      </c>
      <c r="C636" s="13"/>
      <c r="D636" s="14"/>
      <c r="E636" s="15"/>
      <c r="F636" s="16"/>
      <c r="G636" s="17"/>
      <c r="H636" s="18"/>
      <c r="I636" s="19"/>
      <c r="J636" s="20"/>
      <c r="K636" s="21"/>
      <c r="L636" s="22"/>
      <c r="M636" s="23"/>
      <c r="N636" s="24"/>
      <c r="O636" s="25"/>
      <c r="P636" s="26"/>
      <c r="Q636" s="27"/>
      <c r="R636" s="28"/>
      <c r="S636" s="29"/>
      <c r="T636" s="30"/>
    </row>
    <row r="637" spans="1:20" ht="24" customHeight="1" x14ac:dyDescent="0.25">
      <c r="A637" t="str">
        <f>IF('e1'!A637&gt;0,HYPERLINK("#"&amp;ADDRESS(637,'e1'!A637),""),IF('r1'!A637&gt;0,HYPERLINK("#"&amp;ADDRESS(637,'r1'!A637),""),""))</f>
        <v/>
      </c>
      <c r="C637" s="13"/>
      <c r="D637" s="14"/>
      <c r="E637" s="15"/>
      <c r="F637" s="16"/>
      <c r="G637" s="17"/>
      <c r="H637" s="18"/>
      <c r="I637" s="19"/>
      <c r="J637" s="20"/>
      <c r="K637" s="21"/>
      <c r="L637" s="22"/>
      <c r="M637" s="23"/>
      <c r="N637" s="24"/>
      <c r="O637" s="25"/>
      <c r="P637" s="26"/>
      <c r="Q637" s="27"/>
      <c r="R637" s="28"/>
      <c r="S637" s="29"/>
      <c r="T637" s="30"/>
    </row>
    <row r="638" spans="1:20" ht="24" customHeight="1" x14ac:dyDescent="0.25">
      <c r="A638" t="str">
        <f>IF('e1'!A638&gt;0,HYPERLINK("#"&amp;ADDRESS(638,'e1'!A638),""),IF('r1'!A638&gt;0,HYPERLINK("#"&amp;ADDRESS(638,'r1'!A638),""),""))</f>
        <v/>
      </c>
      <c r="C638" s="13"/>
      <c r="D638" s="14"/>
      <c r="E638" s="15"/>
      <c r="F638" s="16"/>
      <c r="G638" s="17"/>
      <c r="H638" s="18"/>
      <c r="I638" s="19"/>
      <c r="J638" s="20"/>
      <c r="K638" s="21"/>
      <c r="L638" s="22"/>
      <c r="M638" s="23"/>
      <c r="N638" s="24"/>
      <c r="O638" s="25"/>
      <c r="P638" s="26"/>
      <c r="Q638" s="27"/>
      <c r="R638" s="28"/>
      <c r="S638" s="29"/>
      <c r="T638" s="30"/>
    </row>
    <row r="639" spans="1:20" ht="24" customHeight="1" x14ac:dyDescent="0.25">
      <c r="A639" t="str">
        <f>IF('e1'!A639&gt;0,HYPERLINK("#"&amp;ADDRESS(639,'e1'!A639),""),IF('r1'!A639&gt;0,HYPERLINK("#"&amp;ADDRESS(639,'r1'!A639),""),""))</f>
        <v/>
      </c>
      <c r="C639" s="13"/>
      <c r="D639" s="14"/>
      <c r="E639" s="15"/>
      <c r="F639" s="16"/>
      <c r="G639" s="17"/>
      <c r="H639" s="18"/>
      <c r="I639" s="19"/>
      <c r="J639" s="20"/>
      <c r="K639" s="21"/>
      <c r="L639" s="22"/>
      <c r="M639" s="23"/>
      <c r="N639" s="24"/>
      <c r="O639" s="25"/>
      <c r="P639" s="26"/>
      <c r="Q639" s="27"/>
      <c r="R639" s="28"/>
      <c r="S639" s="29"/>
      <c r="T639" s="30"/>
    </row>
    <row r="640" spans="1:20" ht="24" customHeight="1" x14ac:dyDescent="0.25">
      <c r="A640" t="str">
        <f>IF('e1'!A640&gt;0,HYPERLINK("#"&amp;ADDRESS(640,'e1'!A640),""),IF('r1'!A640&gt;0,HYPERLINK("#"&amp;ADDRESS(640,'r1'!A640),""),""))</f>
        <v/>
      </c>
      <c r="C640" s="13"/>
      <c r="D640" s="14"/>
      <c r="E640" s="15"/>
      <c r="F640" s="16"/>
      <c r="G640" s="17"/>
      <c r="H640" s="18"/>
      <c r="I640" s="19"/>
      <c r="J640" s="20"/>
      <c r="K640" s="21"/>
      <c r="L640" s="22"/>
      <c r="M640" s="23"/>
      <c r="N640" s="24"/>
      <c r="O640" s="25"/>
      <c r="P640" s="26"/>
      <c r="Q640" s="27"/>
      <c r="R640" s="28"/>
      <c r="S640" s="29"/>
      <c r="T640" s="30"/>
    </row>
    <row r="641" spans="1:20" ht="24" customHeight="1" x14ac:dyDescent="0.25">
      <c r="A641" t="str">
        <f>IF('e1'!A641&gt;0,HYPERLINK("#"&amp;ADDRESS(641,'e1'!A641),""),IF('r1'!A641&gt;0,HYPERLINK("#"&amp;ADDRESS(641,'r1'!A641),""),""))</f>
        <v/>
      </c>
      <c r="C641" s="13"/>
      <c r="D641" s="14"/>
      <c r="E641" s="15"/>
      <c r="F641" s="16"/>
      <c r="G641" s="17"/>
      <c r="H641" s="18"/>
      <c r="I641" s="19"/>
      <c r="J641" s="20"/>
      <c r="K641" s="21"/>
      <c r="L641" s="22"/>
      <c r="M641" s="23"/>
      <c r="N641" s="24"/>
      <c r="O641" s="25"/>
      <c r="P641" s="26"/>
      <c r="Q641" s="27"/>
      <c r="R641" s="28"/>
      <c r="S641" s="29"/>
      <c r="T641" s="30"/>
    </row>
    <row r="642" spans="1:20" ht="24" customHeight="1" x14ac:dyDescent="0.25">
      <c r="A642" t="str">
        <f>IF('e1'!A642&gt;0,HYPERLINK("#"&amp;ADDRESS(642,'e1'!A642),""),IF('r1'!A642&gt;0,HYPERLINK("#"&amp;ADDRESS(642,'r1'!A642),""),""))</f>
        <v/>
      </c>
      <c r="C642" s="13"/>
      <c r="D642" s="14"/>
      <c r="E642" s="15"/>
      <c r="F642" s="16"/>
      <c r="G642" s="17"/>
      <c r="H642" s="18"/>
      <c r="I642" s="19"/>
      <c r="J642" s="20"/>
      <c r="K642" s="21"/>
      <c r="L642" s="22"/>
      <c r="M642" s="23"/>
      <c r="N642" s="24"/>
      <c r="O642" s="25"/>
      <c r="P642" s="26"/>
      <c r="Q642" s="27"/>
      <c r="R642" s="28"/>
      <c r="S642" s="29"/>
      <c r="T642" s="30"/>
    </row>
    <row r="643" spans="1:20" ht="24" customHeight="1" x14ac:dyDescent="0.25">
      <c r="A643" t="str">
        <f>IF('e1'!A643&gt;0,HYPERLINK("#"&amp;ADDRESS(643,'e1'!A643),""),IF('r1'!A643&gt;0,HYPERLINK("#"&amp;ADDRESS(643,'r1'!A643),""),""))</f>
        <v/>
      </c>
      <c r="C643" s="13"/>
      <c r="D643" s="14"/>
      <c r="E643" s="15"/>
      <c r="F643" s="16"/>
      <c r="G643" s="17"/>
      <c r="H643" s="18"/>
      <c r="I643" s="19"/>
      <c r="J643" s="20"/>
      <c r="K643" s="21"/>
      <c r="L643" s="22"/>
      <c r="M643" s="23"/>
      <c r="N643" s="24"/>
      <c r="O643" s="25"/>
      <c r="P643" s="26"/>
      <c r="Q643" s="27"/>
      <c r="R643" s="28"/>
      <c r="S643" s="29"/>
      <c r="T643" s="30"/>
    </row>
    <row r="644" spans="1:20" ht="24" customHeight="1" x14ac:dyDescent="0.25">
      <c r="A644" t="str">
        <f>IF('e1'!A644&gt;0,HYPERLINK("#"&amp;ADDRESS(644,'e1'!A644),""),IF('r1'!A644&gt;0,HYPERLINK("#"&amp;ADDRESS(644,'r1'!A644),""),""))</f>
        <v/>
      </c>
      <c r="C644" s="13"/>
      <c r="D644" s="14"/>
      <c r="E644" s="15"/>
      <c r="F644" s="16"/>
      <c r="G644" s="17"/>
      <c r="H644" s="18"/>
      <c r="I644" s="19"/>
      <c r="J644" s="20"/>
      <c r="K644" s="21"/>
      <c r="L644" s="22"/>
      <c r="M644" s="23"/>
      <c r="N644" s="24"/>
      <c r="O644" s="25"/>
      <c r="P644" s="26"/>
      <c r="Q644" s="27"/>
      <c r="R644" s="28"/>
      <c r="S644" s="29"/>
      <c r="T644" s="30"/>
    </row>
    <row r="645" spans="1:20" ht="24" customHeight="1" x14ac:dyDescent="0.25">
      <c r="A645" t="str">
        <f>IF('e1'!A645&gt;0,HYPERLINK("#"&amp;ADDRESS(645,'e1'!A645),""),IF('r1'!A645&gt;0,HYPERLINK("#"&amp;ADDRESS(645,'r1'!A645),""),""))</f>
        <v/>
      </c>
      <c r="C645" s="13"/>
      <c r="D645" s="14"/>
      <c r="E645" s="15"/>
      <c r="F645" s="16"/>
      <c r="G645" s="17"/>
      <c r="H645" s="18"/>
      <c r="I645" s="19"/>
      <c r="J645" s="20"/>
      <c r="K645" s="21"/>
      <c r="L645" s="22"/>
      <c r="M645" s="23"/>
      <c r="N645" s="24"/>
      <c r="O645" s="25"/>
      <c r="P645" s="26"/>
      <c r="Q645" s="27"/>
      <c r="R645" s="28"/>
      <c r="S645" s="29"/>
      <c r="T645" s="30"/>
    </row>
    <row r="646" spans="1:20" ht="24" customHeight="1" x14ac:dyDescent="0.25">
      <c r="A646" t="str">
        <f>IF('e1'!A646&gt;0,HYPERLINK("#"&amp;ADDRESS(646,'e1'!A646),""),IF('r1'!A646&gt;0,HYPERLINK("#"&amp;ADDRESS(646,'r1'!A646),""),""))</f>
        <v/>
      </c>
      <c r="C646" s="13"/>
      <c r="D646" s="14"/>
      <c r="E646" s="15"/>
      <c r="F646" s="16"/>
      <c r="G646" s="17"/>
      <c r="H646" s="18"/>
      <c r="I646" s="19"/>
      <c r="J646" s="20"/>
      <c r="K646" s="21"/>
      <c r="L646" s="22"/>
      <c r="M646" s="23"/>
      <c r="N646" s="24"/>
      <c r="O646" s="25"/>
      <c r="P646" s="26"/>
      <c r="Q646" s="27"/>
      <c r="R646" s="28"/>
      <c r="S646" s="29"/>
      <c r="T646" s="30"/>
    </row>
    <row r="647" spans="1:20" ht="24" customHeight="1" x14ac:dyDescent="0.25">
      <c r="A647" t="str">
        <f>IF('e1'!A647&gt;0,HYPERLINK("#"&amp;ADDRESS(647,'e1'!A647),""),IF('r1'!A647&gt;0,HYPERLINK("#"&amp;ADDRESS(647,'r1'!A647),""),""))</f>
        <v/>
      </c>
      <c r="C647" s="13"/>
      <c r="D647" s="14"/>
      <c r="E647" s="15"/>
      <c r="F647" s="16"/>
      <c r="G647" s="17"/>
      <c r="H647" s="18"/>
      <c r="I647" s="19"/>
      <c r="J647" s="20"/>
      <c r="K647" s="21"/>
      <c r="L647" s="22"/>
      <c r="M647" s="23"/>
      <c r="N647" s="24"/>
      <c r="O647" s="25"/>
      <c r="P647" s="26"/>
      <c r="Q647" s="27"/>
      <c r="R647" s="28"/>
      <c r="S647" s="29"/>
      <c r="T647" s="30"/>
    </row>
    <row r="648" spans="1:20" ht="24" customHeight="1" x14ac:dyDescent="0.25">
      <c r="A648" t="str">
        <f>IF('e1'!A648&gt;0,HYPERLINK("#"&amp;ADDRESS(648,'e1'!A648),""),IF('r1'!A648&gt;0,HYPERLINK("#"&amp;ADDRESS(648,'r1'!A648),""),""))</f>
        <v/>
      </c>
      <c r="C648" s="13"/>
      <c r="D648" s="14"/>
      <c r="E648" s="15"/>
      <c r="F648" s="16"/>
      <c r="G648" s="17"/>
      <c r="H648" s="18"/>
      <c r="I648" s="19"/>
      <c r="J648" s="20"/>
      <c r="K648" s="21"/>
      <c r="L648" s="22"/>
      <c r="M648" s="23"/>
      <c r="N648" s="24"/>
      <c r="O648" s="25"/>
      <c r="P648" s="26"/>
      <c r="Q648" s="27"/>
      <c r="R648" s="28"/>
      <c r="S648" s="29"/>
      <c r="T648" s="30"/>
    </row>
    <row r="649" spans="1:20" ht="24" customHeight="1" x14ac:dyDescent="0.25">
      <c r="A649" t="str">
        <f>IF('e1'!A649&gt;0,HYPERLINK("#"&amp;ADDRESS(649,'e1'!A649),""),IF('r1'!A649&gt;0,HYPERLINK("#"&amp;ADDRESS(649,'r1'!A649),""),""))</f>
        <v/>
      </c>
      <c r="C649" s="13"/>
      <c r="D649" s="14"/>
      <c r="E649" s="15"/>
      <c r="F649" s="16"/>
      <c r="G649" s="17"/>
      <c r="H649" s="18"/>
      <c r="I649" s="19"/>
      <c r="J649" s="20"/>
      <c r="K649" s="21"/>
      <c r="L649" s="22"/>
      <c r="M649" s="23"/>
      <c r="N649" s="24"/>
      <c r="O649" s="25"/>
      <c r="P649" s="26"/>
      <c r="Q649" s="27"/>
      <c r="R649" s="28"/>
      <c r="S649" s="29"/>
      <c r="T649" s="30"/>
    </row>
    <row r="650" spans="1:20" ht="24" customHeight="1" x14ac:dyDescent="0.25">
      <c r="A650" t="str">
        <f>IF('e1'!A650&gt;0,HYPERLINK("#"&amp;ADDRESS(650,'e1'!A650),""),IF('r1'!A650&gt;0,HYPERLINK("#"&amp;ADDRESS(650,'r1'!A650),""),""))</f>
        <v/>
      </c>
      <c r="C650" s="13"/>
      <c r="D650" s="14"/>
      <c r="E650" s="15"/>
      <c r="F650" s="16"/>
      <c r="G650" s="17"/>
      <c r="H650" s="18"/>
      <c r="I650" s="19"/>
      <c r="J650" s="20"/>
      <c r="K650" s="21"/>
      <c r="L650" s="22"/>
      <c r="M650" s="23"/>
      <c r="N650" s="24"/>
      <c r="O650" s="25"/>
      <c r="P650" s="26"/>
      <c r="Q650" s="27"/>
      <c r="R650" s="28"/>
      <c r="S650" s="29"/>
      <c r="T650" s="30"/>
    </row>
    <row r="651" spans="1:20" ht="24" customHeight="1" x14ac:dyDescent="0.25">
      <c r="A651" t="str">
        <f>IF('e1'!A651&gt;0,HYPERLINK("#"&amp;ADDRESS(651,'e1'!A651),""),IF('r1'!A651&gt;0,HYPERLINK("#"&amp;ADDRESS(651,'r1'!A651),""),""))</f>
        <v/>
      </c>
      <c r="C651" s="13"/>
      <c r="D651" s="14"/>
      <c r="E651" s="15"/>
      <c r="F651" s="16"/>
      <c r="G651" s="17"/>
      <c r="H651" s="18"/>
      <c r="I651" s="19"/>
      <c r="J651" s="20"/>
      <c r="K651" s="21"/>
      <c r="L651" s="22"/>
      <c r="M651" s="23"/>
      <c r="N651" s="24"/>
      <c r="O651" s="25"/>
      <c r="P651" s="26"/>
      <c r="Q651" s="27"/>
      <c r="R651" s="28"/>
      <c r="S651" s="29"/>
      <c r="T651" s="30"/>
    </row>
    <row r="652" spans="1:20" ht="24" customHeight="1" x14ac:dyDescent="0.25">
      <c r="A652" t="str">
        <f>IF('e1'!A652&gt;0,HYPERLINK("#"&amp;ADDRESS(652,'e1'!A652),""),IF('r1'!A652&gt;0,HYPERLINK("#"&amp;ADDRESS(652,'r1'!A652),""),""))</f>
        <v/>
      </c>
      <c r="C652" s="13"/>
      <c r="D652" s="14"/>
      <c r="E652" s="15"/>
      <c r="F652" s="16"/>
      <c r="G652" s="17"/>
      <c r="H652" s="18"/>
      <c r="I652" s="19"/>
      <c r="J652" s="20"/>
      <c r="K652" s="21"/>
      <c r="L652" s="22"/>
      <c r="M652" s="23"/>
      <c r="N652" s="24"/>
      <c r="O652" s="25"/>
      <c r="P652" s="26"/>
      <c r="Q652" s="27"/>
      <c r="R652" s="28"/>
      <c r="S652" s="29"/>
      <c r="T652" s="30"/>
    </row>
    <row r="653" spans="1:20" ht="24" customHeight="1" x14ac:dyDescent="0.25">
      <c r="A653" t="str">
        <f>IF('e1'!A653&gt;0,HYPERLINK("#"&amp;ADDRESS(653,'e1'!A653),""),IF('r1'!A653&gt;0,HYPERLINK("#"&amp;ADDRESS(653,'r1'!A653),""),""))</f>
        <v/>
      </c>
      <c r="C653" s="13"/>
      <c r="D653" s="14"/>
      <c r="E653" s="15"/>
      <c r="F653" s="16"/>
      <c r="G653" s="17"/>
      <c r="H653" s="18"/>
      <c r="I653" s="19"/>
      <c r="J653" s="20"/>
      <c r="K653" s="21"/>
      <c r="L653" s="22"/>
      <c r="M653" s="23"/>
      <c r="N653" s="24"/>
      <c r="O653" s="25"/>
      <c r="P653" s="26"/>
      <c r="Q653" s="27"/>
      <c r="R653" s="28"/>
      <c r="S653" s="29"/>
      <c r="T653" s="30"/>
    </row>
    <row r="654" spans="1:20" ht="24" customHeight="1" x14ac:dyDescent="0.25">
      <c r="A654" t="str">
        <f>IF('e1'!A654&gt;0,HYPERLINK("#"&amp;ADDRESS(654,'e1'!A654),""),IF('r1'!A654&gt;0,HYPERLINK("#"&amp;ADDRESS(654,'r1'!A654),""),""))</f>
        <v/>
      </c>
      <c r="C654" s="13"/>
      <c r="D654" s="14"/>
      <c r="E654" s="15"/>
      <c r="F654" s="16"/>
      <c r="G654" s="17"/>
      <c r="H654" s="18"/>
      <c r="I654" s="19"/>
      <c r="J654" s="20"/>
      <c r="K654" s="21"/>
      <c r="L654" s="22"/>
      <c r="M654" s="23"/>
      <c r="N654" s="24"/>
      <c r="O654" s="25"/>
      <c r="P654" s="26"/>
      <c r="Q654" s="27"/>
      <c r="R654" s="28"/>
      <c r="S654" s="29"/>
      <c r="T654" s="30"/>
    </row>
    <row r="655" spans="1:20" ht="24" customHeight="1" x14ac:dyDescent="0.25">
      <c r="A655" t="str">
        <f>IF('e1'!A655&gt;0,HYPERLINK("#"&amp;ADDRESS(655,'e1'!A655),""),IF('r1'!A655&gt;0,HYPERLINK("#"&amp;ADDRESS(655,'r1'!A655),""),""))</f>
        <v/>
      </c>
      <c r="C655" s="13"/>
      <c r="D655" s="14"/>
      <c r="E655" s="15"/>
      <c r="F655" s="16"/>
      <c r="G655" s="17"/>
      <c r="H655" s="18"/>
      <c r="I655" s="19"/>
      <c r="J655" s="20"/>
      <c r="K655" s="21"/>
      <c r="L655" s="22"/>
      <c r="M655" s="23"/>
      <c r="N655" s="24"/>
      <c r="O655" s="25"/>
      <c r="P655" s="26"/>
      <c r="Q655" s="27"/>
      <c r="R655" s="28"/>
      <c r="S655" s="29"/>
      <c r="T655" s="30"/>
    </row>
    <row r="656" spans="1:20" ht="24" customHeight="1" x14ac:dyDescent="0.25">
      <c r="A656" t="str">
        <f>IF('e1'!A656&gt;0,HYPERLINK("#"&amp;ADDRESS(656,'e1'!A656),""),IF('r1'!A656&gt;0,HYPERLINK("#"&amp;ADDRESS(656,'r1'!A656),""),""))</f>
        <v/>
      </c>
      <c r="C656" s="13"/>
      <c r="D656" s="14"/>
      <c r="E656" s="15"/>
      <c r="F656" s="16"/>
      <c r="G656" s="17"/>
      <c r="H656" s="18"/>
      <c r="I656" s="19"/>
      <c r="J656" s="20"/>
      <c r="K656" s="21"/>
      <c r="L656" s="22"/>
      <c r="M656" s="23"/>
      <c r="N656" s="24"/>
      <c r="O656" s="25"/>
      <c r="P656" s="26"/>
      <c r="Q656" s="27"/>
      <c r="R656" s="28"/>
      <c r="S656" s="29"/>
      <c r="T656" s="30"/>
    </row>
    <row r="657" spans="1:20" ht="24" customHeight="1" x14ac:dyDescent="0.25">
      <c r="A657" t="str">
        <f>IF('e1'!A657&gt;0,HYPERLINK("#"&amp;ADDRESS(657,'e1'!A657),""),IF('r1'!A657&gt;0,HYPERLINK("#"&amp;ADDRESS(657,'r1'!A657),""),""))</f>
        <v/>
      </c>
      <c r="C657" s="13"/>
      <c r="D657" s="14"/>
      <c r="E657" s="15"/>
      <c r="F657" s="16"/>
      <c r="G657" s="17"/>
      <c r="H657" s="18"/>
      <c r="I657" s="19"/>
      <c r="J657" s="20"/>
      <c r="K657" s="21"/>
      <c r="L657" s="22"/>
      <c r="M657" s="23"/>
      <c r="N657" s="24"/>
      <c r="O657" s="25"/>
      <c r="P657" s="26"/>
      <c r="Q657" s="27"/>
      <c r="R657" s="28"/>
      <c r="S657" s="29"/>
      <c r="T657" s="30"/>
    </row>
    <row r="658" spans="1:20" ht="24" customHeight="1" x14ac:dyDescent="0.25">
      <c r="A658" t="str">
        <f>IF('e1'!A658&gt;0,HYPERLINK("#"&amp;ADDRESS(658,'e1'!A658),""),IF('r1'!A658&gt;0,HYPERLINK("#"&amp;ADDRESS(658,'r1'!A658),""),""))</f>
        <v/>
      </c>
      <c r="C658" s="13"/>
      <c r="D658" s="14"/>
      <c r="E658" s="15"/>
      <c r="F658" s="16"/>
      <c r="G658" s="17"/>
      <c r="H658" s="18"/>
      <c r="I658" s="19"/>
      <c r="J658" s="20"/>
      <c r="K658" s="21"/>
      <c r="L658" s="22"/>
      <c r="M658" s="23"/>
      <c r="N658" s="24"/>
      <c r="O658" s="25"/>
      <c r="P658" s="26"/>
      <c r="Q658" s="27"/>
      <c r="R658" s="28"/>
      <c r="S658" s="29"/>
      <c r="T658" s="30"/>
    </row>
    <row r="659" spans="1:20" ht="24" customHeight="1" x14ac:dyDescent="0.25">
      <c r="A659" t="str">
        <f>IF('e1'!A659&gt;0,HYPERLINK("#"&amp;ADDRESS(659,'e1'!A659),""),IF('r1'!A659&gt;0,HYPERLINK("#"&amp;ADDRESS(659,'r1'!A659),""),""))</f>
        <v/>
      </c>
      <c r="C659" s="13"/>
      <c r="D659" s="14"/>
      <c r="E659" s="15"/>
      <c r="F659" s="16"/>
      <c r="G659" s="17"/>
      <c r="H659" s="18"/>
      <c r="I659" s="19"/>
      <c r="J659" s="20"/>
      <c r="K659" s="21"/>
      <c r="L659" s="22"/>
      <c r="M659" s="23"/>
      <c r="N659" s="24"/>
      <c r="O659" s="25"/>
      <c r="P659" s="26"/>
      <c r="Q659" s="27"/>
      <c r="R659" s="28"/>
      <c r="S659" s="29"/>
      <c r="T659" s="30"/>
    </row>
    <row r="660" spans="1:20" ht="24" customHeight="1" x14ac:dyDescent="0.25">
      <c r="A660" t="str">
        <f>IF('e1'!A660&gt;0,HYPERLINK("#"&amp;ADDRESS(660,'e1'!A660),""),IF('r1'!A660&gt;0,HYPERLINK("#"&amp;ADDRESS(660,'r1'!A660),""),""))</f>
        <v/>
      </c>
      <c r="C660" s="13"/>
      <c r="D660" s="14"/>
      <c r="E660" s="15"/>
      <c r="F660" s="16"/>
      <c r="G660" s="17"/>
      <c r="H660" s="18"/>
      <c r="I660" s="19"/>
      <c r="J660" s="20"/>
      <c r="K660" s="21"/>
      <c r="L660" s="22"/>
      <c r="M660" s="23"/>
      <c r="N660" s="24"/>
      <c r="O660" s="25"/>
      <c r="P660" s="26"/>
      <c r="Q660" s="27"/>
      <c r="R660" s="28"/>
      <c r="S660" s="29"/>
      <c r="T660" s="30"/>
    </row>
    <row r="661" spans="1:20" ht="24" customHeight="1" x14ac:dyDescent="0.25">
      <c r="A661" t="str">
        <f>IF('e1'!A661&gt;0,HYPERLINK("#"&amp;ADDRESS(661,'e1'!A661),""),IF('r1'!A661&gt;0,HYPERLINK("#"&amp;ADDRESS(661,'r1'!A661),""),""))</f>
        <v/>
      </c>
      <c r="C661" s="13"/>
      <c r="D661" s="14"/>
      <c r="E661" s="15"/>
      <c r="F661" s="16"/>
      <c r="G661" s="17"/>
      <c r="H661" s="18"/>
      <c r="I661" s="19"/>
      <c r="J661" s="20"/>
      <c r="K661" s="21"/>
      <c r="L661" s="22"/>
      <c r="M661" s="23"/>
      <c r="N661" s="24"/>
      <c r="O661" s="25"/>
      <c r="P661" s="26"/>
      <c r="Q661" s="27"/>
      <c r="R661" s="28"/>
      <c r="S661" s="29"/>
      <c r="T661" s="30"/>
    </row>
    <row r="662" spans="1:20" ht="24" customHeight="1" x14ac:dyDescent="0.25">
      <c r="A662" t="str">
        <f>IF('e1'!A662&gt;0,HYPERLINK("#"&amp;ADDRESS(662,'e1'!A662),""),IF('r1'!A662&gt;0,HYPERLINK("#"&amp;ADDRESS(662,'r1'!A662),""),""))</f>
        <v/>
      </c>
      <c r="C662" s="13"/>
      <c r="D662" s="14"/>
      <c r="E662" s="15"/>
      <c r="F662" s="16"/>
      <c r="G662" s="17"/>
      <c r="H662" s="18"/>
      <c r="I662" s="19"/>
      <c r="J662" s="20"/>
      <c r="K662" s="21"/>
      <c r="L662" s="22"/>
      <c r="M662" s="23"/>
      <c r="N662" s="24"/>
      <c r="O662" s="25"/>
      <c r="P662" s="26"/>
      <c r="Q662" s="27"/>
      <c r="R662" s="28"/>
      <c r="S662" s="29"/>
      <c r="T662" s="30"/>
    </row>
    <row r="663" spans="1:20" ht="24" customHeight="1" x14ac:dyDescent="0.25">
      <c r="A663" t="str">
        <f>IF('e1'!A663&gt;0,HYPERLINK("#"&amp;ADDRESS(663,'e1'!A663),""),IF('r1'!A663&gt;0,HYPERLINK("#"&amp;ADDRESS(663,'r1'!A663),""),""))</f>
        <v/>
      </c>
      <c r="C663" s="13"/>
      <c r="D663" s="14"/>
      <c r="E663" s="15"/>
      <c r="F663" s="16"/>
      <c r="G663" s="17"/>
      <c r="H663" s="18"/>
      <c r="I663" s="19"/>
      <c r="J663" s="20"/>
      <c r="K663" s="21"/>
      <c r="L663" s="22"/>
      <c r="M663" s="23"/>
      <c r="N663" s="24"/>
      <c r="O663" s="25"/>
      <c r="P663" s="26"/>
      <c r="Q663" s="27"/>
      <c r="R663" s="28"/>
      <c r="S663" s="29"/>
      <c r="T663" s="30"/>
    </row>
    <row r="664" spans="1:20" ht="24" customHeight="1" x14ac:dyDescent="0.25">
      <c r="A664" t="str">
        <f>IF('e1'!A664&gt;0,HYPERLINK("#"&amp;ADDRESS(664,'e1'!A664),""),IF('r1'!A664&gt;0,HYPERLINK("#"&amp;ADDRESS(664,'r1'!A664),""),""))</f>
        <v/>
      </c>
      <c r="C664" s="13"/>
      <c r="D664" s="14"/>
      <c r="E664" s="15"/>
      <c r="F664" s="16"/>
      <c r="G664" s="17"/>
      <c r="H664" s="18"/>
      <c r="I664" s="19"/>
      <c r="J664" s="20"/>
      <c r="K664" s="21"/>
      <c r="L664" s="22"/>
      <c r="M664" s="23"/>
      <c r="N664" s="24"/>
      <c r="O664" s="25"/>
      <c r="P664" s="26"/>
      <c r="Q664" s="27"/>
      <c r="R664" s="28"/>
      <c r="S664" s="29"/>
      <c r="T664" s="30"/>
    </row>
    <row r="665" spans="1:20" ht="24" customHeight="1" x14ac:dyDescent="0.25">
      <c r="A665" t="str">
        <f>IF('e1'!A665&gt;0,HYPERLINK("#"&amp;ADDRESS(665,'e1'!A665),""),IF('r1'!A665&gt;0,HYPERLINK("#"&amp;ADDRESS(665,'r1'!A665),""),""))</f>
        <v/>
      </c>
      <c r="C665" s="13"/>
      <c r="D665" s="14"/>
      <c r="E665" s="15"/>
      <c r="F665" s="16"/>
      <c r="G665" s="17"/>
      <c r="H665" s="18"/>
      <c r="I665" s="19"/>
      <c r="J665" s="20"/>
      <c r="K665" s="21"/>
      <c r="L665" s="22"/>
      <c r="M665" s="23"/>
      <c r="N665" s="24"/>
      <c r="O665" s="25"/>
      <c r="P665" s="26"/>
      <c r="Q665" s="27"/>
      <c r="R665" s="28"/>
      <c r="S665" s="29"/>
      <c r="T665" s="30"/>
    </row>
    <row r="666" spans="1:20" ht="24" customHeight="1" x14ac:dyDescent="0.25">
      <c r="A666" t="str">
        <f>IF('e1'!A666&gt;0,HYPERLINK("#"&amp;ADDRESS(666,'e1'!A666),""),IF('r1'!A666&gt;0,HYPERLINK("#"&amp;ADDRESS(666,'r1'!A666),""),""))</f>
        <v/>
      </c>
      <c r="C666" s="13"/>
      <c r="D666" s="14"/>
      <c r="E666" s="15"/>
      <c r="F666" s="16"/>
      <c r="G666" s="17"/>
      <c r="H666" s="18"/>
      <c r="I666" s="19"/>
      <c r="J666" s="20"/>
      <c r="K666" s="21"/>
      <c r="L666" s="22"/>
      <c r="M666" s="23"/>
      <c r="N666" s="24"/>
      <c r="O666" s="25"/>
      <c r="P666" s="26"/>
      <c r="Q666" s="27"/>
      <c r="R666" s="28"/>
      <c r="S666" s="29"/>
      <c r="T666" s="30"/>
    </row>
    <row r="667" spans="1:20" ht="24" customHeight="1" x14ac:dyDescent="0.25">
      <c r="A667" t="str">
        <f>IF('e1'!A667&gt;0,HYPERLINK("#"&amp;ADDRESS(667,'e1'!A667),""),IF('r1'!A667&gt;0,HYPERLINK("#"&amp;ADDRESS(667,'r1'!A667),""),""))</f>
        <v/>
      </c>
      <c r="C667" s="13"/>
      <c r="D667" s="14"/>
      <c r="E667" s="15"/>
      <c r="F667" s="16"/>
      <c r="G667" s="17"/>
      <c r="H667" s="18"/>
      <c r="I667" s="19"/>
      <c r="J667" s="20"/>
      <c r="K667" s="21"/>
      <c r="L667" s="22"/>
      <c r="M667" s="23"/>
      <c r="N667" s="24"/>
      <c r="O667" s="25"/>
      <c r="P667" s="26"/>
      <c r="Q667" s="27"/>
      <c r="R667" s="28"/>
      <c r="S667" s="29"/>
      <c r="T667" s="30"/>
    </row>
    <row r="668" spans="1:20" ht="24" customHeight="1" x14ac:dyDescent="0.25">
      <c r="A668" t="str">
        <f>IF('e1'!A668&gt;0,HYPERLINK("#"&amp;ADDRESS(668,'e1'!A668),""),IF('r1'!A668&gt;0,HYPERLINK("#"&amp;ADDRESS(668,'r1'!A668),""),""))</f>
        <v/>
      </c>
      <c r="C668" s="13"/>
      <c r="D668" s="14"/>
      <c r="E668" s="15"/>
      <c r="F668" s="16"/>
      <c r="G668" s="17"/>
      <c r="H668" s="18"/>
      <c r="I668" s="19"/>
      <c r="J668" s="20"/>
      <c r="K668" s="21"/>
      <c r="L668" s="22"/>
      <c r="M668" s="23"/>
      <c r="N668" s="24"/>
      <c r="O668" s="25"/>
      <c r="P668" s="26"/>
      <c r="Q668" s="27"/>
      <c r="R668" s="28"/>
      <c r="S668" s="29"/>
      <c r="T668" s="30"/>
    </row>
    <row r="669" spans="1:20" ht="24" customHeight="1" x14ac:dyDescent="0.25">
      <c r="A669" t="str">
        <f>IF('e1'!A669&gt;0,HYPERLINK("#"&amp;ADDRESS(669,'e1'!A669),""),IF('r1'!A669&gt;0,HYPERLINK("#"&amp;ADDRESS(669,'r1'!A669),""),""))</f>
        <v/>
      </c>
      <c r="C669" s="13"/>
      <c r="D669" s="14"/>
      <c r="E669" s="15"/>
      <c r="F669" s="16"/>
      <c r="G669" s="17"/>
      <c r="H669" s="18"/>
      <c r="I669" s="19"/>
      <c r="J669" s="20"/>
      <c r="K669" s="21"/>
      <c r="L669" s="22"/>
      <c r="M669" s="23"/>
      <c r="N669" s="24"/>
      <c r="O669" s="25"/>
      <c r="P669" s="26"/>
      <c r="Q669" s="27"/>
      <c r="R669" s="28"/>
      <c r="S669" s="29"/>
      <c r="T669" s="30"/>
    </row>
    <row r="670" spans="1:20" ht="24" customHeight="1" x14ac:dyDescent="0.25">
      <c r="A670" t="str">
        <f>IF('e1'!A670&gt;0,HYPERLINK("#"&amp;ADDRESS(670,'e1'!A670),""),IF('r1'!A670&gt;0,HYPERLINK("#"&amp;ADDRESS(670,'r1'!A670),""),""))</f>
        <v/>
      </c>
      <c r="C670" s="13"/>
      <c r="D670" s="14"/>
      <c r="E670" s="15"/>
      <c r="F670" s="16"/>
      <c r="G670" s="17"/>
      <c r="H670" s="18"/>
      <c r="I670" s="19"/>
      <c r="J670" s="20"/>
      <c r="K670" s="21"/>
      <c r="L670" s="22"/>
      <c r="M670" s="23"/>
      <c r="N670" s="24"/>
      <c r="O670" s="25"/>
      <c r="P670" s="26"/>
      <c r="Q670" s="27"/>
      <c r="R670" s="28"/>
      <c r="S670" s="29"/>
      <c r="T670" s="30"/>
    </row>
    <row r="671" spans="1:20" ht="24" customHeight="1" x14ac:dyDescent="0.25">
      <c r="A671" t="str">
        <f>IF('e1'!A671&gt;0,HYPERLINK("#"&amp;ADDRESS(671,'e1'!A671),""),IF('r1'!A671&gt;0,HYPERLINK("#"&amp;ADDRESS(671,'r1'!A671),""),""))</f>
        <v/>
      </c>
      <c r="C671" s="13"/>
      <c r="D671" s="14"/>
      <c r="E671" s="15"/>
      <c r="F671" s="16"/>
      <c r="G671" s="17"/>
      <c r="H671" s="18"/>
      <c r="I671" s="19"/>
      <c r="J671" s="20"/>
      <c r="K671" s="21"/>
      <c r="L671" s="22"/>
      <c r="M671" s="23"/>
      <c r="N671" s="24"/>
      <c r="O671" s="25"/>
      <c r="P671" s="26"/>
      <c r="Q671" s="27"/>
      <c r="R671" s="28"/>
      <c r="S671" s="29"/>
      <c r="T671" s="30"/>
    </row>
    <row r="672" spans="1:20" ht="24" customHeight="1" x14ac:dyDescent="0.25">
      <c r="A672" t="str">
        <f>IF('e1'!A672&gt;0,HYPERLINK("#"&amp;ADDRESS(672,'e1'!A672),""),IF('r1'!A672&gt;0,HYPERLINK("#"&amp;ADDRESS(672,'r1'!A672),""),""))</f>
        <v/>
      </c>
      <c r="C672" s="13"/>
      <c r="D672" s="14"/>
      <c r="E672" s="15"/>
      <c r="F672" s="16"/>
      <c r="G672" s="17"/>
      <c r="H672" s="18"/>
      <c r="I672" s="19"/>
      <c r="J672" s="20"/>
      <c r="K672" s="21"/>
      <c r="L672" s="22"/>
      <c r="M672" s="23"/>
      <c r="N672" s="24"/>
      <c r="O672" s="25"/>
      <c r="P672" s="26"/>
      <c r="Q672" s="27"/>
      <c r="R672" s="28"/>
      <c r="S672" s="29"/>
      <c r="T672" s="30"/>
    </row>
    <row r="673" spans="1:20" ht="24" customHeight="1" x14ac:dyDescent="0.25">
      <c r="A673" t="str">
        <f>IF('e1'!A673&gt;0,HYPERLINK("#"&amp;ADDRESS(673,'e1'!A673),""),IF('r1'!A673&gt;0,HYPERLINK("#"&amp;ADDRESS(673,'r1'!A673),""),""))</f>
        <v/>
      </c>
      <c r="C673" s="13"/>
      <c r="D673" s="14"/>
      <c r="E673" s="15"/>
      <c r="F673" s="16"/>
      <c r="G673" s="17"/>
      <c r="H673" s="18"/>
      <c r="I673" s="19"/>
      <c r="J673" s="20"/>
      <c r="K673" s="21"/>
      <c r="L673" s="22"/>
      <c r="M673" s="23"/>
      <c r="N673" s="24"/>
      <c r="O673" s="25"/>
      <c r="P673" s="26"/>
      <c r="Q673" s="27"/>
      <c r="R673" s="28"/>
      <c r="S673" s="29"/>
      <c r="T673" s="30"/>
    </row>
    <row r="674" spans="1:20" ht="24" customHeight="1" x14ac:dyDescent="0.25">
      <c r="A674" t="str">
        <f>IF('e1'!A674&gt;0,HYPERLINK("#"&amp;ADDRESS(674,'e1'!A674),""),IF('r1'!A674&gt;0,HYPERLINK("#"&amp;ADDRESS(674,'r1'!A674),""),""))</f>
        <v/>
      </c>
      <c r="C674" s="13"/>
      <c r="D674" s="14"/>
      <c r="E674" s="15"/>
      <c r="F674" s="16"/>
      <c r="G674" s="17"/>
      <c r="H674" s="18"/>
      <c r="I674" s="19"/>
      <c r="J674" s="20"/>
      <c r="K674" s="21"/>
      <c r="L674" s="22"/>
      <c r="M674" s="23"/>
      <c r="N674" s="24"/>
      <c r="O674" s="25"/>
      <c r="P674" s="26"/>
      <c r="Q674" s="27"/>
      <c r="R674" s="28"/>
      <c r="S674" s="29"/>
      <c r="T674" s="30"/>
    </row>
    <row r="675" spans="1:20" ht="24" customHeight="1" x14ac:dyDescent="0.25">
      <c r="A675" t="str">
        <f>IF('e1'!A675&gt;0,HYPERLINK("#"&amp;ADDRESS(675,'e1'!A675),""),IF('r1'!A675&gt;0,HYPERLINK("#"&amp;ADDRESS(675,'r1'!A675),""),""))</f>
        <v/>
      </c>
      <c r="C675" s="13"/>
      <c r="D675" s="14"/>
      <c r="E675" s="15"/>
      <c r="F675" s="16"/>
      <c r="G675" s="17"/>
      <c r="H675" s="18"/>
      <c r="I675" s="19"/>
      <c r="J675" s="20"/>
      <c r="K675" s="21"/>
      <c r="L675" s="22"/>
      <c r="M675" s="23"/>
      <c r="N675" s="24"/>
      <c r="O675" s="25"/>
      <c r="P675" s="26"/>
      <c r="Q675" s="27"/>
      <c r="R675" s="28"/>
      <c r="S675" s="29"/>
      <c r="T675" s="30"/>
    </row>
    <row r="676" spans="1:20" ht="24" customHeight="1" x14ac:dyDescent="0.25">
      <c r="A676" t="str">
        <f>IF('e1'!A676&gt;0,HYPERLINK("#"&amp;ADDRESS(676,'e1'!A676),""),IF('r1'!A676&gt;0,HYPERLINK("#"&amp;ADDRESS(676,'r1'!A676),""),""))</f>
        <v/>
      </c>
      <c r="C676" s="13"/>
      <c r="D676" s="14"/>
      <c r="E676" s="15"/>
      <c r="F676" s="16"/>
      <c r="G676" s="17"/>
      <c r="H676" s="18"/>
      <c r="I676" s="19"/>
      <c r="J676" s="20"/>
      <c r="K676" s="21"/>
      <c r="L676" s="22"/>
      <c r="M676" s="23"/>
      <c r="N676" s="24"/>
      <c r="O676" s="25"/>
      <c r="P676" s="26"/>
      <c r="Q676" s="27"/>
      <c r="R676" s="28"/>
      <c r="S676" s="29"/>
      <c r="T676" s="30"/>
    </row>
    <row r="677" spans="1:20" ht="24" customHeight="1" x14ac:dyDescent="0.25">
      <c r="A677" t="str">
        <f>IF('e1'!A677&gt;0,HYPERLINK("#"&amp;ADDRESS(677,'e1'!A677),""),IF('r1'!A677&gt;0,HYPERLINK("#"&amp;ADDRESS(677,'r1'!A677),""),""))</f>
        <v/>
      </c>
      <c r="C677" s="13"/>
      <c r="D677" s="14"/>
      <c r="E677" s="15"/>
      <c r="F677" s="16"/>
      <c r="G677" s="17"/>
      <c r="H677" s="18"/>
      <c r="I677" s="19"/>
      <c r="J677" s="20"/>
      <c r="K677" s="21"/>
      <c r="L677" s="22"/>
      <c r="M677" s="23"/>
      <c r="N677" s="24"/>
      <c r="O677" s="25"/>
      <c r="P677" s="26"/>
      <c r="Q677" s="27"/>
      <c r="R677" s="28"/>
      <c r="S677" s="29"/>
      <c r="T677" s="30"/>
    </row>
    <row r="678" spans="1:20" ht="24" customHeight="1" x14ac:dyDescent="0.25">
      <c r="A678" t="str">
        <f>IF('e1'!A678&gt;0,HYPERLINK("#"&amp;ADDRESS(678,'e1'!A678),""),IF('r1'!A678&gt;0,HYPERLINK("#"&amp;ADDRESS(678,'r1'!A678),""),""))</f>
        <v/>
      </c>
      <c r="C678" s="13"/>
      <c r="D678" s="14"/>
      <c r="E678" s="15"/>
      <c r="F678" s="16"/>
      <c r="G678" s="17"/>
      <c r="H678" s="18"/>
      <c r="I678" s="19"/>
      <c r="J678" s="20"/>
      <c r="K678" s="21"/>
      <c r="L678" s="22"/>
      <c r="M678" s="23"/>
      <c r="N678" s="24"/>
      <c r="O678" s="25"/>
      <c r="P678" s="26"/>
      <c r="Q678" s="27"/>
      <c r="R678" s="28"/>
      <c r="S678" s="29"/>
      <c r="T678" s="30"/>
    </row>
    <row r="679" spans="1:20" ht="24" customHeight="1" x14ac:dyDescent="0.25">
      <c r="A679" t="str">
        <f>IF('e1'!A679&gt;0,HYPERLINK("#"&amp;ADDRESS(679,'e1'!A679),""),IF('r1'!A679&gt;0,HYPERLINK("#"&amp;ADDRESS(679,'r1'!A679),""),""))</f>
        <v/>
      </c>
      <c r="C679" s="13"/>
      <c r="D679" s="14"/>
      <c r="E679" s="15"/>
      <c r="F679" s="16"/>
      <c r="G679" s="17"/>
      <c r="H679" s="18"/>
      <c r="I679" s="19"/>
      <c r="J679" s="20"/>
      <c r="K679" s="21"/>
      <c r="L679" s="22"/>
      <c r="M679" s="23"/>
      <c r="N679" s="24"/>
      <c r="O679" s="25"/>
      <c r="P679" s="26"/>
      <c r="Q679" s="27"/>
      <c r="R679" s="28"/>
      <c r="S679" s="29"/>
      <c r="T679" s="30"/>
    </row>
    <row r="680" spans="1:20" ht="24" customHeight="1" x14ac:dyDescent="0.25">
      <c r="A680" t="str">
        <f>IF('e1'!A680&gt;0,HYPERLINK("#"&amp;ADDRESS(680,'e1'!A680),""),IF('r1'!A680&gt;0,HYPERLINK("#"&amp;ADDRESS(680,'r1'!A680),""),""))</f>
        <v/>
      </c>
      <c r="C680" s="13"/>
      <c r="D680" s="14"/>
      <c r="E680" s="15"/>
      <c r="F680" s="16"/>
      <c r="G680" s="17"/>
      <c r="H680" s="18"/>
      <c r="I680" s="19"/>
      <c r="J680" s="20"/>
      <c r="K680" s="21"/>
      <c r="L680" s="22"/>
      <c r="M680" s="23"/>
      <c r="N680" s="24"/>
      <c r="O680" s="25"/>
      <c r="P680" s="26"/>
      <c r="Q680" s="27"/>
      <c r="R680" s="28"/>
      <c r="S680" s="29"/>
      <c r="T680" s="30"/>
    </row>
    <row r="681" spans="1:20" ht="24" customHeight="1" x14ac:dyDescent="0.25">
      <c r="A681" t="str">
        <f>IF('e1'!A681&gt;0,HYPERLINK("#"&amp;ADDRESS(681,'e1'!A681),""),IF('r1'!A681&gt;0,HYPERLINK("#"&amp;ADDRESS(681,'r1'!A681),""),""))</f>
        <v/>
      </c>
      <c r="C681" s="13"/>
      <c r="D681" s="14"/>
      <c r="E681" s="15"/>
      <c r="F681" s="16"/>
      <c r="G681" s="17"/>
      <c r="H681" s="18"/>
      <c r="I681" s="19"/>
      <c r="J681" s="20"/>
      <c r="K681" s="21"/>
      <c r="L681" s="22"/>
      <c r="M681" s="23"/>
      <c r="N681" s="24"/>
      <c r="O681" s="25"/>
      <c r="P681" s="26"/>
      <c r="Q681" s="27"/>
      <c r="R681" s="28"/>
      <c r="S681" s="29"/>
      <c r="T681" s="30"/>
    </row>
    <row r="682" spans="1:20" ht="24" customHeight="1" x14ac:dyDescent="0.25">
      <c r="A682" t="str">
        <f>IF('e1'!A682&gt;0,HYPERLINK("#"&amp;ADDRESS(682,'e1'!A682),""),IF('r1'!A682&gt;0,HYPERLINK("#"&amp;ADDRESS(682,'r1'!A682),""),""))</f>
        <v/>
      </c>
      <c r="C682" s="13"/>
      <c r="D682" s="14"/>
      <c r="E682" s="15"/>
      <c r="F682" s="16"/>
      <c r="G682" s="17"/>
      <c r="H682" s="18"/>
      <c r="I682" s="19"/>
      <c r="J682" s="20"/>
      <c r="K682" s="21"/>
      <c r="L682" s="22"/>
      <c r="M682" s="23"/>
      <c r="N682" s="24"/>
      <c r="O682" s="25"/>
      <c r="P682" s="26"/>
      <c r="Q682" s="27"/>
      <c r="R682" s="28"/>
      <c r="S682" s="29"/>
      <c r="T682" s="30"/>
    </row>
    <row r="683" spans="1:20" ht="24" customHeight="1" x14ac:dyDescent="0.25">
      <c r="A683" t="str">
        <f>IF('e1'!A683&gt;0,HYPERLINK("#"&amp;ADDRESS(683,'e1'!A683),""),IF('r1'!A683&gt;0,HYPERLINK("#"&amp;ADDRESS(683,'r1'!A683),""),""))</f>
        <v/>
      </c>
      <c r="C683" s="13"/>
      <c r="D683" s="14"/>
      <c r="E683" s="15"/>
      <c r="F683" s="16"/>
      <c r="G683" s="17"/>
      <c r="H683" s="18"/>
      <c r="I683" s="19"/>
      <c r="J683" s="20"/>
      <c r="K683" s="21"/>
      <c r="L683" s="22"/>
      <c r="M683" s="23"/>
      <c r="N683" s="24"/>
      <c r="O683" s="25"/>
      <c r="P683" s="26"/>
      <c r="Q683" s="27"/>
      <c r="R683" s="28"/>
      <c r="S683" s="29"/>
      <c r="T683" s="30"/>
    </row>
    <row r="684" spans="1:20" ht="24" customHeight="1" x14ac:dyDescent="0.25">
      <c r="A684" t="str">
        <f>IF('e1'!A684&gt;0,HYPERLINK("#"&amp;ADDRESS(684,'e1'!A684),""),IF('r1'!A684&gt;0,HYPERLINK("#"&amp;ADDRESS(684,'r1'!A684),""),""))</f>
        <v/>
      </c>
      <c r="C684" s="13"/>
      <c r="D684" s="14"/>
      <c r="E684" s="15"/>
      <c r="F684" s="16"/>
      <c r="G684" s="17"/>
      <c r="H684" s="18"/>
      <c r="I684" s="19"/>
      <c r="J684" s="20"/>
      <c r="K684" s="21"/>
      <c r="L684" s="22"/>
      <c r="M684" s="23"/>
      <c r="N684" s="24"/>
      <c r="O684" s="25"/>
      <c r="P684" s="26"/>
      <c r="Q684" s="27"/>
      <c r="R684" s="28"/>
      <c r="S684" s="29"/>
      <c r="T684" s="30"/>
    </row>
    <row r="685" spans="1:20" ht="24" customHeight="1" x14ac:dyDescent="0.25">
      <c r="A685" t="str">
        <f>IF('e1'!A685&gt;0,HYPERLINK("#"&amp;ADDRESS(685,'e1'!A685),""),IF('r1'!A685&gt;0,HYPERLINK("#"&amp;ADDRESS(685,'r1'!A685),""),""))</f>
        <v/>
      </c>
      <c r="C685" s="13"/>
      <c r="D685" s="14"/>
      <c r="E685" s="15"/>
      <c r="F685" s="16"/>
      <c r="G685" s="17"/>
      <c r="H685" s="18"/>
      <c r="I685" s="19"/>
      <c r="J685" s="20"/>
      <c r="K685" s="21"/>
      <c r="L685" s="22"/>
      <c r="M685" s="23"/>
      <c r="N685" s="24"/>
      <c r="O685" s="25"/>
      <c r="P685" s="26"/>
      <c r="Q685" s="27"/>
      <c r="R685" s="28"/>
      <c r="S685" s="29"/>
      <c r="T685" s="30"/>
    </row>
    <row r="686" spans="1:20" ht="24" customHeight="1" x14ac:dyDescent="0.25">
      <c r="A686" t="str">
        <f>IF('e1'!A686&gt;0,HYPERLINK("#"&amp;ADDRESS(686,'e1'!A686),""),IF('r1'!A686&gt;0,HYPERLINK("#"&amp;ADDRESS(686,'r1'!A686),""),""))</f>
        <v/>
      </c>
      <c r="C686" s="13"/>
      <c r="D686" s="14"/>
      <c r="E686" s="15"/>
      <c r="F686" s="16"/>
      <c r="G686" s="17"/>
      <c r="H686" s="18"/>
      <c r="I686" s="19"/>
      <c r="J686" s="20"/>
      <c r="K686" s="21"/>
      <c r="L686" s="22"/>
      <c r="M686" s="23"/>
      <c r="N686" s="24"/>
      <c r="O686" s="25"/>
      <c r="P686" s="26"/>
      <c r="Q686" s="27"/>
      <c r="R686" s="28"/>
      <c r="S686" s="29"/>
      <c r="T686" s="30"/>
    </row>
    <row r="687" spans="1:20" ht="24" customHeight="1" x14ac:dyDescent="0.25">
      <c r="A687" t="str">
        <f>IF('e1'!A687&gt;0,HYPERLINK("#"&amp;ADDRESS(687,'e1'!A687),""),IF('r1'!A687&gt;0,HYPERLINK("#"&amp;ADDRESS(687,'r1'!A687),""),""))</f>
        <v/>
      </c>
      <c r="C687" s="13"/>
      <c r="D687" s="14"/>
      <c r="E687" s="15"/>
      <c r="F687" s="16"/>
      <c r="G687" s="17"/>
      <c r="H687" s="18"/>
      <c r="I687" s="19"/>
      <c r="J687" s="20"/>
      <c r="K687" s="21"/>
      <c r="L687" s="22"/>
      <c r="M687" s="23"/>
      <c r="N687" s="24"/>
      <c r="O687" s="25"/>
      <c r="P687" s="26"/>
      <c r="Q687" s="27"/>
      <c r="R687" s="28"/>
      <c r="S687" s="29"/>
      <c r="T687" s="30"/>
    </row>
    <row r="688" spans="1:20" ht="24" customHeight="1" x14ac:dyDescent="0.25">
      <c r="A688" t="str">
        <f>IF('e1'!A688&gt;0,HYPERLINK("#"&amp;ADDRESS(688,'e1'!A688),""),IF('r1'!A688&gt;0,HYPERLINK("#"&amp;ADDRESS(688,'r1'!A688),""),""))</f>
        <v/>
      </c>
      <c r="C688" s="13"/>
      <c r="D688" s="14"/>
      <c r="E688" s="15"/>
      <c r="F688" s="16"/>
      <c r="G688" s="17"/>
      <c r="H688" s="18"/>
      <c r="I688" s="19"/>
      <c r="J688" s="20"/>
      <c r="K688" s="21"/>
      <c r="L688" s="22"/>
      <c r="M688" s="23"/>
      <c r="N688" s="24"/>
      <c r="O688" s="25"/>
      <c r="P688" s="26"/>
      <c r="Q688" s="27"/>
      <c r="R688" s="28"/>
      <c r="S688" s="29"/>
      <c r="T688" s="30"/>
    </row>
    <row r="689" spans="1:20" ht="24" customHeight="1" x14ac:dyDescent="0.25">
      <c r="A689" t="str">
        <f>IF('e1'!A689&gt;0,HYPERLINK("#"&amp;ADDRESS(689,'e1'!A689),""),IF('r1'!A689&gt;0,HYPERLINK("#"&amp;ADDRESS(689,'r1'!A689),""),""))</f>
        <v/>
      </c>
      <c r="C689" s="13"/>
      <c r="D689" s="14"/>
      <c r="E689" s="15"/>
      <c r="F689" s="16"/>
      <c r="G689" s="17"/>
      <c r="H689" s="18"/>
      <c r="I689" s="19"/>
      <c r="J689" s="20"/>
      <c r="K689" s="21"/>
      <c r="L689" s="22"/>
      <c r="M689" s="23"/>
      <c r="N689" s="24"/>
      <c r="O689" s="25"/>
      <c r="P689" s="26"/>
      <c r="Q689" s="27"/>
      <c r="R689" s="28"/>
      <c r="S689" s="29"/>
      <c r="T689" s="30"/>
    </row>
    <row r="690" spans="1:20" ht="24" customHeight="1" x14ac:dyDescent="0.25">
      <c r="A690" t="str">
        <f>IF('e1'!A690&gt;0,HYPERLINK("#"&amp;ADDRESS(690,'e1'!A690),""),IF('r1'!A690&gt;0,HYPERLINK("#"&amp;ADDRESS(690,'r1'!A690),""),""))</f>
        <v/>
      </c>
      <c r="C690" s="13"/>
      <c r="D690" s="14"/>
      <c r="E690" s="15"/>
      <c r="F690" s="16"/>
      <c r="G690" s="17"/>
      <c r="H690" s="18"/>
      <c r="I690" s="19"/>
      <c r="J690" s="20"/>
      <c r="K690" s="21"/>
      <c r="L690" s="22"/>
      <c r="M690" s="23"/>
      <c r="N690" s="24"/>
      <c r="O690" s="25"/>
      <c r="P690" s="26"/>
      <c r="Q690" s="27"/>
      <c r="R690" s="28"/>
      <c r="S690" s="29"/>
      <c r="T690" s="30"/>
    </row>
    <row r="691" spans="1:20" ht="24" customHeight="1" x14ac:dyDescent="0.25">
      <c r="A691" t="str">
        <f>IF('e1'!A691&gt;0,HYPERLINK("#"&amp;ADDRESS(691,'e1'!A691),""),IF('r1'!A691&gt;0,HYPERLINK("#"&amp;ADDRESS(691,'r1'!A691),""),""))</f>
        <v/>
      </c>
      <c r="C691" s="13"/>
      <c r="D691" s="14"/>
      <c r="E691" s="15"/>
      <c r="F691" s="16"/>
      <c r="G691" s="17"/>
      <c r="H691" s="18"/>
      <c r="I691" s="19"/>
      <c r="J691" s="20"/>
      <c r="K691" s="21"/>
      <c r="L691" s="22"/>
      <c r="M691" s="23"/>
      <c r="N691" s="24"/>
      <c r="O691" s="25"/>
      <c r="P691" s="26"/>
      <c r="Q691" s="27"/>
      <c r="R691" s="28"/>
      <c r="S691" s="29"/>
      <c r="T691" s="30"/>
    </row>
    <row r="692" spans="1:20" ht="24" customHeight="1" x14ac:dyDescent="0.25">
      <c r="A692" t="str">
        <f>IF('e1'!A692&gt;0,HYPERLINK("#"&amp;ADDRESS(692,'e1'!A692),""),IF('r1'!A692&gt;0,HYPERLINK("#"&amp;ADDRESS(692,'r1'!A692),""),""))</f>
        <v/>
      </c>
      <c r="C692" s="13"/>
      <c r="D692" s="14"/>
      <c r="E692" s="15"/>
      <c r="F692" s="16"/>
      <c r="G692" s="17"/>
      <c r="H692" s="18"/>
      <c r="I692" s="19"/>
      <c r="J692" s="20"/>
      <c r="K692" s="21"/>
      <c r="L692" s="22"/>
      <c r="M692" s="23"/>
      <c r="N692" s="24"/>
      <c r="O692" s="25"/>
      <c r="P692" s="26"/>
      <c r="Q692" s="27"/>
      <c r="R692" s="28"/>
      <c r="S692" s="29"/>
      <c r="T692" s="30"/>
    </row>
    <row r="693" spans="1:20" ht="24" customHeight="1" x14ac:dyDescent="0.25">
      <c r="A693" t="str">
        <f>IF('e1'!A693&gt;0,HYPERLINK("#"&amp;ADDRESS(693,'e1'!A693),""),IF('r1'!A693&gt;0,HYPERLINK("#"&amp;ADDRESS(693,'r1'!A693),""),""))</f>
        <v/>
      </c>
      <c r="C693" s="13"/>
      <c r="D693" s="14"/>
      <c r="E693" s="15"/>
      <c r="F693" s="16"/>
      <c r="G693" s="17"/>
      <c r="H693" s="18"/>
      <c r="I693" s="19"/>
      <c r="J693" s="20"/>
      <c r="K693" s="21"/>
      <c r="L693" s="22"/>
      <c r="M693" s="23"/>
      <c r="N693" s="24"/>
      <c r="O693" s="25"/>
      <c r="P693" s="26"/>
      <c r="Q693" s="27"/>
      <c r="R693" s="28"/>
      <c r="S693" s="29"/>
      <c r="T693" s="30"/>
    </row>
    <row r="694" spans="1:20" ht="24" customHeight="1" x14ac:dyDescent="0.25">
      <c r="A694" t="str">
        <f>IF('e1'!A694&gt;0,HYPERLINK("#"&amp;ADDRESS(694,'e1'!A694),""),IF('r1'!A694&gt;0,HYPERLINK("#"&amp;ADDRESS(694,'r1'!A694),""),""))</f>
        <v/>
      </c>
      <c r="C694" s="13"/>
      <c r="D694" s="14"/>
      <c r="E694" s="15"/>
      <c r="F694" s="16"/>
      <c r="G694" s="17"/>
      <c r="H694" s="18"/>
      <c r="I694" s="19"/>
      <c r="J694" s="20"/>
      <c r="K694" s="21"/>
      <c r="L694" s="22"/>
      <c r="M694" s="23"/>
      <c r="N694" s="24"/>
      <c r="O694" s="25"/>
      <c r="P694" s="26"/>
      <c r="Q694" s="27"/>
      <c r="R694" s="28"/>
      <c r="S694" s="29"/>
      <c r="T694" s="30"/>
    </row>
    <row r="695" spans="1:20" ht="24" customHeight="1" x14ac:dyDescent="0.25">
      <c r="A695" t="str">
        <f>IF('e1'!A695&gt;0,HYPERLINK("#"&amp;ADDRESS(695,'e1'!A695),""),IF('r1'!A695&gt;0,HYPERLINK("#"&amp;ADDRESS(695,'r1'!A695),""),""))</f>
        <v/>
      </c>
      <c r="C695" s="13"/>
      <c r="D695" s="14"/>
      <c r="E695" s="15"/>
      <c r="F695" s="16"/>
      <c r="G695" s="17"/>
      <c r="H695" s="18"/>
      <c r="I695" s="19"/>
      <c r="J695" s="20"/>
      <c r="K695" s="21"/>
      <c r="L695" s="22"/>
      <c r="M695" s="23"/>
      <c r="N695" s="24"/>
      <c r="O695" s="25"/>
      <c r="P695" s="26"/>
      <c r="Q695" s="27"/>
      <c r="R695" s="28"/>
      <c r="S695" s="29"/>
      <c r="T695" s="30"/>
    </row>
    <row r="696" spans="1:20" ht="24" customHeight="1" x14ac:dyDescent="0.25">
      <c r="A696" t="str">
        <f>IF('e1'!A696&gt;0,HYPERLINK("#"&amp;ADDRESS(696,'e1'!A696),""),IF('r1'!A696&gt;0,HYPERLINK("#"&amp;ADDRESS(696,'r1'!A696),""),""))</f>
        <v/>
      </c>
      <c r="C696" s="13"/>
      <c r="D696" s="14"/>
      <c r="E696" s="15"/>
      <c r="F696" s="16"/>
      <c r="G696" s="17"/>
      <c r="H696" s="18"/>
      <c r="I696" s="19"/>
      <c r="J696" s="20"/>
      <c r="K696" s="21"/>
      <c r="L696" s="22"/>
      <c r="M696" s="23"/>
      <c r="N696" s="24"/>
      <c r="O696" s="25"/>
      <c r="P696" s="26"/>
      <c r="Q696" s="27"/>
      <c r="R696" s="28"/>
      <c r="S696" s="29"/>
      <c r="T696" s="30"/>
    </row>
    <row r="697" spans="1:20" ht="24" customHeight="1" x14ac:dyDescent="0.25">
      <c r="A697" t="str">
        <f>IF('e1'!A697&gt;0,HYPERLINK("#"&amp;ADDRESS(697,'e1'!A697),""),IF('r1'!A697&gt;0,HYPERLINK("#"&amp;ADDRESS(697,'r1'!A697),""),""))</f>
        <v/>
      </c>
      <c r="C697" s="13"/>
      <c r="D697" s="14"/>
      <c r="E697" s="15"/>
      <c r="F697" s="16"/>
      <c r="G697" s="17"/>
      <c r="H697" s="18"/>
      <c r="I697" s="19"/>
      <c r="J697" s="20"/>
      <c r="K697" s="21"/>
      <c r="L697" s="22"/>
      <c r="M697" s="23"/>
      <c r="N697" s="24"/>
      <c r="O697" s="25"/>
      <c r="P697" s="26"/>
      <c r="Q697" s="27"/>
      <c r="R697" s="28"/>
      <c r="S697" s="29"/>
      <c r="T697" s="30"/>
    </row>
    <row r="698" spans="1:20" ht="24" customHeight="1" x14ac:dyDescent="0.25">
      <c r="A698" t="str">
        <f>IF('e1'!A698&gt;0,HYPERLINK("#"&amp;ADDRESS(698,'e1'!A698),""),IF('r1'!A698&gt;0,HYPERLINK("#"&amp;ADDRESS(698,'r1'!A698),""),""))</f>
        <v/>
      </c>
      <c r="C698" s="13"/>
      <c r="D698" s="14"/>
      <c r="E698" s="15"/>
      <c r="F698" s="16"/>
      <c r="G698" s="17"/>
      <c r="H698" s="18"/>
      <c r="I698" s="19"/>
      <c r="J698" s="20"/>
      <c r="K698" s="21"/>
      <c r="L698" s="22"/>
      <c r="M698" s="23"/>
      <c r="N698" s="24"/>
      <c r="O698" s="25"/>
      <c r="P698" s="26"/>
      <c r="Q698" s="27"/>
      <c r="R698" s="28"/>
      <c r="S698" s="29"/>
      <c r="T698" s="30"/>
    </row>
    <row r="699" spans="1:20" ht="24" customHeight="1" x14ac:dyDescent="0.25">
      <c r="A699" t="str">
        <f>IF('e1'!A699&gt;0,HYPERLINK("#"&amp;ADDRESS(699,'e1'!A699),""),IF('r1'!A699&gt;0,HYPERLINK("#"&amp;ADDRESS(699,'r1'!A699),""),""))</f>
        <v/>
      </c>
      <c r="C699" s="13"/>
      <c r="D699" s="14"/>
      <c r="E699" s="15"/>
      <c r="F699" s="16"/>
      <c r="G699" s="17"/>
      <c r="H699" s="18"/>
      <c r="I699" s="19"/>
      <c r="J699" s="20"/>
      <c r="K699" s="21"/>
      <c r="L699" s="22"/>
      <c r="M699" s="23"/>
      <c r="N699" s="24"/>
      <c r="O699" s="25"/>
      <c r="P699" s="26"/>
      <c r="Q699" s="27"/>
      <c r="R699" s="28"/>
      <c r="S699" s="29"/>
      <c r="T699" s="30"/>
    </row>
    <row r="700" spans="1:20" ht="24" customHeight="1" x14ac:dyDescent="0.25">
      <c r="A700" t="str">
        <f>IF('e1'!A700&gt;0,HYPERLINK("#"&amp;ADDRESS(700,'e1'!A700),""),IF('r1'!A700&gt;0,HYPERLINK("#"&amp;ADDRESS(700,'r1'!A700),""),""))</f>
        <v/>
      </c>
      <c r="C700" s="13"/>
      <c r="D700" s="14"/>
      <c r="E700" s="15"/>
      <c r="F700" s="16"/>
      <c r="G700" s="17"/>
      <c r="H700" s="18"/>
      <c r="I700" s="19"/>
      <c r="J700" s="20"/>
      <c r="K700" s="21"/>
      <c r="L700" s="22"/>
      <c r="M700" s="23"/>
      <c r="N700" s="24"/>
      <c r="O700" s="25"/>
      <c r="P700" s="26"/>
      <c r="Q700" s="27"/>
      <c r="R700" s="28"/>
      <c r="S700" s="29"/>
      <c r="T700" s="30"/>
    </row>
    <row r="701" spans="1:20" ht="24" customHeight="1" x14ac:dyDescent="0.25">
      <c r="A701" t="str">
        <f>IF('e1'!A701&gt;0,HYPERLINK("#"&amp;ADDRESS(701,'e1'!A701),""),IF('r1'!A701&gt;0,HYPERLINK("#"&amp;ADDRESS(701,'r1'!A701),""),""))</f>
        <v/>
      </c>
      <c r="C701" s="13"/>
      <c r="D701" s="14"/>
      <c r="E701" s="15"/>
      <c r="F701" s="16"/>
      <c r="G701" s="17"/>
      <c r="H701" s="18"/>
      <c r="I701" s="19"/>
      <c r="J701" s="20"/>
      <c r="K701" s="21"/>
      <c r="L701" s="22"/>
      <c r="M701" s="23"/>
      <c r="N701" s="24"/>
      <c r="O701" s="25"/>
      <c r="P701" s="26"/>
      <c r="Q701" s="27"/>
      <c r="R701" s="28"/>
      <c r="S701" s="29"/>
      <c r="T701" s="30"/>
    </row>
    <row r="702" spans="1:20" ht="24" customHeight="1" x14ac:dyDescent="0.25">
      <c r="A702" t="str">
        <f>IF('e1'!A702&gt;0,HYPERLINK("#"&amp;ADDRESS(702,'e1'!A702),""),IF('r1'!A702&gt;0,HYPERLINK("#"&amp;ADDRESS(702,'r1'!A702),""),""))</f>
        <v/>
      </c>
      <c r="C702" s="13"/>
      <c r="D702" s="14"/>
      <c r="E702" s="15"/>
      <c r="F702" s="16"/>
      <c r="G702" s="17"/>
      <c r="H702" s="18"/>
      <c r="I702" s="19"/>
      <c r="J702" s="20"/>
      <c r="K702" s="21"/>
      <c r="L702" s="22"/>
      <c r="M702" s="23"/>
      <c r="N702" s="24"/>
      <c r="O702" s="25"/>
      <c r="P702" s="26"/>
      <c r="Q702" s="27"/>
      <c r="R702" s="28"/>
      <c r="S702" s="29"/>
      <c r="T702" s="30"/>
    </row>
    <row r="703" spans="1:20" ht="24" customHeight="1" x14ac:dyDescent="0.25">
      <c r="A703" t="str">
        <f>IF('e1'!A703&gt;0,HYPERLINK("#"&amp;ADDRESS(703,'e1'!A703),""),IF('r1'!A703&gt;0,HYPERLINK("#"&amp;ADDRESS(703,'r1'!A703),""),""))</f>
        <v/>
      </c>
      <c r="C703" s="13"/>
      <c r="D703" s="14"/>
      <c r="E703" s="15"/>
      <c r="F703" s="16"/>
      <c r="G703" s="17"/>
      <c r="H703" s="18"/>
      <c r="I703" s="19"/>
      <c r="J703" s="20"/>
      <c r="K703" s="21"/>
      <c r="L703" s="22"/>
      <c r="M703" s="23"/>
      <c r="N703" s="24"/>
      <c r="O703" s="25"/>
      <c r="P703" s="26"/>
      <c r="Q703" s="27"/>
      <c r="R703" s="28"/>
      <c r="S703" s="29"/>
      <c r="T703" s="30"/>
    </row>
    <row r="704" spans="1:20" ht="24" customHeight="1" x14ac:dyDescent="0.25">
      <c r="A704" t="str">
        <f>IF('e1'!A704&gt;0,HYPERLINK("#"&amp;ADDRESS(704,'e1'!A704),""),IF('r1'!A704&gt;0,HYPERLINK("#"&amp;ADDRESS(704,'r1'!A704),""),""))</f>
        <v/>
      </c>
      <c r="C704" s="13"/>
      <c r="D704" s="14"/>
      <c r="E704" s="15"/>
      <c r="F704" s="16"/>
      <c r="G704" s="17"/>
      <c r="H704" s="18"/>
      <c r="I704" s="19"/>
      <c r="J704" s="20"/>
      <c r="K704" s="21"/>
      <c r="L704" s="22"/>
      <c r="M704" s="23"/>
      <c r="N704" s="24"/>
      <c r="O704" s="25"/>
      <c r="P704" s="26"/>
      <c r="Q704" s="27"/>
      <c r="R704" s="28"/>
      <c r="S704" s="29"/>
      <c r="T704" s="30"/>
    </row>
    <row r="705" spans="1:20" ht="24" customHeight="1" x14ac:dyDescent="0.25">
      <c r="A705" t="str">
        <f>IF('e1'!A705&gt;0,HYPERLINK("#"&amp;ADDRESS(705,'e1'!A705),""),IF('r1'!A705&gt;0,HYPERLINK("#"&amp;ADDRESS(705,'r1'!A705),""),""))</f>
        <v/>
      </c>
      <c r="C705" s="13"/>
      <c r="D705" s="14"/>
      <c r="E705" s="15"/>
      <c r="F705" s="16"/>
      <c r="G705" s="17"/>
      <c r="H705" s="18"/>
      <c r="I705" s="19"/>
      <c r="J705" s="20"/>
      <c r="K705" s="21"/>
      <c r="L705" s="22"/>
      <c r="M705" s="23"/>
      <c r="N705" s="24"/>
      <c r="O705" s="25"/>
      <c r="P705" s="26"/>
      <c r="Q705" s="27"/>
      <c r="R705" s="28"/>
      <c r="S705" s="29"/>
      <c r="T705" s="30"/>
    </row>
    <row r="706" spans="1:20" ht="24" customHeight="1" x14ac:dyDescent="0.25">
      <c r="A706" t="str">
        <f>IF('e1'!A706&gt;0,HYPERLINK("#"&amp;ADDRESS(706,'e1'!A706),""),IF('r1'!A706&gt;0,HYPERLINK("#"&amp;ADDRESS(706,'r1'!A706),""),""))</f>
        <v/>
      </c>
      <c r="C706" s="13"/>
      <c r="D706" s="14"/>
      <c r="E706" s="15"/>
      <c r="F706" s="16"/>
      <c r="G706" s="17"/>
      <c r="H706" s="18"/>
      <c r="I706" s="19"/>
      <c r="J706" s="20"/>
      <c r="K706" s="21"/>
      <c r="L706" s="22"/>
      <c r="M706" s="23"/>
      <c r="N706" s="24"/>
      <c r="O706" s="25"/>
      <c r="P706" s="26"/>
      <c r="Q706" s="27"/>
      <c r="R706" s="28"/>
      <c r="S706" s="29"/>
      <c r="T706" s="30"/>
    </row>
    <row r="707" spans="1:20" ht="24" customHeight="1" x14ac:dyDescent="0.25">
      <c r="A707" t="str">
        <f>IF('e1'!A707&gt;0,HYPERLINK("#"&amp;ADDRESS(707,'e1'!A707),""),IF('r1'!A707&gt;0,HYPERLINK("#"&amp;ADDRESS(707,'r1'!A707),""),""))</f>
        <v/>
      </c>
      <c r="C707" s="13"/>
      <c r="D707" s="14"/>
      <c r="E707" s="15"/>
      <c r="F707" s="16"/>
      <c r="G707" s="17"/>
      <c r="H707" s="18"/>
      <c r="I707" s="19"/>
      <c r="J707" s="20"/>
      <c r="K707" s="21"/>
      <c r="L707" s="22"/>
      <c r="M707" s="23"/>
      <c r="N707" s="24"/>
      <c r="O707" s="25"/>
      <c r="P707" s="26"/>
      <c r="Q707" s="27"/>
      <c r="R707" s="28"/>
      <c r="S707" s="29"/>
      <c r="T707" s="30"/>
    </row>
    <row r="708" spans="1:20" ht="24" customHeight="1" x14ac:dyDescent="0.25">
      <c r="A708" t="str">
        <f>IF('e1'!A708&gt;0,HYPERLINK("#"&amp;ADDRESS(708,'e1'!A708),""),IF('r1'!A708&gt;0,HYPERLINK("#"&amp;ADDRESS(708,'r1'!A708),""),""))</f>
        <v/>
      </c>
      <c r="C708" s="13"/>
      <c r="D708" s="14"/>
      <c r="E708" s="15"/>
      <c r="F708" s="16"/>
      <c r="G708" s="17"/>
      <c r="H708" s="18"/>
      <c r="I708" s="19"/>
      <c r="J708" s="20"/>
      <c r="K708" s="21"/>
      <c r="L708" s="22"/>
      <c r="M708" s="23"/>
      <c r="N708" s="24"/>
      <c r="O708" s="25"/>
      <c r="P708" s="26"/>
      <c r="Q708" s="27"/>
      <c r="R708" s="28"/>
      <c r="S708" s="29"/>
      <c r="T708" s="30"/>
    </row>
    <row r="709" spans="1:20" ht="24" customHeight="1" x14ac:dyDescent="0.25">
      <c r="A709" t="str">
        <f>IF('e1'!A709&gt;0,HYPERLINK("#"&amp;ADDRESS(709,'e1'!A709),""),IF('r1'!A709&gt;0,HYPERLINK("#"&amp;ADDRESS(709,'r1'!A709),""),""))</f>
        <v/>
      </c>
      <c r="C709" s="13"/>
      <c r="D709" s="14"/>
      <c r="E709" s="15"/>
      <c r="F709" s="16"/>
      <c r="G709" s="17"/>
      <c r="H709" s="18"/>
      <c r="I709" s="19"/>
      <c r="J709" s="20"/>
      <c r="K709" s="21"/>
      <c r="L709" s="22"/>
      <c r="M709" s="23"/>
      <c r="N709" s="24"/>
      <c r="O709" s="25"/>
      <c r="P709" s="26"/>
      <c r="Q709" s="27"/>
      <c r="R709" s="28"/>
      <c r="S709" s="29"/>
      <c r="T709" s="30"/>
    </row>
    <row r="710" spans="1:20" ht="24" customHeight="1" x14ac:dyDescent="0.25">
      <c r="A710" t="str">
        <f>IF('e1'!A710&gt;0,HYPERLINK("#"&amp;ADDRESS(710,'e1'!A710),""),IF('r1'!A710&gt;0,HYPERLINK("#"&amp;ADDRESS(710,'r1'!A710),""),""))</f>
        <v/>
      </c>
      <c r="C710" s="13"/>
      <c r="D710" s="14"/>
      <c r="E710" s="15"/>
      <c r="F710" s="16"/>
      <c r="G710" s="17"/>
      <c r="H710" s="18"/>
      <c r="I710" s="19"/>
      <c r="J710" s="20"/>
      <c r="K710" s="21"/>
      <c r="L710" s="22"/>
      <c r="M710" s="23"/>
      <c r="N710" s="24"/>
      <c r="O710" s="25"/>
      <c r="P710" s="26"/>
      <c r="Q710" s="27"/>
      <c r="R710" s="28"/>
      <c r="S710" s="29"/>
      <c r="T710" s="30"/>
    </row>
    <row r="711" spans="1:20" ht="24" customHeight="1" x14ac:dyDescent="0.25">
      <c r="A711" t="str">
        <f>IF('e1'!A711&gt;0,HYPERLINK("#"&amp;ADDRESS(711,'e1'!A711),""),IF('r1'!A711&gt;0,HYPERLINK("#"&amp;ADDRESS(711,'r1'!A711),""),""))</f>
        <v/>
      </c>
      <c r="C711" s="13"/>
      <c r="D711" s="14"/>
      <c r="E711" s="15"/>
      <c r="F711" s="16"/>
      <c r="G711" s="17"/>
      <c r="H711" s="18"/>
      <c r="I711" s="19"/>
      <c r="J711" s="20"/>
      <c r="K711" s="21"/>
      <c r="L711" s="22"/>
      <c r="M711" s="23"/>
      <c r="N711" s="24"/>
      <c r="O711" s="25"/>
      <c r="P711" s="26"/>
      <c r="Q711" s="27"/>
      <c r="R711" s="28"/>
      <c r="S711" s="29"/>
      <c r="T711" s="30"/>
    </row>
    <row r="712" spans="1:20" ht="24" customHeight="1" x14ac:dyDescent="0.25">
      <c r="A712" t="str">
        <f>IF('e1'!A712&gt;0,HYPERLINK("#"&amp;ADDRESS(712,'e1'!A712),""),IF('r1'!A712&gt;0,HYPERLINK("#"&amp;ADDRESS(712,'r1'!A712),""),""))</f>
        <v/>
      </c>
      <c r="C712" s="13"/>
      <c r="D712" s="14"/>
      <c r="E712" s="15"/>
      <c r="F712" s="16"/>
      <c r="G712" s="17"/>
      <c r="H712" s="18"/>
      <c r="I712" s="19"/>
      <c r="J712" s="20"/>
      <c r="K712" s="21"/>
      <c r="L712" s="22"/>
      <c r="M712" s="23"/>
      <c r="N712" s="24"/>
      <c r="O712" s="25"/>
      <c r="P712" s="26"/>
      <c r="Q712" s="27"/>
      <c r="R712" s="28"/>
      <c r="S712" s="29"/>
      <c r="T712" s="30"/>
    </row>
    <row r="713" spans="1:20" ht="24" customHeight="1" x14ac:dyDescent="0.25">
      <c r="A713" t="str">
        <f>IF('e1'!A713&gt;0,HYPERLINK("#"&amp;ADDRESS(713,'e1'!A713),""),IF('r1'!A713&gt;0,HYPERLINK("#"&amp;ADDRESS(713,'r1'!A713),""),""))</f>
        <v/>
      </c>
      <c r="C713" s="13"/>
      <c r="D713" s="14"/>
      <c r="E713" s="15"/>
      <c r="F713" s="16"/>
      <c r="G713" s="17"/>
      <c r="H713" s="18"/>
      <c r="I713" s="19"/>
      <c r="J713" s="20"/>
      <c r="K713" s="21"/>
      <c r="L713" s="22"/>
      <c r="M713" s="23"/>
      <c r="N713" s="24"/>
      <c r="O713" s="25"/>
      <c r="P713" s="26"/>
      <c r="Q713" s="27"/>
      <c r="R713" s="28"/>
      <c r="S713" s="29"/>
      <c r="T713" s="30"/>
    </row>
    <row r="714" spans="1:20" ht="24" customHeight="1" x14ac:dyDescent="0.25">
      <c r="A714" t="str">
        <f>IF('e1'!A714&gt;0,HYPERLINK("#"&amp;ADDRESS(714,'e1'!A714),""),IF('r1'!A714&gt;0,HYPERLINK("#"&amp;ADDRESS(714,'r1'!A714),""),""))</f>
        <v/>
      </c>
      <c r="C714" s="13"/>
      <c r="D714" s="14"/>
      <c r="E714" s="15"/>
      <c r="F714" s="16"/>
      <c r="G714" s="17"/>
      <c r="H714" s="18"/>
      <c r="I714" s="19"/>
      <c r="J714" s="20"/>
      <c r="K714" s="21"/>
      <c r="L714" s="22"/>
      <c r="M714" s="23"/>
      <c r="N714" s="24"/>
      <c r="O714" s="25"/>
      <c r="P714" s="26"/>
      <c r="Q714" s="27"/>
      <c r="R714" s="28"/>
      <c r="S714" s="29"/>
      <c r="T714" s="30"/>
    </row>
    <row r="715" spans="1:20" ht="24" customHeight="1" x14ac:dyDescent="0.25">
      <c r="A715" t="str">
        <f>IF('e1'!A715&gt;0,HYPERLINK("#"&amp;ADDRESS(715,'e1'!A715),""),IF('r1'!A715&gt;0,HYPERLINK("#"&amp;ADDRESS(715,'r1'!A715),""),""))</f>
        <v/>
      </c>
      <c r="C715" s="13"/>
      <c r="D715" s="14"/>
      <c r="E715" s="15"/>
      <c r="F715" s="16"/>
      <c r="G715" s="17"/>
      <c r="H715" s="18"/>
      <c r="I715" s="19"/>
      <c r="J715" s="20"/>
      <c r="K715" s="21"/>
      <c r="L715" s="22"/>
      <c r="M715" s="23"/>
      <c r="N715" s="24"/>
      <c r="O715" s="25"/>
      <c r="P715" s="26"/>
      <c r="Q715" s="27"/>
      <c r="R715" s="28"/>
      <c r="S715" s="29"/>
      <c r="T715" s="30"/>
    </row>
    <row r="716" spans="1:20" ht="24" customHeight="1" x14ac:dyDescent="0.25">
      <c r="A716" t="str">
        <f>IF('e1'!A716&gt;0,HYPERLINK("#"&amp;ADDRESS(716,'e1'!A716),""),IF('r1'!A716&gt;0,HYPERLINK("#"&amp;ADDRESS(716,'r1'!A716),""),""))</f>
        <v/>
      </c>
      <c r="C716" s="13"/>
      <c r="D716" s="14"/>
      <c r="E716" s="15"/>
      <c r="F716" s="16"/>
      <c r="G716" s="17"/>
      <c r="H716" s="18"/>
      <c r="I716" s="19"/>
      <c r="J716" s="20"/>
      <c r="K716" s="21"/>
      <c r="L716" s="22"/>
      <c r="M716" s="23"/>
      <c r="N716" s="24"/>
      <c r="O716" s="25"/>
      <c r="P716" s="26"/>
      <c r="Q716" s="27"/>
      <c r="R716" s="28"/>
      <c r="S716" s="29"/>
      <c r="T716" s="30"/>
    </row>
    <row r="717" spans="1:20" ht="24" customHeight="1" x14ac:dyDescent="0.25">
      <c r="A717" t="str">
        <f>IF('e1'!A717&gt;0,HYPERLINK("#"&amp;ADDRESS(717,'e1'!A717),""),IF('r1'!A717&gt;0,HYPERLINK("#"&amp;ADDRESS(717,'r1'!A717),""),""))</f>
        <v/>
      </c>
      <c r="C717" s="13"/>
      <c r="D717" s="14"/>
      <c r="E717" s="15"/>
      <c r="F717" s="16"/>
      <c r="G717" s="17"/>
      <c r="H717" s="18"/>
      <c r="I717" s="19"/>
      <c r="J717" s="20"/>
      <c r="K717" s="21"/>
      <c r="L717" s="22"/>
      <c r="M717" s="23"/>
      <c r="N717" s="24"/>
      <c r="O717" s="25"/>
      <c r="P717" s="26"/>
      <c r="Q717" s="27"/>
      <c r="R717" s="28"/>
      <c r="S717" s="29"/>
      <c r="T717" s="30"/>
    </row>
    <row r="718" spans="1:20" ht="24" customHeight="1" x14ac:dyDescent="0.25">
      <c r="A718" t="str">
        <f>IF('e1'!A718&gt;0,HYPERLINK("#"&amp;ADDRESS(718,'e1'!A718),""),IF('r1'!A718&gt;0,HYPERLINK("#"&amp;ADDRESS(718,'r1'!A718),""),""))</f>
        <v/>
      </c>
      <c r="C718" s="13"/>
      <c r="D718" s="14"/>
      <c r="E718" s="15"/>
      <c r="F718" s="16"/>
      <c r="G718" s="17"/>
      <c r="H718" s="18"/>
      <c r="I718" s="19"/>
      <c r="J718" s="20"/>
      <c r="K718" s="21"/>
      <c r="L718" s="22"/>
      <c r="M718" s="23"/>
      <c r="N718" s="24"/>
      <c r="O718" s="25"/>
      <c r="P718" s="26"/>
      <c r="Q718" s="27"/>
      <c r="R718" s="28"/>
      <c r="S718" s="29"/>
      <c r="T718" s="30"/>
    </row>
    <row r="719" spans="1:20" ht="24" customHeight="1" x14ac:dyDescent="0.25">
      <c r="A719" t="str">
        <f>IF('e1'!A719&gt;0,HYPERLINK("#"&amp;ADDRESS(719,'e1'!A719),""),IF('r1'!A719&gt;0,HYPERLINK("#"&amp;ADDRESS(719,'r1'!A719),""),""))</f>
        <v/>
      </c>
      <c r="C719" s="13"/>
      <c r="D719" s="14"/>
      <c r="E719" s="15"/>
      <c r="F719" s="16"/>
      <c r="G719" s="17"/>
      <c r="H719" s="18"/>
      <c r="I719" s="19"/>
      <c r="J719" s="20"/>
      <c r="K719" s="21"/>
      <c r="L719" s="22"/>
      <c r="M719" s="23"/>
      <c r="N719" s="24"/>
      <c r="O719" s="25"/>
      <c r="P719" s="26"/>
      <c r="Q719" s="27"/>
      <c r="R719" s="28"/>
      <c r="S719" s="29"/>
      <c r="T719" s="30"/>
    </row>
    <row r="720" spans="1:20" ht="24" customHeight="1" x14ac:dyDescent="0.25">
      <c r="A720" t="str">
        <f>IF('e1'!A720&gt;0,HYPERLINK("#"&amp;ADDRESS(720,'e1'!A720),""),IF('r1'!A720&gt;0,HYPERLINK("#"&amp;ADDRESS(720,'r1'!A720),""),""))</f>
        <v/>
      </c>
      <c r="C720" s="13"/>
      <c r="D720" s="14"/>
      <c r="E720" s="15"/>
      <c r="F720" s="16"/>
      <c r="G720" s="17"/>
      <c r="H720" s="18"/>
      <c r="I720" s="19"/>
      <c r="J720" s="20"/>
      <c r="K720" s="21"/>
      <c r="L720" s="22"/>
      <c r="M720" s="23"/>
      <c r="N720" s="24"/>
      <c r="O720" s="25"/>
      <c r="P720" s="26"/>
      <c r="Q720" s="27"/>
      <c r="R720" s="28"/>
      <c r="S720" s="29"/>
      <c r="T720" s="30"/>
    </row>
    <row r="721" spans="1:20" ht="24" customHeight="1" x14ac:dyDescent="0.25">
      <c r="A721" t="str">
        <f>IF('e1'!A721&gt;0,HYPERLINK("#"&amp;ADDRESS(721,'e1'!A721),""),IF('r1'!A721&gt;0,HYPERLINK("#"&amp;ADDRESS(721,'r1'!A721),""),""))</f>
        <v/>
      </c>
      <c r="C721" s="13"/>
      <c r="D721" s="14"/>
      <c r="E721" s="15"/>
      <c r="F721" s="16"/>
      <c r="G721" s="17"/>
      <c r="H721" s="18"/>
      <c r="I721" s="19"/>
      <c r="J721" s="20"/>
      <c r="K721" s="21"/>
      <c r="L721" s="22"/>
      <c r="M721" s="23"/>
      <c r="N721" s="24"/>
      <c r="O721" s="25"/>
      <c r="P721" s="26"/>
      <c r="Q721" s="27"/>
      <c r="R721" s="28"/>
      <c r="S721" s="29"/>
      <c r="T721" s="30"/>
    </row>
    <row r="722" spans="1:20" ht="24" customHeight="1" x14ac:dyDescent="0.25">
      <c r="A722" t="str">
        <f>IF('e1'!A722&gt;0,HYPERLINK("#"&amp;ADDRESS(722,'e1'!A722),""),IF('r1'!A722&gt;0,HYPERLINK("#"&amp;ADDRESS(722,'r1'!A722),""),""))</f>
        <v/>
      </c>
      <c r="C722" s="13"/>
      <c r="D722" s="14"/>
      <c r="E722" s="15"/>
      <c r="F722" s="16"/>
      <c r="G722" s="17"/>
      <c r="H722" s="18"/>
      <c r="I722" s="19"/>
      <c r="J722" s="20"/>
      <c r="K722" s="21"/>
      <c r="L722" s="22"/>
      <c r="M722" s="23"/>
      <c r="N722" s="24"/>
      <c r="O722" s="25"/>
      <c r="P722" s="26"/>
      <c r="Q722" s="27"/>
      <c r="R722" s="28"/>
      <c r="S722" s="29"/>
      <c r="T722" s="30"/>
    </row>
    <row r="723" spans="1:20" ht="24" customHeight="1" x14ac:dyDescent="0.25">
      <c r="A723" t="str">
        <f>IF('e1'!A723&gt;0,HYPERLINK("#"&amp;ADDRESS(723,'e1'!A723),""),IF('r1'!A723&gt;0,HYPERLINK("#"&amp;ADDRESS(723,'r1'!A723),""),""))</f>
        <v/>
      </c>
      <c r="C723" s="13"/>
      <c r="D723" s="14"/>
      <c r="E723" s="15"/>
      <c r="F723" s="16"/>
      <c r="G723" s="17"/>
      <c r="H723" s="18"/>
      <c r="I723" s="19"/>
      <c r="J723" s="20"/>
      <c r="K723" s="21"/>
      <c r="L723" s="22"/>
      <c r="M723" s="23"/>
      <c r="N723" s="24"/>
      <c r="O723" s="25"/>
      <c r="P723" s="26"/>
      <c r="Q723" s="27"/>
      <c r="R723" s="28"/>
      <c r="S723" s="29"/>
      <c r="T723" s="30"/>
    </row>
    <row r="724" spans="1:20" ht="24" customHeight="1" x14ac:dyDescent="0.25">
      <c r="A724" t="str">
        <f>IF('e1'!A724&gt;0,HYPERLINK("#"&amp;ADDRESS(724,'e1'!A724),""),IF('r1'!A724&gt;0,HYPERLINK("#"&amp;ADDRESS(724,'r1'!A724),""),""))</f>
        <v/>
      </c>
      <c r="C724" s="13"/>
      <c r="D724" s="14"/>
      <c r="E724" s="15"/>
      <c r="F724" s="16"/>
      <c r="G724" s="17"/>
      <c r="H724" s="18"/>
      <c r="I724" s="19"/>
      <c r="J724" s="20"/>
      <c r="K724" s="21"/>
      <c r="L724" s="22"/>
      <c r="M724" s="23"/>
      <c r="N724" s="24"/>
      <c r="O724" s="25"/>
      <c r="P724" s="26"/>
      <c r="Q724" s="27"/>
      <c r="R724" s="28"/>
      <c r="S724" s="29"/>
      <c r="T724" s="30"/>
    </row>
    <row r="725" spans="1:20" ht="24" customHeight="1" x14ac:dyDescent="0.25">
      <c r="A725" t="str">
        <f>IF('e1'!A725&gt;0,HYPERLINK("#"&amp;ADDRESS(725,'e1'!A725),""),IF('r1'!A725&gt;0,HYPERLINK("#"&amp;ADDRESS(725,'r1'!A725),""),""))</f>
        <v/>
      </c>
      <c r="C725" s="13"/>
      <c r="D725" s="14"/>
      <c r="E725" s="15"/>
      <c r="F725" s="16"/>
      <c r="G725" s="17"/>
      <c r="H725" s="18"/>
      <c r="I725" s="19"/>
      <c r="J725" s="20"/>
      <c r="K725" s="21"/>
      <c r="L725" s="22"/>
      <c r="M725" s="23"/>
      <c r="N725" s="24"/>
      <c r="O725" s="25"/>
      <c r="P725" s="26"/>
      <c r="Q725" s="27"/>
      <c r="R725" s="28"/>
      <c r="S725" s="29"/>
      <c r="T725" s="30"/>
    </row>
    <row r="726" spans="1:20" ht="24" customHeight="1" x14ac:dyDescent="0.25">
      <c r="A726" t="str">
        <f>IF('e1'!A726&gt;0,HYPERLINK("#"&amp;ADDRESS(726,'e1'!A726),""),IF('r1'!A726&gt;0,HYPERLINK("#"&amp;ADDRESS(726,'r1'!A726),""),""))</f>
        <v/>
      </c>
      <c r="C726" s="13"/>
      <c r="D726" s="14"/>
      <c r="E726" s="15"/>
      <c r="F726" s="16"/>
      <c r="G726" s="17"/>
      <c r="H726" s="18"/>
      <c r="I726" s="19"/>
      <c r="J726" s="20"/>
      <c r="K726" s="21"/>
      <c r="L726" s="22"/>
      <c r="M726" s="23"/>
      <c r="N726" s="24"/>
      <c r="O726" s="25"/>
      <c r="P726" s="26"/>
      <c r="Q726" s="27"/>
      <c r="R726" s="28"/>
      <c r="S726" s="29"/>
      <c r="T726" s="30"/>
    </row>
    <row r="727" spans="1:20" ht="24" customHeight="1" x14ac:dyDescent="0.25">
      <c r="A727" t="str">
        <f>IF('e1'!A727&gt;0,HYPERLINK("#"&amp;ADDRESS(727,'e1'!A727),""),IF('r1'!A727&gt;0,HYPERLINK("#"&amp;ADDRESS(727,'r1'!A727),""),""))</f>
        <v/>
      </c>
      <c r="C727" s="13"/>
      <c r="D727" s="14"/>
      <c r="E727" s="15"/>
      <c r="F727" s="16"/>
      <c r="G727" s="17"/>
      <c r="H727" s="18"/>
      <c r="I727" s="19"/>
      <c r="J727" s="20"/>
      <c r="K727" s="21"/>
      <c r="L727" s="22"/>
      <c r="M727" s="23"/>
      <c r="N727" s="24"/>
      <c r="O727" s="25"/>
      <c r="P727" s="26"/>
      <c r="Q727" s="27"/>
      <c r="R727" s="28"/>
      <c r="S727" s="29"/>
      <c r="T727" s="30"/>
    </row>
    <row r="728" spans="1:20" ht="24" customHeight="1" x14ac:dyDescent="0.25">
      <c r="A728" t="str">
        <f>IF('e1'!A728&gt;0,HYPERLINK("#"&amp;ADDRESS(728,'e1'!A728),""),IF('r1'!A728&gt;0,HYPERLINK("#"&amp;ADDRESS(728,'r1'!A728),""),""))</f>
        <v/>
      </c>
      <c r="C728" s="13"/>
      <c r="D728" s="14"/>
      <c r="E728" s="15"/>
      <c r="F728" s="16"/>
      <c r="G728" s="17"/>
      <c r="H728" s="18"/>
      <c r="I728" s="19"/>
      <c r="J728" s="20"/>
      <c r="K728" s="21"/>
      <c r="L728" s="22"/>
      <c r="M728" s="23"/>
      <c r="N728" s="24"/>
      <c r="O728" s="25"/>
      <c r="P728" s="26"/>
      <c r="Q728" s="27"/>
      <c r="R728" s="28"/>
      <c r="S728" s="29"/>
      <c r="T728" s="30"/>
    </row>
    <row r="729" spans="1:20" ht="24" customHeight="1" x14ac:dyDescent="0.25">
      <c r="A729" t="str">
        <f>IF('e1'!A729&gt;0,HYPERLINK("#"&amp;ADDRESS(729,'e1'!A729),""),IF('r1'!A729&gt;0,HYPERLINK("#"&amp;ADDRESS(729,'r1'!A729),""),""))</f>
        <v/>
      </c>
      <c r="C729" s="13"/>
      <c r="D729" s="14"/>
      <c r="E729" s="15"/>
      <c r="F729" s="16"/>
      <c r="G729" s="17"/>
      <c r="H729" s="18"/>
      <c r="I729" s="19"/>
      <c r="J729" s="20"/>
      <c r="K729" s="21"/>
      <c r="L729" s="22"/>
      <c r="M729" s="23"/>
      <c r="N729" s="24"/>
      <c r="O729" s="25"/>
      <c r="P729" s="26"/>
      <c r="Q729" s="27"/>
      <c r="R729" s="28"/>
      <c r="S729" s="29"/>
      <c r="T729" s="30"/>
    </row>
    <row r="730" spans="1:20" ht="24" customHeight="1" x14ac:dyDescent="0.25">
      <c r="A730" t="str">
        <f>IF('e1'!A730&gt;0,HYPERLINK("#"&amp;ADDRESS(730,'e1'!A730),""),IF('r1'!A730&gt;0,HYPERLINK("#"&amp;ADDRESS(730,'r1'!A730),""),""))</f>
        <v/>
      </c>
      <c r="C730" s="13"/>
      <c r="D730" s="14"/>
      <c r="E730" s="15"/>
      <c r="F730" s="16"/>
      <c r="G730" s="17"/>
      <c r="H730" s="18"/>
      <c r="I730" s="19"/>
      <c r="J730" s="20"/>
      <c r="K730" s="21"/>
      <c r="L730" s="22"/>
      <c r="M730" s="23"/>
      <c r="N730" s="24"/>
      <c r="O730" s="25"/>
      <c r="P730" s="26"/>
      <c r="Q730" s="27"/>
      <c r="R730" s="28"/>
      <c r="S730" s="29"/>
      <c r="T730" s="30"/>
    </row>
    <row r="731" spans="1:20" ht="24" customHeight="1" x14ac:dyDescent="0.25">
      <c r="A731" t="str">
        <f>IF('e1'!A731&gt;0,HYPERLINK("#"&amp;ADDRESS(731,'e1'!A731),""),IF('r1'!A731&gt;0,HYPERLINK("#"&amp;ADDRESS(731,'r1'!A731),""),""))</f>
        <v/>
      </c>
      <c r="C731" s="13"/>
      <c r="D731" s="14"/>
      <c r="E731" s="15"/>
      <c r="F731" s="16"/>
      <c r="G731" s="17"/>
      <c r="H731" s="18"/>
      <c r="I731" s="19"/>
      <c r="J731" s="20"/>
      <c r="K731" s="21"/>
      <c r="L731" s="22"/>
      <c r="M731" s="23"/>
      <c r="N731" s="24"/>
      <c r="O731" s="25"/>
      <c r="P731" s="26"/>
      <c r="Q731" s="27"/>
      <c r="R731" s="28"/>
      <c r="S731" s="29"/>
      <c r="T731" s="30"/>
    </row>
    <row r="732" spans="1:20" ht="24" customHeight="1" x14ac:dyDescent="0.25">
      <c r="A732" t="str">
        <f>IF('e1'!A732&gt;0,HYPERLINK("#"&amp;ADDRESS(732,'e1'!A732),""),IF('r1'!A732&gt;0,HYPERLINK("#"&amp;ADDRESS(732,'r1'!A732),""),""))</f>
        <v/>
      </c>
      <c r="C732" s="13"/>
      <c r="D732" s="14"/>
      <c r="E732" s="15"/>
      <c r="F732" s="16"/>
      <c r="G732" s="17"/>
      <c r="H732" s="18"/>
      <c r="I732" s="19"/>
      <c r="J732" s="20"/>
      <c r="K732" s="21"/>
      <c r="L732" s="22"/>
      <c r="M732" s="23"/>
      <c r="N732" s="24"/>
      <c r="O732" s="25"/>
      <c r="P732" s="26"/>
      <c r="Q732" s="27"/>
      <c r="R732" s="28"/>
      <c r="S732" s="29"/>
      <c r="T732" s="30"/>
    </row>
    <row r="733" spans="1:20" ht="24" customHeight="1" x14ac:dyDescent="0.25">
      <c r="A733" t="str">
        <f>IF('e1'!A733&gt;0,HYPERLINK("#"&amp;ADDRESS(733,'e1'!A733),""),IF('r1'!A733&gt;0,HYPERLINK("#"&amp;ADDRESS(733,'r1'!A733),""),""))</f>
        <v/>
      </c>
      <c r="C733" s="13"/>
      <c r="D733" s="14"/>
      <c r="E733" s="15"/>
      <c r="F733" s="16"/>
      <c r="G733" s="17"/>
      <c r="H733" s="18"/>
      <c r="I733" s="19"/>
      <c r="J733" s="20"/>
      <c r="K733" s="21"/>
      <c r="L733" s="22"/>
      <c r="M733" s="23"/>
      <c r="N733" s="24"/>
      <c r="O733" s="25"/>
      <c r="P733" s="26"/>
      <c r="Q733" s="27"/>
      <c r="R733" s="28"/>
      <c r="S733" s="29"/>
      <c r="T733" s="30"/>
    </row>
    <row r="734" spans="1:20" ht="24" customHeight="1" x14ac:dyDescent="0.25">
      <c r="A734" t="str">
        <f>IF('e1'!A734&gt;0,HYPERLINK("#"&amp;ADDRESS(734,'e1'!A734),""),IF('r1'!A734&gt;0,HYPERLINK("#"&amp;ADDRESS(734,'r1'!A734),""),""))</f>
        <v/>
      </c>
      <c r="C734" s="13"/>
      <c r="D734" s="14"/>
      <c r="E734" s="15"/>
      <c r="F734" s="16"/>
      <c r="G734" s="17"/>
      <c r="H734" s="18"/>
      <c r="I734" s="19"/>
      <c r="J734" s="20"/>
      <c r="K734" s="21"/>
      <c r="L734" s="22"/>
      <c r="M734" s="23"/>
      <c r="N734" s="24"/>
      <c r="O734" s="25"/>
      <c r="P734" s="26"/>
      <c r="Q734" s="27"/>
      <c r="R734" s="28"/>
      <c r="S734" s="29"/>
      <c r="T734" s="30"/>
    </row>
    <row r="735" spans="1:20" ht="24" customHeight="1" x14ac:dyDescent="0.25">
      <c r="A735" t="str">
        <f>IF('e1'!A735&gt;0,HYPERLINK("#"&amp;ADDRESS(735,'e1'!A735),""),IF('r1'!A735&gt;0,HYPERLINK("#"&amp;ADDRESS(735,'r1'!A735),""),""))</f>
        <v/>
      </c>
      <c r="C735" s="13"/>
      <c r="D735" s="14"/>
      <c r="E735" s="15"/>
      <c r="F735" s="16"/>
      <c r="G735" s="17"/>
      <c r="H735" s="18"/>
      <c r="I735" s="19"/>
      <c r="J735" s="20"/>
      <c r="K735" s="21"/>
      <c r="L735" s="22"/>
      <c r="M735" s="23"/>
      <c r="N735" s="24"/>
      <c r="O735" s="25"/>
      <c r="P735" s="26"/>
      <c r="Q735" s="27"/>
      <c r="R735" s="28"/>
      <c r="S735" s="29"/>
      <c r="T735" s="30"/>
    </row>
    <row r="736" spans="1:20" ht="24" customHeight="1" x14ac:dyDescent="0.25">
      <c r="A736" t="str">
        <f>IF('e1'!A736&gt;0,HYPERLINK("#"&amp;ADDRESS(736,'e1'!A736),""),IF('r1'!A736&gt;0,HYPERLINK("#"&amp;ADDRESS(736,'r1'!A736),""),""))</f>
        <v/>
      </c>
      <c r="C736" s="13"/>
      <c r="D736" s="14"/>
      <c r="E736" s="15"/>
      <c r="F736" s="16"/>
      <c r="G736" s="17"/>
      <c r="H736" s="18"/>
      <c r="I736" s="19"/>
      <c r="J736" s="20"/>
      <c r="K736" s="21"/>
      <c r="L736" s="22"/>
      <c r="M736" s="23"/>
      <c r="N736" s="24"/>
      <c r="O736" s="25"/>
      <c r="P736" s="26"/>
      <c r="Q736" s="27"/>
      <c r="R736" s="28"/>
      <c r="S736" s="29"/>
      <c r="T736" s="30"/>
    </row>
    <row r="737" spans="1:20" ht="24" customHeight="1" x14ac:dyDescent="0.25">
      <c r="A737" t="str">
        <f>IF('e1'!A737&gt;0,HYPERLINK("#"&amp;ADDRESS(737,'e1'!A737),""),IF('r1'!A737&gt;0,HYPERLINK("#"&amp;ADDRESS(737,'r1'!A737),""),""))</f>
        <v/>
      </c>
      <c r="C737" s="13"/>
      <c r="D737" s="14"/>
      <c r="E737" s="15"/>
      <c r="F737" s="16"/>
      <c r="G737" s="17"/>
      <c r="H737" s="18"/>
      <c r="I737" s="19"/>
      <c r="J737" s="20"/>
      <c r="K737" s="21"/>
      <c r="L737" s="22"/>
      <c r="M737" s="23"/>
      <c r="N737" s="24"/>
      <c r="O737" s="25"/>
      <c r="P737" s="26"/>
      <c r="Q737" s="27"/>
      <c r="R737" s="28"/>
      <c r="S737" s="29"/>
      <c r="T737" s="30"/>
    </row>
    <row r="738" spans="1:20" ht="24" customHeight="1" x14ac:dyDescent="0.25">
      <c r="A738" t="str">
        <f>IF('e1'!A738&gt;0,HYPERLINK("#"&amp;ADDRESS(738,'e1'!A738),""),IF('r1'!A738&gt;0,HYPERLINK("#"&amp;ADDRESS(738,'r1'!A738),""),""))</f>
        <v/>
      </c>
      <c r="C738" s="13"/>
      <c r="D738" s="14"/>
      <c r="E738" s="15"/>
      <c r="F738" s="16"/>
      <c r="G738" s="17"/>
      <c r="H738" s="18"/>
      <c r="I738" s="19"/>
      <c r="J738" s="20"/>
      <c r="K738" s="21"/>
      <c r="L738" s="22"/>
      <c r="M738" s="23"/>
      <c r="N738" s="24"/>
      <c r="O738" s="25"/>
      <c r="P738" s="26"/>
      <c r="Q738" s="27"/>
      <c r="R738" s="28"/>
      <c r="S738" s="29"/>
      <c r="T738" s="30"/>
    </row>
    <row r="739" spans="1:20" ht="24" customHeight="1" x14ac:dyDescent="0.25">
      <c r="A739" t="str">
        <f>IF('e1'!A739&gt;0,HYPERLINK("#"&amp;ADDRESS(739,'e1'!A739),""),IF('r1'!A739&gt;0,HYPERLINK("#"&amp;ADDRESS(739,'r1'!A739),""),""))</f>
        <v/>
      </c>
      <c r="C739" s="13"/>
      <c r="D739" s="14"/>
      <c r="E739" s="15"/>
      <c r="F739" s="16"/>
      <c r="G739" s="17"/>
      <c r="H739" s="18"/>
      <c r="I739" s="19"/>
      <c r="J739" s="20"/>
      <c r="K739" s="21"/>
      <c r="L739" s="22"/>
      <c r="M739" s="23"/>
      <c r="N739" s="24"/>
      <c r="O739" s="25"/>
      <c r="P739" s="26"/>
      <c r="Q739" s="27"/>
      <c r="R739" s="28"/>
      <c r="S739" s="29"/>
      <c r="T739" s="30"/>
    </row>
    <row r="740" spans="1:20" ht="24" customHeight="1" x14ac:dyDescent="0.25">
      <c r="A740" t="str">
        <f>IF('e1'!A740&gt;0,HYPERLINK("#"&amp;ADDRESS(740,'e1'!A740),""),IF('r1'!A740&gt;0,HYPERLINK("#"&amp;ADDRESS(740,'r1'!A740),""),""))</f>
        <v/>
      </c>
      <c r="C740" s="13"/>
      <c r="D740" s="14"/>
      <c r="E740" s="15"/>
      <c r="F740" s="16"/>
      <c r="G740" s="17"/>
      <c r="H740" s="18"/>
      <c r="I740" s="19"/>
      <c r="J740" s="20"/>
      <c r="K740" s="21"/>
      <c r="L740" s="22"/>
      <c r="M740" s="23"/>
      <c r="N740" s="24"/>
      <c r="O740" s="25"/>
      <c r="P740" s="26"/>
      <c r="Q740" s="27"/>
      <c r="R740" s="28"/>
      <c r="S740" s="29"/>
      <c r="T740" s="30"/>
    </row>
    <row r="741" spans="1:20" ht="24" customHeight="1" x14ac:dyDescent="0.25">
      <c r="A741" t="str">
        <f>IF('e1'!A741&gt;0,HYPERLINK("#"&amp;ADDRESS(741,'e1'!A741),""),IF('r1'!A741&gt;0,HYPERLINK("#"&amp;ADDRESS(741,'r1'!A741),""),""))</f>
        <v/>
      </c>
      <c r="C741" s="13"/>
      <c r="D741" s="14"/>
      <c r="E741" s="15"/>
      <c r="F741" s="16"/>
      <c r="G741" s="17"/>
      <c r="H741" s="18"/>
      <c r="I741" s="19"/>
      <c r="J741" s="20"/>
      <c r="K741" s="21"/>
      <c r="L741" s="22"/>
      <c r="M741" s="23"/>
      <c r="N741" s="24"/>
      <c r="O741" s="25"/>
      <c r="P741" s="26"/>
      <c r="Q741" s="27"/>
      <c r="R741" s="28"/>
      <c r="S741" s="29"/>
      <c r="T741" s="30"/>
    </row>
    <row r="742" spans="1:20" ht="24" customHeight="1" x14ac:dyDescent="0.25">
      <c r="A742" t="str">
        <f>IF('e1'!A742&gt;0,HYPERLINK("#"&amp;ADDRESS(742,'e1'!A742),""),IF('r1'!A742&gt;0,HYPERLINK("#"&amp;ADDRESS(742,'r1'!A742),""),""))</f>
        <v/>
      </c>
      <c r="C742" s="13"/>
      <c r="D742" s="14"/>
      <c r="E742" s="15"/>
      <c r="F742" s="16"/>
      <c r="G742" s="17"/>
      <c r="H742" s="18"/>
      <c r="I742" s="19"/>
      <c r="J742" s="20"/>
      <c r="K742" s="21"/>
      <c r="L742" s="22"/>
      <c r="M742" s="23"/>
      <c r="N742" s="24"/>
      <c r="O742" s="25"/>
      <c r="P742" s="26"/>
      <c r="Q742" s="27"/>
      <c r="R742" s="28"/>
      <c r="S742" s="29"/>
      <c r="T742" s="30"/>
    </row>
    <row r="743" spans="1:20" ht="24" customHeight="1" x14ac:dyDescent="0.25">
      <c r="A743" t="str">
        <f>IF('e1'!A743&gt;0,HYPERLINK("#"&amp;ADDRESS(743,'e1'!A743),""),IF('r1'!A743&gt;0,HYPERLINK("#"&amp;ADDRESS(743,'r1'!A743),""),""))</f>
        <v/>
      </c>
      <c r="C743" s="13"/>
      <c r="D743" s="14"/>
      <c r="E743" s="15"/>
      <c r="F743" s="16"/>
      <c r="G743" s="17"/>
      <c r="H743" s="18"/>
      <c r="I743" s="19"/>
      <c r="J743" s="20"/>
      <c r="K743" s="21"/>
      <c r="L743" s="22"/>
      <c r="M743" s="23"/>
      <c r="N743" s="24"/>
      <c r="O743" s="25"/>
      <c r="P743" s="26"/>
      <c r="Q743" s="27"/>
      <c r="R743" s="28"/>
      <c r="S743" s="29"/>
      <c r="T743" s="30"/>
    </row>
    <row r="744" spans="1:20" ht="24" customHeight="1" x14ac:dyDescent="0.25">
      <c r="A744" t="str">
        <f>IF('e1'!A744&gt;0,HYPERLINK("#"&amp;ADDRESS(744,'e1'!A744),""),IF('r1'!A744&gt;0,HYPERLINK("#"&amp;ADDRESS(744,'r1'!A744),""),""))</f>
        <v/>
      </c>
      <c r="C744" s="13"/>
      <c r="D744" s="14"/>
      <c r="E744" s="15"/>
      <c r="F744" s="16"/>
      <c r="G744" s="17"/>
      <c r="H744" s="18"/>
      <c r="I744" s="19"/>
      <c r="J744" s="20"/>
      <c r="K744" s="21"/>
      <c r="L744" s="22"/>
      <c r="M744" s="23"/>
      <c r="N744" s="24"/>
      <c r="O744" s="25"/>
      <c r="P744" s="26"/>
      <c r="Q744" s="27"/>
      <c r="R744" s="28"/>
      <c r="S744" s="29"/>
      <c r="T744" s="30"/>
    </row>
    <row r="745" spans="1:20" ht="24" customHeight="1" x14ac:dyDescent="0.25">
      <c r="A745" t="str">
        <f>IF('e1'!A745&gt;0,HYPERLINK("#"&amp;ADDRESS(745,'e1'!A745),""),IF('r1'!A745&gt;0,HYPERLINK("#"&amp;ADDRESS(745,'r1'!A745),""),""))</f>
        <v/>
      </c>
      <c r="C745" s="13"/>
      <c r="D745" s="14"/>
      <c r="E745" s="15"/>
      <c r="F745" s="16"/>
      <c r="G745" s="17"/>
      <c r="H745" s="18"/>
      <c r="I745" s="19"/>
      <c r="J745" s="20"/>
      <c r="K745" s="21"/>
      <c r="L745" s="22"/>
      <c r="M745" s="23"/>
      <c r="N745" s="24"/>
      <c r="O745" s="25"/>
      <c r="P745" s="26"/>
      <c r="Q745" s="27"/>
      <c r="R745" s="28"/>
      <c r="S745" s="29"/>
      <c r="T745" s="30"/>
    </row>
    <row r="746" spans="1:20" ht="24" customHeight="1" x14ac:dyDescent="0.25">
      <c r="A746" t="str">
        <f>IF('e1'!A746&gt;0,HYPERLINK("#"&amp;ADDRESS(746,'e1'!A746),""),IF('r1'!A746&gt;0,HYPERLINK("#"&amp;ADDRESS(746,'r1'!A746),""),""))</f>
        <v/>
      </c>
      <c r="C746" s="13"/>
      <c r="D746" s="14"/>
      <c r="E746" s="15"/>
      <c r="F746" s="16"/>
      <c r="G746" s="17"/>
      <c r="H746" s="18"/>
      <c r="I746" s="19"/>
      <c r="J746" s="20"/>
      <c r="K746" s="21"/>
      <c r="L746" s="22"/>
      <c r="M746" s="23"/>
      <c r="N746" s="24"/>
      <c r="O746" s="25"/>
      <c r="P746" s="26"/>
      <c r="Q746" s="27"/>
      <c r="R746" s="28"/>
      <c r="S746" s="29"/>
      <c r="T746" s="30"/>
    </row>
    <row r="747" spans="1:20" ht="24" customHeight="1" x14ac:dyDescent="0.25">
      <c r="A747" t="str">
        <f>IF('e1'!A747&gt;0,HYPERLINK("#"&amp;ADDRESS(747,'e1'!A747),""),IF('r1'!A747&gt;0,HYPERLINK("#"&amp;ADDRESS(747,'r1'!A747),""),""))</f>
        <v/>
      </c>
      <c r="C747" s="13"/>
      <c r="D747" s="14"/>
      <c r="E747" s="15"/>
      <c r="F747" s="16"/>
      <c r="G747" s="17"/>
      <c r="H747" s="18"/>
      <c r="I747" s="19"/>
      <c r="J747" s="20"/>
      <c r="K747" s="21"/>
      <c r="L747" s="22"/>
      <c r="M747" s="23"/>
      <c r="N747" s="24"/>
      <c r="O747" s="25"/>
      <c r="P747" s="26"/>
      <c r="Q747" s="27"/>
      <c r="R747" s="28"/>
      <c r="S747" s="29"/>
      <c r="T747" s="30"/>
    </row>
    <row r="748" spans="1:20" ht="24" customHeight="1" x14ac:dyDescent="0.25">
      <c r="A748" t="str">
        <f>IF('e1'!A748&gt;0,HYPERLINK("#"&amp;ADDRESS(748,'e1'!A748),""),IF('r1'!A748&gt;0,HYPERLINK("#"&amp;ADDRESS(748,'r1'!A748),""),""))</f>
        <v/>
      </c>
      <c r="C748" s="13"/>
      <c r="D748" s="14"/>
      <c r="E748" s="15"/>
      <c r="F748" s="16"/>
      <c r="G748" s="17"/>
      <c r="H748" s="18"/>
      <c r="I748" s="19"/>
      <c r="J748" s="20"/>
      <c r="K748" s="21"/>
      <c r="L748" s="22"/>
      <c r="M748" s="23"/>
      <c r="N748" s="24"/>
      <c r="O748" s="25"/>
      <c r="P748" s="26"/>
      <c r="Q748" s="27"/>
      <c r="R748" s="28"/>
      <c r="S748" s="29"/>
      <c r="T748" s="30"/>
    </row>
    <row r="749" spans="1:20" ht="24" customHeight="1" x14ac:dyDescent="0.25">
      <c r="A749" t="str">
        <f>IF('e1'!A749&gt;0,HYPERLINK("#"&amp;ADDRESS(749,'e1'!A749),""),IF('r1'!A749&gt;0,HYPERLINK("#"&amp;ADDRESS(749,'r1'!A749),""),""))</f>
        <v/>
      </c>
      <c r="C749" s="13"/>
      <c r="D749" s="14"/>
      <c r="E749" s="15"/>
      <c r="F749" s="16"/>
      <c r="G749" s="17"/>
      <c r="H749" s="18"/>
      <c r="I749" s="19"/>
      <c r="J749" s="20"/>
      <c r="K749" s="21"/>
      <c r="L749" s="22"/>
      <c r="M749" s="23"/>
      <c r="N749" s="24"/>
      <c r="O749" s="25"/>
      <c r="P749" s="26"/>
      <c r="Q749" s="27"/>
      <c r="R749" s="28"/>
      <c r="S749" s="29"/>
      <c r="T749" s="30"/>
    </row>
    <row r="750" spans="1:20" ht="24" customHeight="1" x14ac:dyDescent="0.25">
      <c r="A750" t="str">
        <f>IF('e1'!A750&gt;0,HYPERLINK("#"&amp;ADDRESS(750,'e1'!A750),""),IF('r1'!A750&gt;0,HYPERLINK("#"&amp;ADDRESS(750,'r1'!A750),""),""))</f>
        <v/>
      </c>
      <c r="C750" s="13"/>
      <c r="D750" s="14"/>
      <c r="E750" s="15"/>
      <c r="F750" s="16"/>
      <c r="G750" s="17"/>
      <c r="H750" s="18"/>
      <c r="I750" s="19"/>
      <c r="J750" s="20"/>
      <c r="K750" s="21"/>
      <c r="L750" s="22"/>
      <c r="M750" s="23"/>
      <c r="N750" s="24"/>
      <c r="O750" s="25"/>
      <c r="P750" s="26"/>
      <c r="Q750" s="27"/>
      <c r="R750" s="28"/>
      <c r="S750" s="29"/>
      <c r="T750" s="30"/>
    </row>
    <row r="751" spans="1:20" ht="24" customHeight="1" x14ac:dyDescent="0.25">
      <c r="A751" t="str">
        <f>IF('e1'!A751&gt;0,HYPERLINK("#"&amp;ADDRESS(751,'e1'!A751),""),IF('r1'!A751&gt;0,HYPERLINK("#"&amp;ADDRESS(751,'r1'!A751),""),""))</f>
        <v/>
      </c>
      <c r="C751" s="13"/>
      <c r="D751" s="14"/>
      <c r="E751" s="15"/>
      <c r="F751" s="16"/>
      <c r="G751" s="17"/>
      <c r="H751" s="18"/>
      <c r="I751" s="19"/>
      <c r="J751" s="20"/>
      <c r="K751" s="21"/>
      <c r="L751" s="22"/>
      <c r="M751" s="23"/>
      <c r="N751" s="24"/>
      <c r="O751" s="25"/>
      <c r="P751" s="26"/>
      <c r="Q751" s="27"/>
      <c r="R751" s="28"/>
      <c r="S751" s="29"/>
      <c r="T751" s="30"/>
    </row>
    <row r="752" spans="1:20" ht="24" customHeight="1" x14ac:dyDescent="0.25">
      <c r="A752" t="str">
        <f>IF('e1'!A752&gt;0,HYPERLINK("#"&amp;ADDRESS(752,'e1'!A752),""),IF('r1'!A752&gt;0,HYPERLINK("#"&amp;ADDRESS(752,'r1'!A752),""),""))</f>
        <v/>
      </c>
      <c r="C752" s="13"/>
      <c r="D752" s="14"/>
      <c r="E752" s="15"/>
      <c r="F752" s="16"/>
      <c r="G752" s="17"/>
      <c r="H752" s="18"/>
      <c r="I752" s="19"/>
      <c r="J752" s="20"/>
      <c r="K752" s="21"/>
      <c r="L752" s="22"/>
      <c r="M752" s="23"/>
      <c r="N752" s="24"/>
      <c r="O752" s="25"/>
      <c r="P752" s="26"/>
      <c r="Q752" s="27"/>
      <c r="R752" s="28"/>
      <c r="S752" s="29"/>
      <c r="T752" s="30"/>
    </row>
    <row r="753" spans="1:20" ht="24" customHeight="1" x14ac:dyDescent="0.25">
      <c r="A753" t="str">
        <f>IF('e1'!A753&gt;0,HYPERLINK("#"&amp;ADDRESS(753,'e1'!A753),""),IF('r1'!A753&gt;0,HYPERLINK("#"&amp;ADDRESS(753,'r1'!A753),""),""))</f>
        <v/>
      </c>
      <c r="C753" s="13"/>
      <c r="D753" s="14"/>
      <c r="E753" s="15"/>
      <c r="F753" s="16"/>
      <c r="G753" s="17"/>
      <c r="H753" s="18"/>
      <c r="I753" s="19"/>
      <c r="J753" s="20"/>
      <c r="K753" s="21"/>
      <c r="L753" s="22"/>
      <c r="M753" s="23"/>
      <c r="N753" s="24"/>
      <c r="O753" s="25"/>
      <c r="P753" s="26"/>
      <c r="Q753" s="27"/>
      <c r="R753" s="28"/>
      <c r="S753" s="29"/>
      <c r="T753" s="30"/>
    </row>
    <row r="754" spans="1:20" ht="24" customHeight="1" x14ac:dyDescent="0.25">
      <c r="A754" t="str">
        <f>IF('e1'!A754&gt;0,HYPERLINK("#"&amp;ADDRESS(754,'e1'!A754),""),IF('r1'!A754&gt;0,HYPERLINK("#"&amp;ADDRESS(754,'r1'!A754),""),""))</f>
        <v/>
      </c>
      <c r="C754" s="13"/>
      <c r="D754" s="14"/>
      <c r="E754" s="15"/>
      <c r="F754" s="16"/>
      <c r="G754" s="17"/>
      <c r="H754" s="18"/>
      <c r="I754" s="19"/>
      <c r="J754" s="20"/>
      <c r="K754" s="21"/>
      <c r="L754" s="22"/>
      <c r="M754" s="23"/>
      <c r="N754" s="24"/>
      <c r="O754" s="25"/>
      <c r="P754" s="26"/>
      <c r="Q754" s="27"/>
      <c r="R754" s="28"/>
      <c r="S754" s="29"/>
      <c r="T754" s="30"/>
    </row>
    <row r="755" spans="1:20" ht="24" customHeight="1" x14ac:dyDescent="0.25">
      <c r="A755" t="str">
        <f>IF('e1'!A755&gt;0,HYPERLINK("#"&amp;ADDRESS(755,'e1'!A755),""),IF('r1'!A755&gt;0,HYPERLINK("#"&amp;ADDRESS(755,'r1'!A755),""),""))</f>
        <v/>
      </c>
      <c r="C755" s="13"/>
      <c r="D755" s="14"/>
      <c r="E755" s="15"/>
      <c r="F755" s="16"/>
      <c r="G755" s="17"/>
      <c r="H755" s="18"/>
      <c r="I755" s="19"/>
      <c r="J755" s="20"/>
      <c r="K755" s="21"/>
      <c r="L755" s="22"/>
      <c r="M755" s="23"/>
      <c r="N755" s="24"/>
      <c r="O755" s="25"/>
      <c r="P755" s="26"/>
      <c r="Q755" s="27"/>
      <c r="R755" s="28"/>
      <c r="S755" s="29"/>
      <c r="T755" s="30"/>
    </row>
    <row r="756" spans="1:20" ht="24" customHeight="1" x14ac:dyDescent="0.25">
      <c r="A756" t="str">
        <f>IF('e1'!A756&gt;0,HYPERLINK("#"&amp;ADDRESS(756,'e1'!A756),""),IF('r1'!A756&gt;0,HYPERLINK("#"&amp;ADDRESS(756,'r1'!A756),""),""))</f>
        <v/>
      </c>
      <c r="C756" s="13"/>
      <c r="D756" s="14"/>
      <c r="E756" s="15"/>
      <c r="F756" s="16"/>
      <c r="G756" s="17"/>
      <c r="H756" s="18"/>
      <c r="I756" s="19"/>
      <c r="J756" s="20"/>
      <c r="K756" s="21"/>
      <c r="L756" s="22"/>
      <c r="M756" s="23"/>
      <c r="N756" s="24"/>
      <c r="O756" s="25"/>
      <c r="P756" s="26"/>
      <c r="Q756" s="27"/>
      <c r="R756" s="28"/>
      <c r="S756" s="29"/>
      <c r="T756" s="30"/>
    </row>
    <row r="757" spans="1:20" ht="24" customHeight="1" x14ac:dyDescent="0.25">
      <c r="A757" t="str">
        <f>IF('e1'!A757&gt;0,HYPERLINK("#"&amp;ADDRESS(757,'e1'!A757),""),IF('r1'!A757&gt;0,HYPERLINK("#"&amp;ADDRESS(757,'r1'!A757),""),""))</f>
        <v/>
      </c>
      <c r="C757" s="13"/>
      <c r="D757" s="14"/>
      <c r="E757" s="15"/>
      <c r="F757" s="16"/>
      <c r="G757" s="17"/>
      <c r="H757" s="18"/>
      <c r="I757" s="19"/>
      <c r="J757" s="20"/>
      <c r="K757" s="21"/>
      <c r="L757" s="22"/>
      <c r="M757" s="23"/>
      <c r="N757" s="24"/>
      <c r="O757" s="25"/>
      <c r="P757" s="26"/>
      <c r="Q757" s="27"/>
      <c r="R757" s="28"/>
      <c r="S757" s="29"/>
      <c r="T757" s="30"/>
    </row>
    <row r="758" spans="1:20" ht="24" customHeight="1" x14ac:dyDescent="0.25">
      <c r="A758" t="str">
        <f>IF('e1'!A758&gt;0,HYPERLINK("#"&amp;ADDRESS(758,'e1'!A758),""),IF('r1'!A758&gt;0,HYPERLINK("#"&amp;ADDRESS(758,'r1'!A758),""),""))</f>
        <v/>
      </c>
      <c r="C758" s="13"/>
      <c r="D758" s="14"/>
      <c r="E758" s="15"/>
      <c r="F758" s="16"/>
      <c r="G758" s="17"/>
      <c r="H758" s="18"/>
      <c r="I758" s="19"/>
      <c r="J758" s="20"/>
      <c r="K758" s="21"/>
      <c r="L758" s="22"/>
      <c r="M758" s="23"/>
      <c r="N758" s="24"/>
      <c r="O758" s="25"/>
      <c r="P758" s="26"/>
      <c r="Q758" s="27"/>
      <c r="R758" s="28"/>
      <c r="S758" s="29"/>
      <c r="T758" s="30"/>
    </row>
    <row r="759" spans="1:20" ht="24" customHeight="1" x14ac:dyDescent="0.25">
      <c r="A759" t="str">
        <f>IF('e1'!A759&gt;0,HYPERLINK("#"&amp;ADDRESS(759,'e1'!A759),""),IF('r1'!A759&gt;0,HYPERLINK("#"&amp;ADDRESS(759,'r1'!A759),""),""))</f>
        <v/>
      </c>
      <c r="C759" s="13"/>
      <c r="D759" s="14"/>
      <c r="E759" s="15"/>
      <c r="F759" s="16"/>
      <c r="G759" s="17"/>
      <c r="H759" s="18"/>
      <c r="I759" s="19"/>
      <c r="J759" s="20"/>
      <c r="K759" s="21"/>
      <c r="L759" s="22"/>
      <c r="M759" s="23"/>
      <c r="N759" s="24"/>
      <c r="O759" s="25"/>
      <c r="P759" s="26"/>
      <c r="Q759" s="27"/>
      <c r="R759" s="28"/>
      <c r="S759" s="29"/>
      <c r="T759" s="30"/>
    </row>
    <row r="760" spans="1:20" ht="24" customHeight="1" x14ac:dyDescent="0.25">
      <c r="A760" t="str">
        <f>IF('e1'!A760&gt;0,HYPERLINK("#"&amp;ADDRESS(760,'e1'!A760),""),IF('r1'!A760&gt;0,HYPERLINK("#"&amp;ADDRESS(760,'r1'!A760),""),""))</f>
        <v/>
      </c>
      <c r="C760" s="13"/>
      <c r="D760" s="14"/>
      <c r="E760" s="15"/>
      <c r="F760" s="16"/>
      <c r="G760" s="17"/>
      <c r="H760" s="18"/>
      <c r="I760" s="19"/>
      <c r="J760" s="20"/>
      <c r="K760" s="21"/>
      <c r="L760" s="22"/>
      <c r="M760" s="23"/>
      <c r="N760" s="24"/>
      <c r="O760" s="25"/>
      <c r="P760" s="26"/>
      <c r="Q760" s="27"/>
      <c r="R760" s="28"/>
      <c r="S760" s="29"/>
      <c r="T760" s="30"/>
    </row>
    <row r="761" spans="1:20" ht="24" customHeight="1" x14ac:dyDescent="0.25">
      <c r="A761" t="str">
        <f>IF('e1'!A761&gt;0,HYPERLINK("#"&amp;ADDRESS(761,'e1'!A761),""),IF('r1'!A761&gt;0,HYPERLINK("#"&amp;ADDRESS(761,'r1'!A761),""),""))</f>
        <v/>
      </c>
      <c r="C761" s="13"/>
      <c r="D761" s="14"/>
      <c r="E761" s="15"/>
      <c r="F761" s="16"/>
      <c r="G761" s="17"/>
      <c r="H761" s="18"/>
      <c r="I761" s="19"/>
      <c r="J761" s="20"/>
      <c r="K761" s="21"/>
      <c r="L761" s="22"/>
      <c r="M761" s="23"/>
      <c r="N761" s="24"/>
      <c r="O761" s="25"/>
      <c r="P761" s="26"/>
      <c r="Q761" s="27"/>
      <c r="R761" s="28"/>
      <c r="S761" s="29"/>
      <c r="T761" s="30"/>
    </row>
    <row r="762" spans="1:20" ht="24" customHeight="1" x14ac:dyDescent="0.25">
      <c r="A762" t="str">
        <f>IF('e1'!A762&gt;0,HYPERLINK("#"&amp;ADDRESS(762,'e1'!A762),""),IF('r1'!A762&gt;0,HYPERLINK("#"&amp;ADDRESS(762,'r1'!A762),""),""))</f>
        <v/>
      </c>
      <c r="C762" s="13"/>
      <c r="D762" s="14"/>
      <c r="E762" s="15"/>
      <c r="F762" s="16"/>
      <c r="G762" s="17"/>
      <c r="H762" s="18"/>
      <c r="I762" s="19"/>
      <c r="J762" s="20"/>
      <c r="K762" s="21"/>
      <c r="L762" s="22"/>
      <c r="M762" s="23"/>
      <c r="N762" s="24"/>
      <c r="O762" s="25"/>
      <c r="P762" s="26"/>
      <c r="Q762" s="27"/>
      <c r="R762" s="28"/>
      <c r="S762" s="29"/>
      <c r="T762" s="30"/>
    </row>
    <row r="763" spans="1:20" ht="24" customHeight="1" x14ac:dyDescent="0.25">
      <c r="A763" t="str">
        <f>IF('e1'!A763&gt;0,HYPERLINK("#"&amp;ADDRESS(763,'e1'!A763),""),IF('r1'!A763&gt;0,HYPERLINK("#"&amp;ADDRESS(763,'r1'!A763),""),""))</f>
        <v/>
      </c>
      <c r="C763" s="13"/>
      <c r="D763" s="14"/>
      <c r="E763" s="15"/>
      <c r="F763" s="16"/>
      <c r="G763" s="17"/>
      <c r="H763" s="18"/>
      <c r="I763" s="19"/>
      <c r="J763" s="20"/>
      <c r="K763" s="21"/>
      <c r="L763" s="22"/>
      <c r="M763" s="23"/>
      <c r="N763" s="24"/>
      <c r="O763" s="25"/>
      <c r="P763" s="26"/>
      <c r="Q763" s="27"/>
      <c r="R763" s="28"/>
      <c r="S763" s="29"/>
      <c r="T763" s="30"/>
    </row>
    <row r="764" spans="1:20" ht="24" customHeight="1" x14ac:dyDescent="0.25">
      <c r="A764" t="str">
        <f>IF('e1'!A764&gt;0,HYPERLINK("#"&amp;ADDRESS(764,'e1'!A764),""),IF('r1'!A764&gt;0,HYPERLINK("#"&amp;ADDRESS(764,'r1'!A764),""),""))</f>
        <v/>
      </c>
      <c r="C764" s="13"/>
      <c r="D764" s="14"/>
      <c r="E764" s="15"/>
      <c r="F764" s="16"/>
      <c r="G764" s="17"/>
      <c r="H764" s="18"/>
      <c r="I764" s="19"/>
      <c r="J764" s="20"/>
      <c r="K764" s="21"/>
      <c r="L764" s="22"/>
      <c r="M764" s="23"/>
      <c r="N764" s="24"/>
      <c r="O764" s="25"/>
      <c r="P764" s="26"/>
      <c r="Q764" s="27"/>
      <c r="R764" s="28"/>
      <c r="S764" s="29"/>
      <c r="T764" s="30"/>
    </row>
    <row r="765" spans="1:20" ht="24" customHeight="1" x14ac:dyDescent="0.25">
      <c r="A765" t="str">
        <f>IF('e1'!A765&gt;0,HYPERLINK("#"&amp;ADDRESS(765,'e1'!A765),""),IF('r1'!A765&gt;0,HYPERLINK("#"&amp;ADDRESS(765,'r1'!A765),""),""))</f>
        <v/>
      </c>
      <c r="C765" s="13"/>
      <c r="D765" s="14"/>
      <c r="E765" s="15"/>
      <c r="F765" s="16"/>
      <c r="G765" s="17"/>
      <c r="H765" s="18"/>
      <c r="I765" s="19"/>
      <c r="J765" s="20"/>
      <c r="K765" s="21"/>
      <c r="L765" s="22"/>
      <c r="M765" s="23"/>
      <c r="N765" s="24"/>
      <c r="O765" s="25"/>
      <c r="P765" s="26"/>
      <c r="Q765" s="27"/>
      <c r="R765" s="28"/>
      <c r="S765" s="29"/>
      <c r="T765" s="30"/>
    </row>
    <row r="766" spans="1:20" ht="24" customHeight="1" x14ac:dyDescent="0.25">
      <c r="A766" t="str">
        <f>IF('e1'!A766&gt;0,HYPERLINK("#"&amp;ADDRESS(766,'e1'!A766),""),IF('r1'!A766&gt;0,HYPERLINK("#"&amp;ADDRESS(766,'r1'!A766),""),""))</f>
        <v/>
      </c>
      <c r="C766" s="13"/>
      <c r="D766" s="14"/>
      <c r="E766" s="15"/>
      <c r="F766" s="16"/>
      <c r="G766" s="17"/>
      <c r="H766" s="18"/>
      <c r="I766" s="19"/>
      <c r="J766" s="20"/>
      <c r="K766" s="21"/>
      <c r="L766" s="22"/>
      <c r="M766" s="23"/>
      <c r="N766" s="24"/>
      <c r="O766" s="25"/>
      <c r="P766" s="26"/>
      <c r="Q766" s="27"/>
      <c r="R766" s="28"/>
      <c r="S766" s="29"/>
      <c r="T766" s="30"/>
    </row>
    <row r="767" spans="1:20" ht="24" customHeight="1" x14ac:dyDescent="0.25">
      <c r="A767" t="str">
        <f>IF('e1'!A767&gt;0,HYPERLINK("#"&amp;ADDRESS(767,'e1'!A767),""),IF('r1'!A767&gt;0,HYPERLINK("#"&amp;ADDRESS(767,'r1'!A767),""),""))</f>
        <v/>
      </c>
      <c r="C767" s="13"/>
      <c r="D767" s="14"/>
      <c r="E767" s="15"/>
      <c r="F767" s="16"/>
      <c r="G767" s="17"/>
      <c r="H767" s="18"/>
      <c r="I767" s="19"/>
      <c r="J767" s="20"/>
      <c r="K767" s="21"/>
      <c r="L767" s="22"/>
      <c r="M767" s="23"/>
      <c r="N767" s="24"/>
      <c r="O767" s="25"/>
      <c r="P767" s="26"/>
      <c r="Q767" s="27"/>
      <c r="R767" s="28"/>
      <c r="S767" s="29"/>
      <c r="T767" s="30"/>
    </row>
    <row r="768" spans="1:20" ht="24" customHeight="1" x14ac:dyDescent="0.25">
      <c r="A768" t="str">
        <f>IF('e1'!A768&gt;0,HYPERLINK("#"&amp;ADDRESS(768,'e1'!A768),""),IF('r1'!A768&gt;0,HYPERLINK("#"&amp;ADDRESS(768,'r1'!A768),""),""))</f>
        <v/>
      </c>
      <c r="C768" s="13"/>
      <c r="D768" s="14"/>
      <c r="E768" s="15"/>
      <c r="F768" s="16"/>
      <c r="G768" s="17"/>
      <c r="H768" s="18"/>
      <c r="I768" s="19"/>
      <c r="J768" s="20"/>
      <c r="K768" s="21"/>
      <c r="L768" s="22"/>
      <c r="M768" s="23"/>
      <c r="N768" s="24"/>
      <c r="O768" s="25"/>
      <c r="P768" s="26"/>
      <c r="Q768" s="27"/>
      <c r="R768" s="28"/>
      <c r="S768" s="29"/>
      <c r="T768" s="30"/>
    </row>
    <row r="769" spans="1:20" ht="24" customHeight="1" x14ac:dyDescent="0.25">
      <c r="A769" t="str">
        <f>IF('e1'!A769&gt;0,HYPERLINK("#"&amp;ADDRESS(769,'e1'!A769),""),IF('r1'!A769&gt;0,HYPERLINK("#"&amp;ADDRESS(769,'r1'!A769),""),""))</f>
        <v/>
      </c>
      <c r="C769" s="13"/>
      <c r="D769" s="14"/>
      <c r="E769" s="15"/>
      <c r="F769" s="16"/>
      <c r="G769" s="17"/>
      <c r="H769" s="18"/>
      <c r="I769" s="19"/>
      <c r="J769" s="20"/>
      <c r="K769" s="21"/>
      <c r="L769" s="22"/>
      <c r="M769" s="23"/>
      <c r="N769" s="24"/>
      <c r="O769" s="25"/>
      <c r="P769" s="26"/>
      <c r="Q769" s="27"/>
      <c r="R769" s="28"/>
      <c r="S769" s="29"/>
      <c r="T769" s="30"/>
    </row>
    <row r="770" spans="1:20" ht="24" customHeight="1" x14ac:dyDescent="0.25">
      <c r="A770" t="str">
        <f>IF('e1'!A770&gt;0,HYPERLINK("#"&amp;ADDRESS(770,'e1'!A770),""),IF('r1'!A770&gt;0,HYPERLINK("#"&amp;ADDRESS(770,'r1'!A770),""),""))</f>
        <v/>
      </c>
      <c r="C770" s="13"/>
      <c r="D770" s="14"/>
      <c r="E770" s="15"/>
      <c r="F770" s="16"/>
      <c r="G770" s="17"/>
      <c r="H770" s="18"/>
      <c r="I770" s="19"/>
      <c r="J770" s="20"/>
      <c r="K770" s="21"/>
      <c r="L770" s="22"/>
      <c r="M770" s="23"/>
      <c r="N770" s="24"/>
      <c r="O770" s="25"/>
      <c r="P770" s="26"/>
      <c r="Q770" s="27"/>
      <c r="R770" s="28"/>
      <c r="S770" s="29"/>
      <c r="T770" s="30"/>
    </row>
    <row r="771" spans="1:20" ht="24" customHeight="1" x14ac:dyDescent="0.25">
      <c r="A771" t="str">
        <f>IF('e1'!A771&gt;0,HYPERLINK("#"&amp;ADDRESS(771,'e1'!A771),""),IF('r1'!A771&gt;0,HYPERLINK("#"&amp;ADDRESS(771,'r1'!A771),""),""))</f>
        <v/>
      </c>
      <c r="C771" s="13"/>
      <c r="D771" s="14"/>
      <c r="E771" s="15"/>
      <c r="F771" s="16"/>
      <c r="G771" s="17"/>
      <c r="H771" s="18"/>
      <c r="I771" s="19"/>
      <c r="J771" s="20"/>
      <c r="K771" s="21"/>
      <c r="L771" s="22"/>
      <c r="M771" s="23"/>
      <c r="N771" s="24"/>
      <c r="O771" s="25"/>
      <c r="P771" s="26"/>
      <c r="Q771" s="27"/>
      <c r="R771" s="28"/>
      <c r="S771" s="29"/>
      <c r="T771" s="30"/>
    </row>
    <row r="772" spans="1:20" ht="24" customHeight="1" x14ac:dyDescent="0.25">
      <c r="A772" t="str">
        <f>IF('e1'!A772&gt;0,HYPERLINK("#"&amp;ADDRESS(772,'e1'!A772),""),IF('r1'!A772&gt;0,HYPERLINK("#"&amp;ADDRESS(772,'r1'!A772),""),""))</f>
        <v/>
      </c>
      <c r="C772" s="13"/>
      <c r="D772" s="14"/>
      <c r="E772" s="15"/>
      <c r="F772" s="16"/>
      <c r="G772" s="17"/>
      <c r="H772" s="18"/>
      <c r="I772" s="19"/>
      <c r="J772" s="20"/>
      <c r="K772" s="21"/>
      <c r="L772" s="22"/>
      <c r="M772" s="23"/>
      <c r="N772" s="24"/>
      <c r="O772" s="25"/>
      <c r="P772" s="26"/>
      <c r="Q772" s="27"/>
      <c r="R772" s="28"/>
      <c r="S772" s="29"/>
      <c r="T772" s="30"/>
    </row>
    <row r="773" spans="1:20" ht="24" customHeight="1" x14ac:dyDescent="0.25">
      <c r="A773" t="str">
        <f>IF('e1'!A773&gt;0,HYPERLINK("#"&amp;ADDRESS(773,'e1'!A773),""),IF('r1'!A773&gt;0,HYPERLINK("#"&amp;ADDRESS(773,'r1'!A773),""),""))</f>
        <v/>
      </c>
      <c r="C773" s="13"/>
      <c r="D773" s="14"/>
      <c r="E773" s="15"/>
      <c r="F773" s="16"/>
      <c r="G773" s="17"/>
      <c r="H773" s="18"/>
      <c r="I773" s="19"/>
      <c r="J773" s="20"/>
      <c r="K773" s="21"/>
      <c r="L773" s="22"/>
      <c r="M773" s="23"/>
      <c r="N773" s="24"/>
      <c r="O773" s="25"/>
      <c r="P773" s="26"/>
      <c r="Q773" s="27"/>
      <c r="R773" s="28"/>
      <c r="S773" s="29"/>
      <c r="T773" s="30"/>
    </row>
    <row r="774" spans="1:20" ht="24" customHeight="1" x14ac:dyDescent="0.25">
      <c r="A774" t="str">
        <f>IF('e1'!A774&gt;0,HYPERLINK("#"&amp;ADDRESS(774,'e1'!A774),""),IF('r1'!A774&gt;0,HYPERLINK("#"&amp;ADDRESS(774,'r1'!A774),""),""))</f>
        <v/>
      </c>
      <c r="C774" s="13"/>
      <c r="D774" s="14"/>
      <c r="E774" s="15"/>
      <c r="F774" s="16"/>
      <c r="G774" s="17"/>
      <c r="H774" s="18"/>
      <c r="I774" s="19"/>
      <c r="J774" s="20"/>
      <c r="K774" s="21"/>
      <c r="L774" s="22"/>
      <c r="M774" s="23"/>
      <c r="N774" s="24"/>
      <c r="O774" s="25"/>
      <c r="P774" s="26"/>
      <c r="Q774" s="27"/>
      <c r="R774" s="28"/>
      <c r="S774" s="29"/>
      <c r="T774" s="30"/>
    </row>
    <row r="775" spans="1:20" ht="24" customHeight="1" x14ac:dyDescent="0.25">
      <c r="A775" t="str">
        <f>IF('e1'!A775&gt;0,HYPERLINK("#"&amp;ADDRESS(775,'e1'!A775),""),IF('r1'!A775&gt;0,HYPERLINK("#"&amp;ADDRESS(775,'r1'!A775),""),""))</f>
        <v/>
      </c>
      <c r="C775" s="13"/>
      <c r="D775" s="14"/>
      <c r="E775" s="15"/>
      <c r="F775" s="16"/>
      <c r="G775" s="17"/>
      <c r="H775" s="18"/>
      <c r="I775" s="19"/>
      <c r="J775" s="20"/>
      <c r="K775" s="21"/>
      <c r="L775" s="22"/>
      <c r="M775" s="23"/>
      <c r="N775" s="24"/>
      <c r="O775" s="25"/>
      <c r="P775" s="26"/>
      <c r="Q775" s="27"/>
      <c r="R775" s="28"/>
      <c r="S775" s="29"/>
      <c r="T775" s="30"/>
    </row>
    <row r="776" spans="1:20" ht="24" customHeight="1" x14ac:dyDescent="0.25">
      <c r="A776" t="str">
        <f>IF('e1'!A776&gt;0,HYPERLINK("#"&amp;ADDRESS(776,'e1'!A776),""),IF('r1'!A776&gt;0,HYPERLINK("#"&amp;ADDRESS(776,'r1'!A776),""),""))</f>
        <v/>
      </c>
      <c r="C776" s="13"/>
      <c r="D776" s="14"/>
      <c r="E776" s="15"/>
      <c r="F776" s="16"/>
      <c r="G776" s="17"/>
      <c r="H776" s="18"/>
      <c r="I776" s="19"/>
      <c r="J776" s="20"/>
      <c r="K776" s="21"/>
      <c r="L776" s="22"/>
      <c r="M776" s="23"/>
      <c r="N776" s="24"/>
      <c r="O776" s="25"/>
      <c r="P776" s="26"/>
      <c r="Q776" s="27"/>
      <c r="R776" s="28"/>
      <c r="S776" s="29"/>
      <c r="T776" s="30"/>
    </row>
    <row r="777" spans="1:20" ht="24" customHeight="1" x14ac:dyDescent="0.25">
      <c r="A777" t="str">
        <f>IF('e1'!A777&gt;0,HYPERLINK("#"&amp;ADDRESS(777,'e1'!A777),""),IF('r1'!A777&gt;0,HYPERLINK("#"&amp;ADDRESS(777,'r1'!A777),""),""))</f>
        <v/>
      </c>
      <c r="C777" s="13"/>
      <c r="D777" s="14"/>
      <c r="E777" s="15"/>
      <c r="F777" s="16"/>
      <c r="G777" s="17"/>
      <c r="H777" s="18"/>
      <c r="I777" s="19"/>
      <c r="J777" s="20"/>
      <c r="K777" s="21"/>
      <c r="L777" s="22"/>
      <c r="M777" s="23"/>
      <c r="N777" s="24"/>
      <c r="O777" s="25"/>
      <c r="P777" s="26"/>
      <c r="Q777" s="27"/>
      <c r="R777" s="28"/>
      <c r="S777" s="29"/>
      <c r="T777" s="30"/>
    </row>
    <row r="778" spans="1:20" ht="24" customHeight="1" x14ac:dyDescent="0.25">
      <c r="A778" t="str">
        <f>IF('e1'!A778&gt;0,HYPERLINK("#"&amp;ADDRESS(778,'e1'!A778),""),IF('r1'!A778&gt;0,HYPERLINK("#"&amp;ADDRESS(778,'r1'!A778),""),""))</f>
        <v/>
      </c>
      <c r="C778" s="13"/>
      <c r="D778" s="14"/>
      <c r="E778" s="15"/>
      <c r="F778" s="16"/>
      <c r="G778" s="17"/>
      <c r="H778" s="18"/>
      <c r="I778" s="19"/>
      <c r="J778" s="20"/>
      <c r="K778" s="21"/>
      <c r="L778" s="22"/>
      <c r="M778" s="23"/>
      <c r="N778" s="24"/>
      <c r="O778" s="25"/>
      <c r="P778" s="26"/>
      <c r="Q778" s="27"/>
      <c r="R778" s="28"/>
      <c r="S778" s="29"/>
      <c r="T778" s="30"/>
    </row>
    <row r="779" spans="1:20" ht="24" customHeight="1" x14ac:dyDescent="0.25">
      <c r="A779" t="str">
        <f>IF('e1'!A779&gt;0,HYPERLINK("#"&amp;ADDRESS(779,'e1'!A779),""),IF('r1'!A779&gt;0,HYPERLINK("#"&amp;ADDRESS(779,'r1'!A779),""),""))</f>
        <v/>
      </c>
      <c r="C779" s="13"/>
      <c r="D779" s="14"/>
      <c r="E779" s="15"/>
      <c r="F779" s="16"/>
      <c r="G779" s="17"/>
      <c r="H779" s="18"/>
      <c r="I779" s="19"/>
      <c r="J779" s="20"/>
      <c r="K779" s="21"/>
      <c r="L779" s="22"/>
      <c r="M779" s="23"/>
      <c r="N779" s="24"/>
      <c r="O779" s="25"/>
      <c r="P779" s="26"/>
      <c r="Q779" s="27"/>
      <c r="R779" s="28"/>
      <c r="S779" s="29"/>
      <c r="T779" s="30"/>
    </row>
    <row r="780" spans="1:20" ht="24" customHeight="1" x14ac:dyDescent="0.25">
      <c r="A780" t="str">
        <f>IF('e1'!A780&gt;0,HYPERLINK("#"&amp;ADDRESS(780,'e1'!A780),""),IF('r1'!A780&gt;0,HYPERLINK("#"&amp;ADDRESS(780,'r1'!A780),""),""))</f>
        <v/>
      </c>
      <c r="C780" s="13"/>
      <c r="D780" s="14"/>
      <c r="E780" s="15"/>
      <c r="F780" s="16"/>
      <c r="G780" s="17"/>
      <c r="H780" s="18"/>
      <c r="I780" s="19"/>
      <c r="J780" s="20"/>
      <c r="K780" s="21"/>
      <c r="L780" s="22"/>
      <c r="M780" s="23"/>
      <c r="N780" s="24"/>
      <c r="O780" s="25"/>
      <c r="P780" s="26"/>
      <c r="Q780" s="27"/>
      <c r="R780" s="28"/>
      <c r="S780" s="29"/>
      <c r="T780" s="30"/>
    </row>
    <row r="781" spans="1:20" ht="24" customHeight="1" x14ac:dyDescent="0.25">
      <c r="A781" t="str">
        <f>IF('e1'!A781&gt;0,HYPERLINK("#"&amp;ADDRESS(781,'e1'!A781),""),IF('r1'!A781&gt;0,HYPERLINK("#"&amp;ADDRESS(781,'r1'!A781),""),""))</f>
        <v/>
      </c>
      <c r="C781" s="13"/>
      <c r="D781" s="14"/>
      <c r="E781" s="15"/>
      <c r="F781" s="16"/>
      <c r="G781" s="17"/>
      <c r="H781" s="18"/>
      <c r="I781" s="19"/>
      <c r="J781" s="20"/>
      <c r="K781" s="21"/>
      <c r="L781" s="22"/>
      <c r="M781" s="23"/>
      <c r="N781" s="24"/>
      <c r="O781" s="25"/>
      <c r="P781" s="26"/>
      <c r="Q781" s="27"/>
      <c r="R781" s="28"/>
      <c r="S781" s="29"/>
      <c r="T781" s="30"/>
    </row>
    <row r="782" spans="1:20" ht="24" customHeight="1" x14ac:dyDescent="0.25">
      <c r="A782" t="str">
        <f>IF('e1'!A782&gt;0,HYPERLINK("#"&amp;ADDRESS(782,'e1'!A782),""),IF('r1'!A782&gt;0,HYPERLINK("#"&amp;ADDRESS(782,'r1'!A782),""),""))</f>
        <v/>
      </c>
      <c r="C782" s="13"/>
      <c r="D782" s="14"/>
      <c r="E782" s="15"/>
      <c r="F782" s="16"/>
      <c r="G782" s="17"/>
      <c r="H782" s="18"/>
      <c r="I782" s="19"/>
      <c r="J782" s="20"/>
      <c r="K782" s="21"/>
      <c r="L782" s="22"/>
      <c r="M782" s="23"/>
      <c r="N782" s="24"/>
      <c r="O782" s="25"/>
      <c r="P782" s="26"/>
      <c r="Q782" s="27"/>
      <c r="R782" s="28"/>
      <c r="S782" s="29"/>
      <c r="T782" s="30"/>
    </row>
    <row r="783" spans="1:20" ht="24" customHeight="1" x14ac:dyDescent="0.25">
      <c r="A783" t="str">
        <f>IF('e1'!A783&gt;0,HYPERLINK("#"&amp;ADDRESS(783,'e1'!A783),""),IF('r1'!A783&gt;0,HYPERLINK("#"&amp;ADDRESS(783,'r1'!A783),""),""))</f>
        <v/>
      </c>
      <c r="C783" s="13"/>
      <c r="D783" s="14"/>
      <c r="E783" s="15"/>
      <c r="F783" s="16"/>
      <c r="G783" s="17"/>
      <c r="H783" s="18"/>
      <c r="I783" s="19"/>
      <c r="J783" s="20"/>
      <c r="K783" s="21"/>
      <c r="L783" s="22"/>
      <c r="M783" s="23"/>
      <c r="N783" s="24"/>
      <c r="O783" s="25"/>
      <c r="P783" s="26"/>
      <c r="Q783" s="27"/>
      <c r="R783" s="28"/>
      <c r="S783" s="29"/>
      <c r="T783" s="30"/>
    </row>
    <row r="784" spans="1:20" ht="24" customHeight="1" x14ac:dyDescent="0.25">
      <c r="A784" t="str">
        <f>IF('e1'!A784&gt;0,HYPERLINK("#"&amp;ADDRESS(784,'e1'!A784),""),IF('r1'!A784&gt;0,HYPERLINK("#"&amp;ADDRESS(784,'r1'!A784),""),""))</f>
        <v/>
      </c>
      <c r="C784" s="13"/>
      <c r="D784" s="14"/>
      <c r="E784" s="15"/>
      <c r="F784" s="16"/>
      <c r="G784" s="17"/>
      <c r="H784" s="18"/>
      <c r="I784" s="19"/>
      <c r="J784" s="20"/>
      <c r="K784" s="21"/>
      <c r="L784" s="22"/>
      <c r="M784" s="23"/>
      <c r="N784" s="24"/>
      <c r="O784" s="25"/>
      <c r="P784" s="26"/>
      <c r="Q784" s="27"/>
      <c r="R784" s="28"/>
      <c r="S784" s="29"/>
      <c r="T784" s="30"/>
    </row>
    <row r="785" spans="1:20" ht="24" customHeight="1" x14ac:dyDescent="0.25">
      <c r="A785" t="str">
        <f>IF('e1'!A785&gt;0,HYPERLINK("#"&amp;ADDRESS(785,'e1'!A785),""),IF('r1'!A785&gt;0,HYPERLINK("#"&amp;ADDRESS(785,'r1'!A785),""),""))</f>
        <v/>
      </c>
      <c r="C785" s="13"/>
      <c r="D785" s="14"/>
      <c r="E785" s="15"/>
      <c r="F785" s="16"/>
      <c r="G785" s="17"/>
      <c r="H785" s="18"/>
      <c r="I785" s="19"/>
      <c r="J785" s="20"/>
      <c r="K785" s="21"/>
      <c r="L785" s="22"/>
      <c r="M785" s="23"/>
      <c r="N785" s="24"/>
      <c r="O785" s="25"/>
      <c r="P785" s="26"/>
      <c r="Q785" s="27"/>
      <c r="R785" s="28"/>
      <c r="S785" s="29"/>
      <c r="T785" s="30"/>
    </row>
    <row r="786" spans="1:20" ht="24" customHeight="1" x14ac:dyDescent="0.25">
      <c r="A786" t="str">
        <f>IF('e1'!A786&gt;0,HYPERLINK("#"&amp;ADDRESS(786,'e1'!A786),""),IF('r1'!A786&gt;0,HYPERLINK("#"&amp;ADDRESS(786,'r1'!A786),""),""))</f>
        <v/>
      </c>
      <c r="C786" s="13"/>
      <c r="D786" s="14"/>
      <c r="E786" s="15"/>
      <c r="F786" s="16"/>
      <c r="G786" s="17"/>
      <c r="H786" s="18"/>
      <c r="I786" s="19"/>
      <c r="J786" s="20"/>
      <c r="K786" s="21"/>
      <c r="L786" s="22"/>
      <c r="M786" s="23"/>
      <c r="N786" s="24"/>
      <c r="O786" s="25"/>
      <c r="P786" s="26"/>
      <c r="Q786" s="27"/>
      <c r="R786" s="28"/>
      <c r="S786" s="29"/>
      <c r="T786" s="30"/>
    </row>
    <row r="787" spans="1:20" ht="24" customHeight="1" x14ac:dyDescent="0.25">
      <c r="A787" t="str">
        <f>IF('e1'!A787&gt;0,HYPERLINK("#"&amp;ADDRESS(787,'e1'!A787),""),IF('r1'!A787&gt;0,HYPERLINK("#"&amp;ADDRESS(787,'r1'!A787),""),""))</f>
        <v/>
      </c>
      <c r="C787" s="13"/>
      <c r="D787" s="14"/>
      <c r="E787" s="15"/>
      <c r="F787" s="16"/>
      <c r="G787" s="17"/>
      <c r="H787" s="18"/>
      <c r="I787" s="19"/>
      <c r="J787" s="20"/>
      <c r="K787" s="21"/>
      <c r="L787" s="22"/>
      <c r="M787" s="23"/>
      <c r="N787" s="24"/>
      <c r="O787" s="25"/>
      <c r="P787" s="26"/>
      <c r="Q787" s="27"/>
      <c r="R787" s="28"/>
      <c r="S787" s="29"/>
      <c r="T787" s="30"/>
    </row>
    <row r="788" spans="1:20" ht="24" customHeight="1" x14ac:dyDescent="0.25">
      <c r="A788" t="str">
        <f>IF('e1'!A788&gt;0,HYPERLINK("#"&amp;ADDRESS(788,'e1'!A788),""),IF('r1'!A788&gt;0,HYPERLINK("#"&amp;ADDRESS(788,'r1'!A788),""),""))</f>
        <v/>
      </c>
      <c r="C788" s="13"/>
      <c r="D788" s="14"/>
      <c r="E788" s="15"/>
      <c r="F788" s="16"/>
      <c r="G788" s="17"/>
      <c r="H788" s="18"/>
      <c r="I788" s="19"/>
      <c r="J788" s="20"/>
      <c r="K788" s="21"/>
      <c r="L788" s="22"/>
      <c r="M788" s="23"/>
      <c r="N788" s="24"/>
      <c r="O788" s="25"/>
      <c r="P788" s="26"/>
      <c r="Q788" s="27"/>
      <c r="R788" s="28"/>
      <c r="S788" s="29"/>
      <c r="T788" s="30"/>
    </row>
    <row r="789" spans="1:20" ht="24" customHeight="1" x14ac:dyDescent="0.25">
      <c r="A789" t="str">
        <f>IF('e1'!A789&gt;0,HYPERLINK("#"&amp;ADDRESS(789,'e1'!A789),""),IF('r1'!A789&gt;0,HYPERLINK("#"&amp;ADDRESS(789,'r1'!A789),""),""))</f>
        <v/>
      </c>
      <c r="C789" s="13"/>
      <c r="D789" s="14"/>
      <c r="E789" s="15"/>
      <c r="F789" s="16"/>
      <c r="G789" s="17"/>
      <c r="H789" s="18"/>
      <c r="I789" s="19"/>
      <c r="J789" s="20"/>
      <c r="K789" s="21"/>
      <c r="L789" s="22"/>
      <c r="M789" s="23"/>
      <c r="N789" s="24"/>
      <c r="O789" s="25"/>
      <c r="P789" s="26"/>
      <c r="Q789" s="27"/>
      <c r="R789" s="28"/>
      <c r="S789" s="29"/>
      <c r="T789" s="30"/>
    </row>
    <row r="790" spans="1:20" ht="24" customHeight="1" x14ac:dyDescent="0.25">
      <c r="A790" t="str">
        <f>IF('e1'!A790&gt;0,HYPERLINK("#"&amp;ADDRESS(790,'e1'!A790),""),IF('r1'!A790&gt;0,HYPERLINK("#"&amp;ADDRESS(790,'r1'!A790),""),""))</f>
        <v/>
      </c>
      <c r="C790" s="13"/>
      <c r="D790" s="14"/>
      <c r="E790" s="15"/>
      <c r="F790" s="16"/>
      <c r="G790" s="17"/>
      <c r="H790" s="18"/>
      <c r="I790" s="19"/>
      <c r="J790" s="20"/>
      <c r="K790" s="21"/>
      <c r="L790" s="22"/>
      <c r="M790" s="23"/>
      <c r="N790" s="24"/>
      <c r="O790" s="25"/>
      <c r="P790" s="26"/>
      <c r="Q790" s="27"/>
      <c r="R790" s="28"/>
      <c r="S790" s="29"/>
      <c r="T790" s="30"/>
    </row>
    <row r="791" spans="1:20" ht="24" customHeight="1" x14ac:dyDescent="0.25">
      <c r="A791" t="str">
        <f>IF('e1'!A791&gt;0,HYPERLINK("#"&amp;ADDRESS(791,'e1'!A791),""),IF('r1'!A791&gt;0,HYPERLINK("#"&amp;ADDRESS(791,'r1'!A791),""),""))</f>
        <v/>
      </c>
      <c r="C791" s="13"/>
      <c r="D791" s="14"/>
      <c r="E791" s="15"/>
      <c r="F791" s="16"/>
      <c r="G791" s="17"/>
      <c r="H791" s="18"/>
      <c r="I791" s="19"/>
      <c r="J791" s="20"/>
      <c r="K791" s="21"/>
      <c r="L791" s="22"/>
      <c r="M791" s="23"/>
      <c r="N791" s="24"/>
      <c r="O791" s="25"/>
      <c r="P791" s="26"/>
      <c r="Q791" s="27"/>
      <c r="R791" s="28"/>
      <c r="S791" s="29"/>
      <c r="T791" s="30"/>
    </row>
    <row r="792" spans="1:20" ht="24" customHeight="1" x14ac:dyDescent="0.25">
      <c r="A792" t="str">
        <f>IF('e1'!A792&gt;0,HYPERLINK("#"&amp;ADDRESS(792,'e1'!A792),""),IF('r1'!A792&gt;0,HYPERLINK("#"&amp;ADDRESS(792,'r1'!A792),""),""))</f>
        <v/>
      </c>
      <c r="C792" s="13"/>
      <c r="D792" s="14"/>
      <c r="E792" s="15"/>
      <c r="F792" s="16"/>
      <c r="G792" s="17"/>
      <c r="H792" s="18"/>
      <c r="I792" s="19"/>
      <c r="J792" s="20"/>
      <c r="K792" s="21"/>
      <c r="L792" s="22"/>
      <c r="M792" s="23"/>
      <c r="N792" s="24"/>
      <c r="O792" s="25"/>
      <c r="P792" s="26"/>
      <c r="Q792" s="27"/>
      <c r="R792" s="28"/>
      <c r="S792" s="29"/>
      <c r="T792" s="30"/>
    </row>
    <row r="793" spans="1:20" ht="24" customHeight="1" x14ac:dyDescent="0.25">
      <c r="A793" t="str">
        <f>IF('e1'!A793&gt;0,HYPERLINK("#"&amp;ADDRESS(793,'e1'!A793),""),IF('r1'!A793&gt;0,HYPERLINK("#"&amp;ADDRESS(793,'r1'!A793),""),""))</f>
        <v/>
      </c>
      <c r="C793" s="13"/>
      <c r="D793" s="14"/>
      <c r="E793" s="15"/>
      <c r="F793" s="16"/>
      <c r="G793" s="17"/>
      <c r="H793" s="18"/>
      <c r="I793" s="19"/>
      <c r="J793" s="20"/>
      <c r="K793" s="21"/>
      <c r="L793" s="22"/>
      <c r="M793" s="23"/>
      <c r="N793" s="24"/>
      <c r="O793" s="25"/>
      <c r="P793" s="26"/>
      <c r="Q793" s="27"/>
      <c r="R793" s="28"/>
      <c r="S793" s="29"/>
      <c r="T793" s="30"/>
    </row>
    <row r="794" spans="1:20" ht="24" customHeight="1" x14ac:dyDescent="0.25">
      <c r="A794" t="str">
        <f>IF('e1'!A794&gt;0,HYPERLINK("#"&amp;ADDRESS(794,'e1'!A794),""),IF('r1'!A794&gt;0,HYPERLINK("#"&amp;ADDRESS(794,'r1'!A794),""),""))</f>
        <v/>
      </c>
      <c r="C794" s="13"/>
      <c r="D794" s="14"/>
      <c r="E794" s="15"/>
      <c r="F794" s="16"/>
      <c r="G794" s="17"/>
      <c r="H794" s="18"/>
      <c r="I794" s="19"/>
      <c r="J794" s="20"/>
      <c r="K794" s="21"/>
      <c r="L794" s="22"/>
      <c r="M794" s="23"/>
      <c r="N794" s="24"/>
      <c r="O794" s="25"/>
      <c r="P794" s="26"/>
      <c r="Q794" s="27"/>
      <c r="R794" s="28"/>
      <c r="S794" s="29"/>
      <c r="T794" s="30"/>
    </row>
    <row r="795" spans="1:20" ht="24" customHeight="1" x14ac:dyDescent="0.25">
      <c r="A795" t="str">
        <f>IF('e1'!A795&gt;0,HYPERLINK("#"&amp;ADDRESS(795,'e1'!A795),""),IF('r1'!A795&gt;0,HYPERLINK("#"&amp;ADDRESS(795,'r1'!A795),""),""))</f>
        <v/>
      </c>
      <c r="C795" s="13"/>
      <c r="D795" s="14"/>
      <c r="E795" s="15"/>
      <c r="F795" s="16"/>
      <c r="G795" s="17"/>
      <c r="H795" s="18"/>
      <c r="I795" s="19"/>
      <c r="J795" s="20"/>
      <c r="K795" s="21"/>
      <c r="L795" s="22"/>
      <c r="M795" s="23"/>
      <c r="N795" s="24"/>
      <c r="O795" s="25"/>
      <c r="P795" s="26"/>
      <c r="Q795" s="27"/>
      <c r="R795" s="28"/>
      <c r="S795" s="29"/>
      <c r="T795" s="30"/>
    </row>
    <row r="796" spans="1:20" ht="24" customHeight="1" x14ac:dyDescent="0.25">
      <c r="A796" t="str">
        <f>IF('e1'!A796&gt;0,HYPERLINK("#"&amp;ADDRESS(796,'e1'!A796),""),IF('r1'!A796&gt;0,HYPERLINK("#"&amp;ADDRESS(796,'r1'!A796),""),""))</f>
        <v/>
      </c>
      <c r="C796" s="13"/>
      <c r="D796" s="14"/>
      <c r="E796" s="15"/>
      <c r="F796" s="16"/>
      <c r="G796" s="17"/>
      <c r="H796" s="18"/>
      <c r="I796" s="19"/>
      <c r="J796" s="20"/>
      <c r="K796" s="21"/>
      <c r="L796" s="22"/>
      <c r="M796" s="23"/>
      <c r="N796" s="24"/>
      <c r="O796" s="25"/>
      <c r="P796" s="26"/>
      <c r="Q796" s="27"/>
      <c r="R796" s="28"/>
      <c r="S796" s="29"/>
      <c r="T796" s="30"/>
    </row>
    <row r="797" spans="1:20" ht="24" customHeight="1" x14ac:dyDescent="0.25">
      <c r="A797" t="str">
        <f>IF('e1'!A797&gt;0,HYPERLINK("#"&amp;ADDRESS(797,'e1'!A797),""),IF('r1'!A797&gt;0,HYPERLINK("#"&amp;ADDRESS(797,'r1'!A797),""),""))</f>
        <v/>
      </c>
      <c r="C797" s="13"/>
      <c r="D797" s="14"/>
      <c r="E797" s="15"/>
      <c r="F797" s="16"/>
      <c r="G797" s="17"/>
      <c r="H797" s="18"/>
      <c r="I797" s="19"/>
      <c r="J797" s="20"/>
      <c r="K797" s="21"/>
      <c r="L797" s="22"/>
      <c r="M797" s="23"/>
      <c r="N797" s="24"/>
      <c r="O797" s="25"/>
      <c r="P797" s="26"/>
      <c r="Q797" s="27"/>
      <c r="R797" s="28"/>
      <c r="S797" s="29"/>
      <c r="T797" s="30"/>
    </row>
    <row r="798" spans="1:20" ht="24" customHeight="1" x14ac:dyDescent="0.25">
      <c r="A798" t="str">
        <f>IF('e1'!A798&gt;0,HYPERLINK("#"&amp;ADDRESS(798,'e1'!A798),""),IF('r1'!A798&gt;0,HYPERLINK("#"&amp;ADDRESS(798,'r1'!A798),""),""))</f>
        <v/>
      </c>
      <c r="C798" s="13"/>
      <c r="D798" s="14"/>
      <c r="E798" s="15"/>
      <c r="F798" s="16"/>
      <c r="G798" s="17"/>
      <c r="H798" s="18"/>
      <c r="I798" s="19"/>
      <c r="J798" s="20"/>
      <c r="K798" s="21"/>
      <c r="L798" s="22"/>
      <c r="M798" s="23"/>
      <c r="N798" s="24"/>
      <c r="O798" s="25"/>
      <c r="P798" s="26"/>
      <c r="Q798" s="27"/>
      <c r="R798" s="28"/>
      <c r="S798" s="29"/>
      <c r="T798" s="30"/>
    </row>
    <row r="799" spans="1:20" ht="24" customHeight="1" x14ac:dyDescent="0.25">
      <c r="A799" t="str">
        <f>IF('e1'!A799&gt;0,HYPERLINK("#"&amp;ADDRESS(799,'e1'!A799),""),IF('r1'!A799&gt;0,HYPERLINK("#"&amp;ADDRESS(799,'r1'!A799),""),""))</f>
        <v/>
      </c>
      <c r="C799" s="13"/>
      <c r="D799" s="14"/>
      <c r="E799" s="15"/>
      <c r="F799" s="16"/>
      <c r="G799" s="17"/>
      <c r="H799" s="18"/>
      <c r="I799" s="19"/>
      <c r="J799" s="20"/>
      <c r="K799" s="21"/>
      <c r="L799" s="22"/>
      <c r="M799" s="23"/>
      <c r="N799" s="24"/>
      <c r="O799" s="25"/>
      <c r="P799" s="26"/>
      <c r="Q799" s="27"/>
      <c r="R799" s="28"/>
      <c r="S799" s="29"/>
      <c r="T799" s="30"/>
    </row>
    <row r="800" spans="1:20" ht="24" customHeight="1" x14ac:dyDescent="0.25">
      <c r="A800" t="str">
        <f>IF('e1'!A800&gt;0,HYPERLINK("#"&amp;ADDRESS(800,'e1'!A800),""),IF('r1'!A800&gt;0,HYPERLINK("#"&amp;ADDRESS(800,'r1'!A800),""),""))</f>
        <v/>
      </c>
      <c r="C800" s="13"/>
      <c r="D800" s="14"/>
      <c r="E800" s="15"/>
      <c r="F800" s="16"/>
      <c r="G800" s="17"/>
      <c r="H800" s="18"/>
      <c r="I800" s="19"/>
      <c r="J800" s="20"/>
      <c r="K800" s="21"/>
      <c r="L800" s="22"/>
      <c r="M800" s="23"/>
      <c r="N800" s="24"/>
      <c r="O800" s="25"/>
      <c r="P800" s="26"/>
      <c r="Q800" s="27"/>
      <c r="R800" s="28"/>
      <c r="S800" s="29"/>
      <c r="T800" s="30"/>
    </row>
    <row r="801" spans="1:20" ht="24" customHeight="1" x14ac:dyDescent="0.25">
      <c r="A801" t="str">
        <f>IF('e1'!A801&gt;0,HYPERLINK("#"&amp;ADDRESS(801,'e1'!A801),""),IF('r1'!A801&gt;0,HYPERLINK("#"&amp;ADDRESS(801,'r1'!A801),""),""))</f>
        <v/>
      </c>
      <c r="C801" s="13"/>
      <c r="D801" s="14"/>
      <c r="E801" s="15"/>
      <c r="F801" s="16"/>
      <c r="G801" s="17"/>
      <c r="H801" s="18"/>
      <c r="I801" s="19"/>
      <c r="J801" s="20"/>
      <c r="K801" s="21"/>
      <c r="L801" s="22"/>
      <c r="M801" s="23"/>
      <c r="N801" s="24"/>
      <c r="O801" s="25"/>
      <c r="P801" s="26"/>
      <c r="Q801" s="27"/>
      <c r="R801" s="28"/>
      <c r="S801" s="29"/>
      <c r="T801" s="30"/>
    </row>
    <row r="802" spans="1:20" ht="24" customHeight="1" x14ac:dyDescent="0.25">
      <c r="A802" t="str">
        <f>IF('e1'!A802&gt;0,HYPERLINK("#"&amp;ADDRESS(802,'e1'!A802),""),IF('r1'!A802&gt;0,HYPERLINK("#"&amp;ADDRESS(802,'r1'!A802),""),""))</f>
        <v/>
      </c>
      <c r="C802" s="13"/>
      <c r="D802" s="14"/>
      <c r="E802" s="15"/>
      <c r="F802" s="16"/>
      <c r="G802" s="17"/>
      <c r="H802" s="18"/>
      <c r="I802" s="19"/>
      <c r="J802" s="20"/>
      <c r="K802" s="21"/>
      <c r="L802" s="22"/>
      <c r="M802" s="23"/>
      <c r="N802" s="24"/>
      <c r="O802" s="25"/>
      <c r="P802" s="26"/>
      <c r="Q802" s="27"/>
      <c r="R802" s="28"/>
      <c r="S802" s="29"/>
      <c r="T802" s="30"/>
    </row>
    <row r="803" spans="1:20" ht="24" customHeight="1" x14ac:dyDescent="0.25">
      <c r="A803" t="str">
        <f>IF('e1'!A803&gt;0,HYPERLINK("#"&amp;ADDRESS(803,'e1'!A803),""),IF('r1'!A803&gt;0,HYPERLINK("#"&amp;ADDRESS(803,'r1'!A803),""),""))</f>
        <v/>
      </c>
      <c r="C803" s="13"/>
      <c r="D803" s="14"/>
      <c r="E803" s="15"/>
      <c r="F803" s="16"/>
      <c r="G803" s="17"/>
      <c r="H803" s="18"/>
      <c r="I803" s="19"/>
      <c r="J803" s="20"/>
      <c r="K803" s="21"/>
      <c r="L803" s="22"/>
      <c r="M803" s="23"/>
      <c r="N803" s="24"/>
      <c r="O803" s="25"/>
      <c r="P803" s="26"/>
      <c r="Q803" s="27"/>
      <c r="R803" s="28"/>
      <c r="S803" s="29"/>
      <c r="T803" s="30"/>
    </row>
    <row r="804" spans="1:20" ht="24" customHeight="1" x14ac:dyDescent="0.25">
      <c r="A804" t="str">
        <f>IF('e1'!A804&gt;0,HYPERLINK("#"&amp;ADDRESS(804,'e1'!A804),""),IF('r1'!A804&gt;0,HYPERLINK("#"&amp;ADDRESS(804,'r1'!A804),""),""))</f>
        <v/>
      </c>
      <c r="C804" s="13"/>
      <c r="D804" s="14"/>
      <c r="E804" s="15"/>
      <c r="F804" s="16"/>
      <c r="G804" s="17"/>
      <c r="H804" s="18"/>
      <c r="I804" s="19"/>
      <c r="J804" s="20"/>
      <c r="K804" s="21"/>
      <c r="L804" s="22"/>
      <c r="M804" s="23"/>
      <c r="N804" s="24"/>
      <c r="O804" s="25"/>
      <c r="P804" s="26"/>
      <c r="Q804" s="27"/>
      <c r="R804" s="28"/>
      <c r="S804" s="29"/>
      <c r="T804" s="30"/>
    </row>
    <row r="805" spans="1:20" ht="24" customHeight="1" x14ac:dyDescent="0.25">
      <c r="A805" t="str">
        <f>IF('e1'!A805&gt;0,HYPERLINK("#"&amp;ADDRESS(805,'e1'!A805),""),IF('r1'!A805&gt;0,HYPERLINK("#"&amp;ADDRESS(805,'r1'!A805),""),""))</f>
        <v/>
      </c>
      <c r="C805" s="13"/>
      <c r="D805" s="14"/>
      <c r="E805" s="15"/>
      <c r="F805" s="16"/>
      <c r="G805" s="17"/>
      <c r="H805" s="18"/>
      <c r="I805" s="19"/>
      <c r="J805" s="20"/>
      <c r="K805" s="21"/>
      <c r="L805" s="22"/>
      <c r="M805" s="23"/>
      <c r="N805" s="24"/>
      <c r="O805" s="25"/>
      <c r="P805" s="26"/>
      <c r="Q805" s="27"/>
      <c r="R805" s="28"/>
      <c r="S805" s="29"/>
      <c r="T805" s="30"/>
    </row>
    <row r="806" spans="1:20" ht="24" customHeight="1" x14ac:dyDescent="0.25">
      <c r="A806" t="str">
        <f>IF('e1'!A806&gt;0,HYPERLINK("#"&amp;ADDRESS(806,'e1'!A806),""),IF('r1'!A806&gt;0,HYPERLINK("#"&amp;ADDRESS(806,'r1'!A806),""),""))</f>
        <v/>
      </c>
      <c r="C806" s="13"/>
      <c r="D806" s="14"/>
      <c r="E806" s="15"/>
      <c r="F806" s="16"/>
      <c r="G806" s="17"/>
      <c r="H806" s="18"/>
      <c r="I806" s="19"/>
      <c r="J806" s="20"/>
      <c r="K806" s="21"/>
      <c r="L806" s="22"/>
      <c r="M806" s="23"/>
      <c r="N806" s="24"/>
      <c r="O806" s="25"/>
      <c r="P806" s="26"/>
      <c r="Q806" s="27"/>
      <c r="R806" s="28"/>
      <c r="S806" s="29"/>
      <c r="T806" s="30"/>
    </row>
    <row r="807" spans="1:20" ht="24" customHeight="1" x14ac:dyDescent="0.25">
      <c r="A807" t="str">
        <f>IF('e1'!A807&gt;0,HYPERLINK("#"&amp;ADDRESS(807,'e1'!A807),""),IF('r1'!A807&gt;0,HYPERLINK("#"&amp;ADDRESS(807,'r1'!A807),""),""))</f>
        <v/>
      </c>
      <c r="C807" s="13"/>
      <c r="D807" s="14"/>
      <c r="E807" s="15"/>
      <c r="F807" s="16"/>
      <c r="G807" s="17"/>
      <c r="H807" s="18"/>
      <c r="I807" s="19"/>
      <c r="J807" s="20"/>
      <c r="K807" s="21"/>
      <c r="L807" s="22"/>
      <c r="M807" s="23"/>
      <c r="N807" s="24"/>
      <c r="O807" s="25"/>
      <c r="P807" s="26"/>
      <c r="Q807" s="27"/>
      <c r="R807" s="28"/>
      <c r="S807" s="29"/>
      <c r="T807" s="30"/>
    </row>
    <row r="808" spans="1:20" ht="24" customHeight="1" x14ac:dyDescent="0.25">
      <c r="A808" t="str">
        <f>IF('e1'!A808&gt;0,HYPERLINK("#"&amp;ADDRESS(808,'e1'!A808),""),IF('r1'!A808&gt;0,HYPERLINK("#"&amp;ADDRESS(808,'r1'!A808),""),""))</f>
        <v/>
      </c>
      <c r="C808" s="13"/>
      <c r="D808" s="14"/>
      <c r="E808" s="15"/>
      <c r="F808" s="16"/>
      <c r="G808" s="17"/>
      <c r="H808" s="18"/>
      <c r="I808" s="19"/>
      <c r="J808" s="20"/>
      <c r="K808" s="21"/>
      <c r="L808" s="22"/>
      <c r="M808" s="23"/>
      <c r="N808" s="24"/>
      <c r="O808" s="25"/>
      <c r="P808" s="26"/>
      <c r="Q808" s="27"/>
      <c r="R808" s="28"/>
      <c r="S808" s="29"/>
      <c r="T808" s="30"/>
    </row>
    <row r="809" spans="1:20" ht="24" customHeight="1" x14ac:dyDescent="0.25">
      <c r="A809" t="str">
        <f>IF('e1'!A809&gt;0,HYPERLINK("#"&amp;ADDRESS(809,'e1'!A809),""),IF('r1'!A809&gt;0,HYPERLINK("#"&amp;ADDRESS(809,'r1'!A809),""),""))</f>
        <v/>
      </c>
      <c r="C809" s="13"/>
      <c r="D809" s="14"/>
      <c r="E809" s="15"/>
      <c r="F809" s="16"/>
      <c r="G809" s="17"/>
      <c r="H809" s="18"/>
      <c r="I809" s="19"/>
      <c r="J809" s="20"/>
      <c r="K809" s="21"/>
      <c r="L809" s="22"/>
      <c r="M809" s="23"/>
      <c r="N809" s="24"/>
      <c r="O809" s="25"/>
      <c r="P809" s="26"/>
      <c r="Q809" s="27"/>
      <c r="R809" s="28"/>
      <c r="S809" s="29"/>
      <c r="T809" s="30"/>
    </row>
    <row r="810" spans="1:20" ht="24" customHeight="1" x14ac:dyDescent="0.25">
      <c r="A810" t="str">
        <f>IF('e1'!A810&gt;0,HYPERLINK("#"&amp;ADDRESS(810,'e1'!A810),""),IF('r1'!A810&gt;0,HYPERLINK("#"&amp;ADDRESS(810,'r1'!A810),""),""))</f>
        <v/>
      </c>
      <c r="C810" s="13"/>
      <c r="D810" s="14"/>
      <c r="E810" s="15"/>
      <c r="F810" s="16"/>
      <c r="G810" s="17"/>
      <c r="H810" s="18"/>
      <c r="I810" s="19"/>
      <c r="J810" s="20"/>
      <c r="K810" s="21"/>
      <c r="L810" s="22"/>
      <c r="M810" s="23"/>
      <c r="N810" s="24"/>
      <c r="O810" s="25"/>
      <c r="P810" s="26"/>
      <c r="Q810" s="27"/>
      <c r="R810" s="28"/>
      <c r="S810" s="29"/>
      <c r="T810" s="30"/>
    </row>
    <row r="811" spans="1:20" ht="24" customHeight="1" x14ac:dyDescent="0.25">
      <c r="A811" t="str">
        <f>IF('e1'!A811&gt;0,HYPERLINK("#"&amp;ADDRESS(811,'e1'!A811),""),IF('r1'!A811&gt;0,HYPERLINK("#"&amp;ADDRESS(811,'r1'!A811),""),""))</f>
        <v/>
      </c>
      <c r="C811" s="13"/>
      <c r="D811" s="14"/>
      <c r="E811" s="15"/>
      <c r="F811" s="16"/>
      <c r="G811" s="17"/>
      <c r="H811" s="18"/>
      <c r="I811" s="19"/>
      <c r="J811" s="20"/>
      <c r="K811" s="21"/>
      <c r="L811" s="22"/>
      <c r="M811" s="23"/>
      <c r="N811" s="24"/>
      <c r="O811" s="25"/>
      <c r="P811" s="26"/>
      <c r="Q811" s="27"/>
      <c r="R811" s="28"/>
      <c r="S811" s="29"/>
      <c r="T811" s="30"/>
    </row>
    <row r="812" spans="1:20" ht="24" customHeight="1" x14ac:dyDescent="0.25">
      <c r="A812" t="str">
        <f>IF('e1'!A812&gt;0,HYPERLINK("#"&amp;ADDRESS(812,'e1'!A812),""),IF('r1'!A812&gt;0,HYPERLINK("#"&amp;ADDRESS(812,'r1'!A812),""),""))</f>
        <v/>
      </c>
      <c r="C812" s="13"/>
      <c r="D812" s="14"/>
      <c r="E812" s="15"/>
      <c r="F812" s="16"/>
      <c r="G812" s="17"/>
      <c r="H812" s="18"/>
      <c r="I812" s="19"/>
      <c r="J812" s="20"/>
      <c r="K812" s="21"/>
      <c r="L812" s="22"/>
      <c r="M812" s="23"/>
      <c r="N812" s="24"/>
      <c r="O812" s="25"/>
      <c r="P812" s="26"/>
      <c r="Q812" s="27"/>
      <c r="R812" s="28"/>
      <c r="S812" s="29"/>
      <c r="T812" s="30"/>
    </row>
    <row r="813" spans="1:20" ht="24" customHeight="1" x14ac:dyDescent="0.25">
      <c r="A813" t="str">
        <f>IF('e1'!A813&gt;0,HYPERLINK("#"&amp;ADDRESS(813,'e1'!A813),""),IF('r1'!A813&gt;0,HYPERLINK("#"&amp;ADDRESS(813,'r1'!A813),""),""))</f>
        <v/>
      </c>
      <c r="C813" s="13"/>
      <c r="D813" s="14"/>
      <c r="E813" s="15"/>
      <c r="F813" s="16"/>
      <c r="G813" s="17"/>
      <c r="H813" s="18"/>
      <c r="I813" s="19"/>
      <c r="J813" s="20"/>
      <c r="K813" s="21"/>
      <c r="L813" s="22"/>
      <c r="M813" s="23"/>
      <c r="N813" s="24"/>
      <c r="O813" s="25"/>
      <c r="P813" s="26"/>
      <c r="Q813" s="27"/>
      <c r="R813" s="28"/>
      <c r="S813" s="29"/>
      <c r="T813" s="30"/>
    </row>
    <row r="814" spans="1:20" ht="24" customHeight="1" x14ac:dyDescent="0.25">
      <c r="A814" t="str">
        <f>IF('e1'!A814&gt;0,HYPERLINK("#"&amp;ADDRESS(814,'e1'!A814),""),IF('r1'!A814&gt;0,HYPERLINK("#"&amp;ADDRESS(814,'r1'!A814),""),""))</f>
        <v/>
      </c>
      <c r="C814" s="13"/>
      <c r="D814" s="14"/>
      <c r="E814" s="15"/>
      <c r="F814" s="16"/>
      <c r="G814" s="17"/>
      <c r="H814" s="18"/>
      <c r="I814" s="19"/>
      <c r="J814" s="20"/>
      <c r="K814" s="21"/>
      <c r="L814" s="22"/>
      <c r="M814" s="23"/>
      <c r="N814" s="24"/>
      <c r="O814" s="25"/>
      <c r="P814" s="26"/>
      <c r="Q814" s="27"/>
      <c r="R814" s="28"/>
      <c r="S814" s="29"/>
      <c r="T814" s="30"/>
    </row>
    <row r="815" spans="1:20" ht="24" customHeight="1" x14ac:dyDescent="0.25">
      <c r="A815" t="str">
        <f>IF('e1'!A815&gt;0,HYPERLINK("#"&amp;ADDRESS(815,'e1'!A815),""),IF('r1'!A815&gt;0,HYPERLINK("#"&amp;ADDRESS(815,'r1'!A815),""),""))</f>
        <v/>
      </c>
      <c r="C815" s="13"/>
      <c r="D815" s="14"/>
      <c r="E815" s="15"/>
      <c r="F815" s="16"/>
      <c r="G815" s="17"/>
      <c r="H815" s="18"/>
      <c r="I815" s="19"/>
      <c r="J815" s="20"/>
      <c r="K815" s="21"/>
      <c r="L815" s="22"/>
      <c r="M815" s="23"/>
      <c r="N815" s="24"/>
      <c r="O815" s="25"/>
      <c r="P815" s="26"/>
      <c r="Q815" s="27"/>
      <c r="R815" s="28"/>
      <c r="S815" s="29"/>
      <c r="T815" s="30"/>
    </row>
    <row r="816" spans="1:20" ht="24" customHeight="1" x14ac:dyDescent="0.25">
      <c r="A816" t="str">
        <f>IF('e1'!A816&gt;0,HYPERLINK("#"&amp;ADDRESS(816,'e1'!A816),""),IF('r1'!A816&gt;0,HYPERLINK("#"&amp;ADDRESS(816,'r1'!A816),""),""))</f>
        <v/>
      </c>
      <c r="C816" s="13"/>
      <c r="D816" s="14"/>
      <c r="E816" s="15"/>
      <c r="F816" s="16"/>
      <c r="G816" s="17"/>
      <c r="H816" s="18"/>
      <c r="I816" s="19"/>
      <c r="J816" s="20"/>
      <c r="K816" s="21"/>
      <c r="L816" s="22"/>
      <c r="M816" s="23"/>
      <c r="N816" s="24"/>
      <c r="O816" s="25"/>
      <c r="P816" s="26"/>
      <c r="Q816" s="27"/>
      <c r="R816" s="28"/>
      <c r="S816" s="29"/>
      <c r="T816" s="30"/>
    </row>
    <row r="817" spans="1:20" ht="24" customHeight="1" x14ac:dyDescent="0.25">
      <c r="A817" t="str">
        <f>IF('e1'!A817&gt;0,HYPERLINK("#"&amp;ADDRESS(817,'e1'!A817),""),IF('r1'!A817&gt;0,HYPERLINK("#"&amp;ADDRESS(817,'r1'!A817),""),""))</f>
        <v/>
      </c>
      <c r="C817" s="13"/>
      <c r="D817" s="14"/>
      <c r="E817" s="15"/>
      <c r="F817" s="16"/>
      <c r="G817" s="17"/>
      <c r="H817" s="18"/>
      <c r="I817" s="19"/>
      <c r="J817" s="20"/>
      <c r="K817" s="21"/>
      <c r="L817" s="22"/>
      <c r="M817" s="23"/>
      <c r="N817" s="24"/>
      <c r="O817" s="25"/>
      <c r="P817" s="26"/>
      <c r="Q817" s="27"/>
      <c r="R817" s="28"/>
      <c r="S817" s="29"/>
      <c r="T817" s="30"/>
    </row>
    <row r="818" spans="1:20" ht="24" customHeight="1" x14ac:dyDescent="0.25">
      <c r="A818" t="str">
        <f>IF('e1'!A818&gt;0,HYPERLINK("#"&amp;ADDRESS(818,'e1'!A818),""),IF('r1'!A818&gt;0,HYPERLINK("#"&amp;ADDRESS(818,'r1'!A818),""),""))</f>
        <v/>
      </c>
      <c r="C818" s="13"/>
      <c r="D818" s="14"/>
      <c r="E818" s="15"/>
      <c r="F818" s="16"/>
      <c r="G818" s="17"/>
      <c r="H818" s="18"/>
      <c r="I818" s="19"/>
      <c r="J818" s="20"/>
      <c r="K818" s="21"/>
      <c r="L818" s="22"/>
      <c r="M818" s="23"/>
      <c r="N818" s="24"/>
      <c r="O818" s="25"/>
      <c r="P818" s="26"/>
      <c r="Q818" s="27"/>
      <c r="R818" s="28"/>
      <c r="S818" s="29"/>
      <c r="T818" s="30"/>
    </row>
    <row r="819" spans="1:20" ht="24" customHeight="1" x14ac:dyDescent="0.25">
      <c r="A819" t="str">
        <f>IF('e1'!A819&gt;0,HYPERLINK("#"&amp;ADDRESS(819,'e1'!A819),""),IF('r1'!A819&gt;0,HYPERLINK("#"&amp;ADDRESS(819,'r1'!A819),""),""))</f>
        <v/>
      </c>
      <c r="C819" s="13"/>
      <c r="D819" s="14"/>
      <c r="E819" s="15"/>
      <c r="F819" s="16"/>
      <c r="G819" s="17"/>
      <c r="H819" s="18"/>
      <c r="I819" s="19"/>
      <c r="J819" s="20"/>
      <c r="K819" s="21"/>
      <c r="L819" s="22"/>
      <c r="M819" s="23"/>
      <c r="N819" s="24"/>
      <c r="O819" s="25"/>
      <c r="P819" s="26"/>
      <c r="Q819" s="27"/>
      <c r="R819" s="28"/>
      <c r="S819" s="29"/>
      <c r="T819" s="30"/>
    </row>
    <row r="820" spans="1:20" ht="24" customHeight="1" x14ac:dyDescent="0.25">
      <c r="A820" t="str">
        <f>IF('e1'!A820&gt;0,HYPERLINK("#"&amp;ADDRESS(820,'e1'!A820),""),IF('r1'!A820&gt;0,HYPERLINK("#"&amp;ADDRESS(820,'r1'!A820),""),""))</f>
        <v/>
      </c>
      <c r="C820" s="13"/>
      <c r="D820" s="14"/>
      <c r="E820" s="15"/>
      <c r="F820" s="16"/>
      <c r="G820" s="17"/>
      <c r="H820" s="18"/>
      <c r="I820" s="19"/>
      <c r="J820" s="20"/>
      <c r="K820" s="21"/>
      <c r="L820" s="22"/>
      <c r="M820" s="23"/>
      <c r="N820" s="24"/>
      <c r="O820" s="25"/>
      <c r="P820" s="26"/>
      <c r="Q820" s="27"/>
      <c r="R820" s="28"/>
      <c r="S820" s="29"/>
      <c r="T820" s="30"/>
    </row>
    <row r="821" spans="1:20" ht="24" customHeight="1" x14ac:dyDescent="0.25">
      <c r="A821" t="str">
        <f>IF('e1'!A821&gt;0,HYPERLINK("#"&amp;ADDRESS(821,'e1'!A821),""),IF('r1'!A821&gt;0,HYPERLINK("#"&amp;ADDRESS(821,'r1'!A821),""),""))</f>
        <v/>
      </c>
      <c r="C821" s="13"/>
      <c r="D821" s="14"/>
      <c r="E821" s="15"/>
      <c r="F821" s="16"/>
      <c r="G821" s="17"/>
      <c r="H821" s="18"/>
      <c r="I821" s="19"/>
      <c r="J821" s="20"/>
      <c r="K821" s="21"/>
      <c r="L821" s="22"/>
      <c r="M821" s="23"/>
      <c r="N821" s="24"/>
      <c r="O821" s="25"/>
      <c r="P821" s="26"/>
      <c r="Q821" s="27"/>
      <c r="R821" s="28"/>
      <c r="S821" s="29"/>
      <c r="T821" s="30"/>
    </row>
    <row r="822" spans="1:20" ht="24" customHeight="1" x14ac:dyDescent="0.25">
      <c r="A822" t="str">
        <f>IF('e1'!A822&gt;0,HYPERLINK("#"&amp;ADDRESS(822,'e1'!A822),""),IF('r1'!A822&gt;0,HYPERLINK("#"&amp;ADDRESS(822,'r1'!A822),""),""))</f>
        <v/>
      </c>
      <c r="C822" s="13"/>
      <c r="D822" s="14"/>
      <c r="E822" s="15"/>
      <c r="F822" s="16"/>
      <c r="G822" s="17"/>
      <c r="H822" s="18"/>
      <c r="I822" s="19"/>
      <c r="J822" s="20"/>
      <c r="K822" s="21"/>
      <c r="L822" s="22"/>
      <c r="M822" s="23"/>
      <c r="N822" s="24"/>
      <c r="O822" s="25"/>
      <c r="P822" s="26"/>
      <c r="Q822" s="27"/>
      <c r="R822" s="28"/>
      <c r="S822" s="29"/>
      <c r="T822" s="30"/>
    </row>
    <row r="823" spans="1:20" ht="24" customHeight="1" x14ac:dyDescent="0.25">
      <c r="A823" t="str">
        <f>IF('e1'!A823&gt;0,HYPERLINK("#"&amp;ADDRESS(823,'e1'!A823),""),IF('r1'!A823&gt;0,HYPERLINK("#"&amp;ADDRESS(823,'r1'!A823),""),""))</f>
        <v/>
      </c>
      <c r="C823" s="13"/>
      <c r="D823" s="14"/>
      <c r="E823" s="15"/>
      <c r="F823" s="16"/>
      <c r="G823" s="17"/>
      <c r="H823" s="18"/>
      <c r="I823" s="19"/>
      <c r="J823" s="20"/>
      <c r="K823" s="21"/>
      <c r="L823" s="22"/>
      <c r="M823" s="23"/>
      <c r="N823" s="24"/>
      <c r="O823" s="25"/>
      <c r="P823" s="26"/>
      <c r="Q823" s="27"/>
      <c r="R823" s="28"/>
      <c r="S823" s="29"/>
      <c r="T823" s="30"/>
    </row>
    <row r="824" spans="1:20" ht="24" customHeight="1" x14ac:dyDescent="0.25">
      <c r="A824" t="str">
        <f>IF('e1'!A824&gt;0,HYPERLINK("#"&amp;ADDRESS(824,'e1'!A824),""),IF('r1'!A824&gt;0,HYPERLINK("#"&amp;ADDRESS(824,'r1'!A824),""),""))</f>
        <v/>
      </c>
      <c r="C824" s="13"/>
      <c r="D824" s="14"/>
      <c r="E824" s="15"/>
      <c r="F824" s="16"/>
      <c r="G824" s="17"/>
      <c r="H824" s="18"/>
      <c r="I824" s="19"/>
      <c r="J824" s="20"/>
      <c r="K824" s="21"/>
      <c r="L824" s="22"/>
      <c r="M824" s="23"/>
      <c r="N824" s="24"/>
      <c r="O824" s="25"/>
      <c r="P824" s="26"/>
      <c r="Q824" s="27"/>
      <c r="R824" s="28"/>
      <c r="S824" s="29"/>
      <c r="T824" s="30"/>
    </row>
    <row r="825" spans="1:20" ht="24" customHeight="1" x14ac:dyDescent="0.25">
      <c r="A825" t="str">
        <f>IF('e1'!A825&gt;0,HYPERLINK("#"&amp;ADDRESS(825,'e1'!A825),""),IF('r1'!A825&gt;0,HYPERLINK("#"&amp;ADDRESS(825,'r1'!A825),""),""))</f>
        <v/>
      </c>
      <c r="C825" s="13"/>
      <c r="D825" s="14"/>
      <c r="E825" s="15"/>
      <c r="F825" s="16"/>
      <c r="G825" s="17"/>
      <c r="H825" s="18"/>
      <c r="I825" s="19"/>
      <c r="J825" s="20"/>
      <c r="K825" s="21"/>
      <c r="L825" s="22"/>
      <c r="M825" s="23"/>
      <c r="N825" s="24"/>
      <c r="O825" s="25"/>
      <c r="P825" s="26"/>
      <c r="Q825" s="27"/>
      <c r="R825" s="28"/>
      <c r="S825" s="29"/>
      <c r="T825" s="30"/>
    </row>
    <row r="826" spans="1:20" ht="24" customHeight="1" x14ac:dyDescent="0.25">
      <c r="A826" t="str">
        <f>IF('e1'!A826&gt;0,HYPERLINK("#"&amp;ADDRESS(826,'e1'!A826),""),IF('r1'!A826&gt;0,HYPERLINK("#"&amp;ADDRESS(826,'r1'!A826),""),""))</f>
        <v/>
      </c>
      <c r="C826" s="13"/>
      <c r="D826" s="14"/>
      <c r="E826" s="15"/>
      <c r="F826" s="16"/>
      <c r="G826" s="17"/>
      <c r="H826" s="18"/>
      <c r="I826" s="19"/>
      <c r="J826" s="20"/>
      <c r="K826" s="21"/>
      <c r="L826" s="22"/>
      <c r="M826" s="23"/>
      <c r="N826" s="24"/>
      <c r="O826" s="25"/>
      <c r="P826" s="26"/>
      <c r="Q826" s="27"/>
      <c r="R826" s="28"/>
      <c r="S826" s="29"/>
      <c r="T826" s="30"/>
    </row>
    <row r="827" spans="1:20" ht="24" customHeight="1" x14ac:dyDescent="0.25">
      <c r="A827" t="str">
        <f>IF('e1'!A827&gt;0,HYPERLINK("#"&amp;ADDRESS(827,'e1'!A827),""),IF('r1'!A827&gt;0,HYPERLINK("#"&amp;ADDRESS(827,'r1'!A827),""),""))</f>
        <v/>
      </c>
      <c r="C827" s="13"/>
      <c r="D827" s="14"/>
      <c r="E827" s="15"/>
      <c r="F827" s="16"/>
      <c r="G827" s="17"/>
      <c r="H827" s="18"/>
      <c r="I827" s="19"/>
      <c r="J827" s="20"/>
      <c r="K827" s="21"/>
      <c r="L827" s="22"/>
      <c r="M827" s="23"/>
      <c r="N827" s="24"/>
      <c r="O827" s="25"/>
      <c r="P827" s="26"/>
      <c r="Q827" s="27"/>
      <c r="R827" s="28"/>
      <c r="S827" s="29"/>
      <c r="T827" s="30"/>
    </row>
    <row r="828" spans="1:20" ht="24" customHeight="1" x14ac:dyDescent="0.25">
      <c r="A828" t="str">
        <f>IF('e1'!A828&gt;0,HYPERLINK("#"&amp;ADDRESS(828,'e1'!A828),""),IF('r1'!A828&gt;0,HYPERLINK("#"&amp;ADDRESS(828,'r1'!A828),""),""))</f>
        <v/>
      </c>
      <c r="C828" s="13"/>
      <c r="D828" s="14"/>
      <c r="E828" s="15"/>
      <c r="F828" s="16"/>
      <c r="G828" s="17"/>
      <c r="H828" s="18"/>
      <c r="I828" s="19"/>
      <c r="J828" s="20"/>
      <c r="K828" s="21"/>
      <c r="L828" s="22"/>
      <c r="M828" s="23"/>
      <c r="N828" s="24"/>
      <c r="O828" s="25"/>
      <c r="P828" s="26"/>
      <c r="Q828" s="27"/>
      <c r="R828" s="28"/>
      <c r="S828" s="29"/>
      <c r="T828" s="30"/>
    </row>
    <row r="829" spans="1:20" ht="24" customHeight="1" x14ac:dyDescent="0.25">
      <c r="A829" t="str">
        <f>IF('e1'!A829&gt;0,HYPERLINK("#"&amp;ADDRESS(829,'e1'!A829),""),IF('r1'!A829&gt;0,HYPERLINK("#"&amp;ADDRESS(829,'r1'!A829),""),""))</f>
        <v/>
      </c>
      <c r="C829" s="13"/>
      <c r="D829" s="14"/>
      <c r="E829" s="15"/>
      <c r="F829" s="16"/>
      <c r="G829" s="17"/>
      <c r="H829" s="18"/>
      <c r="I829" s="19"/>
      <c r="J829" s="20"/>
      <c r="K829" s="21"/>
      <c r="L829" s="22"/>
      <c r="M829" s="23"/>
      <c r="N829" s="24"/>
      <c r="O829" s="25"/>
      <c r="P829" s="26"/>
      <c r="Q829" s="27"/>
      <c r="R829" s="28"/>
      <c r="S829" s="29"/>
      <c r="T829" s="30"/>
    </row>
    <row r="830" spans="1:20" ht="24" customHeight="1" x14ac:dyDescent="0.25">
      <c r="A830" t="str">
        <f>IF('e1'!A830&gt;0,HYPERLINK("#"&amp;ADDRESS(830,'e1'!A830),""),IF('r1'!A830&gt;0,HYPERLINK("#"&amp;ADDRESS(830,'r1'!A830),""),""))</f>
        <v/>
      </c>
      <c r="C830" s="13"/>
      <c r="D830" s="14"/>
      <c r="E830" s="15"/>
      <c r="F830" s="16"/>
      <c r="G830" s="17"/>
      <c r="H830" s="18"/>
      <c r="I830" s="19"/>
      <c r="J830" s="20"/>
      <c r="K830" s="21"/>
      <c r="L830" s="22"/>
      <c r="M830" s="23"/>
      <c r="N830" s="24"/>
      <c r="O830" s="25"/>
      <c r="P830" s="26"/>
      <c r="Q830" s="27"/>
      <c r="R830" s="28"/>
      <c r="S830" s="29"/>
      <c r="T830" s="30"/>
    </row>
    <row r="831" spans="1:20" ht="24" customHeight="1" x14ac:dyDescent="0.25">
      <c r="A831" t="str">
        <f>IF('e1'!A831&gt;0,HYPERLINK("#"&amp;ADDRESS(831,'e1'!A831),""),IF('r1'!A831&gt;0,HYPERLINK("#"&amp;ADDRESS(831,'r1'!A831),""),""))</f>
        <v/>
      </c>
      <c r="C831" s="13"/>
      <c r="D831" s="14"/>
      <c r="E831" s="15"/>
      <c r="F831" s="16"/>
      <c r="G831" s="17"/>
      <c r="H831" s="18"/>
      <c r="I831" s="19"/>
      <c r="J831" s="20"/>
      <c r="K831" s="21"/>
      <c r="L831" s="22"/>
      <c r="M831" s="23"/>
      <c r="N831" s="24"/>
      <c r="O831" s="25"/>
      <c r="P831" s="26"/>
      <c r="Q831" s="27"/>
      <c r="R831" s="28"/>
      <c r="S831" s="29"/>
      <c r="T831" s="30"/>
    </row>
    <row r="832" spans="1:20" ht="24" customHeight="1" x14ac:dyDescent="0.25">
      <c r="A832" t="str">
        <f>IF('e1'!A832&gt;0,HYPERLINK("#"&amp;ADDRESS(832,'e1'!A832),""),IF('r1'!A832&gt;0,HYPERLINK("#"&amp;ADDRESS(832,'r1'!A832),""),""))</f>
        <v/>
      </c>
      <c r="C832" s="13"/>
      <c r="D832" s="14"/>
      <c r="E832" s="15"/>
      <c r="F832" s="16"/>
      <c r="G832" s="17"/>
      <c r="H832" s="18"/>
      <c r="I832" s="19"/>
      <c r="J832" s="20"/>
      <c r="K832" s="21"/>
      <c r="L832" s="22"/>
      <c r="M832" s="23"/>
      <c r="N832" s="24"/>
      <c r="O832" s="25"/>
      <c r="P832" s="26"/>
      <c r="Q832" s="27"/>
      <c r="R832" s="28"/>
      <c r="S832" s="29"/>
      <c r="T832" s="30"/>
    </row>
    <row r="833" spans="1:20" ht="24" customHeight="1" x14ac:dyDescent="0.25">
      <c r="A833" t="str">
        <f>IF('e1'!A833&gt;0,HYPERLINK("#"&amp;ADDRESS(833,'e1'!A833),""),IF('r1'!A833&gt;0,HYPERLINK("#"&amp;ADDRESS(833,'r1'!A833),""),""))</f>
        <v/>
      </c>
      <c r="C833" s="13"/>
      <c r="D833" s="14"/>
      <c r="E833" s="15"/>
      <c r="F833" s="16"/>
      <c r="G833" s="17"/>
      <c r="H833" s="18"/>
      <c r="I833" s="19"/>
      <c r="J833" s="20"/>
      <c r="K833" s="21"/>
      <c r="L833" s="22"/>
      <c r="M833" s="23"/>
      <c r="N833" s="24"/>
      <c r="O833" s="25"/>
      <c r="P833" s="26"/>
      <c r="Q833" s="27"/>
      <c r="R833" s="28"/>
      <c r="S833" s="29"/>
      <c r="T833" s="30"/>
    </row>
    <row r="834" spans="1:20" ht="24" customHeight="1" x14ac:dyDescent="0.25">
      <c r="A834" t="str">
        <f>IF('e1'!A834&gt;0,HYPERLINK("#"&amp;ADDRESS(834,'e1'!A834),""),IF('r1'!A834&gt;0,HYPERLINK("#"&amp;ADDRESS(834,'r1'!A834),""),""))</f>
        <v/>
      </c>
      <c r="C834" s="13"/>
      <c r="D834" s="14"/>
      <c r="E834" s="15"/>
      <c r="F834" s="16"/>
      <c r="G834" s="17"/>
      <c r="H834" s="18"/>
      <c r="I834" s="19"/>
      <c r="J834" s="20"/>
      <c r="K834" s="21"/>
      <c r="L834" s="22"/>
      <c r="M834" s="23"/>
      <c r="N834" s="24"/>
      <c r="O834" s="25"/>
      <c r="P834" s="26"/>
      <c r="Q834" s="27"/>
      <c r="R834" s="28"/>
      <c r="S834" s="29"/>
      <c r="T834" s="30"/>
    </row>
    <row r="835" spans="1:20" ht="24" customHeight="1" x14ac:dyDescent="0.25">
      <c r="A835" t="str">
        <f>IF('e1'!A835&gt;0,HYPERLINK("#"&amp;ADDRESS(835,'e1'!A835),""),IF('r1'!A835&gt;0,HYPERLINK("#"&amp;ADDRESS(835,'r1'!A835),""),""))</f>
        <v/>
      </c>
      <c r="C835" s="13"/>
      <c r="D835" s="14"/>
      <c r="E835" s="15"/>
      <c r="F835" s="16"/>
      <c r="G835" s="17"/>
      <c r="H835" s="18"/>
      <c r="I835" s="19"/>
      <c r="J835" s="20"/>
      <c r="K835" s="21"/>
      <c r="L835" s="22"/>
      <c r="M835" s="23"/>
      <c r="N835" s="24"/>
      <c r="O835" s="25"/>
      <c r="P835" s="26"/>
      <c r="Q835" s="27"/>
      <c r="R835" s="28"/>
      <c r="S835" s="29"/>
      <c r="T835" s="30"/>
    </row>
    <row r="836" spans="1:20" ht="24" customHeight="1" x14ac:dyDescent="0.25">
      <c r="A836" t="str">
        <f>IF('e1'!A836&gt;0,HYPERLINK("#"&amp;ADDRESS(836,'e1'!A836),""),IF('r1'!A836&gt;0,HYPERLINK("#"&amp;ADDRESS(836,'r1'!A836),""),""))</f>
        <v/>
      </c>
      <c r="C836" s="13"/>
      <c r="D836" s="14"/>
      <c r="E836" s="15"/>
      <c r="F836" s="16"/>
      <c r="G836" s="17"/>
      <c r="H836" s="18"/>
      <c r="I836" s="19"/>
      <c r="J836" s="20"/>
      <c r="K836" s="21"/>
      <c r="L836" s="22"/>
      <c r="M836" s="23"/>
      <c r="N836" s="24"/>
      <c r="O836" s="25"/>
      <c r="P836" s="26"/>
      <c r="Q836" s="27"/>
      <c r="R836" s="28"/>
      <c r="S836" s="29"/>
      <c r="T836" s="30"/>
    </row>
    <row r="837" spans="1:20" ht="24" customHeight="1" x14ac:dyDescent="0.25">
      <c r="A837" t="str">
        <f>IF('e1'!A837&gt;0,HYPERLINK("#"&amp;ADDRESS(837,'e1'!A837),""),IF('r1'!A837&gt;0,HYPERLINK("#"&amp;ADDRESS(837,'r1'!A837),""),""))</f>
        <v/>
      </c>
      <c r="C837" s="13"/>
      <c r="D837" s="14"/>
      <c r="E837" s="15"/>
      <c r="F837" s="16"/>
      <c r="G837" s="17"/>
      <c r="H837" s="18"/>
      <c r="I837" s="19"/>
      <c r="J837" s="20"/>
      <c r="K837" s="21"/>
      <c r="L837" s="22"/>
      <c r="M837" s="23"/>
      <c r="N837" s="24"/>
      <c r="O837" s="25"/>
      <c r="P837" s="26"/>
      <c r="Q837" s="27"/>
      <c r="R837" s="28"/>
      <c r="S837" s="29"/>
      <c r="T837" s="30"/>
    </row>
    <row r="838" spans="1:20" ht="24" customHeight="1" x14ac:dyDescent="0.25">
      <c r="A838" t="str">
        <f>IF('e1'!A838&gt;0,HYPERLINK("#"&amp;ADDRESS(838,'e1'!A838),""),IF('r1'!A838&gt;0,HYPERLINK("#"&amp;ADDRESS(838,'r1'!A838),""),""))</f>
        <v/>
      </c>
      <c r="C838" s="13"/>
      <c r="D838" s="14"/>
      <c r="E838" s="15"/>
      <c r="F838" s="16"/>
      <c r="G838" s="17"/>
      <c r="H838" s="18"/>
      <c r="I838" s="19"/>
      <c r="J838" s="20"/>
      <c r="K838" s="21"/>
      <c r="L838" s="22"/>
      <c r="M838" s="23"/>
      <c r="N838" s="24"/>
      <c r="O838" s="25"/>
      <c r="P838" s="26"/>
      <c r="Q838" s="27"/>
      <c r="R838" s="28"/>
      <c r="S838" s="29"/>
      <c r="T838" s="30"/>
    </row>
    <row r="839" spans="1:20" ht="24" customHeight="1" x14ac:dyDescent="0.25">
      <c r="A839" t="str">
        <f>IF('e1'!A839&gt;0,HYPERLINK("#"&amp;ADDRESS(839,'e1'!A839),""),IF('r1'!A839&gt;0,HYPERLINK("#"&amp;ADDRESS(839,'r1'!A839),""),""))</f>
        <v/>
      </c>
      <c r="C839" s="13"/>
      <c r="D839" s="14"/>
      <c r="E839" s="15"/>
      <c r="F839" s="16"/>
      <c r="G839" s="17"/>
      <c r="H839" s="18"/>
      <c r="I839" s="19"/>
      <c r="J839" s="20"/>
      <c r="K839" s="21"/>
      <c r="L839" s="22"/>
      <c r="M839" s="23"/>
      <c r="N839" s="24"/>
      <c r="O839" s="25"/>
      <c r="P839" s="26"/>
      <c r="Q839" s="27"/>
      <c r="R839" s="28"/>
      <c r="S839" s="29"/>
      <c r="T839" s="30"/>
    </row>
    <row r="840" spans="1:20" ht="24" customHeight="1" x14ac:dyDescent="0.25">
      <c r="A840" t="str">
        <f>IF('e1'!A840&gt;0,HYPERLINK("#"&amp;ADDRESS(840,'e1'!A840),""),IF('r1'!A840&gt;0,HYPERLINK("#"&amp;ADDRESS(840,'r1'!A840),""),""))</f>
        <v/>
      </c>
      <c r="C840" s="13"/>
      <c r="D840" s="14"/>
      <c r="E840" s="15"/>
      <c r="F840" s="16"/>
      <c r="G840" s="17"/>
      <c r="H840" s="18"/>
      <c r="I840" s="19"/>
      <c r="J840" s="20"/>
      <c r="K840" s="21"/>
      <c r="L840" s="22"/>
      <c r="M840" s="23"/>
      <c r="N840" s="24"/>
      <c r="O840" s="25"/>
      <c r="P840" s="26"/>
      <c r="Q840" s="27"/>
      <c r="R840" s="28"/>
      <c r="S840" s="29"/>
      <c r="T840" s="30"/>
    </row>
    <row r="841" spans="1:20" ht="24" customHeight="1" x14ac:dyDescent="0.25">
      <c r="A841" t="str">
        <f>IF('e1'!A841&gt;0,HYPERLINK("#"&amp;ADDRESS(841,'e1'!A841),""),IF('r1'!A841&gt;0,HYPERLINK("#"&amp;ADDRESS(841,'r1'!A841),""),""))</f>
        <v/>
      </c>
      <c r="C841" s="13"/>
      <c r="D841" s="14"/>
      <c r="E841" s="15"/>
      <c r="F841" s="16"/>
      <c r="G841" s="17"/>
      <c r="H841" s="18"/>
      <c r="I841" s="19"/>
      <c r="J841" s="20"/>
      <c r="K841" s="21"/>
      <c r="L841" s="22"/>
      <c r="M841" s="23"/>
      <c r="N841" s="24"/>
      <c r="O841" s="25"/>
      <c r="P841" s="26"/>
      <c r="Q841" s="27"/>
      <c r="R841" s="28"/>
      <c r="S841" s="29"/>
      <c r="T841" s="30"/>
    </row>
    <row r="842" spans="1:20" ht="24" customHeight="1" x14ac:dyDescent="0.25">
      <c r="A842" t="str">
        <f>IF('e1'!A842&gt;0,HYPERLINK("#"&amp;ADDRESS(842,'e1'!A842),""),IF('r1'!A842&gt;0,HYPERLINK("#"&amp;ADDRESS(842,'r1'!A842),""),""))</f>
        <v/>
      </c>
      <c r="C842" s="13"/>
      <c r="D842" s="14"/>
      <c r="E842" s="15"/>
      <c r="F842" s="16"/>
      <c r="G842" s="17"/>
      <c r="H842" s="18"/>
      <c r="I842" s="19"/>
      <c r="J842" s="20"/>
      <c r="K842" s="21"/>
      <c r="L842" s="22"/>
      <c r="M842" s="23"/>
      <c r="N842" s="24"/>
      <c r="O842" s="25"/>
      <c r="P842" s="26"/>
      <c r="Q842" s="27"/>
      <c r="R842" s="28"/>
      <c r="S842" s="29"/>
      <c r="T842" s="30"/>
    </row>
    <row r="843" spans="1:20" ht="24" customHeight="1" x14ac:dyDescent="0.25">
      <c r="A843" t="str">
        <f>IF('e1'!A843&gt;0,HYPERLINK("#"&amp;ADDRESS(843,'e1'!A843),""),IF('r1'!A843&gt;0,HYPERLINK("#"&amp;ADDRESS(843,'r1'!A843),""),""))</f>
        <v/>
      </c>
      <c r="C843" s="13"/>
      <c r="D843" s="14"/>
      <c r="E843" s="15"/>
      <c r="F843" s="16"/>
      <c r="G843" s="17"/>
      <c r="H843" s="18"/>
      <c r="I843" s="19"/>
      <c r="J843" s="20"/>
      <c r="K843" s="21"/>
      <c r="L843" s="22"/>
      <c r="M843" s="23"/>
      <c r="N843" s="24"/>
      <c r="O843" s="25"/>
      <c r="P843" s="26"/>
      <c r="Q843" s="27"/>
      <c r="R843" s="28"/>
      <c r="S843" s="29"/>
      <c r="T843" s="30"/>
    </row>
    <row r="844" spans="1:20" ht="24" customHeight="1" x14ac:dyDescent="0.25">
      <c r="A844" t="str">
        <f>IF('e1'!A844&gt;0,HYPERLINK("#"&amp;ADDRESS(844,'e1'!A844),""),IF('r1'!A844&gt;0,HYPERLINK("#"&amp;ADDRESS(844,'r1'!A844),""),""))</f>
        <v/>
      </c>
      <c r="C844" s="13"/>
      <c r="D844" s="14"/>
      <c r="E844" s="15"/>
      <c r="F844" s="16"/>
      <c r="G844" s="17"/>
      <c r="H844" s="18"/>
      <c r="I844" s="19"/>
      <c r="J844" s="20"/>
      <c r="K844" s="21"/>
      <c r="L844" s="22"/>
      <c r="M844" s="23"/>
      <c r="N844" s="24"/>
      <c r="O844" s="25"/>
      <c r="P844" s="26"/>
      <c r="Q844" s="27"/>
      <c r="R844" s="28"/>
      <c r="S844" s="29"/>
      <c r="T844" s="30"/>
    </row>
    <row r="845" spans="1:20" ht="24" customHeight="1" x14ac:dyDescent="0.25">
      <c r="A845" t="str">
        <f>IF('e1'!A845&gt;0,HYPERLINK("#"&amp;ADDRESS(845,'e1'!A845),""),IF('r1'!A845&gt;0,HYPERLINK("#"&amp;ADDRESS(845,'r1'!A845),""),""))</f>
        <v/>
      </c>
      <c r="C845" s="13"/>
      <c r="D845" s="14"/>
      <c r="E845" s="15"/>
      <c r="F845" s="16"/>
      <c r="G845" s="17"/>
      <c r="H845" s="18"/>
      <c r="I845" s="19"/>
      <c r="J845" s="20"/>
      <c r="K845" s="21"/>
      <c r="L845" s="22"/>
      <c r="M845" s="23"/>
      <c r="N845" s="24"/>
      <c r="O845" s="25"/>
      <c r="P845" s="26"/>
      <c r="Q845" s="27"/>
      <c r="R845" s="28"/>
      <c r="S845" s="29"/>
      <c r="T845" s="30"/>
    </row>
    <row r="846" spans="1:20" ht="24" customHeight="1" x14ac:dyDescent="0.25">
      <c r="A846" t="str">
        <f>IF('e1'!A846&gt;0,HYPERLINK("#"&amp;ADDRESS(846,'e1'!A846),""),IF('r1'!A846&gt;0,HYPERLINK("#"&amp;ADDRESS(846,'r1'!A846),""),""))</f>
        <v/>
      </c>
      <c r="C846" s="13"/>
      <c r="D846" s="14"/>
      <c r="E846" s="15"/>
      <c r="F846" s="16"/>
      <c r="G846" s="17"/>
      <c r="H846" s="18"/>
      <c r="I846" s="19"/>
      <c r="J846" s="20"/>
      <c r="K846" s="21"/>
      <c r="L846" s="22"/>
      <c r="M846" s="23"/>
      <c r="N846" s="24"/>
      <c r="O846" s="25"/>
      <c r="P846" s="26"/>
      <c r="Q846" s="27"/>
      <c r="R846" s="28"/>
      <c r="S846" s="29"/>
      <c r="T846" s="30"/>
    </row>
    <row r="847" spans="1:20" ht="24" customHeight="1" x14ac:dyDescent="0.25">
      <c r="A847" t="str">
        <f>IF('e1'!A847&gt;0,HYPERLINK("#"&amp;ADDRESS(847,'e1'!A847),""),IF('r1'!A847&gt;0,HYPERLINK("#"&amp;ADDRESS(847,'r1'!A847),""),""))</f>
        <v/>
      </c>
      <c r="C847" s="13"/>
      <c r="D847" s="14"/>
      <c r="E847" s="15"/>
      <c r="F847" s="16"/>
      <c r="G847" s="17"/>
      <c r="H847" s="18"/>
      <c r="I847" s="19"/>
      <c r="J847" s="20"/>
      <c r="K847" s="21"/>
      <c r="L847" s="22"/>
      <c r="M847" s="23"/>
      <c r="N847" s="24"/>
      <c r="O847" s="25"/>
      <c r="P847" s="26"/>
      <c r="Q847" s="27"/>
      <c r="R847" s="28"/>
      <c r="S847" s="29"/>
      <c r="T847" s="30"/>
    </row>
    <row r="848" spans="1:20" ht="24" customHeight="1" x14ac:dyDescent="0.25">
      <c r="A848" t="str">
        <f>IF('e1'!A848&gt;0,HYPERLINK("#"&amp;ADDRESS(848,'e1'!A848),""),IF('r1'!A848&gt;0,HYPERLINK("#"&amp;ADDRESS(848,'r1'!A848),""),""))</f>
        <v/>
      </c>
      <c r="C848" s="13"/>
      <c r="D848" s="14"/>
      <c r="E848" s="15"/>
      <c r="F848" s="16"/>
      <c r="G848" s="17"/>
      <c r="H848" s="18"/>
      <c r="I848" s="19"/>
      <c r="J848" s="20"/>
      <c r="K848" s="21"/>
      <c r="L848" s="22"/>
      <c r="M848" s="23"/>
      <c r="N848" s="24"/>
      <c r="O848" s="25"/>
      <c r="P848" s="26"/>
      <c r="Q848" s="27"/>
      <c r="R848" s="28"/>
      <c r="S848" s="29"/>
      <c r="T848" s="30"/>
    </row>
    <row r="849" spans="1:20" ht="24" customHeight="1" x14ac:dyDescent="0.25">
      <c r="A849" t="str">
        <f>IF('e1'!A849&gt;0,HYPERLINK("#"&amp;ADDRESS(849,'e1'!A849),""),IF('r1'!A849&gt;0,HYPERLINK("#"&amp;ADDRESS(849,'r1'!A849),""),""))</f>
        <v/>
      </c>
      <c r="C849" s="13"/>
      <c r="D849" s="14"/>
      <c r="E849" s="15"/>
      <c r="F849" s="16"/>
      <c r="G849" s="17"/>
      <c r="H849" s="18"/>
      <c r="I849" s="19"/>
      <c r="J849" s="20"/>
      <c r="K849" s="21"/>
      <c r="L849" s="22"/>
      <c r="M849" s="23"/>
      <c r="N849" s="24"/>
      <c r="O849" s="25"/>
      <c r="P849" s="26"/>
      <c r="Q849" s="27"/>
      <c r="R849" s="28"/>
      <c r="S849" s="29"/>
      <c r="T849" s="30"/>
    </row>
    <row r="850" spans="1:20" ht="24" customHeight="1" x14ac:dyDescent="0.25">
      <c r="A850" t="str">
        <f>IF('e1'!A850&gt;0,HYPERLINK("#"&amp;ADDRESS(850,'e1'!A850),""),IF('r1'!A850&gt;0,HYPERLINK("#"&amp;ADDRESS(850,'r1'!A850),""),""))</f>
        <v/>
      </c>
      <c r="C850" s="13"/>
      <c r="D850" s="14"/>
      <c r="E850" s="15"/>
      <c r="F850" s="16"/>
      <c r="G850" s="17"/>
      <c r="H850" s="18"/>
      <c r="I850" s="19"/>
      <c r="J850" s="20"/>
      <c r="K850" s="21"/>
      <c r="L850" s="22"/>
      <c r="M850" s="23"/>
      <c r="N850" s="24"/>
      <c r="O850" s="25"/>
      <c r="P850" s="26"/>
      <c r="Q850" s="27"/>
      <c r="R850" s="28"/>
      <c r="S850" s="29"/>
      <c r="T850" s="30"/>
    </row>
    <row r="851" spans="1:20" ht="24" customHeight="1" x14ac:dyDescent="0.25">
      <c r="A851" t="str">
        <f>IF('e1'!A851&gt;0,HYPERLINK("#"&amp;ADDRESS(851,'e1'!A851),""),IF('r1'!A851&gt;0,HYPERLINK("#"&amp;ADDRESS(851,'r1'!A851),""),""))</f>
        <v/>
      </c>
      <c r="C851" s="13"/>
      <c r="D851" s="14"/>
      <c r="E851" s="15"/>
      <c r="F851" s="16"/>
      <c r="G851" s="17"/>
      <c r="H851" s="18"/>
      <c r="I851" s="19"/>
      <c r="J851" s="20"/>
      <c r="K851" s="21"/>
      <c r="L851" s="22"/>
      <c r="M851" s="23"/>
      <c r="N851" s="24"/>
      <c r="O851" s="25"/>
      <c r="P851" s="26"/>
      <c r="Q851" s="27"/>
      <c r="R851" s="28"/>
      <c r="S851" s="29"/>
      <c r="T851" s="30"/>
    </row>
    <row r="852" spans="1:20" ht="24" customHeight="1" x14ac:dyDescent="0.25">
      <c r="A852" t="str">
        <f>IF('e1'!A852&gt;0,HYPERLINK("#"&amp;ADDRESS(852,'e1'!A852),""),IF('r1'!A852&gt;0,HYPERLINK("#"&amp;ADDRESS(852,'r1'!A852),""),""))</f>
        <v/>
      </c>
      <c r="C852" s="13"/>
      <c r="D852" s="14"/>
      <c r="E852" s="15"/>
      <c r="F852" s="16"/>
      <c r="G852" s="17"/>
      <c r="H852" s="18"/>
      <c r="I852" s="19"/>
      <c r="J852" s="20"/>
      <c r="K852" s="21"/>
      <c r="L852" s="22"/>
      <c r="M852" s="23"/>
      <c r="N852" s="24"/>
      <c r="O852" s="25"/>
      <c r="P852" s="26"/>
      <c r="Q852" s="27"/>
      <c r="R852" s="28"/>
      <c r="S852" s="29"/>
      <c r="T852" s="30"/>
    </row>
    <row r="853" spans="1:20" ht="24" customHeight="1" x14ac:dyDescent="0.25">
      <c r="A853" t="str">
        <f>IF('e1'!A853&gt;0,HYPERLINK("#"&amp;ADDRESS(853,'e1'!A853),""),IF('r1'!A853&gt;0,HYPERLINK("#"&amp;ADDRESS(853,'r1'!A853),""),""))</f>
        <v/>
      </c>
      <c r="C853" s="13"/>
      <c r="D853" s="14"/>
      <c r="E853" s="15"/>
      <c r="F853" s="16"/>
      <c r="G853" s="17"/>
      <c r="H853" s="18"/>
      <c r="I853" s="19"/>
      <c r="J853" s="20"/>
      <c r="K853" s="21"/>
      <c r="L853" s="22"/>
      <c r="M853" s="23"/>
      <c r="N853" s="24"/>
      <c r="O853" s="25"/>
      <c r="P853" s="26"/>
      <c r="Q853" s="27"/>
      <c r="R853" s="28"/>
      <c r="S853" s="29"/>
      <c r="T853" s="30"/>
    </row>
    <row r="854" spans="1:20" ht="24" customHeight="1" x14ac:dyDescent="0.25">
      <c r="A854" t="str">
        <f>IF('e1'!A854&gt;0,HYPERLINK("#"&amp;ADDRESS(854,'e1'!A854),""),IF('r1'!A854&gt;0,HYPERLINK("#"&amp;ADDRESS(854,'r1'!A854),""),""))</f>
        <v/>
      </c>
      <c r="C854" s="13"/>
      <c r="D854" s="14"/>
      <c r="E854" s="15"/>
      <c r="F854" s="16"/>
      <c r="G854" s="17"/>
      <c r="H854" s="18"/>
      <c r="I854" s="19"/>
      <c r="J854" s="20"/>
      <c r="K854" s="21"/>
      <c r="L854" s="22"/>
      <c r="M854" s="23"/>
      <c r="N854" s="24"/>
      <c r="O854" s="25"/>
      <c r="P854" s="26"/>
      <c r="Q854" s="27"/>
      <c r="R854" s="28"/>
      <c r="S854" s="29"/>
      <c r="T854" s="30"/>
    </row>
    <row r="855" spans="1:20" ht="24" customHeight="1" x14ac:dyDescent="0.25">
      <c r="A855" t="str">
        <f>IF('e1'!A855&gt;0,HYPERLINK("#"&amp;ADDRESS(855,'e1'!A855),""),IF('r1'!A855&gt;0,HYPERLINK("#"&amp;ADDRESS(855,'r1'!A855),""),""))</f>
        <v/>
      </c>
      <c r="C855" s="13"/>
      <c r="D855" s="14"/>
      <c r="E855" s="15"/>
      <c r="F855" s="16"/>
      <c r="G855" s="17"/>
      <c r="H855" s="18"/>
      <c r="I855" s="19"/>
      <c r="J855" s="20"/>
      <c r="K855" s="21"/>
      <c r="L855" s="22"/>
      <c r="M855" s="23"/>
      <c r="N855" s="24"/>
      <c r="O855" s="25"/>
      <c r="P855" s="26"/>
      <c r="Q855" s="27"/>
      <c r="R855" s="28"/>
      <c r="S855" s="29"/>
      <c r="T855" s="30"/>
    </row>
    <row r="856" spans="1:20" ht="24" customHeight="1" x14ac:dyDescent="0.25">
      <c r="A856" t="str">
        <f>IF('e1'!A856&gt;0,HYPERLINK("#"&amp;ADDRESS(856,'e1'!A856),""),IF('r1'!A856&gt;0,HYPERLINK("#"&amp;ADDRESS(856,'r1'!A856),""),""))</f>
        <v/>
      </c>
      <c r="C856" s="13"/>
      <c r="D856" s="14"/>
      <c r="E856" s="15"/>
      <c r="F856" s="16"/>
      <c r="G856" s="17"/>
      <c r="H856" s="18"/>
      <c r="I856" s="19"/>
      <c r="J856" s="20"/>
      <c r="K856" s="21"/>
      <c r="L856" s="22"/>
      <c r="M856" s="23"/>
      <c r="N856" s="24"/>
      <c r="O856" s="25"/>
      <c r="P856" s="26"/>
      <c r="Q856" s="27"/>
      <c r="R856" s="28"/>
      <c r="S856" s="29"/>
      <c r="T856" s="30"/>
    </row>
    <row r="857" spans="1:20" ht="24" customHeight="1" x14ac:dyDescent="0.25">
      <c r="A857" t="str">
        <f>IF('e1'!A857&gt;0,HYPERLINK("#"&amp;ADDRESS(857,'e1'!A857),""),IF('r1'!A857&gt;0,HYPERLINK("#"&amp;ADDRESS(857,'r1'!A857),""),""))</f>
        <v/>
      </c>
      <c r="C857" s="13"/>
      <c r="D857" s="14"/>
      <c r="E857" s="15"/>
      <c r="F857" s="16"/>
      <c r="G857" s="17"/>
      <c r="H857" s="18"/>
      <c r="I857" s="19"/>
      <c r="J857" s="20"/>
      <c r="K857" s="21"/>
      <c r="L857" s="22"/>
      <c r="M857" s="23"/>
      <c r="N857" s="24"/>
      <c r="O857" s="25"/>
      <c r="P857" s="26"/>
      <c r="Q857" s="27"/>
      <c r="R857" s="28"/>
      <c r="S857" s="29"/>
      <c r="T857" s="30"/>
    </row>
    <row r="858" spans="1:20" ht="24" customHeight="1" x14ac:dyDescent="0.25">
      <c r="A858" t="str">
        <f>IF('e1'!A858&gt;0,HYPERLINK("#"&amp;ADDRESS(858,'e1'!A858),""),IF('r1'!A858&gt;0,HYPERLINK("#"&amp;ADDRESS(858,'r1'!A858),""),""))</f>
        <v/>
      </c>
      <c r="C858" s="13"/>
      <c r="D858" s="14"/>
      <c r="E858" s="15"/>
      <c r="F858" s="16"/>
      <c r="G858" s="17"/>
      <c r="H858" s="18"/>
      <c r="I858" s="19"/>
      <c r="J858" s="20"/>
      <c r="K858" s="21"/>
      <c r="L858" s="22"/>
      <c r="M858" s="23"/>
      <c r="N858" s="24"/>
      <c r="O858" s="25"/>
      <c r="P858" s="26"/>
      <c r="Q858" s="27"/>
      <c r="R858" s="28"/>
      <c r="S858" s="29"/>
      <c r="T858" s="30"/>
    </row>
    <row r="859" spans="1:20" ht="24" customHeight="1" x14ac:dyDescent="0.25">
      <c r="A859" t="str">
        <f>IF('e1'!A859&gt;0,HYPERLINK("#"&amp;ADDRESS(859,'e1'!A859),""),IF('r1'!A859&gt;0,HYPERLINK("#"&amp;ADDRESS(859,'r1'!A859),""),""))</f>
        <v/>
      </c>
      <c r="C859" s="13"/>
      <c r="D859" s="14"/>
      <c r="E859" s="15"/>
      <c r="F859" s="16"/>
      <c r="G859" s="17"/>
      <c r="H859" s="18"/>
      <c r="I859" s="19"/>
      <c r="J859" s="20"/>
      <c r="K859" s="21"/>
      <c r="L859" s="22"/>
      <c r="M859" s="23"/>
      <c r="N859" s="24"/>
      <c r="O859" s="25"/>
      <c r="P859" s="26"/>
      <c r="Q859" s="27"/>
      <c r="R859" s="28"/>
      <c r="S859" s="29"/>
      <c r="T859" s="30"/>
    </row>
    <row r="860" spans="1:20" ht="24" customHeight="1" x14ac:dyDescent="0.25">
      <c r="A860" t="str">
        <f>IF('e1'!A860&gt;0,HYPERLINK("#"&amp;ADDRESS(860,'e1'!A860),""),IF('r1'!A860&gt;0,HYPERLINK("#"&amp;ADDRESS(860,'r1'!A860),""),""))</f>
        <v/>
      </c>
      <c r="C860" s="13"/>
      <c r="D860" s="14"/>
      <c r="E860" s="15"/>
      <c r="F860" s="16"/>
      <c r="G860" s="17"/>
      <c r="H860" s="18"/>
      <c r="I860" s="19"/>
      <c r="J860" s="20"/>
      <c r="K860" s="21"/>
      <c r="L860" s="22"/>
      <c r="M860" s="23"/>
      <c r="N860" s="24"/>
      <c r="O860" s="25"/>
      <c r="P860" s="26"/>
      <c r="Q860" s="27"/>
      <c r="R860" s="28"/>
      <c r="S860" s="29"/>
      <c r="T860" s="30"/>
    </row>
    <row r="861" spans="1:20" ht="24" customHeight="1" x14ac:dyDescent="0.25">
      <c r="A861" t="str">
        <f>IF('e1'!A861&gt;0,HYPERLINK("#"&amp;ADDRESS(861,'e1'!A861),""),IF('r1'!A861&gt;0,HYPERLINK("#"&amp;ADDRESS(861,'r1'!A861),""),""))</f>
        <v/>
      </c>
      <c r="C861" s="13"/>
      <c r="D861" s="14"/>
      <c r="E861" s="15"/>
      <c r="F861" s="16"/>
      <c r="G861" s="17"/>
      <c r="H861" s="18"/>
      <c r="I861" s="19"/>
      <c r="J861" s="20"/>
      <c r="K861" s="21"/>
      <c r="L861" s="22"/>
      <c r="M861" s="23"/>
      <c r="N861" s="24"/>
      <c r="O861" s="25"/>
      <c r="P861" s="26"/>
      <c r="Q861" s="27"/>
      <c r="R861" s="28"/>
      <c r="S861" s="29"/>
      <c r="T861" s="30"/>
    </row>
    <row r="862" spans="1:20" ht="24" customHeight="1" x14ac:dyDescent="0.25">
      <c r="A862" t="str">
        <f>IF('e1'!A862&gt;0,HYPERLINK("#"&amp;ADDRESS(862,'e1'!A862),""),IF('r1'!A862&gt;0,HYPERLINK("#"&amp;ADDRESS(862,'r1'!A862),""),""))</f>
        <v/>
      </c>
      <c r="C862" s="13"/>
      <c r="D862" s="14"/>
      <c r="E862" s="15"/>
      <c r="F862" s="16"/>
      <c r="G862" s="17"/>
      <c r="H862" s="18"/>
      <c r="I862" s="19"/>
      <c r="J862" s="20"/>
      <c r="K862" s="21"/>
      <c r="L862" s="22"/>
      <c r="M862" s="23"/>
      <c r="N862" s="24"/>
      <c r="O862" s="25"/>
      <c r="P862" s="26"/>
      <c r="Q862" s="27"/>
      <c r="R862" s="28"/>
      <c r="S862" s="29"/>
      <c r="T862" s="30"/>
    </row>
    <row r="863" spans="1:20" ht="24" customHeight="1" x14ac:dyDescent="0.25">
      <c r="A863" t="str">
        <f>IF('e1'!A863&gt;0,HYPERLINK("#"&amp;ADDRESS(863,'e1'!A863),""),IF('r1'!A863&gt;0,HYPERLINK("#"&amp;ADDRESS(863,'r1'!A863),""),""))</f>
        <v/>
      </c>
      <c r="C863" s="13"/>
      <c r="D863" s="14"/>
      <c r="E863" s="15"/>
      <c r="F863" s="16"/>
      <c r="G863" s="17"/>
      <c r="H863" s="18"/>
      <c r="I863" s="19"/>
      <c r="J863" s="20"/>
      <c r="K863" s="21"/>
      <c r="L863" s="22"/>
      <c r="M863" s="23"/>
      <c r="N863" s="24"/>
      <c r="O863" s="25"/>
      <c r="P863" s="26"/>
      <c r="Q863" s="27"/>
      <c r="R863" s="28"/>
      <c r="S863" s="29"/>
      <c r="T863" s="30"/>
    </row>
    <row r="864" spans="1:20" ht="24" customHeight="1" x14ac:dyDescent="0.25">
      <c r="A864" t="str">
        <f>IF('e1'!A864&gt;0,HYPERLINK("#"&amp;ADDRESS(864,'e1'!A864),""),IF('r1'!A864&gt;0,HYPERLINK("#"&amp;ADDRESS(864,'r1'!A864),""),""))</f>
        <v/>
      </c>
      <c r="C864" s="13"/>
      <c r="D864" s="14"/>
      <c r="E864" s="15"/>
      <c r="F864" s="16"/>
      <c r="G864" s="17"/>
      <c r="H864" s="18"/>
      <c r="I864" s="19"/>
      <c r="J864" s="20"/>
      <c r="K864" s="21"/>
      <c r="L864" s="22"/>
      <c r="M864" s="23"/>
      <c r="N864" s="24"/>
      <c r="O864" s="25"/>
      <c r="P864" s="26"/>
      <c r="Q864" s="27"/>
      <c r="R864" s="28"/>
      <c r="S864" s="29"/>
      <c r="T864" s="30"/>
    </row>
    <row r="865" spans="1:20" ht="24" customHeight="1" x14ac:dyDescent="0.25">
      <c r="A865" t="str">
        <f>IF('e1'!A865&gt;0,HYPERLINK("#"&amp;ADDRESS(865,'e1'!A865),""),IF('r1'!A865&gt;0,HYPERLINK("#"&amp;ADDRESS(865,'r1'!A865),""),""))</f>
        <v/>
      </c>
      <c r="C865" s="13"/>
      <c r="D865" s="14"/>
      <c r="E865" s="15"/>
      <c r="F865" s="16"/>
      <c r="G865" s="17"/>
      <c r="H865" s="18"/>
      <c r="I865" s="19"/>
      <c r="J865" s="20"/>
      <c r="K865" s="21"/>
      <c r="L865" s="22"/>
      <c r="M865" s="23"/>
      <c r="N865" s="24"/>
      <c r="O865" s="25"/>
      <c r="P865" s="26"/>
      <c r="Q865" s="27"/>
      <c r="R865" s="28"/>
      <c r="S865" s="29"/>
      <c r="T865" s="30"/>
    </row>
    <row r="866" spans="1:20" ht="24" customHeight="1" x14ac:dyDescent="0.25">
      <c r="A866" t="str">
        <f>IF('e1'!A866&gt;0,HYPERLINK("#"&amp;ADDRESS(866,'e1'!A866),""),IF('r1'!A866&gt;0,HYPERLINK("#"&amp;ADDRESS(866,'r1'!A866),""),""))</f>
        <v/>
      </c>
      <c r="C866" s="13"/>
      <c r="D866" s="14"/>
      <c r="E866" s="15"/>
      <c r="F866" s="16"/>
      <c r="G866" s="17"/>
      <c r="H866" s="18"/>
      <c r="I866" s="19"/>
      <c r="J866" s="20"/>
      <c r="K866" s="21"/>
      <c r="L866" s="22"/>
      <c r="M866" s="23"/>
      <c r="N866" s="24"/>
      <c r="O866" s="25"/>
      <c r="P866" s="26"/>
      <c r="Q866" s="27"/>
      <c r="R866" s="28"/>
      <c r="S866" s="29"/>
      <c r="T866" s="30"/>
    </row>
    <row r="867" spans="1:20" ht="24" customHeight="1" x14ac:dyDescent="0.25">
      <c r="A867" t="str">
        <f>IF('e1'!A867&gt;0,HYPERLINK("#"&amp;ADDRESS(867,'e1'!A867),""),IF('r1'!A867&gt;0,HYPERLINK("#"&amp;ADDRESS(867,'r1'!A867),""),""))</f>
        <v/>
      </c>
      <c r="C867" s="13"/>
      <c r="D867" s="14"/>
      <c r="E867" s="15"/>
      <c r="F867" s="16"/>
      <c r="G867" s="17"/>
      <c r="H867" s="18"/>
      <c r="I867" s="19"/>
      <c r="J867" s="20"/>
      <c r="K867" s="21"/>
      <c r="L867" s="22"/>
      <c r="M867" s="23"/>
      <c r="N867" s="24"/>
      <c r="O867" s="25"/>
      <c r="P867" s="26"/>
      <c r="Q867" s="27"/>
      <c r="R867" s="28"/>
      <c r="S867" s="29"/>
      <c r="T867" s="30"/>
    </row>
    <row r="868" spans="1:20" ht="24" customHeight="1" x14ac:dyDescent="0.25">
      <c r="A868" t="str">
        <f>IF('e1'!A868&gt;0,HYPERLINK("#"&amp;ADDRESS(868,'e1'!A868),""),IF('r1'!A868&gt;0,HYPERLINK("#"&amp;ADDRESS(868,'r1'!A868),""),""))</f>
        <v/>
      </c>
      <c r="C868" s="13"/>
      <c r="D868" s="14"/>
      <c r="E868" s="15"/>
      <c r="F868" s="16"/>
      <c r="G868" s="17"/>
      <c r="H868" s="18"/>
      <c r="I868" s="19"/>
      <c r="J868" s="20"/>
      <c r="K868" s="21"/>
      <c r="L868" s="22"/>
      <c r="M868" s="23"/>
      <c r="N868" s="24"/>
      <c r="O868" s="25"/>
      <c r="P868" s="26"/>
      <c r="Q868" s="27"/>
      <c r="R868" s="28"/>
      <c r="S868" s="29"/>
      <c r="T868" s="30"/>
    </row>
    <row r="869" spans="1:20" ht="24" customHeight="1" x14ac:dyDescent="0.25">
      <c r="A869" t="str">
        <f>IF('e1'!A869&gt;0,HYPERLINK("#"&amp;ADDRESS(869,'e1'!A869),""),IF('r1'!A869&gt;0,HYPERLINK("#"&amp;ADDRESS(869,'r1'!A869),""),""))</f>
        <v/>
      </c>
      <c r="C869" s="13"/>
      <c r="D869" s="14"/>
      <c r="E869" s="15"/>
      <c r="F869" s="16"/>
      <c r="G869" s="17"/>
      <c r="H869" s="18"/>
      <c r="I869" s="19"/>
      <c r="J869" s="20"/>
      <c r="K869" s="21"/>
      <c r="L869" s="22"/>
      <c r="M869" s="23"/>
      <c r="N869" s="24"/>
      <c r="O869" s="25"/>
      <c r="P869" s="26"/>
      <c r="Q869" s="27"/>
      <c r="R869" s="28"/>
      <c r="S869" s="29"/>
      <c r="T869" s="30"/>
    </row>
    <row r="870" spans="1:20" ht="24" customHeight="1" x14ac:dyDescent="0.25">
      <c r="A870" t="str">
        <f>IF('e1'!A870&gt;0,HYPERLINK("#"&amp;ADDRESS(870,'e1'!A870),""),IF('r1'!A870&gt;0,HYPERLINK("#"&amp;ADDRESS(870,'r1'!A870),""),""))</f>
        <v/>
      </c>
      <c r="C870" s="13"/>
      <c r="D870" s="14"/>
      <c r="E870" s="15"/>
      <c r="F870" s="16"/>
      <c r="G870" s="17"/>
      <c r="H870" s="18"/>
      <c r="I870" s="19"/>
      <c r="J870" s="20"/>
      <c r="K870" s="21"/>
      <c r="L870" s="22"/>
      <c r="M870" s="23"/>
      <c r="N870" s="24"/>
      <c r="O870" s="25"/>
      <c r="P870" s="26"/>
      <c r="Q870" s="27"/>
      <c r="R870" s="28"/>
      <c r="S870" s="29"/>
      <c r="T870" s="30"/>
    </row>
    <row r="871" spans="1:20" ht="24" customHeight="1" x14ac:dyDescent="0.25">
      <c r="A871" t="str">
        <f>IF('e1'!A871&gt;0,HYPERLINK("#"&amp;ADDRESS(871,'e1'!A871),""),IF('r1'!A871&gt;0,HYPERLINK("#"&amp;ADDRESS(871,'r1'!A871),""),""))</f>
        <v/>
      </c>
      <c r="C871" s="13"/>
      <c r="D871" s="14"/>
      <c r="E871" s="15"/>
      <c r="F871" s="16"/>
      <c r="G871" s="17"/>
      <c r="H871" s="18"/>
      <c r="I871" s="19"/>
      <c r="J871" s="20"/>
      <c r="K871" s="21"/>
      <c r="L871" s="22"/>
      <c r="M871" s="23"/>
      <c r="N871" s="24"/>
      <c r="O871" s="25"/>
      <c r="P871" s="26"/>
      <c r="Q871" s="27"/>
      <c r="R871" s="28"/>
      <c r="S871" s="29"/>
      <c r="T871" s="30"/>
    </row>
    <row r="872" spans="1:20" ht="24" customHeight="1" x14ac:dyDescent="0.25">
      <c r="A872" t="str">
        <f>IF('e1'!A872&gt;0,HYPERLINK("#"&amp;ADDRESS(872,'e1'!A872),""),IF('r1'!A872&gt;0,HYPERLINK("#"&amp;ADDRESS(872,'r1'!A872),""),""))</f>
        <v/>
      </c>
      <c r="C872" s="13"/>
      <c r="D872" s="14"/>
      <c r="E872" s="15"/>
      <c r="F872" s="16"/>
      <c r="G872" s="17"/>
      <c r="H872" s="18"/>
      <c r="I872" s="19"/>
      <c r="J872" s="20"/>
      <c r="K872" s="21"/>
      <c r="L872" s="22"/>
      <c r="M872" s="23"/>
      <c r="N872" s="24"/>
      <c r="O872" s="25"/>
      <c r="P872" s="26"/>
      <c r="Q872" s="27"/>
      <c r="R872" s="28"/>
      <c r="S872" s="29"/>
      <c r="T872" s="30"/>
    </row>
    <row r="873" spans="1:20" ht="24" customHeight="1" x14ac:dyDescent="0.25">
      <c r="A873" t="str">
        <f>IF('e1'!A873&gt;0,HYPERLINK("#"&amp;ADDRESS(873,'e1'!A873),""),IF('r1'!A873&gt;0,HYPERLINK("#"&amp;ADDRESS(873,'r1'!A873),""),""))</f>
        <v/>
      </c>
      <c r="C873" s="13"/>
      <c r="D873" s="14"/>
      <c r="E873" s="15"/>
      <c r="F873" s="16"/>
      <c r="G873" s="17"/>
      <c r="H873" s="18"/>
      <c r="I873" s="19"/>
      <c r="J873" s="20"/>
      <c r="K873" s="21"/>
      <c r="L873" s="22"/>
      <c r="M873" s="23"/>
      <c r="N873" s="24"/>
      <c r="O873" s="25"/>
      <c r="P873" s="26"/>
      <c r="Q873" s="27"/>
      <c r="R873" s="28"/>
      <c r="S873" s="29"/>
      <c r="T873" s="30"/>
    </row>
    <row r="874" spans="1:20" ht="24" customHeight="1" x14ac:dyDescent="0.25">
      <c r="A874" t="str">
        <f>IF('e1'!A874&gt;0,HYPERLINK("#"&amp;ADDRESS(874,'e1'!A874),""),IF('r1'!A874&gt;0,HYPERLINK("#"&amp;ADDRESS(874,'r1'!A874),""),""))</f>
        <v/>
      </c>
      <c r="C874" s="13"/>
      <c r="D874" s="14"/>
      <c r="E874" s="15"/>
      <c r="F874" s="16"/>
      <c r="G874" s="17"/>
      <c r="H874" s="18"/>
      <c r="I874" s="19"/>
      <c r="J874" s="20"/>
      <c r="K874" s="21"/>
      <c r="L874" s="22"/>
      <c r="M874" s="23"/>
      <c r="N874" s="24"/>
      <c r="O874" s="25"/>
      <c r="P874" s="26"/>
      <c r="Q874" s="27"/>
      <c r="R874" s="28"/>
      <c r="S874" s="29"/>
      <c r="T874" s="30"/>
    </row>
    <row r="875" spans="1:20" ht="24" customHeight="1" x14ac:dyDescent="0.25">
      <c r="A875" t="str">
        <f>IF('e1'!A875&gt;0,HYPERLINK("#"&amp;ADDRESS(875,'e1'!A875),""),IF('r1'!A875&gt;0,HYPERLINK("#"&amp;ADDRESS(875,'r1'!A875),""),""))</f>
        <v/>
      </c>
      <c r="C875" s="13"/>
      <c r="D875" s="14"/>
      <c r="E875" s="15"/>
      <c r="F875" s="16"/>
      <c r="G875" s="17"/>
      <c r="H875" s="18"/>
      <c r="I875" s="19"/>
      <c r="J875" s="20"/>
      <c r="K875" s="21"/>
      <c r="L875" s="22"/>
      <c r="M875" s="23"/>
      <c r="N875" s="24"/>
      <c r="O875" s="25"/>
      <c r="P875" s="26"/>
      <c r="Q875" s="27"/>
      <c r="R875" s="28"/>
      <c r="S875" s="29"/>
      <c r="T875" s="30"/>
    </row>
    <row r="876" spans="1:20" ht="24" customHeight="1" x14ac:dyDescent="0.25">
      <c r="A876" t="str">
        <f>IF('e1'!A876&gt;0,HYPERLINK("#"&amp;ADDRESS(876,'e1'!A876),""),IF('r1'!A876&gt;0,HYPERLINK("#"&amp;ADDRESS(876,'r1'!A876),""),""))</f>
        <v/>
      </c>
      <c r="C876" s="13"/>
      <c r="D876" s="14"/>
      <c r="E876" s="15"/>
      <c r="F876" s="16"/>
      <c r="G876" s="17"/>
      <c r="H876" s="18"/>
      <c r="I876" s="19"/>
      <c r="J876" s="20"/>
      <c r="K876" s="21"/>
      <c r="L876" s="22"/>
      <c r="M876" s="23"/>
      <c r="N876" s="24"/>
      <c r="O876" s="25"/>
      <c r="P876" s="26"/>
      <c r="Q876" s="27"/>
      <c r="R876" s="28"/>
      <c r="S876" s="29"/>
      <c r="T876" s="30"/>
    </row>
    <row r="877" spans="1:20" ht="24" customHeight="1" x14ac:dyDescent="0.25">
      <c r="A877" t="str">
        <f>IF('e1'!A877&gt;0,HYPERLINK("#"&amp;ADDRESS(877,'e1'!A877),""),IF('r1'!A877&gt;0,HYPERLINK("#"&amp;ADDRESS(877,'r1'!A877),""),""))</f>
        <v/>
      </c>
      <c r="C877" s="13"/>
      <c r="D877" s="14"/>
      <c r="E877" s="15"/>
      <c r="F877" s="16"/>
      <c r="G877" s="17"/>
      <c r="H877" s="18"/>
      <c r="I877" s="19"/>
      <c r="J877" s="20"/>
      <c r="K877" s="21"/>
      <c r="L877" s="22"/>
      <c r="M877" s="23"/>
      <c r="N877" s="24"/>
      <c r="O877" s="25"/>
      <c r="P877" s="26"/>
      <c r="Q877" s="27"/>
      <c r="R877" s="28"/>
      <c r="S877" s="29"/>
      <c r="T877" s="30"/>
    </row>
    <row r="878" spans="1:20" ht="24" customHeight="1" x14ac:dyDescent="0.25">
      <c r="A878" t="str">
        <f>IF('e1'!A878&gt;0,HYPERLINK("#"&amp;ADDRESS(878,'e1'!A878),""),IF('r1'!A878&gt;0,HYPERLINK("#"&amp;ADDRESS(878,'r1'!A878),""),""))</f>
        <v/>
      </c>
      <c r="C878" s="13"/>
      <c r="D878" s="14"/>
      <c r="E878" s="15"/>
      <c r="F878" s="16"/>
      <c r="G878" s="17"/>
      <c r="H878" s="18"/>
      <c r="I878" s="19"/>
      <c r="J878" s="20"/>
      <c r="K878" s="21"/>
      <c r="L878" s="22"/>
      <c r="M878" s="23"/>
      <c r="N878" s="24"/>
      <c r="O878" s="25"/>
      <c r="P878" s="26"/>
      <c r="Q878" s="27"/>
      <c r="R878" s="28"/>
      <c r="S878" s="29"/>
      <c r="T878" s="30"/>
    </row>
    <row r="879" spans="1:20" ht="24" customHeight="1" x14ac:dyDescent="0.25">
      <c r="A879" t="str">
        <f>IF('e1'!A879&gt;0,HYPERLINK("#"&amp;ADDRESS(879,'e1'!A879),""),IF('r1'!A879&gt;0,HYPERLINK("#"&amp;ADDRESS(879,'r1'!A879),""),""))</f>
        <v/>
      </c>
      <c r="C879" s="13"/>
      <c r="D879" s="14"/>
      <c r="E879" s="15"/>
      <c r="F879" s="16"/>
      <c r="G879" s="17"/>
      <c r="H879" s="18"/>
      <c r="I879" s="19"/>
      <c r="J879" s="20"/>
      <c r="K879" s="21"/>
      <c r="L879" s="22"/>
      <c r="M879" s="23"/>
      <c r="N879" s="24"/>
      <c r="O879" s="25"/>
      <c r="P879" s="26"/>
      <c r="Q879" s="27"/>
      <c r="R879" s="28"/>
      <c r="S879" s="29"/>
      <c r="T879" s="30"/>
    </row>
    <row r="880" spans="1:20" ht="24" customHeight="1" x14ac:dyDescent="0.25">
      <c r="A880" t="str">
        <f>IF('e1'!A880&gt;0,HYPERLINK("#"&amp;ADDRESS(880,'e1'!A880),""),IF('r1'!A880&gt;0,HYPERLINK("#"&amp;ADDRESS(880,'r1'!A880),""),""))</f>
        <v/>
      </c>
      <c r="C880" s="13"/>
      <c r="D880" s="14"/>
      <c r="E880" s="15"/>
      <c r="F880" s="16"/>
      <c r="G880" s="17"/>
      <c r="H880" s="18"/>
      <c r="I880" s="19"/>
      <c r="J880" s="20"/>
      <c r="K880" s="21"/>
      <c r="L880" s="22"/>
      <c r="M880" s="23"/>
      <c r="N880" s="24"/>
      <c r="O880" s="25"/>
      <c r="P880" s="26"/>
      <c r="Q880" s="27"/>
      <c r="R880" s="28"/>
      <c r="S880" s="29"/>
      <c r="T880" s="30"/>
    </row>
    <row r="881" spans="1:20" ht="24" customHeight="1" x14ac:dyDescent="0.25">
      <c r="A881" t="str">
        <f>IF('e1'!A881&gt;0,HYPERLINK("#"&amp;ADDRESS(881,'e1'!A881),""),IF('r1'!A881&gt;0,HYPERLINK("#"&amp;ADDRESS(881,'r1'!A881),""),""))</f>
        <v/>
      </c>
      <c r="C881" s="13"/>
      <c r="D881" s="14"/>
      <c r="E881" s="15"/>
      <c r="F881" s="16"/>
      <c r="G881" s="17"/>
      <c r="H881" s="18"/>
      <c r="I881" s="19"/>
      <c r="J881" s="20"/>
      <c r="K881" s="21"/>
      <c r="L881" s="22"/>
      <c r="M881" s="23"/>
      <c r="N881" s="24"/>
      <c r="O881" s="25"/>
      <c r="P881" s="26"/>
      <c r="Q881" s="27"/>
      <c r="R881" s="28"/>
      <c r="S881" s="29"/>
      <c r="T881" s="30"/>
    </row>
    <row r="882" spans="1:20" ht="24" customHeight="1" x14ac:dyDescent="0.25">
      <c r="A882" t="str">
        <f>IF('e1'!A882&gt;0,HYPERLINK("#"&amp;ADDRESS(882,'e1'!A882),""),IF('r1'!A882&gt;0,HYPERLINK("#"&amp;ADDRESS(882,'r1'!A882),""),""))</f>
        <v/>
      </c>
      <c r="C882" s="13"/>
      <c r="D882" s="14"/>
      <c r="E882" s="15"/>
      <c r="F882" s="16"/>
      <c r="G882" s="17"/>
      <c r="H882" s="18"/>
      <c r="I882" s="19"/>
      <c r="J882" s="20"/>
      <c r="K882" s="21"/>
      <c r="L882" s="22"/>
      <c r="M882" s="23"/>
      <c r="N882" s="24"/>
      <c r="O882" s="25"/>
      <c r="P882" s="26"/>
      <c r="Q882" s="27"/>
      <c r="R882" s="28"/>
      <c r="S882" s="29"/>
      <c r="T882" s="30"/>
    </row>
    <row r="883" spans="1:20" ht="24" customHeight="1" x14ac:dyDescent="0.25">
      <c r="A883" t="str">
        <f>IF('e1'!A883&gt;0,HYPERLINK("#"&amp;ADDRESS(883,'e1'!A883),""),IF('r1'!A883&gt;0,HYPERLINK("#"&amp;ADDRESS(883,'r1'!A883),""),""))</f>
        <v/>
      </c>
      <c r="C883" s="13"/>
      <c r="D883" s="14"/>
      <c r="E883" s="15"/>
      <c r="F883" s="16"/>
      <c r="G883" s="17"/>
      <c r="H883" s="18"/>
      <c r="I883" s="19"/>
      <c r="J883" s="20"/>
      <c r="K883" s="21"/>
      <c r="L883" s="22"/>
      <c r="M883" s="23"/>
      <c r="N883" s="24"/>
      <c r="O883" s="25"/>
      <c r="P883" s="26"/>
      <c r="Q883" s="27"/>
      <c r="R883" s="28"/>
      <c r="S883" s="29"/>
      <c r="T883" s="30"/>
    </row>
    <row r="884" spans="1:20" ht="24" customHeight="1" x14ac:dyDescent="0.25">
      <c r="A884" t="str">
        <f>IF('e1'!A884&gt;0,HYPERLINK("#"&amp;ADDRESS(884,'e1'!A884),""),IF('r1'!A884&gt;0,HYPERLINK("#"&amp;ADDRESS(884,'r1'!A884),""),""))</f>
        <v/>
      </c>
      <c r="C884" s="13"/>
      <c r="D884" s="14"/>
      <c r="E884" s="15"/>
      <c r="F884" s="16"/>
      <c r="G884" s="17"/>
      <c r="H884" s="18"/>
      <c r="I884" s="19"/>
      <c r="J884" s="20"/>
      <c r="K884" s="21"/>
      <c r="L884" s="22"/>
      <c r="M884" s="23"/>
      <c r="N884" s="24"/>
      <c r="O884" s="25"/>
      <c r="P884" s="26"/>
      <c r="Q884" s="27"/>
      <c r="R884" s="28"/>
      <c r="S884" s="29"/>
      <c r="T884" s="30"/>
    </row>
    <row r="885" spans="1:20" ht="24" customHeight="1" x14ac:dyDescent="0.25">
      <c r="A885" t="str">
        <f>IF('e1'!A885&gt;0,HYPERLINK("#"&amp;ADDRESS(885,'e1'!A885),""),IF('r1'!A885&gt;0,HYPERLINK("#"&amp;ADDRESS(885,'r1'!A885),""),""))</f>
        <v/>
      </c>
      <c r="C885" s="13"/>
      <c r="D885" s="14"/>
      <c r="E885" s="15"/>
      <c r="F885" s="16"/>
      <c r="G885" s="17"/>
      <c r="H885" s="18"/>
      <c r="I885" s="19"/>
      <c r="J885" s="20"/>
      <c r="K885" s="21"/>
      <c r="L885" s="22"/>
      <c r="M885" s="23"/>
      <c r="N885" s="24"/>
      <c r="O885" s="25"/>
      <c r="P885" s="26"/>
      <c r="Q885" s="27"/>
      <c r="R885" s="28"/>
      <c r="S885" s="29"/>
      <c r="T885" s="30"/>
    </row>
    <row r="886" spans="1:20" ht="24" customHeight="1" x14ac:dyDescent="0.25">
      <c r="A886" t="str">
        <f>IF('e1'!A886&gt;0,HYPERLINK("#"&amp;ADDRESS(886,'e1'!A886),""),IF('r1'!A886&gt;0,HYPERLINK("#"&amp;ADDRESS(886,'r1'!A886),""),""))</f>
        <v/>
      </c>
      <c r="C886" s="13"/>
      <c r="D886" s="14"/>
      <c r="E886" s="15"/>
      <c r="F886" s="16"/>
      <c r="G886" s="17"/>
      <c r="H886" s="18"/>
      <c r="I886" s="19"/>
      <c r="J886" s="20"/>
      <c r="K886" s="21"/>
      <c r="L886" s="22"/>
      <c r="M886" s="23"/>
      <c r="N886" s="24"/>
      <c r="O886" s="25"/>
      <c r="P886" s="26"/>
      <c r="Q886" s="27"/>
      <c r="R886" s="28"/>
      <c r="S886" s="29"/>
      <c r="T886" s="30"/>
    </row>
    <row r="887" spans="1:20" ht="24" customHeight="1" x14ac:dyDescent="0.25">
      <c r="A887" t="str">
        <f>IF('e1'!A887&gt;0,HYPERLINK("#"&amp;ADDRESS(887,'e1'!A887),""),IF('r1'!A887&gt;0,HYPERLINK("#"&amp;ADDRESS(887,'r1'!A887),""),""))</f>
        <v/>
      </c>
      <c r="C887" s="13"/>
      <c r="D887" s="14"/>
      <c r="E887" s="15"/>
      <c r="F887" s="16"/>
      <c r="G887" s="17"/>
      <c r="H887" s="18"/>
      <c r="I887" s="19"/>
      <c r="J887" s="20"/>
      <c r="K887" s="21"/>
      <c r="L887" s="22"/>
      <c r="M887" s="23"/>
      <c r="N887" s="24"/>
      <c r="O887" s="25"/>
      <c r="P887" s="26"/>
      <c r="Q887" s="27"/>
      <c r="R887" s="28"/>
      <c r="S887" s="29"/>
      <c r="T887" s="30"/>
    </row>
    <row r="888" spans="1:20" ht="24" customHeight="1" x14ac:dyDescent="0.25">
      <c r="A888" t="str">
        <f>IF('e1'!A888&gt;0,HYPERLINK("#"&amp;ADDRESS(888,'e1'!A888),""),IF('r1'!A888&gt;0,HYPERLINK("#"&amp;ADDRESS(888,'r1'!A888),""),""))</f>
        <v/>
      </c>
      <c r="C888" s="13"/>
      <c r="D888" s="14"/>
      <c r="E888" s="15"/>
      <c r="F888" s="16"/>
      <c r="G888" s="17"/>
      <c r="H888" s="18"/>
      <c r="I888" s="19"/>
      <c r="J888" s="20"/>
      <c r="K888" s="21"/>
      <c r="L888" s="22"/>
      <c r="M888" s="23"/>
      <c r="N888" s="24"/>
      <c r="O888" s="25"/>
      <c r="P888" s="26"/>
      <c r="Q888" s="27"/>
      <c r="R888" s="28"/>
      <c r="S888" s="29"/>
      <c r="T888" s="30"/>
    </row>
    <row r="889" spans="1:20" ht="24" customHeight="1" x14ac:dyDescent="0.25">
      <c r="A889" t="str">
        <f>IF('e1'!A889&gt;0,HYPERLINK("#"&amp;ADDRESS(889,'e1'!A889),""),IF('r1'!A889&gt;0,HYPERLINK("#"&amp;ADDRESS(889,'r1'!A889),""),""))</f>
        <v/>
      </c>
      <c r="C889" s="13"/>
      <c r="D889" s="14"/>
      <c r="E889" s="15"/>
      <c r="F889" s="16"/>
      <c r="G889" s="17"/>
      <c r="H889" s="18"/>
      <c r="I889" s="19"/>
      <c r="J889" s="20"/>
      <c r="K889" s="21"/>
      <c r="L889" s="22"/>
      <c r="M889" s="23"/>
      <c r="N889" s="24"/>
      <c r="O889" s="25"/>
      <c r="P889" s="26"/>
      <c r="Q889" s="27"/>
      <c r="R889" s="28"/>
      <c r="S889" s="29"/>
      <c r="T889" s="30"/>
    </row>
    <row r="890" spans="1:20" ht="24" customHeight="1" x14ac:dyDescent="0.25">
      <c r="A890" t="str">
        <f>IF('e1'!A890&gt;0,HYPERLINK("#"&amp;ADDRESS(890,'e1'!A890),""),IF('r1'!A890&gt;0,HYPERLINK("#"&amp;ADDRESS(890,'r1'!A890),""),""))</f>
        <v/>
      </c>
      <c r="C890" s="13"/>
      <c r="D890" s="14"/>
      <c r="E890" s="15"/>
      <c r="F890" s="16"/>
      <c r="G890" s="17"/>
      <c r="H890" s="18"/>
      <c r="I890" s="19"/>
      <c r="J890" s="20"/>
      <c r="K890" s="21"/>
      <c r="L890" s="22"/>
      <c r="M890" s="23"/>
      <c r="N890" s="24"/>
      <c r="O890" s="25"/>
      <c r="P890" s="26"/>
      <c r="Q890" s="27"/>
      <c r="R890" s="28"/>
      <c r="S890" s="29"/>
      <c r="T890" s="30"/>
    </row>
    <row r="891" spans="1:20" ht="24" customHeight="1" x14ac:dyDescent="0.25">
      <c r="A891" t="str">
        <f>IF('e1'!A891&gt;0,HYPERLINK("#"&amp;ADDRESS(891,'e1'!A891),""),IF('r1'!A891&gt;0,HYPERLINK("#"&amp;ADDRESS(891,'r1'!A891),""),""))</f>
        <v/>
      </c>
      <c r="C891" s="13"/>
      <c r="D891" s="14"/>
      <c r="E891" s="15"/>
      <c r="F891" s="16"/>
      <c r="G891" s="17"/>
      <c r="H891" s="18"/>
      <c r="I891" s="19"/>
      <c r="J891" s="20"/>
      <c r="K891" s="21"/>
      <c r="L891" s="22"/>
      <c r="M891" s="23"/>
      <c r="N891" s="24"/>
      <c r="O891" s="25"/>
      <c r="P891" s="26"/>
      <c r="Q891" s="27"/>
      <c r="R891" s="28"/>
      <c r="S891" s="29"/>
      <c r="T891" s="30"/>
    </row>
    <row r="892" spans="1:20" ht="24" customHeight="1" x14ac:dyDescent="0.25">
      <c r="A892" t="str">
        <f>IF('e1'!A892&gt;0,HYPERLINK("#"&amp;ADDRESS(892,'e1'!A892),""),IF('r1'!A892&gt;0,HYPERLINK("#"&amp;ADDRESS(892,'r1'!A892),""),""))</f>
        <v/>
      </c>
      <c r="C892" s="13"/>
      <c r="D892" s="14"/>
      <c r="E892" s="15"/>
      <c r="F892" s="16"/>
      <c r="G892" s="17"/>
      <c r="H892" s="18"/>
      <c r="I892" s="19"/>
      <c r="J892" s="20"/>
      <c r="K892" s="21"/>
      <c r="L892" s="22"/>
      <c r="M892" s="23"/>
      <c r="N892" s="24"/>
      <c r="O892" s="25"/>
      <c r="P892" s="26"/>
      <c r="Q892" s="27"/>
      <c r="R892" s="28"/>
      <c r="S892" s="29"/>
      <c r="T892" s="30"/>
    </row>
    <row r="893" spans="1:20" ht="24" customHeight="1" x14ac:dyDescent="0.25">
      <c r="A893" t="str">
        <f>IF('e1'!A893&gt;0,HYPERLINK("#"&amp;ADDRESS(893,'e1'!A893),""),IF('r1'!A893&gt;0,HYPERLINK("#"&amp;ADDRESS(893,'r1'!A893),""),""))</f>
        <v/>
      </c>
      <c r="C893" s="13"/>
      <c r="D893" s="14"/>
      <c r="E893" s="15"/>
      <c r="F893" s="16"/>
      <c r="G893" s="17"/>
      <c r="H893" s="18"/>
      <c r="I893" s="19"/>
      <c r="J893" s="20"/>
      <c r="K893" s="21"/>
      <c r="L893" s="22"/>
      <c r="M893" s="23"/>
      <c r="N893" s="24"/>
      <c r="O893" s="25"/>
      <c r="P893" s="26"/>
      <c r="Q893" s="27"/>
      <c r="R893" s="28"/>
      <c r="S893" s="29"/>
      <c r="T893" s="30"/>
    </row>
    <row r="894" spans="1:20" ht="24" customHeight="1" x14ac:dyDescent="0.25">
      <c r="A894" t="str">
        <f>IF('e1'!A894&gt;0,HYPERLINK("#"&amp;ADDRESS(894,'e1'!A894),""),IF('r1'!A894&gt;0,HYPERLINK("#"&amp;ADDRESS(894,'r1'!A894),""),""))</f>
        <v/>
      </c>
      <c r="C894" s="13"/>
      <c r="D894" s="14"/>
      <c r="E894" s="15"/>
      <c r="F894" s="16"/>
      <c r="G894" s="17"/>
      <c r="H894" s="18"/>
      <c r="I894" s="19"/>
      <c r="J894" s="20"/>
      <c r="K894" s="21"/>
      <c r="L894" s="22"/>
      <c r="M894" s="23"/>
      <c r="N894" s="24"/>
      <c r="O894" s="25"/>
      <c r="P894" s="26"/>
      <c r="Q894" s="27"/>
      <c r="R894" s="28"/>
      <c r="S894" s="29"/>
      <c r="T894" s="30"/>
    </row>
    <row r="895" spans="1:20" ht="24" customHeight="1" x14ac:dyDescent="0.25">
      <c r="A895" t="str">
        <f>IF('e1'!A895&gt;0,HYPERLINK("#"&amp;ADDRESS(895,'e1'!A895),""),IF('r1'!A895&gt;0,HYPERLINK("#"&amp;ADDRESS(895,'r1'!A895),""),""))</f>
        <v/>
      </c>
      <c r="C895" s="13"/>
      <c r="D895" s="14"/>
      <c r="E895" s="15"/>
      <c r="F895" s="16"/>
      <c r="G895" s="17"/>
      <c r="H895" s="18"/>
      <c r="I895" s="19"/>
      <c r="J895" s="20"/>
      <c r="K895" s="21"/>
      <c r="L895" s="22"/>
      <c r="M895" s="23"/>
      <c r="N895" s="24"/>
      <c r="O895" s="25"/>
      <c r="P895" s="26"/>
      <c r="Q895" s="27"/>
      <c r="R895" s="28"/>
      <c r="S895" s="29"/>
      <c r="T895" s="30"/>
    </row>
    <row r="896" spans="1:20" ht="24" customHeight="1" x14ac:dyDescent="0.25">
      <c r="A896" t="str">
        <f>IF('e1'!A896&gt;0,HYPERLINK("#"&amp;ADDRESS(896,'e1'!A896),""),IF('r1'!A896&gt;0,HYPERLINK("#"&amp;ADDRESS(896,'r1'!A896),""),""))</f>
        <v/>
      </c>
      <c r="C896" s="13"/>
      <c r="D896" s="14"/>
      <c r="E896" s="15"/>
      <c r="F896" s="16"/>
      <c r="G896" s="17"/>
      <c r="H896" s="18"/>
      <c r="I896" s="19"/>
      <c r="J896" s="20"/>
      <c r="K896" s="21"/>
      <c r="L896" s="22"/>
      <c r="M896" s="23"/>
      <c r="N896" s="24"/>
      <c r="O896" s="25"/>
      <c r="P896" s="26"/>
      <c r="Q896" s="27"/>
      <c r="R896" s="28"/>
      <c r="S896" s="29"/>
      <c r="T896" s="30"/>
    </row>
    <row r="897" spans="1:20" ht="24" customHeight="1" x14ac:dyDescent="0.25">
      <c r="A897" t="str">
        <f>IF('e1'!A897&gt;0,HYPERLINK("#"&amp;ADDRESS(897,'e1'!A897),""),IF('r1'!A897&gt;0,HYPERLINK("#"&amp;ADDRESS(897,'r1'!A897),""),""))</f>
        <v/>
      </c>
      <c r="C897" s="13"/>
      <c r="D897" s="14"/>
      <c r="E897" s="15"/>
      <c r="F897" s="16"/>
      <c r="G897" s="17"/>
      <c r="H897" s="18"/>
      <c r="I897" s="19"/>
      <c r="J897" s="20"/>
      <c r="K897" s="21"/>
      <c r="L897" s="22"/>
      <c r="M897" s="23"/>
      <c r="N897" s="24"/>
      <c r="O897" s="25"/>
      <c r="P897" s="26"/>
      <c r="Q897" s="27"/>
      <c r="R897" s="28"/>
      <c r="S897" s="29"/>
      <c r="T897" s="30"/>
    </row>
    <row r="898" spans="1:20" ht="24" customHeight="1" x14ac:dyDescent="0.25">
      <c r="A898" t="str">
        <f>IF('e1'!A898&gt;0,HYPERLINK("#"&amp;ADDRESS(898,'e1'!A898),""),IF('r1'!A898&gt;0,HYPERLINK("#"&amp;ADDRESS(898,'r1'!A898),""),""))</f>
        <v/>
      </c>
      <c r="C898" s="13"/>
      <c r="D898" s="14"/>
      <c r="E898" s="15"/>
      <c r="F898" s="16"/>
      <c r="G898" s="17"/>
      <c r="H898" s="18"/>
      <c r="I898" s="19"/>
      <c r="J898" s="20"/>
      <c r="K898" s="21"/>
      <c r="L898" s="22"/>
      <c r="M898" s="23"/>
      <c r="N898" s="24"/>
      <c r="O898" s="25"/>
      <c r="P898" s="26"/>
      <c r="Q898" s="27"/>
      <c r="R898" s="28"/>
      <c r="S898" s="29"/>
      <c r="T898" s="30"/>
    </row>
    <row r="899" spans="1:20" ht="24" customHeight="1" x14ac:dyDescent="0.25">
      <c r="A899" t="str">
        <f>IF('e1'!A899&gt;0,HYPERLINK("#"&amp;ADDRESS(899,'e1'!A899),""),IF('r1'!A899&gt;0,HYPERLINK("#"&amp;ADDRESS(899,'r1'!A899),""),""))</f>
        <v/>
      </c>
      <c r="C899" s="13"/>
      <c r="D899" s="14"/>
      <c r="E899" s="15"/>
      <c r="F899" s="16"/>
      <c r="G899" s="17"/>
      <c r="H899" s="18"/>
      <c r="I899" s="19"/>
      <c r="J899" s="20"/>
      <c r="K899" s="21"/>
      <c r="L899" s="22"/>
      <c r="M899" s="23"/>
      <c r="N899" s="24"/>
      <c r="O899" s="25"/>
      <c r="P899" s="26"/>
      <c r="Q899" s="27"/>
      <c r="R899" s="28"/>
      <c r="S899" s="29"/>
      <c r="T899" s="30"/>
    </row>
    <row r="900" spans="1:20" ht="24" customHeight="1" x14ac:dyDescent="0.25">
      <c r="A900" t="str">
        <f>IF('e1'!A900&gt;0,HYPERLINK("#"&amp;ADDRESS(900,'e1'!A900),""),IF('r1'!A900&gt;0,HYPERLINK("#"&amp;ADDRESS(900,'r1'!A900),""),""))</f>
        <v/>
      </c>
      <c r="C900" s="13"/>
      <c r="D900" s="14"/>
      <c r="E900" s="15"/>
      <c r="F900" s="16"/>
      <c r="G900" s="17"/>
      <c r="H900" s="18"/>
      <c r="I900" s="19"/>
      <c r="J900" s="20"/>
      <c r="K900" s="21"/>
      <c r="L900" s="22"/>
      <c r="M900" s="23"/>
      <c r="N900" s="24"/>
      <c r="O900" s="25"/>
      <c r="P900" s="26"/>
      <c r="Q900" s="27"/>
      <c r="R900" s="28"/>
      <c r="S900" s="29"/>
      <c r="T900" s="30"/>
    </row>
    <row r="901" spans="1:20" ht="24" customHeight="1" x14ac:dyDescent="0.25">
      <c r="A901" t="str">
        <f>IF('e1'!A901&gt;0,HYPERLINK("#"&amp;ADDRESS(901,'e1'!A901),""),IF('r1'!A901&gt;0,HYPERLINK("#"&amp;ADDRESS(901,'r1'!A901),""),""))</f>
        <v/>
      </c>
      <c r="C901" s="13"/>
      <c r="D901" s="14"/>
      <c r="E901" s="15"/>
      <c r="F901" s="16"/>
      <c r="G901" s="17"/>
      <c r="H901" s="18"/>
      <c r="I901" s="19"/>
      <c r="J901" s="20"/>
      <c r="K901" s="21"/>
      <c r="L901" s="22"/>
      <c r="M901" s="23"/>
      <c r="N901" s="24"/>
      <c r="O901" s="25"/>
      <c r="P901" s="26"/>
      <c r="Q901" s="27"/>
      <c r="R901" s="28"/>
      <c r="S901" s="29"/>
      <c r="T901" s="30"/>
    </row>
    <row r="902" spans="1:20" ht="24" customHeight="1" x14ac:dyDescent="0.25">
      <c r="A902" t="str">
        <f>IF('e1'!A902&gt;0,HYPERLINK("#"&amp;ADDRESS(902,'e1'!A902),""),IF('r1'!A902&gt;0,HYPERLINK("#"&amp;ADDRESS(902,'r1'!A902),""),""))</f>
        <v/>
      </c>
      <c r="C902" s="13"/>
      <c r="D902" s="14"/>
      <c r="E902" s="15"/>
      <c r="F902" s="16"/>
      <c r="G902" s="17"/>
      <c r="H902" s="18"/>
      <c r="I902" s="19"/>
      <c r="J902" s="20"/>
      <c r="K902" s="21"/>
      <c r="L902" s="22"/>
      <c r="M902" s="23"/>
      <c r="N902" s="24"/>
      <c r="O902" s="25"/>
      <c r="P902" s="26"/>
      <c r="Q902" s="27"/>
      <c r="R902" s="28"/>
      <c r="S902" s="29"/>
      <c r="T902" s="30"/>
    </row>
    <row r="903" spans="1:20" ht="24" customHeight="1" x14ac:dyDescent="0.25">
      <c r="A903" t="str">
        <f>IF('e1'!A903&gt;0,HYPERLINK("#"&amp;ADDRESS(903,'e1'!A903),""),IF('r1'!A903&gt;0,HYPERLINK("#"&amp;ADDRESS(903,'r1'!A903),""),""))</f>
        <v/>
      </c>
      <c r="C903" s="13"/>
      <c r="D903" s="14"/>
      <c r="E903" s="15"/>
      <c r="F903" s="16"/>
      <c r="G903" s="17"/>
      <c r="H903" s="18"/>
      <c r="I903" s="19"/>
      <c r="J903" s="20"/>
      <c r="K903" s="21"/>
      <c r="L903" s="22"/>
      <c r="M903" s="23"/>
      <c r="N903" s="24"/>
      <c r="O903" s="25"/>
      <c r="P903" s="26"/>
      <c r="Q903" s="27"/>
      <c r="R903" s="28"/>
      <c r="S903" s="29"/>
      <c r="T903" s="30"/>
    </row>
    <row r="904" spans="1:20" ht="24" customHeight="1" x14ac:dyDescent="0.25">
      <c r="A904" t="str">
        <f>IF('e1'!A904&gt;0,HYPERLINK("#"&amp;ADDRESS(904,'e1'!A904),""),IF('r1'!A904&gt;0,HYPERLINK("#"&amp;ADDRESS(904,'r1'!A904),""),""))</f>
        <v/>
      </c>
      <c r="C904" s="13"/>
      <c r="D904" s="14"/>
      <c r="E904" s="15"/>
      <c r="F904" s="16"/>
      <c r="G904" s="17"/>
      <c r="H904" s="18"/>
      <c r="I904" s="19"/>
      <c r="J904" s="20"/>
      <c r="K904" s="21"/>
      <c r="L904" s="22"/>
      <c r="M904" s="23"/>
      <c r="N904" s="24"/>
      <c r="O904" s="25"/>
      <c r="P904" s="26"/>
      <c r="Q904" s="27"/>
      <c r="R904" s="28"/>
      <c r="S904" s="29"/>
      <c r="T904" s="30"/>
    </row>
    <row r="905" spans="1:20" ht="24" customHeight="1" x14ac:dyDescent="0.25">
      <c r="A905" t="str">
        <f>IF('e1'!A905&gt;0,HYPERLINK("#"&amp;ADDRESS(905,'e1'!A905),""),IF('r1'!A905&gt;0,HYPERLINK("#"&amp;ADDRESS(905,'r1'!A905),""),""))</f>
        <v/>
      </c>
      <c r="C905" s="13"/>
      <c r="D905" s="14"/>
      <c r="E905" s="15"/>
      <c r="F905" s="16"/>
      <c r="G905" s="17"/>
      <c r="H905" s="18"/>
      <c r="I905" s="19"/>
      <c r="J905" s="20"/>
      <c r="K905" s="21"/>
      <c r="L905" s="22"/>
      <c r="M905" s="23"/>
      <c r="N905" s="24"/>
      <c r="O905" s="25"/>
      <c r="P905" s="26"/>
      <c r="Q905" s="27"/>
      <c r="R905" s="28"/>
      <c r="S905" s="29"/>
      <c r="T905" s="30"/>
    </row>
    <row r="906" spans="1:20" ht="24" customHeight="1" x14ac:dyDescent="0.25">
      <c r="A906" t="str">
        <f>IF('e1'!A906&gt;0,HYPERLINK("#"&amp;ADDRESS(906,'e1'!A906),""),IF('r1'!A906&gt;0,HYPERLINK("#"&amp;ADDRESS(906,'r1'!A906),""),""))</f>
        <v/>
      </c>
      <c r="C906" s="13"/>
      <c r="D906" s="14"/>
      <c r="E906" s="15"/>
      <c r="F906" s="16"/>
      <c r="G906" s="17"/>
      <c r="H906" s="18"/>
      <c r="I906" s="19"/>
      <c r="J906" s="20"/>
      <c r="K906" s="21"/>
      <c r="L906" s="22"/>
      <c r="M906" s="23"/>
      <c r="N906" s="24"/>
      <c r="O906" s="25"/>
      <c r="P906" s="26"/>
      <c r="Q906" s="27"/>
      <c r="R906" s="28"/>
      <c r="S906" s="29"/>
      <c r="T906" s="30"/>
    </row>
    <row r="907" spans="1:20" ht="24" customHeight="1" x14ac:dyDescent="0.25">
      <c r="A907" t="str">
        <f>IF('e1'!A907&gt;0,HYPERLINK("#"&amp;ADDRESS(907,'e1'!A907),""),IF('r1'!A907&gt;0,HYPERLINK("#"&amp;ADDRESS(907,'r1'!A907),""),""))</f>
        <v/>
      </c>
      <c r="C907" s="13"/>
      <c r="D907" s="14"/>
      <c r="E907" s="15"/>
      <c r="F907" s="16"/>
      <c r="G907" s="17"/>
      <c r="H907" s="18"/>
      <c r="I907" s="19"/>
      <c r="J907" s="20"/>
      <c r="K907" s="21"/>
      <c r="L907" s="22"/>
      <c r="M907" s="23"/>
      <c r="N907" s="24"/>
      <c r="O907" s="25"/>
      <c r="P907" s="26"/>
      <c r="Q907" s="27"/>
      <c r="R907" s="28"/>
      <c r="S907" s="29"/>
      <c r="T907" s="30"/>
    </row>
    <row r="908" spans="1:20" ht="24" customHeight="1" x14ac:dyDescent="0.25">
      <c r="A908" t="str">
        <f>IF('e1'!A908&gt;0,HYPERLINK("#"&amp;ADDRESS(908,'e1'!A908),""),IF('r1'!A908&gt;0,HYPERLINK("#"&amp;ADDRESS(908,'r1'!A908),""),""))</f>
        <v/>
      </c>
      <c r="C908" s="13"/>
      <c r="D908" s="14"/>
      <c r="E908" s="15"/>
      <c r="F908" s="16"/>
      <c r="G908" s="17"/>
      <c r="H908" s="18"/>
      <c r="I908" s="19"/>
      <c r="J908" s="20"/>
      <c r="K908" s="21"/>
      <c r="L908" s="22"/>
      <c r="M908" s="23"/>
      <c r="N908" s="24"/>
      <c r="O908" s="25"/>
      <c r="P908" s="26"/>
      <c r="Q908" s="27"/>
      <c r="R908" s="28"/>
      <c r="S908" s="29"/>
      <c r="T908" s="30"/>
    </row>
    <row r="909" spans="1:20" ht="24" customHeight="1" x14ac:dyDescent="0.25">
      <c r="A909" t="str">
        <f>IF('e1'!A909&gt;0,HYPERLINK("#"&amp;ADDRESS(909,'e1'!A909),""),IF('r1'!A909&gt;0,HYPERLINK("#"&amp;ADDRESS(909,'r1'!A909),""),""))</f>
        <v/>
      </c>
      <c r="C909" s="13"/>
      <c r="D909" s="14"/>
      <c r="E909" s="15"/>
      <c r="F909" s="16"/>
      <c r="G909" s="17"/>
      <c r="H909" s="18"/>
      <c r="I909" s="19"/>
      <c r="J909" s="20"/>
      <c r="K909" s="21"/>
      <c r="L909" s="22"/>
      <c r="M909" s="23"/>
      <c r="N909" s="24"/>
      <c r="O909" s="25"/>
      <c r="P909" s="26"/>
      <c r="Q909" s="27"/>
      <c r="R909" s="28"/>
      <c r="S909" s="29"/>
      <c r="T909" s="30"/>
    </row>
    <row r="910" spans="1:20" ht="24" customHeight="1" x14ac:dyDescent="0.25">
      <c r="A910" t="str">
        <f>IF('e1'!A910&gt;0,HYPERLINK("#"&amp;ADDRESS(910,'e1'!A910),""),IF('r1'!A910&gt;0,HYPERLINK("#"&amp;ADDRESS(910,'r1'!A910),""),""))</f>
        <v/>
      </c>
      <c r="C910" s="13"/>
      <c r="D910" s="14"/>
      <c r="E910" s="15"/>
      <c r="F910" s="16"/>
      <c r="G910" s="17"/>
      <c r="H910" s="18"/>
      <c r="I910" s="19"/>
      <c r="J910" s="20"/>
      <c r="K910" s="21"/>
      <c r="L910" s="22"/>
      <c r="M910" s="23"/>
      <c r="N910" s="24"/>
      <c r="O910" s="25"/>
      <c r="P910" s="26"/>
      <c r="Q910" s="27"/>
      <c r="R910" s="28"/>
      <c r="S910" s="29"/>
      <c r="T910" s="30"/>
    </row>
    <row r="911" spans="1:20" ht="24" customHeight="1" x14ac:dyDescent="0.25">
      <c r="A911" t="str">
        <f>IF('e1'!A911&gt;0,HYPERLINK("#"&amp;ADDRESS(911,'e1'!A911),""),IF('r1'!A911&gt;0,HYPERLINK("#"&amp;ADDRESS(911,'r1'!A911),""),""))</f>
        <v/>
      </c>
      <c r="C911" s="13"/>
      <c r="D911" s="14"/>
      <c r="E911" s="15"/>
      <c r="F911" s="16"/>
      <c r="G911" s="17"/>
      <c r="H911" s="18"/>
      <c r="I911" s="19"/>
      <c r="J911" s="20"/>
      <c r="K911" s="21"/>
      <c r="L911" s="22"/>
      <c r="M911" s="23"/>
      <c r="N911" s="24"/>
      <c r="O911" s="25"/>
      <c r="P911" s="26"/>
      <c r="Q911" s="27"/>
      <c r="R911" s="28"/>
      <c r="S911" s="29"/>
      <c r="T911" s="30"/>
    </row>
    <row r="912" spans="1:20" ht="24" customHeight="1" x14ac:dyDescent="0.25">
      <c r="A912" t="str">
        <f>IF('e1'!A912&gt;0,HYPERLINK("#"&amp;ADDRESS(912,'e1'!A912),""),IF('r1'!A912&gt;0,HYPERLINK("#"&amp;ADDRESS(912,'r1'!A912),""),""))</f>
        <v/>
      </c>
      <c r="C912" s="13"/>
      <c r="D912" s="14"/>
      <c r="E912" s="15"/>
      <c r="F912" s="16"/>
      <c r="G912" s="17"/>
      <c r="H912" s="18"/>
      <c r="I912" s="19"/>
      <c r="J912" s="20"/>
      <c r="K912" s="21"/>
      <c r="L912" s="22"/>
      <c r="M912" s="23"/>
      <c r="N912" s="24"/>
      <c r="O912" s="25"/>
      <c r="P912" s="26"/>
      <c r="Q912" s="27"/>
      <c r="R912" s="28"/>
      <c r="S912" s="29"/>
      <c r="T912" s="30"/>
    </row>
    <row r="913" spans="1:20" ht="24" customHeight="1" x14ac:dyDescent="0.25">
      <c r="A913" t="str">
        <f>IF('e1'!A913&gt;0,HYPERLINK("#"&amp;ADDRESS(913,'e1'!A913),""),IF('r1'!A913&gt;0,HYPERLINK("#"&amp;ADDRESS(913,'r1'!A913),""),""))</f>
        <v/>
      </c>
      <c r="C913" s="13"/>
      <c r="D913" s="14"/>
      <c r="E913" s="15"/>
      <c r="F913" s="16"/>
      <c r="G913" s="17"/>
      <c r="H913" s="18"/>
      <c r="I913" s="19"/>
      <c r="J913" s="20"/>
      <c r="K913" s="21"/>
      <c r="L913" s="22"/>
      <c r="M913" s="23"/>
      <c r="N913" s="24"/>
      <c r="O913" s="25"/>
      <c r="P913" s="26"/>
      <c r="Q913" s="27"/>
      <c r="R913" s="28"/>
      <c r="S913" s="29"/>
      <c r="T913" s="30"/>
    </row>
    <row r="914" spans="1:20" ht="24" customHeight="1" x14ac:dyDescent="0.25">
      <c r="A914" t="str">
        <f>IF('e1'!A914&gt;0,HYPERLINK("#"&amp;ADDRESS(914,'e1'!A914),""),IF('r1'!A914&gt;0,HYPERLINK("#"&amp;ADDRESS(914,'r1'!A914),""),""))</f>
        <v/>
      </c>
      <c r="C914" s="13"/>
      <c r="D914" s="14"/>
      <c r="E914" s="15"/>
      <c r="F914" s="16"/>
      <c r="G914" s="17"/>
      <c r="H914" s="18"/>
      <c r="I914" s="19"/>
      <c r="J914" s="20"/>
      <c r="K914" s="21"/>
      <c r="L914" s="22"/>
      <c r="M914" s="23"/>
      <c r="N914" s="24"/>
      <c r="O914" s="25"/>
      <c r="P914" s="26"/>
      <c r="Q914" s="27"/>
      <c r="R914" s="28"/>
      <c r="S914" s="29"/>
      <c r="T914" s="30"/>
    </row>
    <row r="915" spans="1:20" ht="24" customHeight="1" x14ac:dyDescent="0.25">
      <c r="A915" t="str">
        <f>IF('e1'!A915&gt;0,HYPERLINK("#"&amp;ADDRESS(915,'e1'!A915),""),IF('r1'!A915&gt;0,HYPERLINK("#"&amp;ADDRESS(915,'r1'!A915),""),""))</f>
        <v/>
      </c>
      <c r="C915" s="13"/>
      <c r="D915" s="14"/>
      <c r="E915" s="15"/>
      <c r="F915" s="16"/>
      <c r="G915" s="17"/>
      <c r="H915" s="18"/>
      <c r="I915" s="19"/>
      <c r="J915" s="20"/>
      <c r="K915" s="21"/>
      <c r="L915" s="22"/>
      <c r="M915" s="23"/>
      <c r="N915" s="24"/>
      <c r="O915" s="25"/>
      <c r="P915" s="26"/>
      <c r="Q915" s="27"/>
      <c r="R915" s="28"/>
      <c r="S915" s="29"/>
      <c r="T915" s="30"/>
    </row>
    <row r="916" spans="1:20" ht="24" customHeight="1" x14ac:dyDescent="0.25">
      <c r="A916" t="str">
        <f>IF('e1'!A916&gt;0,HYPERLINK("#"&amp;ADDRESS(916,'e1'!A916),""),IF('r1'!A916&gt;0,HYPERLINK("#"&amp;ADDRESS(916,'r1'!A916),""),""))</f>
        <v/>
      </c>
      <c r="C916" s="13"/>
      <c r="D916" s="14"/>
      <c r="E916" s="15"/>
      <c r="F916" s="16"/>
      <c r="G916" s="17"/>
      <c r="H916" s="18"/>
      <c r="I916" s="19"/>
      <c r="J916" s="20"/>
      <c r="K916" s="21"/>
      <c r="L916" s="22"/>
      <c r="M916" s="23"/>
      <c r="N916" s="24"/>
      <c r="O916" s="25"/>
      <c r="P916" s="26"/>
      <c r="Q916" s="27"/>
      <c r="R916" s="28"/>
      <c r="S916" s="29"/>
      <c r="T916" s="30"/>
    </row>
    <row r="917" spans="1:20" ht="24" customHeight="1" x14ac:dyDescent="0.25">
      <c r="A917" t="str">
        <f>IF('e1'!A917&gt;0,HYPERLINK("#"&amp;ADDRESS(917,'e1'!A917),""),IF('r1'!A917&gt;0,HYPERLINK("#"&amp;ADDRESS(917,'r1'!A917),""),""))</f>
        <v/>
      </c>
      <c r="C917" s="13"/>
      <c r="D917" s="14"/>
      <c r="E917" s="15"/>
      <c r="F917" s="16"/>
      <c r="G917" s="17"/>
      <c r="H917" s="18"/>
      <c r="I917" s="19"/>
      <c r="J917" s="20"/>
      <c r="K917" s="21"/>
      <c r="L917" s="22"/>
      <c r="M917" s="23"/>
      <c r="N917" s="24"/>
      <c r="O917" s="25"/>
      <c r="P917" s="26"/>
      <c r="Q917" s="27"/>
      <c r="R917" s="28"/>
      <c r="S917" s="29"/>
      <c r="T917" s="30"/>
    </row>
    <row r="918" spans="1:20" ht="24" customHeight="1" x14ac:dyDescent="0.25">
      <c r="A918" t="str">
        <f>IF('e1'!A918&gt;0,HYPERLINK("#"&amp;ADDRESS(918,'e1'!A918),""),IF('r1'!A918&gt;0,HYPERLINK("#"&amp;ADDRESS(918,'r1'!A918),""),""))</f>
        <v/>
      </c>
      <c r="C918" s="13"/>
      <c r="D918" s="14"/>
      <c r="E918" s="15"/>
      <c r="F918" s="16"/>
      <c r="G918" s="17"/>
      <c r="H918" s="18"/>
      <c r="I918" s="19"/>
      <c r="J918" s="20"/>
      <c r="K918" s="21"/>
      <c r="L918" s="22"/>
      <c r="M918" s="23"/>
      <c r="N918" s="24"/>
      <c r="O918" s="25"/>
      <c r="P918" s="26"/>
      <c r="Q918" s="27"/>
      <c r="R918" s="28"/>
      <c r="S918" s="29"/>
      <c r="T918" s="30"/>
    </row>
    <row r="919" spans="1:20" ht="24" customHeight="1" x14ac:dyDescent="0.25">
      <c r="A919" t="str">
        <f>IF('e1'!A919&gt;0,HYPERLINK("#"&amp;ADDRESS(919,'e1'!A919),""),IF('r1'!A919&gt;0,HYPERLINK("#"&amp;ADDRESS(919,'r1'!A919),""),""))</f>
        <v/>
      </c>
      <c r="C919" s="13"/>
      <c r="D919" s="14"/>
      <c r="E919" s="15"/>
      <c r="F919" s="16"/>
      <c r="G919" s="17"/>
      <c r="H919" s="18"/>
      <c r="I919" s="19"/>
      <c r="J919" s="20"/>
      <c r="K919" s="21"/>
      <c r="L919" s="22"/>
      <c r="M919" s="23"/>
      <c r="N919" s="24"/>
      <c r="O919" s="25"/>
      <c r="P919" s="26"/>
      <c r="Q919" s="27"/>
      <c r="R919" s="28"/>
      <c r="S919" s="29"/>
      <c r="T919" s="30"/>
    </row>
    <row r="920" spans="1:20" ht="24" customHeight="1" x14ac:dyDescent="0.25">
      <c r="A920" t="str">
        <f>IF('e1'!A920&gt;0,HYPERLINK("#"&amp;ADDRESS(920,'e1'!A920),""),IF('r1'!A920&gt;0,HYPERLINK("#"&amp;ADDRESS(920,'r1'!A920),""),""))</f>
        <v/>
      </c>
      <c r="C920" s="13"/>
      <c r="D920" s="14"/>
      <c r="E920" s="15"/>
      <c r="F920" s="16"/>
      <c r="G920" s="17"/>
      <c r="H920" s="18"/>
      <c r="I920" s="19"/>
      <c r="J920" s="20"/>
      <c r="K920" s="21"/>
      <c r="L920" s="22"/>
      <c r="M920" s="23"/>
      <c r="N920" s="24"/>
      <c r="O920" s="25"/>
      <c r="P920" s="26"/>
      <c r="Q920" s="27"/>
      <c r="R920" s="28"/>
      <c r="S920" s="29"/>
      <c r="T920" s="30"/>
    </row>
    <row r="921" spans="1:20" ht="24" customHeight="1" x14ac:dyDescent="0.25">
      <c r="A921" t="str">
        <f>IF('e1'!A921&gt;0,HYPERLINK("#"&amp;ADDRESS(921,'e1'!A921),""),IF('r1'!A921&gt;0,HYPERLINK("#"&amp;ADDRESS(921,'r1'!A921),""),""))</f>
        <v/>
      </c>
      <c r="C921" s="13"/>
      <c r="D921" s="14"/>
      <c r="E921" s="15"/>
      <c r="F921" s="16"/>
      <c r="G921" s="17"/>
      <c r="H921" s="18"/>
      <c r="I921" s="19"/>
      <c r="J921" s="20"/>
      <c r="K921" s="21"/>
      <c r="L921" s="22"/>
      <c r="M921" s="23"/>
      <c r="N921" s="24"/>
      <c r="O921" s="25"/>
      <c r="P921" s="26"/>
      <c r="Q921" s="27"/>
      <c r="R921" s="28"/>
      <c r="S921" s="29"/>
      <c r="T921" s="30"/>
    </row>
    <row r="922" spans="1:20" ht="24" customHeight="1" x14ac:dyDescent="0.25">
      <c r="A922" t="str">
        <f>IF('e1'!A922&gt;0,HYPERLINK("#"&amp;ADDRESS(922,'e1'!A922),""),IF('r1'!A922&gt;0,HYPERLINK("#"&amp;ADDRESS(922,'r1'!A922),""),""))</f>
        <v/>
      </c>
      <c r="C922" s="13"/>
      <c r="D922" s="14"/>
      <c r="E922" s="15"/>
      <c r="F922" s="16"/>
      <c r="G922" s="17"/>
      <c r="H922" s="18"/>
      <c r="I922" s="19"/>
      <c r="J922" s="20"/>
      <c r="K922" s="21"/>
      <c r="L922" s="22"/>
      <c r="M922" s="23"/>
      <c r="N922" s="24"/>
      <c r="O922" s="25"/>
      <c r="P922" s="26"/>
      <c r="Q922" s="27"/>
      <c r="R922" s="28"/>
      <c r="S922" s="29"/>
      <c r="T922" s="30"/>
    </row>
    <row r="923" spans="1:20" ht="24" customHeight="1" x14ac:dyDescent="0.25">
      <c r="A923" t="str">
        <f>IF('e1'!A923&gt;0,HYPERLINK("#"&amp;ADDRESS(923,'e1'!A923),""),IF('r1'!A923&gt;0,HYPERLINK("#"&amp;ADDRESS(923,'r1'!A923),""),""))</f>
        <v/>
      </c>
      <c r="C923" s="13"/>
      <c r="D923" s="14"/>
      <c r="E923" s="15"/>
      <c r="F923" s="16"/>
      <c r="G923" s="17"/>
      <c r="H923" s="18"/>
      <c r="I923" s="19"/>
      <c r="J923" s="20"/>
      <c r="K923" s="21"/>
      <c r="L923" s="22"/>
      <c r="M923" s="23"/>
      <c r="N923" s="24"/>
      <c r="O923" s="25"/>
      <c r="P923" s="26"/>
      <c r="Q923" s="27"/>
      <c r="R923" s="28"/>
      <c r="S923" s="29"/>
      <c r="T923" s="30"/>
    </row>
    <row r="924" spans="1:20" ht="24" customHeight="1" x14ac:dyDescent="0.25">
      <c r="A924" t="str">
        <f>IF('e1'!A924&gt;0,HYPERLINK("#"&amp;ADDRESS(924,'e1'!A924),""),IF('r1'!A924&gt;0,HYPERLINK("#"&amp;ADDRESS(924,'r1'!A924),""),""))</f>
        <v/>
      </c>
      <c r="C924" s="13"/>
      <c r="D924" s="14"/>
      <c r="E924" s="15"/>
      <c r="F924" s="16"/>
      <c r="G924" s="17"/>
      <c r="H924" s="18"/>
      <c r="I924" s="19"/>
      <c r="J924" s="20"/>
      <c r="K924" s="21"/>
      <c r="L924" s="22"/>
      <c r="M924" s="23"/>
      <c r="N924" s="24"/>
      <c r="O924" s="25"/>
      <c r="P924" s="26"/>
      <c r="Q924" s="27"/>
      <c r="R924" s="28"/>
      <c r="S924" s="29"/>
      <c r="T924" s="30"/>
    </row>
    <row r="925" spans="1:20" ht="24" customHeight="1" x14ac:dyDescent="0.25">
      <c r="A925" t="str">
        <f>IF('e1'!A925&gt;0,HYPERLINK("#"&amp;ADDRESS(925,'e1'!A925),""),IF('r1'!A925&gt;0,HYPERLINK("#"&amp;ADDRESS(925,'r1'!A925),""),""))</f>
        <v/>
      </c>
      <c r="C925" s="13"/>
      <c r="D925" s="14"/>
      <c r="E925" s="15"/>
      <c r="F925" s="16"/>
      <c r="G925" s="17"/>
      <c r="H925" s="18"/>
      <c r="I925" s="19"/>
      <c r="J925" s="20"/>
      <c r="K925" s="21"/>
      <c r="L925" s="22"/>
      <c r="M925" s="23"/>
      <c r="N925" s="24"/>
      <c r="O925" s="25"/>
      <c r="P925" s="26"/>
      <c r="Q925" s="27"/>
      <c r="R925" s="28"/>
      <c r="S925" s="29"/>
      <c r="T925" s="30"/>
    </row>
    <row r="926" spans="1:20" ht="24" customHeight="1" x14ac:dyDescent="0.25">
      <c r="A926" t="str">
        <f>IF('e1'!A926&gt;0,HYPERLINK("#"&amp;ADDRESS(926,'e1'!A926),""),IF('r1'!A926&gt;0,HYPERLINK("#"&amp;ADDRESS(926,'r1'!A926),""),""))</f>
        <v/>
      </c>
      <c r="C926" s="13"/>
      <c r="D926" s="14"/>
      <c r="E926" s="15"/>
      <c r="F926" s="16"/>
      <c r="G926" s="17"/>
      <c r="H926" s="18"/>
      <c r="I926" s="19"/>
      <c r="J926" s="20"/>
      <c r="K926" s="21"/>
      <c r="L926" s="22"/>
      <c r="M926" s="23"/>
      <c r="N926" s="24"/>
      <c r="O926" s="25"/>
      <c r="P926" s="26"/>
      <c r="Q926" s="27"/>
      <c r="R926" s="28"/>
      <c r="S926" s="29"/>
      <c r="T926" s="30"/>
    </row>
    <row r="927" spans="1:20" ht="24" customHeight="1" x14ac:dyDescent="0.25">
      <c r="A927" t="str">
        <f>IF('e1'!A927&gt;0,HYPERLINK("#"&amp;ADDRESS(927,'e1'!A927),""),IF('r1'!A927&gt;0,HYPERLINK("#"&amp;ADDRESS(927,'r1'!A927),""),""))</f>
        <v/>
      </c>
      <c r="C927" s="13"/>
      <c r="D927" s="14"/>
      <c r="E927" s="15"/>
      <c r="F927" s="16"/>
      <c r="G927" s="17"/>
      <c r="H927" s="18"/>
      <c r="I927" s="19"/>
      <c r="J927" s="20"/>
      <c r="K927" s="21"/>
      <c r="L927" s="22"/>
      <c r="M927" s="23"/>
      <c r="N927" s="24"/>
      <c r="O927" s="25"/>
      <c r="P927" s="26"/>
      <c r="Q927" s="27"/>
      <c r="R927" s="28"/>
      <c r="S927" s="29"/>
      <c r="T927" s="30"/>
    </row>
    <row r="928" spans="1:20" ht="24" customHeight="1" x14ac:dyDescent="0.25">
      <c r="A928" t="str">
        <f>IF('e1'!A928&gt;0,HYPERLINK("#"&amp;ADDRESS(928,'e1'!A928),""),IF('r1'!A928&gt;0,HYPERLINK("#"&amp;ADDRESS(928,'r1'!A928),""),""))</f>
        <v/>
      </c>
      <c r="C928" s="13"/>
      <c r="D928" s="14"/>
      <c r="E928" s="15"/>
      <c r="F928" s="16"/>
      <c r="G928" s="17"/>
      <c r="H928" s="18"/>
      <c r="I928" s="19"/>
      <c r="J928" s="20"/>
      <c r="K928" s="21"/>
      <c r="L928" s="22"/>
      <c r="M928" s="23"/>
      <c r="N928" s="24"/>
      <c r="O928" s="25"/>
      <c r="P928" s="26"/>
      <c r="Q928" s="27"/>
      <c r="R928" s="28"/>
      <c r="S928" s="29"/>
      <c r="T928" s="30"/>
    </row>
    <row r="929" spans="1:20" ht="24" customHeight="1" x14ac:dyDescent="0.25">
      <c r="A929" t="str">
        <f>IF('e1'!A929&gt;0,HYPERLINK("#"&amp;ADDRESS(929,'e1'!A929),""),IF('r1'!A929&gt;0,HYPERLINK("#"&amp;ADDRESS(929,'r1'!A929),""),""))</f>
        <v/>
      </c>
      <c r="C929" s="13"/>
      <c r="D929" s="14"/>
      <c r="E929" s="15"/>
      <c r="F929" s="16"/>
      <c r="G929" s="17"/>
      <c r="H929" s="18"/>
      <c r="I929" s="19"/>
      <c r="J929" s="20"/>
      <c r="K929" s="21"/>
      <c r="L929" s="22"/>
      <c r="M929" s="23"/>
      <c r="N929" s="24"/>
      <c r="O929" s="25"/>
      <c r="P929" s="26"/>
      <c r="Q929" s="27"/>
      <c r="R929" s="28"/>
      <c r="S929" s="29"/>
      <c r="T929" s="30"/>
    </row>
    <row r="930" spans="1:20" ht="24" customHeight="1" x14ac:dyDescent="0.25">
      <c r="A930" t="str">
        <f>IF('e1'!A930&gt;0,HYPERLINK("#"&amp;ADDRESS(930,'e1'!A930),""),IF('r1'!A930&gt;0,HYPERLINK("#"&amp;ADDRESS(930,'r1'!A930),""),""))</f>
        <v/>
      </c>
      <c r="C930" s="13"/>
      <c r="D930" s="14"/>
      <c r="E930" s="15"/>
      <c r="F930" s="16"/>
      <c r="G930" s="17"/>
      <c r="H930" s="18"/>
      <c r="I930" s="19"/>
      <c r="J930" s="20"/>
      <c r="K930" s="21"/>
      <c r="L930" s="22"/>
      <c r="M930" s="23"/>
      <c r="N930" s="24"/>
      <c r="O930" s="25"/>
      <c r="P930" s="26"/>
      <c r="Q930" s="27"/>
      <c r="R930" s="28"/>
      <c r="S930" s="29"/>
      <c r="T930" s="30"/>
    </row>
    <row r="931" spans="1:20" ht="24" customHeight="1" x14ac:dyDescent="0.25">
      <c r="A931" t="str">
        <f>IF('e1'!A931&gt;0,HYPERLINK("#"&amp;ADDRESS(931,'e1'!A931),""),IF('r1'!A931&gt;0,HYPERLINK("#"&amp;ADDRESS(931,'r1'!A931),""),""))</f>
        <v/>
      </c>
      <c r="C931" s="13"/>
      <c r="D931" s="14"/>
      <c r="E931" s="15"/>
      <c r="F931" s="16"/>
      <c r="G931" s="17"/>
      <c r="H931" s="18"/>
      <c r="I931" s="19"/>
      <c r="J931" s="20"/>
      <c r="K931" s="21"/>
      <c r="L931" s="22"/>
      <c r="M931" s="23"/>
      <c r="N931" s="24"/>
      <c r="O931" s="25"/>
      <c r="P931" s="26"/>
      <c r="Q931" s="27"/>
      <c r="R931" s="28"/>
      <c r="S931" s="29"/>
      <c r="T931" s="30"/>
    </row>
    <row r="932" spans="1:20" ht="24" customHeight="1" x14ac:dyDescent="0.25">
      <c r="A932" t="str">
        <f>IF('e1'!A932&gt;0,HYPERLINK("#"&amp;ADDRESS(932,'e1'!A932),""),IF('r1'!A932&gt;0,HYPERLINK("#"&amp;ADDRESS(932,'r1'!A932),""),""))</f>
        <v/>
      </c>
      <c r="C932" s="13"/>
      <c r="D932" s="14"/>
      <c r="E932" s="15"/>
      <c r="F932" s="16"/>
      <c r="G932" s="17"/>
      <c r="H932" s="18"/>
      <c r="I932" s="19"/>
      <c r="J932" s="20"/>
      <c r="K932" s="21"/>
      <c r="L932" s="22"/>
      <c r="M932" s="23"/>
      <c r="N932" s="24"/>
      <c r="O932" s="25"/>
      <c r="P932" s="26"/>
      <c r="Q932" s="27"/>
      <c r="R932" s="28"/>
      <c r="S932" s="29"/>
      <c r="T932" s="30"/>
    </row>
    <row r="933" spans="1:20" ht="24" customHeight="1" x14ac:dyDescent="0.25">
      <c r="A933" t="str">
        <f>IF('e1'!A933&gt;0,HYPERLINK("#"&amp;ADDRESS(933,'e1'!A933),""),IF('r1'!A933&gt;0,HYPERLINK("#"&amp;ADDRESS(933,'r1'!A933),""),""))</f>
        <v/>
      </c>
      <c r="C933" s="13"/>
      <c r="D933" s="14"/>
      <c r="E933" s="15"/>
      <c r="F933" s="16"/>
      <c r="G933" s="17"/>
      <c r="H933" s="18"/>
      <c r="I933" s="19"/>
      <c r="J933" s="20"/>
      <c r="K933" s="21"/>
      <c r="L933" s="22"/>
      <c r="M933" s="23"/>
      <c r="N933" s="24"/>
      <c r="O933" s="25"/>
      <c r="P933" s="26"/>
      <c r="Q933" s="27"/>
      <c r="R933" s="28"/>
      <c r="S933" s="29"/>
      <c r="T933" s="30"/>
    </row>
    <row r="934" spans="1:20" ht="24" customHeight="1" x14ac:dyDescent="0.25">
      <c r="A934" t="str">
        <f>IF('e1'!A934&gt;0,HYPERLINK("#"&amp;ADDRESS(934,'e1'!A934),""),IF('r1'!A934&gt;0,HYPERLINK("#"&amp;ADDRESS(934,'r1'!A934),""),""))</f>
        <v/>
      </c>
      <c r="C934" s="13"/>
      <c r="D934" s="14"/>
      <c r="E934" s="15"/>
      <c r="F934" s="16"/>
      <c r="G934" s="17"/>
      <c r="H934" s="18"/>
      <c r="I934" s="19"/>
      <c r="J934" s="20"/>
      <c r="K934" s="21"/>
      <c r="L934" s="22"/>
      <c r="M934" s="23"/>
      <c r="N934" s="24"/>
      <c r="O934" s="25"/>
      <c r="P934" s="26"/>
      <c r="Q934" s="27"/>
      <c r="R934" s="28"/>
      <c r="S934" s="29"/>
      <c r="T934" s="30"/>
    </row>
    <row r="935" spans="1:20" ht="24" customHeight="1" x14ac:dyDescent="0.25">
      <c r="A935" t="str">
        <f>IF('e1'!A935&gt;0,HYPERLINK("#"&amp;ADDRESS(935,'e1'!A935),""),IF('r1'!A935&gt;0,HYPERLINK("#"&amp;ADDRESS(935,'r1'!A935),""),""))</f>
        <v/>
      </c>
      <c r="C935" s="13"/>
      <c r="D935" s="14"/>
      <c r="E935" s="15"/>
      <c r="F935" s="16"/>
      <c r="G935" s="17"/>
      <c r="H935" s="18"/>
      <c r="I935" s="19"/>
      <c r="J935" s="20"/>
      <c r="K935" s="21"/>
      <c r="L935" s="22"/>
      <c r="M935" s="23"/>
      <c r="N935" s="24"/>
      <c r="O935" s="25"/>
      <c r="P935" s="26"/>
      <c r="Q935" s="27"/>
      <c r="R935" s="28"/>
      <c r="S935" s="29"/>
      <c r="T935" s="30"/>
    </row>
    <row r="936" spans="1:20" ht="24" customHeight="1" x14ac:dyDescent="0.25">
      <c r="A936" t="str">
        <f>IF('e1'!A936&gt;0,HYPERLINK("#"&amp;ADDRESS(936,'e1'!A936),""),IF('r1'!A936&gt;0,HYPERLINK("#"&amp;ADDRESS(936,'r1'!A936),""),""))</f>
        <v/>
      </c>
      <c r="C936" s="13"/>
      <c r="D936" s="14"/>
      <c r="E936" s="15"/>
      <c r="F936" s="16"/>
      <c r="G936" s="17"/>
      <c r="H936" s="18"/>
      <c r="I936" s="19"/>
      <c r="J936" s="20"/>
      <c r="K936" s="21"/>
      <c r="L936" s="22"/>
      <c r="M936" s="23"/>
      <c r="N936" s="24"/>
      <c r="O936" s="25"/>
      <c r="P936" s="26"/>
      <c r="Q936" s="27"/>
      <c r="R936" s="28"/>
      <c r="S936" s="29"/>
      <c r="T936" s="30"/>
    </row>
    <row r="937" spans="1:20" ht="24" customHeight="1" x14ac:dyDescent="0.25">
      <c r="A937" t="str">
        <f>IF('e1'!A937&gt;0,HYPERLINK("#"&amp;ADDRESS(937,'e1'!A937),""),IF('r1'!A937&gt;0,HYPERLINK("#"&amp;ADDRESS(937,'r1'!A937),""),""))</f>
        <v/>
      </c>
      <c r="C937" s="13"/>
      <c r="D937" s="14"/>
      <c r="E937" s="15"/>
      <c r="F937" s="16"/>
      <c r="G937" s="17"/>
      <c r="H937" s="18"/>
      <c r="I937" s="19"/>
      <c r="J937" s="20"/>
      <c r="K937" s="21"/>
      <c r="L937" s="22"/>
      <c r="M937" s="23"/>
      <c r="N937" s="24"/>
      <c r="O937" s="25"/>
      <c r="P937" s="26"/>
      <c r="Q937" s="27"/>
      <c r="R937" s="28"/>
      <c r="S937" s="29"/>
      <c r="T937" s="30"/>
    </row>
    <row r="938" spans="1:20" ht="24" customHeight="1" x14ac:dyDescent="0.25">
      <c r="A938" t="str">
        <f>IF('e1'!A938&gt;0,HYPERLINK("#"&amp;ADDRESS(938,'e1'!A938),""),IF('r1'!A938&gt;0,HYPERLINK("#"&amp;ADDRESS(938,'r1'!A938),""),""))</f>
        <v/>
      </c>
      <c r="C938" s="13"/>
      <c r="D938" s="14"/>
      <c r="E938" s="15"/>
      <c r="F938" s="16"/>
      <c r="G938" s="17"/>
      <c r="H938" s="18"/>
      <c r="I938" s="19"/>
      <c r="J938" s="20"/>
      <c r="K938" s="21"/>
      <c r="L938" s="22"/>
      <c r="M938" s="23"/>
      <c r="N938" s="24"/>
      <c r="O938" s="25"/>
      <c r="P938" s="26"/>
      <c r="Q938" s="27"/>
      <c r="R938" s="28"/>
      <c r="S938" s="29"/>
      <c r="T938" s="30"/>
    </row>
    <row r="939" spans="1:20" ht="24" customHeight="1" x14ac:dyDescent="0.25">
      <c r="A939" t="str">
        <f>IF('e1'!A939&gt;0,HYPERLINK("#"&amp;ADDRESS(939,'e1'!A939),""),IF('r1'!A939&gt;0,HYPERLINK("#"&amp;ADDRESS(939,'r1'!A939),""),""))</f>
        <v/>
      </c>
      <c r="C939" s="13"/>
      <c r="D939" s="14"/>
      <c r="E939" s="15"/>
      <c r="F939" s="16"/>
      <c r="G939" s="17"/>
      <c r="H939" s="18"/>
      <c r="I939" s="19"/>
      <c r="J939" s="20"/>
      <c r="K939" s="21"/>
      <c r="L939" s="22"/>
      <c r="M939" s="23"/>
      <c r="N939" s="24"/>
      <c r="O939" s="25"/>
      <c r="P939" s="26"/>
      <c r="Q939" s="27"/>
      <c r="R939" s="28"/>
      <c r="S939" s="29"/>
      <c r="T939" s="30"/>
    </row>
    <row r="940" spans="1:20" ht="24" customHeight="1" x14ac:dyDescent="0.25">
      <c r="A940" t="str">
        <f>IF('e1'!A940&gt;0,HYPERLINK("#"&amp;ADDRESS(940,'e1'!A940),""),IF('r1'!A940&gt;0,HYPERLINK("#"&amp;ADDRESS(940,'r1'!A940),""),""))</f>
        <v/>
      </c>
      <c r="C940" s="13"/>
      <c r="D940" s="14"/>
      <c r="E940" s="15"/>
      <c r="F940" s="16"/>
      <c r="G940" s="17"/>
      <c r="H940" s="18"/>
      <c r="I940" s="19"/>
      <c r="J940" s="20"/>
      <c r="K940" s="21"/>
      <c r="L940" s="22"/>
      <c r="M940" s="23"/>
      <c r="N940" s="24"/>
      <c r="O940" s="25"/>
      <c r="P940" s="26"/>
      <c r="Q940" s="27"/>
      <c r="R940" s="28"/>
      <c r="S940" s="29"/>
      <c r="T940" s="30"/>
    </row>
    <row r="941" spans="1:20" ht="24" customHeight="1" x14ac:dyDescent="0.25">
      <c r="A941" t="str">
        <f>IF('e1'!A941&gt;0,HYPERLINK("#"&amp;ADDRESS(941,'e1'!A941),""),IF('r1'!A941&gt;0,HYPERLINK("#"&amp;ADDRESS(941,'r1'!A941),""),""))</f>
        <v/>
      </c>
      <c r="C941" s="13"/>
      <c r="D941" s="14"/>
      <c r="E941" s="15"/>
      <c r="F941" s="16"/>
      <c r="G941" s="17"/>
      <c r="H941" s="18"/>
      <c r="I941" s="19"/>
      <c r="J941" s="20"/>
      <c r="K941" s="21"/>
      <c r="L941" s="22"/>
      <c r="M941" s="23"/>
      <c r="N941" s="24"/>
      <c r="O941" s="25"/>
      <c r="P941" s="26"/>
      <c r="Q941" s="27"/>
      <c r="R941" s="28"/>
      <c r="S941" s="29"/>
      <c r="T941" s="30"/>
    </row>
    <row r="942" spans="1:20" ht="24" customHeight="1" x14ac:dyDescent="0.25">
      <c r="A942" t="str">
        <f>IF('e1'!A942&gt;0,HYPERLINK("#"&amp;ADDRESS(942,'e1'!A942),""),IF('r1'!A942&gt;0,HYPERLINK("#"&amp;ADDRESS(942,'r1'!A942),""),""))</f>
        <v/>
      </c>
      <c r="C942" s="13"/>
      <c r="D942" s="14"/>
      <c r="E942" s="15"/>
      <c r="F942" s="16"/>
      <c r="G942" s="17"/>
      <c r="H942" s="18"/>
      <c r="I942" s="19"/>
      <c r="J942" s="20"/>
      <c r="K942" s="21"/>
      <c r="L942" s="22"/>
      <c r="M942" s="23"/>
      <c r="N942" s="24"/>
      <c r="O942" s="25"/>
      <c r="P942" s="26"/>
      <c r="Q942" s="27"/>
      <c r="R942" s="28"/>
      <c r="S942" s="29"/>
      <c r="T942" s="30"/>
    </row>
    <row r="943" spans="1:20" ht="24" customHeight="1" x14ac:dyDescent="0.25">
      <c r="A943" t="str">
        <f>IF('e1'!A943&gt;0,HYPERLINK("#"&amp;ADDRESS(943,'e1'!A943),""),IF('r1'!A943&gt;0,HYPERLINK("#"&amp;ADDRESS(943,'r1'!A943),""),""))</f>
        <v/>
      </c>
      <c r="C943" s="13"/>
      <c r="D943" s="14"/>
      <c r="E943" s="15"/>
      <c r="F943" s="16"/>
      <c r="G943" s="17"/>
      <c r="H943" s="18"/>
      <c r="I943" s="19"/>
      <c r="J943" s="20"/>
      <c r="K943" s="21"/>
      <c r="L943" s="22"/>
      <c r="M943" s="23"/>
      <c r="N943" s="24"/>
      <c r="O943" s="25"/>
      <c r="P943" s="26"/>
      <c r="Q943" s="27"/>
      <c r="R943" s="28"/>
      <c r="S943" s="29"/>
      <c r="T943" s="30"/>
    </row>
    <row r="944" spans="1:20" ht="24" customHeight="1" x14ac:dyDescent="0.25">
      <c r="A944" t="str">
        <f>IF('e1'!A944&gt;0,HYPERLINK("#"&amp;ADDRESS(944,'e1'!A944),""),IF('r1'!A944&gt;0,HYPERLINK("#"&amp;ADDRESS(944,'r1'!A944),""),""))</f>
        <v/>
      </c>
      <c r="C944" s="13"/>
      <c r="D944" s="14"/>
      <c r="E944" s="15"/>
      <c r="F944" s="16"/>
      <c r="G944" s="17"/>
      <c r="H944" s="18"/>
      <c r="I944" s="19"/>
      <c r="J944" s="20"/>
      <c r="K944" s="21"/>
      <c r="L944" s="22"/>
      <c r="M944" s="23"/>
      <c r="N944" s="24"/>
      <c r="O944" s="25"/>
      <c r="P944" s="26"/>
      <c r="Q944" s="27"/>
      <c r="R944" s="28"/>
      <c r="S944" s="29"/>
      <c r="T944" s="30"/>
    </row>
    <row r="945" spans="1:20" ht="24" customHeight="1" x14ac:dyDescent="0.25">
      <c r="A945" t="str">
        <f>IF('e1'!A945&gt;0,HYPERLINK("#"&amp;ADDRESS(945,'e1'!A945),""),IF('r1'!A945&gt;0,HYPERLINK("#"&amp;ADDRESS(945,'r1'!A945),""),""))</f>
        <v/>
      </c>
      <c r="C945" s="13"/>
      <c r="D945" s="14"/>
      <c r="E945" s="15"/>
      <c r="F945" s="16"/>
      <c r="G945" s="17"/>
      <c r="H945" s="18"/>
      <c r="I945" s="19"/>
      <c r="J945" s="20"/>
      <c r="K945" s="21"/>
      <c r="L945" s="22"/>
      <c r="M945" s="23"/>
      <c r="N945" s="24"/>
      <c r="O945" s="25"/>
      <c r="P945" s="26"/>
      <c r="Q945" s="27"/>
      <c r="R945" s="28"/>
      <c r="S945" s="29"/>
      <c r="T945" s="30"/>
    </row>
    <row r="946" spans="1:20" ht="24" customHeight="1" x14ac:dyDescent="0.25">
      <c r="A946" t="str">
        <f>IF('e1'!A946&gt;0,HYPERLINK("#"&amp;ADDRESS(946,'e1'!A946),""),IF('r1'!A946&gt;0,HYPERLINK("#"&amp;ADDRESS(946,'r1'!A946),""),""))</f>
        <v/>
      </c>
      <c r="C946" s="13"/>
      <c r="D946" s="14"/>
      <c r="E946" s="15"/>
      <c r="F946" s="16"/>
      <c r="G946" s="17"/>
      <c r="H946" s="18"/>
      <c r="I946" s="19"/>
      <c r="J946" s="20"/>
      <c r="K946" s="21"/>
      <c r="L946" s="22"/>
      <c r="M946" s="23"/>
      <c r="N946" s="24"/>
      <c r="O946" s="25"/>
      <c r="P946" s="26"/>
      <c r="Q946" s="27"/>
      <c r="R946" s="28"/>
      <c r="S946" s="29"/>
      <c r="T946" s="30"/>
    </row>
    <row r="947" spans="1:20" ht="24" customHeight="1" x14ac:dyDescent="0.25">
      <c r="A947" t="str">
        <f>IF('e1'!A947&gt;0,HYPERLINK("#"&amp;ADDRESS(947,'e1'!A947),""),IF('r1'!A947&gt;0,HYPERLINK("#"&amp;ADDRESS(947,'r1'!A947),""),""))</f>
        <v/>
      </c>
      <c r="C947" s="13"/>
      <c r="D947" s="14"/>
      <c r="E947" s="15"/>
      <c r="F947" s="16"/>
      <c r="G947" s="17"/>
      <c r="H947" s="18"/>
      <c r="I947" s="19"/>
      <c r="J947" s="20"/>
      <c r="K947" s="21"/>
      <c r="L947" s="22"/>
      <c r="M947" s="23"/>
      <c r="N947" s="24"/>
      <c r="O947" s="25"/>
      <c r="P947" s="26"/>
      <c r="Q947" s="27"/>
      <c r="R947" s="28"/>
      <c r="S947" s="29"/>
      <c r="T947" s="30"/>
    </row>
    <row r="948" spans="1:20" ht="24" customHeight="1" x14ac:dyDescent="0.25">
      <c r="A948" t="str">
        <f>IF('e1'!A948&gt;0,HYPERLINK("#"&amp;ADDRESS(948,'e1'!A948),""),IF('r1'!A948&gt;0,HYPERLINK("#"&amp;ADDRESS(948,'r1'!A948),""),""))</f>
        <v/>
      </c>
      <c r="C948" s="13"/>
      <c r="D948" s="14"/>
      <c r="E948" s="15"/>
      <c r="F948" s="16"/>
      <c r="G948" s="17"/>
      <c r="H948" s="18"/>
      <c r="I948" s="19"/>
      <c r="J948" s="20"/>
      <c r="K948" s="21"/>
      <c r="L948" s="22"/>
      <c r="M948" s="23"/>
      <c r="N948" s="24"/>
      <c r="O948" s="25"/>
      <c r="P948" s="26"/>
      <c r="Q948" s="27"/>
      <c r="R948" s="28"/>
      <c r="S948" s="29"/>
      <c r="T948" s="30"/>
    </row>
    <row r="949" spans="1:20" ht="24" customHeight="1" x14ac:dyDescent="0.25">
      <c r="A949" t="str">
        <f>IF('e1'!A949&gt;0,HYPERLINK("#"&amp;ADDRESS(949,'e1'!A949),""),IF('r1'!A949&gt;0,HYPERLINK("#"&amp;ADDRESS(949,'r1'!A949),""),""))</f>
        <v/>
      </c>
      <c r="C949" s="13"/>
      <c r="D949" s="14"/>
      <c r="E949" s="15"/>
      <c r="F949" s="16"/>
      <c r="G949" s="17"/>
      <c r="H949" s="18"/>
      <c r="I949" s="19"/>
      <c r="J949" s="20"/>
      <c r="K949" s="21"/>
      <c r="L949" s="22"/>
      <c r="M949" s="23"/>
      <c r="N949" s="24"/>
      <c r="O949" s="25"/>
      <c r="P949" s="26"/>
      <c r="Q949" s="27"/>
      <c r="R949" s="28"/>
      <c r="S949" s="29"/>
      <c r="T949" s="30"/>
    </row>
    <row r="950" spans="1:20" ht="24" customHeight="1" x14ac:dyDescent="0.25">
      <c r="A950" t="str">
        <f>IF('e1'!A950&gt;0,HYPERLINK("#"&amp;ADDRESS(950,'e1'!A950),""),IF('r1'!A950&gt;0,HYPERLINK("#"&amp;ADDRESS(950,'r1'!A950),""),""))</f>
        <v/>
      </c>
      <c r="C950" s="13"/>
      <c r="D950" s="14"/>
      <c r="E950" s="15"/>
      <c r="F950" s="16"/>
      <c r="G950" s="17"/>
      <c r="H950" s="18"/>
      <c r="I950" s="19"/>
      <c r="J950" s="20"/>
      <c r="K950" s="21"/>
      <c r="L950" s="22"/>
      <c r="M950" s="23"/>
      <c r="N950" s="24"/>
      <c r="O950" s="25"/>
      <c r="P950" s="26"/>
      <c r="Q950" s="27"/>
      <c r="R950" s="28"/>
      <c r="S950" s="29"/>
      <c r="T950" s="30"/>
    </row>
    <row r="951" spans="1:20" ht="24" customHeight="1" x14ac:dyDescent="0.25">
      <c r="A951" t="str">
        <f>IF('e1'!A951&gt;0,HYPERLINK("#"&amp;ADDRESS(951,'e1'!A951),""),IF('r1'!A951&gt;0,HYPERLINK("#"&amp;ADDRESS(951,'r1'!A951),""),""))</f>
        <v/>
      </c>
      <c r="C951" s="13"/>
      <c r="D951" s="14"/>
      <c r="E951" s="15"/>
      <c r="F951" s="16"/>
      <c r="G951" s="17"/>
      <c r="H951" s="18"/>
      <c r="I951" s="19"/>
      <c r="J951" s="20"/>
      <c r="K951" s="21"/>
      <c r="L951" s="22"/>
      <c r="M951" s="23"/>
      <c r="N951" s="24"/>
      <c r="O951" s="25"/>
      <c r="P951" s="26"/>
      <c r="Q951" s="27"/>
      <c r="R951" s="28"/>
      <c r="S951" s="29"/>
      <c r="T951" s="30"/>
    </row>
    <row r="952" spans="1:20" ht="24" customHeight="1" x14ac:dyDescent="0.25">
      <c r="A952" t="str">
        <f>IF('e1'!A952&gt;0,HYPERLINK("#"&amp;ADDRESS(952,'e1'!A952),""),IF('r1'!A952&gt;0,HYPERLINK("#"&amp;ADDRESS(952,'r1'!A952),""),""))</f>
        <v/>
      </c>
      <c r="C952" s="13"/>
      <c r="D952" s="14"/>
      <c r="E952" s="15"/>
      <c r="F952" s="16"/>
      <c r="G952" s="17"/>
      <c r="H952" s="18"/>
      <c r="I952" s="19"/>
      <c r="J952" s="20"/>
      <c r="K952" s="21"/>
      <c r="L952" s="22"/>
      <c r="M952" s="23"/>
      <c r="N952" s="24"/>
      <c r="O952" s="25"/>
      <c r="P952" s="26"/>
      <c r="Q952" s="27"/>
      <c r="R952" s="28"/>
      <c r="S952" s="29"/>
      <c r="T952" s="30"/>
    </row>
    <row r="953" spans="1:20" ht="24" customHeight="1" x14ac:dyDescent="0.25">
      <c r="A953" t="str">
        <f>IF('e1'!A953&gt;0,HYPERLINK("#"&amp;ADDRESS(953,'e1'!A953),""),IF('r1'!A953&gt;0,HYPERLINK("#"&amp;ADDRESS(953,'r1'!A953),""),""))</f>
        <v/>
      </c>
      <c r="C953" s="13"/>
      <c r="D953" s="14"/>
      <c r="E953" s="15"/>
      <c r="F953" s="16"/>
      <c r="G953" s="17"/>
      <c r="H953" s="18"/>
      <c r="I953" s="19"/>
      <c r="J953" s="20"/>
      <c r="K953" s="21"/>
      <c r="L953" s="22"/>
      <c r="M953" s="23"/>
      <c r="N953" s="24"/>
      <c r="O953" s="25"/>
      <c r="P953" s="26"/>
      <c r="Q953" s="27"/>
      <c r="R953" s="28"/>
      <c r="S953" s="29"/>
      <c r="T953" s="30"/>
    </row>
    <row r="954" spans="1:20" ht="24" customHeight="1" x14ac:dyDescent="0.25">
      <c r="A954" t="str">
        <f>IF('e1'!A954&gt;0,HYPERLINK("#"&amp;ADDRESS(954,'e1'!A954),""),IF('r1'!A954&gt;0,HYPERLINK("#"&amp;ADDRESS(954,'r1'!A954),""),""))</f>
        <v/>
      </c>
      <c r="C954" s="13"/>
      <c r="D954" s="14"/>
      <c r="E954" s="15"/>
      <c r="F954" s="16"/>
      <c r="G954" s="17"/>
      <c r="H954" s="18"/>
      <c r="I954" s="19"/>
      <c r="J954" s="20"/>
      <c r="K954" s="21"/>
      <c r="L954" s="22"/>
      <c r="M954" s="23"/>
      <c r="N954" s="24"/>
      <c r="O954" s="25"/>
      <c r="P954" s="26"/>
      <c r="Q954" s="27"/>
      <c r="R954" s="28"/>
      <c r="S954" s="29"/>
      <c r="T954" s="30"/>
    </row>
    <row r="955" spans="1:20" ht="24" customHeight="1" x14ac:dyDescent="0.25">
      <c r="A955" t="str">
        <f>IF('e1'!A955&gt;0,HYPERLINK("#"&amp;ADDRESS(955,'e1'!A955),""),IF('r1'!A955&gt;0,HYPERLINK("#"&amp;ADDRESS(955,'r1'!A955),""),""))</f>
        <v/>
      </c>
      <c r="C955" s="13"/>
      <c r="D955" s="14"/>
      <c r="E955" s="15"/>
      <c r="F955" s="16"/>
      <c r="G955" s="17"/>
      <c r="H955" s="18"/>
      <c r="I955" s="19"/>
      <c r="J955" s="20"/>
      <c r="K955" s="21"/>
      <c r="L955" s="22"/>
      <c r="M955" s="23"/>
      <c r="N955" s="24"/>
      <c r="O955" s="25"/>
      <c r="P955" s="26"/>
      <c r="Q955" s="27"/>
      <c r="R955" s="28"/>
      <c r="S955" s="29"/>
      <c r="T955" s="30"/>
    </row>
    <row r="956" spans="1:20" ht="24" customHeight="1" x14ac:dyDescent="0.25">
      <c r="A956" t="str">
        <f>IF('e1'!A956&gt;0,HYPERLINK("#"&amp;ADDRESS(956,'e1'!A956),""),IF('r1'!A956&gt;0,HYPERLINK("#"&amp;ADDRESS(956,'r1'!A956),""),""))</f>
        <v/>
      </c>
      <c r="C956" s="13"/>
      <c r="D956" s="14"/>
      <c r="E956" s="15"/>
      <c r="F956" s="16"/>
      <c r="G956" s="17"/>
      <c r="H956" s="18"/>
      <c r="I956" s="19"/>
      <c r="J956" s="20"/>
      <c r="K956" s="21"/>
      <c r="L956" s="22"/>
      <c r="M956" s="23"/>
      <c r="N956" s="24"/>
      <c r="O956" s="25"/>
      <c r="P956" s="26"/>
      <c r="Q956" s="27"/>
      <c r="R956" s="28"/>
      <c r="S956" s="29"/>
      <c r="T956" s="30"/>
    </row>
    <row r="957" spans="1:20" ht="24" customHeight="1" x14ac:dyDescent="0.25">
      <c r="A957" t="str">
        <f>IF('e1'!A957&gt;0,HYPERLINK("#"&amp;ADDRESS(957,'e1'!A957),""),IF('r1'!A957&gt;0,HYPERLINK("#"&amp;ADDRESS(957,'r1'!A957),""),""))</f>
        <v/>
      </c>
      <c r="C957" s="13"/>
      <c r="D957" s="14"/>
      <c r="E957" s="15"/>
      <c r="F957" s="16"/>
      <c r="G957" s="17"/>
      <c r="H957" s="18"/>
      <c r="I957" s="19"/>
      <c r="J957" s="20"/>
      <c r="K957" s="21"/>
      <c r="L957" s="22"/>
      <c r="M957" s="23"/>
      <c r="N957" s="24"/>
      <c r="O957" s="25"/>
      <c r="P957" s="26"/>
      <c r="Q957" s="27"/>
      <c r="R957" s="28"/>
      <c r="S957" s="29"/>
      <c r="T957" s="30"/>
    </row>
    <row r="958" spans="1:20" ht="24" customHeight="1" x14ac:dyDescent="0.25">
      <c r="A958" t="str">
        <f>IF('e1'!A958&gt;0,HYPERLINK("#"&amp;ADDRESS(958,'e1'!A958),""),IF('r1'!A958&gt;0,HYPERLINK("#"&amp;ADDRESS(958,'r1'!A958),""),""))</f>
        <v/>
      </c>
      <c r="C958" s="13"/>
      <c r="D958" s="14"/>
      <c r="E958" s="15"/>
      <c r="F958" s="16"/>
      <c r="G958" s="17"/>
      <c r="H958" s="18"/>
      <c r="I958" s="19"/>
      <c r="J958" s="20"/>
      <c r="K958" s="21"/>
      <c r="L958" s="22"/>
      <c r="M958" s="23"/>
      <c r="N958" s="24"/>
      <c r="O958" s="25"/>
      <c r="P958" s="26"/>
      <c r="Q958" s="27"/>
      <c r="R958" s="28"/>
      <c r="S958" s="29"/>
      <c r="T958" s="30"/>
    </row>
    <row r="959" spans="1:20" ht="24" customHeight="1" x14ac:dyDescent="0.25">
      <c r="A959" t="str">
        <f>IF('e1'!A959&gt;0,HYPERLINK("#"&amp;ADDRESS(959,'e1'!A959),""),IF('r1'!A959&gt;0,HYPERLINK("#"&amp;ADDRESS(959,'r1'!A959),""),""))</f>
        <v/>
      </c>
      <c r="C959" s="13"/>
      <c r="D959" s="14"/>
      <c r="E959" s="15"/>
      <c r="F959" s="16"/>
      <c r="G959" s="17"/>
      <c r="H959" s="18"/>
      <c r="I959" s="19"/>
      <c r="J959" s="20"/>
      <c r="K959" s="21"/>
      <c r="L959" s="22"/>
      <c r="M959" s="23"/>
      <c r="N959" s="24"/>
      <c r="O959" s="25"/>
      <c r="P959" s="26"/>
      <c r="Q959" s="27"/>
      <c r="R959" s="28"/>
      <c r="S959" s="29"/>
      <c r="T959" s="30"/>
    </row>
    <row r="960" spans="1:20" ht="24" customHeight="1" x14ac:dyDescent="0.25">
      <c r="A960" t="str">
        <f>IF('e1'!A960&gt;0,HYPERLINK("#"&amp;ADDRESS(960,'e1'!A960),""),IF('r1'!A960&gt;0,HYPERLINK("#"&amp;ADDRESS(960,'r1'!A960),""),""))</f>
        <v/>
      </c>
      <c r="C960" s="13"/>
      <c r="D960" s="14"/>
      <c r="E960" s="15"/>
      <c r="F960" s="16"/>
      <c r="G960" s="17"/>
      <c r="H960" s="18"/>
      <c r="I960" s="19"/>
      <c r="J960" s="20"/>
      <c r="K960" s="21"/>
      <c r="L960" s="22"/>
      <c r="M960" s="23"/>
      <c r="N960" s="24"/>
      <c r="O960" s="25"/>
      <c r="P960" s="26"/>
      <c r="Q960" s="27"/>
      <c r="R960" s="28"/>
      <c r="S960" s="29"/>
      <c r="T960" s="30"/>
    </row>
    <row r="961" spans="1:20" ht="24" customHeight="1" x14ac:dyDescent="0.25">
      <c r="A961" t="str">
        <f>IF('e1'!A961&gt;0,HYPERLINK("#"&amp;ADDRESS(961,'e1'!A961),""),IF('r1'!A961&gt;0,HYPERLINK("#"&amp;ADDRESS(961,'r1'!A961),""),""))</f>
        <v/>
      </c>
      <c r="C961" s="13"/>
      <c r="D961" s="14"/>
      <c r="E961" s="15"/>
      <c r="F961" s="16"/>
      <c r="G961" s="17"/>
      <c r="H961" s="18"/>
      <c r="I961" s="19"/>
      <c r="J961" s="20"/>
      <c r="K961" s="21"/>
      <c r="L961" s="22"/>
      <c r="M961" s="23"/>
      <c r="N961" s="24"/>
      <c r="O961" s="25"/>
      <c r="P961" s="26"/>
      <c r="Q961" s="27"/>
      <c r="R961" s="28"/>
      <c r="S961" s="29"/>
      <c r="T961" s="30"/>
    </row>
    <row r="962" spans="1:20" ht="24" customHeight="1" x14ac:dyDescent="0.25">
      <c r="A962" t="str">
        <f>IF('e1'!A962&gt;0,HYPERLINK("#"&amp;ADDRESS(962,'e1'!A962),""),IF('r1'!A962&gt;0,HYPERLINK("#"&amp;ADDRESS(962,'r1'!A962),""),""))</f>
        <v/>
      </c>
      <c r="C962" s="13"/>
      <c r="D962" s="14"/>
      <c r="E962" s="15"/>
      <c r="F962" s="16"/>
      <c r="G962" s="17"/>
      <c r="H962" s="18"/>
      <c r="I962" s="19"/>
      <c r="J962" s="20"/>
      <c r="K962" s="21"/>
      <c r="L962" s="22"/>
      <c r="M962" s="23"/>
      <c r="N962" s="24"/>
      <c r="O962" s="25"/>
      <c r="P962" s="26"/>
      <c r="Q962" s="27"/>
      <c r="R962" s="28"/>
      <c r="S962" s="29"/>
      <c r="T962" s="30"/>
    </row>
    <row r="963" spans="1:20" ht="24" customHeight="1" x14ac:dyDescent="0.25">
      <c r="A963" t="str">
        <f>IF('e1'!A963&gt;0,HYPERLINK("#"&amp;ADDRESS(963,'e1'!A963),""),IF('r1'!A963&gt;0,HYPERLINK("#"&amp;ADDRESS(963,'r1'!A963),""),""))</f>
        <v/>
      </c>
      <c r="C963" s="13"/>
      <c r="D963" s="14"/>
      <c r="E963" s="15"/>
      <c r="F963" s="16"/>
      <c r="G963" s="17"/>
      <c r="H963" s="18"/>
      <c r="I963" s="19"/>
      <c r="J963" s="20"/>
      <c r="K963" s="21"/>
      <c r="L963" s="22"/>
      <c r="M963" s="23"/>
      <c r="N963" s="24"/>
      <c r="O963" s="25"/>
      <c r="P963" s="26"/>
      <c r="Q963" s="27"/>
      <c r="R963" s="28"/>
      <c r="S963" s="29"/>
      <c r="T963" s="30"/>
    </row>
    <row r="964" spans="1:20" ht="24" customHeight="1" x14ac:dyDescent="0.25">
      <c r="A964" t="str">
        <f>IF('e1'!A964&gt;0,HYPERLINK("#"&amp;ADDRESS(964,'e1'!A964),""),IF('r1'!A964&gt;0,HYPERLINK("#"&amp;ADDRESS(964,'r1'!A964),""),""))</f>
        <v/>
      </c>
      <c r="C964" s="13"/>
      <c r="D964" s="14"/>
      <c r="E964" s="15"/>
      <c r="F964" s="16"/>
      <c r="G964" s="17"/>
      <c r="H964" s="18"/>
      <c r="I964" s="19"/>
      <c r="J964" s="20"/>
      <c r="K964" s="21"/>
      <c r="L964" s="22"/>
      <c r="M964" s="23"/>
      <c r="N964" s="24"/>
      <c r="O964" s="25"/>
      <c r="P964" s="26"/>
      <c r="Q964" s="27"/>
      <c r="R964" s="28"/>
      <c r="S964" s="29"/>
      <c r="T964" s="30"/>
    </row>
    <row r="965" spans="1:20" ht="24" customHeight="1" x14ac:dyDescent="0.25">
      <c r="A965" t="str">
        <f>IF('e1'!A965&gt;0,HYPERLINK("#"&amp;ADDRESS(965,'e1'!A965),""),IF('r1'!A965&gt;0,HYPERLINK("#"&amp;ADDRESS(965,'r1'!A965),""),""))</f>
        <v/>
      </c>
      <c r="C965" s="13"/>
      <c r="D965" s="14"/>
      <c r="E965" s="15"/>
      <c r="F965" s="16"/>
      <c r="G965" s="17"/>
      <c r="H965" s="18"/>
      <c r="I965" s="19"/>
      <c r="J965" s="20"/>
      <c r="K965" s="21"/>
      <c r="L965" s="22"/>
      <c r="M965" s="23"/>
      <c r="N965" s="24"/>
      <c r="O965" s="25"/>
      <c r="P965" s="26"/>
      <c r="Q965" s="27"/>
      <c r="R965" s="28"/>
      <c r="S965" s="29"/>
      <c r="T965" s="30"/>
    </row>
    <row r="966" spans="1:20" ht="24" customHeight="1" x14ac:dyDescent="0.25">
      <c r="A966" t="str">
        <f>IF('e1'!A966&gt;0,HYPERLINK("#"&amp;ADDRESS(966,'e1'!A966),""),IF('r1'!A966&gt;0,HYPERLINK("#"&amp;ADDRESS(966,'r1'!A966),""),""))</f>
        <v/>
      </c>
      <c r="C966" s="13"/>
      <c r="D966" s="14"/>
      <c r="E966" s="15"/>
      <c r="F966" s="16"/>
      <c r="G966" s="17"/>
      <c r="H966" s="18"/>
      <c r="I966" s="19"/>
      <c r="J966" s="20"/>
      <c r="K966" s="21"/>
      <c r="L966" s="22"/>
      <c r="M966" s="23"/>
      <c r="N966" s="24"/>
      <c r="O966" s="25"/>
      <c r="P966" s="26"/>
      <c r="Q966" s="27"/>
      <c r="R966" s="28"/>
      <c r="S966" s="29"/>
      <c r="T966" s="30"/>
    </row>
    <row r="967" spans="1:20" ht="24" customHeight="1" x14ac:dyDescent="0.25">
      <c r="A967" t="str">
        <f>IF('e1'!A967&gt;0,HYPERLINK("#"&amp;ADDRESS(967,'e1'!A967),""),IF('r1'!A967&gt;0,HYPERLINK("#"&amp;ADDRESS(967,'r1'!A967),""),""))</f>
        <v/>
      </c>
      <c r="C967" s="13"/>
      <c r="D967" s="14"/>
      <c r="E967" s="15"/>
      <c r="F967" s="16"/>
      <c r="G967" s="17"/>
      <c r="H967" s="18"/>
      <c r="I967" s="19"/>
      <c r="J967" s="20"/>
      <c r="K967" s="21"/>
      <c r="L967" s="22"/>
      <c r="M967" s="23"/>
      <c r="N967" s="24"/>
      <c r="O967" s="25"/>
      <c r="P967" s="26"/>
      <c r="Q967" s="27"/>
      <c r="R967" s="28"/>
      <c r="S967" s="29"/>
      <c r="T967" s="30"/>
    </row>
    <row r="968" spans="1:20" ht="24" customHeight="1" x14ac:dyDescent="0.25">
      <c r="A968" t="str">
        <f>IF('e1'!A968&gt;0,HYPERLINK("#"&amp;ADDRESS(968,'e1'!A968),""),IF('r1'!A968&gt;0,HYPERLINK("#"&amp;ADDRESS(968,'r1'!A968),""),""))</f>
        <v/>
      </c>
      <c r="C968" s="13"/>
      <c r="D968" s="14"/>
      <c r="E968" s="15"/>
      <c r="F968" s="16"/>
      <c r="G968" s="17"/>
      <c r="H968" s="18"/>
      <c r="I968" s="19"/>
      <c r="J968" s="20"/>
      <c r="K968" s="21"/>
      <c r="L968" s="22"/>
      <c r="M968" s="23"/>
      <c r="N968" s="24"/>
      <c r="O968" s="25"/>
      <c r="P968" s="26"/>
      <c r="Q968" s="27"/>
      <c r="R968" s="28"/>
      <c r="S968" s="29"/>
      <c r="T968" s="30"/>
    </row>
    <row r="969" spans="1:20" ht="24" customHeight="1" x14ac:dyDescent="0.25">
      <c r="A969" t="str">
        <f>IF('e1'!A969&gt;0,HYPERLINK("#"&amp;ADDRESS(969,'e1'!A969),""),IF('r1'!A969&gt;0,HYPERLINK("#"&amp;ADDRESS(969,'r1'!A969),""),""))</f>
        <v/>
      </c>
      <c r="C969" s="13"/>
      <c r="D969" s="14"/>
      <c r="E969" s="15"/>
      <c r="F969" s="16"/>
      <c r="G969" s="17"/>
      <c r="H969" s="18"/>
      <c r="I969" s="19"/>
      <c r="J969" s="20"/>
      <c r="K969" s="21"/>
      <c r="L969" s="22"/>
      <c r="M969" s="23"/>
      <c r="N969" s="24"/>
      <c r="O969" s="25"/>
      <c r="P969" s="26"/>
      <c r="Q969" s="27"/>
      <c r="R969" s="28"/>
      <c r="S969" s="29"/>
      <c r="T969" s="30"/>
    </row>
    <row r="970" spans="1:20" ht="24" customHeight="1" x14ac:dyDescent="0.25">
      <c r="A970" t="str">
        <f>IF('e1'!A970&gt;0,HYPERLINK("#"&amp;ADDRESS(970,'e1'!A970),""),IF('r1'!A970&gt;0,HYPERLINK("#"&amp;ADDRESS(970,'r1'!A970),""),""))</f>
        <v/>
      </c>
      <c r="C970" s="13"/>
      <c r="D970" s="14"/>
      <c r="E970" s="15"/>
      <c r="F970" s="16"/>
      <c r="G970" s="17"/>
      <c r="H970" s="18"/>
      <c r="I970" s="19"/>
      <c r="J970" s="20"/>
      <c r="K970" s="21"/>
      <c r="L970" s="22"/>
      <c r="M970" s="23"/>
      <c r="N970" s="24"/>
      <c r="O970" s="25"/>
      <c r="P970" s="26"/>
      <c r="Q970" s="27"/>
      <c r="R970" s="28"/>
      <c r="S970" s="29"/>
      <c r="T970" s="30"/>
    </row>
    <row r="971" spans="1:20" ht="24" customHeight="1" x14ac:dyDescent="0.25">
      <c r="A971" t="str">
        <f>IF('e1'!A971&gt;0,HYPERLINK("#"&amp;ADDRESS(971,'e1'!A971),""),IF('r1'!A971&gt;0,HYPERLINK("#"&amp;ADDRESS(971,'r1'!A971),""),""))</f>
        <v/>
      </c>
      <c r="C971" s="13"/>
      <c r="D971" s="14"/>
      <c r="E971" s="15"/>
      <c r="F971" s="16"/>
      <c r="G971" s="17"/>
      <c r="H971" s="18"/>
      <c r="I971" s="19"/>
      <c r="J971" s="20"/>
      <c r="K971" s="21"/>
      <c r="L971" s="22"/>
      <c r="M971" s="23"/>
      <c r="N971" s="24"/>
      <c r="O971" s="25"/>
      <c r="P971" s="26"/>
      <c r="Q971" s="27"/>
      <c r="R971" s="28"/>
      <c r="S971" s="29"/>
      <c r="T971" s="30"/>
    </row>
    <row r="972" spans="1:20" ht="24" customHeight="1" x14ac:dyDescent="0.25">
      <c r="A972" t="str">
        <f>IF('e1'!A972&gt;0,HYPERLINK("#"&amp;ADDRESS(972,'e1'!A972),""),IF('r1'!A972&gt;0,HYPERLINK("#"&amp;ADDRESS(972,'r1'!A972),""),""))</f>
        <v/>
      </c>
      <c r="C972" s="13"/>
      <c r="D972" s="14"/>
      <c r="E972" s="15"/>
      <c r="F972" s="16"/>
      <c r="G972" s="17"/>
      <c r="H972" s="18"/>
      <c r="I972" s="19"/>
      <c r="J972" s="20"/>
      <c r="K972" s="21"/>
      <c r="L972" s="22"/>
      <c r="M972" s="23"/>
      <c r="N972" s="24"/>
      <c r="O972" s="25"/>
      <c r="P972" s="26"/>
      <c r="Q972" s="27"/>
      <c r="R972" s="28"/>
      <c r="S972" s="29"/>
      <c r="T972" s="30"/>
    </row>
    <row r="973" spans="1:20" ht="24" customHeight="1" x14ac:dyDescent="0.25">
      <c r="A973" t="str">
        <f>IF('e1'!A973&gt;0,HYPERLINK("#"&amp;ADDRESS(973,'e1'!A973),""),IF('r1'!A973&gt;0,HYPERLINK("#"&amp;ADDRESS(973,'r1'!A973),""),""))</f>
        <v/>
      </c>
      <c r="C973" s="13"/>
      <c r="D973" s="14"/>
      <c r="E973" s="15"/>
      <c r="F973" s="16"/>
      <c r="G973" s="17"/>
      <c r="H973" s="18"/>
      <c r="I973" s="19"/>
      <c r="J973" s="20"/>
      <c r="K973" s="21"/>
      <c r="L973" s="22"/>
      <c r="M973" s="23"/>
      <c r="N973" s="24"/>
      <c r="O973" s="25"/>
      <c r="P973" s="26"/>
      <c r="Q973" s="27"/>
      <c r="R973" s="28"/>
      <c r="S973" s="29"/>
      <c r="T973" s="30"/>
    </row>
    <row r="974" spans="1:20" ht="24" customHeight="1" x14ac:dyDescent="0.25">
      <c r="A974" t="str">
        <f>IF('e1'!A974&gt;0,HYPERLINK("#"&amp;ADDRESS(974,'e1'!A974),""),IF('r1'!A974&gt;0,HYPERLINK("#"&amp;ADDRESS(974,'r1'!A974),""),""))</f>
        <v/>
      </c>
      <c r="C974" s="13"/>
      <c r="D974" s="14"/>
      <c r="E974" s="15"/>
      <c r="F974" s="16"/>
      <c r="G974" s="17"/>
      <c r="H974" s="18"/>
      <c r="I974" s="19"/>
      <c r="J974" s="20"/>
      <c r="K974" s="21"/>
      <c r="L974" s="22"/>
      <c r="M974" s="23"/>
      <c r="N974" s="24"/>
      <c r="O974" s="25"/>
      <c r="P974" s="26"/>
      <c r="Q974" s="27"/>
      <c r="R974" s="28"/>
      <c r="S974" s="29"/>
      <c r="T974" s="30"/>
    </row>
    <row r="975" spans="1:20" ht="24" customHeight="1" x14ac:dyDescent="0.25">
      <c r="A975" t="str">
        <f>IF('e1'!A975&gt;0,HYPERLINK("#"&amp;ADDRESS(975,'e1'!A975),""),IF('r1'!A975&gt;0,HYPERLINK("#"&amp;ADDRESS(975,'r1'!A975),""),""))</f>
        <v/>
      </c>
      <c r="C975" s="13"/>
      <c r="D975" s="14"/>
      <c r="E975" s="15"/>
      <c r="F975" s="16"/>
      <c r="G975" s="17"/>
      <c r="H975" s="18"/>
      <c r="I975" s="19"/>
      <c r="J975" s="20"/>
      <c r="K975" s="21"/>
      <c r="L975" s="22"/>
      <c r="M975" s="23"/>
      <c r="N975" s="24"/>
      <c r="O975" s="25"/>
      <c r="P975" s="26"/>
      <c r="Q975" s="27"/>
      <c r="R975" s="28"/>
      <c r="S975" s="29"/>
      <c r="T975" s="30"/>
    </row>
    <row r="976" spans="1:20" ht="24" customHeight="1" x14ac:dyDescent="0.25">
      <c r="A976" t="str">
        <f>IF('e1'!A976&gt;0,HYPERLINK("#"&amp;ADDRESS(976,'e1'!A976),""),IF('r1'!A976&gt;0,HYPERLINK("#"&amp;ADDRESS(976,'r1'!A976),""),""))</f>
        <v/>
      </c>
      <c r="C976" s="13"/>
      <c r="D976" s="14"/>
      <c r="E976" s="15"/>
      <c r="F976" s="16"/>
      <c r="G976" s="17"/>
      <c r="H976" s="18"/>
      <c r="I976" s="19"/>
      <c r="J976" s="20"/>
      <c r="K976" s="21"/>
      <c r="L976" s="22"/>
      <c r="M976" s="23"/>
      <c r="N976" s="24"/>
      <c r="O976" s="25"/>
      <c r="P976" s="26"/>
      <c r="Q976" s="27"/>
      <c r="R976" s="28"/>
      <c r="S976" s="29"/>
      <c r="T976" s="30"/>
    </row>
    <row r="977" spans="1:20" ht="24" customHeight="1" x14ac:dyDescent="0.25">
      <c r="A977" t="str">
        <f>IF('e1'!A977&gt;0,HYPERLINK("#"&amp;ADDRESS(977,'e1'!A977),""),IF('r1'!A977&gt;0,HYPERLINK("#"&amp;ADDRESS(977,'r1'!A977),""),""))</f>
        <v/>
      </c>
      <c r="C977" s="13"/>
      <c r="D977" s="14"/>
      <c r="E977" s="15"/>
      <c r="F977" s="16"/>
      <c r="G977" s="17"/>
      <c r="H977" s="18"/>
      <c r="I977" s="19"/>
      <c r="J977" s="20"/>
      <c r="K977" s="21"/>
      <c r="L977" s="22"/>
      <c r="M977" s="23"/>
      <c r="N977" s="24"/>
      <c r="O977" s="25"/>
      <c r="P977" s="26"/>
      <c r="Q977" s="27"/>
      <c r="R977" s="28"/>
      <c r="S977" s="29"/>
      <c r="T977" s="30"/>
    </row>
    <row r="978" spans="1:20" ht="24" customHeight="1" x14ac:dyDescent="0.25">
      <c r="A978" t="str">
        <f>IF('e1'!A978&gt;0,HYPERLINK("#"&amp;ADDRESS(978,'e1'!A978),""),IF('r1'!A978&gt;0,HYPERLINK("#"&amp;ADDRESS(978,'r1'!A978),""),""))</f>
        <v/>
      </c>
      <c r="C978" s="13"/>
      <c r="D978" s="14"/>
      <c r="E978" s="15"/>
      <c r="F978" s="16"/>
      <c r="G978" s="17"/>
      <c r="H978" s="18"/>
      <c r="I978" s="19"/>
      <c r="J978" s="20"/>
      <c r="K978" s="21"/>
      <c r="L978" s="22"/>
      <c r="M978" s="23"/>
      <c r="N978" s="24"/>
      <c r="O978" s="25"/>
      <c r="P978" s="26"/>
      <c r="Q978" s="27"/>
      <c r="R978" s="28"/>
      <c r="S978" s="29"/>
      <c r="T978" s="30"/>
    </row>
    <row r="979" spans="1:20" ht="24" customHeight="1" x14ac:dyDescent="0.25">
      <c r="A979" t="str">
        <f>IF('e1'!A979&gt;0,HYPERLINK("#"&amp;ADDRESS(979,'e1'!A979),""),IF('r1'!A979&gt;0,HYPERLINK("#"&amp;ADDRESS(979,'r1'!A979),""),""))</f>
        <v/>
      </c>
      <c r="C979" s="13"/>
      <c r="D979" s="14"/>
      <c r="E979" s="15"/>
      <c r="F979" s="16"/>
      <c r="G979" s="17"/>
      <c r="H979" s="18"/>
      <c r="I979" s="19"/>
      <c r="J979" s="20"/>
      <c r="K979" s="21"/>
      <c r="L979" s="22"/>
      <c r="M979" s="23"/>
      <c r="N979" s="24"/>
      <c r="O979" s="25"/>
      <c r="P979" s="26"/>
      <c r="Q979" s="27"/>
      <c r="R979" s="28"/>
      <c r="S979" s="29"/>
      <c r="T979" s="30"/>
    </row>
    <row r="980" spans="1:20" ht="24" customHeight="1" x14ac:dyDescent="0.25">
      <c r="A980" t="str">
        <f>IF('e1'!A980&gt;0,HYPERLINK("#"&amp;ADDRESS(980,'e1'!A980),""),IF('r1'!A980&gt;0,HYPERLINK("#"&amp;ADDRESS(980,'r1'!A980),""),""))</f>
        <v/>
      </c>
      <c r="C980" s="13"/>
      <c r="D980" s="14"/>
      <c r="E980" s="15"/>
      <c r="F980" s="16"/>
      <c r="G980" s="17"/>
      <c r="H980" s="18"/>
      <c r="I980" s="19"/>
      <c r="J980" s="20"/>
      <c r="K980" s="21"/>
      <c r="L980" s="22"/>
      <c r="M980" s="23"/>
      <c r="N980" s="24"/>
      <c r="O980" s="25"/>
      <c r="P980" s="26"/>
      <c r="Q980" s="27"/>
      <c r="R980" s="28"/>
      <c r="S980" s="29"/>
      <c r="T980" s="30"/>
    </row>
    <row r="981" spans="1:20" ht="24" customHeight="1" x14ac:dyDescent="0.25">
      <c r="A981" t="str">
        <f>IF('e1'!A981&gt;0,HYPERLINK("#"&amp;ADDRESS(981,'e1'!A981),""),IF('r1'!A981&gt;0,HYPERLINK("#"&amp;ADDRESS(981,'r1'!A981),""),""))</f>
        <v/>
      </c>
      <c r="C981" s="13"/>
      <c r="D981" s="14"/>
      <c r="E981" s="15"/>
      <c r="F981" s="16"/>
      <c r="G981" s="17"/>
      <c r="H981" s="18"/>
      <c r="I981" s="19"/>
      <c r="J981" s="20"/>
      <c r="K981" s="21"/>
      <c r="L981" s="22"/>
      <c r="M981" s="23"/>
      <c r="N981" s="24"/>
      <c r="O981" s="25"/>
      <c r="P981" s="26"/>
      <c r="Q981" s="27"/>
      <c r="R981" s="28"/>
      <c r="S981" s="29"/>
      <c r="T981" s="30"/>
    </row>
    <row r="982" spans="1:20" ht="24" customHeight="1" x14ac:dyDescent="0.25">
      <c r="A982" t="str">
        <f>IF('e1'!A982&gt;0,HYPERLINK("#"&amp;ADDRESS(982,'e1'!A982),""),IF('r1'!A982&gt;0,HYPERLINK("#"&amp;ADDRESS(982,'r1'!A982),""),""))</f>
        <v/>
      </c>
      <c r="C982" s="13"/>
      <c r="D982" s="14"/>
      <c r="E982" s="15"/>
      <c r="F982" s="16"/>
      <c r="G982" s="17"/>
      <c r="H982" s="18"/>
      <c r="I982" s="19"/>
      <c r="J982" s="20"/>
      <c r="K982" s="21"/>
      <c r="L982" s="22"/>
      <c r="M982" s="23"/>
      <c r="N982" s="24"/>
      <c r="O982" s="25"/>
      <c r="P982" s="26"/>
      <c r="Q982" s="27"/>
      <c r="R982" s="28"/>
      <c r="S982" s="29"/>
      <c r="T982" s="30"/>
    </row>
    <row r="983" spans="1:20" ht="24" customHeight="1" x14ac:dyDescent="0.25">
      <c r="A983" t="str">
        <f>IF('e1'!A983&gt;0,HYPERLINK("#"&amp;ADDRESS(983,'e1'!A983),""),IF('r1'!A983&gt;0,HYPERLINK("#"&amp;ADDRESS(983,'r1'!A983),""),""))</f>
        <v/>
      </c>
      <c r="C983" s="13"/>
      <c r="D983" s="14"/>
      <c r="E983" s="15"/>
      <c r="F983" s="16"/>
      <c r="G983" s="17"/>
      <c r="H983" s="18"/>
      <c r="I983" s="19"/>
      <c r="J983" s="20"/>
      <c r="K983" s="21"/>
      <c r="L983" s="22"/>
      <c r="M983" s="23"/>
      <c r="N983" s="24"/>
      <c r="O983" s="25"/>
      <c r="P983" s="26"/>
      <c r="Q983" s="27"/>
      <c r="R983" s="28"/>
      <c r="S983" s="29"/>
      <c r="T983" s="30"/>
    </row>
    <row r="984" spans="1:20" ht="24" customHeight="1" x14ac:dyDescent="0.25">
      <c r="A984" t="str">
        <f>IF('e1'!A984&gt;0,HYPERLINK("#"&amp;ADDRESS(984,'e1'!A984),""),IF('r1'!A984&gt;0,HYPERLINK("#"&amp;ADDRESS(984,'r1'!A984),""),""))</f>
        <v/>
      </c>
      <c r="C984" s="13"/>
      <c r="D984" s="14"/>
      <c r="E984" s="15"/>
      <c r="F984" s="16"/>
      <c r="G984" s="17"/>
      <c r="H984" s="18"/>
      <c r="I984" s="19"/>
      <c r="J984" s="20"/>
      <c r="K984" s="21"/>
      <c r="L984" s="22"/>
      <c r="M984" s="23"/>
      <c r="N984" s="24"/>
      <c r="O984" s="25"/>
      <c r="P984" s="26"/>
      <c r="Q984" s="27"/>
      <c r="R984" s="28"/>
      <c r="S984" s="29"/>
      <c r="T984" s="30"/>
    </row>
    <row r="985" spans="1:20" ht="24" customHeight="1" x14ac:dyDescent="0.25">
      <c r="A985" t="str">
        <f>IF('e1'!A985&gt;0,HYPERLINK("#"&amp;ADDRESS(985,'e1'!A985),""),IF('r1'!A985&gt;0,HYPERLINK("#"&amp;ADDRESS(985,'r1'!A985),""),""))</f>
        <v/>
      </c>
      <c r="C985" s="13"/>
      <c r="D985" s="14"/>
      <c r="E985" s="15"/>
      <c r="F985" s="16"/>
      <c r="G985" s="17"/>
      <c r="H985" s="18"/>
      <c r="I985" s="19"/>
      <c r="J985" s="20"/>
      <c r="K985" s="21"/>
      <c r="L985" s="22"/>
      <c r="M985" s="23"/>
      <c r="N985" s="24"/>
      <c r="O985" s="25"/>
      <c r="P985" s="26"/>
      <c r="Q985" s="27"/>
      <c r="R985" s="28"/>
      <c r="S985" s="29"/>
      <c r="T985" s="30"/>
    </row>
    <row r="986" spans="1:20" ht="24" customHeight="1" x14ac:dyDescent="0.25">
      <c r="A986" t="str">
        <f>IF('e1'!A986&gt;0,HYPERLINK("#"&amp;ADDRESS(986,'e1'!A986),""),IF('r1'!A986&gt;0,HYPERLINK("#"&amp;ADDRESS(986,'r1'!A986),""),""))</f>
        <v/>
      </c>
      <c r="C986" s="13"/>
      <c r="D986" s="14"/>
      <c r="E986" s="15"/>
      <c r="F986" s="16"/>
      <c r="G986" s="17"/>
      <c r="H986" s="18"/>
      <c r="I986" s="19"/>
      <c r="J986" s="20"/>
      <c r="K986" s="21"/>
      <c r="L986" s="22"/>
      <c r="M986" s="23"/>
      <c r="N986" s="24"/>
      <c r="O986" s="25"/>
      <c r="P986" s="26"/>
      <c r="Q986" s="27"/>
      <c r="R986" s="28"/>
      <c r="S986" s="29"/>
      <c r="T986" s="30"/>
    </row>
    <row r="987" spans="1:20" ht="24" customHeight="1" x14ac:dyDescent="0.25">
      <c r="A987" t="str">
        <f>IF('e1'!A987&gt;0,HYPERLINK("#"&amp;ADDRESS(987,'e1'!A987),""),IF('r1'!A987&gt;0,HYPERLINK("#"&amp;ADDRESS(987,'r1'!A987),""),""))</f>
        <v/>
      </c>
      <c r="C987" s="13"/>
      <c r="D987" s="14"/>
      <c r="E987" s="15"/>
      <c r="F987" s="16"/>
      <c r="G987" s="17"/>
      <c r="H987" s="18"/>
      <c r="I987" s="19"/>
      <c r="J987" s="20"/>
      <c r="K987" s="21"/>
      <c r="L987" s="22"/>
      <c r="M987" s="23"/>
      <c r="N987" s="24"/>
      <c r="O987" s="25"/>
      <c r="P987" s="26"/>
      <c r="Q987" s="27"/>
      <c r="R987" s="28"/>
      <c r="S987" s="29"/>
      <c r="T987" s="30"/>
    </row>
    <row r="988" spans="1:20" ht="24" customHeight="1" x14ac:dyDescent="0.25">
      <c r="A988" t="str">
        <f>IF('e1'!A988&gt;0,HYPERLINK("#"&amp;ADDRESS(988,'e1'!A988),""),IF('r1'!A988&gt;0,HYPERLINK("#"&amp;ADDRESS(988,'r1'!A988),""),""))</f>
        <v/>
      </c>
      <c r="C988" s="13"/>
      <c r="D988" s="14"/>
      <c r="E988" s="15"/>
      <c r="F988" s="16"/>
      <c r="G988" s="17"/>
      <c r="H988" s="18"/>
      <c r="I988" s="19"/>
      <c r="J988" s="20"/>
      <c r="K988" s="21"/>
      <c r="L988" s="22"/>
      <c r="M988" s="23"/>
      <c r="N988" s="24"/>
      <c r="O988" s="25"/>
      <c r="P988" s="26"/>
      <c r="Q988" s="27"/>
      <c r="R988" s="28"/>
      <c r="S988" s="29"/>
      <c r="T988" s="30"/>
    </row>
    <row r="989" spans="1:20" ht="24" customHeight="1" x14ac:dyDescent="0.25">
      <c r="A989" t="str">
        <f>IF('e1'!A989&gt;0,HYPERLINK("#"&amp;ADDRESS(989,'e1'!A989),""),IF('r1'!A989&gt;0,HYPERLINK("#"&amp;ADDRESS(989,'r1'!A989),""),""))</f>
        <v/>
      </c>
      <c r="C989" s="13"/>
      <c r="D989" s="14"/>
      <c r="E989" s="15"/>
      <c r="F989" s="16"/>
      <c r="G989" s="17"/>
      <c r="H989" s="18"/>
      <c r="I989" s="19"/>
      <c r="J989" s="20"/>
      <c r="K989" s="21"/>
      <c r="L989" s="22"/>
      <c r="M989" s="23"/>
      <c r="N989" s="24"/>
      <c r="O989" s="25"/>
      <c r="P989" s="26"/>
      <c r="Q989" s="27"/>
      <c r="R989" s="28"/>
      <c r="S989" s="29"/>
      <c r="T989" s="30"/>
    </row>
    <row r="990" spans="1:20" ht="24" customHeight="1" x14ac:dyDescent="0.25">
      <c r="A990" t="str">
        <f>IF('e1'!A990&gt;0,HYPERLINK("#"&amp;ADDRESS(990,'e1'!A990),""),IF('r1'!A990&gt;0,HYPERLINK("#"&amp;ADDRESS(990,'r1'!A990),""),""))</f>
        <v/>
      </c>
      <c r="C990" s="13"/>
      <c r="D990" s="14"/>
      <c r="E990" s="15"/>
      <c r="F990" s="16"/>
      <c r="G990" s="17"/>
      <c r="H990" s="18"/>
      <c r="I990" s="19"/>
      <c r="J990" s="20"/>
      <c r="K990" s="21"/>
      <c r="L990" s="22"/>
      <c r="M990" s="23"/>
      <c r="N990" s="24"/>
      <c r="O990" s="25"/>
      <c r="P990" s="26"/>
      <c r="Q990" s="27"/>
      <c r="R990" s="28"/>
      <c r="S990" s="29"/>
      <c r="T990" s="30"/>
    </row>
    <row r="991" spans="1:20" ht="24" customHeight="1" x14ac:dyDescent="0.25">
      <c r="A991" t="str">
        <f>IF('e1'!A991&gt;0,HYPERLINK("#"&amp;ADDRESS(991,'e1'!A991),""),IF('r1'!A991&gt;0,HYPERLINK("#"&amp;ADDRESS(991,'r1'!A991),""),""))</f>
        <v/>
      </c>
      <c r="C991" s="13"/>
      <c r="D991" s="14"/>
      <c r="E991" s="15"/>
      <c r="F991" s="16"/>
      <c r="G991" s="17"/>
      <c r="H991" s="18"/>
      <c r="I991" s="19"/>
      <c r="J991" s="20"/>
      <c r="K991" s="21"/>
      <c r="L991" s="22"/>
      <c r="M991" s="23"/>
      <c r="N991" s="24"/>
      <c r="O991" s="25"/>
      <c r="P991" s="26"/>
      <c r="Q991" s="27"/>
      <c r="R991" s="28"/>
      <c r="S991" s="29"/>
      <c r="T991" s="30"/>
    </row>
    <row r="992" spans="1:20" ht="24" customHeight="1" x14ac:dyDescent="0.25">
      <c r="A992" t="str">
        <f>IF('e1'!A992&gt;0,HYPERLINK("#"&amp;ADDRESS(992,'e1'!A992),""),IF('r1'!A992&gt;0,HYPERLINK("#"&amp;ADDRESS(992,'r1'!A992),""),""))</f>
        <v/>
      </c>
      <c r="C992" s="13"/>
      <c r="D992" s="14"/>
      <c r="E992" s="15"/>
      <c r="F992" s="16"/>
      <c r="G992" s="17"/>
      <c r="H992" s="18"/>
      <c r="I992" s="19"/>
      <c r="J992" s="20"/>
      <c r="K992" s="21"/>
      <c r="L992" s="22"/>
      <c r="M992" s="23"/>
      <c r="N992" s="24"/>
      <c r="O992" s="25"/>
      <c r="P992" s="26"/>
      <c r="Q992" s="27"/>
      <c r="R992" s="28"/>
      <c r="S992" s="29"/>
      <c r="T992" s="30"/>
    </row>
    <row r="993" spans="1:20" ht="24" customHeight="1" x14ac:dyDescent="0.25">
      <c r="A993" t="str">
        <f>IF('e1'!A993&gt;0,HYPERLINK("#"&amp;ADDRESS(993,'e1'!A993),""),IF('r1'!A993&gt;0,HYPERLINK("#"&amp;ADDRESS(993,'r1'!A993),""),""))</f>
        <v/>
      </c>
      <c r="C993" s="13"/>
      <c r="D993" s="14"/>
      <c r="E993" s="15"/>
      <c r="F993" s="16"/>
      <c r="G993" s="17"/>
      <c r="H993" s="18"/>
      <c r="I993" s="19"/>
      <c r="J993" s="20"/>
      <c r="K993" s="21"/>
      <c r="L993" s="22"/>
      <c r="M993" s="23"/>
      <c r="N993" s="24"/>
      <c r="O993" s="25"/>
      <c r="P993" s="26"/>
      <c r="Q993" s="27"/>
      <c r="R993" s="28"/>
      <c r="S993" s="29"/>
      <c r="T993" s="30"/>
    </row>
    <row r="994" spans="1:20" ht="24" customHeight="1" x14ac:dyDescent="0.25">
      <c r="A994" t="str">
        <f>IF('e1'!A994&gt;0,HYPERLINK("#"&amp;ADDRESS(994,'e1'!A994),""),IF('r1'!A994&gt;0,HYPERLINK("#"&amp;ADDRESS(994,'r1'!A994),""),""))</f>
        <v/>
      </c>
      <c r="C994" s="13"/>
      <c r="D994" s="14"/>
      <c r="E994" s="15"/>
      <c r="F994" s="16"/>
      <c r="G994" s="17"/>
      <c r="H994" s="18"/>
      <c r="I994" s="19"/>
      <c r="J994" s="20"/>
      <c r="K994" s="21"/>
      <c r="L994" s="22"/>
      <c r="M994" s="23"/>
      <c r="N994" s="24"/>
      <c r="O994" s="25"/>
      <c r="P994" s="26"/>
      <c r="Q994" s="27"/>
      <c r="R994" s="28"/>
      <c r="S994" s="29"/>
      <c r="T994" s="30"/>
    </row>
    <row r="995" spans="1:20" ht="24" customHeight="1" x14ac:dyDescent="0.25">
      <c r="A995" t="str">
        <f>IF('e1'!A995&gt;0,HYPERLINK("#"&amp;ADDRESS(995,'e1'!A995),""),IF('r1'!A995&gt;0,HYPERLINK("#"&amp;ADDRESS(995,'r1'!A995),""),""))</f>
        <v/>
      </c>
      <c r="C995" s="13"/>
      <c r="D995" s="14"/>
      <c r="E995" s="15"/>
      <c r="F995" s="16"/>
      <c r="G995" s="17"/>
      <c r="H995" s="18"/>
      <c r="I995" s="19"/>
      <c r="J995" s="20"/>
      <c r="K995" s="21"/>
      <c r="L995" s="22"/>
      <c r="M995" s="23"/>
      <c r="N995" s="24"/>
      <c r="O995" s="25"/>
      <c r="P995" s="26"/>
      <c r="Q995" s="27"/>
      <c r="R995" s="28"/>
      <c r="S995" s="29"/>
      <c r="T995" s="30"/>
    </row>
    <row r="996" spans="1:20" ht="24" customHeight="1" x14ac:dyDescent="0.25">
      <c r="A996" t="str">
        <f>IF('e1'!A996&gt;0,HYPERLINK("#"&amp;ADDRESS(996,'e1'!A996),""),IF('r1'!A996&gt;0,HYPERLINK("#"&amp;ADDRESS(996,'r1'!A996),""),""))</f>
        <v/>
      </c>
      <c r="C996" s="13"/>
      <c r="D996" s="14"/>
      <c r="E996" s="15"/>
      <c r="F996" s="16"/>
      <c r="G996" s="17"/>
      <c r="H996" s="18"/>
      <c r="I996" s="19"/>
      <c r="J996" s="20"/>
      <c r="K996" s="21"/>
      <c r="L996" s="22"/>
      <c r="M996" s="23"/>
      <c r="N996" s="24"/>
      <c r="O996" s="25"/>
      <c r="P996" s="26"/>
      <c r="Q996" s="27"/>
      <c r="R996" s="28"/>
      <c r="S996" s="29"/>
      <c r="T996" s="30"/>
    </row>
    <row r="997" spans="1:20" ht="24" customHeight="1" x14ac:dyDescent="0.25">
      <c r="A997" t="str">
        <f>IF('e1'!A997&gt;0,HYPERLINK("#"&amp;ADDRESS(997,'e1'!A997),""),IF('r1'!A997&gt;0,HYPERLINK("#"&amp;ADDRESS(997,'r1'!A997),""),""))</f>
        <v/>
      </c>
      <c r="C997" s="13"/>
      <c r="D997" s="14"/>
      <c r="E997" s="15"/>
      <c r="F997" s="16"/>
      <c r="G997" s="17"/>
      <c r="H997" s="18"/>
      <c r="I997" s="19"/>
      <c r="J997" s="20"/>
      <c r="K997" s="21"/>
      <c r="L997" s="22"/>
      <c r="M997" s="23"/>
      <c r="N997" s="24"/>
      <c r="O997" s="25"/>
      <c r="P997" s="26"/>
      <c r="Q997" s="27"/>
      <c r="R997" s="28"/>
      <c r="S997" s="29"/>
      <c r="T997" s="30"/>
    </row>
    <row r="998" spans="1:20" ht="24" customHeight="1" x14ac:dyDescent="0.25">
      <c r="A998" t="str">
        <f>IF('e1'!A998&gt;0,HYPERLINK("#"&amp;ADDRESS(998,'e1'!A998),""),IF('r1'!A998&gt;0,HYPERLINK("#"&amp;ADDRESS(998,'r1'!A998),""),""))</f>
        <v/>
      </c>
      <c r="C998" s="13"/>
      <c r="D998" s="14"/>
      <c r="E998" s="15"/>
      <c r="F998" s="16"/>
      <c r="G998" s="17"/>
      <c r="H998" s="18"/>
      <c r="I998" s="19"/>
      <c r="J998" s="20"/>
      <c r="K998" s="21"/>
      <c r="L998" s="22"/>
      <c r="M998" s="23"/>
      <c r="N998" s="24"/>
      <c r="O998" s="25"/>
      <c r="P998" s="26"/>
      <c r="Q998" s="27"/>
      <c r="R998" s="28"/>
      <c r="S998" s="29"/>
      <c r="T998" s="30"/>
    </row>
    <row r="999" spans="1:20" ht="24" customHeight="1" x14ac:dyDescent="0.25">
      <c r="A999" t="str">
        <f>IF('e1'!A999&gt;0,HYPERLINK("#"&amp;ADDRESS(999,'e1'!A999),""),IF('r1'!A999&gt;0,HYPERLINK("#"&amp;ADDRESS(999,'r1'!A999),""),""))</f>
        <v/>
      </c>
      <c r="C999" s="13"/>
      <c r="D999" s="14"/>
      <c r="E999" s="15"/>
      <c r="F999" s="16"/>
      <c r="G999" s="17"/>
      <c r="H999" s="18"/>
      <c r="I999" s="19"/>
      <c r="J999" s="20"/>
      <c r="K999" s="21"/>
      <c r="L999" s="22"/>
      <c r="M999" s="23"/>
      <c r="N999" s="24"/>
      <c r="O999" s="25"/>
      <c r="P999" s="26"/>
      <c r="Q999" s="27"/>
      <c r="R999" s="28"/>
      <c r="S999" s="29"/>
      <c r="T999" s="30"/>
    </row>
    <row r="1000" spans="1:20" ht="24" customHeight="1" x14ac:dyDescent="0.25">
      <c r="A1000" t="str">
        <f>IF('e1'!A1000&gt;0,HYPERLINK("#"&amp;ADDRESS(1000,'e1'!A1000),""),IF('r1'!A1000&gt;0,HYPERLINK("#"&amp;ADDRESS(1000,'r1'!A1000),""),""))</f>
        <v/>
      </c>
      <c r="C1000" s="13"/>
      <c r="D1000" s="14"/>
      <c r="E1000" s="15"/>
      <c r="F1000" s="16"/>
      <c r="G1000" s="17"/>
      <c r="H1000" s="18"/>
      <c r="I1000" s="19"/>
      <c r="J1000" s="20"/>
      <c r="K1000" s="21"/>
      <c r="L1000" s="22"/>
      <c r="M1000" s="23"/>
      <c r="N1000" s="24"/>
      <c r="O1000" s="25"/>
      <c r="P1000" s="26"/>
      <c r="Q1000" s="27"/>
      <c r="R1000" s="28"/>
      <c r="S1000" s="29"/>
      <c r="T1000" s="30"/>
    </row>
    <row r="1001" spans="1:20" ht="24" customHeight="1" x14ac:dyDescent="0.25">
      <c r="A1001" t="str">
        <f>IF('e1'!A1001&gt;0,HYPERLINK("#"&amp;ADDRESS(1001,'e1'!A1001),""),IF('r1'!A1001&gt;0,HYPERLINK("#"&amp;ADDRESS(1001,'r1'!A1001),""),""))</f>
        <v/>
      </c>
      <c r="C1001" s="13"/>
      <c r="D1001" s="14"/>
      <c r="E1001" s="15"/>
      <c r="F1001" s="16"/>
      <c r="G1001" s="17"/>
      <c r="H1001" s="18"/>
      <c r="I1001" s="19"/>
      <c r="J1001" s="20"/>
      <c r="K1001" s="21"/>
      <c r="L1001" s="22"/>
      <c r="M1001" s="23"/>
      <c r="N1001" s="24"/>
      <c r="O1001" s="25"/>
      <c r="P1001" s="26"/>
      <c r="Q1001" s="27"/>
      <c r="R1001" s="28"/>
      <c r="S1001" s="29"/>
      <c r="T1001" s="30"/>
    </row>
    <row r="1002" spans="1:20" ht="24" customHeight="1" x14ac:dyDescent="0.25">
      <c r="A1002" t="str">
        <f>IF('e1'!A1002&gt;0,HYPERLINK("#"&amp;ADDRESS(1002,'e1'!A1002),""),IF('r1'!A1002&gt;0,HYPERLINK("#"&amp;ADDRESS(1002,'r1'!A1002),""),""))</f>
        <v/>
      </c>
      <c r="C1002" s="13"/>
      <c r="D1002" s="14"/>
      <c r="E1002" s="15"/>
      <c r="F1002" s="16"/>
      <c r="G1002" s="17"/>
      <c r="H1002" s="18"/>
      <c r="I1002" s="19"/>
      <c r="J1002" s="20"/>
      <c r="K1002" s="21"/>
      <c r="L1002" s="22"/>
      <c r="M1002" s="23"/>
      <c r="N1002" s="24"/>
      <c r="O1002" s="25"/>
      <c r="P1002" s="26"/>
      <c r="Q1002" s="27"/>
      <c r="R1002" s="28"/>
      <c r="S1002" s="29"/>
      <c r="T1002" s="30"/>
    </row>
    <row r="1003" spans="1:20" ht="24" customHeight="1" x14ac:dyDescent="0.25">
      <c r="A1003" t="str">
        <f>IF('e1'!A1003&gt;0,HYPERLINK("#"&amp;ADDRESS(1003,'e1'!A1003),""),IF('r1'!A1003&gt;0,HYPERLINK("#"&amp;ADDRESS(1003,'r1'!A1003),""),""))</f>
        <v/>
      </c>
      <c r="C1003" s="13"/>
      <c r="D1003" s="14"/>
      <c r="E1003" s="15"/>
      <c r="F1003" s="16"/>
      <c r="G1003" s="17"/>
      <c r="H1003" s="18"/>
      <c r="I1003" s="19"/>
      <c r="J1003" s="20"/>
      <c r="K1003" s="21"/>
      <c r="L1003" s="22"/>
      <c r="M1003" s="23"/>
      <c r="N1003" s="24"/>
      <c r="O1003" s="25"/>
      <c r="P1003" s="26"/>
      <c r="Q1003" s="27"/>
      <c r="R1003" s="28"/>
      <c r="S1003" s="29"/>
      <c r="T1003" s="30"/>
    </row>
    <row r="1004" spans="1:20" ht="24" customHeight="1" x14ac:dyDescent="0.25">
      <c r="A1004" t="str">
        <f>IF('e1'!A1004&gt;0,HYPERLINK("#"&amp;ADDRESS(1004,'e1'!A1004),""),IF('r1'!A1004&gt;0,HYPERLINK("#"&amp;ADDRESS(1004,'r1'!A1004),""),""))</f>
        <v/>
      </c>
      <c r="C1004" s="13"/>
      <c r="D1004" s="14"/>
      <c r="E1004" s="15"/>
      <c r="F1004" s="16"/>
      <c r="G1004" s="17"/>
      <c r="H1004" s="18"/>
      <c r="I1004" s="19"/>
      <c r="J1004" s="20"/>
      <c r="K1004" s="21"/>
      <c r="L1004" s="22"/>
      <c r="M1004" s="23"/>
      <c r="N1004" s="24"/>
      <c r="O1004" s="25"/>
      <c r="P1004" s="26"/>
      <c r="Q1004" s="27"/>
      <c r="R1004" s="28"/>
      <c r="S1004" s="29"/>
      <c r="T1004" s="30"/>
    </row>
    <row r="1005" spans="1:20" ht="24" customHeight="1" x14ac:dyDescent="0.25">
      <c r="A1005" t="str">
        <f>IF('e1'!A1005&gt;0,HYPERLINK("#"&amp;ADDRESS(1005,'e1'!A1005),""),IF('r1'!A1005&gt;0,HYPERLINK("#"&amp;ADDRESS(1005,'r1'!A1005),""),""))</f>
        <v/>
      </c>
      <c r="C1005" s="13"/>
      <c r="D1005" s="14"/>
      <c r="E1005" s="15"/>
      <c r="F1005" s="16"/>
      <c r="G1005" s="17"/>
      <c r="H1005" s="18"/>
      <c r="I1005" s="19"/>
      <c r="J1005" s="20"/>
      <c r="K1005" s="21"/>
      <c r="L1005" s="22"/>
      <c r="M1005" s="23"/>
      <c r="N1005" s="24"/>
      <c r="O1005" s="25"/>
      <c r="P1005" s="26"/>
      <c r="Q1005" s="27"/>
      <c r="R1005" s="28"/>
      <c r="S1005" s="29"/>
      <c r="T1005" s="30"/>
    </row>
    <row r="1006" spans="1:20" ht="24" customHeight="1" x14ac:dyDescent="0.25">
      <c r="A1006" t="str">
        <f>IF('e1'!A1006&gt;0,HYPERLINK("#"&amp;ADDRESS(1006,'e1'!A1006),""),IF('r1'!A1006&gt;0,HYPERLINK("#"&amp;ADDRESS(1006,'r1'!A1006),""),""))</f>
        <v/>
      </c>
      <c r="C1006" s="13"/>
      <c r="D1006" s="14"/>
      <c r="E1006" s="15"/>
      <c r="F1006" s="16"/>
      <c r="G1006" s="17"/>
      <c r="H1006" s="18"/>
      <c r="I1006" s="19"/>
      <c r="J1006" s="20"/>
      <c r="K1006" s="21"/>
      <c r="L1006" s="22"/>
      <c r="M1006" s="23"/>
      <c r="N1006" s="24"/>
      <c r="O1006" s="25"/>
      <c r="P1006" s="26"/>
      <c r="Q1006" s="27"/>
      <c r="R1006" s="28"/>
      <c r="S1006" s="29"/>
      <c r="T1006" s="30"/>
    </row>
    <row r="1007" spans="1:20" ht="24" customHeight="1" x14ac:dyDescent="0.25">
      <c r="A1007" t="str">
        <f>IF('e1'!A1007&gt;0,HYPERLINK("#"&amp;ADDRESS(1007,'e1'!A1007),""),IF('r1'!A1007&gt;0,HYPERLINK("#"&amp;ADDRESS(1007,'r1'!A1007),""),""))</f>
        <v/>
      </c>
      <c r="C1007" s="13"/>
      <c r="D1007" s="14"/>
      <c r="E1007" s="15"/>
      <c r="F1007" s="16"/>
      <c r="G1007" s="17"/>
      <c r="H1007" s="18"/>
      <c r="I1007" s="19"/>
      <c r="J1007" s="20"/>
      <c r="K1007" s="21"/>
      <c r="L1007" s="22"/>
      <c r="M1007" s="23"/>
      <c r="N1007" s="24"/>
      <c r="O1007" s="25"/>
      <c r="P1007" s="26"/>
      <c r="Q1007" s="27"/>
      <c r="R1007" s="28"/>
      <c r="S1007" s="29"/>
      <c r="T1007" s="30"/>
    </row>
    <row r="1008" spans="1:20" ht="24" customHeight="1" x14ac:dyDescent="0.25">
      <c r="A1008" t="str">
        <f>IF('e1'!A1008&gt;0,HYPERLINK("#"&amp;ADDRESS(1008,'e1'!A1008),""),IF('r1'!A1008&gt;0,HYPERLINK("#"&amp;ADDRESS(1008,'r1'!A1008),""),""))</f>
        <v/>
      </c>
      <c r="C1008" s="13"/>
      <c r="D1008" s="14"/>
      <c r="E1008" s="15"/>
      <c r="F1008" s="16"/>
      <c r="G1008" s="17"/>
      <c r="H1008" s="18"/>
      <c r="I1008" s="19"/>
      <c r="J1008" s="20"/>
      <c r="K1008" s="21"/>
      <c r="L1008" s="22"/>
      <c r="M1008" s="23"/>
      <c r="N1008" s="24"/>
      <c r="O1008" s="25"/>
      <c r="P1008" s="26"/>
      <c r="Q1008" s="27"/>
      <c r="R1008" s="28"/>
      <c r="S1008" s="29"/>
      <c r="T1008" s="30"/>
    </row>
    <row r="1009" spans="1:20" ht="24" customHeight="1" x14ac:dyDescent="0.25">
      <c r="A1009" t="str">
        <f>IF('e1'!A1009&gt;0,HYPERLINK("#"&amp;ADDRESS(1009,'e1'!A1009),""),IF('r1'!A1009&gt;0,HYPERLINK("#"&amp;ADDRESS(1009,'r1'!A1009),""),""))</f>
        <v/>
      </c>
      <c r="C1009" s="13"/>
      <c r="D1009" s="14"/>
      <c r="E1009" s="15"/>
      <c r="F1009" s="16"/>
      <c r="G1009" s="17"/>
      <c r="H1009" s="18"/>
      <c r="I1009" s="19"/>
      <c r="J1009" s="20"/>
      <c r="K1009" s="21"/>
      <c r="L1009" s="22"/>
      <c r="M1009" s="23"/>
      <c r="N1009" s="24"/>
      <c r="O1009" s="25"/>
      <c r="P1009" s="26"/>
      <c r="Q1009" s="27"/>
      <c r="R1009" s="28"/>
      <c r="S1009" s="29"/>
      <c r="T1009" s="30"/>
    </row>
    <row r="1010" spans="1:20" ht="24" customHeight="1" x14ac:dyDescent="0.25">
      <c r="A1010" t="str">
        <f>IF('e1'!A1010&gt;0,HYPERLINK("#"&amp;ADDRESS(1010,'e1'!A1010),""),IF('r1'!A1010&gt;0,HYPERLINK("#"&amp;ADDRESS(1010,'r1'!A1010),""),""))</f>
        <v/>
      </c>
      <c r="C1010" s="13"/>
      <c r="D1010" s="14"/>
      <c r="E1010" s="15"/>
      <c r="F1010" s="16"/>
      <c r="G1010" s="17"/>
      <c r="H1010" s="18"/>
      <c r="I1010" s="19"/>
      <c r="J1010" s="20"/>
      <c r="K1010" s="21"/>
      <c r="L1010" s="22"/>
      <c r="M1010" s="23"/>
      <c r="N1010" s="24"/>
      <c r="O1010" s="25"/>
      <c r="P1010" s="26"/>
      <c r="Q1010" s="27"/>
      <c r="R1010" s="28"/>
      <c r="S1010" s="29"/>
      <c r="T1010" s="30"/>
    </row>
    <row r="1011" spans="1:20" ht="24" customHeight="1" x14ac:dyDescent="0.25">
      <c r="A1011" t="str">
        <f>IF('e1'!A1011&gt;0,HYPERLINK("#"&amp;ADDRESS(1011,'e1'!A1011),""),IF('r1'!A1011&gt;0,HYPERLINK("#"&amp;ADDRESS(1011,'r1'!A1011),""),""))</f>
        <v/>
      </c>
      <c r="C1011" s="13"/>
      <c r="D1011" s="14"/>
      <c r="E1011" s="15"/>
      <c r="F1011" s="16"/>
      <c r="G1011" s="17"/>
      <c r="H1011" s="18"/>
      <c r="I1011" s="19"/>
      <c r="J1011" s="20"/>
      <c r="K1011" s="21"/>
      <c r="L1011" s="22"/>
      <c r="M1011" s="23"/>
      <c r="N1011" s="24"/>
      <c r="O1011" s="25"/>
      <c r="P1011" s="26"/>
      <c r="Q1011" s="27"/>
      <c r="R1011" s="28"/>
      <c r="S1011" s="29"/>
      <c r="T1011" s="30"/>
    </row>
    <row r="1012" spans="1:20" ht="24" customHeight="1" x14ac:dyDescent="0.25">
      <c r="A1012" t="str">
        <f>IF('e1'!A1012&gt;0,HYPERLINK("#"&amp;ADDRESS(1012,'e1'!A1012),""),IF('r1'!A1012&gt;0,HYPERLINK("#"&amp;ADDRESS(1012,'r1'!A1012),""),""))</f>
        <v/>
      </c>
      <c r="C1012" s="13"/>
      <c r="D1012" s="14"/>
      <c r="E1012" s="15"/>
      <c r="F1012" s="16"/>
      <c r="G1012" s="17"/>
      <c r="H1012" s="18"/>
      <c r="I1012" s="19"/>
      <c r="J1012" s="20"/>
      <c r="K1012" s="21"/>
      <c r="L1012" s="22"/>
      <c r="M1012" s="23"/>
      <c r="N1012" s="24"/>
      <c r="O1012" s="25"/>
      <c r="P1012" s="26"/>
      <c r="Q1012" s="27"/>
      <c r="R1012" s="28"/>
      <c r="S1012" s="29"/>
      <c r="T1012" s="30"/>
    </row>
    <row r="1013" spans="1:20" ht="24" customHeight="1" x14ac:dyDescent="0.25">
      <c r="A1013" t="str">
        <f>IF('e1'!A1013&gt;0,HYPERLINK("#"&amp;ADDRESS(1013,'e1'!A1013),""),IF('r1'!A1013&gt;0,HYPERLINK("#"&amp;ADDRESS(1013,'r1'!A1013),""),""))</f>
        <v/>
      </c>
      <c r="C1013" s="13"/>
      <c r="D1013" s="14"/>
      <c r="E1013" s="15"/>
      <c r="F1013" s="16"/>
      <c r="G1013" s="17"/>
      <c r="H1013" s="18"/>
      <c r="I1013" s="19"/>
      <c r="J1013" s="20"/>
      <c r="K1013" s="21"/>
      <c r="L1013" s="22"/>
      <c r="M1013" s="23"/>
      <c r="N1013" s="24"/>
      <c r="O1013" s="25"/>
      <c r="P1013" s="26"/>
      <c r="Q1013" s="27"/>
      <c r="R1013" s="28"/>
      <c r="S1013" s="29"/>
      <c r="T1013" s="30"/>
    </row>
    <row r="1014" spans="1:20" ht="24" customHeight="1" x14ac:dyDescent="0.25">
      <c r="A1014" t="str">
        <f>IF('e1'!A1014&gt;0,HYPERLINK("#"&amp;ADDRESS(1014,'e1'!A1014),""),IF('r1'!A1014&gt;0,HYPERLINK("#"&amp;ADDRESS(1014,'r1'!A1014),""),""))</f>
        <v/>
      </c>
      <c r="C1014" s="13"/>
      <c r="D1014" s="14"/>
      <c r="E1014" s="15"/>
      <c r="F1014" s="16"/>
      <c r="G1014" s="17"/>
      <c r="H1014" s="18"/>
      <c r="I1014" s="19"/>
      <c r="J1014" s="20"/>
      <c r="K1014" s="21"/>
      <c r="L1014" s="22"/>
      <c r="M1014" s="23"/>
      <c r="N1014" s="24"/>
      <c r="O1014" s="25"/>
      <c r="P1014" s="26"/>
      <c r="Q1014" s="27"/>
      <c r="R1014" s="28"/>
      <c r="S1014" s="29"/>
      <c r="T1014" s="30"/>
    </row>
    <row r="1015" spans="1:20" ht="24" customHeight="1" x14ac:dyDescent="0.25">
      <c r="A1015" t="str">
        <f>IF('e1'!A1015&gt;0,HYPERLINK("#"&amp;ADDRESS(1015,'e1'!A1015),""),IF('r1'!A1015&gt;0,HYPERLINK("#"&amp;ADDRESS(1015,'r1'!A1015),""),""))</f>
        <v/>
      </c>
      <c r="C1015" s="13"/>
      <c r="D1015" s="14"/>
      <c r="E1015" s="15"/>
      <c r="F1015" s="16"/>
      <c r="G1015" s="17"/>
      <c r="H1015" s="18"/>
      <c r="I1015" s="19"/>
      <c r="J1015" s="20"/>
      <c r="K1015" s="21"/>
      <c r="L1015" s="22"/>
      <c r="M1015" s="23"/>
      <c r="N1015" s="24"/>
      <c r="O1015" s="25"/>
      <c r="P1015" s="26"/>
      <c r="Q1015" s="27"/>
      <c r="R1015" s="28"/>
      <c r="S1015" s="29"/>
      <c r="T1015" s="30"/>
    </row>
    <row r="1016" spans="1:20" ht="24" customHeight="1" x14ac:dyDescent="0.25">
      <c r="A1016" t="str">
        <f>IF('e1'!A1016&gt;0,HYPERLINK("#"&amp;ADDRESS(1016,'e1'!A1016),""),IF('r1'!A1016&gt;0,HYPERLINK("#"&amp;ADDRESS(1016,'r1'!A1016),""),""))</f>
        <v/>
      </c>
      <c r="C1016" s="13"/>
      <c r="D1016" s="14"/>
      <c r="E1016" s="15"/>
      <c r="F1016" s="16"/>
      <c r="G1016" s="17"/>
      <c r="H1016" s="18"/>
      <c r="I1016" s="19"/>
      <c r="J1016" s="20"/>
      <c r="K1016" s="21"/>
      <c r="L1016" s="22"/>
      <c r="M1016" s="23"/>
      <c r="N1016" s="24"/>
      <c r="O1016" s="25"/>
      <c r="P1016" s="26"/>
      <c r="Q1016" s="27"/>
      <c r="R1016" s="28"/>
      <c r="S1016" s="29"/>
      <c r="T1016" s="30"/>
    </row>
    <row r="1017" spans="1:20" ht="24" customHeight="1" x14ac:dyDescent="0.25">
      <c r="A1017" t="str">
        <f>IF('e1'!A1017&gt;0,HYPERLINK("#"&amp;ADDRESS(1017,'e1'!A1017),""),IF('r1'!A1017&gt;0,HYPERLINK("#"&amp;ADDRESS(1017,'r1'!A1017),""),""))</f>
        <v/>
      </c>
      <c r="C1017" s="13"/>
      <c r="D1017" s="14"/>
      <c r="E1017" s="15"/>
      <c r="F1017" s="16"/>
      <c r="G1017" s="17"/>
      <c r="H1017" s="18"/>
      <c r="I1017" s="19"/>
      <c r="J1017" s="20"/>
      <c r="K1017" s="21"/>
      <c r="L1017" s="22"/>
      <c r="M1017" s="23"/>
      <c r="N1017" s="24"/>
      <c r="O1017" s="25"/>
      <c r="P1017" s="26"/>
      <c r="Q1017" s="27"/>
      <c r="R1017" s="28"/>
      <c r="S1017" s="29"/>
      <c r="T1017" s="30"/>
    </row>
    <row r="1018" spans="1:20" ht="24" customHeight="1" x14ac:dyDescent="0.25">
      <c r="A1018" t="str">
        <f>IF('e1'!A1018&gt;0,HYPERLINK("#"&amp;ADDRESS(1018,'e1'!A1018),""),IF('r1'!A1018&gt;0,HYPERLINK("#"&amp;ADDRESS(1018,'r1'!A1018),""),""))</f>
        <v/>
      </c>
      <c r="C1018" s="13"/>
      <c r="D1018" s="14"/>
      <c r="E1018" s="15"/>
      <c r="F1018" s="16"/>
      <c r="G1018" s="17"/>
      <c r="H1018" s="18"/>
      <c r="I1018" s="19"/>
      <c r="J1018" s="20"/>
      <c r="K1018" s="21"/>
      <c r="L1018" s="22"/>
      <c r="M1018" s="23"/>
      <c r="N1018" s="24"/>
      <c r="O1018" s="25"/>
      <c r="P1018" s="26"/>
      <c r="Q1018" s="27"/>
      <c r="R1018" s="28"/>
      <c r="S1018" s="29"/>
      <c r="T1018" s="30"/>
    </row>
    <row r="1019" spans="1:20" ht="24" customHeight="1" x14ac:dyDescent="0.25">
      <c r="A1019" t="str">
        <f>IF('e1'!A1019&gt;0,HYPERLINK("#"&amp;ADDRESS(1019,'e1'!A1019),""),IF('r1'!A1019&gt;0,HYPERLINK("#"&amp;ADDRESS(1019,'r1'!A1019),""),""))</f>
        <v/>
      </c>
      <c r="C1019" s="13"/>
      <c r="D1019" s="14"/>
      <c r="E1019" s="15"/>
      <c r="F1019" s="16"/>
      <c r="G1019" s="17"/>
      <c r="H1019" s="18"/>
      <c r="I1019" s="19"/>
      <c r="J1019" s="20"/>
      <c r="K1019" s="21"/>
      <c r="L1019" s="22"/>
      <c r="M1019" s="23"/>
      <c r="N1019" s="24"/>
      <c r="O1019" s="25"/>
      <c r="P1019" s="26"/>
      <c r="Q1019" s="27"/>
      <c r="R1019" s="28"/>
      <c r="S1019" s="29"/>
      <c r="T1019" s="30"/>
    </row>
    <row r="1020" spans="1:20" ht="24" customHeight="1" x14ac:dyDescent="0.25">
      <c r="A1020" t="str">
        <f>IF('e1'!A1020&gt;0,HYPERLINK("#"&amp;ADDRESS(1020,'e1'!A1020),""),IF('r1'!A1020&gt;0,HYPERLINK("#"&amp;ADDRESS(1020,'r1'!A1020),""),""))</f>
        <v/>
      </c>
      <c r="C1020" s="13"/>
      <c r="D1020" s="14"/>
      <c r="E1020" s="15"/>
      <c r="F1020" s="16"/>
      <c r="G1020" s="17"/>
      <c r="H1020" s="18"/>
      <c r="I1020" s="19"/>
      <c r="J1020" s="20"/>
      <c r="K1020" s="21"/>
      <c r="L1020" s="22"/>
      <c r="M1020" s="23"/>
      <c r="N1020" s="24"/>
      <c r="O1020" s="25"/>
      <c r="P1020" s="26"/>
      <c r="Q1020" s="27"/>
      <c r="R1020" s="28"/>
      <c r="S1020" s="29"/>
      <c r="T1020" s="30"/>
    </row>
    <row r="1021" spans="1:20" ht="24" customHeight="1" x14ac:dyDescent="0.25">
      <c r="A1021" t="str">
        <f>IF('e1'!A1021&gt;0,HYPERLINK("#"&amp;ADDRESS(1021,'e1'!A1021),""),IF('r1'!A1021&gt;0,HYPERLINK("#"&amp;ADDRESS(1021,'r1'!A1021),""),""))</f>
        <v/>
      </c>
      <c r="C1021" s="13"/>
      <c r="D1021" s="14"/>
      <c r="E1021" s="15"/>
      <c r="F1021" s="16"/>
      <c r="G1021" s="17"/>
      <c r="H1021" s="18"/>
      <c r="I1021" s="19"/>
      <c r="J1021" s="20"/>
      <c r="K1021" s="21"/>
      <c r="L1021" s="22"/>
      <c r="M1021" s="23"/>
      <c r="N1021" s="24"/>
      <c r="O1021" s="25"/>
      <c r="P1021" s="26"/>
      <c r="Q1021" s="27"/>
      <c r="R1021" s="28"/>
      <c r="S1021" s="29"/>
      <c r="T1021" s="30"/>
    </row>
    <row r="1022" spans="1:20" ht="24" customHeight="1" x14ac:dyDescent="0.25">
      <c r="A1022" t="str">
        <f>IF('e1'!A1022&gt;0,HYPERLINK("#"&amp;ADDRESS(1022,'e1'!A1022),""),IF('r1'!A1022&gt;0,HYPERLINK("#"&amp;ADDRESS(1022,'r1'!A1022),""),""))</f>
        <v/>
      </c>
      <c r="C1022" s="13"/>
      <c r="D1022" s="14"/>
      <c r="E1022" s="15"/>
      <c r="F1022" s="16"/>
      <c r="G1022" s="17"/>
      <c r="H1022" s="18"/>
      <c r="I1022" s="19"/>
      <c r="J1022" s="20"/>
      <c r="K1022" s="21"/>
      <c r="L1022" s="22"/>
      <c r="M1022" s="23"/>
      <c r="N1022" s="24"/>
      <c r="O1022" s="25"/>
      <c r="P1022" s="26"/>
      <c r="Q1022" s="27"/>
      <c r="R1022" s="28"/>
      <c r="S1022" s="29"/>
      <c r="T1022" s="30"/>
    </row>
    <row r="1023" spans="1:20" ht="24" customHeight="1" x14ac:dyDescent="0.25">
      <c r="A1023" t="str">
        <f>IF('e1'!A1023&gt;0,HYPERLINK("#"&amp;ADDRESS(1023,'e1'!A1023),""),IF('r1'!A1023&gt;0,HYPERLINK("#"&amp;ADDRESS(1023,'r1'!A1023),""),""))</f>
        <v/>
      </c>
      <c r="C1023" s="13"/>
      <c r="D1023" s="14"/>
      <c r="E1023" s="15"/>
      <c r="F1023" s="16"/>
      <c r="G1023" s="17"/>
      <c r="H1023" s="18"/>
      <c r="I1023" s="19"/>
      <c r="J1023" s="20"/>
      <c r="K1023" s="21"/>
      <c r="L1023" s="22"/>
      <c r="M1023" s="23"/>
      <c r="N1023" s="24"/>
      <c r="O1023" s="25"/>
      <c r="P1023" s="26"/>
      <c r="Q1023" s="27"/>
      <c r="R1023" s="28"/>
      <c r="S1023" s="29"/>
      <c r="T1023" s="30"/>
    </row>
    <row r="1024" spans="1:20" ht="24" customHeight="1" x14ac:dyDescent="0.25">
      <c r="A1024" t="str">
        <f>IF('e1'!A1024&gt;0,HYPERLINK("#"&amp;ADDRESS(1024,'e1'!A1024),""),IF('r1'!A1024&gt;0,HYPERLINK("#"&amp;ADDRESS(1024,'r1'!A1024),""),""))</f>
        <v/>
      </c>
      <c r="C1024" s="13"/>
      <c r="D1024" s="14"/>
      <c r="E1024" s="15"/>
      <c r="F1024" s="16"/>
      <c r="G1024" s="17"/>
      <c r="H1024" s="18"/>
      <c r="I1024" s="19"/>
      <c r="J1024" s="20"/>
      <c r="K1024" s="21"/>
      <c r="L1024" s="22"/>
      <c r="M1024" s="23"/>
      <c r="N1024" s="24"/>
      <c r="O1024" s="25"/>
      <c r="P1024" s="26"/>
      <c r="Q1024" s="27"/>
      <c r="R1024" s="28"/>
      <c r="S1024" s="29"/>
      <c r="T1024" s="30"/>
    </row>
    <row r="1025" spans="1:20" ht="24" customHeight="1" x14ac:dyDescent="0.25">
      <c r="A1025" t="str">
        <f>IF('e1'!A1025&gt;0,HYPERLINK("#"&amp;ADDRESS(1025,'e1'!A1025),""),IF('r1'!A1025&gt;0,HYPERLINK("#"&amp;ADDRESS(1025,'r1'!A1025),""),""))</f>
        <v/>
      </c>
      <c r="C1025" s="13"/>
      <c r="D1025" s="14"/>
      <c r="E1025" s="15"/>
      <c r="F1025" s="16"/>
      <c r="G1025" s="17"/>
      <c r="H1025" s="18"/>
      <c r="I1025" s="19"/>
      <c r="J1025" s="20"/>
      <c r="K1025" s="21"/>
      <c r="L1025" s="22"/>
      <c r="M1025" s="23"/>
      <c r="N1025" s="24"/>
      <c r="O1025" s="25"/>
      <c r="P1025" s="26"/>
      <c r="Q1025" s="27"/>
      <c r="R1025" s="28"/>
      <c r="S1025" s="29"/>
      <c r="T1025" s="30"/>
    </row>
    <row r="1026" spans="1:20" ht="24" customHeight="1" x14ac:dyDescent="0.25">
      <c r="A1026" t="str">
        <f>IF('e1'!A1026&gt;0,HYPERLINK("#"&amp;ADDRESS(1026,'e1'!A1026),""),IF('r1'!A1026&gt;0,HYPERLINK("#"&amp;ADDRESS(1026,'r1'!A1026),""),""))</f>
        <v/>
      </c>
      <c r="C1026" s="13"/>
      <c r="D1026" s="14"/>
      <c r="E1026" s="15"/>
      <c r="F1026" s="16"/>
      <c r="G1026" s="17"/>
      <c r="H1026" s="18"/>
      <c r="I1026" s="19"/>
      <c r="J1026" s="20"/>
      <c r="K1026" s="21"/>
      <c r="L1026" s="22"/>
      <c r="M1026" s="23"/>
      <c r="N1026" s="24"/>
      <c r="O1026" s="25"/>
      <c r="P1026" s="26"/>
      <c r="Q1026" s="27"/>
      <c r="R1026" s="28"/>
      <c r="S1026" s="29"/>
      <c r="T1026" s="30"/>
    </row>
    <row r="1027" spans="1:20" ht="24" customHeight="1" x14ac:dyDescent="0.25">
      <c r="A1027" t="str">
        <f>IF('e1'!A1027&gt;0,HYPERLINK("#"&amp;ADDRESS(1027,'e1'!A1027),""),IF('r1'!A1027&gt;0,HYPERLINK("#"&amp;ADDRESS(1027,'r1'!A1027),""),""))</f>
        <v/>
      </c>
      <c r="C1027" s="13"/>
      <c r="D1027" s="14"/>
      <c r="E1027" s="15"/>
      <c r="F1027" s="16"/>
      <c r="G1027" s="17"/>
      <c r="H1027" s="18"/>
      <c r="I1027" s="19"/>
      <c r="J1027" s="20"/>
      <c r="K1027" s="21"/>
      <c r="L1027" s="22"/>
      <c r="M1027" s="23"/>
      <c r="N1027" s="24"/>
      <c r="O1027" s="25"/>
      <c r="P1027" s="26"/>
      <c r="Q1027" s="27"/>
      <c r="R1027" s="28"/>
      <c r="S1027" s="29"/>
      <c r="T1027" s="30"/>
    </row>
    <row r="1028" spans="1:20" ht="24" customHeight="1" x14ac:dyDescent="0.25">
      <c r="A1028" t="str">
        <f>IF('e1'!A1028&gt;0,HYPERLINK("#"&amp;ADDRESS(1028,'e1'!A1028),""),IF('r1'!A1028&gt;0,HYPERLINK("#"&amp;ADDRESS(1028,'r1'!A1028),""),""))</f>
        <v/>
      </c>
      <c r="C1028" s="13"/>
      <c r="D1028" s="14"/>
      <c r="E1028" s="15"/>
      <c r="F1028" s="16"/>
      <c r="G1028" s="17"/>
      <c r="H1028" s="18"/>
      <c r="I1028" s="19"/>
      <c r="J1028" s="20"/>
      <c r="K1028" s="21"/>
      <c r="L1028" s="22"/>
      <c r="M1028" s="23"/>
      <c r="N1028" s="24"/>
      <c r="O1028" s="25"/>
      <c r="P1028" s="26"/>
      <c r="Q1028" s="27"/>
      <c r="R1028" s="28"/>
      <c r="S1028" s="29"/>
      <c r="T1028" s="30"/>
    </row>
    <row r="1029" spans="1:20" ht="24" customHeight="1" x14ac:dyDescent="0.25">
      <c r="A1029" t="str">
        <f>IF('e1'!A1029&gt;0,HYPERLINK("#"&amp;ADDRESS(1029,'e1'!A1029),""),IF('r1'!A1029&gt;0,HYPERLINK("#"&amp;ADDRESS(1029,'r1'!A1029),""),""))</f>
        <v/>
      </c>
      <c r="C1029" s="13"/>
      <c r="D1029" s="14"/>
      <c r="E1029" s="15"/>
      <c r="F1029" s="16"/>
      <c r="G1029" s="17"/>
      <c r="H1029" s="18"/>
      <c r="I1029" s="19"/>
      <c r="J1029" s="20"/>
      <c r="K1029" s="21"/>
      <c r="L1029" s="22"/>
      <c r="M1029" s="23"/>
      <c r="N1029" s="24"/>
      <c r="O1029" s="25"/>
      <c r="P1029" s="26"/>
      <c r="Q1029" s="27"/>
      <c r="R1029" s="28"/>
      <c r="S1029" s="29"/>
      <c r="T1029" s="30"/>
    </row>
    <row r="1030" spans="1:20" ht="24" customHeight="1" x14ac:dyDescent="0.25">
      <c r="A1030" t="str">
        <f>IF('e1'!A1030&gt;0,HYPERLINK("#"&amp;ADDRESS(1030,'e1'!A1030),""),IF('r1'!A1030&gt;0,HYPERLINK("#"&amp;ADDRESS(1030,'r1'!A1030),""),""))</f>
        <v/>
      </c>
      <c r="C1030" s="13"/>
      <c r="D1030" s="14"/>
      <c r="E1030" s="15"/>
      <c r="F1030" s="16"/>
      <c r="G1030" s="17"/>
      <c r="H1030" s="18"/>
      <c r="I1030" s="19"/>
      <c r="J1030" s="20"/>
      <c r="K1030" s="21"/>
      <c r="L1030" s="22"/>
      <c r="M1030" s="23"/>
      <c r="N1030" s="24"/>
      <c r="O1030" s="25"/>
      <c r="P1030" s="26"/>
      <c r="Q1030" s="27"/>
      <c r="R1030" s="28"/>
      <c r="S1030" s="29"/>
      <c r="T1030" s="30"/>
    </row>
    <row r="1031" spans="1:20" ht="24" customHeight="1" x14ac:dyDescent="0.25">
      <c r="A1031" t="str">
        <f>IF('e1'!A1031&gt;0,HYPERLINK("#"&amp;ADDRESS(1031,'e1'!A1031),""),IF('r1'!A1031&gt;0,HYPERLINK("#"&amp;ADDRESS(1031,'r1'!A1031),""),""))</f>
        <v/>
      </c>
      <c r="C1031" s="13"/>
      <c r="D1031" s="14"/>
      <c r="E1031" s="15"/>
      <c r="F1031" s="16"/>
      <c r="G1031" s="17"/>
      <c r="H1031" s="18"/>
      <c r="I1031" s="19"/>
      <c r="J1031" s="20"/>
      <c r="K1031" s="21"/>
      <c r="L1031" s="22"/>
      <c r="M1031" s="23"/>
      <c r="N1031" s="24"/>
      <c r="O1031" s="25"/>
      <c r="P1031" s="26"/>
      <c r="Q1031" s="27"/>
      <c r="R1031" s="28"/>
      <c r="S1031" s="29"/>
      <c r="T1031" s="30"/>
    </row>
    <row r="1032" spans="1:20" ht="24" customHeight="1" x14ac:dyDescent="0.25">
      <c r="A1032" t="str">
        <f>IF('e1'!A1032&gt;0,HYPERLINK("#"&amp;ADDRESS(1032,'e1'!A1032),""),IF('r1'!A1032&gt;0,HYPERLINK("#"&amp;ADDRESS(1032,'r1'!A1032),""),""))</f>
        <v/>
      </c>
      <c r="C1032" s="13"/>
      <c r="D1032" s="14"/>
      <c r="E1032" s="15"/>
      <c r="F1032" s="16"/>
      <c r="G1032" s="17"/>
      <c r="H1032" s="18"/>
      <c r="I1032" s="19"/>
      <c r="J1032" s="20"/>
      <c r="K1032" s="21"/>
      <c r="L1032" s="22"/>
      <c r="M1032" s="23"/>
      <c r="N1032" s="24"/>
      <c r="O1032" s="25"/>
      <c r="P1032" s="26"/>
      <c r="Q1032" s="27"/>
      <c r="R1032" s="28"/>
      <c r="S1032" s="29"/>
      <c r="T1032" s="30"/>
    </row>
    <row r="1033" spans="1:20" ht="24" customHeight="1" x14ac:dyDescent="0.25">
      <c r="A1033" t="str">
        <f>IF('e1'!A1033&gt;0,HYPERLINK("#"&amp;ADDRESS(1033,'e1'!A1033),""),IF('r1'!A1033&gt;0,HYPERLINK("#"&amp;ADDRESS(1033,'r1'!A1033),""),""))</f>
        <v/>
      </c>
      <c r="C1033" s="13"/>
      <c r="D1033" s="14"/>
      <c r="E1033" s="15"/>
      <c r="F1033" s="16"/>
      <c r="G1033" s="17"/>
      <c r="H1033" s="18"/>
      <c r="I1033" s="19"/>
      <c r="J1033" s="20"/>
      <c r="K1033" s="21"/>
      <c r="L1033" s="22"/>
      <c r="M1033" s="23"/>
      <c r="N1033" s="24"/>
      <c r="O1033" s="25"/>
      <c r="P1033" s="26"/>
      <c r="Q1033" s="27"/>
      <c r="R1033" s="28"/>
      <c r="S1033" s="29"/>
      <c r="T1033" s="30"/>
    </row>
    <row r="1034" spans="1:20" ht="24" customHeight="1" x14ac:dyDescent="0.25">
      <c r="A1034" t="str">
        <f>IF('e1'!A1034&gt;0,HYPERLINK("#"&amp;ADDRESS(1034,'e1'!A1034),""),IF('r1'!A1034&gt;0,HYPERLINK("#"&amp;ADDRESS(1034,'r1'!A1034),""),""))</f>
        <v/>
      </c>
      <c r="C1034" s="13"/>
      <c r="D1034" s="14"/>
      <c r="E1034" s="15"/>
      <c r="F1034" s="16"/>
      <c r="G1034" s="17"/>
      <c r="H1034" s="18"/>
      <c r="I1034" s="19"/>
      <c r="J1034" s="20"/>
      <c r="K1034" s="21"/>
      <c r="L1034" s="22"/>
      <c r="M1034" s="23"/>
      <c r="N1034" s="24"/>
      <c r="O1034" s="25"/>
      <c r="P1034" s="26"/>
      <c r="Q1034" s="27"/>
      <c r="R1034" s="28"/>
      <c r="S1034" s="29"/>
      <c r="T1034" s="30"/>
    </row>
    <row r="1035" spans="1:20" ht="24" customHeight="1" x14ac:dyDescent="0.25">
      <c r="A1035" t="str">
        <f>IF('e1'!A1035&gt;0,HYPERLINK("#"&amp;ADDRESS(1035,'e1'!A1035),""),IF('r1'!A1035&gt;0,HYPERLINK("#"&amp;ADDRESS(1035,'r1'!A1035),""),""))</f>
        <v/>
      </c>
      <c r="C1035" s="13"/>
      <c r="D1035" s="14"/>
      <c r="E1035" s="15"/>
      <c r="F1035" s="16"/>
      <c r="G1035" s="17"/>
      <c r="H1035" s="18"/>
      <c r="I1035" s="19"/>
      <c r="J1035" s="20"/>
      <c r="K1035" s="21"/>
      <c r="L1035" s="22"/>
      <c r="M1035" s="23"/>
      <c r="N1035" s="24"/>
      <c r="O1035" s="25"/>
      <c r="P1035" s="26"/>
      <c r="Q1035" s="27"/>
      <c r="R1035" s="28"/>
      <c r="S1035" s="29"/>
      <c r="T1035" s="30"/>
    </row>
    <row r="1036" spans="1:20" ht="24" customHeight="1" x14ac:dyDescent="0.25">
      <c r="A1036" t="str">
        <f>IF('e1'!A1036&gt;0,HYPERLINK("#"&amp;ADDRESS(1036,'e1'!A1036),""),IF('r1'!A1036&gt;0,HYPERLINK("#"&amp;ADDRESS(1036,'r1'!A1036),""),""))</f>
        <v/>
      </c>
      <c r="C1036" s="13"/>
      <c r="D1036" s="14"/>
      <c r="E1036" s="15"/>
      <c r="F1036" s="16"/>
      <c r="G1036" s="17"/>
      <c r="H1036" s="18"/>
      <c r="I1036" s="19"/>
      <c r="J1036" s="20"/>
      <c r="K1036" s="21"/>
      <c r="L1036" s="22"/>
      <c r="M1036" s="23"/>
      <c r="N1036" s="24"/>
      <c r="O1036" s="25"/>
      <c r="P1036" s="26"/>
      <c r="Q1036" s="27"/>
      <c r="R1036" s="28"/>
      <c r="S1036" s="29"/>
      <c r="T1036" s="30"/>
    </row>
    <row r="1037" spans="1:20" ht="24" customHeight="1" x14ac:dyDescent="0.25">
      <c r="A1037" t="str">
        <f>IF('e1'!A1037&gt;0,HYPERLINK("#"&amp;ADDRESS(1037,'e1'!A1037),""),IF('r1'!A1037&gt;0,HYPERLINK("#"&amp;ADDRESS(1037,'r1'!A1037),""),""))</f>
        <v/>
      </c>
      <c r="C1037" s="13"/>
      <c r="D1037" s="14"/>
      <c r="E1037" s="15"/>
      <c r="F1037" s="16"/>
      <c r="G1037" s="17"/>
      <c r="H1037" s="18"/>
      <c r="I1037" s="19"/>
      <c r="J1037" s="20"/>
      <c r="K1037" s="21"/>
      <c r="L1037" s="22"/>
      <c r="M1037" s="23"/>
      <c r="N1037" s="24"/>
      <c r="O1037" s="25"/>
      <c r="P1037" s="26"/>
      <c r="Q1037" s="27"/>
      <c r="R1037" s="28"/>
      <c r="S1037" s="29"/>
      <c r="T1037" s="30"/>
    </row>
    <row r="1038" spans="1:20" ht="24" customHeight="1" x14ac:dyDescent="0.25">
      <c r="A1038" t="str">
        <f>IF('e1'!A1038&gt;0,HYPERLINK("#"&amp;ADDRESS(1038,'e1'!A1038),""),IF('r1'!A1038&gt;0,HYPERLINK("#"&amp;ADDRESS(1038,'r1'!A1038),""),""))</f>
        <v/>
      </c>
      <c r="C1038" s="13"/>
      <c r="D1038" s="14"/>
      <c r="E1038" s="15"/>
      <c r="F1038" s="16"/>
      <c r="G1038" s="17"/>
      <c r="H1038" s="18"/>
      <c r="I1038" s="19"/>
      <c r="J1038" s="20"/>
      <c r="K1038" s="21"/>
      <c r="L1038" s="22"/>
      <c r="M1038" s="23"/>
      <c r="N1038" s="24"/>
      <c r="O1038" s="25"/>
      <c r="P1038" s="26"/>
      <c r="Q1038" s="27"/>
      <c r="R1038" s="28"/>
      <c r="S1038" s="29"/>
      <c r="T1038" s="30"/>
    </row>
    <row r="1039" spans="1:20" ht="24" customHeight="1" x14ac:dyDescent="0.25">
      <c r="A1039" t="str">
        <f>IF('e1'!A1039&gt;0,HYPERLINK("#"&amp;ADDRESS(1039,'e1'!A1039),""),IF('r1'!A1039&gt;0,HYPERLINK("#"&amp;ADDRESS(1039,'r1'!A1039),""),""))</f>
        <v/>
      </c>
      <c r="C1039" s="13"/>
      <c r="D1039" s="14"/>
      <c r="E1039" s="15"/>
      <c r="F1039" s="16"/>
      <c r="G1039" s="17"/>
      <c r="H1039" s="18"/>
      <c r="I1039" s="19"/>
      <c r="J1039" s="20"/>
      <c r="K1039" s="21"/>
      <c r="L1039" s="22"/>
      <c r="M1039" s="23"/>
      <c r="N1039" s="24"/>
      <c r="O1039" s="25"/>
      <c r="P1039" s="26"/>
      <c r="Q1039" s="27"/>
      <c r="R1039" s="28"/>
      <c r="S1039" s="29"/>
      <c r="T1039" s="30"/>
    </row>
    <row r="1040" spans="1:20" ht="24" customHeight="1" x14ac:dyDescent="0.25">
      <c r="A1040" t="str">
        <f>IF('e1'!A1040&gt;0,HYPERLINK("#"&amp;ADDRESS(1040,'e1'!A1040),""),IF('r1'!A1040&gt;0,HYPERLINK("#"&amp;ADDRESS(1040,'r1'!A1040),""),""))</f>
        <v/>
      </c>
      <c r="C1040" s="13"/>
      <c r="D1040" s="14"/>
      <c r="E1040" s="15"/>
      <c r="F1040" s="16"/>
      <c r="G1040" s="17"/>
      <c r="H1040" s="18"/>
      <c r="I1040" s="19"/>
      <c r="J1040" s="20"/>
      <c r="K1040" s="21"/>
      <c r="L1040" s="22"/>
      <c r="M1040" s="23"/>
      <c r="N1040" s="24"/>
      <c r="O1040" s="25"/>
      <c r="P1040" s="26"/>
      <c r="Q1040" s="27"/>
      <c r="R1040" s="28"/>
      <c r="S1040" s="29"/>
      <c r="T1040" s="30"/>
    </row>
    <row r="1041" spans="1:20" ht="24" customHeight="1" x14ac:dyDescent="0.25">
      <c r="A1041" t="str">
        <f>IF('e1'!A1041&gt;0,HYPERLINK("#"&amp;ADDRESS(1041,'e1'!A1041),""),IF('r1'!A1041&gt;0,HYPERLINK("#"&amp;ADDRESS(1041,'r1'!A1041),""),""))</f>
        <v/>
      </c>
      <c r="C1041" s="13"/>
      <c r="D1041" s="14"/>
      <c r="E1041" s="15"/>
      <c r="F1041" s="16"/>
      <c r="G1041" s="17"/>
      <c r="H1041" s="18"/>
      <c r="I1041" s="19"/>
      <c r="J1041" s="20"/>
      <c r="K1041" s="21"/>
      <c r="L1041" s="22"/>
      <c r="M1041" s="23"/>
      <c r="N1041" s="24"/>
      <c r="O1041" s="25"/>
      <c r="P1041" s="26"/>
      <c r="Q1041" s="27"/>
      <c r="R1041" s="28"/>
      <c r="S1041" s="29"/>
      <c r="T1041" s="30"/>
    </row>
    <row r="1042" spans="1:20" ht="24" customHeight="1" x14ac:dyDescent="0.25">
      <c r="A1042" t="str">
        <f>IF('e1'!A1042&gt;0,HYPERLINK("#"&amp;ADDRESS(1042,'e1'!A1042),""),IF('r1'!A1042&gt;0,HYPERLINK("#"&amp;ADDRESS(1042,'r1'!A1042),""),""))</f>
        <v/>
      </c>
      <c r="C1042" s="13"/>
      <c r="D1042" s="14"/>
      <c r="E1042" s="15"/>
      <c r="F1042" s="16"/>
      <c r="G1042" s="17"/>
      <c r="H1042" s="18"/>
      <c r="I1042" s="19"/>
      <c r="J1042" s="20"/>
      <c r="K1042" s="21"/>
      <c r="L1042" s="22"/>
      <c r="M1042" s="23"/>
      <c r="N1042" s="24"/>
      <c r="O1042" s="25"/>
      <c r="P1042" s="26"/>
      <c r="Q1042" s="27"/>
      <c r="R1042" s="28"/>
      <c r="S1042" s="29"/>
      <c r="T1042" s="30"/>
    </row>
    <row r="1043" spans="1:20" ht="24" customHeight="1" x14ac:dyDescent="0.25">
      <c r="A1043" t="str">
        <f>IF('e1'!A1043&gt;0,HYPERLINK("#"&amp;ADDRESS(1043,'e1'!A1043),""),IF('r1'!A1043&gt;0,HYPERLINK("#"&amp;ADDRESS(1043,'r1'!A1043),""),""))</f>
        <v/>
      </c>
      <c r="C1043" s="13"/>
      <c r="D1043" s="14"/>
      <c r="E1043" s="15"/>
      <c r="F1043" s="16"/>
      <c r="G1043" s="17"/>
      <c r="H1043" s="18"/>
      <c r="I1043" s="19"/>
      <c r="J1043" s="20"/>
      <c r="K1043" s="21"/>
      <c r="L1043" s="22"/>
      <c r="M1043" s="23"/>
      <c r="N1043" s="24"/>
      <c r="O1043" s="25"/>
      <c r="P1043" s="26"/>
      <c r="Q1043" s="27"/>
      <c r="R1043" s="28"/>
      <c r="S1043" s="29"/>
      <c r="T1043" s="30"/>
    </row>
    <row r="1044" spans="1:20" ht="24" customHeight="1" x14ac:dyDescent="0.25">
      <c r="A1044" t="str">
        <f>IF('e1'!A1044&gt;0,HYPERLINK("#"&amp;ADDRESS(1044,'e1'!A1044),""),IF('r1'!A1044&gt;0,HYPERLINK("#"&amp;ADDRESS(1044,'r1'!A1044),""),""))</f>
        <v/>
      </c>
      <c r="C1044" s="13"/>
      <c r="D1044" s="14"/>
      <c r="E1044" s="15"/>
      <c r="F1044" s="16"/>
      <c r="G1044" s="17"/>
      <c r="H1044" s="18"/>
      <c r="I1044" s="19"/>
      <c r="J1044" s="20"/>
      <c r="K1044" s="21"/>
      <c r="L1044" s="22"/>
      <c r="M1044" s="23"/>
      <c r="N1044" s="24"/>
      <c r="O1044" s="25"/>
      <c r="P1044" s="26"/>
      <c r="Q1044" s="27"/>
      <c r="R1044" s="28"/>
      <c r="S1044" s="29"/>
      <c r="T1044" s="30"/>
    </row>
    <row r="1045" spans="1:20" ht="24" customHeight="1" x14ac:dyDescent="0.25">
      <c r="A1045" t="str">
        <f>IF('e1'!A1045&gt;0,HYPERLINK("#"&amp;ADDRESS(1045,'e1'!A1045),""),IF('r1'!A1045&gt;0,HYPERLINK("#"&amp;ADDRESS(1045,'r1'!A1045),""),""))</f>
        <v/>
      </c>
      <c r="C1045" s="13"/>
      <c r="D1045" s="14"/>
      <c r="E1045" s="15"/>
      <c r="F1045" s="16"/>
      <c r="G1045" s="17"/>
      <c r="H1045" s="18"/>
      <c r="I1045" s="19"/>
      <c r="J1045" s="20"/>
      <c r="K1045" s="21"/>
      <c r="L1045" s="22"/>
      <c r="M1045" s="23"/>
      <c r="N1045" s="24"/>
      <c r="O1045" s="25"/>
      <c r="P1045" s="26"/>
      <c r="Q1045" s="27"/>
      <c r="R1045" s="28"/>
      <c r="S1045" s="29"/>
      <c r="T1045" s="30"/>
    </row>
    <row r="1046" spans="1:20" ht="24" customHeight="1" x14ac:dyDescent="0.25">
      <c r="A1046" t="str">
        <f>IF('e1'!A1046&gt;0,HYPERLINK("#"&amp;ADDRESS(1046,'e1'!A1046),""),IF('r1'!A1046&gt;0,HYPERLINK("#"&amp;ADDRESS(1046,'r1'!A1046),""),""))</f>
        <v/>
      </c>
      <c r="C1046" s="13"/>
      <c r="D1046" s="14"/>
      <c r="E1046" s="15"/>
      <c r="F1046" s="16"/>
      <c r="G1046" s="17"/>
      <c r="H1046" s="18"/>
      <c r="I1046" s="19"/>
      <c r="J1046" s="20"/>
      <c r="K1046" s="21"/>
      <c r="L1046" s="22"/>
      <c r="M1046" s="23"/>
      <c r="N1046" s="24"/>
      <c r="O1046" s="25"/>
      <c r="P1046" s="26"/>
      <c r="Q1046" s="27"/>
      <c r="R1046" s="28"/>
      <c r="S1046" s="29"/>
      <c r="T1046" s="30"/>
    </row>
    <row r="1047" spans="1:20" ht="24" customHeight="1" x14ac:dyDescent="0.25">
      <c r="A1047" t="str">
        <f>IF('e1'!A1047&gt;0,HYPERLINK("#"&amp;ADDRESS(1047,'e1'!A1047),""),IF('r1'!A1047&gt;0,HYPERLINK("#"&amp;ADDRESS(1047,'r1'!A1047),""),""))</f>
        <v/>
      </c>
      <c r="C1047" s="13"/>
      <c r="D1047" s="14"/>
      <c r="E1047" s="15"/>
      <c r="F1047" s="16"/>
      <c r="G1047" s="17"/>
      <c r="H1047" s="18"/>
      <c r="I1047" s="19"/>
      <c r="J1047" s="20"/>
      <c r="K1047" s="21"/>
      <c r="L1047" s="22"/>
      <c r="M1047" s="23"/>
      <c r="N1047" s="24"/>
      <c r="O1047" s="25"/>
      <c r="P1047" s="26"/>
      <c r="Q1047" s="27"/>
      <c r="R1047" s="28"/>
      <c r="S1047" s="29"/>
      <c r="T1047" s="30"/>
    </row>
    <row r="1048" spans="1:20" ht="24" customHeight="1" x14ac:dyDescent="0.25">
      <c r="A1048" t="str">
        <f>IF('e1'!A1048&gt;0,HYPERLINK("#"&amp;ADDRESS(1048,'e1'!A1048),""),IF('r1'!A1048&gt;0,HYPERLINK("#"&amp;ADDRESS(1048,'r1'!A1048),""),""))</f>
        <v/>
      </c>
      <c r="C1048" s="13"/>
      <c r="D1048" s="14"/>
      <c r="E1048" s="15"/>
      <c r="F1048" s="16"/>
      <c r="G1048" s="17"/>
      <c r="H1048" s="18"/>
      <c r="I1048" s="19"/>
      <c r="J1048" s="20"/>
      <c r="K1048" s="21"/>
      <c r="L1048" s="22"/>
      <c r="M1048" s="23"/>
      <c r="N1048" s="24"/>
      <c r="O1048" s="25"/>
      <c r="P1048" s="26"/>
      <c r="Q1048" s="27"/>
      <c r="R1048" s="28"/>
      <c r="S1048" s="29"/>
      <c r="T1048" s="30"/>
    </row>
    <row r="1049" spans="1:20" ht="24" customHeight="1" x14ac:dyDescent="0.25">
      <c r="A1049" t="str">
        <f>IF('e1'!A1049&gt;0,HYPERLINK("#"&amp;ADDRESS(1049,'e1'!A1049),""),IF('r1'!A1049&gt;0,HYPERLINK("#"&amp;ADDRESS(1049,'r1'!A1049),""),""))</f>
        <v/>
      </c>
      <c r="C1049" s="13"/>
      <c r="D1049" s="14"/>
      <c r="E1049" s="15"/>
      <c r="F1049" s="16"/>
      <c r="G1049" s="17"/>
      <c r="H1049" s="18"/>
      <c r="I1049" s="19"/>
      <c r="J1049" s="20"/>
      <c r="K1049" s="21"/>
      <c r="L1049" s="22"/>
      <c r="M1049" s="23"/>
      <c r="N1049" s="24"/>
      <c r="O1049" s="25"/>
      <c r="P1049" s="26"/>
      <c r="Q1049" s="27"/>
      <c r="R1049" s="28"/>
      <c r="S1049" s="29"/>
      <c r="T1049" s="30"/>
    </row>
    <row r="1050" spans="1:20" ht="24" customHeight="1" x14ac:dyDescent="0.25">
      <c r="A1050" t="str">
        <f>IF('e1'!A1050&gt;0,HYPERLINK("#"&amp;ADDRESS(1050,'e1'!A1050),""),IF('r1'!A1050&gt;0,HYPERLINK("#"&amp;ADDRESS(1050,'r1'!A1050),""),""))</f>
        <v/>
      </c>
      <c r="C1050" s="13"/>
      <c r="D1050" s="14"/>
      <c r="E1050" s="15"/>
      <c r="F1050" s="16"/>
      <c r="G1050" s="17"/>
      <c r="H1050" s="18"/>
      <c r="I1050" s="19"/>
      <c r="J1050" s="20"/>
      <c r="K1050" s="21"/>
      <c r="L1050" s="22"/>
      <c r="M1050" s="23"/>
      <c r="N1050" s="24"/>
      <c r="O1050" s="25"/>
      <c r="P1050" s="26"/>
      <c r="Q1050" s="27"/>
      <c r="R1050" s="28"/>
      <c r="S1050" s="29"/>
      <c r="T1050" s="30"/>
    </row>
    <row r="1051" spans="1:20" ht="24" customHeight="1" x14ac:dyDescent="0.25">
      <c r="A1051" t="str">
        <f>IF('e1'!A1051&gt;0,HYPERLINK("#"&amp;ADDRESS(1051,'e1'!A1051),""),IF('r1'!A1051&gt;0,HYPERLINK("#"&amp;ADDRESS(1051,'r1'!A1051),""),""))</f>
        <v/>
      </c>
      <c r="C1051" s="13"/>
      <c r="D1051" s="14"/>
      <c r="E1051" s="15"/>
      <c r="F1051" s="16"/>
      <c r="G1051" s="17"/>
      <c r="H1051" s="18"/>
      <c r="I1051" s="19"/>
      <c r="J1051" s="20"/>
      <c r="K1051" s="21"/>
      <c r="L1051" s="22"/>
      <c r="M1051" s="23"/>
      <c r="N1051" s="24"/>
      <c r="O1051" s="25"/>
      <c r="P1051" s="26"/>
      <c r="Q1051" s="27"/>
      <c r="R1051" s="28"/>
      <c r="S1051" s="29"/>
      <c r="T1051" s="30"/>
    </row>
    <row r="1052" spans="1:20" ht="24" customHeight="1" x14ac:dyDescent="0.25">
      <c r="A1052" t="str">
        <f>IF('e1'!A1052&gt;0,HYPERLINK("#"&amp;ADDRESS(1052,'e1'!A1052),""),IF('r1'!A1052&gt;0,HYPERLINK("#"&amp;ADDRESS(1052,'r1'!A1052),""),""))</f>
        <v/>
      </c>
      <c r="C1052" s="13"/>
      <c r="D1052" s="14"/>
      <c r="E1052" s="15"/>
      <c r="F1052" s="16"/>
      <c r="G1052" s="17"/>
      <c r="H1052" s="18"/>
      <c r="I1052" s="19"/>
      <c r="J1052" s="20"/>
      <c r="K1052" s="21"/>
      <c r="L1052" s="22"/>
      <c r="M1052" s="23"/>
      <c r="N1052" s="24"/>
      <c r="O1052" s="25"/>
      <c r="P1052" s="26"/>
      <c r="Q1052" s="27"/>
      <c r="R1052" s="28"/>
      <c r="S1052" s="29"/>
      <c r="T1052" s="30"/>
    </row>
    <row r="1053" spans="1:20" ht="24" customHeight="1" x14ac:dyDescent="0.25">
      <c r="A1053" t="str">
        <f>IF('e1'!A1053&gt;0,HYPERLINK("#"&amp;ADDRESS(1053,'e1'!A1053),""),IF('r1'!A1053&gt;0,HYPERLINK("#"&amp;ADDRESS(1053,'r1'!A1053),""),""))</f>
        <v/>
      </c>
      <c r="C1053" s="13"/>
      <c r="D1053" s="14"/>
      <c r="E1053" s="15"/>
      <c r="F1053" s="16"/>
      <c r="G1053" s="17"/>
      <c r="H1053" s="18"/>
      <c r="I1053" s="19"/>
      <c r="J1053" s="20"/>
      <c r="K1053" s="21"/>
      <c r="L1053" s="22"/>
      <c r="M1053" s="23"/>
      <c r="N1053" s="24"/>
      <c r="O1053" s="25"/>
      <c r="P1053" s="26"/>
      <c r="Q1053" s="27"/>
      <c r="R1053" s="28"/>
      <c r="S1053" s="29"/>
      <c r="T1053" s="30"/>
    </row>
    <row r="1054" spans="1:20" ht="24" customHeight="1" x14ac:dyDescent="0.25">
      <c r="A1054" t="str">
        <f>IF('e1'!A1054&gt;0,HYPERLINK("#"&amp;ADDRESS(1054,'e1'!A1054),""),IF('r1'!A1054&gt;0,HYPERLINK("#"&amp;ADDRESS(1054,'r1'!A1054),""),""))</f>
        <v/>
      </c>
      <c r="C1054" s="13"/>
      <c r="D1054" s="14"/>
      <c r="E1054" s="15"/>
      <c r="F1054" s="16"/>
      <c r="G1054" s="17"/>
      <c r="H1054" s="18"/>
      <c r="I1054" s="19"/>
      <c r="J1054" s="20"/>
      <c r="K1054" s="21"/>
      <c r="L1054" s="22"/>
      <c r="M1054" s="23"/>
      <c r="N1054" s="24"/>
      <c r="O1054" s="25"/>
      <c r="P1054" s="26"/>
      <c r="Q1054" s="27"/>
      <c r="R1054" s="28"/>
      <c r="S1054" s="29"/>
      <c r="T1054" s="30"/>
    </row>
    <row r="1055" spans="1:20" ht="24" customHeight="1" x14ac:dyDescent="0.25">
      <c r="A1055" t="str">
        <f>IF('e1'!A1055&gt;0,HYPERLINK("#"&amp;ADDRESS(1055,'e1'!A1055),""),IF('r1'!A1055&gt;0,HYPERLINK("#"&amp;ADDRESS(1055,'r1'!A1055),""),""))</f>
        <v/>
      </c>
      <c r="C1055" s="13"/>
      <c r="D1055" s="14"/>
      <c r="E1055" s="15"/>
      <c r="F1055" s="16"/>
      <c r="G1055" s="17"/>
      <c r="H1055" s="18"/>
      <c r="I1055" s="19"/>
      <c r="J1055" s="20"/>
      <c r="K1055" s="21"/>
      <c r="L1055" s="22"/>
      <c r="M1055" s="23"/>
      <c r="N1055" s="24"/>
      <c r="O1055" s="25"/>
      <c r="P1055" s="26"/>
      <c r="Q1055" s="27"/>
      <c r="R1055" s="28"/>
      <c r="S1055" s="29"/>
      <c r="T1055" s="30"/>
    </row>
    <row r="1056" spans="1:20" ht="24" customHeight="1" x14ac:dyDescent="0.25">
      <c r="A1056" t="str">
        <f>IF('e1'!A1056&gt;0,HYPERLINK("#"&amp;ADDRESS(1056,'e1'!A1056),""),IF('r1'!A1056&gt;0,HYPERLINK("#"&amp;ADDRESS(1056,'r1'!A1056),""),""))</f>
        <v/>
      </c>
      <c r="C1056" s="13"/>
      <c r="D1056" s="14"/>
      <c r="E1056" s="15"/>
      <c r="F1056" s="16"/>
      <c r="G1056" s="17"/>
      <c r="H1056" s="18"/>
      <c r="I1056" s="19"/>
      <c r="J1056" s="20"/>
      <c r="K1056" s="21"/>
      <c r="L1056" s="22"/>
      <c r="M1056" s="23"/>
      <c r="N1056" s="24"/>
      <c r="O1056" s="25"/>
      <c r="P1056" s="26"/>
      <c r="Q1056" s="27"/>
      <c r="R1056" s="28"/>
      <c r="S1056" s="29"/>
      <c r="T1056" s="30"/>
    </row>
    <row r="1057" spans="1:20" ht="24" customHeight="1" x14ac:dyDescent="0.25">
      <c r="A1057" t="str">
        <f>IF('e1'!A1057&gt;0,HYPERLINK("#"&amp;ADDRESS(1057,'e1'!A1057),""),IF('r1'!A1057&gt;0,HYPERLINK("#"&amp;ADDRESS(1057,'r1'!A1057),""),""))</f>
        <v/>
      </c>
      <c r="C1057" s="13"/>
      <c r="D1057" s="14"/>
      <c r="E1057" s="15"/>
      <c r="F1057" s="16"/>
      <c r="G1057" s="17"/>
      <c r="H1057" s="18"/>
      <c r="I1057" s="19"/>
      <c r="J1057" s="20"/>
      <c r="K1057" s="21"/>
      <c r="L1057" s="22"/>
      <c r="M1057" s="23"/>
      <c r="N1057" s="24"/>
      <c r="O1057" s="25"/>
      <c r="P1057" s="26"/>
      <c r="Q1057" s="27"/>
      <c r="R1057" s="28"/>
      <c r="S1057" s="29"/>
      <c r="T1057" s="30"/>
    </row>
    <row r="1058" spans="1:20" ht="24" customHeight="1" x14ac:dyDescent="0.25">
      <c r="A1058" t="str">
        <f>IF('e1'!A1058&gt;0,HYPERLINK("#"&amp;ADDRESS(1058,'e1'!A1058),""),IF('r1'!A1058&gt;0,HYPERLINK("#"&amp;ADDRESS(1058,'r1'!A1058),""),""))</f>
        <v/>
      </c>
      <c r="C1058" s="13"/>
      <c r="D1058" s="14"/>
      <c r="E1058" s="15"/>
      <c r="F1058" s="16"/>
      <c r="G1058" s="17"/>
      <c r="H1058" s="18"/>
      <c r="I1058" s="19"/>
      <c r="J1058" s="20"/>
      <c r="K1058" s="21"/>
      <c r="L1058" s="22"/>
      <c r="M1058" s="23"/>
      <c r="N1058" s="24"/>
      <c r="O1058" s="25"/>
      <c r="P1058" s="26"/>
      <c r="Q1058" s="27"/>
      <c r="R1058" s="28"/>
      <c r="S1058" s="29"/>
      <c r="T1058" s="30"/>
    </row>
    <row r="1059" spans="1:20" ht="24" customHeight="1" x14ac:dyDescent="0.25">
      <c r="A1059" t="str">
        <f>IF('e1'!A1059&gt;0,HYPERLINK("#"&amp;ADDRESS(1059,'e1'!A1059),""),IF('r1'!A1059&gt;0,HYPERLINK("#"&amp;ADDRESS(1059,'r1'!A1059),""),""))</f>
        <v/>
      </c>
      <c r="C1059" s="13"/>
      <c r="D1059" s="14"/>
      <c r="E1059" s="15"/>
      <c r="F1059" s="16"/>
      <c r="G1059" s="17"/>
      <c r="H1059" s="18"/>
      <c r="I1059" s="19"/>
      <c r="J1059" s="20"/>
      <c r="K1059" s="21"/>
      <c r="L1059" s="22"/>
      <c r="M1059" s="23"/>
      <c r="N1059" s="24"/>
      <c r="O1059" s="25"/>
      <c r="P1059" s="26"/>
      <c r="Q1059" s="27"/>
      <c r="R1059" s="28"/>
      <c r="S1059" s="29"/>
      <c r="T1059" s="30"/>
    </row>
    <row r="1060" spans="1:20" ht="24" customHeight="1" x14ac:dyDescent="0.25">
      <c r="A1060" t="str">
        <f>IF('e1'!A1060&gt;0,HYPERLINK("#"&amp;ADDRESS(1060,'e1'!A1060),""),IF('r1'!A1060&gt;0,HYPERLINK("#"&amp;ADDRESS(1060,'r1'!A1060),""),""))</f>
        <v/>
      </c>
      <c r="C1060" s="13"/>
      <c r="D1060" s="14"/>
      <c r="E1060" s="15"/>
      <c r="F1060" s="16"/>
      <c r="G1060" s="17"/>
      <c r="H1060" s="18"/>
      <c r="I1060" s="19"/>
      <c r="J1060" s="20"/>
      <c r="K1060" s="21"/>
      <c r="L1060" s="22"/>
      <c r="M1060" s="23"/>
      <c r="N1060" s="24"/>
      <c r="O1060" s="25"/>
      <c r="P1060" s="26"/>
      <c r="Q1060" s="27"/>
      <c r="R1060" s="28"/>
      <c r="S1060" s="29"/>
      <c r="T1060" s="30"/>
    </row>
    <row r="1061" spans="1:20" ht="24" customHeight="1" x14ac:dyDescent="0.25">
      <c r="A1061" t="str">
        <f>IF('e1'!A1061&gt;0,HYPERLINK("#"&amp;ADDRESS(1061,'e1'!A1061),""),IF('r1'!A1061&gt;0,HYPERLINK("#"&amp;ADDRESS(1061,'r1'!A1061),""),""))</f>
        <v/>
      </c>
      <c r="C1061" s="13"/>
      <c r="D1061" s="14"/>
      <c r="E1061" s="15"/>
      <c r="F1061" s="16"/>
      <c r="G1061" s="17"/>
      <c r="H1061" s="18"/>
      <c r="I1061" s="19"/>
      <c r="J1061" s="20"/>
      <c r="K1061" s="21"/>
      <c r="L1061" s="22"/>
      <c r="M1061" s="23"/>
      <c r="N1061" s="24"/>
      <c r="O1061" s="25"/>
      <c r="P1061" s="26"/>
      <c r="Q1061" s="27"/>
      <c r="R1061" s="28"/>
      <c r="S1061" s="29"/>
      <c r="T1061" s="30"/>
    </row>
    <row r="1062" spans="1:20" ht="24" customHeight="1" x14ac:dyDescent="0.25">
      <c r="A1062" t="str">
        <f>IF('e1'!A1062&gt;0,HYPERLINK("#"&amp;ADDRESS(1062,'e1'!A1062),""),IF('r1'!A1062&gt;0,HYPERLINK("#"&amp;ADDRESS(1062,'r1'!A1062),""),""))</f>
        <v/>
      </c>
      <c r="C1062" s="13"/>
      <c r="D1062" s="14"/>
      <c r="E1062" s="15"/>
      <c r="F1062" s="16"/>
      <c r="G1062" s="17"/>
      <c r="H1062" s="18"/>
      <c r="I1062" s="19"/>
      <c r="J1062" s="20"/>
      <c r="K1062" s="21"/>
      <c r="L1062" s="22"/>
      <c r="M1062" s="23"/>
      <c r="N1062" s="24"/>
      <c r="O1062" s="25"/>
      <c r="P1062" s="26"/>
      <c r="Q1062" s="27"/>
      <c r="R1062" s="28"/>
      <c r="S1062" s="29"/>
      <c r="T1062" s="30"/>
    </row>
    <row r="1063" spans="1:20" ht="24" customHeight="1" x14ac:dyDescent="0.25">
      <c r="A1063" t="str">
        <f>IF('e1'!A1063&gt;0,HYPERLINK("#"&amp;ADDRESS(1063,'e1'!A1063),""),IF('r1'!A1063&gt;0,HYPERLINK("#"&amp;ADDRESS(1063,'r1'!A1063),""),""))</f>
        <v/>
      </c>
      <c r="C1063" s="13"/>
      <c r="D1063" s="14"/>
      <c r="E1063" s="15"/>
      <c r="F1063" s="16"/>
      <c r="G1063" s="17"/>
      <c r="H1063" s="18"/>
      <c r="I1063" s="19"/>
      <c r="J1063" s="20"/>
      <c r="K1063" s="21"/>
      <c r="L1063" s="22"/>
      <c r="M1063" s="23"/>
      <c r="N1063" s="24"/>
      <c r="O1063" s="25"/>
      <c r="P1063" s="26"/>
      <c r="Q1063" s="27"/>
      <c r="R1063" s="28"/>
      <c r="S1063" s="29"/>
      <c r="T1063" s="30"/>
    </row>
    <row r="1064" spans="1:20" ht="24" customHeight="1" x14ac:dyDescent="0.25">
      <c r="A1064" t="str">
        <f>IF('e1'!A1064&gt;0,HYPERLINK("#"&amp;ADDRESS(1064,'e1'!A1064),""),IF('r1'!A1064&gt;0,HYPERLINK("#"&amp;ADDRESS(1064,'r1'!A1064),""),""))</f>
        <v/>
      </c>
      <c r="C1064" s="13"/>
      <c r="D1064" s="14"/>
      <c r="E1064" s="15"/>
      <c r="F1064" s="16"/>
      <c r="G1064" s="17"/>
      <c r="H1064" s="18"/>
      <c r="I1064" s="19"/>
      <c r="J1064" s="20"/>
      <c r="K1064" s="21"/>
      <c r="L1064" s="22"/>
      <c r="M1064" s="23"/>
      <c r="N1064" s="24"/>
      <c r="O1064" s="25"/>
      <c r="P1064" s="26"/>
      <c r="Q1064" s="27"/>
      <c r="R1064" s="28"/>
      <c r="S1064" s="29"/>
      <c r="T1064" s="30"/>
    </row>
    <row r="1065" spans="1:20" ht="24" customHeight="1" x14ac:dyDescent="0.25">
      <c r="A1065" t="str">
        <f>IF('e1'!A1065&gt;0,HYPERLINK("#"&amp;ADDRESS(1065,'e1'!A1065),""),IF('r1'!A1065&gt;0,HYPERLINK("#"&amp;ADDRESS(1065,'r1'!A1065),""),""))</f>
        <v/>
      </c>
      <c r="C1065" s="13"/>
      <c r="D1065" s="14"/>
      <c r="E1065" s="15"/>
      <c r="F1065" s="16"/>
      <c r="G1065" s="17"/>
      <c r="H1065" s="18"/>
      <c r="I1065" s="19"/>
      <c r="J1065" s="20"/>
      <c r="K1065" s="21"/>
      <c r="L1065" s="22"/>
      <c r="M1065" s="23"/>
      <c r="N1065" s="24"/>
      <c r="O1065" s="25"/>
      <c r="P1065" s="26"/>
      <c r="Q1065" s="27"/>
      <c r="R1065" s="28"/>
      <c r="S1065" s="29"/>
      <c r="T1065" s="30"/>
    </row>
    <row r="1066" spans="1:20" ht="24" customHeight="1" x14ac:dyDescent="0.25">
      <c r="A1066" t="str">
        <f>IF('e1'!A1066&gt;0,HYPERLINK("#"&amp;ADDRESS(1066,'e1'!A1066),""),IF('r1'!A1066&gt;0,HYPERLINK("#"&amp;ADDRESS(1066,'r1'!A1066),""),""))</f>
        <v/>
      </c>
      <c r="C1066" s="13"/>
      <c r="D1066" s="14"/>
      <c r="E1066" s="15"/>
      <c r="F1066" s="16"/>
      <c r="G1066" s="17"/>
      <c r="H1066" s="18"/>
      <c r="I1066" s="19"/>
      <c r="J1066" s="20"/>
      <c r="K1066" s="21"/>
      <c r="L1066" s="22"/>
      <c r="M1066" s="23"/>
      <c r="N1066" s="24"/>
      <c r="O1066" s="25"/>
      <c r="P1066" s="26"/>
      <c r="Q1066" s="27"/>
      <c r="R1066" s="28"/>
      <c r="S1066" s="29"/>
      <c r="T1066" s="30"/>
    </row>
    <row r="1067" spans="1:20" ht="24" customHeight="1" x14ac:dyDescent="0.25">
      <c r="A1067" t="str">
        <f>IF('e1'!A1067&gt;0,HYPERLINK("#"&amp;ADDRESS(1067,'e1'!A1067),""),IF('r1'!A1067&gt;0,HYPERLINK("#"&amp;ADDRESS(1067,'r1'!A1067),""),""))</f>
        <v/>
      </c>
      <c r="C1067" s="13"/>
      <c r="D1067" s="14"/>
      <c r="E1067" s="15"/>
      <c r="F1067" s="16"/>
      <c r="G1067" s="17"/>
      <c r="H1067" s="18"/>
      <c r="I1067" s="19"/>
      <c r="J1067" s="20"/>
      <c r="K1067" s="21"/>
      <c r="L1067" s="22"/>
      <c r="M1067" s="23"/>
      <c r="N1067" s="24"/>
      <c r="O1067" s="25"/>
      <c r="P1067" s="26"/>
      <c r="Q1067" s="27"/>
      <c r="R1067" s="28"/>
      <c r="S1067" s="29"/>
      <c r="T1067" s="30"/>
    </row>
    <row r="1068" spans="1:20" ht="24" customHeight="1" x14ac:dyDescent="0.25">
      <c r="A1068" t="str">
        <f>IF('e1'!A1068&gt;0,HYPERLINK("#"&amp;ADDRESS(1068,'e1'!A1068),""),IF('r1'!A1068&gt;0,HYPERLINK("#"&amp;ADDRESS(1068,'r1'!A1068),""),""))</f>
        <v/>
      </c>
      <c r="C1068" s="13"/>
      <c r="D1068" s="14"/>
      <c r="E1068" s="15"/>
      <c r="F1068" s="16"/>
      <c r="G1068" s="17"/>
      <c r="H1068" s="18"/>
      <c r="I1068" s="19"/>
      <c r="J1068" s="20"/>
      <c r="K1068" s="21"/>
      <c r="L1068" s="22"/>
      <c r="M1068" s="23"/>
      <c r="N1068" s="24"/>
      <c r="O1068" s="25"/>
      <c r="P1068" s="26"/>
      <c r="Q1068" s="27"/>
      <c r="R1068" s="28"/>
      <c r="S1068" s="29"/>
      <c r="T1068" s="30"/>
    </row>
    <row r="1069" spans="1:20" ht="24" customHeight="1" x14ac:dyDescent="0.25">
      <c r="A1069" t="str">
        <f>IF('e1'!A1069&gt;0,HYPERLINK("#"&amp;ADDRESS(1069,'e1'!A1069),""),IF('r1'!A1069&gt;0,HYPERLINK("#"&amp;ADDRESS(1069,'r1'!A1069),""),""))</f>
        <v/>
      </c>
      <c r="C1069" s="13"/>
      <c r="D1069" s="14"/>
      <c r="E1069" s="15"/>
      <c r="F1069" s="16"/>
      <c r="G1069" s="17"/>
      <c r="H1069" s="18"/>
      <c r="I1069" s="19"/>
      <c r="J1069" s="20"/>
      <c r="K1069" s="21"/>
      <c r="L1069" s="22"/>
      <c r="M1069" s="23"/>
      <c r="N1069" s="24"/>
      <c r="O1069" s="25"/>
      <c r="P1069" s="26"/>
      <c r="Q1069" s="27"/>
      <c r="R1069" s="28"/>
      <c r="S1069" s="29"/>
      <c r="T1069" s="30"/>
    </row>
    <row r="1070" spans="1:20" ht="24" customHeight="1" x14ac:dyDescent="0.25">
      <c r="A1070" t="str">
        <f>IF('e1'!A1070&gt;0,HYPERLINK("#"&amp;ADDRESS(1070,'e1'!A1070),""),IF('r1'!A1070&gt;0,HYPERLINK("#"&amp;ADDRESS(1070,'r1'!A1070),""),""))</f>
        <v/>
      </c>
      <c r="C1070" s="13"/>
      <c r="D1070" s="14"/>
      <c r="E1070" s="15"/>
      <c r="F1070" s="16"/>
      <c r="G1070" s="17"/>
      <c r="H1070" s="18"/>
      <c r="I1070" s="19"/>
      <c r="J1070" s="20"/>
      <c r="K1070" s="21"/>
      <c r="L1070" s="22"/>
      <c r="M1070" s="23"/>
      <c r="N1070" s="24"/>
      <c r="O1070" s="25"/>
      <c r="P1070" s="26"/>
      <c r="Q1070" s="27"/>
      <c r="R1070" s="28"/>
      <c r="S1070" s="29"/>
      <c r="T1070" s="30"/>
    </row>
    <row r="1071" spans="1:20" ht="24" customHeight="1" x14ac:dyDescent="0.25">
      <c r="A1071" t="str">
        <f>IF('e1'!A1071&gt;0,HYPERLINK("#"&amp;ADDRESS(1071,'e1'!A1071),""),IF('r1'!A1071&gt;0,HYPERLINK("#"&amp;ADDRESS(1071,'r1'!A1071),""),""))</f>
        <v/>
      </c>
      <c r="C1071" s="13"/>
      <c r="D1071" s="14"/>
      <c r="E1071" s="15"/>
      <c r="F1071" s="16"/>
      <c r="G1071" s="17"/>
      <c r="H1071" s="18"/>
      <c r="I1071" s="19"/>
      <c r="J1071" s="20"/>
      <c r="K1071" s="21"/>
      <c r="L1071" s="22"/>
      <c r="M1071" s="23"/>
      <c r="N1071" s="24"/>
      <c r="O1071" s="25"/>
      <c r="P1071" s="26"/>
      <c r="Q1071" s="27"/>
      <c r="R1071" s="28"/>
      <c r="S1071" s="29"/>
      <c r="T1071" s="30"/>
    </row>
    <row r="1072" spans="1:20" ht="24" customHeight="1" x14ac:dyDescent="0.25">
      <c r="A1072" t="str">
        <f>IF('e1'!A1072&gt;0,HYPERLINK("#"&amp;ADDRESS(1072,'e1'!A1072),""),IF('r1'!A1072&gt;0,HYPERLINK("#"&amp;ADDRESS(1072,'r1'!A1072),""),""))</f>
        <v/>
      </c>
      <c r="C1072" s="13"/>
      <c r="D1072" s="14"/>
      <c r="E1072" s="15"/>
      <c r="F1072" s="16"/>
      <c r="G1072" s="17"/>
      <c r="H1072" s="18"/>
      <c r="I1072" s="19"/>
      <c r="J1072" s="20"/>
      <c r="K1072" s="21"/>
      <c r="L1072" s="22"/>
      <c r="M1072" s="23"/>
      <c r="N1072" s="24"/>
      <c r="O1072" s="25"/>
      <c r="P1072" s="26"/>
      <c r="Q1072" s="27"/>
      <c r="R1072" s="28"/>
      <c r="S1072" s="29"/>
      <c r="T1072" s="30"/>
    </row>
    <row r="1073" spans="1:20" ht="24" customHeight="1" x14ac:dyDescent="0.25">
      <c r="A1073" t="str">
        <f>IF('e1'!A1073&gt;0,HYPERLINK("#"&amp;ADDRESS(1073,'e1'!A1073),""),IF('r1'!A1073&gt;0,HYPERLINK("#"&amp;ADDRESS(1073,'r1'!A1073),""),""))</f>
        <v/>
      </c>
      <c r="C1073" s="13"/>
      <c r="D1073" s="14"/>
      <c r="E1073" s="15"/>
      <c r="F1073" s="16"/>
      <c r="G1073" s="17"/>
      <c r="H1073" s="18"/>
      <c r="I1073" s="19"/>
      <c r="J1073" s="20"/>
      <c r="K1073" s="21"/>
      <c r="L1073" s="22"/>
      <c r="M1073" s="23"/>
      <c r="N1073" s="24"/>
      <c r="O1073" s="25"/>
      <c r="P1073" s="26"/>
      <c r="Q1073" s="27"/>
      <c r="R1073" s="28"/>
      <c r="S1073" s="29"/>
      <c r="T1073" s="30"/>
    </row>
    <row r="1074" spans="1:20" ht="24" customHeight="1" x14ac:dyDescent="0.25">
      <c r="A1074" t="str">
        <f>IF('e1'!A1074&gt;0,HYPERLINK("#"&amp;ADDRESS(1074,'e1'!A1074),""),IF('r1'!A1074&gt;0,HYPERLINK("#"&amp;ADDRESS(1074,'r1'!A1074),""),""))</f>
        <v/>
      </c>
      <c r="C1074" s="13"/>
      <c r="D1074" s="14"/>
      <c r="E1074" s="15"/>
      <c r="F1074" s="16"/>
      <c r="G1074" s="17"/>
      <c r="H1074" s="18"/>
      <c r="I1074" s="19"/>
      <c r="J1074" s="20"/>
      <c r="K1074" s="21"/>
      <c r="L1074" s="22"/>
      <c r="M1074" s="23"/>
      <c r="N1074" s="24"/>
      <c r="O1074" s="25"/>
      <c r="P1074" s="26"/>
      <c r="Q1074" s="27"/>
      <c r="R1074" s="28"/>
      <c r="S1074" s="29"/>
      <c r="T1074" s="30"/>
    </row>
    <row r="1075" spans="1:20" ht="24" customHeight="1" x14ac:dyDescent="0.25">
      <c r="A1075" t="str">
        <f>IF('e1'!A1075&gt;0,HYPERLINK("#"&amp;ADDRESS(1075,'e1'!A1075),""),IF('r1'!A1075&gt;0,HYPERLINK("#"&amp;ADDRESS(1075,'r1'!A1075),""),""))</f>
        <v/>
      </c>
      <c r="C1075" s="13"/>
      <c r="D1075" s="14"/>
      <c r="E1075" s="15"/>
      <c r="F1075" s="16"/>
      <c r="G1075" s="17"/>
      <c r="H1075" s="18"/>
      <c r="I1075" s="19"/>
      <c r="J1075" s="20"/>
      <c r="K1075" s="21"/>
      <c r="L1075" s="22"/>
      <c r="M1075" s="23"/>
      <c r="N1075" s="24"/>
      <c r="O1075" s="25"/>
      <c r="P1075" s="26"/>
      <c r="Q1075" s="27"/>
      <c r="R1075" s="28"/>
      <c r="S1075" s="29"/>
      <c r="T1075" s="30"/>
    </row>
    <row r="1076" spans="1:20" ht="24" customHeight="1" x14ac:dyDescent="0.25">
      <c r="A1076" t="str">
        <f>IF('e1'!A1076&gt;0,HYPERLINK("#"&amp;ADDRESS(1076,'e1'!A1076),""),IF('r1'!A1076&gt;0,HYPERLINK("#"&amp;ADDRESS(1076,'r1'!A1076),""),""))</f>
        <v/>
      </c>
      <c r="C1076" s="13"/>
      <c r="D1076" s="14"/>
      <c r="E1076" s="15"/>
      <c r="F1076" s="16"/>
      <c r="G1076" s="17"/>
      <c r="H1076" s="18"/>
      <c r="I1076" s="19"/>
      <c r="J1076" s="20"/>
      <c r="K1076" s="21"/>
      <c r="L1076" s="22"/>
      <c r="M1076" s="23"/>
      <c r="N1076" s="24"/>
      <c r="O1076" s="25"/>
      <c r="P1076" s="26"/>
      <c r="Q1076" s="27"/>
      <c r="R1076" s="28"/>
      <c r="S1076" s="29"/>
      <c r="T1076" s="30"/>
    </row>
    <row r="1077" spans="1:20" ht="24" customHeight="1" x14ac:dyDescent="0.25">
      <c r="A1077" t="str">
        <f>IF('e1'!A1077&gt;0,HYPERLINK("#"&amp;ADDRESS(1077,'e1'!A1077),""),IF('r1'!A1077&gt;0,HYPERLINK("#"&amp;ADDRESS(1077,'r1'!A1077),""),""))</f>
        <v/>
      </c>
      <c r="C1077" s="13"/>
      <c r="D1077" s="14"/>
      <c r="E1077" s="15"/>
      <c r="F1077" s="16"/>
      <c r="G1077" s="17"/>
      <c r="H1077" s="18"/>
      <c r="I1077" s="19"/>
      <c r="J1077" s="20"/>
      <c r="K1077" s="21"/>
      <c r="L1077" s="22"/>
      <c r="M1077" s="23"/>
      <c r="N1077" s="24"/>
      <c r="O1077" s="25"/>
      <c r="P1077" s="26"/>
      <c r="Q1077" s="27"/>
      <c r="R1077" s="28"/>
      <c r="S1077" s="29"/>
      <c r="T1077" s="30"/>
    </row>
    <row r="1078" spans="1:20" ht="24" customHeight="1" x14ac:dyDescent="0.25">
      <c r="A1078" t="str">
        <f>IF('e1'!A1078&gt;0,HYPERLINK("#"&amp;ADDRESS(1078,'e1'!A1078),""),IF('r1'!A1078&gt;0,HYPERLINK("#"&amp;ADDRESS(1078,'r1'!A1078),""),""))</f>
        <v/>
      </c>
      <c r="C1078" s="13"/>
      <c r="D1078" s="14"/>
      <c r="E1078" s="15"/>
      <c r="F1078" s="16"/>
      <c r="G1078" s="17"/>
      <c r="H1078" s="18"/>
      <c r="I1078" s="19"/>
      <c r="J1078" s="20"/>
      <c r="K1078" s="21"/>
      <c r="L1078" s="22"/>
      <c r="M1078" s="23"/>
      <c r="N1078" s="24"/>
      <c r="O1078" s="25"/>
      <c r="P1078" s="26"/>
      <c r="Q1078" s="27"/>
      <c r="R1078" s="28"/>
      <c r="S1078" s="29"/>
      <c r="T1078" s="30"/>
    </row>
    <row r="1079" spans="1:20" ht="24" customHeight="1" x14ac:dyDescent="0.25">
      <c r="A1079" t="str">
        <f>IF('e1'!A1079&gt;0,HYPERLINK("#"&amp;ADDRESS(1079,'e1'!A1079),""),IF('r1'!A1079&gt;0,HYPERLINK("#"&amp;ADDRESS(1079,'r1'!A1079),""),""))</f>
        <v/>
      </c>
      <c r="C1079" s="13"/>
      <c r="D1079" s="14"/>
      <c r="E1079" s="15"/>
      <c r="F1079" s="16"/>
      <c r="G1079" s="17"/>
      <c r="H1079" s="18"/>
      <c r="I1079" s="19"/>
      <c r="J1079" s="20"/>
      <c r="K1079" s="21"/>
      <c r="L1079" s="22"/>
      <c r="M1079" s="23"/>
      <c r="N1079" s="24"/>
      <c r="O1079" s="25"/>
      <c r="P1079" s="26"/>
      <c r="Q1079" s="27"/>
      <c r="R1079" s="28"/>
      <c r="S1079" s="29"/>
      <c r="T1079" s="30"/>
    </row>
    <row r="1080" spans="1:20" ht="24" customHeight="1" x14ac:dyDescent="0.25">
      <c r="A1080" t="str">
        <f>IF('e1'!A1080&gt;0,HYPERLINK("#"&amp;ADDRESS(1080,'e1'!A1080),""),IF('r1'!A1080&gt;0,HYPERLINK("#"&amp;ADDRESS(1080,'r1'!A1080),""),""))</f>
        <v/>
      </c>
      <c r="C1080" s="13"/>
      <c r="D1080" s="14"/>
      <c r="E1080" s="15"/>
      <c r="F1080" s="16"/>
      <c r="G1080" s="17"/>
      <c r="H1080" s="18"/>
      <c r="I1080" s="19"/>
      <c r="J1080" s="20"/>
      <c r="K1080" s="21"/>
      <c r="L1080" s="22"/>
      <c r="M1080" s="23"/>
      <c r="N1080" s="24"/>
      <c r="O1080" s="25"/>
      <c r="P1080" s="26"/>
      <c r="Q1080" s="27"/>
      <c r="R1080" s="28"/>
      <c r="S1080" s="29"/>
      <c r="T1080" s="30"/>
    </row>
    <row r="1081" spans="1:20" ht="24" customHeight="1" x14ac:dyDescent="0.25">
      <c r="A1081" t="str">
        <f>IF('e1'!A1081&gt;0,HYPERLINK("#"&amp;ADDRESS(1081,'e1'!A1081),""),IF('r1'!A1081&gt;0,HYPERLINK("#"&amp;ADDRESS(1081,'r1'!A1081),""),""))</f>
        <v/>
      </c>
      <c r="C1081" s="13"/>
      <c r="D1081" s="14"/>
      <c r="E1081" s="15"/>
      <c r="F1081" s="16"/>
      <c r="G1081" s="17"/>
      <c r="H1081" s="18"/>
      <c r="I1081" s="19"/>
      <c r="J1081" s="20"/>
      <c r="K1081" s="21"/>
      <c r="L1081" s="22"/>
      <c r="M1081" s="23"/>
      <c r="N1081" s="24"/>
      <c r="O1081" s="25"/>
      <c r="P1081" s="26"/>
      <c r="Q1081" s="27"/>
      <c r="R1081" s="28"/>
      <c r="S1081" s="29"/>
      <c r="T1081" s="30"/>
    </row>
    <row r="1082" spans="1:20" ht="24" customHeight="1" x14ac:dyDescent="0.25">
      <c r="A1082" t="str">
        <f>IF('e1'!A1082&gt;0,HYPERLINK("#"&amp;ADDRESS(1082,'e1'!A1082),""),IF('r1'!A1082&gt;0,HYPERLINK("#"&amp;ADDRESS(1082,'r1'!A1082),""),""))</f>
        <v/>
      </c>
      <c r="C1082" s="13"/>
      <c r="D1082" s="14"/>
      <c r="E1082" s="15"/>
      <c r="F1082" s="16"/>
      <c r="G1082" s="17"/>
      <c r="H1082" s="18"/>
      <c r="I1082" s="19"/>
      <c r="J1082" s="20"/>
      <c r="K1082" s="21"/>
      <c r="L1082" s="22"/>
      <c r="M1082" s="23"/>
      <c r="N1082" s="24"/>
      <c r="O1082" s="25"/>
      <c r="P1082" s="26"/>
      <c r="Q1082" s="27"/>
      <c r="R1082" s="28"/>
      <c r="S1082" s="29"/>
      <c r="T1082" s="30"/>
    </row>
    <row r="1083" spans="1:20" ht="24" customHeight="1" x14ac:dyDescent="0.25">
      <c r="A1083" t="str">
        <f>IF('e1'!A1083&gt;0,HYPERLINK("#"&amp;ADDRESS(1083,'e1'!A1083),""),IF('r1'!A1083&gt;0,HYPERLINK("#"&amp;ADDRESS(1083,'r1'!A1083),""),""))</f>
        <v/>
      </c>
      <c r="C1083" s="13"/>
      <c r="D1083" s="14"/>
      <c r="E1083" s="15"/>
      <c r="F1083" s="16"/>
      <c r="G1083" s="17"/>
      <c r="H1083" s="18"/>
      <c r="I1083" s="19"/>
      <c r="J1083" s="20"/>
      <c r="K1083" s="21"/>
      <c r="L1083" s="22"/>
      <c r="M1083" s="23"/>
      <c r="N1083" s="24"/>
      <c r="O1083" s="25"/>
      <c r="P1083" s="26"/>
      <c r="Q1083" s="27"/>
      <c r="R1083" s="28"/>
      <c r="S1083" s="29"/>
      <c r="T1083" s="30"/>
    </row>
    <row r="1084" spans="1:20" ht="24" customHeight="1" x14ac:dyDescent="0.25">
      <c r="A1084" t="str">
        <f>IF('e1'!A1084&gt;0,HYPERLINK("#"&amp;ADDRESS(1084,'e1'!A1084),""),IF('r1'!A1084&gt;0,HYPERLINK("#"&amp;ADDRESS(1084,'r1'!A1084),""),""))</f>
        <v/>
      </c>
      <c r="C1084" s="13"/>
      <c r="D1084" s="14"/>
      <c r="E1084" s="15"/>
      <c r="F1084" s="16"/>
      <c r="G1084" s="17"/>
      <c r="H1084" s="18"/>
      <c r="I1084" s="19"/>
      <c r="J1084" s="20"/>
      <c r="K1084" s="21"/>
      <c r="L1084" s="22"/>
      <c r="M1084" s="23"/>
      <c r="N1084" s="24"/>
      <c r="O1084" s="25"/>
      <c r="P1084" s="26"/>
      <c r="Q1084" s="27"/>
      <c r="R1084" s="28"/>
      <c r="S1084" s="29"/>
      <c r="T1084" s="30"/>
    </row>
    <row r="1085" spans="1:20" ht="24" customHeight="1" x14ac:dyDescent="0.25">
      <c r="A1085" t="str">
        <f>IF('e1'!A1085&gt;0,HYPERLINK("#"&amp;ADDRESS(1085,'e1'!A1085),""),IF('r1'!A1085&gt;0,HYPERLINK("#"&amp;ADDRESS(1085,'r1'!A1085),""),""))</f>
        <v/>
      </c>
      <c r="C1085" s="13"/>
      <c r="D1085" s="14"/>
      <c r="E1085" s="15"/>
      <c r="F1085" s="16"/>
      <c r="G1085" s="17"/>
      <c r="H1085" s="18"/>
      <c r="I1085" s="19"/>
      <c r="J1085" s="20"/>
      <c r="K1085" s="21"/>
      <c r="L1085" s="22"/>
      <c r="M1085" s="23"/>
      <c r="N1085" s="24"/>
      <c r="O1085" s="25"/>
      <c r="P1085" s="26"/>
      <c r="Q1085" s="27"/>
      <c r="R1085" s="28"/>
      <c r="S1085" s="29"/>
      <c r="T1085" s="30"/>
    </row>
    <row r="1086" spans="1:20" ht="24" customHeight="1" x14ac:dyDescent="0.25">
      <c r="A1086" t="str">
        <f>IF('e1'!A1086&gt;0,HYPERLINK("#"&amp;ADDRESS(1086,'e1'!A1086),""),IF('r1'!A1086&gt;0,HYPERLINK("#"&amp;ADDRESS(1086,'r1'!A1086),""),""))</f>
        <v/>
      </c>
      <c r="C1086" s="13"/>
      <c r="D1086" s="14"/>
      <c r="E1086" s="15"/>
      <c r="F1086" s="16"/>
      <c r="G1086" s="17"/>
      <c r="H1086" s="18"/>
      <c r="I1086" s="19"/>
      <c r="J1086" s="20"/>
      <c r="K1086" s="21"/>
      <c r="L1086" s="22"/>
      <c r="M1086" s="23"/>
      <c r="N1086" s="24"/>
      <c r="O1086" s="25"/>
      <c r="P1086" s="26"/>
      <c r="Q1086" s="27"/>
      <c r="R1086" s="28"/>
      <c r="S1086" s="29"/>
      <c r="T1086" s="30"/>
    </row>
    <row r="1087" spans="1:20" ht="24" customHeight="1" x14ac:dyDescent="0.25">
      <c r="A1087" t="str">
        <f>IF('e1'!A1087&gt;0,HYPERLINK("#"&amp;ADDRESS(1087,'e1'!A1087),""),IF('r1'!A1087&gt;0,HYPERLINK("#"&amp;ADDRESS(1087,'r1'!A1087),""),""))</f>
        <v/>
      </c>
      <c r="C1087" s="13"/>
      <c r="D1087" s="14"/>
      <c r="E1087" s="15"/>
      <c r="F1087" s="16"/>
      <c r="G1087" s="17"/>
      <c r="H1087" s="18"/>
      <c r="I1087" s="19"/>
      <c r="J1087" s="20"/>
      <c r="K1087" s="21"/>
      <c r="L1087" s="22"/>
      <c r="M1087" s="23"/>
      <c r="N1087" s="24"/>
      <c r="O1087" s="25"/>
      <c r="P1087" s="26"/>
      <c r="Q1087" s="27"/>
      <c r="R1087" s="28"/>
      <c r="S1087" s="29"/>
      <c r="T1087" s="30"/>
    </row>
    <row r="1088" spans="1:20" ht="24" customHeight="1" x14ac:dyDescent="0.25">
      <c r="A1088" t="str">
        <f>IF('e1'!A1088&gt;0,HYPERLINK("#"&amp;ADDRESS(1088,'e1'!A1088),""),IF('r1'!A1088&gt;0,HYPERLINK("#"&amp;ADDRESS(1088,'r1'!A1088),""),""))</f>
        <v/>
      </c>
      <c r="C1088" s="13"/>
      <c r="D1088" s="14"/>
      <c r="E1088" s="15"/>
      <c r="F1088" s="16"/>
      <c r="G1088" s="17"/>
      <c r="H1088" s="18"/>
      <c r="I1088" s="19"/>
      <c r="J1088" s="20"/>
      <c r="K1088" s="21"/>
      <c r="L1088" s="22"/>
      <c r="M1088" s="23"/>
      <c r="N1088" s="24"/>
      <c r="O1088" s="25"/>
      <c r="P1088" s="26"/>
      <c r="Q1088" s="27"/>
      <c r="R1088" s="28"/>
      <c r="S1088" s="29"/>
      <c r="T1088" s="30"/>
    </row>
    <row r="1089" spans="1:20" ht="24" customHeight="1" x14ac:dyDescent="0.25">
      <c r="A1089" t="str">
        <f>IF('e1'!A1089&gt;0,HYPERLINK("#"&amp;ADDRESS(1089,'e1'!A1089),""),IF('r1'!A1089&gt;0,HYPERLINK("#"&amp;ADDRESS(1089,'r1'!A1089),""),""))</f>
        <v/>
      </c>
      <c r="C1089" s="13"/>
      <c r="D1089" s="14"/>
      <c r="E1089" s="15"/>
      <c r="F1089" s="16"/>
      <c r="G1089" s="17"/>
      <c r="H1089" s="18"/>
      <c r="I1089" s="19"/>
      <c r="J1089" s="20"/>
      <c r="K1089" s="21"/>
      <c r="L1089" s="22"/>
      <c r="M1089" s="23"/>
      <c r="N1089" s="24"/>
      <c r="O1089" s="25"/>
      <c r="P1089" s="26"/>
      <c r="Q1089" s="27"/>
      <c r="R1089" s="28"/>
      <c r="S1089" s="29"/>
      <c r="T1089" s="30"/>
    </row>
    <row r="1090" spans="1:20" ht="24" customHeight="1" x14ac:dyDescent="0.25">
      <c r="A1090" t="str">
        <f>IF('e1'!A1090&gt;0,HYPERLINK("#"&amp;ADDRESS(1090,'e1'!A1090),""),IF('r1'!A1090&gt;0,HYPERLINK("#"&amp;ADDRESS(1090,'r1'!A1090),""),""))</f>
        <v/>
      </c>
      <c r="C1090" s="13"/>
      <c r="D1090" s="14"/>
      <c r="E1090" s="15"/>
      <c r="F1090" s="16"/>
      <c r="G1090" s="17"/>
      <c r="H1090" s="18"/>
      <c r="I1090" s="19"/>
      <c r="J1090" s="20"/>
      <c r="K1090" s="21"/>
      <c r="L1090" s="22"/>
      <c r="M1090" s="23"/>
      <c r="N1090" s="24"/>
      <c r="O1090" s="25"/>
      <c r="P1090" s="26"/>
      <c r="Q1090" s="27"/>
      <c r="R1090" s="28"/>
      <c r="S1090" s="29"/>
      <c r="T1090" s="30"/>
    </row>
    <row r="1091" spans="1:20" ht="24" customHeight="1" x14ac:dyDescent="0.25">
      <c r="A1091" t="str">
        <f>IF('e1'!A1091&gt;0,HYPERLINK("#"&amp;ADDRESS(1091,'e1'!A1091),""),IF('r1'!A1091&gt;0,HYPERLINK("#"&amp;ADDRESS(1091,'r1'!A1091),""),""))</f>
        <v/>
      </c>
      <c r="C1091" s="13"/>
      <c r="D1091" s="14"/>
      <c r="E1091" s="15"/>
      <c r="F1091" s="16"/>
      <c r="G1091" s="17"/>
      <c r="H1091" s="18"/>
      <c r="I1091" s="19"/>
      <c r="J1091" s="20"/>
      <c r="K1091" s="21"/>
      <c r="L1091" s="22"/>
      <c r="M1091" s="23"/>
      <c r="N1091" s="24"/>
      <c r="O1091" s="25"/>
      <c r="P1091" s="26"/>
      <c r="Q1091" s="27"/>
      <c r="R1091" s="28"/>
      <c r="S1091" s="29"/>
      <c r="T1091" s="30"/>
    </row>
    <row r="1092" spans="1:20" ht="24" customHeight="1" x14ac:dyDescent="0.25">
      <c r="A1092" t="str">
        <f>IF('e1'!A1092&gt;0,HYPERLINK("#"&amp;ADDRESS(1092,'e1'!A1092),""),IF('r1'!A1092&gt;0,HYPERLINK("#"&amp;ADDRESS(1092,'r1'!A1092),""),""))</f>
        <v/>
      </c>
      <c r="C1092" s="13"/>
      <c r="D1092" s="14"/>
      <c r="E1092" s="15"/>
      <c r="F1092" s="16"/>
      <c r="G1092" s="17"/>
      <c r="H1092" s="18"/>
      <c r="I1092" s="19"/>
      <c r="J1092" s="20"/>
      <c r="K1092" s="21"/>
      <c r="L1092" s="22"/>
      <c r="M1092" s="23"/>
      <c r="N1092" s="24"/>
      <c r="O1092" s="25"/>
      <c r="P1092" s="26"/>
      <c r="Q1092" s="27"/>
      <c r="R1092" s="28"/>
      <c r="S1092" s="29"/>
      <c r="T1092" s="30"/>
    </row>
    <row r="1093" spans="1:20" ht="24" customHeight="1" x14ac:dyDescent="0.25">
      <c r="A1093" t="str">
        <f>IF('e1'!A1093&gt;0,HYPERLINK("#"&amp;ADDRESS(1093,'e1'!A1093),""),IF('r1'!A1093&gt;0,HYPERLINK("#"&amp;ADDRESS(1093,'r1'!A1093),""),""))</f>
        <v/>
      </c>
      <c r="C1093" s="13"/>
      <c r="D1093" s="14"/>
      <c r="E1093" s="15"/>
      <c r="F1093" s="16"/>
      <c r="G1093" s="17"/>
      <c r="H1093" s="18"/>
      <c r="I1093" s="19"/>
      <c r="J1093" s="20"/>
      <c r="K1093" s="21"/>
      <c r="L1093" s="22"/>
      <c r="M1093" s="23"/>
      <c r="N1093" s="24"/>
      <c r="O1093" s="25"/>
      <c r="P1093" s="26"/>
      <c r="Q1093" s="27"/>
      <c r="R1093" s="28"/>
      <c r="S1093" s="29"/>
      <c r="T1093" s="30"/>
    </row>
    <row r="1094" spans="1:20" ht="24" customHeight="1" x14ac:dyDescent="0.25">
      <c r="A1094" t="str">
        <f>IF('e1'!A1094&gt;0,HYPERLINK("#"&amp;ADDRESS(1094,'e1'!A1094),""),IF('r1'!A1094&gt;0,HYPERLINK("#"&amp;ADDRESS(1094,'r1'!A1094),""),""))</f>
        <v/>
      </c>
      <c r="C1094" s="13"/>
      <c r="D1094" s="14"/>
      <c r="E1094" s="15"/>
      <c r="F1094" s="16"/>
      <c r="G1094" s="17"/>
      <c r="H1094" s="18"/>
      <c r="I1094" s="19"/>
      <c r="J1094" s="20"/>
      <c r="K1094" s="21"/>
      <c r="L1094" s="22"/>
      <c r="M1094" s="23"/>
      <c r="N1094" s="24"/>
      <c r="O1094" s="25"/>
      <c r="P1094" s="26"/>
      <c r="Q1094" s="27"/>
      <c r="R1094" s="28"/>
      <c r="S1094" s="29"/>
      <c r="T1094" s="30"/>
    </row>
    <row r="1095" spans="1:20" ht="24" customHeight="1" x14ac:dyDescent="0.25">
      <c r="A1095" t="str">
        <f>IF('e1'!A1095&gt;0,HYPERLINK("#"&amp;ADDRESS(1095,'e1'!A1095),""),IF('r1'!A1095&gt;0,HYPERLINK("#"&amp;ADDRESS(1095,'r1'!A1095),""),""))</f>
        <v/>
      </c>
      <c r="C1095" s="13"/>
      <c r="D1095" s="14"/>
      <c r="E1095" s="15"/>
      <c r="F1095" s="16"/>
      <c r="G1095" s="17"/>
      <c r="H1095" s="18"/>
      <c r="I1095" s="19"/>
      <c r="J1095" s="20"/>
      <c r="K1095" s="21"/>
      <c r="L1095" s="22"/>
      <c r="M1095" s="23"/>
      <c r="N1095" s="24"/>
      <c r="O1095" s="25"/>
      <c r="P1095" s="26"/>
      <c r="Q1095" s="27"/>
      <c r="R1095" s="28"/>
      <c r="S1095" s="29"/>
      <c r="T1095" s="30"/>
    </row>
    <row r="1096" spans="1:20" ht="24" customHeight="1" x14ac:dyDescent="0.25">
      <c r="A1096" t="str">
        <f>IF('e1'!A1096&gt;0,HYPERLINK("#"&amp;ADDRESS(1096,'e1'!A1096),""),IF('r1'!A1096&gt;0,HYPERLINK("#"&amp;ADDRESS(1096,'r1'!A1096),""),""))</f>
        <v/>
      </c>
      <c r="C1096" s="13"/>
      <c r="D1096" s="14"/>
      <c r="E1096" s="15"/>
      <c r="F1096" s="16"/>
      <c r="G1096" s="17"/>
      <c r="H1096" s="18"/>
      <c r="I1096" s="19"/>
      <c r="J1096" s="20"/>
      <c r="K1096" s="21"/>
      <c r="L1096" s="22"/>
      <c r="M1096" s="23"/>
      <c r="N1096" s="24"/>
      <c r="O1096" s="25"/>
      <c r="P1096" s="26"/>
      <c r="Q1096" s="27"/>
      <c r="R1096" s="28"/>
      <c r="S1096" s="29"/>
      <c r="T1096" s="30"/>
    </row>
    <row r="1097" spans="1:20" ht="24" customHeight="1" x14ac:dyDescent="0.25">
      <c r="A1097" t="str">
        <f>IF('e1'!A1097&gt;0,HYPERLINK("#"&amp;ADDRESS(1097,'e1'!A1097),""),IF('r1'!A1097&gt;0,HYPERLINK("#"&amp;ADDRESS(1097,'r1'!A1097),""),""))</f>
        <v/>
      </c>
      <c r="C1097" s="13"/>
      <c r="D1097" s="14"/>
      <c r="E1097" s="15"/>
      <c r="F1097" s="16"/>
      <c r="G1097" s="17"/>
      <c r="H1097" s="18"/>
      <c r="I1097" s="19"/>
      <c r="J1097" s="20"/>
      <c r="K1097" s="21"/>
      <c r="L1097" s="22"/>
      <c r="M1097" s="23"/>
      <c r="N1097" s="24"/>
      <c r="O1097" s="25"/>
      <c r="P1097" s="26"/>
      <c r="Q1097" s="27"/>
      <c r="R1097" s="28"/>
      <c r="S1097" s="29"/>
      <c r="T1097" s="30"/>
    </row>
    <row r="1098" spans="1:20" ht="24" customHeight="1" x14ac:dyDescent="0.25">
      <c r="A1098" t="str">
        <f>IF('e1'!A1098&gt;0,HYPERLINK("#"&amp;ADDRESS(1098,'e1'!A1098),""),IF('r1'!A1098&gt;0,HYPERLINK("#"&amp;ADDRESS(1098,'r1'!A1098),""),""))</f>
        <v/>
      </c>
      <c r="C1098" s="13"/>
      <c r="D1098" s="14"/>
      <c r="E1098" s="15"/>
      <c r="F1098" s="16"/>
      <c r="G1098" s="17"/>
      <c r="H1098" s="18"/>
      <c r="I1098" s="19"/>
      <c r="J1098" s="20"/>
      <c r="K1098" s="21"/>
      <c r="L1098" s="22"/>
      <c r="M1098" s="23"/>
      <c r="N1098" s="24"/>
      <c r="O1098" s="25"/>
      <c r="P1098" s="26"/>
      <c r="Q1098" s="27"/>
      <c r="R1098" s="28"/>
      <c r="S1098" s="29"/>
      <c r="T1098" s="30"/>
    </row>
    <row r="1099" spans="1:20" ht="24" customHeight="1" x14ac:dyDescent="0.25">
      <c r="A1099" t="str">
        <f>IF('e1'!A1099&gt;0,HYPERLINK("#"&amp;ADDRESS(1099,'e1'!A1099),""),IF('r1'!A1099&gt;0,HYPERLINK("#"&amp;ADDRESS(1099,'r1'!A1099),""),""))</f>
        <v/>
      </c>
      <c r="C1099" s="13"/>
      <c r="D1099" s="14"/>
      <c r="E1099" s="15"/>
      <c r="F1099" s="16"/>
      <c r="G1099" s="17"/>
      <c r="H1099" s="18"/>
      <c r="I1099" s="19"/>
      <c r="J1099" s="20"/>
      <c r="K1099" s="21"/>
      <c r="L1099" s="22"/>
      <c r="M1099" s="23"/>
      <c r="N1099" s="24"/>
      <c r="O1099" s="25"/>
      <c r="P1099" s="26"/>
      <c r="Q1099" s="27"/>
      <c r="R1099" s="28"/>
      <c r="S1099" s="29"/>
      <c r="T1099" s="30"/>
    </row>
    <row r="1100" spans="1:20" ht="24" customHeight="1" x14ac:dyDescent="0.25">
      <c r="A1100" t="str">
        <f>IF('e1'!A1100&gt;0,HYPERLINK("#"&amp;ADDRESS(1100,'e1'!A1100),""),IF('r1'!A1100&gt;0,HYPERLINK("#"&amp;ADDRESS(1100,'r1'!A1100),""),""))</f>
        <v/>
      </c>
      <c r="C1100" s="13"/>
      <c r="D1100" s="14"/>
      <c r="E1100" s="15"/>
      <c r="F1100" s="16"/>
      <c r="G1100" s="17"/>
      <c r="H1100" s="18"/>
      <c r="I1100" s="19"/>
      <c r="J1100" s="20"/>
      <c r="K1100" s="21"/>
      <c r="L1100" s="22"/>
      <c r="M1100" s="23"/>
      <c r="N1100" s="24"/>
      <c r="O1100" s="25"/>
      <c r="P1100" s="26"/>
      <c r="Q1100" s="27"/>
      <c r="R1100" s="28"/>
      <c r="S1100" s="29"/>
      <c r="T1100" s="30"/>
    </row>
    <row r="1101" spans="1:20" ht="24" customHeight="1" x14ac:dyDescent="0.25">
      <c r="A1101" t="str">
        <f>IF('e1'!A1101&gt;0,HYPERLINK("#"&amp;ADDRESS(1101,'e1'!A1101),""),IF('r1'!A1101&gt;0,HYPERLINK("#"&amp;ADDRESS(1101,'r1'!A1101),""),""))</f>
        <v/>
      </c>
      <c r="C1101" s="13"/>
      <c r="D1101" s="14"/>
      <c r="E1101" s="15"/>
      <c r="F1101" s="16"/>
      <c r="G1101" s="17"/>
      <c r="H1101" s="18"/>
      <c r="I1101" s="19"/>
      <c r="J1101" s="20"/>
      <c r="K1101" s="21"/>
      <c r="L1101" s="22"/>
      <c r="M1101" s="23"/>
      <c r="N1101" s="24"/>
      <c r="O1101" s="25"/>
      <c r="P1101" s="26"/>
      <c r="Q1101" s="27"/>
      <c r="R1101" s="28"/>
      <c r="S1101" s="29"/>
      <c r="T1101" s="30"/>
    </row>
    <row r="1102" spans="1:20" ht="24" customHeight="1" x14ac:dyDescent="0.25">
      <c r="A1102" t="str">
        <f>IF('e1'!A1102&gt;0,HYPERLINK("#"&amp;ADDRESS(1102,'e1'!A1102),""),IF('r1'!A1102&gt;0,HYPERLINK("#"&amp;ADDRESS(1102,'r1'!A1102),""),""))</f>
        <v/>
      </c>
      <c r="C1102" s="13"/>
      <c r="D1102" s="14"/>
      <c r="E1102" s="15"/>
      <c r="F1102" s="16"/>
      <c r="G1102" s="17"/>
      <c r="H1102" s="18"/>
      <c r="I1102" s="19"/>
      <c r="J1102" s="20"/>
      <c r="K1102" s="21"/>
      <c r="L1102" s="22"/>
      <c r="M1102" s="23"/>
      <c r="N1102" s="24"/>
      <c r="O1102" s="25"/>
      <c r="P1102" s="26"/>
      <c r="Q1102" s="27"/>
      <c r="R1102" s="28"/>
      <c r="S1102" s="29"/>
      <c r="T1102" s="30"/>
    </row>
    <row r="1103" spans="1:20" ht="24" customHeight="1" x14ac:dyDescent="0.25">
      <c r="A1103" t="str">
        <f>IF('e1'!A1103&gt;0,HYPERLINK("#"&amp;ADDRESS(1103,'e1'!A1103),""),IF('r1'!A1103&gt;0,HYPERLINK("#"&amp;ADDRESS(1103,'r1'!A1103),""),""))</f>
        <v/>
      </c>
      <c r="C1103" s="13"/>
      <c r="D1103" s="14"/>
      <c r="E1103" s="15"/>
      <c r="F1103" s="16"/>
      <c r="G1103" s="17"/>
      <c r="H1103" s="18"/>
      <c r="I1103" s="19"/>
      <c r="J1103" s="20"/>
      <c r="K1103" s="21"/>
      <c r="L1103" s="22"/>
      <c r="M1103" s="23"/>
      <c r="N1103" s="24"/>
      <c r="O1103" s="25"/>
      <c r="P1103" s="26"/>
      <c r="Q1103" s="27"/>
      <c r="R1103" s="28"/>
      <c r="S1103" s="29"/>
      <c r="T1103" s="30"/>
    </row>
    <row r="1104" spans="1:20" ht="24" customHeight="1" x14ac:dyDescent="0.25">
      <c r="A1104" t="str">
        <f>IF('e1'!A1104&gt;0,HYPERLINK("#"&amp;ADDRESS(1104,'e1'!A1104),""),IF('r1'!A1104&gt;0,HYPERLINK("#"&amp;ADDRESS(1104,'r1'!A1104),""),""))</f>
        <v/>
      </c>
      <c r="C1104" s="13"/>
      <c r="D1104" s="14"/>
      <c r="E1104" s="15"/>
      <c r="F1104" s="16"/>
      <c r="G1104" s="17"/>
      <c r="H1104" s="18"/>
      <c r="I1104" s="19"/>
      <c r="J1104" s="20"/>
      <c r="K1104" s="21"/>
      <c r="L1104" s="22"/>
      <c r="M1104" s="23"/>
      <c r="N1104" s="24"/>
      <c r="O1104" s="25"/>
      <c r="P1104" s="26"/>
      <c r="Q1104" s="27"/>
      <c r="R1104" s="28"/>
      <c r="S1104" s="29"/>
      <c r="T1104" s="30"/>
    </row>
    <row r="1105" spans="1:20" ht="24" customHeight="1" x14ac:dyDescent="0.25">
      <c r="A1105" t="str">
        <f>IF('e1'!A1105&gt;0,HYPERLINK("#"&amp;ADDRESS(1105,'e1'!A1105),""),IF('r1'!A1105&gt;0,HYPERLINK("#"&amp;ADDRESS(1105,'r1'!A1105),""),""))</f>
        <v/>
      </c>
      <c r="C1105" s="13"/>
      <c r="D1105" s="14"/>
      <c r="E1105" s="15"/>
      <c r="F1105" s="16"/>
      <c r="G1105" s="17"/>
      <c r="H1105" s="18"/>
      <c r="I1105" s="19"/>
      <c r="J1105" s="20"/>
      <c r="K1105" s="21"/>
      <c r="L1105" s="22"/>
      <c r="M1105" s="23"/>
      <c r="N1105" s="24"/>
      <c r="O1105" s="25"/>
      <c r="P1105" s="26"/>
      <c r="Q1105" s="27"/>
      <c r="R1105" s="28"/>
      <c r="S1105" s="29"/>
      <c r="T1105" s="30"/>
    </row>
    <row r="1106" spans="1:20" ht="24" customHeight="1" x14ac:dyDescent="0.25">
      <c r="A1106" t="str">
        <f>IF('e1'!A1106&gt;0,HYPERLINK("#"&amp;ADDRESS(1106,'e1'!A1106),""),IF('r1'!A1106&gt;0,HYPERLINK("#"&amp;ADDRESS(1106,'r1'!A1106),""),""))</f>
        <v/>
      </c>
      <c r="C1106" s="13"/>
      <c r="D1106" s="14"/>
      <c r="E1106" s="15"/>
      <c r="F1106" s="16"/>
      <c r="G1106" s="17"/>
      <c r="H1106" s="18"/>
      <c r="I1106" s="19"/>
      <c r="J1106" s="20"/>
      <c r="K1106" s="21"/>
      <c r="L1106" s="22"/>
      <c r="M1106" s="23"/>
      <c r="N1106" s="24"/>
      <c r="O1106" s="25"/>
      <c r="P1106" s="26"/>
      <c r="Q1106" s="27"/>
      <c r="R1106" s="28"/>
      <c r="S1106" s="29"/>
      <c r="T1106" s="30"/>
    </row>
    <row r="1107" spans="1:20" ht="24" customHeight="1" x14ac:dyDescent="0.25">
      <c r="A1107" t="str">
        <f>IF('e1'!A1107&gt;0,HYPERLINK("#"&amp;ADDRESS(1107,'e1'!A1107),""),IF('r1'!A1107&gt;0,HYPERLINK("#"&amp;ADDRESS(1107,'r1'!A1107),""),""))</f>
        <v/>
      </c>
      <c r="C1107" s="13"/>
      <c r="D1107" s="14"/>
      <c r="E1107" s="15"/>
      <c r="F1107" s="16"/>
      <c r="G1107" s="17"/>
      <c r="H1107" s="18"/>
      <c r="I1107" s="19"/>
      <c r="J1107" s="20"/>
      <c r="K1107" s="21"/>
      <c r="L1107" s="22"/>
      <c r="M1107" s="23"/>
      <c r="N1107" s="24"/>
      <c r="O1107" s="25"/>
      <c r="P1107" s="26"/>
      <c r="Q1107" s="27"/>
      <c r="R1107" s="28"/>
      <c r="S1107" s="29"/>
      <c r="T1107" s="30"/>
    </row>
    <row r="1108" spans="1:20" ht="24" customHeight="1" x14ac:dyDescent="0.25">
      <c r="A1108" t="str">
        <f>IF('e1'!A1108&gt;0,HYPERLINK("#"&amp;ADDRESS(1108,'e1'!A1108),""),IF('r1'!A1108&gt;0,HYPERLINK("#"&amp;ADDRESS(1108,'r1'!A1108),""),""))</f>
        <v/>
      </c>
      <c r="C1108" s="13"/>
      <c r="D1108" s="14"/>
      <c r="E1108" s="15"/>
      <c r="F1108" s="16"/>
      <c r="G1108" s="17"/>
      <c r="H1108" s="18"/>
      <c r="I1108" s="19"/>
      <c r="J1108" s="20"/>
      <c r="K1108" s="21"/>
      <c r="L1108" s="22"/>
      <c r="M1108" s="23"/>
      <c r="N1108" s="24"/>
      <c r="O1108" s="25"/>
      <c r="P1108" s="26"/>
      <c r="Q1108" s="27"/>
      <c r="R1108" s="28"/>
      <c r="S1108" s="29"/>
      <c r="T1108" s="30"/>
    </row>
    <row r="1109" spans="1:20" ht="24" customHeight="1" x14ac:dyDescent="0.25">
      <c r="A1109" t="str">
        <f>IF('e1'!A1109&gt;0,HYPERLINK("#"&amp;ADDRESS(1109,'e1'!A1109),""),IF('r1'!A1109&gt;0,HYPERLINK("#"&amp;ADDRESS(1109,'r1'!A1109),""),""))</f>
        <v/>
      </c>
      <c r="C1109" s="13"/>
      <c r="D1109" s="14"/>
      <c r="E1109" s="15"/>
      <c r="F1109" s="16"/>
      <c r="G1109" s="17"/>
      <c r="H1109" s="18"/>
      <c r="I1109" s="19"/>
      <c r="J1109" s="20"/>
      <c r="K1109" s="21"/>
      <c r="L1109" s="22"/>
      <c r="M1109" s="23"/>
      <c r="N1109" s="24"/>
      <c r="O1109" s="25"/>
      <c r="P1109" s="26"/>
      <c r="Q1109" s="27"/>
      <c r="R1109" s="28"/>
      <c r="S1109" s="29"/>
      <c r="T1109" s="30"/>
    </row>
    <row r="1110" spans="1:20" ht="24" customHeight="1" x14ac:dyDescent="0.25">
      <c r="A1110" t="str">
        <f>IF('e1'!A1110&gt;0,HYPERLINK("#"&amp;ADDRESS(1110,'e1'!A1110),""),IF('r1'!A1110&gt;0,HYPERLINK("#"&amp;ADDRESS(1110,'r1'!A1110),""),""))</f>
        <v/>
      </c>
      <c r="C1110" s="13"/>
      <c r="D1110" s="14"/>
      <c r="E1110" s="15"/>
      <c r="F1110" s="16"/>
      <c r="G1110" s="17"/>
      <c r="H1110" s="18"/>
      <c r="I1110" s="19"/>
      <c r="J1110" s="20"/>
      <c r="K1110" s="21"/>
      <c r="L1110" s="22"/>
      <c r="M1110" s="23"/>
      <c r="N1110" s="24"/>
      <c r="O1110" s="25"/>
      <c r="P1110" s="26"/>
      <c r="Q1110" s="27"/>
      <c r="R1110" s="28"/>
      <c r="S1110" s="29"/>
      <c r="T1110" s="30"/>
    </row>
    <row r="1111" spans="1:20" ht="24" customHeight="1" x14ac:dyDescent="0.25">
      <c r="A1111" t="str">
        <f>IF('e1'!A1111&gt;0,HYPERLINK("#"&amp;ADDRESS(1111,'e1'!A1111),""),IF('r1'!A1111&gt;0,HYPERLINK("#"&amp;ADDRESS(1111,'r1'!A1111),""),""))</f>
        <v/>
      </c>
      <c r="C1111" s="13"/>
      <c r="D1111" s="14"/>
      <c r="E1111" s="15"/>
      <c r="F1111" s="16"/>
      <c r="G1111" s="17"/>
      <c r="H1111" s="18"/>
      <c r="I1111" s="19"/>
      <c r="J1111" s="20"/>
      <c r="K1111" s="21"/>
      <c r="L1111" s="22"/>
      <c r="M1111" s="23"/>
      <c r="N1111" s="24"/>
      <c r="O1111" s="25"/>
      <c r="P1111" s="26"/>
      <c r="Q1111" s="27"/>
      <c r="R1111" s="28"/>
      <c r="S1111" s="29"/>
      <c r="T1111" s="30"/>
    </row>
    <row r="1112" spans="1:20" ht="24" customHeight="1" x14ac:dyDescent="0.25">
      <c r="A1112" t="str">
        <f>IF('e1'!A1112&gt;0,HYPERLINK("#"&amp;ADDRESS(1112,'e1'!A1112),""),IF('r1'!A1112&gt;0,HYPERLINK("#"&amp;ADDRESS(1112,'r1'!A1112),""),""))</f>
        <v/>
      </c>
      <c r="C1112" s="13"/>
      <c r="D1112" s="14"/>
      <c r="E1112" s="15"/>
      <c r="F1112" s="16"/>
      <c r="G1112" s="17"/>
      <c r="H1112" s="18"/>
      <c r="I1112" s="19"/>
      <c r="J1112" s="20"/>
      <c r="K1112" s="21"/>
      <c r="L1112" s="22"/>
      <c r="M1112" s="23"/>
      <c r="N1112" s="24"/>
      <c r="O1112" s="25"/>
      <c r="P1112" s="26"/>
      <c r="Q1112" s="27"/>
      <c r="R1112" s="28"/>
      <c r="S1112" s="29"/>
      <c r="T1112" s="30"/>
    </row>
    <row r="1113" spans="1:20" ht="24" customHeight="1" x14ac:dyDescent="0.25">
      <c r="A1113" t="str">
        <f>IF('e1'!A1113&gt;0,HYPERLINK("#"&amp;ADDRESS(1113,'e1'!A1113),""),IF('r1'!A1113&gt;0,HYPERLINK("#"&amp;ADDRESS(1113,'r1'!A1113),""),""))</f>
        <v/>
      </c>
      <c r="C1113" s="13"/>
      <c r="D1113" s="14"/>
      <c r="E1113" s="15"/>
      <c r="F1113" s="16"/>
      <c r="G1113" s="17"/>
      <c r="H1113" s="18"/>
      <c r="I1113" s="19"/>
      <c r="J1113" s="20"/>
      <c r="K1113" s="21"/>
      <c r="L1113" s="22"/>
      <c r="M1113" s="23"/>
      <c r="N1113" s="24"/>
      <c r="O1113" s="25"/>
      <c r="P1113" s="26"/>
      <c r="Q1113" s="27"/>
      <c r="R1113" s="28"/>
      <c r="S1113" s="29"/>
      <c r="T1113" s="30"/>
    </row>
    <row r="1114" spans="1:20" ht="24" customHeight="1" x14ac:dyDescent="0.25">
      <c r="A1114" t="str">
        <f>IF('e1'!A1114&gt;0,HYPERLINK("#"&amp;ADDRESS(1114,'e1'!A1114),""),IF('r1'!A1114&gt;0,HYPERLINK("#"&amp;ADDRESS(1114,'r1'!A1114),""),""))</f>
        <v/>
      </c>
      <c r="C1114" s="13"/>
      <c r="D1114" s="14"/>
      <c r="E1114" s="15"/>
      <c r="F1114" s="16"/>
      <c r="G1114" s="17"/>
      <c r="H1114" s="18"/>
      <c r="I1114" s="19"/>
      <c r="J1114" s="20"/>
      <c r="K1114" s="21"/>
      <c r="L1114" s="22"/>
      <c r="M1114" s="23"/>
      <c r="N1114" s="24"/>
      <c r="O1114" s="25"/>
      <c r="P1114" s="26"/>
      <c r="Q1114" s="27"/>
      <c r="R1114" s="28"/>
      <c r="S1114" s="29"/>
      <c r="T1114" s="30"/>
    </row>
    <row r="1115" spans="1:20" ht="24" customHeight="1" x14ac:dyDescent="0.25">
      <c r="A1115" t="str">
        <f>IF('e1'!A1115&gt;0,HYPERLINK("#"&amp;ADDRESS(1115,'e1'!A1115),""),IF('r1'!A1115&gt;0,HYPERLINK("#"&amp;ADDRESS(1115,'r1'!A1115),""),""))</f>
        <v/>
      </c>
      <c r="C1115" s="13"/>
      <c r="D1115" s="14"/>
      <c r="E1115" s="15"/>
      <c r="F1115" s="16"/>
      <c r="G1115" s="17"/>
      <c r="H1115" s="18"/>
      <c r="I1115" s="19"/>
      <c r="J1115" s="20"/>
      <c r="K1115" s="21"/>
      <c r="L1115" s="22"/>
      <c r="M1115" s="23"/>
      <c r="N1115" s="24"/>
      <c r="O1115" s="25"/>
      <c r="P1115" s="26"/>
      <c r="Q1115" s="27"/>
      <c r="R1115" s="28"/>
      <c r="S1115" s="29"/>
      <c r="T1115" s="30"/>
    </row>
    <row r="1116" spans="1:20" ht="24" customHeight="1" x14ac:dyDescent="0.25">
      <c r="A1116" t="str">
        <f>IF('e1'!A1116&gt;0,HYPERLINK("#"&amp;ADDRESS(1116,'e1'!A1116),""),IF('r1'!A1116&gt;0,HYPERLINK("#"&amp;ADDRESS(1116,'r1'!A1116),""),""))</f>
        <v/>
      </c>
      <c r="C1116" s="13"/>
      <c r="D1116" s="14"/>
      <c r="E1116" s="15"/>
      <c r="F1116" s="16"/>
      <c r="G1116" s="17"/>
      <c r="H1116" s="18"/>
      <c r="I1116" s="19"/>
      <c r="J1116" s="20"/>
      <c r="K1116" s="21"/>
      <c r="L1116" s="22"/>
      <c r="M1116" s="23"/>
      <c r="N1116" s="24"/>
      <c r="O1116" s="25"/>
      <c r="P1116" s="26"/>
      <c r="Q1116" s="27"/>
      <c r="R1116" s="28"/>
      <c r="S1116" s="29"/>
      <c r="T1116" s="30"/>
    </row>
    <row r="1117" spans="1:20" ht="24" customHeight="1" x14ac:dyDescent="0.25">
      <c r="A1117" t="str">
        <f>IF('e1'!A1117&gt;0,HYPERLINK("#"&amp;ADDRESS(1117,'e1'!A1117),""),IF('r1'!A1117&gt;0,HYPERLINK("#"&amp;ADDRESS(1117,'r1'!A1117),""),""))</f>
        <v/>
      </c>
      <c r="C1117" s="13"/>
      <c r="D1117" s="14"/>
      <c r="E1117" s="15"/>
      <c r="F1117" s="16"/>
      <c r="G1117" s="17"/>
      <c r="H1117" s="18"/>
      <c r="I1117" s="19"/>
      <c r="J1117" s="20"/>
      <c r="K1117" s="21"/>
      <c r="L1117" s="22"/>
      <c r="M1117" s="23"/>
      <c r="N1117" s="24"/>
      <c r="O1117" s="25"/>
      <c r="P1117" s="26"/>
      <c r="Q1117" s="27"/>
      <c r="R1117" s="28"/>
      <c r="S1117" s="29"/>
      <c r="T1117" s="30"/>
    </row>
    <row r="1118" spans="1:20" ht="24" customHeight="1" x14ac:dyDescent="0.25">
      <c r="A1118" t="str">
        <f>IF('e1'!A1118&gt;0,HYPERLINK("#"&amp;ADDRESS(1118,'e1'!A1118),""),IF('r1'!A1118&gt;0,HYPERLINK("#"&amp;ADDRESS(1118,'r1'!A1118),""),""))</f>
        <v/>
      </c>
      <c r="C1118" s="13"/>
      <c r="D1118" s="14"/>
      <c r="E1118" s="15"/>
      <c r="F1118" s="16"/>
      <c r="G1118" s="17"/>
      <c r="H1118" s="18"/>
      <c r="I1118" s="19"/>
      <c r="J1118" s="20"/>
      <c r="K1118" s="21"/>
      <c r="L1118" s="22"/>
      <c r="M1118" s="23"/>
      <c r="N1118" s="24"/>
      <c r="O1118" s="25"/>
      <c r="P1118" s="26"/>
      <c r="Q1118" s="27"/>
      <c r="R1118" s="28"/>
      <c r="S1118" s="29"/>
      <c r="T1118" s="30"/>
    </row>
    <row r="1119" spans="1:20" ht="24" customHeight="1" x14ac:dyDescent="0.25">
      <c r="A1119" t="str">
        <f>IF('e1'!A1119&gt;0,HYPERLINK("#"&amp;ADDRESS(1119,'e1'!A1119),""),IF('r1'!A1119&gt;0,HYPERLINK("#"&amp;ADDRESS(1119,'r1'!A1119),""),""))</f>
        <v/>
      </c>
      <c r="C1119" s="13"/>
      <c r="D1119" s="14"/>
      <c r="E1119" s="15"/>
      <c r="F1119" s="16"/>
      <c r="G1119" s="17"/>
      <c r="H1119" s="18"/>
      <c r="I1119" s="19"/>
      <c r="J1119" s="20"/>
      <c r="K1119" s="21"/>
      <c r="L1119" s="22"/>
      <c r="M1119" s="23"/>
      <c r="N1119" s="24"/>
      <c r="O1119" s="25"/>
      <c r="P1119" s="26"/>
      <c r="Q1119" s="27"/>
      <c r="R1119" s="28"/>
      <c r="S1119" s="29"/>
      <c r="T1119" s="30"/>
    </row>
    <row r="1120" spans="1:20" ht="24" customHeight="1" x14ac:dyDescent="0.25">
      <c r="A1120" t="str">
        <f>IF('e1'!A1120&gt;0,HYPERLINK("#"&amp;ADDRESS(1120,'e1'!A1120),""),IF('r1'!A1120&gt;0,HYPERLINK("#"&amp;ADDRESS(1120,'r1'!A1120),""),""))</f>
        <v/>
      </c>
      <c r="C1120" s="13"/>
      <c r="D1120" s="14"/>
      <c r="E1120" s="15"/>
      <c r="F1120" s="16"/>
      <c r="G1120" s="17"/>
      <c r="H1120" s="18"/>
      <c r="I1120" s="19"/>
      <c r="J1120" s="20"/>
      <c r="K1120" s="21"/>
      <c r="L1120" s="22"/>
      <c r="M1120" s="23"/>
      <c r="N1120" s="24"/>
      <c r="O1120" s="25"/>
      <c r="P1120" s="26"/>
      <c r="Q1120" s="27"/>
      <c r="R1120" s="28"/>
      <c r="S1120" s="29"/>
      <c r="T1120" s="30"/>
    </row>
    <row r="1121" spans="1:20" ht="24" customHeight="1" x14ac:dyDescent="0.25">
      <c r="A1121" t="str">
        <f>IF('e1'!A1121&gt;0,HYPERLINK("#"&amp;ADDRESS(1121,'e1'!A1121),""),IF('r1'!A1121&gt;0,HYPERLINK("#"&amp;ADDRESS(1121,'r1'!A1121),""),""))</f>
        <v/>
      </c>
      <c r="C1121" s="13"/>
      <c r="D1121" s="14"/>
      <c r="E1121" s="15"/>
      <c r="F1121" s="16"/>
      <c r="G1121" s="17"/>
      <c r="H1121" s="18"/>
      <c r="I1121" s="19"/>
      <c r="J1121" s="20"/>
      <c r="K1121" s="21"/>
      <c r="L1121" s="22"/>
      <c r="M1121" s="23"/>
      <c r="N1121" s="24"/>
      <c r="O1121" s="25"/>
      <c r="P1121" s="26"/>
      <c r="Q1121" s="27"/>
      <c r="R1121" s="28"/>
      <c r="S1121" s="29"/>
      <c r="T1121" s="30"/>
    </row>
    <row r="1122" spans="1:20" ht="24" customHeight="1" x14ac:dyDescent="0.25">
      <c r="A1122" t="str">
        <f>IF('e1'!A1122&gt;0,HYPERLINK("#"&amp;ADDRESS(1122,'e1'!A1122),""),IF('r1'!A1122&gt;0,HYPERLINK("#"&amp;ADDRESS(1122,'r1'!A1122),""),""))</f>
        <v/>
      </c>
      <c r="C1122" s="13"/>
      <c r="D1122" s="14"/>
      <c r="E1122" s="15"/>
      <c r="F1122" s="16"/>
      <c r="G1122" s="17"/>
      <c r="H1122" s="18"/>
      <c r="I1122" s="19"/>
      <c r="J1122" s="20"/>
      <c r="K1122" s="21"/>
      <c r="L1122" s="22"/>
      <c r="M1122" s="23"/>
      <c r="N1122" s="24"/>
      <c r="O1122" s="25"/>
      <c r="P1122" s="26"/>
      <c r="Q1122" s="27"/>
      <c r="R1122" s="28"/>
      <c r="S1122" s="29"/>
      <c r="T1122" s="30"/>
    </row>
    <row r="1123" spans="1:20" ht="24" customHeight="1" x14ac:dyDescent="0.25">
      <c r="A1123" t="str">
        <f>IF('e1'!A1123&gt;0,HYPERLINK("#"&amp;ADDRESS(1123,'e1'!A1123),""),IF('r1'!A1123&gt;0,HYPERLINK("#"&amp;ADDRESS(1123,'r1'!A1123),""),""))</f>
        <v/>
      </c>
      <c r="C1123" s="13"/>
      <c r="D1123" s="14"/>
      <c r="E1123" s="15"/>
      <c r="F1123" s="16"/>
      <c r="G1123" s="17"/>
      <c r="H1123" s="18"/>
      <c r="I1123" s="19"/>
      <c r="J1123" s="20"/>
      <c r="K1123" s="21"/>
      <c r="L1123" s="22"/>
      <c r="M1123" s="23"/>
      <c r="N1123" s="24"/>
      <c r="O1123" s="25"/>
      <c r="P1123" s="26"/>
      <c r="Q1123" s="27"/>
      <c r="R1123" s="28"/>
      <c r="S1123" s="29"/>
      <c r="T1123" s="30"/>
    </row>
    <row r="1124" spans="1:20" ht="24" customHeight="1" x14ac:dyDescent="0.25">
      <c r="A1124" t="str">
        <f>IF('e1'!A1124&gt;0,HYPERLINK("#"&amp;ADDRESS(1124,'e1'!A1124),""),IF('r1'!A1124&gt;0,HYPERLINK("#"&amp;ADDRESS(1124,'r1'!A1124),""),""))</f>
        <v/>
      </c>
      <c r="C1124" s="13"/>
      <c r="D1124" s="14"/>
      <c r="E1124" s="15"/>
      <c r="F1124" s="16"/>
      <c r="G1124" s="17"/>
      <c r="H1124" s="18"/>
      <c r="I1124" s="19"/>
      <c r="J1124" s="20"/>
      <c r="K1124" s="21"/>
      <c r="L1124" s="22"/>
      <c r="M1124" s="23"/>
      <c r="N1124" s="24"/>
      <c r="O1124" s="25"/>
      <c r="P1124" s="26"/>
      <c r="Q1124" s="27"/>
      <c r="R1124" s="28"/>
      <c r="S1124" s="29"/>
      <c r="T1124" s="30"/>
    </row>
    <row r="1125" spans="1:20" ht="24" customHeight="1" x14ac:dyDescent="0.25">
      <c r="A1125" t="str">
        <f>IF('e1'!A1125&gt;0,HYPERLINK("#"&amp;ADDRESS(1125,'e1'!A1125),""),IF('r1'!A1125&gt;0,HYPERLINK("#"&amp;ADDRESS(1125,'r1'!A1125),""),""))</f>
        <v/>
      </c>
      <c r="C1125" s="13"/>
      <c r="D1125" s="14"/>
      <c r="E1125" s="15"/>
      <c r="F1125" s="16"/>
      <c r="G1125" s="17"/>
      <c r="H1125" s="18"/>
      <c r="I1125" s="19"/>
      <c r="J1125" s="20"/>
      <c r="K1125" s="21"/>
      <c r="L1125" s="22"/>
      <c r="M1125" s="23"/>
      <c r="N1125" s="24"/>
      <c r="O1125" s="25"/>
      <c r="P1125" s="26"/>
      <c r="Q1125" s="27"/>
      <c r="R1125" s="28"/>
      <c r="S1125" s="29"/>
      <c r="T1125" s="30"/>
    </row>
    <row r="1126" spans="1:20" ht="24" customHeight="1" x14ac:dyDescent="0.25">
      <c r="A1126" t="str">
        <f>IF('e1'!A1126&gt;0,HYPERLINK("#"&amp;ADDRESS(1126,'e1'!A1126),""),IF('r1'!A1126&gt;0,HYPERLINK("#"&amp;ADDRESS(1126,'r1'!A1126),""),""))</f>
        <v/>
      </c>
      <c r="C1126" s="13"/>
      <c r="D1126" s="14"/>
      <c r="E1126" s="15"/>
      <c r="F1126" s="16"/>
      <c r="G1126" s="17"/>
      <c r="H1126" s="18"/>
      <c r="I1126" s="19"/>
      <c r="J1126" s="20"/>
      <c r="K1126" s="21"/>
      <c r="L1126" s="22"/>
      <c r="M1126" s="23"/>
      <c r="N1126" s="24"/>
      <c r="O1126" s="25"/>
      <c r="P1126" s="26"/>
      <c r="Q1126" s="27"/>
      <c r="R1126" s="28"/>
      <c r="S1126" s="29"/>
      <c r="T1126" s="30"/>
    </row>
    <row r="1127" spans="1:20" ht="24" customHeight="1" x14ac:dyDescent="0.25">
      <c r="A1127" t="str">
        <f>IF('e1'!A1127&gt;0,HYPERLINK("#"&amp;ADDRESS(1127,'e1'!A1127),""),IF('r1'!A1127&gt;0,HYPERLINK("#"&amp;ADDRESS(1127,'r1'!A1127),""),""))</f>
        <v/>
      </c>
      <c r="C1127" s="13"/>
      <c r="D1127" s="14"/>
      <c r="E1127" s="15"/>
      <c r="F1127" s="16"/>
      <c r="G1127" s="17"/>
      <c r="H1127" s="18"/>
      <c r="I1127" s="19"/>
      <c r="J1127" s="20"/>
      <c r="K1127" s="21"/>
      <c r="L1127" s="22"/>
      <c r="M1127" s="23"/>
      <c r="N1127" s="24"/>
      <c r="O1127" s="25"/>
      <c r="P1127" s="26"/>
      <c r="Q1127" s="27"/>
      <c r="R1127" s="28"/>
      <c r="S1127" s="29"/>
      <c r="T1127" s="30"/>
    </row>
    <row r="1128" spans="1:20" ht="24" customHeight="1" x14ac:dyDescent="0.25">
      <c r="A1128" t="str">
        <f>IF('e1'!A1128&gt;0,HYPERLINK("#"&amp;ADDRESS(1128,'e1'!A1128),""),IF('r1'!A1128&gt;0,HYPERLINK("#"&amp;ADDRESS(1128,'r1'!A1128),""),""))</f>
        <v/>
      </c>
      <c r="C1128" s="13"/>
      <c r="D1128" s="14"/>
      <c r="E1128" s="15"/>
      <c r="F1128" s="16"/>
      <c r="G1128" s="17"/>
      <c r="H1128" s="18"/>
      <c r="I1128" s="19"/>
      <c r="J1128" s="20"/>
      <c r="K1128" s="21"/>
      <c r="L1128" s="22"/>
      <c r="M1128" s="23"/>
      <c r="N1128" s="24"/>
      <c r="O1128" s="25"/>
      <c r="P1128" s="26"/>
      <c r="Q1128" s="27"/>
      <c r="R1128" s="28"/>
      <c r="S1128" s="29"/>
      <c r="T1128" s="30"/>
    </row>
    <row r="1129" spans="1:20" ht="24" customHeight="1" x14ac:dyDescent="0.25">
      <c r="A1129" t="str">
        <f>IF('e1'!A1129&gt;0,HYPERLINK("#"&amp;ADDRESS(1129,'e1'!A1129),""),IF('r1'!A1129&gt;0,HYPERLINK("#"&amp;ADDRESS(1129,'r1'!A1129),""),""))</f>
        <v/>
      </c>
      <c r="C1129" s="13"/>
      <c r="D1129" s="14"/>
      <c r="E1129" s="15"/>
      <c r="F1129" s="16"/>
      <c r="G1129" s="17"/>
      <c r="H1129" s="18"/>
      <c r="I1129" s="19"/>
      <c r="J1129" s="20"/>
      <c r="K1129" s="21"/>
      <c r="L1129" s="22"/>
      <c r="M1129" s="23"/>
      <c r="N1129" s="24"/>
      <c r="O1129" s="25"/>
      <c r="P1129" s="26"/>
      <c r="Q1129" s="27"/>
      <c r="R1129" s="28"/>
      <c r="S1129" s="29"/>
      <c r="T1129" s="30"/>
    </row>
    <row r="1130" spans="1:20" ht="24" customHeight="1" x14ac:dyDescent="0.25">
      <c r="A1130" t="str">
        <f>IF('e1'!A1130&gt;0,HYPERLINK("#"&amp;ADDRESS(1130,'e1'!A1130),""),IF('r1'!A1130&gt;0,HYPERLINK("#"&amp;ADDRESS(1130,'r1'!A1130),""),""))</f>
        <v/>
      </c>
      <c r="C1130" s="13"/>
      <c r="D1130" s="14"/>
      <c r="E1130" s="15"/>
      <c r="F1130" s="16"/>
      <c r="G1130" s="17"/>
      <c r="H1130" s="18"/>
      <c r="I1130" s="19"/>
      <c r="J1130" s="20"/>
      <c r="K1130" s="21"/>
      <c r="L1130" s="22"/>
      <c r="M1130" s="23"/>
      <c r="N1130" s="24"/>
      <c r="O1130" s="25"/>
      <c r="P1130" s="26"/>
      <c r="Q1130" s="27"/>
      <c r="R1130" s="28"/>
      <c r="S1130" s="29"/>
      <c r="T1130" s="30"/>
    </row>
    <row r="1131" spans="1:20" ht="24" customHeight="1" x14ac:dyDescent="0.25">
      <c r="A1131" t="str">
        <f>IF('e1'!A1131&gt;0,HYPERLINK("#"&amp;ADDRESS(1131,'e1'!A1131),""),IF('r1'!A1131&gt;0,HYPERLINK("#"&amp;ADDRESS(1131,'r1'!A1131),""),""))</f>
        <v/>
      </c>
      <c r="C1131" s="13"/>
      <c r="D1131" s="14"/>
      <c r="E1131" s="15"/>
      <c r="F1131" s="16"/>
      <c r="G1131" s="17"/>
      <c r="H1131" s="18"/>
      <c r="I1131" s="19"/>
      <c r="J1131" s="20"/>
      <c r="K1131" s="21"/>
      <c r="L1131" s="22"/>
      <c r="M1131" s="23"/>
      <c r="N1131" s="24"/>
      <c r="O1131" s="25"/>
      <c r="P1131" s="26"/>
      <c r="Q1131" s="27"/>
      <c r="R1131" s="28"/>
      <c r="S1131" s="29"/>
      <c r="T1131" s="30"/>
    </row>
    <row r="1132" spans="1:20" ht="24" customHeight="1" x14ac:dyDescent="0.25">
      <c r="A1132" t="str">
        <f>IF('e1'!A1132&gt;0,HYPERLINK("#"&amp;ADDRESS(1132,'e1'!A1132),""),IF('r1'!A1132&gt;0,HYPERLINK("#"&amp;ADDRESS(1132,'r1'!A1132),""),""))</f>
        <v/>
      </c>
      <c r="C1132" s="13"/>
      <c r="D1132" s="14"/>
      <c r="E1132" s="15"/>
      <c r="F1132" s="16"/>
      <c r="G1132" s="17"/>
      <c r="H1132" s="18"/>
      <c r="I1132" s="19"/>
      <c r="J1132" s="20"/>
      <c r="K1132" s="21"/>
      <c r="L1132" s="22"/>
      <c r="M1132" s="23"/>
      <c r="N1132" s="24"/>
      <c r="O1132" s="25"/>
      <c r="P1132" s="26"/>
      <c r="Q1132" s="27"/>
      <c r="R1132" s="28"/>
      <c r="S1132" s="29"/>
      <c r="T1132" s="30"/>
    </row>
    <row r="1133" spans="1:20" ht="24" customHeight="1" x14ac:dyDescent="0.25">
      <c r="A1133" t="str">
        <f>IF('e1'!A1133&gt;0,HYPERLINK("#"&amp;ADDRESS(1133,'e1'!A1133),""),IF('r1'!A1133&gt;0,HYPERLINK("#"&amp;ADDRESS(1133,'r1'!A1133),""),""))</f>
        <v/>
      </c>
      <c r="C1133" s="13"/>
      <c r="D1133" s="14"/>
      <c r="E1133" s="15"/>
      <c r="F1133" s="16"/>
      <c r="G1133" s="17"/>
      <c r="H1133" s="18"/>
      <c r="I1133" s="19"/>
      <c r="J1133" s="20"/>
      <c r="K1133" s="21"/>
      <c r="L1133" s="22"/>
      <c r="M1133" s="23"/>
      <c r="N1133" s="24"/>
      <c r="O1133" s="25"/>
      <c r="P1133" s="26"/>
      <c r="Q1133" s="27"/>
      <c r="R1133" s="28"/>
      <c r="S1133" s="29"/>
      <c r="T1133" s="30"/>
    </row>
    <row r="1134" spans="1:20" ht="24" customHeight="1" x14ac:dyDescent="0.25">
      <c r="A1134" t="str">
        <f>IF('e1'!A1134&gt;0,HYPERLINK("#"&amp;ADDRESS(1134,'e1'!A1134),""),IF('r1'!A1134&gt;0,HYPERLINK("#"&amp;ADDRESS(1134,'r1'!A1134),""),""))</f>
        <v/>
      </c>
      <c r="C1134" s="13"/>
      <c r="D1134" s="14"/>
      <c r="E1134" s="15"/>
      <c r="F1134" s="16"/>
      <c r="G1134" s="17"/>
      <c r="H1134" s="18"/>
      <c r="I1134" s="19"/>
      <c r="J1134" s="20"/>
      <c r="K1134" s="21"/>
      <c r="L1134" s="22"/>
      <c r="M1134" s="23"/>
      <c r="N1134" s="24"/>
      <c r="O1134" s="25"/>
      <c r="P1134" s="26"/>
      <c r="Q1134" s="27"/>
      <c r="R1134" s="28"/>
      <c r="S1134" s="29"/>
      <c r="T1134" s="30"/>
    </row>
    <row r="1135" spans="1:20" ht="24" customHeight="1" x14ac:dyDescent="0.25">
      <c r="A1135" t="str">
        <f>IF('e1'!A1135&gt;0,HYPERLINK("#"&amp;ADDRESS(1135,'e1'!A1135),""),IF('r1'!A1135&gt;0,HYPERLINK("#"&amp;ADDRESS(1135,'r1'!A1135),""),""))</f>
        <v/>
      </c>
      <c r="C1135" s="13"/>
      <c r="D1135" s="14"/>
      <c r="E1135" s="15"/>
      <c r="F1135" s="16"/>
      <c r="G1135" s="17"/>
      <c r="H1135" s="18"/>
      <c r="I1135" s="19"/>
      <c r="J1135" s="20"/>
      <c r="K1135" s="21"/>
      <c r="L1135" s="22"/>
      <c r="M1135" s="23"/>
      <c r="N1135" s="24"/>
      <c r="O1135" s="25"/>
      <c r="P1135" s="26"/>
      <c r="Q1135" s="27"/>
      <c r="R1135" s="28"/>
      <c r="S1135" s="29"/>
      <c r="T1135" s="30"/>
    </row>
    <row r="1136" spans="1:20" ht="24" customHeight="1" x14ac:dyDescent="0.25">
      <c r="A1136" t="str">
        <f>IF('e1'!A1136&gt;0,HYPERLINK("#"&amp;ADDRESS(1136,'e1'!A1136),""),IF('r1'!A1136&gt;0,HYPERLINK("#"&amp;ADDRESS(1136,'r1'!A1136),""),""))</f>
        <v/>
      </c>
      <c r="C1136" s="13"/>
      <c r="D1136" s="14"/>
      <c r="E1136" s="15"/>
      <c r="F1136" s="16"/>
      <c r="G1136" s="17"/>
      <c r="H1136" s="18"/>
      <c r="I1136" s="19"/>
      <c r="J1136" s="20"/>
      <c r="K1136" s="21"/>
      <c r="L1136" s="22"/>
      <c r="M1136" s="23"/>
      <c r="N1136" s="24"/>
      <c r="O1136" s="25"/>
      <c r="P1136" s="26"/>
      <c r="Q1136" s="27"/>
      <c r="R1136" s="28"/>
      <c r="S1136" s="29"/>
      <c r="T1136" s="30"/>
    </row>
    <row r="1137" spans="1:20" ht="24" customHeight="1" x14ac:dyDescent="0.25">
      <c r="A1137" t="str">
        <f>IF('e1'!A1137&gt;0,HYPERLINK("#"&amp;ADDRESS(1137,'e1'!A1137),""),IF('r1'!A1137&gt;0,HYPERLINK("#"&amp;ADDRESS(1137,'r1'!A1137),""),""))</f>
        <v/>
      </c>
      <c r="C1137" s="13"/>
      <c r="D1137" s="14"/>
      <c r="E1137" s="15"/>
      <c r="F1137" s="16"/>
      <c r="G1137" s="17"/>
      <c r="H1137" s="18"/>
      <c r="I1137" s="19"/>
      <c r="J1137" s="20"/>
      <c r="K1137" s="21"/>
      <c r="L1137" s="22"/>
      <c r="M1137" s="23"/>
      <c r="N1137" s="24"/>
      <c r="O1137" s="25"/>
      <c r="P1137" s="26"/>
      <c r="Q1137" s="27"/>
      <c r="R1137" s="28"/>
      <c r="S1137" s="29"/>
      <c r="T1137" s="30"/>
    </row>
    <row r="1138" spans="1:20" ht="24" customHeight="1" x14ac:dyDescent="0.25">
      <c r="A1138" t="str">
        <f>IF('e1'!A1138&gt;0,HYPERLINK("#"&amp;ADDRESS(1138,'e1'!A1138),""),IF('r1'!A1138&gt;0,HYPERLINK("#"&amp;ADDRESS(1138,'r1'!A1138),""),""))</f>
        <v/>
      </c>
      <c r="C1138" s="13"/>
      <c r="D1138" s="14"/>
      <c r="E1138" s="15"/>
      <c r="F1138" s="16"/>
      <c r="G1138" s="17"/>
      <c r="H1138" s="18"/>
      <c r="I1138" s="19"/>
      <c r="J1138" s="20"/>
      <c r="K1138" s="21"/>
      <c r="L1138" s="22"/>
      <c r="M1138" s="23"/>
      <c r="N1138" s="24"/>
      <c r="O1138" s="25"/>
      <c r="P1138" s="26"/>
      <c r="Q1138" s="27"/>
      <c r="R1138" s="28"/>
      <c r="S1138" s="29"/>
      <c r="T1138" s="30"/>
    </row>
    <row r="1139" spans="1:20" ht="24" customHeight="1" x14ac:dyDescent="0.25">
      <c r="A1139" t="str">
        <f>IF('e1'!A1139&gt;0,HYPERLINK("#"&amp;ADDRESS(1139,'e1'!A1139),""),IF('r1'!A1139&gt;0,HYPERLINK("#"&amp;ADDRESS(1139,'r1'!A1139),""),""))</f>
        <v/>
      </c>
      <c r="C1139" s="13"/>
      <c r="D1139" s="14"/>
      <c r="E1139" s="15"/>
      <c r="F1139" s="16"/>
      <c r="G1139" s="17"/>
      <c r="H1139" s="18"/>
      <c r="I1139" s="19"/>
      <c r="J1139" s="20"/>
      <c r="K1139" s="21"/>
      <c r="L1139" s="22"/>
      <c r="M1139" s="23"/>
      <c r="N1139" s="24"/>
      <c r="O1139" s="25"/>
      <c r="P1139" s="26"/>
      <c r="Q1139" s="27"/>
      <c r="R1139" s="28"/>
      <c r="S1139" s="29"/>
      <c r="T1139" s="30"/>
    </row>
    <row r="1140" spans="1:20" ht="24" customHeight="1" x14ac:dyDescent="0.25">
      <c r="A1140" t="str">
        <f>IF('e1'!A1140&gt;0,HYPERLINK("#"&amp;ADDRESS(1140,'e1'!A1140),""),IF('r1'!A1140&gt;0,HYPERLINK("#"&amp;ADDRESS(1140,'r1'!A1140),""),""))</f>
        <v/>
      </c>
      <c r="C1140" s="13"/>
      <c r="D1140" s="14"/>
      <c r="E1140" s="15"/>
      <c r="F1140" s="16"/>
      <c r="G1140" s="17"/>
      <c r="H1140" s="18"/>
      <c r="I1140" s="19"/>
      <c r="J1140" s="20"/>
      <c r="K1140" s="21"/>
      <c r="L1140" s="22"/>
      <c r="M1140" s="23"/>
      <c r="N1140" s="24"/>
      <c r="O1140" s="25"/>
      <c r="P1140" s="26"/>
      <c r="Q1140" s="27"/>
      <c r="R1140" s="28"/>
      <c r="S1140" s="29"/>
      <c r="T1140" s="30"/>
    </row>
    <row r="1141" spans="1:20" ht="24" customHeight="1" x14ac:dyDescent="0.25">
      <c r="A1141" t="str">
        <f>IF('e1'!A1141&gt;0,HYPERLINK("#"&amp;ADDRESS(1141,'e1'!A1141),""),IF('r1'!A1141&gt;0,HYPERLINK("#"&amp;ADDRESS(1141,'r1'!A1141),""),""))</f>
        <v/>
      </c>
      <c r="C1141" s="13"/>
      <c r="D1141" s="14"/>
      <c r="E1141" s="15"/>
      <c r="F1141" s="16"/>
      <c r="G1141" s="17"/>
      <c r="H1141" s="18"/>
      <c r="I1141" s="19"/>
      <c r="J1141" s="20"/>
      <c r="K1141" s="21"/>
      <c r="L1141" s="22"/>
      <c r="M1141" s="23"/>
      <c r="N1141" s="24"/>
      <c r="O1141" s="25"/>
      <c r="P1141" s="26"/>
      <c r="Q1141" s="27"/>
      <c r="R1141" s="28"/>
      <c r="S1141" s="29"/>
      <c r="T1141" s="30"/>
    </row>
    <row r="1142" spans="1:20" ht="24" customHeight="1" x14ac:dyDescent="0.25">
      <c r="A1142" t="str">
        <f>IF('e1'!A1142&gt;0,HYPERLINK("#"&amp;ADDRESS(1142,'e1'!A1142),""),IF('r1'!A1142&gt;0,HYPERLINK("#"&amp;ADDRESS(1142,'r1'!A1142),""),""))</f>
        <v/>
      </c>
      <c r="C1142" s="13"/>
      <c r="D1142" s="14"/>
      <c r="E1142" s="15"/>
      <c r="F1142" s="16"/>
      <c r="G1142" s="17"/>
      <c r="H1142" s="18"/>
      <c r="I1142" s="19"/>
      <c r="J1142" s="20"/>
      <c r="K1142" s="21"/>
      <c r="L1142" s="22"/>
      <c r="M1142" s="23"/>
      <c r="N1142" s="24"/>
      <c r="O1142" s="25"/>
      <c r="P1142" s="26"/>
      <c r="Q1142" s="27"/>
      <c r="R1142" s="28"/>
      <c r="S1142" s="29"/>
      <c r="T1142" s="30"/>
    </row>
    <row r="1143" spans="1:20" ht="24" customHeight="1" x14ac:dyDescent="0.25">
      <c r="A1143" t="str">
        <f>IF('e1'!A1143&gt;0,HYPERLINK("#"&amp;ADDRESS(1143,'e1'!A1143),""),IF('r1'!A1143&gt;0,HYPERLINK("#"&amp;ADDRESS(1143,'r1'!A1143),""),""))</f>
        <v/>
      </c>
      <c r="C1143" s="13"/>
      <c r="D1143" s="14"/>
      <c r="E1143" s="15"/>
      <c r="F1143" s="16"/>
      <c r="G1143" s="17"/>
      <c r="H1143" s="18"/>
      <c r="I1143" s="19"/>
      <c r="J1143" s="20"/>
      <c r="K1143" s="21"/>
      <c r="L1143" s="22"/>
      <c r="M1143" s="23"/>
      <c r="N1143" s="24"/>
      <c r="O1143" s="25"/>
      <c r="P1143" s="26"/>
      <c r="Q1143" s="27"/>
      <c r="R1143" s="28"/>
      <c r="S1143" s="29"/>
      <c r="T1143" s="30"/>
    </row>
    <row r="1144" spans="1:20" ht="24" customHeight="1" x14ac:dyDescent="0.25">
      <c r="A1144" t="str">
        <f>IF('e1'!A1144&gt;0,HYPERLINK("#"&amp;ADDRESS(1144,'e1'!A1144),""),IF('r1'!A1144&gt;0,HYPERLINK("#"&amp;ADDRESS(1144,'r1'!A1144),""),""))</f>
        <v/>
      </c>
      <c r="C1144" s="13"/>
      <c r="D1144" s="14"/>
      <c r="E1144" s="15"/>
      <c r="F1144" s="16"/>
      <c r="G1144" s="17"/>
      <c r="H1144" s="18"/>
      <c r="I1144" s="19"/>
      <c r="J1144" s="20"/>
      <c r="K1144" s="21"/>
      <c r="L1144" s="22"/>
      <c r="M1144" s="23"/>
      <c r="N1144" s="24"/>
      <c r="O1144" s="25"/>
      <c r="P1144" s="26"/>
      <c r="Q1144" s="27"/>
      <c r="R1144" s="28"/>
      <c r="S1144" s="29"/>
      <c r="T1144" s="30"/>
    </row>
    <row r="1145" spans="1:20" ht="24" customHeight="1" x14ac:dyDescent="0.25">
      <c r="A1145" t="str">
        <f>IF('e1'!A1145&gt;0,HYPERLINK("#"&amp;ADDRESS(1145,'e1'!A1145),""),IF('r1'!A1145&gt;0,HYPERLINK("#"&amp;ADDRESS(1145,'r1'!A1145),""),""))</f>
        <v/>
      </c>
      <c r="C1145" s="13"/>
      <c r="D1145" s="14"/>
      <c r="E1145" s="15"/>
      <c r="F1145" s="16"/>
      <c r="G1145" s="17"/>
      <c r="H1145" s="18"/>
      <c r="I1145" s="19"/>
      <c r="J1145" s="20"/>
      <c r="K1145" s="21"/>
      <c r="L1145" s="22"/>
      <c r="M1145" s="23"/>
      <c r="N1145" s="24"/>
      <c r="O1145" s="25"/>
      <c r="P1145" s="26"/>
      <c r="Q1145" s="27"/>
      <c r="R1145" s="28"/>
      <c r="S1145" s="29"/>
      <c r="T1145" s="30"/>
    </row>
    <row r="1146" spans="1:20" ht="24" customHeight="1" x14ac:dyDescent="0.25">
      <c r="A1146" t="str">
        <f>IF('e1'!A1146&gt;0,HYPERLINK("#"&amp;ADDRESS(1146,'e1'!A1146),""),IF('r1'!A1146&gt;0,HYPERLINK("#"&amp;ADDRESS(1146,'r1'!A1146),""),""))</f>
        <v/>
      </c>
      <c r="C1146" s="13"/>
      <c r="D1146" s="14"/>
      <c r="E1146" s="15"/>
      <c r="F1146" s="16"/>
      <c r="G1146" s="17"/>
      <c r="H1146" s="18"/>
      <c r="I1146" s="19"/>
      <c r="J1146" s="20"/>
      <c r="K1146" s="21"/>
      <c r="L1146" s="22"/>
      <c r="M1146" s="23"/>
      <c r="N1146" s="24"/>
      <c r="O1146" s="25"/>
      <c r="P1146" s="26"/>
      <c r="Q1146" s="27"/>
      <c r="R1146" s="28"/>
      <c r="S1146" s="29"/>
      <c r="T1146" s="30"/>
    </row>
    <row r="1147" spans="1:20" ht="24" customHeight="1" x14ac:dyDescent="0.25">
      <c r="A1147" t="str">
        <f>IF('e1'!A1147&gt;0,HYPERLINK("#"&amp;ADDRESS(1147,'e1'!A1147),""),IF('r1'!A1147&gt;0,HYPERLINK("#"&amp;ADDRESS(1147,'r1'!A1147),""),""))</f>
        <v/>
      </c>
      <c r="C1147" s="13"/>
      <c r="D1147" s="14"/>
      <c r="E1147" s="15"/>
      <c r="F1147" s="16"/>
      <c r="G1147" s="17"/>
      <c r="H1147" s="18"/>
      <c r="I1147" s="19"/>
      <c r="J1147" s="20"/>
      <c r="K1147" s="21"/>
      <c r="L1147" s="22"/>
      <c r="M1147" s="23"/>
      <c r="N1147" s="24"/>
      <c r="O1147" s="25"/>
      <c r="P1147" s="26"/>
      <c r="Q1147" s="27"/>
      <c r="R1147" s="28"/>
      <c r="S1147" s="29"/>
      <c r="T1147" s="30"/>
    </row>
    <row r="1148" spans="1:20" ht="24" customHeight="1" x14ac:dyDescent="0.25">
      <c r="A1148" t="str">
        <f>IF('e1'!A1148&gt;0,HYPERLINK("#"&amp;ADDRESS(1148,'e1'!A1148),""),IF('r1'!A1148&gt;0,HYPERLINK("#"&amp;ADDRESS(1148,'r1'!A1148),""),""))</f>
        <v/>
      </c>
      <c r="C1148" s="13"/>
      <c r="D1148" s="14"/>
      <c r="E1148" s="15"/>
      <c r="F1148" s="16"/>
      <c r="G1148" s="17"/>
      <c r="H1148" s="18"/>
      <c r="I1148" s="19"/>
      <c r="J1148" s="20"/>
      <c r="K1148" s="21"/>
      <c r="L1148" s="22"/>
      <c r="M1148" s="23"/>
      <c r="N1148" s="24"/>
      <c r="O1148" s="25"/>
      <c r="P1148" s="26"/>
      <c r="Q1148" s="27"/>
      <c r="R1148" s="28"/>
      <c r="S1148" s="29"/>
      <c r="T1148" s="30"/>
    </row>
    <row r="1149" spans="1:20" ht="24" customHeight="1" x14ac:dyDescent="0.25">
      <c r="A1149" t="str">
        <f>IF('e1'!A1149&gt;0,HYPERLINK("#"&amp;ADDRESS(1149,'e1'!A1149),""),IF('r1'!A1149&gt;0,HYPERLINK("#"&amp;ADDRESS(1149,'r1'!A1149),""),""))</f>
        <v/>
      </c>
      <c r="C1149" s="13"/>
      <c r="D1149" s="14"/>
      <c r="E1149" s="15"/>
      <c r="F1149" s="16"/>
      <c r="G1149" s="17"/>
      <c r="H1149" s="18"/>
      <c r="I1149" s="19"/>
      <c r="J1149" s="20"/>
      <c r="K1149" s="21"/>
      <c r="L1149" s="22"/>
      <c r="M1149" s="23"/>
      <c r="N1149" s="24"/>
      <c r="O1149" s="25"/>
      <c r="P1149" s="26"/>
      <c r="Q1149" s="27"/>
      <c r="R1149" s="28"/>
      <c r="S1149" s="29"/>
      <c r="T1149" s="30"/>
    </row>
    <row r="1150" spans="1:20" ht="24" customHeight="1" x14ac:dyDescent="0.25">
      <c r="A1150" t="str">
        <f>IF('e1'!A1150&gt;0,HYPERLINK("#"&amp;ADDRESS(1150,'e1'!A1150),""),IF('r1'!A1150&gt;0,HYPERLINK("#"&amp;ADDRESS(1150,'r1'!A1150),""),""))</f>
        <v/>
      </c>
      <c r="C1150" s="13"/>
      <c r="D1150" s="14"/>
      <c r="E1150" s="15"/>
      <c r="F1150" s="16"/>
      <c r="G1150" s="17"/>
      <c r="H1150" s="18"/>
      <c r="I1150" s="19"/>
      <c r="J1150" s="20"/>
      <c r="K1150" s="21"/>
      <c r="L1150" s="22"/>
      <c r="M1150" s="23"/>
      <c r="N1150" s="24"/>
      <c r="O1150" s="25"/>
      <c r="P1150" s="26"/>
      <c r="Q1150" s="27"/>
      <c r="R1150" s="28"/>
      <c r="S1150" s="29"/>
      <c r="T1150" s="30"/>
    </row>
    <row r="1151" spans="1:20" ht="24" customHeight="1" x14ac:dyDescent="0.25">
      <c r="A1151" t="str">
        <f>IF('e1'!A1151&gt;0,HYPERLINK("#"&amp;ADDRESS(1151,'e1'!A1151),""),IF('r1'!A1151&gt;0,HYPERLINK("#"&amp;ADDRESS(1151,'r1'!A1151),""),""))</f>
        <v/>
      </c>
      <c r="C1151" s="13"/>
      <c r="D1151" s="14"/>
      <c r="E1151" s="15"/>
      <c r="F1151" s="16"/>
      <c r="G1151" s="17"/>
      <c r="H1151" s="18"/>
      <c r="I1151" s="19"/>
      <c r="J1151" s="20"/>
      <c r="K1151" s="21"/>
      <c r="L1151" s="22"/>
      <c r="M1151" s="23"/>
      <c r="N1151" s="24"/>
      <c r="O1151" s="25"/>
      <c r="P1151" s="26"/>
      <c r="Q1151" s="27"/>
      <c r="R1151" s="28"/>
      <c r="S1151" s="29"/>
      <c r="T1151" s="30"/>
    </row>
    <row r="1152" spans="1:20" ht="24" customHeight="1" x14ac:dyDescent="0.25">
      <c r="A1152" t="str">
        <f>IF('e1'!A1152&gt;0,HYPERLINK("#"&amp;ADDRESS(1152,'e1'!A1152),""),IF('r1'!A1152&gt;0,HYPERLINK("#"&amp;ADDRESS(1152,'r1'!A1152),""),""))</f>
        <v/>
      </c>
      <c r="C1152" s="13"/>
      <c r="D1152" s="14"/>
      <c r="E1152" s="15"/>
      <c r="F1152" s="16"/>
      <c r="G1152" s="17"/>
      <c r="H1152" s="18"/>
      <c r="I1152" s="19"/>
      <c r="J1152" s="20"/>
      <c r="K1152" s="21"/>
      <c r="L1152" s="22"/>
      <c r="M1152" s="23"/>
      <c r="N1152" s="24"/>
      <c r="O1152" s="25"/>
      <c r="P1152" s="26"/>
      <c r="Q1152" s="27"/>
      <c r="R1152" s="28"/>
      <c r="S1152" s="29"/>
      <c r="T1152" s="30"/>
    </row>
    <row r="1153" spans="1:20" ht="24" customHeight="1" x14ac:dyDescent="0.25">
      <c r="A1153" t="str">
        <f>IF('e1'!A1153&gt;0,HYPERLINK("#"&amp;ADDRESS(1153,'e1'!A1153),""),IF('r1'!A1153&gt;0,HYPERLINK("#"&amp;ADDRESS(1153,'r1'!A1153),""),""))</f>
        <v/>
      </c>
      <c r="C1153" s="13"/>
      <c r="D1153" s="14"/>
      <c r="E1153" s="15"/>
      <c r="F1153" s="16"/>
      <c r="G1153" s="17"/>
      <c r="H1153" s="18"/>
      <c r="I1153" s="19"/>
      <c r="J1153" s="20"/>
      <c r="K1153" s="21"/>
      <c r="L1153" s="22"/>
      <c r="M1153" s="23"/>
      <c r="N1153" s="24"/>
      <c r="O1153" s="25"/>
      <c r="P1153" s="26"/>
      <c r="Q1153" s="27"/>
      <c r="R1153" s="28"/>
      <c r="S1153" s="29"/>
      <c r="T1153" s="30"/>
    </row>
    <row r="1154" spans="1:20" ht="24" customHeight="1" x14ac:dyDescent="0.25">
      <c r="A1154" t="str">
        <f>IF('e1'!A1154&gt;0,HYPERLINK("#"&amp;ADDRESS(1154,'e1'!A1154),""),IF('r1'!A1154&gt;0,HYPERLINK("#"&amp;ADDRESS(1154,'r1'!A1154),""),""))</f>
        <v/>
      </c>
      <c r="C1154" s="13"/>
      <c r="D1154" s="14"/>
      <c r="E1154" s="15"/>
      <c r="F1154" s="16"/>
      <c r="G1154" s="17"/>
      <c r="H1154" s="18"/>
      <c r="I1154" s="19"/>
      <c r="J1154" s="20"/>
      <c r="K1154" s="21"/>
      <c r="L1154" s="22"/>
      <c r="M1154" s="23"/>
      <c r="N1154" s="24"/>
      <c r="O1154" s="25"/>
      <c r="P1154" s="26"/>
      <c r="Q1154" s="27"/>
      <c r="R1154" s="28"/>
      <c r="S1154" s="29"/>
      <c r="T1154" s="30"/>
    </row>
    <row r="1155" spans="1:20" ht="24" customHeight="1" x14ac:dyDescent="0.25">
      <c r="A1155" t="str">
        <f>IF('e1'!A1155&gt;0,HYPERLINK("#"&amp;ADDRESS(1155,'e1'!A1155),""),IF('r1'!A1155&gt;0,HYPERLINK("#"&amp;ADDRESS(1155,'r1'!A1155),""),""))</f>
        <v/>
      </c>
      <c r="C1155" s="13"/>
      <c r="D1155" s="14"/>
      <c r="E1155" s="15"/>
      <c r="F1155" s="16"/>
      <c r="G1155" s="17"/>
      <c r="H1155" s="18"/>
      <c r="I1155" s="19"/>
      <c r="J1155" s="20"/>
      <c r="K1155" s="21"/>
      <c r="L1155" s="22"/>
      <c r="M1155" s="23"/>
      <c r="N1155" s="24"/>
      <c r="O1155" s="25"/>
      <c r="P1155" s="26"/>
      <c r="Q1155" s="27"/>
      <c r="R1155" s="28"/>
      <c r="S1155" s="29"/>
      <c r="T1155" s="30"/>
    </row>
    <row r="1156" spans="1:20" ht="24" customHeight="1" x14ac:dyDescent="0.25">
      <c r="A1156" t="str">
        <f>IF('e1'!A1156&gt;0,HYPERLINK("#"&amp;ADDRESS(1156,'e1'!A1156),""),IF('r1'!A1156&gt;0,HYPERLINK("#"&amp;ADDRESS(1156,'r1'!A1156),""),""))</f>
        <v/>
      </c>
      <c r="C1156" s="13"/>
      <c r="D1156" s="14"/>
      <c r="E1156" s="15"/>
      <c r="F1156" s="16"/>
      <c r="G1156" s="17"/>
      <c r="H1156" s="18"/>
      <c r="I1156" s="19"/>
      <c r="J1156" s="20"/>
      <c r="K1156" s="21"/>
      <c r="L1156" s="22"/>
      <c r="M1156" s="23"/>
      <c r="N1156" s="24"/>
      <c r="O1156" s="25"/>
      <c r="P1156" s="26"/>
      <c r="Q1156" s="27"/>
      <c r="R1156" s="28"/>
      <c r="S1156" s="29"/>
      <c r="T1156" s="30"/>
    </row>
    <row r="1157" spans="1:20" ht="24" customHeight="1" x14ac:dyDescent="0.25">
      <c r="A1157" t="str">
        <f>IF('e1'!A1157&gt;0,HYPERLINK("#"&amp;ADDRESS(1157,'e1'!A1157),""),IF('r1'!A1157&gt;0,HYPERLINK("#"&amp;ADDRESS(1157,'r1'!A1157),""),""))</f>
        <v/>
      </c>
      <c r="C1157" s="13"/>
      <c r="D1157" s="14"/>
      <c r="E1157" s="15"/>
      <c r="F1157" s="16"/>
      <c r="G1157" s="17"/>
      <c r="H1157" s="18"/>
      <c r="I1157" s="19"/>
      <c r="J1157" s="20"/>
      <c r="K1157" s="21"/>
      <c r="L1157" s="22"/>
      <c r="M1157" s="23"/>
      <c r="N1157" s="24"/>
      <c r="O1157" s="25"/>
      <c r="P1157" s="26"/>
      <c r="Q1157" s="27"/>
      <c r="R1157" s="28"/>
      <c r="S1157" s="29"/>
      <c r="T1157" s="30"/>
    </row>
    <row r="1158" spans="1:20" ht="24" customHeight="1" x14ac:dyDescent="0.25">
      <c r="A1158" t="str">
        <f>IF('e1'!A1158&gt;0,HYPERLINK("#"&amp;ADDRESS(1158,'e1'!A1158),""),IF('r1'!A1158&gt;0,HYPERLINK("#"&amp;ADDRESS(1158,'r1'!A1158),""),""))</f>
        <v/>
      </c>
      <c r="C1158" s="13"/>
      <c r="D1158" s="14"/>
      <c r="E1158" s="15"/>
      <c r="F1158" s="16"/>
      <c r="G1158" s="17"/>
      <c r="H1158" s="18"/>
      <c r="I1158" s="19"/>
      <c r="J1158" s="20"/>
      <c r="K1158" s="21"/>
      <c r="L1158" s="22"/>
      <c r="M1158" s="23"/>
      <c r="N1158" s="24"/>
      <c r="O1158" s="25"/>
      <c r="P1158" s="26"/>
      <c r="Q1158" s="27"/>
      <c r="R1158" s="28"/>
      <c r="S1158" s="29"/>
      <c r="T1158" s="30"/>
    </row>
    <row r="1159" spans="1:20" ht="24" customHeight="1" x14ac:dyDescent="0.25">
      <c r="A1159" t="str">
        <f>IF('e1'!A1159&gt;0,HYPERLINK("#"&amp;ADDRESS(1159,'e1'!A1159),""),IF('r1'!A1159&gt;0,HYPERLINK("#"&amp;ADDRESS(1159,'r1'!A1159),""),""))</f>
        <v/>
      </c>
      <c r="C1159" s="13"/>
      <c r="D1159" s="14"/>
      <c r="E1159" s="15"/>
      <c r="F1159" s="16"/>
      <c r="G1159" s="17"/>
      <c r="H1159" s="18"/>
      <c r="I1159" s="19"/>
      <c r="J1159" s="20"/>
      <c r="K1159" s="21"/>
      <c r="L1159" s="22"/>
      <c r="M1159" s="23"/>
      <c r="N1159" s="24"/>
      <c r="O1159" s="25"/>
      <c r="P1159" s="26"/>
      <c r="Q1159" s="27"/>
      <c r="R1159" s="28"/>
      <c r="S1159" s="29"/>
      <c r="T1159" s="30"/>
    </row>
    <row r="1160" spans="1:20" ht="24" customHeight="1" x14ac:dyDescent="0.25">
      <c r="A1160" t="str">
        <f>IF('e1'!A1160&gt;0,HYPERLINK("#"&amp;ADDRESS(1160,'e1'!A1160),""),IF('r1'!A1160&gt;0,HYPERLINK("#"&amp;ADDRESS(1160,'r1'!A1160),""),""))</f>
        <v/>
      </c>
      <c r="C1160" s="13"/>
      <c r="D1160" s="14"/>
      <c r="E1160" s="15"/>
      <c r="F1160" s="16"/>
      <c r="G1160" s="17"/>
      <c r="H1160" s="18"/>
      <c r="I1160" s="19"/>
      <c r="J1160" s="20"/>
      <c r="K1160" s="21"/>
      <c r="L1160" s="22"/>
      <c r="M1160" s="23"/>
      <c r="N1160" s="24"/>
      <c r="O1160" s="25"/>
      <c r="P1160" s="26"/>
      <c r="Q1160" s="27"/>
      <c r="R1160" s="28"/>
      <c r="S1160" s="29"/>
      <c r="T1160" s="30"/>
    </row>
    <row r="1161" spans="1:20" ht="24" customHeight="1" x14ac:dyDescent="0.25">
      <c r="A1161" t="str">
        <f>IF('e1'!A1161&gt;0,HYPERLINK("#"&amp;ADDRESS(1161,'e1'!A1161),""),IF('r1'!A1161&gt;0,HYPERLINK("#"&amp;ADDRESS(1161,'r1'!A1161),""),""))</f>
        <v/>
      </c>
      <c r="C1161" s="13"/>
      <c r="D1161" s="14"/>
      <c r="E1161" s="15"/>
      <c r="F1161" s="16"/>
      <c r="G1161" s="17"/>
      <c r="H1161" s="18"/>
      <c r="I1161" s="19"/>
      <c r="J1161" s="20"/>
      <c r="K1161" s="21"/>
      <c r="L1161" s="22"/>
      <c r="M1161" s="23"/>
      <c r="N1161" s="24"/>
      <c r="O1161" s="25"/>
      <c r="P1161" s="26"/>
      <c r="Q1161" s="27"/>
      <c r="R1161" s="28"/>
      <c r="S1161" s="29"/>
      <c r="T1161" s="30"/>
    </row>
    <row r="1162" spans="1:20" ht="24" customHeight="1" x14ac:dyDescent="0.25">
      <c r="A1162" t="str">
        <f>IF('e1'!A1162&gt;0,HYPERLINK("#"&amp;ADDRESS(1162,'e1'!A1162),""),IF('r1'!A1162&gt;0,HYPERLINK("#"&amp;ADDRESS(1162,'r1'!A1162),""),""))</f>
        <v/>
      </c>
      <c r="C1162" s="13"/>
      <c r="D1162" s="14"/>
      <c r="E1162" s="15"/>
      <c r="F1162" s="16"/>
      <c r="G1162" s="17"/>
      <c r="H1162" s="18"/>
      <c r="I1162" s="19"/>
      <c r="J1162" s="20"/>
      <c r="K1162" s="21"/>
      <c r="L1162" s="22"/>
      <c r="M1162" s="23"/>
      <c r="N1162" s="24"/>
      <c r="O1162" s="25"/>
      <c r="P1162" s="26"/>
      <c r="Q1162" s="27"/>
      <c r="R1162" s="28"/>
      <c r="S1162" s="29"/>
      <c r="T1162" s="30"/>
    </row>
    <row r="1163" spans="1:20" ht="24" customHeight="1" x14ac:dyDescent="0.25">
      <c r="A1163" t="str">
        <f>IF('e1'!A1163&gt;0,HYPERLINK("#"&amp;ADDRESS(1163,'e1'!A1163),""),IF('r1'!A1163&gt;0,HYPERLINK("#"&amp;ADDRESS(1163,'r1'!A1163),""),""))</f>
        <v/>
      </c>
      <c r="C1163" s="13"/>
      <c r="D1163" s="14"/>
      <c r="E1163" s="15"/>
      <c r="F1163" s="16"/>
      <c r="G1163" s="17"/>
      <c r="H1163" s="18"/>
      <c r="I1163" s="19"/>
      <c r="J1163" s="20"/>
      <c r="K1163" s="21"/>
      <c r="L1163" s="22"/>
      <c r="M1163" s="23"/>
      <c r="N1163" s="24"/>
      <c r="O1163" s="25"/>
      <c r="P1163" s="26"/>
      <c r="Q1163" s="27"/>
      <c r="R1163" s="28"/>
      <c r="S1163" s="29"/>
      <c r="T1163" s="30"/>
    </row>
    <row r="1164" spans="1:20" ht="24" customHeight="1" x14ac:dyDescent="0.25">
      <c r="A1164" t="str">
        <f>IF('e1'!A1164&gt;0,HYPERLINK("#"&amp;ADDRESS(1164,'e1'!A1164),""),IF('r1'!A1164&gt;0,HYPERLINK("#"&amp;ADDRESS(1164,'r1'!A1164),""),""))</f>
        <v/>
      </c>
      <c r="C1164" s="13"/>
      <c r="D1164" s="14"/>
      <c r="E1164" s="15"/>
      <c r="F1164" s="16"/>
      <c r="G1164" s="17"/>
      <c r="H1164" s="18"/>
      <c r="I1164" s="19"/>
      <c r="J1164" s="20"/>
      <c r="K1164" s="21"/>
      <c r="L1164" s="22"/>
      <c r="M1164" s="23"/>
      <c r="N1164" s="24"/>
      <c r="O1164" s="25"/>
      <c r="P1164" s="26"/>
      <c r="Q1164" s="27"/>
      <c r="R1164" s="28"/>
      <c r="S1164" s="29"/>
      <c r="T1164" s="30"/>
    </row>
    <row r="1165" spans="1:20" ht="24" customHeight="1" x14ac:dyDescent="0.25">
      <c r="A1165" t="str">
        <f>IF('e1'!A1165&gt;0,HYPERLINK("#"&amp;ADDRESS(1165,'e1'!A1165),""),IF('r1'!A1165&gt;0,HYPERLINK("#"&amp;ADDRESS(1165,'r1'!A1165),""),""))</f>
        <v/>
      </c>
      <c r="C1165" s="13"/>
      <c r="D1165" s="14"/>
      <c r="E1165" s="15"/>
      <c r="F1165" s="16"/>
      <c r="G1165" s="17"/>
      <c r="H1165" s="18"/>
      <c r="I1165" s="19"/>
      <c r="J1165" s="20"/>
      <c r="K1165" s="21"/>
      <c r="L1165" s="22"/>
      <c r="M1165" s="23"/>
      <c r="N1165" s="24"/>
      <c r="O1165" s="25"/>
      <c r="P1165" s="26"/>
      <c r="Q1165" s="27"/>
      <c r="R1165" s="28"/>
      <c r="S1165" s="29"/>
      <c r="T1165" s="30"/>
    </row>
    <row r="1166" spans="1:20" ht="24" customHeight="1" x14ac:dyDescent="0.25">
      <c r="A1166" t="str">
        <f>IF('e1'!A1166&gt;0,HYPERLINK("#"&amp;ADDRESS(1166,'e1'!A1166),""),IF('r1'!A1166&gt;0,HYPERLINK("#"&amp;ADDRESS(1166,'r1'!A1166),""),""))</f>
        <v/>
      </c>
      <c r="C1166" s="13"/>
      <c r="D1166" s="14"/>
      <c r="E1166" s="15"/>
      <c r="F1166" s="16"/>
      <c r="G1166" s="17"/>
      <c r="H1166" s="18"/>
      <c r="I1166" s="19"/>
      <c r="J1166" s="20"/>
      <c r="K1166" s="21"/>
      <c r="L1166" s="22"/>
      <c r="M1166" s="23"/>
      <c r="N1166" s="24"/>
      <c r="O1166" s="25"/>
      <c r="P1166" s="26"/>
      <c r="Q1166" s="27"/>
      <c r="R1166" s="28"/>
      <c r="S1166" s="29"/>
      <c r="T1166" s="30"/>
    </row>
    <row r="1167" spans="1:20" ht="24" customHeight="1" x14ac:dyDescent="0.25">
      <c r="A1167" t="str">
        <f>IF('e1'!A1167&gt;0,HYPERLINK("#"&amp;ADDRESS(1167,'e1'!A1167),""),IF('r1'!A1167&gt;0,HYPERLINK("#"&amp;ADDRESS(1167,'r1'!A1167),""),""))</f>
        <v/>
      </c>
      <c r="C1167" s="13"/>
      <c r="D1167" s="14"/>
      <c r="E1167" s="15"/>
      <c r="F1167" s="16"/>
      <c r="G1167" s="17"/>
      <c r="H1167" s="18"/>
      <c r="I1167" s="19"/>
      <c r="J1167" s="20"/>
      <c r="K1167" s="21"/>
      <c r="L1167" s="22"/>
      <c r="M1167" s="23"/>
      <c r="N1167" s="24"/>
      <c r="O1167" s="25"/>
      <c r="P1167" s="26"/>
      <c r="Q1167" s="27"/>
      <c r="R1167" s="28"/>
      <c r="S1167" s="29"/>
      <c r="T1167" s="30"/>
    </row>
    <row r="1168" spans="1:20" ht="24" customHeight="1" x14ac:dyDescent="0.25">
      <c r="A1168" t="str">
        <f>IF('e1'!A1168&gt;0,HYPERLINK("#"&amp;ADDRESS(1168,'e1'!A1168),""),IF('r1'!A1168&gt;0,HYPERLINK("#"&amp;ADDRESS(1168,'r1'!A1168),""),""))</f>
        <v/>
      </c>
      <c r="C1168" s="13"/>
      <c r="D1168" s="14"/>
      <c r="E1168" s="15"/>
      <c r="F1168" s="16"/>
      <c r="G1168" s="17"/>
      <c r="H1168" s="18"/>
      <c r="I1168" s="19"/>
      <c r="J1168" s="20"/>
      <c r="K1168" s="21"/>
      <c r="L1168" s="22"/>
      <c r="M1168" s="23"/>
      <c r="N1168" s="24"/>
      <c r="O1168" s="25"/>
      <c r="P1168" s="26"/>
      <c r="Q1168" s="27"/>
      <c r="R1168" s="28"/>
      <c r="S1168" s="29"/>
      <c r="T1168" s="30"/>
    </row>
    <row r="1169" spans="1:20" ht="24" customHeight="1" x14ac:dyDescent="0.25">
      <c r="A1169" t="str">
        <f>IF('e1'!A1169&gt;0,HYPERLINK("#"&amp;ADDRESS(1169,'e1'!A1169),""),IF('r1'!A1169&gt;0,HYPERLINK("#"&amp;ADDRESS(1169,'r1'!A1169),""),""))</f>
        <v/>
      </c>
      <c r="C1169" s="13"/>
      <c r="D1169" s="14"/>
      <c r="E1169" s="15"/>
      <c r="F1169" s="16"/>
      <c r="G1169" s="17"/>
      <c r="H1169" s="18"/>
      <c r="I1169" s="19"/>
      <c r="J1169" s="20"/>
      <c r="K1169" s="21"/>
      <c r="L1169" s="22"/>
      <c r="M1169" s="23"/>
      <c r="N1169" s="24"/>
      <c r="O1169" s="25"/>
      <c r="P1169" s="26"/>
      <c r="Q1169" s="27"/>
      <c r="R1169" s="28"/>
      <c r="S1169" s="29"/>
      <c r="T1169" s="30"/>
    </row>
    <row r="1170" spans="1:20" ht="24" customHeight="1" x14ac:dyDescent="0.25">
      <c r="A1170" t="str">
        <f>IF('e1'!A1170&gt;0,HYPERLINK("#"&amp;ADDRESS(1170,'e1'!A1170),""),IF('r1'!A1170&gt;0,HYPERLINK("#"&amp;ADDRESS(1170,'r1'!A1170),""),""))</f>
        <v/>
      </c>
      <c r="C1170" s="13"/>
      <c r="D1170" s="14"/>
      <c r="E1170" s="15"/>
      <c r="F1170" s="16"/>
      <c r="G1170" s="17"/>
      <c r="H1170" s="18"/>
      <c r="I1170" s="19"/>
      <c r="J1170" s="20"/>
      <c r="K1170" s="21"/>
      <c r="L1170" s="22"/>
      <c r="M1170" s="23"/>
      <c r="N1170" s="24"/>
      <c r="O1170" s="25"/>
      <c r="P1170" s="26"/>
      <c r="Q1170" s="27"/>
      <c r="R1170" s="28"/>
      <c r="S1170" s="29"/>
      <c r="T1170" s="30"/>
    </row>
    <row r="1171" spans="1:20" ht="24" customHeight="1" x14ac:dyDescent="0.25">
      <c r="A1171" t="str">
        <f>IF('e1'!A1171&gt;0,HYPERLINK("#"&amp;ADDRESS(1171,'e1'!A1171),""),IF('r1'!A1171&gt;0,HYPERLINK("#"&amp;ADDRESS(1171,'r1'!A1171),""),""))</f>
        <v/>
      </c>
      <c r="C1171" s="13"/>
      <c r="D1171" s="14"/>
      <c r="E1171" s="15"/>
      <c r="F1171" s="16"/>
      <c r="G1171" s="17"/>
      <c r="H1171" s="18"/>
      <c r="I1171" s="19"/>
      <c r="J1171" s="20"/>
      <c r="K1171" s="21"/>
      <c r="L1171" s="22"/>
      <c r="M1171" s="23"/>
      <c r="N1171" s="24"/>
      <c r="O1171" s="25"/>
      <c r="P1171" s="26"/>
      <c r="Q1171" s="27"/>
      <c r="R1171" s="28"/>
      <c r="S1171" s="29"/>
      <c r="T1171" s="30"/>
    </row>
    <row r="1172" spans="1:20" ht="24" customHeight="1" x14ac:dyDescent="0.25">
      <c r="A1172" t="str">
        <f>IF('e1'!A1172&gt;0,HYPERLINK("#"&amp;ADDRESS(1172,'e1'!A1172),""),IF('r1'!A1172&gt;0,HYPERLINK("#"&amp;ADDRESS(1172,'r1'!A1172),""),""))</f>
        <v/>
      </c>
      <c r="C1172" s="13"/>
      <c r="D1172" s="14"/>
      <c r="E1172" s="15"/>
      <c r="F1172" s="16"/>
      <c r="G1172" s="17"/>
      <c r="H1172" s="18"/>
      <c r="I1172" s="19"/>
      <c r="J1172" s="20"/>
      <c r="K1172" s="21"/>
      <c r="L1172" s="22"/>
      <c r="M1172" s="23"/>
      <c r="N1172" s="24"/>
      <c r="O1172" s="25"/>
      <c r="P1172" s="26"/>
      <c r="Q1172" s="27"/>
      <c r="R1172" s="28"/>
      <c r="S1172" s="29"/>
      <c r="T1172" s="30"/>
    </row>
    <row r="1173" spans="1:20" ht="24" customHeight="1" x14ac:dyDescent="0.25">
      <c r="A1173" t="str">
        <f>IF('e1'!A1173&gt;0,HYPERLINK("#"&amp;ADDRESS(1173,'e1'!A1173),""),IF('r1'!A1173&gt;0,HYPERLINK("#"&amp;ADDRESS(1173,'r1'!A1173),""),""))</f>
        <v/>
      </c>
      <c r="C1173" s="13"/>
      <c r="D1173" s="14"/>
      <c r="E1173" s="15"/>
      <c r="F1173" s="16"/>
      <c r="G1173" s="17"/>
      <c r="H1173" s="18"/>
      <c r="I1173" s="19"/>
      <c r="J1173" s="20"/>
      <c r="K1173" s="21"/>
      <c r="L1173" s="22"/>
      <c r="M1173" s="23"/>
      <c r="N1173" s="24"/>
      <c r="O1173" s="25"/>
      <c r="P1173" s="26"/>
      <c r="Q1173" s="27"/>
      <c r="R1173" s="28"/>
      <c r="S1173" s="29"/>
      <c r="T1173" s="30"/>
    </row>
    <row r="1174" spans="1:20" ht="24" customHeight="1" x14ac:dyDescent="0.25">
      <c r="A1174" t="str">
        <f>IF('e1'!A1174&gt;0,HYPERLINK("#"&amp;ADDRESS(1174,'e1'!A1174),""),IF('r1'!A1174&gt;0,HYPERLINK("#"&amp;ADDRESS(1174,'r1'!A1174),""),""))</f>
        <v/>
      </c>
      <c r="C1174" s="13"/>
      <c r="D1174" s="14"/>
      <c r="E1174" s="15"/>
      <c r="F1174" s="16"/>
      <c r="G1174" s="17"/>
      <c r="H1174" s="18"/>
      <c r="I1174" s="19"/>
      <c r="J1174" s="20"/>
      <c r="K1174" s="21"/>
      <c r="L1174" s="22"/>
      <c r="M1174" s="23"/>
      <c r="N1174" s="24"/>
      <c r="O1174" s="25"/>
      <c r="P1174" s="26"/>
      <c r="Q1174" s="27"/>
      <c r="R1174" s="28"/>
      <c r="S1174" s="29"/>
      <c r="T1174" s="30"/>
    </row>
    <row r="1175" spans="1:20" ht="24" customHeight="1" x14ac:dyDescent="0.25">
      <c r="A1175" t="str">
        <f>IF('e1'!A1175&gt;0,HYPERLINK("#"&amp;ADDRESS(1175,'e1'!A1175),""),IF('r1'!A1175&gt;0,HYPERLINK("#"&amp;ADDRESS(1175,'r1'!A1175),""),""))</f>
        <v/>
      </c>
      <c r="C1175" s="13"/>
      <c r="D1175" s="14"/>
      <c r="E1175" s="15"/>
      <c r="F1175" s="16"/>
      <c r="G1175" s="17"/>
      <c r="H1175" s="18"/>
      <c r="I1175" s="19"/>
      <c r="J1175" s="20"/>
      <c r="K1175" s="21"/>
      <c r="L1175" s="22"/>
      <c r="M1175" s="23"/>
      <c r="N1175" s="24"/>
      <c r="O1175" s="25"/>
      <c r="P1175" s="26"/>
      <c r="Q1175" s="27"/>
      <c r="R1175" s="28"/>
      <c r="S1175" s="29"/>
      <c r="T1175" s="30"/>
    </row>
    <row r="1176" spans="1:20" ht="24" customHeight="1" x14ac:dyDescent="0.25">
      <c r="A1176" t="str">
        <f>IF('e1'!A1176&gt;0,HYPERLINK("#"&amp;ADDRESS(1176,'e1'!A1176),""),IF('r1'!A1176&gt;0,HYPERLINK("#"&amp;ADDRESS(1176,'r1'!A1176),""),""))</f>
        <v/>
      </c>
      <c r="C1176" s="13"/>
      <c r="D1176" s="14"/>
      <c r="E1176" s="15"/>
      <c r="F1176" s="16"/>
      <c r="G1176" s="17"/>
      <c r="H1176" s="18"/>
      <c r="I1176" s="19"/>
      <c r="J1176" s="20"/>
      <c r="K1176" s="21"/>
      <c r="L1176" s="22"/>
      <c r="M1176" s="23"/>
      <c r="N1176" s="24"/>
      <c r="O1176" s="25"/>
      <c r="P1176" s="26"/>
      <c r="Q1176" s="27"/>
      <c r="R1176" s="28"/>
      <c r="S1176" s="29"/>
      <c r="T1176" s="30"/>
    </row>
    <row r="1177" spans="1:20" ht="24" customHeight="1" x14ac:dyDescent="0.25">
      <c r="A1177" t="str">
        <f>IF('e1'!A1177&gt;0,HYPERLINK("#"&amp;ADDRESS(1177,'e1'!A1177),""),IF('r1'!A1177&gt;0,HYPERLINK("#"&amp;ADDRESS(1177,'r1'!A1177),""),""))</f>
        <v/>
      </c>
      <c r="C1177" s="13"/>
      <c r="D1177" s="14"/>
      <c r="E1177" s="15"/>
      <c r="F1177" s="16"/>
      <c r="G1177" s="17"/>
      <c r="H1177" s="18"/>
      <c r="I1177" s="19"/>
      <c r="J1177" s="20"/>
      <c r="K1177" s="21"/>
      <c r="L1177" s="22"/>
      <c r="M1177" s="23"/>
      <c r="N1177" s="24"/>
      <c r="O1177" s="25"/>
      <c r="P1177" s="26"/>
      <c r="Q1177" s="27"/>
      <c r="R1177" s="28"/>
      <c r="S1177" s="29"/>
      <c r="T1177" s="30"/>
    </row>
    <row r="1178" spans="1:20" ht="24" customHeight="1" x14ac:dyDescent="0.25">
      <c r="A1178" t="str">
        <f>IF('e1'!A1178&gt;0,HYPERLINK("#"&amp;ADDRESS(1178,'e1'!A1178),""),IF('r1'!A1178&gt;0,HYPERLINK("#"&amp;ADDRESS(1178,'r1'!A1178),""),""))</f>
        <v/>
      </c>
      <c r="C1178" s="13"/>
      <c r="D1178" s="14"/>
      <c r="E1178" s="15"/>
      <c r="F1178" s="16"/>
      <c r="G1178" s="17"/>
      <c r="H1178" s="18"/>
      <c r="I1178" s="19"/>
      <c r="J1178" s="20"/>
      <c r="K1178" s="21"/>
      <c r="L1178" s="22"/>
      <c r="M1178" s="23"/>
      <c r="N1178" s="24"/>
      <c r="O1178" s="25"/>
      <c r="P1178" s="26"/>
      <c r="Q1178" s="27"/>
      <c r="R1178" s="28"/>
      <c r="S1178" s="29"/>
      <c r="T1178" s="30"/>
    </row>
    <row r="1179" spans="1:20" ht="24" customHeight="1" x14ac:dyDescent="0.25">
      <c r="A1179" t="str">
        <f>IF('e1'!A1179&gt;0,HYPERLINK("#"&amp;ADDRESS(1179,'e1'!A1179),""),IF('r1'!A1179&gt;0,HYPERLINK("#"&amp;ADDRESS(1179,'r1'!A1179),""),""))</f>
        <v/>
      </c>
      <c r="C1179" s="13"/>
      <c r="D1179" s="14"/>
      <c r="E1179" s="15"/>
      <c r="F1179" s="16"/>
      <c r="G1179" s="17"/>
      <c r="H1179" s="18"/>
      <c r="I1179" s="19"/>
      <c r="J1179" s="20"/>
      <c r="K1179" s="21"/>
      <c r="L1179" s="22"/>
      <c r="M1179" s="23"/>
      <c r="N1179" s="24"/>
      <c r="O1179" s="25"/>
      <c r="P1179" s="26"/>
      <c r="Q1179" s="27"/>
      <c r="R1179" s="28"/>
      <c r="S1179" s="29"/>
      <c r="T1179" s="30"/>
    </row>
    <row r="1180" spans="1:20" ht="24" customHeight="1" x14ac:dyDescent="0.25">
      <c r="A1180" t="str">
        <f>IF('e1'!A1180&gt;0,HYPERLINK("#"&amp;ADDRESS(1180,'e1'!A1180),""),IF('r1'!A1180&gt;0,HYPERLINK("#"&amp;ADDRESS(1180,'r1'!A1180),""),""))</f>
        <v/>
      </c>
      <c r="C1180" s="13"/>
      <c r="D1180" s="14"/>
      <c r="E1180" s="15"/>
      <c r="F1180" s="16"/>
      <c r="G1180" s="17"/>
      <c r="H1180" s="18"/>
      <c r="I1180" s="19"/>
      <c r="J1180" s="20"/>
      <c r="K1180" s="21"/>
      <c r="L1180" s="22"/>
      <c r="M1180" s="23"/>
      <c r="N1180" s="24"/>
      <c r="O1180" s="25"/>
      <c r="P1180" s="26"/>
      <c r="Q1180" s="27"/>
      <c r="R1180" s="28"/>
      <c r="S1180" s="29"/>
      <c r="T1180" s="30"/>
    </row>
    <row r="1181" spans="1:20" ht="24" customHeight="1" x14ac:dyDescent="0.25">
      <c r="A1181" t="str">
        <f>IF('e1'!A1181&gt;0,HYPERLINK("#"&amp;ADDRESS(1181,'e1'!A1181),""),IF('r1'!A1181&gt;0,HYPERLINK("#"&amp;ADDRESS(1181,'r1'!A1181),""),""))</f>
        <v/>
      </c>
      <c r="C1181" s="13"/>
      <c r="D1181" s="14"/>
      <c r="E1181" s="15"/>
      <c r="F1181" s="16"/>
      <c r="G1181" s="17"/>
      <c r="H1181" s="18"/>
      <c r="I1181" s="19"/>
      <c r="J1181" s="20"/>
      <c r="K1181" s="21"/>
      <c r="L1181" s="22"/>
      <c r="M1181" s="23"/>
      <c r="N1181" s="24"/>
      <c r="O1181" s="25"/>
      <c r="P1181" s="26"/>
      <c r="Q1181" s="27"/>
      <c r="R1181" s="28"/>
      <c r="S1181" s="29"/>
      <c r="T1181" s="30"/>
    </row>
    <row r="1182" spans="1:20" ht="24" customHeight="1" x14ac:dyDescent="0.25">
      <c r="A1182" t="str">
        <f>IF('e1'!A1182&gt;0,HYPERLINK("#"&amp;ADDRESS(1182,'e1'!A1182),""),IF('r1'!A1182&gt;0,HYPERLINK("#"&amp;ADDRESS(1182,'r1'!A1182),""),""))</f>
        <v/>
      </c>
      <c r="C1182" s="13"/>
      <c r="D1182" s="14"/>
      <c r="E1182" s="15"/>
      <c r="F1182" s="16"/>
      <c r="G1182" s="17"/>
      <c r="H1182" s="18"/>
      <c r="I1182" s="19"/>
      <c r="J1182" s="20"/>
      <c r="K1182" s="21"/>
      <c r="L1182" s="22"/>
      <c r="M1182" s="23"/>
      <c r="N1182" s="24"/>
      <c r="O1182" s="25"/>
      <c r="P1182" s="26"/>
      <c r="Q1182" s="27"/>
      <c r="R1182" s="28"/>
      <c r="S1182" s="29"/>
      <c r="T1182" s="30"/>
    </row>
    <row r="1183" spans="1:20" ht="24" customHeight="1" x14ac:dyDescent="0.25">
      <c r="A1183" t="str">
        <f>IF('e1'!A1183&gt;0,HYPERLINK("#"&amp;ADDRESS(1183,'e1'!A1183),""),IF('r1'!A1183&gt;0,HYPERLINK("#"&amp;ADDRESS(1183,'r1'!A1183),""),""))</f>
        <v/>
      </c>
      <c r="C1183" s="13"/>
      <c r="D1183" s="14"/>
      <c r="E1183" s="15"/>
      <c r="F1183" s="16"/>
      <c r="G1183" s="17"/>
      <c r="H1183" s="18"/>
      <c r="I1183" s="19"/>
      <c r="J1183" s="20"/>
      <c r="K1183" s="21"/>
      <c r="L1183" s="22"/>
      <c r="M1183" s="23"/>
      <c r="N1183" s="24"/>
      <c r="O1183" s="25"/>
      <c r="P1183" s="26"/>
      <c r="Q1183" s="27"/>
      <c r="R1183" s="28"/>
      <c r="S1183" s="29"/>
      <c r="T1183" s="30"/>
    </row>
    <row r="1184" spans="1:20" ht="24" customHeight="1" x14ac:dyDescent="0.25">
      <c r="A1184" t="str">
        <f>IF('e1'!A1184&gt;0,HYPERLINK("#"&amp;ADDRESS(1184,'e1'!A1184),""),IF('r1'!A1184&gt;0,HYPERLINK("#"&amp;ADDRESS(1184,'r1'!A1184),""),""))</f>
        <v/>
      </c>
      <c r="C1184" s="13"/>
      <c r="D1184" s="14"/>
      <c r="E1184" s="15"/>
      <c r="F1184" s="16"/>
      <c r="G1184" s="17"/>
      <c r="H1184" s="18"/>
      <c r="I1184" s="19"/>
      <c r="J1184" s="20"/>
      <c r="K1184" s="21"/>
      <c r="L1184" s="22"/>
      <c r="M1184" s="23"/>
      <c r="N1184" s="24"/>
      <c r="O1184" s="25"/>
      <c r="P1184" s="26"/>
      <c r="Q1184" s="27"/>
      <c r="R1184" s="28"/>
      <c r="S1184" s="29"/>
      <c r="T1184" s="30"/>
    </row>
    <row r="1185" spans="1:20" ht="24" customHeight="1" x14ac:dyDescent="0.25">
      <c r="A1185" t="str">
        <f>IF('e1'!A1185&gt;0,HYPERLINK("#"&amp;ADDRESS(1185,'e1'!A1185),""),IF('r1'!A1185&gt;0,HYPERLINK("#"&amp;ADDRESS(1185,'r1'!A1185),""),""))</f>
        <v/>
      </c>
      <c r="C1185" s="13"/>
      <c r="D1185" s="14"/>
      <c r="E1185" s="15"/>
      <c r="F1185" s="16"/>
      <c r="G1185" s="17"/>
      <c r="H1185" s="18"/>
      <c r="I1185" s="19"/>
      <c r="J1185" s="20"/>
      <c r="K1185" s="21"/>
      <c r="L1185" s="22"/>
      <c r="M1185" s="23"/>
      <c r="N1185" s="24"/>
      <c r="O1185" s="25"/>
      <c r="P1185" s="26"/>
      <c r="Q1185" s="27"/>
      <c r="R1185" s="28"/>
      <c r="S1185" s="29"/>
      <c r="T1185" s="30"/>
    </row>
    <row r="1186" spans="1:20" ht="24" customHeight="1" x14ac:dyDescent="0.25">
      <c r="A1186" t="str">
        <f>IF('e1'!A1186&gt;0,HYPERLINK("#"&amp;ADDRESS(1186,'e1'!A1186),""),IF('r1'!A1186&gt;0,HYPERLINK("#"&amp;ADDRESS(1186,'r1'!A1186),""),""))</f>
        <v/>
      </c>
      <c r="C1186" s="13"/>
      <c r="D1186" s="14"/>
      <c r="E1186" s="15"/>
      <c r="F1186" s="16"/>
      <c r="G1186" s="17"/>
      <c r="H1186" s="18"/>
      <c r="I1186" s="19"/>
      <c r="J1186" s="20"/>
      <c r="K1186" s="21"/>
      <c r="L1186" s="22"/>
      <c r="M1186" s="23"/>
      <c r="N1186" s="24"/>
      <c r="O1186" s="25"/>
      <c r="P1186" s="26"/>
      <c r="Q1186" s="27"/>
      <c r="R1186" s="28"/>
      <c r="S1186" s="29"/>
      <c r="T1186" s="30"/>
    </row>
    <row r="1187" spans="1:20" ht="24" customHeight="1" x14ac:dyDescent="0.25">
      <c r="A1187" t="str">
        <f>IF('e1'!A1187&gt;0,HYPERLINK("#"&amp;ADDRESS(1187,'e1'!A1187),""),IF('r1'!A1187&gt;0,HYPERLINK("#"&amp;ADDRESS(1187,'r1'!A1187),""),""))</f>
        <v/>
      </c>
      <c r="C1187" s="13"/>
      <c r="D1187" s="14"/>
      <c r="E1187" s="15"/>
      <c r="F1187" s="16"/>
      <c r="G1187" s="17"/>
      <c r="H1187" s="18"/>
      <c r="I1187" s="19"/>
      <c r="J1187" s="20"/>
      <c r="K1187" s="21"/>
      <c r="L1187" s="22"/>
      <c r="M1187" s="23"/>
      <c r="N1187" s="24"/>
      <c r="O1187" s="25"/>
      <c r="P1187" s="26"/>
      <c r="Q1187" s="27"/>
      <c r="R1187" s="28"/>
      <c r="S1187" s="29"/>
      <c r="T1187" s="30"/>
    </row>
    <row r="1188" spans="1:20" ht="24" customHeight="1" x14ac:dyDescent="0.25">
      <c r="A1188" t="str">
        <f>IF('e1'!A1188&gt;0,HYPERLINK("#"&amp;ADDRESS(1188,'e1'!A1188),""),IF('r1'!A1188&gt;0,HYPERLINK("#"&amp;ADDRESS(1188,'r1'!A1188),""),""))</f>
        <v/>
      </c>
      <c r="C1188" s="13"/>
      <c r="D1188" s="14"/>
      <c r="E1188" s="15"/>
      <c r="F1188" s="16"/>
      <c r="G1188" s="17"/>
      <c r="H1188" s="18"/>
      <c r="I1188" s="19"/>
      <c r="J1188" s="20"/>
      <c r="K1188" s="21"/>
      <c r="L1188" s="22"/>
      <c r="M1188" s="23"/>
      <c r="N1188" s="24"/>
      <c r="O1188" s="25"/>
      <c r="P1188" s="26"/>
      <c r="Q1188" s="27"/>
      <c r="R1188" s="28"/>
      <c r="S1188" s="29"/>
      <c r="T1188" s="30"/>
    </row>
    <row r="1189" spans="1:20" ht="24" customHeight="1" x14ac:dyDescent="0.25">
      <c r="A1189" t="str">
        <f>IF('e1'!A1189&gt;0,HYPERLINK("#"&amp;ADDRESS(1189,'e1'!A1189),""),IF('r1'!A1189&gt;0,HYPERLINK("#"&amp;ADDRESS(1189,'r1'!A1189),""),""))</f>
        <v/>
      </c>
      <c r="C1189" s="13"/>
      <c r="D1189" s="14"/>
      <c r="E1189" s="15"/>
      <c r="F1189" s="16"/>
      <c r="G1189" s="17"/>
      <c r="H1189" s="18"/>
      <c r="I1189" s="19"/>
      <c r="J1189" s="20"/>
      <c r="K1189" s="21"/>
      <c r="L1189" s="22"/>
      <c r="M1189" s="23"/>
      <c r="N1189" s="24"/>
      <c r="O1189" s="25"/>
      <c r="P1189" s="26"/>
      <c r="Q1189" s="27"/>
      <c r="R1189" s="28"/>
      <c r="S1189" s="29"/>
      <c r="T1189" s="30"/>
    </row>
    <row r="1190" spans="1:20" ht="24" customHeight="1" x14ac:dyDescent="0.25">
      <c r="A1190" t="str">
        <f>IF('e1'!A1190&gt;0,HYPERLINK("#"&amp;ADDRESS(1190,'e1'!A1190),""),IF('r1'!A1190&gt;0,HYPERLINK("#"&amp;ADDRESS(1190,'r1'!A1190),""),""))</f>
        <v/>
      </c>
      <c r="C1190" s="13"/>
      <c r="D1190" s="14"/>
      <c r="E1190" s="15"/>
      <c r="F1190" s="16"/>
      <c r="G1190" s="17"/>
      <c r="H1190" s="18"/>
      <c r="I1190" s="19"/>
      <c r="J1190" s="20"/>
      <c r="K1190" s="21"/>
      <c r="L1190" s="22"/>
      <c r="M1190" s="23"/>
      <c r="N1190" s="24"/>
      <c r="O1190" s="25"/>
      <c r="P1190" s="26"/>
      <c r="Q1190" s="27"/>
      <c r="R1190" s="28"/>
      <c r="S1190" s="29"/>
      <c r="T1190" s="30"/>
    </row>
    <row r="1191" spans="1:20" ht="24" customHeight="1" x14ac:dyDescent="0.25">
      <c r="A1191" t="str">
        <f>IF('e1'!A1191&gt;0,HYPERLINK("#"&amp;ADDRESS(1191,'e1'!A1191),""),IF('r1'!A1191&gt;0,HYPERLINK("#"&amp;ADDRESS(1191,'r1'!A1191),""),""))</f>
        <v/>
      </c>
      <c r="C1191" s="13"/>
      <c r="D1191" s="14"/>
      <c r="E1191" s="15"/>
      <c r="F1191" s="16"/>
      <c r="G1191" s="17"/>
      <c r="H1191" s="18"/>
      <c r="I1191" s="19"/>
      <c r="J1191" s="20"/>
      <c r="K1191" s="21"/>
      <c r="L1191" s="22"/>
      <c r="M1191" s="23"/>
      <c r="N1191" s="24"/>
      <c r="O1191" s="25"/>
      <c r="P1191" s="26"/>
      <c r="Q1191" s="27"/>
      <c r="R1191" s="28"/>
      <c r="S1191" s="29"/>
      <c r="T1191" s="30"/>
    </row>
    <row r="1192" spans="1:20" ht="24" customHeight="1" x14ac:dyDescent="0.25">
      <c r="A1192" t="str">
        <f>IF('e1'!A1192&gt;0,HYPERLINK("#"&amp;ADDRESS(1192,'e1'!A1192),""),IF('r1'!A1192&gt;0,HYPERLINK("#"&amp;ADDRESS(1192,'r1'!A1192),""),""))</f>
        <v/>
      </c>
      <c r="C1192" s="13"/>
      <c r="D1192" s="14"/>
      <c r="E1192" s="15"/>
      <c r="F1192" s="16"/>
      <c r="G1192" s="17"/>
      <c r="H1192" s="18"/>
      <c r="I1192" s="19"/>
      <c r="J1192" s="20"/>
      <c r="K1192" s="21"/>
      <c r="L1192" s="22"/>
      <c r="M1192" s="23"/>
      <c r="N1192" s="24"/>
      <c r="O1192" s="25"/>
      <c r="P1192" s="26"/>
      <c r="Q1192" s="27"/>
      <c r="R1192" s="28"/>
      <c r="S1192" s="29"/>
      <c r="T1192" s="30"/>
    </row>
    <row r="1193" spans="1:20" ht="24" customHeight="1" x14ac:dyDescent="0.25">
      <c r="A1193" t="str">
        <f>IF('e1'!A1193&gt;0,HYPERLINK("#"&amp;ADDRESS(1193,'e1'!A1193),""),IF('r1'!A1193&gt;0,HYPERLINK("#"&amp;ADDRESS(1193,'r1'!A1193),""),""))</f>
        <v/>
      </c>
      <c r="C1193" s="13"/>
      <c r="D1193" s="14"/>
      <c r="E1193" s="15"/>
      <c r="F1193" s="16"/>
      <c r="G1193" s="17"/>
      <c r="H1193" s="18"/>
      <c r="I1193" s="19"/>
      <c r="J1193" s="20"/>
      <c r="K1193" s="21"/>
      <c r="L1193" s="22"/>
      <c r="M1193" s="23"/>
      <c r="N1193" s="24"/>
      <c r="O1193" s="25"/>
      <c r="P1193" s="26"/>
      <c r="Q1193" s="27"/>
      <c r="R1193" s="28"/>
      <c r="S1193" s="29"/>
      <c r="T1193" s="30"/>
    </row>
    <row r="1194" spans="1:20" ht="24" customHeight="1" x14ac:dyDescent="0.25">
      <c r="A1194" t="str">
        <f>IF('e1'!A1194&gt;0,HYPERLINK("#"&amp;ADDRESS(1194,'e1'!A1194),""),IF('r1'!A1194&gt;0,HYPERLINK("#"&amp;ADDRESS(1194,'r1'!A1194),""),""))</f>
        <v/>
      </c>
      <c r="C1194" s="13"/>
      <c r="D1194" s="14"/>
      <c r="E1194" s="15"/>
      <c r="F1194" s="16"/>
      <c r="G1194" s="17"/>
      <c r="H1194" s="18"/>
      <c r="I1194" s="19"/>
      <c r="J1194" s="20"/>
      <c r="K1194" s="21"/>
      <c r="L1194" s="22"/>
      <c r="M1194" s="23"/>
      <c r="N1194" s="24"/>
      <c r="O1194" s="25"/>
      <c r="P1194" s="26"/>
      <c r="Q1194" s="27"/>
      <c r="R1194" s="28"/>
      <c r="S1194" s="29"/>
      <c r="T1194" s="30"/>
    </row>
    <row r="1195" spans="1:20" ht="24" customHeight="1" x14ac:dyDescent="0.25">
      <c r="A1195" t="str">
        <f>IF('e1'!A1195&gt;0,HYPERLINK("#"&amp;ADDRESS(1195,'e1'!A1195),""),IF('r1'!A1195&gt;0,HYPERLINK("#"&amp;ADDRESS(1195,'r1'!A1195),""),""))</f>
        <v/>
      </c>
      <c r="C1195" s="13"/>
      <c r="D1195" s="14"/>
      <c r="E1195" s="15"/>
      <c r="F1195" s="16"/>
      <c r="G1195" s="17"/>
      <c r="H1195" s="18"/>
      <c r="I1195" s="19"/>
      <c r="J1195" s="20"/>
      <c r="K1195" s="21"/>
      <c r="L1195" s="22"/>
      <c r="M1195" s="23"/>
      <c r="N1195" s="24"/>
      <c r="O1195" s="25"/>
      <c r="P1195" s="26"/>
      <c r="Q1195" s="27"/>
      <c r="R1195" s="28"/>
      <c r="S1195" s="29"/>
      <c r="T1195" s="30"/>
    </row>
    <row r="1196" spans="1:20" ht="24" customHeight="1" x14ac:dyDescent="0.25">
      <c r="A1196" t="str">
        <f>IF('e1'!A1196&gt;0,HYPERLINK("#"&amp;ADDRESS(1196,'e1'!A1196),""),IF('r1'!A1196&gt;0,HYPERLINK("#"&amp;ADDRESS(1196,'r1'!A1196),""),""))</f>
        <v/>
      </c>
      <c r="C1196" s="13"/>
      <c r="D1196" s="14"/>
      <c r="E1196" s="15"/>
      <c r="F1196" s="16"/>
      <c r="G1196" s="17"/>
      <c r="H1196" s="18"/>
      <c r="I1196" s="19"/>
      <c r="J1196" s="20"/>
      <c r="K1196" s="21"/>
      <c r="L1196" s="22"/>
      <c r="M1196" s="23"/>
      <c r="N1196" s="24"/>
      <c r="O1196" s="25"/>
      <c r="P1196" s="26"/>
      <c r="Q1196" s="27"/>
      <c r="R1196" s="28"/>
      <c r="S1196" s="29"/>
      <c r="T1196" s="30"/>
    </row>
    <row r="1197" spans="1:20" ht="24" customHeight="1" x14ac:dyDescent="0.25">
      <c r="A1197" t="str">
        <f>IF('e1'!A1197&gt;0,HYPERLINK("#"&amp;ADDRESS(1197,'e1'!A1197),""),IF('r1'!A1197&gt;0,HYPERLINK("#"&amp;ADDRESS(1197,'r1'!A1197),""),""))</f>
        <v/>
      </c>
      <c r="C1197" s="13"/>
      <c r="D1197" s="14"/>
      <c r="E1197" s="15"/>
      <c r="F1197" s="16"/>
      <c r="G1197" s="17"/>
      <c r="H1197" s="18"/>
      <c r="I1197" s="19"/>
      <c r="J1197" s="20"/>
      <c r="K1197" s="21"/>
      <c r="L1197" s="22"/>
      <c r="M1197" s="23"/>
      <c r="N1197" s="24"/>
      <c r="O1197" s="25"/>
      <c r="P1197" s="26"/>
      <c r="Q1197" s="27"/>
      <c r="R1197" s="28"/>
      <c r="S1197" s="29"/>
      <c r="T1197" s="30"/>
    </row>
    <row r="1198" spans="1:20" ht="24" customHeight="1" x14ac:dyDescent="0.25">
      <c r="A1198" t="str">
        <f>IF('e1'!A1198&gt;0,HYPERLINK("#"&amp;ADDRESS(1198,'e1'!A1198),""),IF('r1'!A1198&gt;0,HYPERLINK("#"&amp;ADDRESS(1198,'r1'!A1198),""),""))</f>
        <v/>
      </c>
      <c r="C1198" s="13"/>
      <c r="D1198" s="14"/>
      <c r="E1198" s="15"/>
      <c r="F1198" s="16"/>
      <c r="G1198" s="17"/>
      <c r="H1198" s="18"/>
      <c r="I1198" s="19"/>
      <c r="J1198" s="20"/>
      <c r="K1198" s="21"/>
      <c r="L1198" s="22"/>
      <c r="M1198" s="23"/>
      <c r="N1198" s="24"/>
      <c r="O1198" s="25"/>
      <c r="P1198" s="26"/>
      <c r="Q1198" s="27"/>
      <c r="R1198" s="28"/>
      <c r="S1198" s="29"/>
      <c r="T1198" s="30"/>
    </row>
    <row r="1199" spans="1:20" ht="24" customHeight="1" x14ac:dyDescent="0.25">
      <c r="A1199" t="str">
        <f>IF('e1'!A1199&gt;0,HYPERLINK("#"&amp;ADDRESS(1199,'e1'!A1199),""),IF('r1'!A1199&gt;0,HYPERLINK("#"&amp;ADDRESS(1199,'r1'!A1199),""),""))</f>
        <v/>
      </c>
      <c r="C1199" s="13"/>
      <c r="D1199" s="14"/>
      <c r="E1199" s="15"/>
      <c r="F1199" s="16"/>
      <c r="G1199" s="17"/>
      <c r="H1199" s="18"/>
      <c r="I1199" s="19"/>
      <c r="J1199" s="20"/>
      <c r="K1199" s="21"/>
      <c r="L1199" s="22"/>
      <c r="M1199" s="23"/>
      <c r="N1199" s="24"/>
      <c r="O1199" s="25"/>
      <c r="P1199" s="26"/>
      <c r="Q1199" s="27"/>
      <c r="R1199" s="28"/>
      <c r="S1199" s="29"/>
      <c r="T1199" s="30"/>
    </row>
    <row r="1200" spans="1:20" ht="24" customHeight="1" x14ac:dyDescent="0.25">
      <c r="A1200" t="str">
        <f>IF('e1'!A1200&gt;0,HYPERLINK("#"&amp;ADDRESS(1200,'e1'!A1200),""),IF('r1'!A1200&gt;0,HYPERLINK("#"&amp;ADDRESS(1200,'r1'!A1200),""),""))</f>
        <v/>
      </c>
      <c r="C1200" s="13"/>
      <c r="D1200" s="14"/>
      <c r="E1200" s="15"/>
      <c r="F1200" s="16"/>
      <c r="G1200" s="17"/>
      <c r="H1200" s="18"/>
      <c r="I1200" s="19"/>
      <c r="J1200" s="20"/>
      <c r="K1200" s="21"/>
      <c r="L1200" s="22"/>
      <c r="M1200" s="23"/>
      <c r="N1200" s="24"/>
      <c r="O1200" s="25"/>
      <c r="P1200" s="26"/>
      <c r="Q1200" s="27"/>
      <c r="R1200" s="28"/>
      <c r="S1200" s="29"/>
      <c r="T1200" s="30"/>
    </row>
    <row r="1201" spans="1:20" ht="24" customHeight="1" x14ac:dyDescent="0.25">
      <c r="A1201" t="str">
        <f>IF('e1'!A1201&gt;0,HYPERLINK("#"&amp;ADDRESS(1201,'e1'!A1201),""),IF('r1'!A1201&gt;0,HYPERLINK("#"&amp;ADDRESS(1201,'r1'!A1201),""),""))</f>
        <v/>
      </c>
      <c r="C1201" s="13"/>
      <c r="D1201" s="14"/>
      <c r="E1201" s="15"/>
      <c r="F1201" s="16"/>
      <c r="G1201" s="17"/>
      <c r="H1201" s="18"/>
      <c r="I1201" s="19"/>
      <c r="J1201" s="20"/>
      <c r="K1201" s="21"/>
      <c r="L1201" s="22"/>
      <c r="M1201" s="23"/>
      <c r="N1201" s="24"/>
      <c r="O1201" s="25"/>
      <c r="P1201" s="26"/>
      <c r="Q1201" s="27"/>
      <c r="R1201" s="28"/>
      <c r="S1201" s="29"/>
      <c r="T1201" s="30"/>
    </row>
    <row r="1202" spans="1:20" ht="24" customHeight="1" x14ac:dyDescent="0.25">
      <c r="A1202" t="str">
        <f>IF('e1'!A1202&gt;0,HYPERLINK("#"&amp;ADDRESS(1202,'e1'!A1202),""),IF('r1'!A1202&gt;0,HYPERLINK("#"&amp;ADDRESS(1202,'r1'!A1202),""),""))</f>
        <v/>
      </c>
      <c r="C1202" s="13"/>
      <c r="D1202" s="14"/>
      <c r="E1202" s="15"/>
      <c r="F1202" s="16"/>
      <c r="G1202" s="17"/>
      <c r="H1202" s="18"/>
      <c r="I1202" s="19"/>
      <c r="J1202" s="20"/>
      <c r="K1202" s="21"/>
      <c r="L1202" s="22"/>
      <c r="M1202" s="23"/>
      <c r="N1202" s="24"/>
      <c r="O1202" s="25"/>
      <c r="P1202" s="26"/>
      <c r="Q1202" s="27"/>
      <c r="R1202" s="28"/>
      <c r="S1202" s="29"/>
      <c r="T1202" s="30"/>
    </row>
    <row r="1203" spans="1:20" ht="24" customHeight="1" x14ac:dyDescent="0.25">
      <c r="A1203" t="str">
        <f>IF('e1'!A1203&gt;0,HYPERLINK("#"&amp;ADDRESS(1203,'e1'!A1203),""),IF('r1'!A1203&gt;0,HYPERLINK("#"&amp;ADDRESS(1203,'r1'!A1203),""),""))</f>
        <v/>
      </c>
      <c r="C1203" s="13"/>
      <c r="D1203" s="14"/>
      <c r="E1203" s="15"/>
      <c r="F1203" s="16"/>
      <c r="G1203" s="17"/>
      <c r="H1203" s="18"/>
      <c r="I1203" s="19"/>
      <c r="J1203" s="20"/>
      <c r="K1203" s="21"/>
      <c r="L1203" s="22"/>
      <c r="M1203" s="23"/>
      <c r="N1203" s="24"/>
      <c r="O1203" s="25"/>
      <c r="P1203" s="26"/>
      <c r="Q1203" s="27"/>
      <c r="R1203" s="28"/>
      <c r="S1203" s="29"/>
      <c r="T1203" s="30"/>
    </row>
    <row r="1204" spans="1:20" ht="24" customHeight="1" x14ac:dyDescent="0.25">
      <c r="A1204" t="str">
        <f>IF('e1'!A1204&gt;0,HYPERLINK("#"&amp;ADDRESS(1204,'e1'!A1204),""),IF('r1'!A1204&gt;0,HYPERLINK("#"&amp;ADDRESS(1204,'r1'!A1204),""),""))</f>
        <v/>
      </c>
      <c r="C1204" s="13"/>
      <c r="D1204" s="14"/>
      <c r="E1204" s="15"/>
      <c r="F1204" s="16"/>
      <c r="G1204" s="17"/>
      <c r="H1204" s="18"/>
      <c r="I1204" s="19"/>
      <c r="J1204" s="20"/>
      <c r="K1204" s="21"/>
      <c r="L1204" s="22"/>
      <c r="M1204" s="23"/>
      <c r="N1204" s="24"/>
      <c r="O1204" s="25"/>
      <c r="P1204" s="26"/>
      <c r="Q1204" s="27"/>
      <c r="R1204" s="28"/>
      <c r="S1204" s="29"/>
      <c r="T1204" s="30"/>
    </row>
    <row r="1205" spans="1:20" ht="24" customHeight="1" x14ac:dyDescent="0.25">
      <c r="A1205" t="str">
        <f>IF('e1'!A1205&gt;0,HYPERLINK("#"&amp;ADDRESS(1205,'e1'!A1205),""),IF('r1'!A1205&gt;0,HYPERLINK("#"&amp;ADDRESS(1205,'r1'!A1205),""),""))</f>
        <v/>
      </c>
      <c r="C1205" s="13"/>
      <c r="D1205" s="14"/>
      <c r="E1205" s="15"/>
      <c r="F1205" s="16"/>
      <c r="G1205" s="17"/>
      <c r="H1205" s="18"/>
      <c r="I1205" s="19"/>
      <c r="J1205" s="20"/>
      <c r="K1205" s="21"/>
      <c r="L1205" s="22"/>
      <c r="M1205" s="23"/>
      <c r="N1205" s="24"/>
      <c r="O1205" s="25"/>
      <c r="P1205" s="26"/>
      <c r="Q1205" s="27"/>
      <c r="R1205" s="28"/>
      <c r="S1205" s="29"/>
      <c r="T1205" s="30"/>
    </row>
    <row r="1206" spans="1:20" ht="24" customHeight="1" x14ac:dyDescent="0.25">
      <c r="A1206" t="str">
        <f>IF('e1'!A1206&gt;0,HYPERLINK("#"&amp;ADDRESS(1206,'e1'!A1206),""),IF('r1'!A1206&gt;0,HYPERLINK("#"&amp;ADDRESS(1206,'r1'!A1206),""),""))</f>
        <v/>
      </c>
      <c r="C1206" s="13"/>
      <c r="D1206" s="14"/>
      <c r="E1206" s="15"/>
      <c r="F1206" s="16"/>
      <c r="G1206" s="17"/>
      <c r="H1206" s="18"/>
      <c r="I1206" s="19"/>
      <c r="J1206" s="20"/>
      <c r="K1206" s="21"/>
      <c r="L1206" s="22"/>
      <c r="M1206" s="23"/>
      <c r="N1206" s="24"/>
      <c r="O1206" s="25"/>
      <c r="P1206" s="26"/>
      <c r="Q1206" s="27"/>
      <c r="R1206" s="28"/>
      <c r="S1206" s="29"/>
      <c r="T1206" s="30"/>
    </row>
    <row r="1207" spans="1:20" ht="24" customHeight="1" x14ac:dyDescent="0.25">
      <c r="A1207" t="str">
        <f>IF('e1'!A1207&gt;0,HYPERLINK("#"&amp;ADDRESS(1207,'e1'!A1207),""),IF('r1'!A1207&gt;0,HYPERLINK("#"&amp;ADDRESS(1207,'r1'!A1207),""),""))</f>
        <v/>
      </c>
      <c r="C1207" s="13"/>
      <c r="D1207" s="14"/>
      <c r="E1207" s="15"/>
      <c r="F1207" s="16"/>
      <c r="G1207" s="17"/>
      <c r="H1207" s="18"/>
      <c r="I1207" s="19"/>
      <c r="J1207" s="20"/>
      <c r="K1207" s="21"/>
      <c r="L1207" s="22"/>
      <c r="M1207" s="23"/>
      <c r="N1207" s="24"/>
      <c r="O1207" s="25"/>
      <c r="P1207" s="26"/>
      <c r="Q1207" s="27"/>
      <c r="R1207" s="28"/>
      <c r="S1207" s="29"/>
      <c r="T1207" s="30"/>
    </row>
    <row r="1208" spans="1:20" ht="24" customHeight="1" x14ac:dyDescent="0.25">
      <c r="A1208" t="str">
        <f>IF('e1'!A1208&gt;0,HYPERLINK("#"&amp;ADDRESS(1208,'e1'!A1208),""),IF('r1'!A1208&gt;0,HYPERLINK("#"&amp;ADDRESS(1208,'r1'!A1208),""),""))</f>
        <v/>
      </c>
      <c r="C1208" s="13"/>
      <c r="D1208" s="14"/>
      <c r="E1208" s="15"/>
      <c r="F1208" s="16"/>
      <c r="G1208" s="17"/>
      <c r="H1208" s="18"/>
      <c r="I1208" s="19"/>
      <c r="J1208" s="20"/>
      <c r="K1208" s="21"/>
      <c r="L1208" s="22"/>
      <c r="M1208" s="23"/>
      <c r="N1208" s="24"/>
      <c r="O1208" s="25"/>
      <c r="P1208" s="26"/>
      <c r="Q1208" s="27"/>
      <c r="R1208" s="28"/>
      <c r="S1208" s="29"/>
      <c r="T1208" s="30"/>
    </row>
    <row r="1209" spans="1:20" ht="24" customHeight="1" x14ac:dyDescent="0.25">
      <c r="A1209" t="str">
        <f>IF('e1'!A1209&gt;0,HYPERLINK("#"&amp;ADDRESS(1209,'e1'!A1209),""),IF('r1'!A1209&gt;0,HYPERLINK("#"&amp;ADDRESS(1209,'r1'!A1209),""),""))</f>
        <v/>
      </c>
      <c r="C1209" s="13"/>
      <c r="D1209" s="14"/>
      <c r="E1209" s="15"/>
      <c r="F1209" s="16"/>
      <c r="G1209" s="17"/>
      <c r="H1209" s="18"/>
      <c r="I1209" s="19"/>
      <c r="J1209" s="20"/>
      <c r="K1209" s="21"/>
      <c r="L1209" s="22"/>
      <c r="M1209" s="23"/>
      <c r="N1209" s="24"/>
      <c r="O1209" s="25"/>
      <c r="P1209" s="26"/>
      <c r="Q1209" s="27"/>
      <c r="R1209" s="28"/>
      <c r="S1209" s="29"/>
      <c r="T1209" s="30"/>
    </row>
    <row r="1210" spans="1:20" ht="24" customHeight="1" x14ac:dyDescent="0.25">
      <c r="A1210" t="str">
        <f>IF('e1'!A1210&gt;0,HYPERLINK("#"&amp;ADDRESS(1210,'e1'!A1210),""),IF('r1'!A1210&gt;0,HYPERLINK("#"&amp;ADDRESS(1210,'r1'!A1210),""),""))</f>
        <v/>
      </c>
      <c r="C1210" s="13"/>
      <c r="D1210" s="14"/>
      <c r="E1210" s="15"/>
      <c r="F1210" s="16"/>
      <c r="G1210" s="17"/>
      <c r="H1210" s="18"/>
      <c r="I1210" s="19"/>
      <c r="J1210" s="20"/>
      <c r="K1210" s="21"/>
      <c r="L1210" s="22"/>
      <c r="M1210" s="23"/>
      <c r="N1210" s="24"/>
      <c r="O1210" s="25"/>
      <c r="P1210" s="26"/>
      <c r="Q1210" s="27"/>
      <c r="R1210" s="28"/>
      <c r="S1210" s="29"/>
      <c r="T1210" s="30"/>
    </row>
    <row r="1211" spans="1:20" ht="24" customHeight="1" x14ac:dyDescent="0.25">
      <c r="A1211" t="str">
        <f>IF('e1'!A1211&gt;0,HYPERLINK("#"&amp;ADDRESS(1211,'e1'!A1211),""),IF('r1'!A1211&gt;0,HYPERLINK("#"&amp;ADDRESS(1211,'r1'!A1211),""),""))</f>
        <v/>
      </c>
      <c r="C1211" s="13"/>
      <c r="D1211" s="14"/>
      <c r="E1211" s="15"/>
      <c r="F1211" s="16"/>
      <c r="G1211" s="17"/>
      <c r="H1211" s="18"/>
      <c r="I1211" s="19"/>
      <c r="J1211" s="20"/>
      <c r="K1211" s="21"/>
      <c r="L1211" s="22"/>
      <c r="M1211" s="23"/>
      <c r="N1211" s="24"/>
      <c r="O1211" s="25"/>
      <c r="P1211" s="26"/>
      <c r="Q1211" s="27"/>
      <c r="R1211" s="28"/>
      <c r="S1211" s="29"/>
      <c r="T1211" s="30"/>
    </row>
    <row r="1212" spans="1:20" ht="24" customHeight="1" x14ac:dyDescent="0.25">
      <c r="A1212" t="str">
        <f>IF('e1'!A1212&gt;0,HYPERLINK("#"&amp;ADDRESS(1212,'e1'!A1212),""),IF('r1'!A1212&gt;0,HYPERLINK("#"&amp;ADDRESS(1212,'r1'!A1212),""),""))</f>
        <v/>
      </c>
      <c r="C1212" s="13"/>
      <c r="D1212" s="14"/>
      <c r="E1212" s="15"/>
      <c r="F1212" s="16"/>
      <c r="G1212" s="17"/>
      <c r="H1212" s="18"/>
      <c r="I1212" s="19"/>
      <c r="J1212" s="20"/>
      <c r="K1212" s="21"/>
      <c r="L1212" s="22"/>
      <c r="M1212" s="23"/>
      <c r="N1212" s="24"/>
      <c r="O1212" s="25"/>
      <c r="P1212" s="26"/>
      <c r="Q1212" s="27"/>
      <c r="R1212" s="28"/>
      <c r="S1212" s="29"/>
      <c r="T1212" s="30"/>
    </row>
    <row r="1213" spans="1:20" ht="24" customHeight="1" x14ac:dyDescent="0.25">
      <c r="A1213" t="str">
        <f>IF('e1'!A1213&gt;0,HYPERLINK("#"&amp;ADDRESS(1213,'e1'!A1213),""),IF('r1'!A1213&gt;0,HYPERLINK("#"&amp;ADDRESS(1213,'r1'!A1213),""),""))</f>
        <v/>
      </c>
      <c r="C1213" s="13"/>
      <c r="D1213" s="14"/>
      <c r="E1213" s="15"/>
      <c r="F1213" s="16"/>
      <c r="G1213" s="17"/>
      <c r="H1213" s="18"/>
      <c r="I1213" s="19"/>
      <c r="J1213" s="20"/>
      <c r="K1213" s="21"/>
      <c r="L1213" s="22"/>
      <c r="M1213" s="23"/>
      <c r="N1213" s="24"/>
      <c r="O1213" s="25"/>
      <c r="P1213" s="26"/>
      <c r="Q1213" s="27"/>
      <c r="R1213" s="28"/>
      <c r="S1213" s="29"/>
      <c r="T1213" s="30"/>
    </row>
    <row r="1214" spans="1:20" ht="24" customHeight="1" x14ac:dyDescent="0.25">
      <c r="A1214" t="str">
        <f>IF('e1'!A1214&gt;0,HYPERLINK("#"&amp;ADDRESS(1214,'e1'!A1214),""),IF('r1'!A1214&gt;0,HYPERLINK("#"&amp;ADDRESS(1214,'r1'!A1214),""),""))</f>
        <v/>
      </c>
      <c r="C1214" s="13"/>
      <c r="D1214" s="14"/>
      <c r="E1214" s="15"/>
      <c r="F1214" s="16"/>
      <c r="G1214" s="17"/>
      <c r="H1214" s="18"/>
      <c r="I1214" s="19"/>
      <c r="J1214" s="20"/>
      <c r="K1214" s="21"/>
      <c r="L1214" s="22"/>
      <c r="M1214" s="23"/>
      <c r="N1214" s="24"/>
      <c r="O1214" s="25"/>
      <c r="P1214" s="26"/>
      <c r="Q1214" s="27"/>
      <c r="R1214" s="28"/>
      <c r="S1214" s="29"/>
      <c r="T1214" s="30"/>
    </row>
    <row r="1215" spans="1:20" ht="24" customHeight="1" x14ac:dyDescent="0.25">
      <c r="A1215" t="str">
        <f>IF('e1'!A1215&gt;0,HYPERLINK("#"&amp;ADDRESS(1215,'e1'!A1215),""),IF('r1'!A1215&gt;0,HYPERLINK("#"&amp;ADDRESS(1215,'r1'!A1215),""),""))</f>
        <v/>
      </c>
      <c r="C1215" s="13"/>
      <c r="D1215" s="14"/>
      <c r="E1215" s="15"/>
      <c r="F1215" s="16"/>
      <c r="G1215" s="17"/>
      <c r="H1215" s="18"/>
      <c r="I1215" s="19"/>
      <c r="J1215" s="20"/>
      <c r="K1215" s="21"/>
      <c r="L1215" s="22"/>
      <c r="M1215" s="23"/>
      <c r="N1215" s="24"/>
      <c r="O1215" s="25"/>
      <c r="P1215" s="26"/>
      <c r="Q1215" s="27"/>
      <c r="R1215" s="28"/>
      <c r="S1215" s="29"/>
      <c r="T1215" s="30"/>
    </row>
    <row r="1216" spans="1:20" ht="24" customHeight="1" x14ac:dyDescent="0.25">
      <c r="A1216" t="str">
        <f>IF('e1'!A1216&gt;0,HYPERLINK("#"&amp;ADDRESS(1216,'e1'!A1216),""),IF('r1'!A1216&gt;0,HYPERLINK("#"&amp;ADDRESS(1216,'r1'!A1216),""),""))</f>
        <v/>
      </c>
      <c r="C1216" s="13"/>
      <c r="D1216" s="14"/>
      <c r="E1216" s="15"/>
      <c r="F1216" s="16"/>
      <c r="G1216" s="17"/>
      <c r="H1216" s="18"/>
      <c r="I1216" s="19"/>
      <c r="J1216" s="20"/>
      <c r="K1216" s="21"/>
      <c r="L1216" s="22"/>
      <c r="M1216" s="23"/>
      <c r="N1216" s="24"/>
      <c r="O1216" s="25"/>
      <c r="P1216" s="26"/>
      <c r="Q1216" s="27"/>
      <c r="R1216" s="28"/>
      <c r="S1216" s="29"/>
      <c r="T1216" s="30"/>
    </row>
    <row r="1217" spans="1:20" ht="24" customHeight="1" x14ac:dyDescent="0.25">
      <c r="A1217" t="str">
        <f>IF('e1'!A1217&gt;0,HYPERLINK("#"&amp;ADDRESS(1217,'e1'!A1217),""),IF('r1'!A1217&gt;0,HYPERLINK("#"&amp;ADDRESS(1217,'r1'!A1217),""),""))</f>
        <v/>
      </c>
      <c r="C1217" s="13"/>
      <c r="D1217" s="14"/>
      <c r="E1217" s="15"/>
      <c r="F1217" s="16"/>
      <c r="G1217" s="17"/>
      <c r="H1217" s="18"/>
      <c r="I1217" s="19"/>
      <c r="J1217" s="20"/>
      <c r="K1217" s="21"/>
      <c r="L1217" s="22"/>
      <c r="M1217" s="23"/>
      <c r="N1217" s="24"/>
      <c r="O1217" s="25"/>
      <c r="P1217" s="26"/>
      <c r="Q1217" s="27"/>
      <c r="R1217" s="28"/>
      <c r="S1217" s="29"/>
      <c r="T1217" s="30"/>
    </row>
    <row r="1218" spans="1:20" ht="24" customHeight="1" x14ac:dyDescent="0.25">
      <c r="A1218" t="str">
        <f>IF('e1'!A1218&gt;0,HYPERLINK("#"&amp;ADDRESS(1218,'e1'!A1218),""),IF('r1'!A1218&gt;0,HYPERLINK("#"&amp;ADDRESS(1218,'r1'!A1218),""),""))</f>
        <v/>
      </c>
      <c r="C1218" s="13"/>
      <c r="D1218" s="14"/>
      <c r="E1218" s="15"/>
      <c r="F1218" s="16"/>
      <c r="G1218" s="17"/>
      <c r="H1218" s="18"/>
      <c r="I1218" s="19"/>
      <c r="J1218" s="20"/>
      <c r="K1218" s="21"/>
      <c r="L1218" s="22"/>
      <c r="M1218" s="23"/>
      <c r="N1218" s="24"/>
      <c r="O1218" s="25"/>
      <c r="P1218" s="26"/>
      <c r="Q1218" s="27"/>
      <c r="R1218" s="28"/>
      <c r="S1218" s="29"/>
      <c r="T1218" s="30"/>
    </row>
    <row r="1219" spans="1:20" ht="24" customHeight="1" x14ac:dyDescent="0.25">
      <c r="A1219" t="str">
        <f>IF('e1'!A1219&gt;0,HYPERLINK("#"&amp;ADDRESS(1219,'e1'!A1219),""),IF('r1'!A1219&gt;0,HYPERLINK("#"&amp;ADDRESS(1219,'r1'!A1219),""),""))</f>
        <v/>
      </c>
      <c r="C1219" s="13"/>
      <c r="D1219" s="14"/>
      <c r="E1219" s="15"/>
      <c r="F1219" s="16"/>
      <c r="G1219" s="17"/>
      <c r="H1219" s="18"/>
      <c r="I1219" s="19"/>
      <c r="J1219" s="20"/>
      <c r="K1219" s="21"/>
      <c r="L1219" s="22"/>
      <c r="M1219" s="23"/>
      <c r="N1219" s="24"/>
      <c r="O1219" s="25"/>
      <c r="P1219" s="26"/>
      <c r="Q1219" s="27"/>
      <c r="R1219" s="28"/>
      <c r="S1219" s="29"/>
      <c r="T1219" s="30"/>
    </row>
    <row r="1220" spans="1:20" ht="24" customHeight="1" x14ac:dyDescent="0.25">
      <c r="A1220" t="str">
        <f>IF('e1'!A1220&gt;0,HYPERLINK("#"&amp;ADDRESS(1220,'e1'!A1220),""),IF('r1'!A1220&gt;0,HYPERLINK("#"&amp;ADDRESS(1220,'r1'!A1220),""),""))</f>
        <v/>
      </c>
      <c r="C1220" s="13"/>
      <c r="D1220" s="14"/>
      <c r="E1220" s="15"/>
      <c r="F1220" s="16"/>
      <c r="G1220" s="17"/>
      <c r="H1220" s="18"/>
      <c r="I1220" s="19"/>
      <c r="J1220" s="20"/>
      <c r="K1220" s="21"/>
      <c r="L1220" s="22"/>
      <c r="M1220" s="23"/>
      <c r="N1220" s="24"/>
      <c r="O1220" s="25"/>
      <c r="P1220" s="26"/>
      <c r="Q1220" s="27"/>
      <c r="R1220" s="28"/>
      <c r="S1220" s="29"/>
      <c r="T1220" s="30"/>
    </row>
    <row r="1221" spans="1:20" ht="24" customHeight="1" x14ac:dyDescent="0.25">
      <c r="A1221" t="str">
        <f>IF('e1'!A1221&gt;0,HYPERLINK("#"&amp;ADDRESS(1221,'e1'!A1221),""),IF('r1'!A1221&gt;0,HYPERLINK("#"&amp;ADDRESS(1221,'r1'!A1221),""),""))</f>
        <v/>
      </c>
      <c r="C1221" s="13"/>
      <c r="D1221" s="14"/>
      <c r="E1221" s="15"/>
      <c r="F1221" s="16"/>
      <c r="G1221" s="17"/>
      <c r="H1221" s="18"/>
      <c r="I1221" s="19"/>
      <c r="J1221" s="20"/>
      <c r="K1221" s="21"/>
      <c r="L1221" s="22"/>
      <c r="M1221" s="23"/>
      <c r="N1221" s="24"/>
      <c r="O1221" s="25"/>
      <c r="P1221" s="26"/>
      <c r="Q1221" s="27"/>
      <c r="R1221" s="28"/>
      <c r="S1221" s="29"/>
      <c r="T1221" s="30"/>
    </row>
    <row r="1222" spans="1:20" ht="24" customHeight="1" x14ac:dyDescent="0.25">
      <c r="A1222" t="str">
        <f>IF('e1'!A1222&gt;0,HYPERLINK("#"&amp;ADDRESS(1222,'e1'!A1222),""),IF('r1'!A1222&gt;0,HYPERLINK("#"&amp;ADDRESS(1222,'r1'!A1222),""),""))</f>
        <v/>
      </c>
      <c r="C1222" s="13"/>
      <c r="D1222" s="14"/>
      <c r="E1222" s="15"/>
      <c r="F1222" s="16"/>
      <c r="G1222" s="17"/>
      <c r="H1222" s="18"/>
      <c r="I1222" s="19"/>
      <c r="J1222" s="20"/>
      <c r="K1222" s="21"/>
      <c r="L1222" s="22"/>
      <c r="M1222" s="23"/>
      <c r="N1222" s="24"/>
      <c r="O1222" s="25"/>
      <c r="P1222" s="26"/>
      <c r="Q1222" s="27"/>
      <c r="R1222" s="28"/>
      <c r="S1222" s="29"/>
      <c r="T1222" s="30"/>
    </row>
    <row r="1223" spans="1:20" ht="24" customHeight="1" x14ac:dyDescent="0.25">
      <c r="A1223" t="str">
        <f>IF('e1'!A1223&gt;0,HYPERLINK("#"&amp;ADDRESS(1223,'e1'!A1223),""),IF('r1'!A1223&gt;0,HYPERLINK("#"&amp;ADDRESS(1223,'r1'!A1223),""),""))</f>
        <v/>
      </c>
      <c r="C1223" s="13"/>
      <c r="D1223" s="14"/>
      <c r="E1223" s="15"/>
      <c r="F1223" s="16"/>
      <c r="G1223" s="17"/>
      <c r="H1223" s="18"/>
      <c r="I1223" s="19"/>
      <c r="J1223" s="20"/>
      <c r="K1223" s="21"/>
      <c r="L1223" s="22"/>
      <c r="M1223" s="23"/>
      <c r="N1223" s="24"/>
      <c r="O1223" s="25"/>
      <c r="P1223" s="26"/>
      <c r="Q1223" s="27"/>
      <c r="R1223" s="28"/>
      <c r="S1223" s="29"/>
      <c r="T1223" s="30"/>
    </row>
    <row r="1224" spans="1:20" ht="24" customHeight="1" x14ac:dyDescent="0.25">
      <c r="A1224" t="str">
        <f>IF('e1'!A1224&gt;0,HYPERLINK("#"&amp;ADDRESS(1224,'e1'!A1224),""),IF('r1'!A1224&gt;0,HYPERLINK("#"&amp;ADDRESS(1224,'r1'!A1224),""),""))</f>
        <v/>
      </c>
      <c r="C1224" s="13"/>
      <c r="D1224" s="14"/>
      <c r="E1224" s="15"/>
      <c r="F1224" s="16"/>
      <c r="G1224" s="17"/>
      <c r="H1224" s="18"/>
      <c r="I1224" s="19"/>
      <c r="J1224" s="20"/>
      <c r="K1224" s="21"/>
      <c r="L1224" s="22"/>
      <c r="M1224" s="23"/>
      <c r="N1224" s="24"/>
      <c r="O1224" s="25"/>
      <c r="P1224" s="26"/>
      <c r="Q1224" s="27"/>
      <c r="R1224" s="28"/>
      <c r="S1224" s="29"/>
      <c r="T1224" s="30"/>
    </row>
    <row r="1225" spans="1:20" ht="24" customHeight="1" x14ac:dyDescent="0.25">
      <c r="A1225" t="str">
        <f>IF('e1'!A1225&gt;0,HYPERLINK("#"&amp;ADDRESS(1225,'e1'!A1225),""),IF('r1'!A1225&gt;0,HYPERLINK("#"&amp;ADDRESS(1225,'r1'!A1225),""),""))</f>
        <v/>
      </c>
      <c r="C1225" s="13"/>
      <c r="D1225" s="14"/>
      <c r="E1225" s="15"/>
      <c r="F1225" s="16"/>
      <c r="G1225" s="17"/>
      <c r="H1225" s="18"/>
      <c r="I1225" s="19"/>
      <c r="J1225" s="20"/>
      <c r="K1225" s="21"/>
      <c r="L1225" s="22"/>
      <c r="M1225" s="23"/>
      <c r="N1225" s="24"/>
      <c r="O1225" s="25"/>
      <c r="P1225" s="26"/>
      <c r="Q1225" s="27"/>
      <c r="R1225" s="28"/>
      <c r="S1225" s="29"/>
      <c r="T1225" s="30"/>
    </row>
    <row r="1226" spans="1:20" ht="24" customHeight="1" x14ac:dyDescent="0.25">
      <c r="A1226" t="str">
        <f>IF('e1'!A1226&gt;0,HYPERLINK("#"&amp;ADDRESS(1226,'e1'!A1226),""),IF('r1'!A1226&gt;0,HYPERLINK("#"&amp;ADDRESS(1226,'r1'!A1226),""),""))</f>
        <v/>
      </c>
      <c r="C1226" s="13"/>
      <c r="D1226" s="14"/>
      <c r="E1226" s="15"/>
      <c r="F1226" s="16"/>
      <c r="G1226" s="17"/>
      <c r="H1226" s="18"/>
      <c r="I1226" s="19"/>
      <c r="J1226" s="20"/>
      <c r="K1226" s="21"/>
      <c r="L1226" s="22"/>
      <c r="M1226" s="23"/>
      <c r="N1226" s="24"/>
      <c r="O1226" s="25"/>
      <c r="P1226" s="26"/>
      <c r="Q1226" s="27"/>
      <c r="R1226" s="28"/>
      <c r="S1226" s="29"/>
      <c r="T1226" s="30"/>
    </row>
    <row r="1227" spans="1:20" ht="24" customHeight="1" x14ac:dyDescent="0.25">
      <c r="A1227" t="str">
        <f>IF('e1'!A1227&gt;0,HYPERLINK("#"&amp;ADDRESS(1227,'e1'!A1227),""),IF('r1'!A1227&gt;0,HYPERLINK("#"&amp;ADDRESS(1227,'r1'!A1227),""),""))</f>
        <v/>
      </c>
      <c r="C1227" s="13"/>
      <c r="D1227" s="14"/>
      <c r="E1227" s="15"/>
      <c r="F1227" s="16"/>
      <c r="G1227" s="17"/>
      <c r="H1227" s="18"/>
      <c r="I1227" s="19"/>
      <c r="J1227" s="20"/>
      <c r="K1227" s="21"/>
      <c r="L1227" s="22"/>
      <c r="M1227" s="23"/>
      <c r="N1227" s="24"/>
      <c r="O1227" s="25"/>
      <c r="P1227" s="26"/>
      <c r="Q1227" s="27"/>
      <c r="R1227" s="28"/>
      <c r="S1227" s="29"/>
      <c r="T1227" s="30"/>
    </row>
    <row r="1228" spans="1:20" ht="24" customHeight="1" x14ac:dyDescent="0.25">
      <c r="A1228" t="str">
        <f>IF('e1'!A1228&gt;0,HYPERLINK("#"&amp;ADDRESS(1228,'e1'!A1228),""),IF('r1'!A1228&gt;0,HYPERLINK("#"&amp;ADDRESS(1228,'r1'!A1228),""),""))</f>
        <v/>
      </c>
      <c r="C1228" s="13"/>
      <c r="D1228" s="14"/>
      <c r="E1228" s="15"/>
      <c r="F1228" s="16"/>
      <c r="G1228" s="17"/>
      <c r="H1228" s="18"/>
      <c r="I1228" s="19"/>
      <c r="J1228" s="20"/>
      <c r="K1228" s="21"/>
      <c r="L1228" s="22"/>
      <c r="M1228" s="23"/>
      <c r="N1228" s="24"/>
      <c r="O1228" s="25"/>
      <c r="P1228" s="26"/>
      <c r="Q1228" s="27"/>
      <c r="R1228" s="28"/>
      <c r="S1228" s="29"/>
      <c r="T1228" s="30"/>
    </row>
    <row r="1229" spans="1:20" ht="24" customHeight="1" x14ac:dyDescent="0.25">
      <c r="A1229" t="str">
        <f>IF('e1'!A1229&gt;0,HYPERLINK("#"&amp;ADDRESS(1229,'e1'!A1229),""),IF('r1'!A1229&gt;0,HYPERLINK("#"&amp;ADDRESS(1229,'r1'!A1229),""),""))</f>
        <v/>
      </c>
      <c r="C1229" s="13"/>
      <c r="D1229" s="14"/>
      <c r="E1229" s="15"/>
      <c r="F1229" s="16"/>
      <c r="G1229" s="17"/>
      <c r="H1229" s="18"/>
      <c r="I1229" s="19"/>
      <c r="J1229" s="20"/>
      <c r="K1229" s="21"/>
      <c r="L1229" s="22"/>
      <c r="M1229" s="23"/>
      <c r="N1229" s="24"/>
      <c r="O1229" s="25"/>
      <c r="P1229" s="26"/>
      <c r="Q1229" s="27"/>
      <c r="R1229" s="28"/>
      <c r="S1229" s="29"/>
      <c r="T1229" s="30"/>
    </row>
    <row r="1230" spans="1:20" ht="24" customHeight="1" x14ac:dyDescent="0.25">
      <c r="A1230" t="str">
        <f>IF('e1'!A1230&gt;0,HYPERLINK("#"&amp;ADDRESS(1230,'e1'!A1230),""),IF('r1'!A1230&gt;0,HYPERLINK("#"&amp;ADDRESS(1230,'r1'!A1230),""),""))</f>
        <v/>
      </c>
      <c r="C1230" s="13"/>
      <c r="D1230" s="14"/>
      <c r="E1230" s="15"/>
      <c r="F1230" s="16"/>
      <c r="G1230" s="17"/>
      <c r="H1230" s="18"/>
      <c r="I1230" s="19"/>
      <c r="J1230" s="20"/>
      <c r="K1230" s="21"/>
      <c r="L1230" s="22"/>
      <c r="M1230" s="23"/>
      <c r="N1230" s="24"/>
      <c r="O1230" s="25"/>
      <c r="P1230" s="26"/>
      <c r="Q1230" s="27"/>
      <c r="R1230" s="28"/>
      <c r="S1230" s="29"/>
      <c r="T1230" s="30"/>
    </row>
    <row r="1231" spans="1:20" ht="24" customHeight="1" x14ac:dyDescent="0.25">
      <c r="A1231" t="str">
        <f>IF('e1'!A1231&gt;0,HYPERLINK("#"&amp;ADDRESS(1231,'e1'!A1231),""),IF('r1'!A1231&gt;0,HYPERLINK("#"&amp;ADDRESS(1231,'r1'!A1231),""),""))</f>
        <v/>
      </c>
      <c r="C1231" s="13"/>
      <c r="D1231" s="14"/>
      <c r="E1231" s="15"/>
      <c r="F1231" s="16"/>
      <c r="G1231" s="17"/>
      <c r="H1231" s="18"/>
      <c r="I1231" s="19"/>
      <c r="J1231" s="20"/>
      <c r="K1231" s="21"/>
      <c r="L1231" s="22"/>
      <c r="M1231" s="23"/>
      <c r="N1231" s="24"/>
      <c r="O1231" s="25"/>
      <c r="P1231" s="26"/>
      <c r="Q1231" s="27"/>
      <c r="R1231" s="28"/>
      <c r="S1231" s="29"/>
      <c r="T1231" s="30"/>
    </row>
    <row r="1232" spans="1:20" ht="24" customHeight="1" x14ac:dyDescent="0.25">
      <c r="A1232" t="str">
        <f>IF('e1'!A1232&gt;0,HYPERLINK("#"&amp;ADDRESS(1232,'e1'!A1232),""),IF('r1'!A1232&gt;0,HYPERLINK("#"&amp;ADDRESS(1232,'r1'!A1232),""),""))</f>
        <v/>
      </c>
      <c r="C1232" s="13"/>
      <c r="D1232" s="14"/>
      <c r="E1232" s="15"/>
      <c r="F1232" s="16"/>
      <c r="G1232" s="17"/>
      <c r="H1232" s="18"/>
      <c r="I1232" s="19"/>
      <c r="J1232" s="20"/>
      <c r="K1232" s="21"/>
      <c r="L1232" s="22"/>
      <c r="M1232" s="23"/>
      <c r="N1232" s="24"/>
      <c r="O1232" s="25"/>
      <c r="P1232" s="26"/>
      <c r="Q1232" s="27"/>
      <c r="R1232" s="28"/>
      <c r="S1232" s="29"/>
      <c r="T1232" s="30"/>
    </row>
    <row r="1233" spans="1:20" ht="24" customHeight="1" x14ac:dyDescent="0.25">
      <c r="A1233" t="str">
        <f>IF('e1'!A1233&gt;0,HYPERLINK("#"&amp;ADDRESS(1233,'e1'!A1233),""),IF('r1'!A1233&gt;0,HYPERLINK("#"&amp;ADDRESS(1233,'r1'!A1233),""),""))</f>
        <v/>
      </c>
      <c r="C1233" s="13"/>
      <c r="D1233" s="14"/>
      <c r="E1233" s="15"/>
      <c r="F1233" s="16"/>
      <c r="G1233" s="17"/>
      <c r="H1233" s="18"/>
      <c r="I1233" s="19"/>
      <c r="J1233" s="20"/>
      <c r="K1233" s="21"/>
      <c r="L1233" s="22"/>
      <c r="M1233" s="23"/>
      <c r="N1233" s="24"/>
      <c r="O1233" s="25"/>
      <c r="P1233" s="26"/>
      <c r="Q1233" s="27"/>
      <c r="R1233" s="28"/>
      <c r="S1233" s="29"/>
      <c r="T1233" s="30"/>
    </row>
    <row r="1234" spans="1:20" ht="24" customHeight="1" x14ac:dyDescent="0.25">
      <c r="A1234" t="str">
        <f>IF('e1'!A1234&gt;0,HYPERLINK("#"&amp;ADDRESS(1234,'e1'!A1234),""),IF('r1'!A1234&gt;0,HYPERLINK("#"&amp;ADDRESS(1234,'r1'!A1234),""),""))</f>
        <v/>
      </c>
      <c r="C1234" s="13"/>
      <c r="D1234" s="14"/>
      <c r="E1234" s="15"/>
      <c r="F1234" s="16"/>
      <c r="G1234" s="17"/>
      <c r="H1234" s="18"/>
      <c r="I1234" s="19"/>
      <c r="J1234" s="20"/>
      <c r="K1234" s="21"/>
      <c r="L1234" s="22"/>
      <c r="M1234" s="23"/>
      <c r="N1234" s="24"/>
      <c r="O1234" s="25"/>
      <c r="P1234" s="26"/>
      <c r="Q1234" s="27"/>
      <c r="R1234" s="28"/>
      <c r="S1234" s="29"/>
      <c r="T1234" s="30"/>
    </row>
    <row r="1235" spans="1:20" ht="24" customHeight="1" x14ac:dyDescent="0.25">
      <c r="A1235" t="str">
        <f>IF('e1'!A1235&gt;0,HYPERLINK("#"&amp;ADDRESS(1235,'e1'!A1235),""),IF('r1'!A1235&gt;0,HYPERLINK("#"&amp;ADDRESS(1235,'r1'!A1235),""),""))</f>
        <v/>
      </c>
      <c r="C1235" s="13"/>
      <c r="D1235" s="14"/>
      <c r="E1235" s="15"/>
      <c r="F1235" s="16"/>
      <c r="G1235" s="17"/>
      <c r="H1235" s="18"/>
      <c r="I1235" s="19"/>
      <c r="J1235" s="20"/>
      <c r="K1235" s="21"/>
      <c r="L1235" s="22"/>
      <c r="M1235" s="23"/>
      <c r="N1235" s="24"/>
      <c r="O1235" s="25"/>
      <c r="P1235" s="26"/>
      <c r="Q1235" s="27"/>
      <c r="R1235" s="28"/>
      <c r="S1235" s="29"/>
      <c r="T1235" s="30"/>
    </row>
    <row r="1236" spans="1:20" ht="24" customHeight="1" x14ac:dyDescent="0.25">
      <c r="A1236" t="str">
        <f>IF('e1'!A1236&gt;0,HYPERLINK("#"&amp;ADDRESS(1236,'e1'!A1236),""),IF('r1'!A1236&gt;0,HYPERLINK("#"&amp;ADDRESS(1236,'r1'!A1236),""),""))</f>
        <v/>
      </c>
      <c r="C1236" s="13"/>
      <c r="D1236" s="14"/>
      <c r="E1236" s="15"/>
      <c r="F1236" s="16"/>
      <c r="G1236" s="17"/>
      <c r="H1236" s="18"/>
      <c r="I1236" s="19"/>
      <c r="J1236" s="20"/>
      <c r="K1236" s="21"/>
      <c r="L1236" s="22"/>
      <c r="M1236" s="23"/>
      <c r="N1236" s="24"/>
      <c r="O1236" s="25"/>
      <c r="P1236" s="26"/>
      <c r="Q1236" s="27"/>
      <c r="R1236" s="28"/>
      <c r="S1236" s="29"/>
      <c r="T1236" s="30"/>
    </row>
    <row r="1237" spans="1:20" ht="24" customHeight="1" x14ac:dyDescent="0.25">
      <c r="A1237" t="str">
        <f>IF('e1'!A1237&gt;0,HYPERLINK("#"&amp;ADDRESS(1237,'e1'!A1237),""),IF('r1'!A1237&gt;0,HYPERLINK("#"&amp;ADDRESS(1237,'r1'!A1237),""),""))</f>
        <v/>
      </c>
      <c r="C1237" s="13"/>
      <c r="D1237" s="14"/>
      <c r="E1237" s="15"/>
      <c r="F1237" s="16"/>
      <c r="G1237" s="17"/>
      <c r="H1237" s="18"/>
      <c r="I1237" s="19"/>
      <c r="J1237" s="20"/>
      <c r="K1237" s="21"/>
      <c r="L1237" s="22"/>
      <c r="M1237" s="23"/>
      <c r="N1237" s="24"/>
      <c r="O1237" s="25"/>
      <c r="P1237" s="26"/>
      <c r="Q1237" s="27"/>
      <c r="R1237" s="28"/>
      <c r="S1237" s="29"/>
      <c r="T1237" s="30"/>
    </row>
    <row r="1238" spans="1:20" ht="24" customHeight="1" x14ac:dyDescent="0.25">
      <c r="A1238" t="str">
        <f>IF('e1'!A1238&gt;0,HYPERLINK("#"&amp;ADDRESS(1238,'e1'!A1238),""),IF('r1'!A1238&gt;0,HYPERLINK("#"&amp;ADDRESS(1238,'r1'!A1238),""),""))</f>
        <v/>
      </c>
      <c r="C1238" s="13"/>
      <c r="D1238" s="14"/>
      <c r="E1238" s="15"/>
      <c r="F1238" s="16"/>
      <c r="G1238" s="17"/>
      <c r="H1238" s="18"/>
      <c r="I1238" s="19"/>
      <c r="J1238" s="20"/>
      <c r="K1238" s="21"/>
      <c r="L1238" s="22"/>
      <c r="M1238" s="23"/>
      <c r="N1238" s="24"/>
      <c r="O1238" s="25"/>
      <c r="P1238" s="26"/>
      <c r="Q1238" s="27"/>
      <c r="R1238" s="28"/>
      <c r="S1238" s="29"/>
      <c r="T1238" s="30"/>
    </row>
    <row r="1239" spans="1:20" ht="24" customHeight="1" x14ac:dyDescent="0.25">
      <c r="A1239" t="str">
        <f>IF('e1'!A1239&gt;0,HYPERLINK("#"&amp;ADDRESS(1239,'e1'!A1239),""),IF('r1'!A1239&gt;0,HYPERLINK("#"&amp;ADDRESS(1239,'r1'!A1239),""),""))</f>
        <v/>
      </c>
      <c r="C1239" s="13"/>
      <c r="D1239" s="14"/>
      <c r="E1239" s="15"/>
      <c r="F1239" s="16"/>
      <c r="G1239" s="17"/>
      <c r="H1239" s="18"/>
      <c r="I1239" s="19"/>
      <c r="J1239" s="20"/>
      <c r="K1239" s="21"/>
      <c r="L1239" s="22"/>
      <c r="M1239" s="23"/>
      <c r="N1239" s="24"/>
      <c r="O1239" s="25"/>
      <c r="P1239" s="26"/>
      <c r="Q1239" s="27"/>
      <c r="R1239" s="28"/>
      <c r="S1239" s="29"/>
      <c r="T1239" s="30"/>
    </row>
    <row r="1240" spans="1:20" ht="24" customHeight="1" x14ac:dyDescent="0.25">
      <c r="A1240" t="str">
        <f>IF('e1'!A1240&gt;0,HYPERLINK("#"&amp;ADDRESS(1240,'e1'!A1240),""),IF('r1'!A1240&gt;0,HYPERLINK("#"&amp;ADDRESS(1240,'r1'!A1240),""),""))</f>
        <v/>
      </c>
      <c r="C1240" s="13"/>
      <c r="D1240" s="14"/>
      <c r="E1240" s="15"/>
      <c r="F1240" s="16"/>
      <c r="G1240" s="17"/>
      <c r="H1240" s="18"/>
      <c r="I1240" s="19"/>
      <c r="J1240" s="20"/>
      <c r="K1240" s="21"/>
      <c r="L1240" s="22"/>
      <c r="M1240" s="23"/>
      <c r="N1240" s="24"/>
      <c r="O1240" s="25"/>
      <c r="P1240" s="26"/>
      <c r="Q1240" s="27"/>
      <c r="R1240" s="28"/>
      <c r="S1240" s="29"/>
      <c r="T1240" s="30"/>
    </row>
    <row r="1241" spans="1:20" ht="24" customHeight="1" x14ac:dyDescent="0.25">
      <c r="A1241" t="str">
        <f>IF('e1'!A1241&gt;0,HYPERLINK("#"&amp;ADDRESS(1241,'e1'!A1241),""),IF('r1'!A1241&gt;0,HYPERLINK("#"&amp;ADDRESS(1241,'r1'!A1241),""),""))</f>
        <v/>
      </c>
      <c r="C1241" s="13"/>
      <c r="D1241" s="14"/>
      <c r="E1241" s="15"/>
      <c r="F1241" s="16"/>
      <c r="G1241" s="17"/>
      <c r="H1241" s="18"/>
      <c r="I1241" s="19"/>
      <c r="J1241" s="20"/>
      <c r="K1241" s="21"/>
      <c r="L1241" s="22"/>
      <c r="M1241" s="23"/>
      <c r="N1241" s="24"/>
      <c r="O1241" s="25"/>
      <c r="P1241" s="26"/>
      <c r="Q1241" s="27"/>
      <c r="R1241" s="28"/>
      <c r="S1241" s="29"/>
      <c r="T1241" s="30"/>
    </row>
    <row r="1242" spans="1:20" ht="24" customHeight="1" x14ac:dyDescent="0.25">
      <c r="A1242" t="str">
        <f>IF('e1'!A1242&gt;0,HYPERLINK("#"&amp;ADDRESS(1242,'e1'!A1242),""),IF('r1'!A1242&gt;0,HYPERLINK("#"&amp;ADDRESS(1242,'r1'!A1242),""),""))</f>
        <v/>
      </c>
      <c r="C1242" s="13"/>
      <c r="D1242" s="14"/>
      <c r="E1242" s="15"/>
      <c r="F1242" s="16"/>
      <c r="G1242" s="17"/>
      <c r="H1242" s="18"/>
      <c r="I1242" s="19"/>
      <c r="J1242" s="20"/>
      <c r="K1242" s="21"/>
      <c r="L1242" s="22"/>
      <c r="M1242" s="23"/>
      <c r="N1242" s="24"/>
      <c r="O1242" s="25"/>
      <c r="P1242" s="26"/>
      <c r="Q1242" s="27"/>
      <c r="R1242" s="28"/>
      <c r="S1242" s="29"/>
      <c r="T1242" s="30"/>
    </row>
    <row r="1243" spans="1:20" ht="24" customHeight="1" x14ac:dyDescent="0.25">
      <c r="A1243" t="str">
        <f>IF('e1'!A1243&gt;0,HYPERLINK("#"&amp;ADDRESS(1243,'e1'!A1243),""),IF('r1'!A1243&gt;0,HYPERLINK("#"&amp;ADDRESS(1243,'r1'!A1243),""),""))</f>
        <v/>
      </c>
      <c r="C1243" s="13"/>
      <c r="D1243" s="14"/>
      <c r="E1243" s="15"/>
      <c r="F1243" s="16"/>
      <c r="G1243" s="17"/>
      <c r="H1243" s="18"/>
      <c r="I1243" s="19"/>
      <c r="J1243" s="20"/>
      <c r="K1243" s="21"/>
      <c r="L1243" s="22"/>
      <c r="M1243" s="23"/>
      <c r="N1243" s="24"/>
      <c r="O1243" s="25"/>
      <c r="P1243" s="26"/>
      <c r="Q1243" s="27"/>
      <c r="R1243" s="28"/>
      <c r="S1243" s="29"/>
      <c r="T1243" s="30"/>
    </row>
    <row r="1244" spans="1:20" ht="24" customHeight="1" x14ac:dyDescent="0.25">
      <c r="A1244" t="str">
        <f>IF('e1'!A1244&gt;0,HYPERLINK("#"&amp;ADDRESS(1244,'e1'!A1244),""),IF('r1'!A1244&gt;0,HYPERLINK("#"&amp;ADDRESS(1244,'r1'!A1244),""),""))</f>
        <v/>
      </c>
      <c r="C1244" s="13"/>
      <c r="D1244" s="14"/>
      <c r="E1244" s="15"/>
      <c r="F1244" s="16"/>
      <c r="G1244" s="17"/>
      <c r="H1244" s="18"/>
      <c r="I1244" s="19"/>
      <c r="J1244" s="20"/>
      <c r="K1244" s="21"/>
      <c r="L1244" s="22"/>
      <c r="M1244" s="23"/>
      <c r="N1244" s="24"/>
      <c r="O1244" s="25"/>
      <c r="P1244" s="26"/>
      <c r="Q1244" s="27"/>
      <c r="R1244" s="28"/>
      <c r="S1244" s="29"/>
      <c r="T1244" s="30"/>
    </row>
    <row r="1245" spans="1:20" ht="24" customHeight="1" x14ac:dyDescent="0.25">
      <c r="A1245" t="str">
        <f>IF('e1'!A1245&gt;0,HYPERLINK("#"&amp;ADDRESS(1245,'e1'!A1245),""),IF('r1'!A1245&gt;0,HYPERLINK("#"&amp;ADDRESS(1245,'r1'!A1245),""),""))</f>
        <v/>
      </c>
      <c r="C1245" s="13"/>
      <c r="D1245" s="14"/>
      <c r="E1245" s="15"/>
      <c r="F1245" s="16"/>
      <c r="G1245" s="17"/>
      <c r="H1245" s="18"/>
      <c r="I1245" s="19"/>
      <c r="J1245" s="20"/>
      <c r="K1245" s="21"/>
      <c r="L1245" s="22"/>
      <c r="M1245" s="23"/>
      <c r="N1245" s="24"/>
      <c r="O1245" s="25"/>
      <c r="P1245" s="26"/>
      <c r="Q1245" s="27"/>
      <c r="R1245" s="28"/>
      <c r="S1245" s="29"/>
      <c r="T1245" s="30"/>
    </row>
    <row r="1246" spans="1:20" ht="24" customHeight="1" x14ac:dyDescent="0.25">
      <c r="A1246" t="str">
        <f>IF('e1'!A1246&gt;0,HYPERLINK("#"&amp;ADDRESS(1246,'e1'!A1246),""),IF('r1'!A1246&gt;0,HYPERLINK("#"&amp;ADDRESS(1246,'r1'!A1246),""),""))</f>
        <v/>
      </c>
      <c r="C1246" s="13"/>
      <c r="D1246" s="14"/>
      <c r="E1246" s="15"/>
      <c r="F1246" s="16"/>
      <c r="G1246" s="17"/>
      <c r="H1246" s="18"/>
      <c r="I1246" s="19"/>
      <c r="J1246" s="20"/>
      <c r="K1246" s="21"/>
      <c r="L1246" s="22"/>
      <c r="M1246" s="23"/>
      <c r="N1246" s="24"/>
      <c r="O1246" s="25"/>
      <c r="P1246" s="26"/>
      <c r="Q1246" s="27"/>
      <c r="R1246" s="28"/>
      <c r="S1246" s="29"/>
      <c r="T1246" s="30"/>
    </row>
    <row r="1247" spans="1:20" ht="24" customHeight="1" x14ac:dyDescent="0.25">
      <c r="A1247" t="str">
        <f>IF('e1'!A1247&gt;0,HYPERLINK("#"&amp;ADDRESS(1247,'e1'!A1247),""),IF('r1'!A1247&gt;0,HYPERLINK("#"&amp;ADDRESS(1247,'r1'!A1247),""),""))</f>
        <v/>
      </c>
      <c r="C1247" s="13"/>
      <c r="D1247" s="14"/>
      <c r="E1247" s="15"/>
      <c r="F1247" s="16"/>
      <c r="G1247" s="17"/>
      <c r="H1247" s="18"/>
      <c r="I1247" s="19"/>
      <c r="J1247" s="20"/>
      <c r="K1247" s="21"/>
      <c r="L1247" s="22"/>
      <c r="M1247" s="23"/>
      <c r="N1247" s="24"/>
      <c r="O1247" s="25"/>
      <c r="P1247" s="26"/>
      <c r="Q1247" s="27"/>
      <c r="R1247" s="28"/>
      <c r="S1247" s="29"/>
      <c r="T1247" s="30"/>
    </row>
    <row r="1248" spans="1:20" ht="24" customHeight="1" x14ac:dyDescent="0.25">
      <c r="A1248" t="str">
        <f>IF('e1'!A1248&gt;0,HYPERLINK("#"&amp;ADDRESS(1248,'e1'!A1248),""),IF('r1'!A1248&gt;0,HYPERLINK("#"&amp;ADDRESS(1248,'r1'!A1248),""),""))</f>
        <v/>
      </c>
      <c r="C1248" s="13"/>
      <c r="D1248" s="14"/>
      <c r="E1248" s="15"/>
      <c r="F1248" s="16"/>
      <c r="G1248" s="17"/>
      <c r="H1248" s="18"/>
      <c r="I1248" s="19"/>
      <c r="J1248" s="20"/>
      <c r="K1248" s="21"/>
      <c r="L1248" s="22"/>
      <c r="M1248" s="23"/>
      <c r="N1248" s="24"/>
      <c r="O1248" s="25"/>
      <c r="P1248" s="26"/>
      <c r="Q1248" s="27"/>
      <c r="R1248" s="28"/>
      <c r="S1248" s="29"/>
      <c r="T1248" s="30"/>
    </row>
    <row r="1249" spans="1:20" ht="24" customHeight="1" x14ac:dyDescent="0.25">
      <c r="A1249" t="str">
        <f>IF('e1'!A1249&gt;0,HYPERLINK("#"&amp;ADDRESS(1249,'e1'!A1249),""),IF('r1'!A1249&gt;0,HYPERLINK("#"&amp;ADDRESS(1249,'r1'!A1249),""),""))</f>
        <v/>
      </c>
      <c r="C1249" s="13"/>
      <c r="D1249" s="14"/>
      <c r="E1249" s="15"/>
      <c r="F1249" s="16"/>
      <c r="G1249" s="17"/>
      <c r="H1249" s="18"/>
      <c r="I1249" s="19"/>
      <c r="J1249" s="20"/>
      <c r="K1249" s="21"/>
      <c r="L1249" s="22"/>
      <c r="M1249" s="23"/>
      <c r="N1249" s="24"/>
      <c r="O1249" s="25"/>
      <c r="P1249" s="26"/>
      <c r="Q1249" s="27"/>
      <c r="R1249" s="28"/>
      <c r="S1249" s="29"/>
      <c r="T1249" s="30"/>
    </row>
    <row r="1250" spans="1:20" ht="24" customHeight="1" x14ac:dyDescent="0.25">
      <c r="A1250" t="str">
        <f>IF('e1'!A1250&gt;0,HYPERLINK("#"&amp;ADDRESS(1250,'e1'!A1250),""),IF('r1'!A1250&gt;0,HYPERLINK("#"&amp;ADDRESS(1250,'r1'!A1250),""),""))</f>
        <v/>
      </c>
      <c r="C1250" s="13"/>
      <c r="D1250" s="14"/>
      <c r="E1250" s="15"/>
      <c r="F1250" s="16"/>
      <c r="G1250" s="17"/>
      <c r="H1250" s="18"/>
      <c r="I1250" s="19"/>
      <c r="J1250" s="20"/>
      <c r="K1250" s="21"/>
      <c r="L1250" s="22"/>
      <c r="M1250" s="23"/>
      <c r="N1250" s="24"/>
      <c r="O1250" s="25"/>
      <c r="P1250" s="26"/>
      <c r="Q1250" s="27"/>
      <c r="R1250" s="28"/>
      <c r="S1250" s="29"/>
      <c r="T1250" s="30"/>
    </row>
    <row r="1251" spans="1:20" ht="24" customHeight="1" x14ac:dyDescent="0.25">
      <c r="A1251" t="str">
        <f>IF('e1'!A1251&gt;0,HYPERLINK("#"&amp;ADDRESS(1251,'e1'!A1251),""),IF('r1'!A1251&gt;0,HYPERLINK("#"&amp;ADDRESS(1251,'r1'!A1251),""),""))</f>
        <v/>
      </c>
      <c r="C1251" s="13"/>
      <c r="D1251" s="14"/>
      <c r="E1251" s="15"/>
      <c r="F1251" s="16"/>
      <c r="G1251" s="17"/>
      <c r="H1251" s="18"/>
      <c r="I1251" s="19"/>
      <c r="J1251" s="20"/>
      <c r="K1251" s="21"/>
      <c r="L1251" s="22"/>
      <c r="M1251" s="23"/>
      <c r="N1251" s="24"/>
      <c r="O1251" s="25"/>
      <c r="P1251" s="26"/>
      <c r="Q1251" s="27"/>
      <c r="R1251" s="28"/>
      <c r="S1251" s="29"/>
      <c r="T1251" s="30"/>
    </row>
    <row r="1252" spans="1:20" ht="24" customHeight="1" x14ac:dyDescent="0.25">
      <c r="A1252" t="str">
        <f>IF('e1'!A1252&gt;0,HYPERLINK("#"&amp;ADDRESS(1252,'e1'!A1252),""),IF('r1'!A1252&gt;0,HYPERLINK("#"&amp;ADDRESS(1252,'r1'!A1252),""),""))</f>
        <v/>
      </c>
      <c r="C1252" s="13"/>
      <c r="D1252" s="14"/>
      <c r="E1252" s="15"/>
      <c r="F1252" s="16"/>
      <c r="G1252" s="17"/>
      <c r="H1252" s="18"/>
      <c r="I1252" s="19"/>
      <c r="J1252" s="20"/>
      <c r="K1252" s="21"/>
      <c r="L1252" s="22"/>
      <c r="M1252" s="23"/>
      <c r="N1252" s="24"/>
      <c r="O1252" s="25"/>
      <c r="P1252" s="26"/>
      <c r="Q1252" s="27"/>
      <c r="R1252" s="28"/>
      <c r="S1252" s="29"/>
      <c r="T1252" s="30"/>
    </row>
    <row r="1253" spans="1:20" ht="24" customHeight="1" x14ac:dyDescent="0.25">
      <c r="A1253" t="str">
        <f>IF('e1'!A1253&gt;0,HYPERLINK("#"&amp;ADDRESS(1253,'e1'!A1253),""),IF('r1'!A1253&gt;0,HYPERLINK("#"&amp;ADDRESS(1253,'r1'!A1253),""),""))</f>
        <v/>
      </c>
      <c r="C1253" s="13"/>
      <c r="D1253" s="14"/>
      <c r="E1253" s="15"/>
      <c r="F1253" s="16"/>
      <c r="G1253" s="17"/>
      <c r="H1253" s="18"/>
      <c r="I1253" s="19"/>
      <c r="J1253" s="20"/>
      <c r="K1253" s="21"/>
      <c r="L1253" s="22"/>
      <c r="M1253" s="23"/>
      <c r="N1253" s="24"/>
      <c r="O1253" s="25"/>
      <c r="P1253" s="26"/>
      <c r="Q1253" s="27"/>
      <c r="R1253" s="28"/>
      <c r="S1253" s="29"/>
      <c r="T1253" s="30"/>
    </row>
    <row r="1254" spans="1:20" ht="24" customHeight="1" x14ac:dyDescent="0.25">
      <c r="A1254" t="str">
        <f>IF('e1'!A1254&gt;0,HYPERLINK("#"&amp;ADDRESS(1254,'e1'!A1254),""),IF('r1'!A1254&gt;0,HYPERLINK("#"&amp;ADDRESS(1254,'r1'!A1254),""),""))</f>
        <v/>
      </c>
      <c r="C1254" s="13"/>
      <c r="D1254" s="14"/>
      <c r="E1254" s="15"/>
      <c r="F1254" s="16"/>
      <c r="G1254" s="17"/>
      <c r="H1254" s="18"/>
      <c r="I1254" s="19"/>
      <c r="J1254" s="20"/>
      <c r="K1254" s="21"/>
      <c r="L1254" s="22"/>
      <c r="M1254" s="23"/>
      <c r="N1254" s="24"/>
      <c r="O1254" s="25"/>
      <c r="P1254" s="26"/>
      <c r="Q1254" s="27"/>
      <c r="R1254" s="28"/>
      <c r="S1254" s="29"/>
      <c r="T1254" s="30"/>
    </row>
    <row r="1255" spans="1:20" ht="24" customHeight="1" x14ac:dyDescent="0.25">
      <c r="A1255" t="str">
        <f>IF('e1'!A1255&gt;0,HYPERLINK("#"&amp;ADDRESS(1255,'e1'!A1255),""),IF('r1'!A1255&gt;0,HYPERLINK("#"&amp;ADDRESS(1255,'r1'!A1255),""),""))</f>
        <v/>
      </c>
      <c r="C1255" s="13"/>
      <c r="D1255" s="14"/>
      <c r="E1255" s="15"/>
      <c r="F1255" s="16"/>
      <c r="G1255" s="17"/>
      <c r="H1255" s="18"/>
      <c r="I1255" s="19"/>
      <c r="J1255" s="20"/>
      <c r="K1255" s="21"/>
      <c r="L1255" s="22"/>
      <c r="M1255" s="23"/>
      <c r="N1255" s="24"/>
      <c r="O1255" s="25"/>
      <c r="P1255" s="26"/>
      <c r="Q1255" s="27"/>
      <c r="R1255" s="28"/>
      <c r="S1255" s="29"/>
      <c r="T1255" s="30"/>
    </row>
    <row r="1256" spans="1:20" ht="24" customHeight="1" x14ac:dyDescent="0.25">
      <c r="A1256" t="str">
        <f>IF('e1'!A1256&gt;0,HYPERLINK("#"&amp;ADDRESS(1256,'e1'!A1256),""),IF('r1'!A1256&gt;0,HYPERLINK("#"&amp;ADDRESS(1256,'r1'!A1256),""),""))</f>
        <v/>
      </c>
      <c r="C1256" s="13"/>
      <c r="D1256" s="14"/>
      <c r="E1256" s="15"/>
      <c r="F1256" s="16"/>
      <c r="G1256" s="17"/>
      <c r="H1256" s="18"/>
      <c r="I1256" s="19"/>
      <c r="J1256" s="20"/>
      <c r="K1256" s="21"/>
      <c r="L1256" s="22"/>
      <c r="M1256" s="23"/>
      <c r="N1256" s="24"/>
      <c r="O1256" s="25"/>
      <c r="P1256" s="26"/>
      <c r="Q1256" s="27"/>
      <c r="R1256" s="28"/>
      <c r="S1256" s="29"/>
      <c r="T1256" s="30"/>
    </row>
    <row r="1257" spans="1:20" ht="24" customHeight="1" x14ac:dyDescent="0.25">
      <c r="A1257" t="str">
        <f>IF('e1'!A1257&gt;0,HYPERLINK("#"&amp;ADDRESS(1257,'e1'!A1257),""),IF('r1'!A1257&gt;0,HYPERLINK("#"&amp;ADDRESS(1257,'r1'!A1257),""),""))</f>
        <v/>
      </c>
      <c r="C1257" s="13"/>
      <c r="D1257" s="14"/>
      <c r="E1257" s="15"/>
      <c r="F1257" s="16"/>
      <c r="G1257" s="17"/>
      <c r="H1257" s="18"/>
      <c r="I1257" s="19"/>
      <c r="J1257" s="20"/>
      <c r="K1257" s="21"/>
      <c r="L1257" s="22"/>
      <c r="M1257" s="23"/>
      <c r="N1257" s="24"/>
      <c r="O1257" s="25"/>
      <c r="P1257" s="26"/>
      <c r="Q1257" s="27"/>
      <c r="R1257" s="28"/>
      <c r="S1257" s="29"/>
      <c r="T1257" s="30"/>
    </row>
    <row r="1258" spans="1:20" ht="24" customHeight="1" x14ac:dyDescent="0.25">
      <c r="A1258" t="str">
        <f>IF('e1'!A1258&gt;0,HYPERLINK("#"&amp;ADDRESS(1258,'e1'!A1258),""),IF('r1'!A1258&gt;0,HYPERLINK("#"&amp;ADDRESS(1258,'r1'!A1258),""),""))</f>
        <v/>
      </c>
      <c r="C1258" s="13"/>
      <c r="D1258" s="14"/>
      <c r="E1258" s="15"/>
      <c r="F1258" s="16"/>
      <c r="G1258" s="17"/>
      <c r="H1258" s="18"/>
      <c r="I1258" s="19"/>
      <c r="J1258" s="20"/>
      <c r="K1258" s="21"/>
      <c r="L1258" s="22"/>
      <c r="M1258" s="23"/>
      <c r="N1258" s="24"/>
      <c r="O1258" s="25"/>
      <c r="P1258" s="26"/>
      <c r="Q1258" s="27"/>
      <c r="R1258" s="28"/>
      <c r="S1258" s="29"/>
      <c r="T1258" s="30"/>
    </row>
    <row r="1259" spans="1:20" ht="24" customHeight="1" x14ac:dyDescent="0.25">
      <c r="A1259" t="str">
        <f>IF('e1'!A1259&gt;0,HYPERLINK("#"&amp;ADDRESS(1259,'e1'!A1259),""),IF('r1'!A1259&gt;0,HYPERLINK("#"&amp;ADDRESS(1259,'r1'!A1259),""),""))</f>
        <v/>
      </c>
      <c r="C1259" s="13"/>
      <c r="D1259" s="14"/>
      <c r="E1259" s="15"/>
      <c r="F1259" s="16"/>
      <c r="G1259" s="17"/>
      <c r="H1259" s="18"/>
      <c r="I1259" s="19"/>
      <c r="J1259" s="20"/>
      <c r="K1259" s="21"/>
      <c r="L1259" s="22"/>
      <c r="M1259" s="23"/>
      <c r="N1259" s="24"/>
      <c r="O1259" s="25"/>
      <c r="P1259" s="26"/>
      <c r="Q1259" s="27"/>
      <c r="R1259" s="28"/>
      <c r="S1259" s="29"/>
      <c r="T1259" s="30"/>
    </row>
    <row r="1260" spans="1:20" ht="24" customHeight="1" x14ac:dyDescent="0.25">
      <c r="A1260" t="str">
        <f>IF('e1'!A1260&gt;0,HYPERLINK("#"&amp;ADDRESS(1260,'e1'!A1260),""),IF('r1'!A1260&gt;0,HYPERLINK("#"&amp;ADDRESS(1260,'r1'!A1260),""),""))</f>
        <v/>
      </c>
      <c r="C1260" s="13"/>
      <c r="D1260" s="14"/>
      <c r="E1260" s="15"/>
      <c r="F1260" s="16"/>
      <c r="G1260" s="17"/>
      <c r="H1260" s="18"/>
      <c r="I1260" s="19"/>
      <c r="J1260" s="20"/>
      <c r="K1260" s="21"/>
      <c r="L1260" s="22"/>
      <c r="M1260" s="23"/>
      <c r="N1260" s="24"/>
      <c r="O1260" s="25"/>
      <c r="P1260" s="26"/>
      <c r="Q1260" s="27"/>
      <c r="R1260" s="28"/>
      <c r="S1260" s="29"/>
      <c r="T1260" s="30"/>
    </row>
    <row r="1261" spans="1:20" ht="24" customHeight="1" x14ac:dyDescent="0.25">
      <c r="A1261" t="str">
        <f>IF('e1'!A1261&gt;0,HYPERLINK("#"&amp;ADDRESS(1261,'e1'!A1261),""),IF('r1'!A1261&gt;0,HYPERLINK("#"&amp;ADDRESS(1261,'r1'!A1261),""),""))</f>
        <v/>
      </c>
      <c r="C1261" s="13"/>
      <c r="D1261" s="14"/>
      <c r="E1261" s="15"/>
      <c r="F1261" s="16"/>
      <c r="G1261" s="17"/>
      <c r="H1261" s="18"/>
      <c r="I1261" s="19"/>
      <c r="J1261" s="20"/>
      <c r="K1261" s="21"/>
      <c r="L1261" s="22"/>
      <c r="M1261" s="23"/>
      <c r="N1261" s="24"/>
      <c r="O1261" s="25"/>
      <c r="P1261" s="26"/>
      <c r="Q1261" s="27"/>
      <c r="R1261" s="28"/>
      <c r="S1261" s="29"/>
      <c r="T1261" s="30"/>
    </row>
    <row r="1262" spans="1:20" ht="24" customHeight="1" x14ac:dyDescent="0.25">
      <c r="A1262" t="str">
        <f>IF('e1'!A1262&gt;0,HYPERLINK("#"&amp;ADDRESS(1262,'e1'!A1262),""),IF('r1'!A1262&gt;0,HYPERLINK("#"&amp;ADDRESS(1262,'r1'!A1262),""),""))</f>
        <v/>
      </c>
      <c r="C1262" s="13"/>
      <c r="D1262" s="14"/>
      <c r="E1262" s="15"/>
      <c r="F1262" s="16"/>
      <c r="G1262" s="17"/>
      <c r="H1262" s="18"/>
      <c r="I1262" s="19"/>
      <c r="J1262" s="20"/>
      <c r="K1262" s="21"/>
      <c r="L1262" s="22"/>
      <c r="M1262" s="23"/>
      <c r="N1262" s="24"/>
      <c r="O1262" s="25"/>
      <c r="P1262" s="26"/>
      <c r="Q1262" s="27"/>
      <c r="R1262" s="28"/>
      <c r="S1262" s="29"/>
      <c r="T1262" s="30"/>
    </row>
    <row r="1263" spans="1:20" ht="24" customHeight="1" x14ac:dyDescent="0.25">
      <c r="A1263" t="str">
        <f>IF('e1'!A1263&gt;0,HYPERLINK("#"&amp;ADDRESS(1263,'e1'!A1263),""),IF('r1'!A1263&gt;0,HYPERLINK("#"&amp;ADDRESS(1263,'r1'!A1263),""),""))</f>
        <v/>
      </c>
      <c r="C1263" s="13"/>
      <c r="D1263" s="14"/>
      <c r="E1263" s="15"/>
      <c r="F1263" s="16"/>
      <c r="G1263" s="17"/>
      <c r="H1263" s="18"/>
      <c r="I1263" s="19"/>
      <c r="J1263" s="20"/>
      <c r="K1263" s="21"/>
      <c r="L1263" s="22"/>
      <c r="M1263" s="23"/>
      <c r="N1263" s="24"/>
      <c r="O1263" s="25"/>
      <c r="P1263" s="26"/>
      <c r="Q1263" s="27"/>
      <c r="R1263" s="28"/>
      <c r="S1263" s="29"/>
      <c r="T1263" s="30"/>
    </row>
    <row r="1264" spans="1:20" ht="24" customHeight="1" x14ac:dyDescent="0.25">
      <c r="A1264" t="str">
        <f>IF('e1'!A1264&gt;0,HYPERLINK("#"&amp;ADDRESS(1264,'e1'!A1264),""),IF('r1'!A1264&gt;0,HYPERLINK("#"&amp;ADDRESS(1264,'r1'!A1264),""),""))</f>
        <v/>
      </c>
      <c r="C1264" s="13"/>
      <c r="D1264" s="14"/>
      <c r="E1264" s="15"/>
      <c r="F1264" s="16"/>
      <c r="G1264" s="17"/>
      <c r="H1264" s="18"/>
      <c r="I1264" s="19"/>
      <c r="J1264" s="20"/>
      <c r="K1264" s="21"/>
      <c r="L1264" s="22"/>
      <c r="M1264" s="23"/>
      <c r="N1264" s="24"/>
      <c r="O1264" s="25"/>
      <c r="P1264" s="26"/>
      <c r="Q1264" s="27"/>
      <c r="R1264" s="28"/>
      <c r="S1264" s="29"/>
      <c r="T1264" s="30"/>
    </row>
    <row r="1265" spans="1:20" ht="24" customHeight="1" x14ac:dyDescent="0.25">
      <c r="A1265" t="str">
        <f>IF('e1'!A1265&gt;0,HYPERLINK("#"&amp;ADDRESS(1265,'e1'!A1265),""),IF('r1'!A1265&gt;0,HYPERLINK("#"&amp;ADDRESS(1265,'r1'!A1265),""),""))</f>
        <v/>
      </c>
      <c r="C1265" s="13"/>
      <c r="D1265" s="14"/>
      <c r="E1265" s="15"/>
      <c r="F1265" s="16"/>
      <c r="G1265" s="17"/>
      <c r="H1265" s="18"/>
      <c r="I1265" s="19"/>
      <c r="J1265" s="20"/>
      <c r="K1265" s="21"/>
      <c r="L1265" s="22"/>
      <c r="M1265" s="23"/>
      <c r="N1265" s="24"/>
      <c r="O1265" s="25"/>
      <c r="P1265" s="26"/>
      <c r="Q1265" s="27"/>
      <c r="R1265" s="28"/>
      <c r="S1265" s="29"/>
      <c r="T1265" s="30"/>
    </row>
    <row r="1266" spans="1:20" ht="24" customHeight="1" x14ac:dyDescent="0.25">
      <c r="A1266" t="str">
        <f>IF('e1'!A1266&gt;0,HYPERLINK("#"&amp;ADDRESS(1266,'e1'!A1266),""),IF('r1'!A1266&gt;0,HYPERLINK("#"&amp;ADDRESS(1266,'r1'!A1266),""),""))</f>
        <v/>
      </c>
      <c r="C1266" s="13"/>
      <c r="D1266" s="14"/>
      <c r="E1266" s="15"/>
      <c r="F1266" s="16"/>
      <c r="G1266" s="17"/>
      <c r="H1266" s="18"/>
      <c r="I1266" s="19"/>
      <c r="J1266" s="20"/>
      <c r="K1266" s="21"/>
      <c r="L1266" s="22"/>
      <c r="M1266" s="23"/>
      <c r="N1266" s="24"/>
      <c r="O1266" s="25"/>
      <c r="P1266" s="26"/>
      <c r="Q1266" s="27"/>
      <c r="R1266" s="28"/>
      <c r="S1266" s="29"/>
      <c r="T1266" s="30"/>
    </row>
    <row r="1267" spans="1:20" ht="24" customHeight="1" x14ac:dyDescent="0.25">
      <c r="A1267" t="str">
        <f>IF('e1'!A1267&gt;0,HYPERLINK("#"&amp;ADDRESS(1267,'e1'!A1267),""),IF('r1'!A1267&gt;0,HYPERLINK("#"&amp;ADDRESS(1267,'r1'!A1267),""),""))</f>
        <v/>
      </c>
      <c r="C1267" s="13"/>
      <c r="D1267" s="14"/>
      <c r="E1267" s="15"/>
      <c r="F1267" s="16"/>
      <c r="G1267" s="17"/>
      <c r="H1267" s="18"/>
      <c r="I1267" s="19"/>
      <c r="J1267" s="20"/>
      <c r="K1267" s="21"/>
      <c r="L1267" s="22"/>
      <c r="M1267" s="23"/>
      <c r="N1267" s="24"/>
      <c r="O1267" s="25"/>
      <c r="P1267" s="26"/>
      <c r="Q1267" s="27"/>
      <c r="R1267" s="28"/>
      <c r="S1267" s="29"/>
      <c r="T1267" s="30"/>
    </row>
    <row r="1268" spans="1:20" ht="24" customHeight="1" x14ac:dyDescent="0.25">
      <c r="A1268" t="str">
        <f>IF('e1'!A1268&gt;0,HYPERLINK("#"&amp;ADDRESS(1268,'e1'!A1268),""),IF('r1'!A1268&gt;0,HYPERLINK("#"&amp;ADDRESS(1268,'r1'!A1268),""),""))</f>
        <v/>
      </c>
      <c r="C1268" s="13"/>
      <c r="D1268" s="14"/>
      <c r="E1268" s="15"/>
      <c r="F1268" s="16"/>
      <c r="G1268" s="17"/>
      <c r="H1268" s="18"/>
      <c r="I1268" s="19"/>
      <c r="J1268" s="20"/>
      <c r="K1268" s="21"/>
      <c r="L1268" s="22"/>
      <c r="M1268" s="23"/>
      <c r="N1268" s="24"/>
      <c r="O1268" s="25"/>
      <c r="P1268" s="26"/>
      <c r="Q1268" s="27"/>
      <c r="R1268" s="28"/>
      <c r="S1268" s="29"/>
      <c r="T1268" s="30"/>
    </row>
    <row r="1269" spans="1:20" ht="24" customHeight="1" x14ac:dyDescent="0.25">
      <c r="A1269" t="str">
        <f>IF('e1'!A1269&gt;0,HYPERLINK("#"&amp;ADDRESS(1269,'e1'!A1269),""),IF('r1'!A1269&gt;0,HYPERLINK("#"&amp;ADDRESS(1269,'r1'!A1269),""),""))</f>
        <v/>
      </c>
      <c r="C1269" s="13"/>
      <c r="D1269" s="14"/>
      <c r="E1269" s="15"/>
      <c r="F1269" s="16"/>
      <c r="G1269" s="17"/>
      <c r="H1269" s="18"/>
      <c r="I1269" s="19"/>
      <c r="J1269" s="20"/>
      <c r="K1269" s="21"/>
      <c r="L1269" s="22"/>
      <c r="M1269" s="23"/>
      <c r="N1269" s="24"/>
      <c r="O1269" s="25"/>
      <c r="P1269" s="26"/>
      <c r="Q1269" s="27"/>
      <c r="R1269" s="28"/>
      <c r="S1269" s="29"/>
      <c r="T1269" s="30"/>
    </row>
    <row r="1270" spans="1:20" ht="24" customHeight="1" x14ac:dyDescent="0.25">
      <c r="A1270" t="str">
        <f>IF('e1'!A1270&gt;0,HYPERLINK("#"&amp;ADDRESS(1270,'e1'!A1270),""),IF('r1'!A1270&gt;0,HYPERLINK("#"&amp;ADDRESS(1270,'r1'!A1270),""),""))</f>
        <v/>
      </c>
      <c r="C1270" s="13"/>
      <c r="D1270" s="14"/>
      <c r="E1270" s="15"/>
      <c r="F1270" s="16"/>
      <c r="G1270" s="17"/>
      <c r="H1270" s="18"/>
      <c r="I1270" s="19"/>
      <c r="J1270" s="20"/>
      <c r="K1270" s="21"/>
      <c r="L1270" s="22"/>
      <c r="M1270" s="23"/>
      <c r="N1270" s="24"/>
      <c r="O1270" s="25"/>
      <c r="P1270" s="26"/>
      <c r="Q1270" s="27"/>
      <c r="R1270" s="28"/>
      <c r="S1270" s="29"/>
      <c r="T1270" s="30"/>
    </row>
    <row r="1271" spans="1:20" ht="24" customHeight="1" x14ac:dyDescent="0.25">
      <c r="A1271" t="str">
        <f>IF('e1'!A1271&gt;0,HYPERLINK("#"&amp;ADDRESS(1271,'e1'!A1271),""),IF('r1'!A1271&gt;0,HYPERLINK("#"&amp;ADDRESS(1271,'r1'!A1271),""),""))</f>
        <v/>
      </c>
      <c r="C1271" s="13"/>
      <c r="D1271" s="14"/>
      <c r="E1271" s="15"/>
      <c r="F1271" s="16"/>
      <c r="G1271" s="17"/>
      <c r="H1271" s="18"/>
      <c r="I1271" s="19"/>
      <c r="J1271" s="20"/>
      <c r="K1271" s="21"/>
      <c r="L1271" s="22"/>
      <c r="M1271" s="23"/>
      <c r="N1271" s="24"/>
      <c r="O1271" s="25"/>
      <c r="P1271" s="26"/>
      <c r="Q1271" s="27"/>
      <c r="R1271" s="28"/>
      <c r="S1271" s="29"/>
      <c r="T1271" s="30"/>
    </row>
    <row r="1272" spans="1:20" ht="24" customHeight="1" x14ac:dyDescent="0.25">
      <c r="A1272" t="str">
        <f>IF('e1'!A1272&gt;0,HYPERLINK("#"&amp;ADDRESS(1272,'e1'!A1272),""),IF('r1'!A1272&gt;0,HYPERLINK("#"&amp;ADDRESS(1272,'r1'!A1272),""),""))</f>
        <v/>
      </c>
      <c r="C1272" s="13"/>
      <c r="D1272" s="14"/>
      <c r="E1272" s="15"/>
      <c r="F1272" s="16"/>
      <c r="G1272" s="17"/>
      <c r="H1272" s="18"/>
      <c r="I1272" s="19"/>
      <c r="J1272" s="20"/>
      <c r="K1272" s="21"/>
      <c r="L1272" s="22"/>
      <c r="M1272" s="23"/>
      <c r="N1272" s="24"/>
      <c r="O1272" s="25"/>
      <c r="P1272" s="26"/>
      <c r="Q1272" s="27"/>
      <c r="R1272" s="28"/>
      <c r="S1272" s="29"/>
      <c r="T1272" s="30"/>
    </row>
    <row r="1273" spans="1:20" ht="24" customHeight="1" x14ac:dyDescent="0.25">
      <c r="A1273" t="str">
        <f>IF('e1'!A1273&gt;0,HYPERLINK("#"&amp;ADDRESS(1273,'e1'!A1273),""),IF('r1'!A1273&gt;0,HYPERLINK("#"&amp;ADDRESS(1273,'r1'!A1273),""),""))</f>
        <v/>
      </c>
      <c r="C1273" s="13"/>
      <c r="D1273" s="14"/>
      <c r="E1273" s="15"/>
      <c r="F1273" s="16"/>
      <c r="G1273" s="17"/>
      <c r="H1273" s="18"/>
      <c r="I1273" s="19"/>
      <c r="J1273" s="20"/>
      <c r="K1273" s="21"/>
      <c r="L1273" s="22"/>
      <c r="M1273" s="23"/>
      <c r="N1273" s="24"/>
      <c r="O1273" s="25"/>
      <c r="P1273" s="26"/>
      <c r="Q1273" s="27"/>
      <c r="R1273" s="28"/>
      <c r="S1273" s="29"/>
      <c r="T1273" s="30"/>
    </row>
    <row r="1274" spans="1:20" ht="24" customHeight="1" x14ac:dyDescent="0.25">
      <c r="A1274" t="str">
        <f>IF('e1'!A1274&gt;0,HYPERLINK("#"&amp;ADDRESS(1274,'e1'!A1274),""),IF('r1'!A1274&gt;0,HYPERLINK("#"&amp;ADDRESS(1274,'r1'!A1274),""),""))</f>
        <v/>
      </c>
      <c r="C1274" s="13"/>
      <c r="D1274" s="14"/>
      <c r="E1274" s="15"/>
      <c r="F1274" s="16"/>
      <c r="G1274" s="17"/>
      <c r="H1274" s="18"/>
      <c r="I1274" s="19"/>
      <c r="J1274" s="20"/>
      <c r="K1274" s="21"/>
      <c r="L1274" s="22"/>
      <c r="M1274" s="23"/>
      <c r="N1274" s="24"/>
      <c r="O1274" s="25"/>
      <c r="P1274" s="26"/>
      <c r="Q1274" s="27"/>
      <c r="R1274" s="28"/>
      <c r="S1274" s="29"/>
      <c r="T1274" s="30"/>
    </row>
    <row r="1275" spans="1:20" ht="24" customHeight="1" x14ac:dyDescent="0.25">
      <c r="A1275" t="str">
        <f>IF('e1'!A1275&gt;0,HYPERLINK("#"&amp;ADDRESS(1275,'e1'!A1275),""),IF('r1'!A1275&gt;0,HYPERLINK("#"&amp;ADDRESS(1275,'r1'!A1275),""),""))</f>
        <v/>
      </c>
      <c r="C1275" s="13"/>
      <c r="D1275" s="14"/>
      <c r="E1275" s="15"/>
      <c r="F1275" s="16"/>
      <c r="G1275" s="17"/>
      <c r="H1275" s="18"/>
      <c r="I1275" s="19"/>
      <c r="J1275" s="20"/>
      <c r="K1275" s="21"/>
      <c r="L1275" s="22"/>
      <c r="M1275" s="23"/>
      <c r="N1275" s="24"/>
      <c r="O1275" s="25"/>
      <c r="P1275" s="26"/>
      <c r="Q1275" s="27"/>
      <c r="R1275" s="28"/>
      <c r="S1275" s="29"/>
      <c r="T1275" s="30"/>
    </row>
    <row r="1276" spans="1:20" ht="24" customHeight="1" x14ac:dyDescent="0.25">
      <c r="A1276" t="str">
        <f>IF('e1'!A1276&gt;0,HYPERLINK("#"&amp;ADDRESS(1276,'e1'!A1276),""),IF('r1'!A1276&gt;0,HYPERLINK("#"&amp;ADDRESS(1276,'r1'!A1276),""),""))</f>
        <v/>
      </c>
      <c r="C1276" s="13"/>
      <c r="D1276" s="14"/>
      <c r="E1276" s="15"/>
      <c r="F1276" s="16"/>
      <c r="G1276" s="17"/>
      <c r="H1276" s="18"/>
      <c r="I1276" s="19"/>
      <c r="J1276" s="20"/>
      <c r="K1276" s="21"/>
      <c r="L1276" s="22"/>
      <c r="M1276" s="23"/>
      <c r="N1276" s="24"/>
      <c r="O1276" s="25"/>
      <c r="P1276" s="26"/>
      <c r="Q1276" s="27"/>
      <c r="R1276" s="28"/>
      <c r="S1276" s="29"/>
      <c r="T1276" s="30"/>
    </row>
    <row r="1277" spans="1:20" ht="24" customHeight="1" x14ac:dyDescent="0.25">
      <c r="A1277" t="str">
        <f>IF('e1'!A1277&gt;0,HYPERLINK("#"&amp;ADDRESS(1277,'e1'!A1277),""),IF('r1'!A1277&gt;0,HYPERLINK("#"&amp;ADDRESS(1277,'r1'!A1277),""),""))</f>
        <v/>
      </c>
      <c r="C1277" s="13"/>
      <c r="D1277" s="14"/>
      <c r="E1277" s="15"/>
      <c r="F1277" s="16"/>
      <c r="G1277" s="17"/>
      <c r="H1277" s="18"/>
      <c r="I1277" s="19"/>
      <c r="J1277" s="20"/>
      <c r="K1277" s="21"/>
      <c r="L1277" s="22"/>
      <c r="M1277" s="23"/>
      <c r="N1277" s="24"/>
      <c r="O1277" s="25"/>
      <c r="P1277" s="26"/>
      <c r="Q1277" s="27"/>
      <c r="R1277" s="28"/>
      <c r="S1277" s="29"/>
      <c r="T1277" s="30"/>
    </row>
    <row r="1278" spans="1:20" ht="24" customHeight="1" x14ac:dyDescent="0.25">
      <c r="A1278" t="str">
        <f>IF('e1'!A1278&gt;0,HYPERLINK("#"&amp;ADDRESS(1278,'e1'!A1278),""),IF('r1'!A1278&gt;0,HYPERLINK("#"&amp;ADDRESS(1278,'r1'!A1278),""),""))</f>
        <v/>
      </c>
      <c r="C1278" s="13"/>
      <c r="D1278" s="14"/>
      <c r="E1278" s="15"/>
      <c r="F1278" s="16"/>
      <c r="G1278" s="17"/>
      <c r="H1278" s="18"/>
      <c r="I1278" s="19"/>
      <c r="J1278" s="20"/>
      <c r="K1278" s="21"/>
      <c r="L1278" s="22"/>
      <c r="M1278" s="23"/>
      <c r="N1278" s="24"/>
      <c r="O1278" s="25"/>
      <c r="P1278" s="26"/>
      <c r="Q1278" s="27"/>
      <c r="R1278" s="28"/>
      <c r="S1278" s="29"/>
      <c r="T1278" s="30"/>
    </row>
    <row r="1279" spans="1:20" ht="24" customHeight="1" x14ac:dyDescent="0.25">
      <c r="A1279" t="str">
        <f>IF('e1'!A1279&gt;0,HYPERLINK("#"&amp;ADDRESS(1279,'e1'!A1279),""),IF('r1'!A1279&gt;0,HYPERLINK("#"&amp;ADDRESS(1279,'r1'!A1279),""),""))</f>
        <v/>
      </c>
      <c r="C1279" s="13"/>
      <c r="D1279" s="14"/>
      <c r="E1279" s="15"/>
      <c r="F1279" s="16"/>
      <c r="G1279" s="17"/>
      <c r="H1279" s="18"/>
      <c r="I1279" s="19"/>
      <c r="J1279" s="20"/>
      <c r="K1279" s="21"/>
      <c r="L1279" s="22"/>
      <c r="M1279" s="23"/>
      <c r="N1279" s="24"/>
      <c r="O1279" s="25"/>
      <c r="P1279" s="26"/>
      <c r="Q1279" s="27"/>
      <c r="R1279" s="28"/>
      <c r="S1279" s="29"/>
      <c r="T1279" s="30"/>
    </row>
    <row r="1280" spans="1:20" ht="24" customHeight="1" x14ac:dyDescent="0.25">
      <c r="A1280" t="str">
        <f>IF('e1'!A1280&gt;0,HYPERLINK("#"&amp;ADDRESS(1280,'e1'!A1280),""),IF('r1'!A1280&gt;0,HYPERLINK("#"&amp;ADDRESS(1280,'r1'!A1280),""),""))</f>
        <v/>
      </c>
      <c r="C1280" s="13"/>
      <c r="D1280" s="14"/>
      <c r="E1280" s="15"/>
      <c r="F1280" s="16"/>
      <c r="G1280" s="17"/>
      <c r="H1280" s="18"/>
      <c r="I1280" s="19"/>
      <c r="J1280" s="20"/>
      <c r="K1280" s="21"/>
      <c r="L1280" s="22"/>
      <c r="M1280" s="23"/>
      <c r="N1280" s="24"/>
      <c r="O1280" s="25"/>
      <c r="P1280" s="26"/>
      <c r="Q1280" s="27"/>
      <c r="R1280" s="28"/>
      <c r="S1280" s="29"/>
      <c r="T1280" s="30"/>
    </row>
    <row r="1281" spans="1:20" ht="24" customHeight="1" x14ac:dyDescent="0.25">
      <c r="A1281" t="str">
        <f>IF('e1'!A1281&gt;0,HYPERLINK("#"&amp;ADDRESS(1281,'e1'!A1281),""),IF('r1'!A1281&gt;0,HYPERLINK("#"&amp;ADDRESS(1281,'r1'!A1281),""),""))</f>
        <v/>
      </c>
      <c r="C1281" s="13"/>
      <c r="D1281" s="14"/>
      <c r="E1281" s="15"/>
      <c r="F1281" s="16"/>
      <c r="G1281" s="17"/>
      <c r="H1281" s="18"/>
      <c r="I1281" s="19"/>
      <c r="J1281" s="20"/>
      <c r="K1281" s="21"/>
      <c r="L1281" s="22"/>
      <c r="M1281" s="23"/>
      <c r="N1281" s="24"/>
      <c r="O1281" s="25"/>
      <c r="P1281" s="26"/>
      <c r="Q1281" s="27"/>
      <c r="R1281" s="28"/>
      <c r="S1281" s="29"/>
      <c r="T1281" s="30"/>
    </row>
    <row r="1282" spans="1:20" ht="24" customHeight="1" x14ac:dyDescent="0.25">
      <c r="A1282" t="str">
        <f>IF('e1'!A1282&gt;0,HYPERLINK("#"&amp;ADDRESS(1282,'e1'!A1282),""),IF('r1'!A1282&gt;0,HYPERLINK("#"&amp;ADDRESS(1282,'r1'!A1282),""),""))</f>
        <v/>
      </c>
      <c r="C1282" s="13"/>
      <c r="D1282" s="14"/>
      <c r="E1282" s="15"/>
      <c r="F1282" s="16"/>
      <c r="G1282" s="17"/>
      <c r="H1282" s="18"/>
      <c r="I1282" s="19"/>
      <c r="J1282" s="20"/>
      <c r="K1282" s="21"/>
      <c r="L1282" s="22"/>
      <c r="M1282" s="23"/>
      <c r="N1282" s="24"/>
      <c r="O1282" s="25"/>
      <c r="P1282" s="26"/>
      <c r="Q1282" s="27"/>
      <c r="R1282" s="28"/>
      <c r="S1282" s="29"/>
      <c r="T1282" s="30"/>
    </row>
    <row r="1283" spans="1:20" ht="24" customHeight="1" x14ac:dyDescent="0.25">
      <c r="A1283" t="str">
        <f>IF('e1'!A1283&gt;0,HYPERLINK("#"&amp;ADDRESS(1283,'e1'!A1283),""),IF('r1'!A1283&gt;0,HYPERLINK("#"&amp;ADDRESS(1283,'r1'!A1283),""),""))</f>
        <v/>
      </c>
      <c r="C1283" s="13"/>
      <c r="D1283" s="14"/>
      <c r="E1283" s="15"/>
      <c r="F1283" s="16"/>
      <c r="G1283" s="17"/>
      <c r="H1283" s="18"/>
      <c r="I1283" s="19"/>
      <c r="J1283" s="20"/>
      <c r="K1283" s="21"/>
      <c r="L1283" s="22"/>
      <c r="M1283" s="23"/>
      <c r="N1283" s="24"/>
      <c r="O1283" s="25"/>
      <c r="P1283" s="26"/>
      <c r="Q1283" s="27"/>
      <c r="R1283" s="28"/>
      <c r="S1283" s="29"/>
      <c r="T1283" s="30"/>
    </row>
    <row r="1284" spans="1:20" ht="24" customHeight="1" x14ac:dyDescent="0.25">
      <c r="A1284" t="str">
        <f>IF('e1'!A1284&gt;0,HYPERLINK("#"&amp;ADDRESS(1284,'e1'!A1284),""),IF('r1'!A1284&gt;0,HYPERLINK("#"&amp;ADDRESS(1284,'r1'!A1284),""),""))</f>
        <v/>
      </c>
      <c r="C1284" s="13"/>
      <c r="D1284" s="14"/>
      <c r="E1284" s="15"/>
      <c r="F1284" s="16"/>
      <c r="G1284" s="17"/>
      <c r="H1284" s="18"/>
      <c r="I1284" s="19"/>
      <c r="J1284" s="20"/>
      <c r="K1284" s="21"/>
      <c r="L1284" s="22"/>
      <c r="M1284" s="23"/>
      <c r="N1284" s="24"/>
      <c r="O1284" s="25"/>
      <c r="P1284" s="26"/>
      <c r="Q1284" s="27"/>
      <c r="R1284" s="28"/>
      <c r="S1284" s="29"/>
      <c r="T1284" s="30"/>
    </row>
    <row r="1285" spans="1:20" ht="24" customHeight="1" x14ac:dyDescent="0.25">
      <c r="A1285" t="str">
        <f>IF('e1'!A1285&gt;0,HYPERLINK("#"&amp;ADDRESS(1285,'e1'!A1285),""),IF('r1'!A1285&gt;0,HYPERLINK("#"&amp;ADDRESS(1285,'r1'!A1285),""),""))</f>
        <v/>
      </c>
      <c r="C1285" s="13"/>
      <c r="D1285" s="14"/>
      <c r="E1285" s="15"/>
      <c r="F1285" s="16"/>
      <c r="G1285" s="17"/>
      <c r="H1285" s="18"/>
      <c r="I1285" s="19"/>
      <c r="J1285" s="20"/>
      <c r="K1285" s="21"/>
      <c r="L1285" s="22"/>
      <c r="M1285" s="23"/>
      <c r="N1285" s="24"/>
      <c r="O1285" s="25"/>
      <c r="P1285" s="26"/>
      <c r="Q1285" s="27"/>
      <c r="R1285" s="28"/>
      <c r="S1285" s="29"/>
      <c r="T1285" s="30"/>
    </row>
    <row r="1286" spans="1:20" ht="24" customHeight="1" x14ac:dyDescent="0.25">
      <c r="A1286" t="str">
        <f>IF('e1'!A1286&gt;0,HYPERLINK("#"&amp;ADDRESS(1286,'e1'!A1286),""),IF('r1'!A1286&gt;0,HYPERLINK("#"&amp;ADDRESS(1286,'r1'!A1286),""),""))</f>
        <v/>
      </c>
      <c r="C1286" s="13"/>
      <c r="D1286" s="14"/>
      <c r="E1286" s="15"/>
      <c r="F1286" s="16"/>
      <c r="G1286" s="17"/>
      <c r="H1286" s="18"/>
      <c r="I1286" s="19"/>
      <c r="J1286" s="20"/>
      <c r="K1286" s="21"/>
      <c r="L1286" s="22"/>
      <c r="M1286" s="23"/>
      <c r="N1286" s="24"/>
      <c r="O1286" s="25"/>
      <c r="P1286" s="26"/>
      <c r="Q1286" s="27"/>
      <c r="R1286" s="28"/>
      <c r="S1286" s="29"/>
      <c r="T1286" s="30"/>
    </row>
    <row r="1287" spans="1:20" ht="24" customHeight="1" x14ac:dyDescent="0.25">
      <c r="A1287" t="str">
        <f>IF('e1'!A1287&gt;0,HYPERLINK("#"&amp;ADDRESS(1287,'e1'!A1287),""),IF('r1'!A1287&gt;0,HYPERLINK("#"&amp;ADDRESS(1287,'r1'!A1287),""),""))</f>
        <v/>
      </c>
      <c r="C1287" s="13"/>
      <c r="D1287" s="14"/>
      <c r="E1287" s="15"/>
      <c r="F1287" s="16"/>
      <c r="G1287" s="17"/>
      <c r="H1287" s="18"/>
      <c r="I1287" s="19"/>
      <c r="J1287" s="20"/>
      <c r="K1287" s="21"/>
      <c r="L1287" s="22"/>
      <c r="M1287" s="23"/>
      <c r="N1287" s="24"/>
      <c r="O1287" s="25"/>
      <c r="P1287" s="26"/>
      <c r="Q1287" s="27"/>
      <c r="R1287" s="28"/>
      <c r="S1287" s="29"/>
      <c r="T1287" s="30"/>
    </row>
    <row r="1288" spans="1:20" ht="24" customHeight="1" x14ac:dyDescent="0.25">
      <c r="A1288" t="str">
        <f>IF('e1'!A1288&gt;0,HYPERLINK("#"&amp;ADDRESS(1288,'e1'!A1288),""),IF('r1'!A1288&gt;0,HYPERLINK("#"&amp;ADDRESS(1288,'r1'!A1288),""),""))</f>
        <v/>
      </c>
      <c r="C1288" s="13"/>
      <c r="D1288" s="14"/>
      <c r="E1288" s="15"/>
      <c r="F1288" s="16"/>
      <c r="G1288" s="17"/>
      <c r="H1288" s="18"/>
      <c r="I1288" s="19"/>
      <c r="J1288" s="20"/>
      <c r="K1288" s="21"/>
      <c r="L1288" s="22"/>
      <c r="M1288" s="23"/>
      <c r="N1288" s="24"/>
      <c r="O1288" s="25"/>
      <c r="P1288" s="26"/>
      <c r="Q1288" s="27"/>
      <c r="R1288" s="28"/>
      <c r="S1288" s="29"/>
      <c r="T1288" s="30"/>
    </row>
    <row r="1289" spans="1:20" ht="24" customHeight="1" x14ac:dyDescent="0.25">
      <c r="A1289" t="str">
        <f>IF('e1'!A1289&gt;0,HYPERLINK("#"&amp;ADDRESS(1289,'e1'!A1289),""),IF('r1'!A1289&gt;0,HYPERLINK("#"&amp;ADDRESS(1289,'r1'!A1289),""),""))</f>
        <v/>
      </c>
      <c r="C1289" s="13"/>
      <c r="D1289" s="14"/>
      <c r="E1289" s="15"/>
      <c r="F1289" s="16"/>
      <c r="G1289" s="17"/>
      <c r="H1289" s="18"/>
      <c r="I1289" s="19"/>
      <c r="J1289" s="20"/>
      <c r="K1289" s="21"/>
      <c r="L1289" s="22"/>
      <c r="M1289" s="23"/>
      <c r="N1289" s="24"/>
      <c r="O1289" s="25"/>
      <c r="P1289" s="26"/>
      <c r="Q1289" s="27"/>
      <c r="R1289" s="28"/>
      <c r="S1289" s="29"/>
      <c r="T1289" s="30"/>
    </row>
    <row r="1290" spans="1:20" ht="24" customHeight="1" x14ac:dyDescent="0.25">
      <c r="A1290" t="str">
        <f>IF('e1'!A1290&gt;0,HYPERLINK("#"&amp;ADDRESS(1290,'e1'!A1290),""),IF('r1'!A1290&gt;0,HYPERLINK("#"&amp;ADDRESS(1290,'r1'!A1290),""),""))</f>
        <v/>
      </c>
      <c r="C1290" s="13"/>
      <c r="D1290" s="14"/>
      <c r="E1290" s="15"/>
      <c r="F1290" s="16"/>
      <c r="G1290" s="17"/>
      <c r="H1290" s="18"/>
      <c r="I1290" s="19"/>
      <c r="J1290" s="20"/>
      <c r="K1290" s="21"/>
      <c r="L1290" s="22"/>
      <c r="M1290" s="23"/>
      <c r="N1290" s="24"/>
      <c r="O1290" s="25"/>
      <c r="P1290" s="26"/>
      <c r="Q1290" s="27"/>
      <c r="R1290" s="28"/>
      <c r="S1290" s="29"/>
      <c r="T1290" s="30"/>
    </row>
    <row r="1291" spans="1:20" ht="24" customHeight="1" x14ac:dyDescent="0.25">
      <c r="A1291" t="str">
        <f>IF('e1'!A1291&gt;0,HYPERLINK("#"&amp;ADDRESS(1291,'e1'!A1291),""),IF('r1'!A1291&gt;0,HYPERLINK("#"&amp;ADDRESS(1291,'r1'!A1291),""),""))</f>
        <v/>
      </c>
      <c r="C1291" s="13"/>
      <c r="D1291" s="14"/>
      <c r="E1291" s="15"/>
      <c r="F1291" s="16"/>
      <c r="G1291" s="17"/>
      <c r="H1291" s="18"/>
      <c r="I1291" s="19"/>
      <c r="J1291" s="20"/>
      <c r="K1291" s="21"/>
      <c r="L1291" s="22"/>
      <c r="M1291" s="23"/>
      <c r="N1291" s="24"/>
      <c r="O1291" s="25"/>
      <c r="P1291" s="26"/>
      <c r="Q1291" s="27"/>
      <c r="R1291" s="28"/>
      <c r="S1291" s="29"/>
      <c r="T1291" s="30"/>
    </row>
    <row r="1292" spans="1:20" ht="24" customHeight="1" x14ac:dyDescent="0.25">
      <c r="A1292" t="str">
        <f>IF('e1'!A1292&gt;0,HYPERLINK("#"&amp;ADDRESS(1292,'e1'!A1292),""),IF('r1'!A1292&gt;0,HYPERLINK("#"&amp;ADDRESS(1292,'r1'!A1292),""),""))</f>
        <v/>
      </c>
      <c r="C1292" s="13"/>
      <c r="D1292" s="14"/>
      <c r="E1292" s="15"/>
      <c r="F1292" s="16"/>
      <c r="G1292" s="17"/>
      <c r="H1292" s="18"/>
      <c r="I1292" s="19"/>
      <c r="J1292" s="20"/>
      <c r="K1292" s="21"/>
      <c r="L1292" s="22"/>
      <c r="M1292" s="23"/>
      <c r="N1292" s="24"/>
      <c r="O1292" s="25"/>
      <c r="P1292" s="26"/>
      <c r="Q1292" s="27"/>
      <c r="R1292" s="28"/>
      <c r="S1292" s="29"/>
      <c r="T1292" s="30"/>
    </row>
    <row r="1293" spans="1:20" ht="24" customHeight="1" x14ac:dyDescent="0.25">
      <c r="A1293" t="str">
        <f>IF('e1'!A1293&gt;0,HYPERLINK("#"&amp;ADDRESS(1293,'e1'!A1293),""),IF('r1'!A1293&gt;0,HYPERLINK("#"&amp;ADDRESS(1293,'r1'!A1293),""),""))</f>
        <v/>
      </c>
      <c r="C1293" s="13"/>
      <c r="D1293" s="14"/>
      <c r="E1293" s="15"/>
      <c r="F1293" s="16"/>
      <c r="G1293" s="17"/>
      <c r="H1293" s="18"/>
      <c r="I1293" s="19"/>
      <c r="J1293" s="20"/>
      <c r="K1293" s="21"/>
      <c r="L1293" s="22"/>
      <c r="M1293" s="23"/>
      <c r="N1293" s="24"/>
      <c r="O1293" s="25"/>
      <c r="P1293" s="26"/>
      <c r="Q1293" s="27"/>
      <c r="R1293" s="28"/>
      <c r="S1293" s="29"/>
      <c r="T1293" s="30"/>
    </row>
    <row r="1294" spans="1:20" ht="24" customHeight="1" x14ac:dyDescent="0.25">
      <c r="A1294" t="str">
        <f>IF('e1'!A1294&gt;0,HYPERLINK("#"&amp;ADDRESS(1294,'e1'!A1294),""),IF('r1'!A1294&gt;0,HYPERLINK("#"&amp;ADDRESS(1294,'r1'!A1294),""),""))</f>
        <v/>
      </c>
      <c r="C1294" s="13"/>
      <c r="D1294" s="14"/>
      <c r="E1294" s="15"/>
      <c r="F1294" s="16"/>
      <c r="G1294" s="17"/>
      <c r="H1294" s="18"/>
      <c r="I1294" s="19"/>
      <c r="J1294" s="20"/>
      <c r="K1294" s="21"/>
      <c r="L1294" s="22"/>
      <c r="M1294" s="23"/>
      <c r="N1294" s="24"/>
      <c r="O1294" s="25"/>
      <c r="P1294" s="26"/>
      <c r="Q1294" s="27"/>
      <c r="R1294" s="28"/>
      <c r="S1294" s="29"/>
      <c r="T1294" s="30"/>
    </row>
    <row r="1295" spans="1:20" ht="24" customHeight="1" x14ac:dyDescent="0.25">
      <c r="A1295" t="str">
        <f>IF('e1'!A1295&gt;0,HYPERLINK("#"&amp;ADDRESS(1295,'e1'!A1295),""),IF('r1'!A1295&gt;0,HYPERLINK("#"&amp;ADDRESS(1295,'r1'!A1295),""),""))</f>
        <v/>
      </c>
      <c r="C1295" s="13"/>
      <c r="D1295" s="14"/>
      <c r="E1295" s="15"/>
      <c r="F1295" s="16"/>
      <c r="G1295" s="17"/>
      <c r="H1295" s="18"/>
      <c r="I1295" s="19"/>
      <c r="J1295" s="20"/>
      <c r="K1295" s="21"/>
      <c r="L1295" s="22"/>
      <c r="M1295" s="23"/>
      <c r="N1295" s="24"/>
      <c r="O1295" s="25"/>
      <c r="P1295" s="26"/>
      <c r="Q1295" s="27"/>
      <c r="R1295" s="28"/>
      <c r="S1295" s="29"/>
      <c r="T1295" s="30"/>
    </row>
    <row r="1296" spans="1:20" ht="24" customHeight="1" x14ac:dyDescent="0.25">
      <c r="A1296" t="str">
        <f>IF('e1'!A1296&gt;0,HYPERLINK("#"&amp;ADDRESS(1296,'e1'!A1296),""),IF('r1'!A1296&gt;0,HYPERLINK("#"&amp;ADDRESS(1296,'r1'!A1296),""),""))</f>
        <v/>
      </c>
      <c r="C1296" s="13"/>
      <c r="D1296" s="14"/>
      <c r="E1296" s="15"/>
      <c r="F1296" s="16"/>
      <c r="G1296" s="17"/>
      <c r="H1296" s="18"/>
      <c r="I1296" s="19"/>
      <c r="J1296" s="20"/>
      <c r="K1296" s="21"/>
      <c r="L1296" s="22"/>
      <c r="M1296" s="23"/>
      <c r="N1296" s="24"/>
      <c r="O1296" s="25"/>
      <c r="P1296" s="26"/>
      <c r="Q1296" s="27"/>
      <c r="R1296" s="28"/>
      <c r="S1296" s="29"/>
      <c r="T1296" s="30"/>
    </row>
    <row r="1297" spans="1:20" ht="24" customHeight="1" x14ac:dyDescent="0.25">
      <c r="A1297" t="str">
        <f>IF('e1'!A1297&gt;0,HYPERLINK("#"&amp;ADDRESS(1297,'e1'!A1297),""),IF('r1'!A1297&gt;0,HYPERLINK("#"&amp;ADDRESS(1297,'r1'!A1297),""),""))</f>
        <v/>
      </c>
      <c r="C1297" s="13"/>
      <c r="D1297" s="14"/>
      <c r="E1297" s="15"/>
      <c r="F1297" s="16"/>
      <c r="G1297" s="17"/>
      <c r="H1297" s="18"/>
      <c r="I1297" s="19"/>
      <c r="J1297" s="20"/>
      <c r="K1297" s="21"/>
      <c r="L1297" s="22"/>
      <c r="M1297" s="23"/>
      <c r="N1297" s="24"/>
      <c r="O1297" s="25"/>
      <c r="P1297" s="26"/>
      <c r="Q1297" s="27"/>
      <c r="R1297" s="28"/>
      <c r="S1297" s="29"/>
      <c r="T1297" s="30"/>
    </row>
    <row r="1298" spans="1:20" ht="24" customHeight="1" x14ac:dyDescent="0.25">
      <c r="A1298" t="str">
        <f>IF('e1'!A1298&gt;0,HYPERLINK("#"&amp;ADDRESS(1298,'e1'!A1298),""),IF('r1'!A1298&gt;0,HYPERLINK("#"&amp;ADDRESS(1298,'r1'!A1298),""),""))</f>
        <v/>
      </c>
      <c r="C1298" s="13"/>
      <c r="D1298" s="14"/>
      <c r="E1298" s="15"/>
      <c r="F1298" s="16"/>
      <c r="G1298" s="17"/>
      <c r="H1298" s="18"/>
      <c r="I1298" s="19"/>
      <c r="J1298" s="20"/>
      <c r="K1298" s="21"/>
      <c r="L1298" s="22"/>
      <c r="M1298" s="23"/>
      <c r="N1298" s="24"/>
      <c r="O1298" s="25"/>
      <c r="P1298" s="26"/>
      <c r="Q1298" s="27"/>
      <c r="R1298" s="28"/>
      <c r="S1298" s="29"/>
      <c r="T1298" s="30"/>
    </row>
    <row r="1299" spans="1:20" ht="24" customHeight="1" x14ac:dyDescent="0.25">
      <c r="A1299" t="str">
        <f>IF('e1'!A1299&gt;0,HYPERLINK("#"&amp;ADDRESS(1299,'e1'!A1299),""),IF('r1'!A1299&gt;0,HYPERLINK("#"&amp;ADDRESS(1299,'r1'!A1299),""),""))</f>
        <v/>
      </c>
      <c r="C1299" s="13"/>
      <c r="D1299" s="14"/>
      <c r="E1299" s="15"/>
      <c r="F1299" s="16"/>
      <c r="G1299" s="17"/>
      <c r="H1299" s="18"/>
      <c r="I1299" s="19"/>
      <c r="J1299" s="20"/>
      <c r="K1299" s="21"/>
      <c r="L1299" s="22"/>
      <c r="M1299" s="23"/>
      <c r="N1299" s="24"/>
      <c r="O1299" s="25"/>
      <c r="P1299" s="26"/>
      <c r="Q1299" s="27"/>
      <c r="R1299" s="28"/>
      <c r="S1299" s="29"/>
      <c r="T1299" s="30"/>
    </row>
    <row r="1300" spans="1:20" ht="24" customHeight="1" x14ac:dyDescent="0.25">
      <c r="A1300" t="str">
        <f>IF('e1'!A1300&gt;0,HYPERLINK("#"&amp;ADDRESS(1300,'e1'!A1300),""),IF('r1'!A1300&gt;0,HYPERLINK("#"&amp;ADDRESS(1300,'r1'!A1300),""),""))</f>
        <v/>
      </c>
      <c r="C1300" s="13"/>
      <c r="D1300" s="14"/>
      <c r="E1300" s="15"/>
      <c r="F1300" s="16"/>
      <c r="G1300" s="17"/>
      <c r="H1300" s="18"/>
      <c r="I1300" s="19"/>
      <c r="J1300" s="20"/>
      <c r="K1300" s="21"/>
      <c r="L1300" s="22"/>
      <c r="M1300" s="23"/>
      <c r="N1300" s="24"/>
      <c r="O1300" s="25"/>
      <c r="P1300" s="26"/>
      <c r="Q1300" s="27"/>
      <c r="R1300" s="28"/>
      <c r="S1300" s="29"/>
      <c r="T1300" s="30"/>
    </row>
    <row r="1301" spans="1:20" ht="24" customHeight="1" x14ac:dyDescent="0.25">
      <c r="A1301" t="str">
        <f>IF('e1'!A1301&gt;0,HYPERLINK("#"&amp;ADDRESS(1301,'e1'!A1301),""),IF('r1'!A1301&gt;0,HYPERLINK("#"&amp;ADDRESS(1301,'r1'!A1301),""),""))</f>
        <v/>
      </c>
      <c r="C1301" s="13"/>
      <c r="D1301" s="14"/>
      <c r="E1301" s="15"/>
      <c r="F1301" s="16"/>
      <c r="G1301" s="17"/>
      <c r="H1301" s="18"/>
      <c r="I1301" s="19"/>
      <c r="J1301" s="20"/>
      <c r="K1301" s="21"/>
      <c r="L1301" s="22"/>
      <c r="M1301" s="23"/>
      <c r="N1301" s="24"/>
      <c r="O1301" s="25"/>
      <c r="P1301" s="26"/>
      <c r="Q1301" s="27"/>
      <c r="R1301" s="28"/>
      <c r="S1301" s="29"/>
      <c r="T1301" s="30"/>
    </row>
    <row r="1302" spans="1:20" ht="24" customHeight="1" x14ac:dyDescent="0.25">
      <c r="A1302" t="str">
        <f>IF('e1'!A1302&gt;0,HYPERLINK("#"&amp;ADDRESS(1302,'e1'!A1302),""),IF('r1'!A1302&gt;0,HYPERLINK("#"&amp;ADDRESS(1302,'r1'!A1302),""),""))</f>
        <v/>
      </c>
      <c r="C1302" s="13"/>
      <c r="D1302" s="14"/>
      <c r="E1302" s="15"/>
      <c r="F1302" s="16"/>
      <c r="G1302" s="17"/>
      <c r="H1302" s="18"/>
      <c r="I1302" s="19"/>
      <c r="J1302" s="20"/>
      <c r="K1302" s="21"/>
      <c r="L1302" s="22"/>
      <c r="M1302" s="23"/>
      <c r="N1302" s="24"/>
      <c r="O1302" s="25"/>
      <c r="P1302" s="26"/>
      <c r="Q1302" s="27"/>
      <c r="R1302" s="28"/>
      <c r="S1302" s="29"/>
      <c r="T1302" s="30"/>
    </row>
    <row r="1303" spans="1:20" ht="24" customHeight="1" x14ac:dyDescent="0.25">
      <c r="A1303" t="str">
        <f>IF('e1'!A1303&gt;0,HYPERLINK("#"&amp;ADDRESS(1303,'e1'!A1303),""),IF('r1'!A1303&gt;0,HYPERLINK("#"&amp;ADDRESS(1303,'r1'!A1303),""),""))</f>
        <v/>
      </c>
      <c r="C1303" s="13"/>
      <c r="D1303" s="14"/>
      <c r="E1303" s="15"/>
      <c r="F1303" s="16"/>
      <c r="G1303" s="17"/>
      <c r="H1303" s="18"/>
      <c r="I1303" s="19"/>
      <c r="J1303" s="20"/>
      <c r="K1303" s="21"/>
      <c r="L1303" s="22"/>
      <c r="M1303" s="23"/>
      <c r="N1303" s="24"/>
      <c r="O1303" s="25"/>
      <c r="P1303" s="26"/>
      <c r="Q1303" s="27"/>
      <c r="R1303" s="28"/>
      <c r="S1303" s="29"/>
      <c r="T1303" s="30"/>
    </row>
    <row r="1304" spans="1:20" ht="24" customHeight="1" x14ac:dyDescent="0.25">
      <c r="A1304" t="str">
        <f>IF('e1'!A1304&gt;0,HYPERLINK("#"&amp;ADDRESS(1304,'e1'!A1304),""),IF('r1'!A1304&gt;0,HYPERLINK("#"&amp;ADDRESS(1304,'r1'!A1304),""),""))</f>
        <v/>
      </c>
      <c r="C1304" s="13"/>
      <c r="D1304" s="14"/>
      <c r="E1304" s="15"/>
      <c r="F1304" s="16"/>
      <c r="G1304" s="17"/>
      <c r="H1304" s="18"/>
      <c r="I1304" s="19"/>
      <c r="J1304" s="20"/>
      <c r="K1304" s="21"/>
      <c r="L1304" s="22"/>
      <c r="M1304" s="23"/>
      <c r="N1304" s="24"/>
      <c r="O1304" s="25"/>
      <c r="P1304" s="26"/>
      <c r="Q1304" s="27"/>
      <c r="R1304" s="28"/>
      <c r="S1304" s="29"/>
      <c r="T1304" s="30"/>
    </row>
    <row r="1305" spans="1:20" ht="24" customHeight="1" x14ac:dyDescent="0.25">
      <c r="A1305" t="str">
        <f>IF('e1'!A1305&gt;0,HYPERLINK("#"&amp;ADDRESS(1305,'e1'!A1305),""),IF('r1'!A1305&gt;0,HYPERLINK("#"&amp;ADDRESS(1305,'r1'!A1305),""),""))</f>
        <v/>
      </c>
      <c r="C1305" s="13"/>
      <c r="D1305" s="14"/>
      <c r="E1305" s="15"/>
      <c r="F1305" s="16"/>
      <c r="G1305" s="17"/>
      <c r="H1305" s="18"/>
      <c r="I1305" s="19"/>
      <c r="J1305" s="20"/>
      <c r="K1305" s="21"/>
      <c r="L1305" s="22"/>
      <c r="M1305" s="23"/>
      <c r="N1305" s="24"/>
      <c r="O1305" s="25"/>
      <c r="P1305" s="26"/>
      <c r="Q1305" s="27"/>
      <c r="R1305" s="28"/>
      <c r="S1305" s="29"/>
      <c r="T1305" s="30"/>
    </row>
    <row r="1306" spans="1:20" ht="24" customHeight="1" x14ac:dyDescent="0.25">
      <c r="A1306" t="str">
        <f>IF('e1'!A1306&gt;0,HYPERLINK("#"&amp;ADDRESS(1306,'e1'!A1306),""),IF('r1'!A1306&gt;0,HYPERLINK("#"&amp;ADDRESS(1306,'r1'!A1306),""),""))</f>
        <v/>
      </c>
      <c r="C1306" s="13"/>
      <c r="D1306" s="14"/>
      <c r="E1306" s="15"/>
      <c r="F1306" s="16"/>
      <c r="G1306" s="17"/>
      <c r="H1306" s="18"/>
      <c r="I1306" s="19"/>
      <c r="J1306" s="20"/>
      <c r="K1306" s="21"/>
      <c r="L1306" s="22"/>
      <c r="M1306" s="23"/>
      <c r="N1306" s="24"/>
      <c r="O1306" s="25"/>
      <c r="P1306" s="26"/>
      <c r="Q1306" s="27"/>
      <c r="R1306" s="28"/>
      <c r="S1306" s="29"/>
      <c r="T1306" s="30"/>
    </row>
    <row r="1307" spans="1:20" ht="24" customHeight="1" x14ac:dyDescent="0.25">
      <c r="A1307" t="str">
        <f>IF('e1'!A1307&gt;0,HYPERLINK("#"&amp;ADDRESS(1307,'e1'!A1307),""),IF('r1'!A1307&gt;0,HYPERLINK("#"&amp;ADDRESS(1307,'r1'!A1307),""),""))</f>
        <v/>
      </c>
      <c r="C1307" s="13"/>
      <c r="D1307" s="14"/>
      <c r="E1307" s="15"/>
      <c r="F1307" s="16"/>
      <c r="G1307" s="17"/>
      <c r="H1307" s="18"/>
      <c r="I1307" s="19"/>
      <c r="J1307" s="20"/>
      <c r="K1307" s="21"/>
      <c r="L1307" s="22"/>
      <c r="M1307" s="23"/>
      <c r="N1307" s="24"/>
      <c r="O1307" s="25"/>
      <c r="P1307" s="26"/>
      <c r="Q1307" s="27"/>
      <c r="R1307" s="28"/>
      <c r="S1307" s="29"/>
      <c r="T1307" s="30"/>
    </row>
    <row r="1308" spans="1:20" ht="24" customHeight="1" x14ac:dyDescent="0.25">
      <c r="A1308" t="str">
        <f>IF('e1'!A1308&gt;0,HYPERLINK("#"&amp;ADDRESS(1308,'e1'!A1308),""),IF('r1'!A1308&gt;0,HYPERLINK("#"&amp;ADDRESS(1308,'r1'!A1308),""),""))</f>
        <v/>
      </c>
      <c r="C1308" s="13"/>
      <c r="D1308" s="14"/>
      <c r="E1308" s="15"/>
      <c r="F1308" s="16"/>
      <c r="G1308" s="17"/>
      <c r="H1308" s="18"/>
      <c r="I1308" s="19"/>
      <c r="J1308" s="20"/>
      <c r="K1308" s="21"/>
      <c r="L1308" s="22"/>
      <c r="M1308" s="23"/>
      <c r="N1308" s="24"/>
      <c r="O1308" s="25"/>
      <c r="P1308" s="26"/>
      <c r="Q1308" s="27"/>
      <c r="R1308" s="28"/>
      <c r="S1308" s="29"/>
      <c r="T1308" s="30"/>
    </row>
    <row r="1309" spans="1:20" ht="24" customHeight="1" x14ac:dyDescent="0.25">
      <c r="A1309" t="str">
        <f>IF('e1'!A1309&gt;0,HYPERLINK("#"&amp;ADDRESS(1309,'e1'!A1309),""),IF('r1'!A1309&gt;0,HYPERLINK("#"&amp;ADDRESS(1309,'r1'!A1309),""),""))</f>
        <v/>
      </c>
      <c r="C1309" s="13"/>
      <c r="D1309" s="14"/>
      <c r="E1309" s="15"/>
      <c r="F1309" s="16"/>
      <c r="G1309" s="17"/>
      <c r="H1309" s="18"/>
      <c r="I1309" s="19"/>
      <c r="J1309" s="20"/>
      <c r="K1309" s="21"/>
      <c r="L1309" s="22"/>
      <c r="M1309" s="23"/>
      <c r="N1309" s="24"/>
      <c r="O1309" s="25"/>
      <c r="P1309" s="26"/>
      <c r="Q1309" s="27"/>
      <c r="R1309" s="28"/>
      <c r="S1309" s="29"/>
      <c r="T1309" s="30"/>
    </row>
    <row r="1310" spans="1:20" ht="24" customHeight="1" x14ac:dyDescent="0.25">
      <c r="A1310" t="str">
        <f>IF('e1'!A1310&gt;0,HYPERLINK("#"&amp;ADDRESS(1310,'e1'!A1310),""),IF('r1'!A1310&gt;0,HYPERLINK("#"&amp;ADDRESS(1310,'r1'!A1310),""),""))</f>
        <v/>
      </c>
      <c r="C1310" s="13"/>
      <c r="D1310" s="14"/>
      <c r="E1310" s="15"/>
      <c r="F1310" s="16"/>
      <c r="G1310" s="17"/>
      <c r="H1310" s="18"/>
      <c r="I1310" s="19"/>
      <c r="J1310" s="20"/>
      <c r="K1310" s="21"/>
      <c r="L1310" s="22"/>
      <c r="M1310" s="23"/>
      <c r="N1310" s="24"/>
      <c r="O1310" s="25"/>
      <c r="P1310" s="26"/>
      <c r="Q1310" s="27"/>
      <c r="R1310" s="28"/>
      <c r="S1310" s="29"/>
      <c r="T1310" s="30"/>
    </row>
    <row r="1311" spans="1:20" ht="24" customHeight="1" x14ac:dyDescent="0.25">
      <c r="A1311" t="str">
        <f>IF('e1'!A1311&gt;0,HYPERLINK("#"&amp;ADDRESS(1311,'e1'!A1311),""),IF('r1'!A1311&gt;0,HYPERLINK("#"&amp;ADDRESS(1311,'r1'!A1311),""),""))</f>
        <v/>
      </c>
      <c r="C1311" s="13"/>
      <c r="D1311" s="14"/>
      <c r="E1311" s="15"/>
      <c r="F1311" s="16"/>
      <c r="G1311" s="17"/>
      <c r="H1311" s="18"/>
      <c r="I1311" s="19"/>
      <c r="J1311" s="20"/>
      <c r="K1311" s="21"/>
      <c r="L1311" s="22"/>
      <c r="M1311" s="23"/>
      <c r="N1311" s="24"/>
      <c r="O1311" s="25"/>
      <c r="P1311" s="26"/>
      <c r="Q1311" s="27"/>
      <c r="R1311" s="28"/>
      <c r="S1311" s="29"/>
      <c r="T1311" s="30"/>
    </row>
    <row r="1312" spans="1:20" ht="24" customHeight="1" x14ac:dyDescent="0.25">
      <c r="A1312" t="str">
        <f>IF('e1'!A1312&gt;0,HYPERLINK("#"&amp;ADDRESS(1312,'e1'!A1312),""),IF('r1'!A1312&gt;0,HYPERLINK("#"&amp;ADDRESS(1312,'r1'!A1312),""),""))</f>
        <v/>
      </c>
      <c r="C1312" s="13"/>
      <c r="D1312" s="14"/>
      <c r="E1312" s="15"/>
      <c r="F1312" s="16"/>
      <c r="G1312" s="17"/>
      <c r="H1312" s="18"/>
      <c r="I1312" s="19"/>
      <c r="J1312" s="20"/>
      <c r="K1312" s="21"/>
      <c r="L1312" s="22"/>
      <c r="M1312" s="23"/>
      <c r="N1312" s="24"/>
      <c r="O1312" s="25"/>
      <c r="P1312" s="26"/>
      <c r="Q1312" s="27"/>
      <c r="R1312" s="28"/>
      <c r="S1312" s="29"/>
      <c r="T1312" s="30"/>
    </row>
    <row r="1313" spans="1:20" ht="24" customHeight="1" x14ac:dyDescent="0.25">
      <c r="A1313" t="str">
        <f>IF('e1'!A1313&gt;0,HYPERLINK("#"&amp;ADDRESS(1313,'e1'!A1313),""),IF('r1'!A1313&gt;0,HYPERLINK("#"&amp;ADDRESS(1313,'r1'!A1313),""),""))</f>
        <v/>
      </c>
      <c r="C1313" s="13"/>
      <c r="D1313" s="14"/>
      <c r="E1313" s="15"/>
      <c r="F1313" s="16"/>
      <c r="G1313" s="17"/>
      <c r="H1313" s="18"/>
      <c r="I1313" s="19"/>
      <c r="J1313" s="20"/>
      <c r="K1313" s="21"/>
      <c r="L1313" s="22"/>
      <c r="M1313" s="23"/>
      <c r="N1313" s="24"/>
      <c r="O1313" s="25"/>
      <c r="P1313" s="26"/>
      <c r="Q1313" s="27"/>
      <c r="R1313" s="28"/>
      <c r="S1313" s="29"/>
      <c r="T1313" s="30"/>
    </row>
    <row r="1314" spans="1:20" ht="24" customHeight="1" x14ac:dyDescent="0.25">
      <c r="A1314" t="str">
        <f>IF('e1'!A1314&gt;0,HYPERLINK("#"&amp;ADDRESS(1314,'e1'!A1314),""),IF('r1'!A1314&gt;0,HYPERLINK("#"&amp;ADDRESS(1314,'r1'!A1314),""),""))</f>
        <v/>
      </c>
      <c r="C1314" s="13"/>
      <c r="D1314" s="14"/>
      <c r="E1314" s="15"/>
      <c r="F1314" s="16"/>
      <c r="G1314" s="17"/>
      <c r="H1314" s="18"/>
      <c r="I1314" s="19"/>
      <c r="J1314" s="20"/>
      <c r="K1314" s="21"/>
      <c r="L1314" s="22"/>
      <c r="M1314" s="23"/>
      <c r="N1314" s="24"/>
      <c r="O1314" s="25"/>
      <c r="P1314" s="26"/>
      <c r="Q1314" s="27"/>
      <c r="R1314" s="28"/>
      <c r="S1314" s="29"/>
      <c r="T1314" s="30"/>
    </row>
    <row r="1315" spans="1:20" ht="24" customHeight="1" x14ac:dyDescent="0.25">
      <c r="A1315" t="str">
        <f>IF('e1'!A1315&gt;0,HYPERLINK("#"&amp;ADDRESS(1315,'e1'!A1315),""),IF('r1'!A1315&gt;0,HYPERLINK("#"&amp;ADDRESS(1315,'r1'!A1315),""),""))</f>
        <v/>
      </c>
      <c r="C1315" s="13"/>
      <c r="D1315" s="14"/>
      <c r="E1315" s="15"/>
      <c r="F1315" s="16"/>
      <c r="G1315" s="17"/>
      <c r="H1315" s="18"/>
      <c r="I1315" s="19"/>
      <c r="J1315" s="20"/>
      <c r="K1315" s="21"/>
      <c r="L1315" s="22"/>
      <c r="M1315" s="23"/>
      <c r="N1315" s="24"/>
      <c r="O1315" s="25"/>
      <c r="P1315" s="26"/>
      <c r="Q1315" s="27"/>
      <c r="R1315" s="28"/>
      <c r="S1315" s="29"/>
      <c r="T1315" s="30"/>
    </row>
    <row r="1316" spans="1:20" ht="24" customHeight="1" x14ac:dyDescent="0.25">
      <c r="A1316" t="str">
        <f>IF('e1'!A1316&gt;0,HYPERLINK("#"&amp;ADDRESS(1316,'e1'!A1316),""),IF('r1'!A1316&gt;0,HYPERLINK("#"&amp;ADDRESS(1316,'r1'!A1316),""),""))</f>
        <v/>
      </c>
      <c r="C1316" s="13"/>
      <c r="D1316" s="14"/>
      <c r="E1316" s="15"/>
      <c r="F1316" s="16"/>
      <c r="G1316" s="17"/>
      <c r="H1316" s="18"/>
      <c r="I1316" s="19"/>
      <c r="J1316" s="20"/>
      <c r="K1316" s="21"/>
      <c r="L1316" s="22"/>
      <c r="M1316" s="23"/>
      <c r="N1316" s="24"/>
      <c r="O1316" s="25"/>
      <c r="P1316" s="26"/>
      <c r="Q1316" s="27"/>
      <c r="R1316" s="28"/>
      <c r="S1316" s="29"/>
      <c r="T1316" s="30"/>
    </row>
    <row r="1317" spans="1:20" ht="24" customHeight="1" x14ac:dyDescent="0.25">
      <c r="A1317" t="str">
        <f>IF('e1'!A1317&gt;0,HYPERLINK("#"&amp;ADDRESS(1317,'e1'!A1317),""),IF('r1'!A1317&gt;0,HYPERLINK("#"&amp;ADDRESS(1317,'r1'!A1317),""),""))</f>
        <v/>
      </c>
      <c r="C1317" s="13"/>
      <c r="D1317" s="14"/>
      <c r="E1317" s="15"/>
      <c r="F1317" s="16"/>
      <c r="G1317" s="17"/>
      <c r="H1317" s="18"/>
      <c r="I1317" s="19"/>
      <c r="J1317" s="20"/>
      <c r="K1317" s="21"/>
      <c r="L1317" s="22"/>
      <c r="M1317" s="23"/>
      <c r="N1317" s="24"/>
      <c r="O1317" s="25"/>
      <c r="P1317" s="26"/>
      <c r="Q1317" s="27"/>
      <c r="R1317" s="28"/>
      <c r="S1317" s="29"/>
      <c r="T1317" s="30"/>
    </row>
    <row r="1318" spans="1:20" ht="24" customHeight="1" x14ac:dyDescent="0.25">
      <c r="A1318" t="str">
        <f>IF('e1'!A1318&gt;0,HYPERLINK("#"&amp;ADDRESS(1318,'e1'!A1318),""),IF('r1'!A1318&gt;0,HYPERLINK("#"&amp;ADDRESS(1318,'r1'!A1318),""),""))</f>
        <v/>
      </c>
      <c r="C1318" s="13"/>
      <c r="D1318" s="14"/>
      <c r="E1318" s="15"/>
      <c r="F1318" s="16"/>
      <c r="G1318" s="17"/>
      <c r="H1318" s="18"/>
      <c r="I1318" s="19"/>
      <c r="J1318" s="20"/>
      <c r="K1318" s="21"/>
      <c r="L1318" s="22"/>
      <c r="M1318" s="23"/>
      <c r="N1318" s="24"/>
      <c r="O1318" s="25"/>
      <c r="P1318" s="26"/>
      <c r="Q1318" s="27"/>
      <c r="R1318" s="28"/>
      <c r="S1318" s="29"/>
      <c r="T1318" s="30"/>
    </row>
    <row r="1319" spans="1:20" ht="24" customHeight="1" x14ac:dyDescent="0.25">
      <c r="A1319" t="str">
        <f>IF('e1'!A1319&gt;0,HYPERLINK("#"&amp;ADDRESS(1319,'e1'!A1319),""),IF('r1'!A1319&gt;0,HYPERLINK("#"&amp;ADDRESS(1319,'r1'!A1319),""),""))</f>
        <v/>
      </c>
      <c r="C1319" s="13"/>
      <c r="D1319" s="14"/>
      <c r="E1319" s="15"/>
      <c r="F1319" s="16"/>
      <c r="G1319" s="17"/>
      <c r="H1319" s="18"/>
      <c r="I1319" s="19"/>
      <c r="J1319" s="20"/>
      <c r="K1319" s="21"/>
      <c r="L1319" s="22"/>
      <c r="M1319" s="23"/>
      <c r="N1319" s="24"/>
      <c r="O1319" s="25"/>
      <c r="P1319" s="26"/>
      <c r="Q1319" s="27"/>
      <c r="R1319" s="28"/>
      <c r="S1319" s="29"/>
      <c r="T1319" s="30"/>
    </row>
    <row r="1320" spans="1:20" ht="24" customHeight="1" x14ac:dyDescent="0.25">
      <c r="A1320" t="str">
        <f>IF('e1'!A1320&gt;0,HYPERLINK("#"&amp;ADDRESS(1320,'e1'!A1320),""),IF('r1'!A1320&gt;0,HYPERLINK("#"&amp;ADDRESS(1320,'r1'!A1320),""),""))</f>
        <v/>
      </c>
      <c r="C1320" s="13"/>
      <c r="D1320" s="14"/>
      <c r="E1320" s="15"/>
      <c r="F1320" s="16"/>
      <c r="G1320" s="17"/>
      <c r="H1320" s="18"/>
      <c r="I1320" s="19"/>
      <c r="J1320" s="20"/>
      <c r="K1320" s="21"/>
      <c r="L1320" s="22"/>
      <c r="M1320" s="23"/>
      <c r="N1320" s="24"/>
      <c r="O1320" s="25"/>
      <c r="P1320" s="26"/>
      <c r="Q1320" s="27"/>
      <c r="R1320" s="28"/>
      <c r="S1320" s="29"/>
      <c r="T1320" s="30"/>
    </row>
    <row r="1321" spans="1:20" ht="24" customHeight="1" x14ac:dyDescent="0.25">
      <c r="A1321" t="str">
        <f>IF('e1'!A1321&gt;0,HYPERLINK("#"&amp;ADDRESS(1321,'e1'!A1321),""),IF('r1'!A1321&gt;0,HYPERLINK("#"&amp;ADDRESS(1321,'r1'!A1321),""),""))</f>
        <v/>
      </c>
      <c r="C1321" s="13"/>
      <c r="D1321" s="14"/>
      <c r="E1321" s="15"/>
      <c r="F1321" s="16"/>
      <c r="G1321" s="17"/>
      <c r="H1321" s="18"/>
      <c r="I1321" s="19"/>
      <c r="J1321" s="20"/>
      <c r="K1321" s="21"/>
      <c r="L1321" s="22"/>
      <c r="M1321" s="23"/>
      <c r="N1321" s="24"/>
      <c r="O1321" s="25"/>
      <c r="P1321" s="26"/>
      <c r="Q1321" s="27"/>
      <c r="R1321" s="28"/>
      <c r="S1321" s="29"/>
      <c r="T1321" s="30"/>
    </row>
    <row r="1322" spans="1:20" ht="24" customHeight="1" x14ac:dyDescent="0.25">
      <c r="A1322" t="str">
        <f>IF('e1'!A1322&gt;0,HYPERLINK("#"&amp;ADDRESS(1322,'e1'!A1322),""),IF('r1'!A1322&gt;0,HYPERLINK("#"&amp;ADDRESS(1322,'r1'!A1322),""),""))</f>
        <v/>
      </c>
      <c r="C1322" s="13"/>
      <c r="D1322" s="14"/>
      <c r="E1322" s="15"/>
      <c r="F1322" s="16"/>
      <c r="G1322" s="17"/>
      <c r="H1322" s="18"/>
      <c r="I1322" s="19"/>
      <c r="J1322" s="20"/>
      <c r="K1322" s="21"/>
      <c r="L1322" s="22"/>
      <c r="M1322" s="23"/>
      <c r="N1322" s="24"/>
      <c r="O1322" s="25"/>
      <c r="P1322" s="26"/>
      <c r="Q1322" s="27"/>
      <c r="R1322" s="28"/>
      <c r="S1322" s="29"/>
      <c r="T1322" s="30"/>
    </row>
    <row r="1323" spans="1:20" ht="24" customHeight="1" x14ac:dyDescent="0.25">
      <c r="A1323" t="str">
        <f>IF('e1'!A1323&gt;0,HYPERLINK("#"&amp;ADDRESS(1323,'e1'!A1323),""),IF('r1'!A1323&gt;0,HYPERLINK("#"&amp;ADDRESS(1323,'r1'!A1323),""),""))</f>
        <v/>
      </c>
      <c r="C1323" s="13"/>
      <c r="D1323" s="14"/>
      <c r="E1323" s="15"/>
      <c r="F1323" s="16"/>
      <c r="G1323" s="17"/>
      <c r="H1323" s="18"/>
      <c r="I1323" s="19"/>
      <c r="J1323" s="20"/>
      <c r="K1323" s="21"/>
      <c r="L1323" s="22"/>
      <c r="M1323" s="23"/>
      <c r="N1323" s="24"/>
      <c r="O1323" s="25"/>
      <c r="P1323" s="26"/>
      <c r="Q1323" s="27"/>
      <c r="R1323" s="28"/>
      <c r="S1323" s="29"/>
      <c r="T1323" s="30"/>
    </row>
    <row r="1324" spans="1:20" ht="24" customHeight="1" x14ac:dyDescent="0.25">
      <c r="A1324" t="str">
        <f>IF('e1'!A1324&gt;0,HYPERLINK("#"&amp;ADDRESS(1324,'e1'!A1324),""),IF('r1'!A1324&gt;0,HYPERLINK("#"&amp;ADDRESS(1324,'r1'!A1324),""),""))</f>
        <v/>
      </c>
      <c r="C1324" s="13"/>
      <c r="D1324" s="14"/>
      <c r="E1324" s="15"/>
      <c r="F1324" s="16"/>
      <c r="G1324" s="17"/>
      <c r="H1324" s="18"/>
      <c r="I1324" s="19"/>
      <c r="J1324" s="20"/>
      <c r="K1324" s="21"/>
      <c r="L1324" s="22"/>
      <c r="M1324" s="23"/>
      <c r="N1324" s="24"/>
      <c r="O1324" s="25"/>
      <c r="P1324" s="26"/>
      <c r="Q1324" s="27"/>
      <c r="R1324" s="28"/>
      <c r="S1324" s="29"/>
      <c r="T1324" s="30"/>
    </row>
    <row r="1325" spans="1:20" ht="24" customHeight="1" x14ac:dyDescent="0.25">
      <c r="A1325" t="str">
        <f>IF('e1'!A1325&gt;0,HYPERLINK("#"&amp;ADDRESS(1325,'e1'!A1325),""),IF('r1'!A1325&gt;0,HYPERLINK("#"&amp;ADDRESS(1325,'r1'!A1325),""),""))</f>
        <v/>
      </c>
      <c r="C1325" s="13"/>
      <c r="D1325" s="14"/>
      <c r="E1325" s="15"/>
      <c r="F1325" s="16"/>
      <c r="G1325" s="17"/>
      <c r="H1325" s="18"/>
      <c r="I1325" s="19"/>
      <c r="J1325" s="20"/>
      <c r="K1325" s="21"/>
      <c r="L1325" s="22"/>
      <c r="M1325" s="23"/>
      <c r="N1325" s="24"/>
      <c r="O1325" s="25"/>
      <c r="P1325" s="26"/>
      <c r="Q1325" s="27"/>
      <c r="R1325" s="28"/>
      <c r="S1325" s="29"/>
      <c r="T1325" s="30"/>
    </row>
    <row r="1326" spans="1:20" ht="24" customHeight="1" x14ac:dyDescent="0.25">
      <c r="A1326" t="str">
        <f>IF('e1'!A1326&gt;0,HYPERLINK("#"&amp;ADDRESS(1326,'e1'!A1326),""),IF('r1'!A1326&gt;0,HYPERLINK("#"&amp;ADDRESS(1326,'r1'!A1326),""),""))</f>
        <v/>
      </c>
      <c r="C1326" s="13"/>
      <c r="D1326" s="14"/>
      <c r="E1326" s="15"/>
      <c r="F1326" s="16"/>
      <c r="G1326" s="17"/>
      <c r="H1326" s="18"/>
      <c r="I1326" s="19"/>
      <c r="J1326" s="20"/>
      <c r="K1326" s="21"/>
      <c r="L1326" s="22"/>
      <c r="M1326" s="23"/>
      <c r="N1326" s="24"/>
      <c r="O1326" s="25"/>
      <c r="P1326" s="26"/>
      <c r="Q1326" s="27"/>
      <c r="R1326" s="28"/>
      <c r="S1326" s="29"/>
      <c r="T1326" s="30"/>
    </row>
    <row r="1327" spans="1:20" ht="24" customHeight="1" x14ac:dyDescent="0.25">
      <c r="A1327" t="str">
        <f>IF('e1'!A1327&gt;0,HYPERLINK("#"&amp;ADDRESS(1327,'e1'!A1327),""),IF('r1'!A1327&gt;0,HYPERLINK("#"&amp;ADDRESS(1327,'r1'!A1327),""),""))</f>
        <v/>
      </c>
      <c r="C1327" s="13"/>
      <c r="D1327" s="14"/>
      <c r="E1327" s="15"/>
      <c r="F1327" s="16"/>
      <c r="G1327" s="17"/>
      <c r="H1327" s="18"/>
      <c r="I1327" s="19"/>
      <c r="J1327" s="20"/>
      <c r="K1327" s="21"/>
      <c r="L1327" s="22"/>
      <c r="M1327" s="23"/>
      <c r="N1327" s="24"/>
      <c r="O1327" s="25"/>
      <c r="P1327" s="26"/>
      <c r="Q1327" s="27"/>
      <c r="R1327" s="28"/>
      <c r="S1327" s="29"/>
      <c r="T1327" s="30"/>
    </row>
    <row r="1328" spans="1:20" ht="24" customHeight="1" x14ac:dyDescent="0.25">
      <c r="A1328" t="str">
        <f>IF('e1'!A1328&gt;0,HYPERLINK("#"&amp;ADDRESS(1328,'e1'!A1328),""),IF('r1'!A1328&gt;0,HYPERLINK("#"&amp;ADDRESS(1328,'r1'!A1328),""),""))</f>
        <v/>
      </c>
      <c r="C1328" s="13"/>
      <c r="D1328" s="14"/>
      <c r="E1328" s="15"/>
      <c r="F1328" s="16"/>
      <c r="G1328" s="17"/>
      <c r="H1328" s="18"/>
      <c r="I1328" s="19"/>
      <c r="J1328" s="20"/>
      <c r="K1328" s="21"/>
      <c r="L1328" s="22"/>
      <c r="M1328" s="23"/>
      <c r="N1328" s="24"/>
      <c r="O1328" s="25"/>
      <c r="P1328" s="26"/>
      <c r="Q1328" s="27"/>
      <c r="R1328" s="28"/>
      <c r="S1328" s="29"/>
      <c r="T1328" s="30"/>
    </row>
    <row r="1329" spans="1:20" ht="24" customHeight="1" x14ac:dyDescent="0.25">
      <c r="A1329" t="str">
        <f>IF('e1'!A1329&gt;0,HYPERLINK("#"&amp;ADDRESS(1329,'e1'!A1329),""),IF('r1'!A1329&gt;0,HYPERLINK("#"&amp;ADDRESS(1329,'r1'!A1329),""),""))</f>
        <v/>
      </c>
      <c r="C1329" s="13"/>
      <c r="D1329" s="14"/>
      <c r="E1329" s="15"/>
      <c r="F1329" s="16"/>
      <c r="G1329" s="17"/>
      <c r="H1329" s="18"/>
      <c r="I1329" s="19"/>
      <c r="J1329" s="20"/>
      <c r="K1329" s="21"/>
      <c r="L1329" s="22"/>
      <c r="M1329" s="23"/>
      <c r="N1329" s="24"/>
      <c r="O1329" s="25"/>
      <c r="P1329" s="26"/>
      <c r="Q1329" s="27"/>
      <c r="R1329" s="28"/>
      <c r="S1329" s="29"/>
      <c r="T1329" s="30"/>
    </row>
    <row r="1330" spans="1:20" ht="24" customHeight="1" x14ac:dyDescent="0.25">
      <c r="A1330" t="str">
        <f>IF('e1'!A1330&gt;0,HYPERLINK("#"&amp;ADDRESS(1330,'e1'!A1330),""),IF('r1'!A1330&gt;0,HYPERLINK("#"&amp;ADDRESS(1330,'r1'!A1330),""),""))</f>
        <v/>
      </c>
      <c r="C1330" s="13"/>
      <c r="D1330" s="14"/>
      <c r="E1330" s="15"/>
      <c r="F1330" s="16"/>
      <c r="G1330" s="17"/>
      <c r="H1330" s="18"/>
      <c r="I1330" s="19"/>
      <c r="J1330" s="20"/>
      <c r="K1330" s="21"/>
      <c r="L1330" s="22"/>
      <c r="M1330" s="23"/>
      <c r="N1330" s="24"/>
      <c r="O1330" s="25"/>
      <c r="P1330" s="26"/>
      <c r="Q1330" s="27"/>
      <c r="R1330" s="28"/>
      <c r="S1330" s="29"/>
      <c r="T1330" s="30"/>
    </row>
    <row r="1331" spans="1:20" ht="24" customHeight="1" x14ac:dyDescent="0.25">
      <c r="A1331" t="str">
        <f>IF('e1'!A1331&gt;0,HYPERLINK("#"&amp;ADDRESS(1331,'e1'!A1331),""),IF('r1'!A1331&gt;0,HYPERLINK("#"&amp;ADDRESS(1331,'r1'!A1331),""),""))</f>
        <v/>
      </c>
      <c r="C1331" s="13"/>
      <c r="D1331" s="14"/>
      <c r="E1331" s="15"/>
      <c r="F1331" s="16"/>
      <c r="G1331" s="17"/>
      <c r="H1331" s="18"/>
      <c r="I1331" s="19"/>
      <c r="J1331" s="20"/>
      <c r="K1331" s="21"/>
      <c r="L1331" s="22"/>
      <c r="M1331" s="23"/>
      <c r="N1331" s="24"/>
      <c r="O1331" s="25"/>
      <c r="P1331" s="26"/>
      <c r="Q1331" s="27"/>
      <c r="R1331" s="28"/>
      <c r="S1331" s="29"/>
      <c r="T1331" s="30"/>
    </row>
    <row r="1332" spans="1:20" ht="24" customHeight="1" x14ac:dyDescent="0.25">
      <c r="A1332" t="str">
        <f>IF('e1'!A1332&gt;0,HYPERLINK("#"&amp;ADDRESS(1332,'e1'!A1332),""),IF('r1'!A1332&gt;0,HYPERLINK("#"&amp;ADDRESS(1332,'r1'!A1332),""),""))</f>
        <v/>
      </c>
      <c r="C1332" s="13"/>
      <c r="D1332" s="14"/>
      <c r="E1332" s="15"/>
      <c r="F1332" s="16"/>
      <c r="G1332" s="17"/>
      <c r="H1332" s="18"/>
      <c r="I1332" s="19"/>
      <c r="J1332" s="20"/>
      <c r="K1332" s="21"/>
      <c r="L1332" s="22"/>
      <c r="M1332" s="23"/>
      <c r="N1332" s="24"/>
      <c r="O1332" s="25"/>
      <c r="P1332" s="26"/>
      <c r="Q1332" s="27"/>
      <c r="R1332" s="28"/>
      <c r="S1332" s="29"/>
      <c r="T1332" s="30"/>
    </row>
    <row r="1333" spans="1:20" ht="24" customHeight="1" x14ac:dyDescent="0.25">
      <c r="A1333" t="str">
        <f>IF('e1'!A1333&gt;0,HYPERLINK("#"&amp;ADDRESS(1333,'e1'!A1333),""),IF('r1'!A1333&gt;0,HYPERLINK("#"&amp;ADDRESS(1333,'r1'!A1333),""),""))</f>
        <v/>
      </c>
      <c r="C1333" s="13"/>
      <c r="D1333" s="14"/>
      <c r="E1333" s="15"/>
      <c r="F1333" s="16"/>
      <c r="G1333" s="17"/>
      <c r="H1333" s="18"/>
      <c r="I1333" s="19"/>
      <c r="J1333" s="20"/>
      <c r="K1333" s="21"/>
      <c r="L1333" s="22"/>
      <c r="M1333" s="23"/>
      <c r="N1333" s="24"/>
      <c r="O1333" s="25"/>
      <c r="P1333" s="26"/>
      <c r="Q1333" s="27"/>
      <c r="R1333" s="28"/>
      <c r="S1333" s="29"/>
      <c r="T1333" s="30"/>
    </row>
    <row r="1334" spans="1:20" ht="24" customHeight="1" x14ac:dyDescent="0.25">
      <c r="A1334" t="str">
        <f>IF('e1'!A1334&gt;0,HYPERLINK("#"&amp;ADDRESS(1334,'e1'!A1334),""),IF('r1'!A1334&gt;0,HYPERLINK("#"&amp;ADDRESS(1334,'r1'!A1334),""),""))</f>
        <v/>
      </c>
      <c r="C1334" s="13"/>
      <c r="D1334" s="14"/>
      <c r="E1334" s="15"/>
      <c r="F1334" s="16"/>
      <c r="G1334" s="17"/>
      <c r="H1334" s="18"/>
      <c r="I1334" s="19"/>
      <c r="J1334" s="20"/>
      <c r="K1334" s="21"/>
      <c r="L1334" s="22"/>
      <c r="M1334" s="23"/>
      <c r="N1334" s="24"/>
      <c r="O1334" s="25"/>
      <c r="P1334" s="26"/>
      <c r="Q1334" s="27"/>
      <c r="R1334" s="28"/>
      <c r="S1334" s="29"/>
      <c r="T1334" s="30"/>
    </row>
    <row r="1335" spans="1:20" ht="24" customHeight="1" x14ac:dyDescent="0.25">
      <c r="A1335" t="str">
        <f>IF('e1'!A1335&gt;0,HYPERLINK("#"&amp;ADDRESS(1335,'e1'!A1335),""),IF('r1'!A1335&gt;0,HYPERLINK("#"&amp;ADDRESS(1335,'r1'!A1335),""),""))</f>
        <v/>
      </c>
      <c r="C1335" s="13"/>
      <c r="D1335" s="14"/>
      <c r="E1335" s="15"/>
      <c r="F1335" s="16"/>
      <c r="G1335" s="17"/>
      <c r="H1335" s="18"/>
      <c r="I1335" s="19"/>
      <c r="J1335" s="20"/>
      <c r="K1335" s="21"/>
      <c r="L1335" s="22"/>
      <c r="M1335" s="23"/>
      <c r="N1335" s="24"/>
      <c r="O1335" s="25"/>
      <c r="P1335" s="26"/>
      <c r="Q1335" s="27"/>
      <c r="R1335" s="28"/>
      <c r="S1335" s="29"/>
      <c r="T1335" s="30"/>
    </row>
    <row r="1336" spans="1:20" ht="24" customHeight="1" x14ac:dyDescent="0.25">
      <c r="A1336" t="str">
        <f>IF('e1'!A1336&gt;0,HYPERLINK("#"&amp;ADDRESS(1336,'e1'!A1336),""),IF('r1'!A1336&gt;0,HYPERLINK("#"&amp;ADDRESS(1336,'r1'!A1336),""),""))</f>
        <v/>
      </c>
      <c r="C1336" s="13"/>
      <c r="D1336" s="14"/>
      <c r="E1336" s="15"/>
      <c r="F1336" s="16"/>
      <c r="G1336" s="17"/>
      <c r="H1336" s="18"/>
      <c r="I1336" s="19"/>
      <c r="J1336" s="20"/>
      <c r="K1336" s="21"/>
      <c r="L1336" s="22"/>
      <c r="M1336" s="23"/>
      <c r="N1336" s="24"/>
      <c r="O1336" s="25"/>
      <c r="P1336" s="26"/>
      <c r="Q1336" s="27"/>
      <c r="R1336" s="28"/>
      <c r="S1336" s="29"/>
      <c r="T1336" s="30"/>
    </row>
    <row r="1337" spans="1:20" ht="24" customHeight="1" x14ac:dyDescent="0.25">
      <c r="A1337" t="str">
        <f>IF('e1'!A1337&gt;0,HYPERLINK("#"&amp;ADDRESS(1337,'e1'!A1337),""),IF('r1'!A1337&gt;0,HYPERLINK("#"&amp;ADDRESS(1337,'r1'!A1337),""),""))</f>
        <v/>
      </c>
      <c r="C1337" s="13"/>
      <c r="D1337" s="14"/>
      <c r="E1337" s="15"/>
      <c r="F1337" s="16"/>
      <c r="G1337" s="17"/>
      <c r="H1337" s="18"/>
      <c r="I1337" s="19"/>
      <c r="J1337" s="20"/>
      <c r="K1337" s="21"/>
      <c r="L1337" s="22"/>
      <c r="M1337" s="23"/>
      <c r="N1337" s="24"/>
      <c r="O1337" s="25"/>
      <c r="P1337" s="26"/>
      <c r="Q1337" s="27"/>
      <c r="R1337" s="28"/>
      <c r="S1337" s="29"/>
      <c r="T1337" s="30"/>
    </row>
    <row r="1338" spans="1:20" ht="24" customHeight="1" x14ac:dyDescent="0.25">
      <c r="A1338" t="str">
        <f>IF('e1'!A1338&gt;0,HYPERLINK("#"&amp;ADDRESS(1338,'e1'!A1338),""),IF('r1'!A1338&gt;0,HYPERLINK("#"&amp;ADDRESS(1338,'r1'!A1338),""),""))</f>
        <v/>
      </c>
      <c r="C1338" s="13"/>
      <c r="D1338" s="14"/>
      <c r="E1338" s="15"/>
      <c r="F1338" s="16"/>
      <c r="G1338" s="17"/>
      <c r="H1338" s="18"/>
      <c r="I1338" s="19"/>
      <c r="J1338" s="20"/>
      <c r="K1338" s="21"/>
      <c r="L1338" s="22"/>
      <c r="M1338" s="23"/>
      <c r="N1338" s="24"/>
      <c r="O1338" s="25"/>
      <c r="P1338" s="26"/>
      <c r="Q1338" s="27"/>
      <c r="R1338" s="28"/>
      <c r="S1338" s="29"/>
      <c r="T1338" s="30"/>
    </row>
    <row r="1339" spans="1:20" ht="24" customHeight="1" x14ac:dyDescent="0.25">
      <c r="A1339" t="str">
        <f>IF('e1'!A1339&gt;0,HYPERLINK("#"&amp;ADDRESS(1339,'e1'!A1339),""),IF('r1'!A1339&gt;0,HYPERLINK("#"&amp;ADDRESS(1339,'r1'!A1339),""),""))</f>
        <v/>
      </c>
      <c r="C1339" s="13"/>
      <c r="D1339" s="14"/>
      <c r="E1339" s="15"/>
      <c r="F1339" s="16"/>
      <c r="G1339" s="17"/>
      <c r="H1339" s="18"/>
      <c r="I1339" s="19"/>
      <c r="J1339" s="20"/>
      <c r="K1339" s="21"/>
      <c r="L1339" s="22"/>
      <c r="M1339" s="23"/>
      <c r="N1339" s="24"/>
      <c r="O1339" s="25"/>
      <c r="P1339" s="26"/>
      <c r="Q1339" s="27"/>
      <c r="R1339" s="28"/>
      <c r="S1339" s="29"/>
      <c r="T1339" s="30"/>
    </row>
    <row r="1340" spans="1:20" ht="24" customHeight="1" x14ac:dyDescent="0.25">
      <c r="A1340" t="str">
        <f>IF('e1'!A1340&gt;0,HYPERLINK("#"&amp;ADDRESS(1340,'e1'!A1340),""),IF('r1'!A1340&gt;0,HYPERLINK("#"&amp;ADDRESS(1340,'r1'!A1340),""),""))</f>
        <v/>
      </c>
      <c r="C1340" s="13"/>
      <c r="D1340" s="14"/>
      <c r="E1340" s="15"/>
      <c r="F1340" s="16"/>
      <c r="G1340" s="17"/>
      <c r="H1340" s="18"/>
      <c r="I1340" s="19"/>
      <c r="J1340" s="20"/>
      <c r="K1340" s="21"/>
      <c r="L1340" s="22"/>
      <c r="M1340" s="23"/>
      <c r="N1340" s="24"/>
      <c r="O1340" s="25"/>
      <c r="P1340" s="26"/>
      <c r="Q1340" s="27"/>
      <c r="R1340" s="28"/>
      <c r="S1340" s="29"/>
      <c r="T1340" s="30"/>
    </row>
    <row r="1341" spans="1:20" ht="24" customHeight="1" x14ac:dyDescent="0.25">
      <c r="A1341" t="str">
        <f>IF('e1'!A1341&gt;0,HYPERLINK("#"&amp;ADDRESS(1341,'e1'!A1341),""),IF('r1'!A1341&gt;0,HYPERLINK("#"&amp;ADDRESS(1341,'r1'!A1341),""),""))</f>
        <v/>
      </c>
      <c r="C1341" s="13"/>
      <c r="D1341" s="14"/>
      <c r="E1341" s="15"/>
      <c r="F1341" s="16"/>
      <c r="G1341" s="17"/>
      <c r="H1341" s="18"/>
      <c r="I1341" s="19"/>
      <c r="J1341" s="20"/>
      <c r="K1341" s="21"/>
      <c r="L1341" s="22"/>
      <c r="M1341" s="23"/>
      <c r="N1341" s="24"/>
      <c r="O1341" s="25"/>
      <c r="P1341" s="26"/>
      <c r="Q1341" s="27"/>
      <c r="R1341" s="28"/>
      <c r="S1341" s="29"/>
      <c r="T1341" s="30"/>
    </row>
    <row r="1342" spans="1:20" ht="24" customHeight="1" x14ac:dyDescent="0.25">
      <c r="A1342" t="str">
        <f>IF('e1'!A1342&gt;0,HYPERLINK("#"&amp;ADDRESS(1342,'e1'!A1342),""),IF('r1'!A1342&gt;0,HYPERLINK("#"&amp;ADDRESS(1342,'r1'!A1342),""),""))</f>
        <v/>
      </c>
      <c r="C1342" s="13"/>
      <c r="D1342" s="14"/>
      <c r="E1342" s="15"/>
      <c r="F1342" s="16"/>
      <c r="G1342" s="17"/>
      <c r="H1342" s="18"/>
      <c r="I1342" s="19"/>
      <c r="J1342" s="20"/>
      <c r="K1342" s="21"/>
      <c r="L1342" s="22"/>
      <c r="M1342" s="23"/>
      <c r="N1342" s="24"/>
      <c r="O1342" s="25"/>
      <c r="P1342" s="26"/>
      <c r="Q1342" s="27"/>
      <c r="R1342" s="28"/>
      <c r="S1342" s="29"/>
      <c r="T1342" s="30"/>
    </row>
    <row r="1343" spans="1:20" ht="24" customHeight="1" x14ac:dyDescent="0.25">
      <c r="A1343" t="str">
        <f>IF('e1'!A1343&gt;0,HYPERLINK("#"&amp;ADDRESS(1343,'e1'!A1343),""),IF('r1'!A1343&gt;0,HYPERLINK("#"&amp;ADDRESS(1343,'r1'!A1343),""),""))</f>
        <v/>
      </c>
      <c r="C1343" s="13"/>
      <c r="D1343" s="14"/>
      <c r="E1343" s="15"/>
      <c r="F1343" s="16"/>
      <c r="G1343" s="17"/>
      <c r="H1343" s="18"/>
      <c r="I1343" s="19"/>
      <c r="J1343" s="20"/>
      <c r="K1343" s="21"/>
      <c r="L1343" s="22"/>
      <c r="M1343" s="23"/>
      <c r="N1343" s="24"/>
      <c r="O1343" s="25"/>
      <c r="P1343" s="26"/>
      <c r="Q1343" s="27"/>
      <c r="R1343" s="28"/>
      <c r="S1343" s="29"/>
      <c r="T1343" s="30"/>
    </row>
    <row r="1344" spans="1:20" ht="24" customHeight="1" x14ac:dyDescent="0.25">
      <c r="A1344" t="str">
        <f>IF('e1'!A1344&gt;0,HYPERLINK("#"&amp;ADDRESS(1344,'e1'!A1344),""),IF('r1'!A1344&gt;0,HYPERLINK("#"&amp;ADDRESS(1344,'r1'!A1344),""),""))</f>
        <v/>
      </c>
      <c r="C1344" s="13"/>
      <c r="D1344" s="14"/>
      <c r="E1344" s="15"/>
      <c r="F1344" s="16"/>
      <c r="G1344" s="17"/>
      <c r="H1344" s="18"/>
      <c r="I1344" s="19"/>
      <c r="J1344" s="20"/>
      <c r="K1344" s="21"/>
      <c r="L1344" s="22"/>
      <c r="M1344" s="23"/>
      <c r="N1344" s="24"/>
      <c r="O1344" s="25"/>
      <c r="P1344" s="26"/>
      <c r="Q1344" s="27"/>
      <c r="R1344" s="28"/>
      <c r="S1344" s="29"/>
      <c r="T1344" s="30"/>
    </row>
    <row r="1345" spans="1:20" ht="24" customHeight="1" x14ac:dyDescent="0.25">
      <c r="A1345" t="str">
        <f>IF('e1'!A1345&gt;0,HYPERLINK("#"&amp;ADDRESS(1345,'e1'!A1345),""),IF('r1'!A1345&gt;0,HYPERLINK("#"&amp;ADDRESS(1345,'r1'!A1345),""),""))</f>
        <v/>
      </c>
      <c r="C1345" s="13"/>
      <c r="D1345" s="14"/>
      <c r="E1345" s="15"/>
      <c r="F1345" s="16"/>
      <c r="G1345" s="17"/>
      <c r="H1345" s="18"/>
      <c r="I1345" s="19"/>
      <c r="J1345" s="20"/>
      <c r="K1345" s="21"/>
      <c r="L1345" s="22"/>
      <c r="M1345" s="23"/>
      <c r="N1345" s="24"/>
      <c r="O1345" s="25"/>
      <c r="P1345" s="26"/>
      <c r="Q1345" s="27"/>
      <c r="R1345" s="28"/>
      <c r="S1345" s="29"/>
      <c r="T1345" s="30"/>
    </row>
    <row r="1346" spans="1:20" ht="24" customHeight="1" x14ac:dyDescent="0.25">
      <c r="A1346" t="str">
        <f>IF('e1'!A1346&gt;0,HYPERLINK("#"&amp;ADDRESS(1346,'e1'!A1346),""),IF('r1'!A1346&gt;0,HYPERLINK("#"&amp;ADDRESS(1346,'r1'!A1346),""),""))</f>
        <v/>
      </c>
      <c r="C1346" s="13"/>
      <c r="D1346" s="14"/>
      <c r="E1346" s="15"/>
      <c r="F1346" s="16"/>
      <c r="G1346" s="17"/>
      <c r="H1346" s="18"/>
      <c r="I1346" s="19"/>
      <c r="J1346" s="20"/>
      <c r="K1346" s="21"/>
      <c r="L1346" s="22"/>
      <c r="M1346" s="23"/>
      <c r="N1346" s="24"/>
      <c r="O1346" s="25"/>
      <c r="P1346" s="26"/>
      <c r="Q1346" s="27"/>
      <c r="R1346" s="28"/>
      <c r="S1346" s="29"/>
      <c r="T1346" s="30"/>
    </row>
    <row r="1347" spans="1:20" ht="24" customHeight="1" x14ac:dyDescent="0.25">
      <c r="A1347" t="str">
        <f>IF('e1'!A1347&gt;0,HYPERLINK("#"&amp;ADDRESS(1347,'e1'!A1347),""),IF('r1'!A1347&gt;0,HYPERLINK("#"&amp;ADDRESS(1347,'r1'!A1347),""),""))</f>
        <v/>
      </c>
      <c r="C1347" s="13"/>
      <c r="D1347" s="14"/>
      <c r="E1347" s="15"/>
      <c r="F1347" s="16"/>
      <c r="G1347" s="17"/>
      <c r="H1347" s="18"/>
      <c r="I1347" s="19"/>
      <c r="J1347" s="20"/>
      <c r="K1347" s="21"/>
      <c r="L1347" s="22"/>
      <c r="M1347" s="23"/>
      <c r="N1347" s="24"/>
      <c r="O1347" s="25"/>
      <c r="P1347" s="26"/>
      <c r="Q1347" s="27"/>
      <c r="R1347" s="28"/>
      <c r="S1347" s="29"/>
      <c r="T1347" s="30"/>
    </row>
    <row r="1348" spans="1:20" ht="24" customHeight="1" x14ac:dyDescent="0.25">
      <c r="A1348" t="str">
        <f>IF('e1'!A1348&gt;0,HYPERLINK("#"&amp;ADDRESS(1348,'e1'!A1348),""),IF('r1'!A1348&gt;0,HYPERLINK("#"&amp;ADDRESS(1348,'r1'!A1348),""),""))</f>
        <v/>
      </c>
      <c r="C1348" s="13"/>
      <c r="D1348" s="14"/>
      <c r="E1348" s="15"/>
      <c r="F1348" s="16"/>
      <c r="G1348" s="17"/>
      <c r="H1348" s="18"/>
      <c r="I1348" s="19"/>
      <c r="J1348" s="20"/>
      <c r="K1348" s="21"/>
      <c r="L1348" s="22"/>
      <c r="M1348" s="23"/>
      <c r="N1348" s="24"/>
      <c r="O1348" s="25"/>
      <c r="P1348" s="26"/>
      <c r="Q1348" s="27"/>
      <c r="R1348" s="28"/>
      <c r="S1348" s="29"/>
      <c r="T1348" s="30"/>
    </row>
    <row r="1349" spans="1:20" ht="24" customHeight="1" x14ac:dyDescent="0.25">
      <c r="A1349" t="str">
        <f>IF('e1'!A1349&gt;0,HYPERLINK("#"&amp;ADDRESS(1349,'e1'!A1349),""),IF('r1'!A1349&gt;0,HYPERLINK("#"&amp;ADDRESS(1349,'r1'!A1349),""),""))</f>
        <v/>
      </c>
      <c r="C1349" s="13"/>
      <c r="D1349" s="14"/>
      <c r="E1349" s="15"/>
      <c r="F1349" s="16"/>
      <c r="G1349" s="17"/>
      <c r="H1349" s="18"/>
      <c r="I1349" s="19"/>
      <c r="J1349" s="20"/>
      <c r="K1349" s="21"/>
      <c r="L1349" s="22"/>
      <c r="M1349" s="23"/>
      <c r="N1349" s="24"/>
      <c r="O1349" s="25"/>
      <c r="P1349" s="26"/>
      <c r="Q1349" s="27"/>
      <c r="R1349" s="28"/>
      <c r="S1349" s="29"/>
      <c r="T1349" s="30"/>
    </row>
    <row r="1350" spans="1:20" ht="24" customHeight="1" x14ac:dyDescent="0.25">
      <c r="A1350" t="str">
        <f>IF('e1'!A1350&gt;0,HYPERLINK("#"&amp;ADDRESS(1350,'e1'!A1350),""),IF('r1'!A1350&gt;0,HYPERLINK("#"&amp;ADDRESS(1350,'r1'!A1350),""),""))</f>
        <v/>
      </c>
      <c r="C1350" s="13"/>
      <c r="D1350" s="14"/>
      <c r="E1350" s="15"/>
      <c r="F1350" s="16"/>
      <c r="G1350" s="17"/>
      <c r="H1350" s="18"/>
      <c r="I1350" s="19"/>
      <c r="J1350" s="20"/>
      <c r="K1350" s="21"/>
      <c r="L1350" s="22"/>
      <c r="M1350" s="23"/>
      <c r="N1350" s="24"/>
      <c r="O1350" s="25"/>
      <c r="P1350" s="26"/>
      <c r="Q1350" s="27"/>
      <c r="R1350" s="28"/>
      <c r="S1350" s="29"/>
      <c r="T1350" s="30"/>
    </row>
    <row r="1351" spans="1:20" ht="24" customHeight="1" x14ac:dyDescent="0.25">
      <c r="A1351" t="str">
        <f>IF('e1'!A1351&gt;0,HYPERLINK("#"&amp;ADDRESS(1351,'e1'!A1351),""),IF('r1'!A1351&gt;0,HYPERLINK("#"&amp;ADDRESS(1351,'r1'!A1351),""),""))</f>
        <v/>
      </c>
      <c r="C1351" s="13"/>
      <c r="D1351" s="14"/>
      <c r="E1351" s="15"/>
      <c r="F1351" s="16"/>
      <c r="G1351" s="17"/>
      <c r="H1351" s="18"/>
      <c r="I1351" s="19"/>
      <c r="J1351" s="20"/>
      <c r="K1351" s="21"/>
      <c r="L1351" s="22"/>
      <c r="M1351" s="23"/>
      <c r="N1351" s="24"/>
      <c r="O1351" s="25"/>
      <c r="P1351" s="26"/>
      <c r="Q1351" s="27"/>
      <c r="R1351" s="28"/>
      <c r="S1351" s="29"/>
      <c r="T1351" s="30"/>
    </row>
    <row r="1352" spans="1:20" ht="24" customHeight="1" x14ac:dyDescent="0.25">
      <c r="A1352" t="str">
        <f>IF('e1'!A1352&gt;0,HYPERLINK("#"&amp;ADDRESS(1352,'e1'!A1352),""),IF('r1'!A1352&gt;0,HYPERLINK("#"&amp;ADDRESS(1352,'r1'!A1352),""),""))</f>
        <v/>
      </c>
      <c r="C1352" s="13"/>
      <c r="D1352" s="14"/>
      <c r="E1352" s="15"/>
      <c r="F1352" s="16"/>
      <c r="G1352" s="17"/>
      <c r="H1352" s="18"/>
      <c r="I1352" s="19"/>
      <c r="J1352" s="20"/>
      <c r="K1352" s="21"/>
      <c r="L1352" s="22"/>
      <c r="M1352" s="23"/>
      <c r="N1352" s="24"/>
      <c r="O1352" s="25"/>
      <c r="P1352" s="26"/>
      <c r="Q1352" s="27"/>
      <c r="R1352" s="28"/>
      <c r="S1352" s="29"/>
      <c r="T1352" s="30"/>
    </row>
    <row r="1353" spans="1:20" ht="24" customHeight="1" x14ac:dyDescent="0.25">
      <c r="A1353" t="str">
        <f>IF('e1'!A1353&gt;0,HYPERLINK("#"&amp;ADDRESS(1353,'e1'!A1353),""),IF('r1'!A1353&gt;0,HYPERLINK("#"&amp;ADDRESS(1353,'r1'!A1353),""),""))</f>
        <v/>
      </c>
      <c r="C1353" s="13"/>
      <c r="D1353" s="14"/>
      <c r="E1353" s="15"/>
      <c r="F1353" s="16"/>
      <c r="G1353" s="17"/>
      <c r="H1353" s="18"/>
      <c r="I1353" s="19"/>
      <c r="J1353" s="20"/>
      <c r="K1353" s="21"/>
      <c r="L1353" s="22"/>
      <c r="M1353" s="23"/>
      <c r="N1353" s="24"/>
      <c r="O1353" s="25"/>
      <c r="P1353" s="26"/>
      <c r="Q1353" s="27"/>
      <c r="R1353" s="28"/>
      <c r="S1353" s="29"/>
      <c r="T1353" s="30"/>
    </row>
    <row r="1354" spans="1:20" ht="24" customHeight="1" x14ac:dyDescent="0.25">
      <c r="A1354" t="str">
        <f>IF('e1'!A1354&gt;0,HYPERLINK("#"&amp;ADDRESS(1354,'e1'!A1354),""),IF('r1'!A1354&gt;0,HYPERLINK("#"&amp;ADDRESS(1354,'r1'!A1354),""),""))</f>
        <v/>
      </c>
      <c r="C1354" s="13"/>
      <c r="D1354" s="14"/>
      <c r="E1354" s="15"/>
      <c r="F1354" s="16"/>
      <c r="G1354" s="17"/>
      <c r="H1354" s="18"/>
      <c r="I1354" s="19"/>
      <c r="J1354" s="20"/>
      <c r="K1354" s="21"/>
      <c r="L1354" s="22"/>
      <c r="M1354" s="23"/>
      <c r="N1354" s="24"/>
      <c r="O1354" s="25"/>
      <c r="P1354" s="26"/>
      <c r="Q1354" s="27"/>
      <c r="R1354" s="28"/>
      <c r="S1354" s="29"/>
      <c r="T1354" s="30"/>
    </row>
    <row r="1355" spans="1:20" ht="24" customHeight="1" x14ac:dyDescent="0.25">
      <c r="A1355" t="str">
        <f>IF('e1'!A1355&gt;0,HYPERLINK("#"&amp;ADDRESS(1355,'e1'!A1355),""),IF('r1'!A1355&gt;0,HYPERLINK("#"&amp;ADDRESS(1355,'r1'!A1355),""),""))</f>
        <v/>
      </c>
      <c r="C1355" s="13"/>
      <c r="D1355" s="14"/>
      <c r="E1355" s="15"/>
      <c r="F1355" s="16"/>
      <c r="G1355" s="17"/>
      <c r="H1355" s="18"/>
      <c r="I1355" s="19"/>
      <c r="J1355" s="20"/>
      <c r="K1355" s="21"/>
      <c r="L1355" s="22"/>
      <c r="M1355" s="23"/>
      <c r="N1355" s="24"/>
      <c r="O1355" s="25"/>
      <c r="P1355" s="26"/>
      <c r="Q1355" s="27"/>
      <c r="R1355" s="28"/>
      <c r="S1355" s="29"/>
      <c r="T1355" s="30"/>
    </row>
    <row r="1356" spans="1:20" ht="24" customHeight="1" x14ac:dyDescent="0.25">
      <c r="A1356" t="str">
        <f>IF('e1'!A1356&gt;0,HYPERLINK("#"&amp;ADDRESS(1356,'e1'!A1356),""),IF('r1'!A1356&gt;0,HYPERLINK("#"&amp;ADDRESS(1356,'r1'!A1356),""),""))</f>
        <v/>
      </c>
      <c r="C1356" s="13"/>
      <c r="D1356" s="14"/>
      <c r="E1356" s="15"/>
      <c r="F1356" s="16"/>
      <c r="G1356" s="17"/>
      <c r="H1356" s="18"/>
      <c r="I1356" s="19"/>
      <c r="J1356" s="20"/>
      <c r="K1356" s="21"/>
      <c r="L1356" s="22"/>
      <c r="M1356" s="23"/>
      <c r="N1356" s="24"/>
      <c r="O1356" s="25"/>
      <c r="P1356" s="26"/>
      <c r="Q1356" s="27"/>
      <c r="R1356" s="28"/>
      <c r="S1356" s="29"/>
      <c r="T1356" s="30"/>
    </row>
    <row r="1357" spans="1:20" ht="24" customHeight="1" x14ac:dyDescent="0.25">
      <c r="A1357" t="str">
        <f>IF('e1'!A1357&gt;0,HYPERLINK("#"&amp;ADDRESS(1357,'e1'!A1357),""),IF('r1'!A1357&gt;0,HYPERLINK("#"&amp;ADDRESS(1357,'r1'!A1357),""),""))</f>
        <v/>
      </c>
      <c r="C1357" s="13"/>
      <c r="D1357" s="14"/>
      <c r="E1357" s="15"/>
      <c r="F1357" s="16"/>
      <c r="G1357" s="17"/>
      <c r="H1357" s="18"/>
      <c r="I1357" s="19"/>
      <c r="J1357" s="20"/>
      <c r="K1357" s="21"/>
      <c r="L1357" s="22"/>
      <c r="M1357" s="23"/>
      <c r="N1357" s="24"/>
      <c r="O1357" s="25"/>
      <c r="P1357" s="26"/>
      <c r="Q1357" s="27"/>
      <c r="R1357" s="28"/>
      <c r="S1357" s="29"/>
      <c r="T1357" s="30"/>
    </row>
    <row r="1358" spans="1:20" ht="24" customHeight="1" x14ac:dyDescent="0.25">
      <c r="A1358" t="str">
        <f>IF('e1'!A1358&gt;0,HYPERLINK("#"&amp;ADDRESS(1358,'e1'!A1358),""),IF('r1'!A1358&gt;0,HYPERLINK("#"&amp;ADDRESS(1358,'r1'!A1358),""),""))</f>
        <v/>
      </c>
      <c r="C1358" s="13"/>
      <c r="D1358" s="14"/>
      <c r="E1358" s="15"/>
      <c r="F1358" s="16"/>
      <c r="G1358" s="17"/>
      <c r="H1358" s="18"/>
      <c r="I1358" s="19"/>
      <c r="J1358" s="20"/>
      <c r="K1358" s="21"/>
      <c r="L1358" s="22"/>
      <c r="M1358" s="23"/>
      <c r="N1358" s="24"/>
      <c r="O1358" s="25"/>
      <c r="P1358" s="26"/>
      <c r="Q1358" s="27"/>
      <c r="R1358" s="28"/>
      <c r="S1358" s="29"/>
      <c r="T1358" s="30"/>
    </row>
    <row r="1359" spans="1:20" ht="24" customHeight="1" x14ac:dyDescent="0.25">
      <c r="A1359" t="str">
        <f>IF('e1'!A1359&gt;0,HYPERLINK("#"&amp;ADDRESS(1359,'e1'!A1359),""),IF('r1'!A1359&gt;0,HYPERLINK("#"&amp;ADDRESS(1359,'r1'!A1359),""),""))</f>
        <v/>
      </c>
      <c r="C1359" s="13"/>
      <c r="D1359" s="14"/>
      <c r="E1359" s="15"/>
      <c r="F1359" s="16"/>
      <c r="G1359" s="17"/>
      <c r="H1359" s="18"/>
      <c r="I1359" s="19"/>
      <c r="J1359" s="20"/>
      <c r="K1359" s="21"/>
      <c r="L1359" s="22"/>
      <c r="M1359" s="23"/>
      <c r="N1359" s="24"/>
      <c r="O1359" s="25"/>
      <c r="P1359" s="26"/>
      <c r="Q1359" s="27"/>
      <c r="R1359" s="28"/>
      <c r="S1359" s="29"/>
      <c r="T1359" s="30"/>
    </row>
    <row r="1360" spans="1:20" ht="24" customHeight="1" x14ac:dyDescent="0.25">
      <c r="A1360" t="str">
        <f>IF('e1'!A1360&gt;0,HYPERLINK("#"&amp;ADDRESS(1360,'e1'!A1360),""),IF('r1'!A1360&gt;0,HYPERLINK("#"&amp;ADDRESS(1360,'r1'!A1360),""),""))</f>
        <v/>
      </c>
      <c r="C1360" s="13"/>
      <c r="D1360" s="14"/>
      <c r="E1360" s="15"/>
      <c r="F1360" s="16"/>
      <c r="G1360" s="17"/>
      <c r="H1360" s="18"/>
      <c r="I1360" s="19"/>
      <c r="J1360" s="20"/>
      <c r="K1360" s="21"/>
      <c r="L1360" s="22"/>
      <c r="M1360" s="23"/>
      <c r="N1360" s="24"/>
      <c r="O1360" s="25"/>
      <c r="P1360" s="26"/>
      <c r="Q1360" s="27"/>
      <c r="R1360" s="28"/>
      <c r="S1360" s="29"/>
      <c r="T1360" s="30"/>
    </row>
    <row r="1361" spans="1:20" ht="24" customHeight="1" x14ac:dyDescent="0.25">
      <c r="A1361" t="str">
        <f>IF('e1'!A1361&gt;0,HYPERLINK("#"&amp;ADDRESS(1361,'e1'!A1361),""),IF('r1'!A1361&gt;0,HYPERLINK("#"&amp;ADDRESS(1361,'r1'!A1361),""),""))</f>
        <v/>
      </c>
      <c r="C1361" s="13"/>
      <c r="D1361" s="14"/>
      <c r="E1361" s="15"/>
      <c r="F1361" s="16"/>
      <c r="G1361" s="17"/>
      <c r="H1361" s="18"/>
      <c r="I1361" s="19"/>
      <c r="J1361" s="20"/>
      <c r="K1361" s="21"/>
      <c r="L1361" s="22"/>
      <c r="M1361" s="23"/>
      <c r="N1361" s="24"/>
      <c r="O1361" s="25"/>
      <c r="P1361" s="26"/>
      <c r="Q1361" s="27"/>
      <c r="R1361" s="28"/>
      <c r="S1361" s="29"/>
      <c r="T1361" s="30"/>
    </row>
    <row r="1362" spans="1:20" ht="24" customHeight="1" x14ac:dyDescent="0.25">
      <c r="A1362" t="str">
        <f>IF('e1'!A1362&gt;0,HYPERLINK("#"&amp;ADDRESS(1362,'e1'!A1362),""),IF('r1'!A1362&gt;0,HYPERLINK("#"&amp;ADDRESS(1362,'r1'!A1362),""),""))</f>
        <v/>
      </c>
      <c r="C1362" s="13"/>
      <c r="D1362" s="14"/>
      <c r="E1362" s="15"/>
      <c r="F1362" s="16"/>
      <c r="G1362" s="17"/>
      <c r="H1362" s="18"/>
      <c r="I1362" s="19"/>
      <c r="J1362" s="20"/>
      <c r="K1362" s="21"/>
      <c r="L1362" s="22"/>
      <c r="M1362" s="23"/>
      <c r="N1362" s="24"/>
      <c r="O1362" s="25"/>
      <c r="P1362" s="26"/>
      <c r="Q1362" s="27"/>
      <c r="R1362" s="28"/>
      <c r="S1362" s="29"/>
      <c r="T1362" s="30"/>
    </row>
    <row r="1363" spans="1:20" ht="24" customHeight="1" x14ac:dyDescent="0.25">
      <c r="A1363" t="str">
        <f>IF('e1'!A1363&gt;0,HYPERLINK("#"&amp;ADDRESS(1363,'e1'!A1363),""),IF('r1'!A1363&gt;0,HYPERLINK("#"&amp;ADDRESS(1363,'r1'!A1363),""),""))</f>
        <v/>
      </c>
      <c r="C1363" s="13"/>
      <c r="D1363" s="14"/>
      <c r="E1363" s="15"/>
      <c r="F1363" s="16"/>
      <c r="G1363" s="17"/>
      <c r="H1363" s="18"/>
      <c r="I1363" s="19"/>
      <c r="J1363" s="20"/>
      <c r="K1363" s="21"/>
      <c r="L1363" s="22"/>
      <c r="M1363" s="23"/>
      <c r="N1363" s="24"/>
      <c r="O1363" s="25"/>
      <c r="P1363" s="26"/>
      <c r="Q1363" s="27"/>
      <c r="R1363" s="28"/>
      <c r="S1363" s="29"/>
      <c r="T1363" s="30"/>
    </row>
    <row r="1364" spans="1:20" ht="24" customHeight="1" x14ac:dyDescent="0.25">
      <c r="A1364" t="str">
        <f>IF('e1'!A1364&gt;0,HYPERLINK("#"&amp;ADDRESS(1364,'e1'!A1364),""),IF('r1'!A1364&gt;0,HYPERLINK("#"&amp;ADDRESS(1364,'r1'!A1364),""),""))</f>
        <v/>
      </c>
      <c r="C1364" s="13"/>
      <c r="D1364" s="14"/>
      <c r="E1364" s="15"/>
      <c r="F1364" s="16"/>
      <c r="G1364" s="17"/>
      <c r="H1364" s="18"/>
      <c r="I1364" s="19"/>
      <c r="J1364" s="20"/>
      <c r="K1364" s="21"/>
      <c r="L1364" s="22"/>
      <c r="M1364" s="23"/>
      <c r="N1364" s="24"/>
      <c r="O1364" s="25"/>
      <c r="P1364" s="26"/>
      <c r="Q1364" s="27"/>
      <c r="R1364" s="28"/>
      <c r="S1364" s="29"/>
      <c r="T1364" s="30"/>
    </row>
    <row r="1365" spans="1:20" ht="24" customHeight="1" x14ac:dyDescent="0.25">
      <c r="A1365" t="str">
        <f>IF('e1'!A1365&gt;0,HYPERLINK("#"&amp;ADDRESS(1365,'e1'!A1365),""),IF('r1'!A1365&gt;0,HYPERLINK("#"&amp;ADDRESS(1365,'r1'!A1365),""),""))</f>
        <v/>
      </c>
      <c r="C1365" s="13"/>
      <c r="D1365" s="14"/>
      <c r="E1365" s="15"/>
      <c r="F1365" s="16"/>
      <c r="G1365" s="17"/>
      <c r="H1365" s="18"/>
      <c r="I1365" s="19"/>
      <c r="J1365" s="20"/>
      <c r="K1365" s="21"/>
      <c r="L1365" s="22"/>
      <c r="M1365" s="23"/>
      <c r="N1365" s="24"/>
      <c r="O1365" s="25"/>
      <c r="P1365" s="26"/>
      <c r="Q1365" s="27"/>
      <c r="R1365" s="28"/>
      <c r="S1365" s="29"/>
      <c r="T1365" s="30"/>
    </row>
    <row r="1366" spans="1:20" ht="24" customHeight="1" x14ac:dyDescent="0.25">
      <c r="A1366" t="str">
        <f>IF('e1'!A1366&gt;0,HYPERLINK("#"&amp;ADDRESS(1366,'e1'!A1366),""),IF('r1'!A1366&gt;0,HYPERLINK("#"&amp;ADDRESS(1366,'r1'!A1366),""),""))</f>
        <v/>
      </c>
      <c r="C1366" s="13"/>
      <c r="D1366" s="14"/>
      <c r="E1366" s="15"/>
      <c r="F1366" s="16"/>
      <c r="G1366" s="17"/>
      <c r="H1366" s="18"/>
      <c r="I1366" s="19"/>
      <c r="J1366" s="20"/>
      <c r="K1366" s="21"/>
      <c r="L1366" s="22"/>
      <c r="M1366" s="23"/>
      <c r="N1366" s="24"/>
      <c r="O1366" s="25"/>
      <c r="P1366" s="26"/>
      <c r="Q1366" s="27"/>
      <c r="R1366" s="28"/>
      <c r="S1366" s="29"/>
      <c r="T1366" s="30"/>
    </row>
    <row r="1367" spans="1:20" ht="24" customHeight="1" x14ac:dyDescent="0.25">
      <c r="A1367" t="str">
        <f>IF('e1'!A1367&gt;0,HYPERLINK("#"&amp;ADDRESS(1367,'e1'!A1367),""),IF('r1'!A1367&gt;0,HYPERLINK("#"&amp;ADDRESS(1367,'r1'!A1367),""),""))</f>
        <v/>
      </c>
      <c r="C1367" s="13"/>
      <c r="D1367" s="14"/>
      <c r="E1367" s="15"/>
      <c r="F1367" s="16"/>
      <c r="G1367" s="17"/>
      <c r="H1367" s="18"/>
      <c r="I1367" s="19"/>
      <c r="J1367" s="20"/>
      <c r="K1367" s="21"/>
      <c r="L1367" s="22"/>
      <c r="M1367" s="23"/>
      <c r="N1367" s="24"/>
      <c r="O1367" s="25"/>
      <c r="P1367" s="26"/>
      <c r="Q1367" s="27"/>
      <c r="R1367" s="28"/>
      <c r="S1367" s="29"/>
      <c r="T1367" s="30"/>
    </row>
    <row r="1368" spans="1:20" ht="24" customHeight="1" x14ac:dyDescent="0.25">
      <c r="A1368" t="str">
        <f>IF('e1'!A1368&gt;0,HYPERLINK("#"&amp;ADDRESS(1368,'e1'!A1368),""),IF('r1'!A1368&gt;0,HYPERLINK("#"&amp;ADDRESS(1368,'r1'!A1368),""),""))</f>
        <v/>
      </c>
      <c r="C1368" s="13"/>
      <c r="D1368" s="14"/>
      <c r="E1368" s="15"/>
      <c r="F1368" s="16"/>
      <c r="G1368" s="17"/>
      <c r="H1368" s="18"/>
      <c r="I1368" s="19"/>
      <c r="J1368" s="20"/>
      <c r="K1368" s="21"/>
      <c r="L1368" s="22"/>
      <c r="M1368" s="23"/>
      <c r="N1368" s="24"/>
      <c r="O1368" s="25"/>
      <c r="P1368" s="26"/>
      <c r="Q1368" s="27"/>
      <c r="R1368" s="28"/>
      <c r="S1368" s="29"/>
      <c r="T1368" s="30"/>
    </row>
    <row r="1369" spans="1:20" ht="24" customHeight="1" x14ac:dyDescent="0.25">
      <c r="A1369" t="str">
        <f>IF('e1'!A1369&gt;0,HYPERLINK("#"&amp;ADDRESS(1369,'e1'!A1369),""),IF('r1'!A1369&gt;0,HYPERLINK("#"&amp;ADDRESS(1369,'r1'!A1369),""),""))</f>
        <v/>
      </c>
      <c r="C1369" s="13"/>
      <c r="D1369" s="14"/>
      <c r="E1369" s="15"/>
      <c r="F1369" s="16"/>
      <c r="G1369" s="17"/>
      <c r="H1369" s="18"/>
      <c r="I1369" s="19"/>
      <c r="J1369" s="20"/>
      <c r="K1369" s="21"/>
      <c r="L1369" s="22"/>
      <c r="M1369" s="23"/>
      <c r="N1369" s="24"/>
      <c r="O1369" s="25"/>
      <c r="P1369" s="26"/>
      <c r="Q1369" s="27"/>
      <c r="R1369" s="28"/>
      <c r="S1369" s="29"/>
      <c r="T1369" s="30"/>
    </row>
    <row r="1370" spans="1:20" ht="24" customHeight="1" x14ac:dyDescent="0.25">
      <c r="A1370" t="str">
        <f>IF('e1'!A1370&gt;0,HYPERLINK("#"&amp;ADDRESS(1370,'e1'!A1370),""),IF('r1'!A1370&gt;0,HYPERLINK("#"&amp;ADDRESS(1370,'r1'!A1370),""),""))</f>
        <v/>
      </c>
      <c r="C1370" s="13"/>
      <c r="D1370" s="14"/>
      <c r="E1370" s="15"/>
      <c r="F1370" s="16"/>
      <c r="G1370" s="17"/>
      <c r="H1370" s="18"/>
      <c r="I1370" s="19"/>
      <c r="J1370" s="20"/>
      <c r="K1370" s="21"/>
      <c r="L1370" s="22"/>
      <c r="M1370" s="23"/>
      <c r="N1370" s="24"/>
      <c r="O1370" s="25"/>
      <c r="P1370" s="26"/>
      <c r="Q1370" s="27"/>
      <c r="R1370" s="28"/>
      <c r="S1370" s="29"/>
      <c r="T1370" s="30"/>
    </row>
    <row r="1371" spans="1:20" ht="24" customHeight="1" x14ac:dyDescent="0.25">
      <c r="A1371" t="str">
        <f>IF('e1'!A1371&gt;0,HYPERLINK("#"&amp;ADDRESS(1371,'e1'!A1371),""),IF('r1'!A1371&gt;0,HYPERLINK("#"&amp;ADDRESS(1371,'r1'!A1371),""),""))</f>
        <v/>
      </c>
      <c r="C1371" s="13"/>
      <c r="D1371" s="14"/>
      <c r="E1371" s="15"/>
      <c r="F1371" s="16"/>
      <c r="G1371" s="17"/>
      <c r="H1371" s="18"/>
      <c r="I1371" s="19"/>
      <c r="J1371" s="20"/>
      <c r="K1371" s="21"/>
      <c r="L1371" s="22"/>
      <c r="M1371" s="23"/>
      <c r="N1371" s="24"/>
      <c r="O1371" s="25"/>
      <c r="P1371" s="26"/>
      <c r="Q1371" s="27"/>
      <c r="R1371" s="28"/>
      <c r="S1371" s="29"/>
      <c r="T1371" s="30"/>
    </row>
    <row r="1372" spans="1:20" ht="24" customHeight="1" x14ac:dyDescent="0.25">
      <c r="A1372" t="str">
        <f>IF('e1'!A1372&gt;0,HYPERLINK("#"&amp;ADDRESS(1372,'e1'!A1372),""),IF('r1'!A1372&gt;0,HYPERLINK("#"&amp;ADDRESS(1372,'r1'!A1372),""),""))</f>
        <v/>
      </c>
      <c r="C1372" s="13"/>
      <c r="D1372" s="14"/>
      <c r="E1372" s="15"/>
      <c r="F1372" s="16"/>
      <c r="G1372" s="17"/>
      <c r="H1372" s="18"/>
      <c r="I1372" s="19"/>
      <c r="J1372" s="20"/>
      <c r="K1372" s="21"/>
      <c r="L1372" s="22"/>
      <c r="M1372" s="23"/>
      <c r="N1372" s="24"/>
      <c r="O1372" s="25"/>
      <c r="P1372" s="26"/>
      <c r="Q1372" s="27"/>
      <c r="R1372" s="28"/>
      <c r="S1372" s="29"/>
      <c r="T1372" s="30"/>
    </row>
    <row r="1373" spans="1:20" ht="24" customHeight="1" x14ac:dyDescent="0.25">
      <c r="A1373" t="str">
        <f>IF('e1'!A1373&gt;0,HYPERLINK("#"&amp;ADDRESS(1373,'e1'!A1373),""),IF('r1'!A1373&gt;0,HYPERLINK("#"&amp;ADDRESS(1373,'r1'!A1373),""),""))</f>
        <v/>
      </c>
      <c r="C1373" s="13"/>
      <c r="D1373" s="14"/>
      <c r="E1373" s="15"/>
      <c r="F1373" s="16"/>
      <c r="G1373" s="17"/>
      <c r="H1373" s="18"/>
      <c r="I1373" s="19"/>
      <c r="J1373" s="20"/>
      <c r="K1373" s="21"/>
      <c r="L1373" s="22"/>
      <c r="M1373" s="23"/>
      <c r="N1373" s="24"/>
      <c r="O1373" s="25"/>
      <c r="P1373" s="26"/>
      <c r="Q1373" s="27"/>
      <c r="R1373" s="28"/>
      <c r="S1373" s="29"/>
      <c r="T1373" s="30"/>
    </row>
    <row r="1374" spans="1:20" ht="24" customHeight="1" x14ac:dyDescent="0.25">
      <c r="A1374" t="str">
        <f>IF('e1'!A1374&gt;0,HYPERLINK("#"&amp;ADDRESS(1374,'e1'!A1374),""),IF('r1'!A1374&gt;0,HYPERLINK("#"&amp;ADDRESS(1374,'r1'!A1374),""),""))</f>
        <v/>
      </c>
      <c r="C1374" s="13"/>
      <c r="D1374" s="14"/>
      <c r="E1374" s="15"/>
      <c r="F1374" s="16"/>
      <c r="G1374" s="17"/>
      <c r="H1374" s="18"/>
      <c r="I1374" s="19"/>
      <c r="J1374" s="20"/>
      <c r="K1374" s="21"/>
      <c r="L1374" s="22"/>
      <c r="M1374" s="23"/>
      <c r="N1374" s="24"/>
      <c r="O1374" s="25"/>
      <c r="P1374" s="26"/>
      <c r="Q1374" s="27"/>
      <c r="R1374" s="28"/>
      <c r="S1374" s="29"/>
      <c r="T1374" s="30"/>
    </row>
    <row r="1375" spans="1:20" ht="24" customHeight="1" x14ac:dyDescent="0.25">
      <c r="A1375" t="str">
        <f>IF('e1'!A1375&gt;0,HYPERLINK("#"&amp;ADDRESS(1375,'e1'!A1375),""),IF('r1'!A1375&gt;0,HYPERLINK("#"&amp;ADDRESS(1375,'r1'!A1375),""),""))</f>
        <v/>
      </c>
      <c r="C1375" s="13"/>
      <c r="D1375" s="14"/>
      <c r="E1375" s="15"/>
      <c r="F1375" s="16"/>
      <c r="G1375" s="17"/>
      <c r="H1375" s="18"/>
      <c r="I1375" s="19"/>
      <c r="J1375" s="20"/>
      <c r="K1375" s="21"/>
      <c r="L1375" s="22"/>
      <c r="M1375" s="23"/>
      <c r="N1375" s="24"/>
      <c r="O1375" s="25"/>
      <c r="P1375" s="26"/>
      <c r="Q1375" s="27"/>
      <c r="R1375" s="28"/>
      <c r="S1375" s="29"/>
      <c r="T1375" s="30"/>
    </row>
    <row r="1376" spans="1:20" ht="24" customHeight="1" x14ac:dyDescent="0.25">
      <c r="A1376" t="str">
        <f>IF('e1'!A1376&gt;0,HYPERLINK("#"&amp;ADDRESS(1376,'e1'!A1376),""),IF('r1'!A1376&gt;0,HYPERLINK("#"&amp;ADDRESS(1376,'r1'!A1376),""),""))</f>
        <v/>
      </c>
      <c r="C1376" s="13"/>
      <c r="D1376" s="14"/>
      <c r="E1376" s="15"/>
      <c r="F1376" s="16"/>
      <c r="G1376" s="17"/>
      <c r="H1376" s="18"/>
      <c r="I1376" s="19"/>
      <c r="J1376" s="20"/>
      <c r="K1376" s="21"/>
      <c r="L1376" s="22"/>
      <c r="M1376" s="23"/>
      <c r="N1376" s="24"/>
      <c r="O1376" s="25"/>
      <c r="P1376" s="26"/>
      <c r="Q1376" s="27"/>
      <c r="R1376" s="28"/>
      <c r="S1376" s="29"/>
      <c r="T1376" s="30"/>
    </row>
    <row r="1377" spans="1:20" ht="24" customHeight="1" x14ac:dyDescent="0.25">
      <c r="A1377" t="str">
        <f>IF('e1'!A1377&gt;0,HYPERLINK("#"&amp;ADDRESS(1377,'e1'!A1377),""),IF('r1'!A1377&gt;0,HYPERLINK("#"&amp;ADDRESS(1377,'r1'!A1377),""),""))</f>
        <v/>
      </c>
      <c r="C1377" s="13"/>
      <c r="D1377" s="14"/>
      <c r="E1377" s="15"/>
      <c r="F1377" s="16"/>
      <c r="G1377" s="17"/>
      <c r="H1377" s="18"/>
      <c r="I1377" s="19"/>
      <c r="J1377" s="20"/>
      <c r="K1377" s="21"/>
      <c r="L1377" s="22"/>
      <c r="M1377" s="23"/>
      <c r="N1377" s="24"/>
      <c r="O1377" s="25"/>
      <c r="P1377" s="26"/>
      <c r="Q1377" s="27"/>
      <c r="R1377" s="28"/>
      <c r="S1377" s="29"/>
      <c r="T1377" s="30"/>
    </row>
    <row r="1378" spans="1:20" ht="24" customHeight="1" x14ac:dyDescent="0.25">
      <c r="A1378" t="str">
        <f>IF('e1'!A1378&gt;0,HYPERLINK("#"&amp;ADDRESS(1378,'e1'!A1378),""),IF('r1'!A1378&gt;0,HYPERLINK("#"&amp;ADDRESS(1378,'r1'!A1378),""),""))</f>
        <v/>
      </c>
      <c r="C1378" s="13"/>
      <c r="D1378" s="14"/>
      <c r="E1378" s="15"/>
      <c r="F1378" s="16"/>
      <c r="G1378" s="17"/>
      <c r="H1378" s="18"/>
      <c r="I1378" s="19"/>
      <c r="J1378" s="20"/>
      <c r="K1378" s="21"/>
      <c r="L1378" s="22"/>
      <c r="M1378" s="23"/>
      <c r="N1378" s="24"/>
      <c r="O1378" s="25"/>
      <c r="P1378" s="26"/>
      <c r="Q1378" s="27"/>
      <c r="R1378" s="28"/>
      <c r="S1378" s="29"/>
      <c r="T1378" s="30"/>
    </row>
    <row r="1379" spans="1:20" ht="24" customHeight="1" x14ac:dyDescent="0.25">
      <c r="A1379" t="str">
        <f>IF('e1'!A1379&gt;0,HYPERLINK("#"&amp;ADDRESS(1379,'e1'!A1379),""),IF('r1'!A1379&gt;0,HYPERLINK("#"&amp;ADDRESS(1379,'r1'!A1379),""),""))</f>
        <v/>
      </c>
      <c r="C1379" s="13"/>
      <c r="D1379" s="14"/>
      <c r="E1379" s="15"/>
      <c r="F1379" s="16"/>
      <c r="G1379" s="17"/>
      <c r="H1379" s="18"/>
      <c r="I1379" s="19"/>
      <c r="J1379" s="20"/>
      <c r="K1379" s="21"/>
      <c r="L1379" s="22"/>
      <c r="M1379" s="23"/>
      <c r="N1379" s="24"/>
      <c r="O1379" s="25"/>
      <c r="P1379" s="26"/>
      <c r="Q1379" s="27"/>
      <c r="R1379" s="28"/>
      <c r="S1379" s="29"/>
      <c r="T1379" s="30"/>
    </row>
    <row r="1380" spans="1:20" ht="24" customHeight="1" x14ac:dyDescent="0.25">
      <c r="A1380" t="str">
        <f>IF('e1'!A1380&gt;0,HYPERLINK("#"&amp;ADDRESS(1380,'e1'!A1380),""),IF('r1'!A1380&gt;0,HYPERLINK("#"&amp;ADDRESS(1380,'r1'!A1380),""),""))</f>
        <v/>
      </c>
      <c r="C1380" s="13"/>
      <c r="D1380" s="14"/>
      <c r="E1380" s="15"/>
      <c r="F1380" s="16"/>
      <c r="G1380" s="17"/>
      <c r="H1380" s="18"/>
      <c r="I1380" s="19"/>
      <c r="J1380" s="20"/>
      <c r="K1380" s="21"/>
      <c r="L1380" s="22"/>
      <c r="M1380" s="23"/>
      <c r="N1380" s="24"/>
      <c r="O1380" s="25"/>
      <c r="P1380" s="26"/>
      <c r="Q1380" s="27"/>
      <c r="R1380" s="28"/>
      <c r="S1380" s="29"/>
      <c r="T1380" s="30"/>
    </row>
    <row r="1381" spans="1:20" ht="24" customHeight="1" x14ac:dyDescent="0.25">
      <c r="A1381" t="str">
        <f>IF('e1'!A1381&gt;0,HYPERLINK("#"&amp;ADDRESS(1381,'e1'!A1381),""),IF('r1'!A1381&gt;0,HYPERLINK("#"&amp;ADDRESS(1381,'r1'!A1381),""),""))</f>
        <v/>
      </c>
      <c r="C1381" s="13"/>
      <c r="D1381" s="14"/>
      <c r="E1381" s="15"/>
      <c r="F1381" s="16"/>
      <c r="G1381" s="17"/>
      <c r="H1381" s="18"/>
      <c r="I1381" s="19"/>
      <c r="J1381" s="20"/>
      <c r="K1381" s="21"/>
      <c r="L1381" s="22"/>
      <c r="M1381" s="23"/>
      <c r="N1381" s="24"/>
      <c r="O1381" s="25"/>
      <c r="P1381" s="26"/>
      <c r="Q1381" s="27"/>
      <c r="R1381" s="28"/>
      <c r="S1381" s="29"/>
      <c r="T1381" s="30"/>
    </row>
    <row r="1382" spans="1:20" ht="24" customHeight="1" x14ac:dyDescent="0.25">
      <c r="A1382" t="str">
        <f>IF('e1'!A1382&gt;0,HYPERLINK("#"&amp;ADDRESS(1382,'e1'!A1382),""),IF('r1'!A1382&gt;0,HYPERLINK("#"&amp;ADDRESS(1382,'r1'!A1382),""),""))</f>
        <v/>
      </c>
      <c r="C1382" s="13"/>
      <c r="D1382" s="14"/>
      <c r="E1382" s="15"/>
      <c r="F1382" s="16"/>
      <c r="G1382" s="17"/>
      <c r="H1382" s="18"/>
      <c r="I1382" s="19"/>
      <c r="J1382" s="20"/>
      <c r="K1382" s="21"/>
      <c r="L1382" s="22"/>
      <c r="M1382" s="23"/>
      <c r="N1382" s="24"/>
      <c r="O1382" s="25"/>
      <c r="P1382" s="26"/>
      <c r="Q1382" s="27"/>
      <c r="R1382" s="28"/>
      <c r="S1382" s="29"/>
      <c r="T1382" s="30"/>
    </row>
    <row r="1383" spans="1:20" ht="24" customHeight="1" x14ac:dyDescent="0.25">
      <c r="A1383" t="str">
        <f>IF('e1'!A1383&gt;0,HYPERLINK("#"&amp;ADDRESS(1383,'e1'!A1383),""),IF('r1'!A1383&gt;0,HYPERLINK("#"&amp;ADDRESS(1383,'r1'!A1383),""),""))</f>
        <v/>
      </c>
      <c r="C1383" s="13"/>
      <c r="D1383" s="14"/>
      <c r="E1383" s="15"/>
      <c r="F1383" s="16"/>
      <c r="G1383" s="17"/>
      <c r="H1383" s="18"/>
      <c r="I1383" s="19"/>
      <c r="J1383" s="20"/>
      <c r="K1383" s="21"/>
      <c r="L1383" s="22"/>
      <c r="M1383" s="23"/>
      <c r="N1383" s="24"/>
      <c r="O1383" s="25"/>
      <c r="P1383" s="26"/>
      <c r="Q1383" s="27"/>
      <c r="R1383" s="28"/>
      <c r="S1383" s="29"/>
      <c r="T1383" s="30"/>
    </row>
    <row r="1384" spans="1:20" ht="24" customHeight="1" x14ac:dyDescent="0.25">
      <c r="A1384" t="str">
        <f>IF('e1'!A1384&gt;0,HYPERLINK("#"&amp;ADDRESS(1384,'e1'!A1384),""),IF('r1'!A1384&gt;0,HYPERLINK("#"&amp;ADDRESS(1384,'r1'!A1384),""),""))</f>
        <v/>
      </c>
      <c r="C1384" s="13"/>
      <c r="D1384" s="14"/>
      <c r="E1384" s="15"/>
      <c r="F1384" s="16"/>
      <c r="G1384" s="17"/>
      <c r="H1384" s="18"/>
      <c r="I1384" s="19"/>
      <c r="J1384" s="20"/>
      <c r="K1384" s="21"/>
      <c r="L1384" s="22"/>
      <c r="M1384" s="23"/>
      <c r="N1384" s="24"/>
      <c r="O1384" s="25"/>
      <c r="P1384" s="26"/>
      <c r="Q1384" s="27"/>
      <c r="R1384" s="28"/>
      <c r="S1384" s="29"/>
      <c r="T1384" s="30"/>
    </row>
    <row r="1385" spans="1:20" ht="24" customHeight="1" x14ac:dyDescent="0.25">
      <c r="A1385" t="str">
        <f>IF('e1'!A1385&gt;0,HYPERLINK("#"&amp;ADDRESS(1385,'e1'!A1385),""),IF('r1'!A1385&gt;0,HYPERLINK("#"&amp;ADDRESS(1385,'r1'!A1385),""),""))</f>
        <v/>
      </c>
      <c r="C1385" s="13"/>
      <c r="D1385" s="14"/>
      <c r="E1385" s="15"/>
      <c r="F1385" s="16"/>
      <c r="G1385" s="17"/>
      <c r="H1385" s="18"/>
      <c r="I1385" s="19"/>
      <c r="J1385" s="20"/>
      <c r="K1385" s="21"/>
      <c r="L1385" s="22"/>
      <c r="M1385" s="23"/>
      <c r="N1385" s="24"/>
      <c r="O1385" s="25"/>
      <c r="P1385" s="26"/>
      <c r="Q1385" s="27"/>
      <c r="R1385" s="28"/>
      <c r="S1385" s="29"/>
      <c r="T1385" s="30"/>
    </row>
    <row r="1386" spans="1:20" ht="24" customHeight="1" x14ac:dyDescent="0.25">
      <c r="A1386" t="str">
        <f>IF('e1'!A1386&gt;0,HYPERLINK("#"&amp;ADDRESS(1386,'e1'!A1386),""),IF('r1'!A1386&gt;0,HYPERLINK("#"&amp;ADDRESS(1386,'r1'!A1386),""),""))</f>
        <v/>
      </c>
      <c r="C1386" s="13"/>
      <c r="D1386" s="14"/>
      <c r="E1386" s="15"/>
      <c r="F1386" s="16"/>
      <c r="G1386" s="17"/>
      <c r="H1386" s="18"/>
      <c r="I1386" s="19"/>
      <c r="J1386" s="20"/>
      <c r="K1386" s="21"/>
      <c r="L1386" s="22"/>
      <c r="M1386" s="23"/>
      <c r="N1386" s="24"/>
      <c r="O1386" s="25"/>
      <c r="P1386" s="26"/>
      <c r="Q1386" s="27"/>
      <c r="R1386" s="28"/>
      <c r="S1386" s="29"/>
      <c r="T1386" s="30"/>
    </row>
    <row r="1387" spans="1:20" ht="24" customHeight="1" x14ac:dyDescent="0.25">
      <c r="A1387" t="str">
        <f>IF('e1'!A1387&gt;0,HYPERLINK("#"&amp;ADDRESS(1387,'e1'!A1387),""),IF('r1'!A1387&gt;0,HYPERLINK("#"&amp;ADDRESS(1387,'r1'!A1387),""),""))</f>
        <v/>
      </c>
      <c r="C1387" s="13"/>
      <c r="D1387" s="14"/>
      <c r="E1387" s="15"/>
      <c r="F1387" s="16"/>
      <c r="G1387" s="17"/>
      <c r="H1387" s="18"/>
      <c r="I1387" s="19"/>
      <c r="J1387" s="20"/>
      <c r="K1387" s="21"/>
      <c r="L1387" s="22"/>
      <c r="M1387" s="23"/>
      <c r="N1387" s="24"/>
      <c r="O1387" s="25"/>
      <c r="P1387" s="26"/>
      <c r="Q1387" s="27"/>
      <c r="R1387" s="28"/>
      <c r="S1387" s="29"/>
      <c r="T1387" s="30"/>
    </row>
    <row r="1388" spans="1:20" ht="24" customHeight="1" x14ac:dyDescent="0.25">
      <c r="A1388" t="str">
        <f>IF('e1'!A1388&gt;0,HYPERLINK("#"&amp;ADDRESS(1388,'e1'!A1388),""),IF('r1'!A1388&gt;0,HYPERLINK("#"&amp;ADDRESS(1388,'r1'!A1388),""),""))</f>
        <v/>
      </c>
      <c r="C1388" s="13"/>
      <c r="D1388" s="14"/>
      <c r="E1388" s="15"/>
      <c r="F1388" s="16"/>
      <c r="G1388" s="17"/>
      <c r="H1388" s="18"/>
      <c r="I1388" s="19"/>
      <c r="J1388" s="20"/>
      <c r="K1388" s="21"/>
      <c r="L1388" s="22"/>
      <c r="M1388" s="23"/>
      <c r="N1388" s="24"/>
      <c r="O1388" s="25"/>
      <c r="P1388" s="26"/>
      <c r="Q1388" s="27"/>
      <c r="R1388" s="28"/>
      <c r="S1388" s="29"/>
      <c r="T1388" s="30"/>
    </row>
    <row r="1389" spans="1:20" ht="24" customHeight="1" x14ac:dyDescent="0.25">
      <c r="A1389" t="str">
        <f>IF('e1'!A1389&gt;0,HYPERLINK("#"&amp;ADDRESS(1389,'e1'!A1389),""),IF('r1'!A1389&gt;0,HYPERLINK("#"&amp;ADDRESS(1389,'r1'!A1389),""),""))</f>
        <v/>
      </c>
      <c r="C1389" s="13"/>
      <c r="D1389" s="14"/>
      <c r="E1389" s="15"/>
      <c r="F1389" s="16"/>
      <c r="G1389" s="17"/>
      <c r="H1389" s="18"/>
      <c r="I1389" s="19"/>
      <c r="J1389" s="20"/>
      <c r="K1389" s="21"/>
      <c r="L1389" s="22"/>
      <c r="M1389" s="23"/>
      <c r="N1389" s="24"/>
      <c r="O1389" s="25"/>
      <c r="P1389" s="26"/>
      <c r="Q1389" s="27"/>
      <c r="R1389" s="28"/>
      <c r="S1389" s="29"/>
      <c r="T1389" s="30"/>
    </row>
    <row r="1390" spans="1:20" ht="24" customHeight="1" x14ac:dyDescent="0.25">
      <c r="A1390" t="str">
        <f>IF('e1'!A1390&gt;0,HYPERLINK("#"&amp;ADDRESS(1390,'e1'!A1390),""),IF('r1'!A1390&gt;0,HYPERLINK("#"&amp;ADDRESS(1390,'r1'!A1390),""),""))</f>
        <v/>
      </c>
      <c r="C1390" s="13"/>
      <c r="D1390" s="14"/>
      <c r="E1390" s="15"/>
      <c r="F1390" s="16"/>
      <c r="G1390" s="17"/>
      <c r="H1390" s="18"/>
      <c r="I1390" s="19"/>
      <c r="J1390" s="20"/>
      <c r="K1390" s="21"/>
      <c r="L1390" s="22"/>
      <c r="M1390" s="23"/>
      <c r="N1390" s="24"/>
      <c r="O1390" s="25"/>
      <c r="P1390" s="26"/>
      <c r="Q1390" s="27"/>
      <c r="R1390" s="28"/>
      <c r="S1390" s="29"/>
      <c r="T1390" s="30"/>
    </row>
    <row r="1391" spans="1:20" ht="24" customHeight="1" x14ac:dyDescent="0.25">
      <c r="A1391" t="str">
        <f>IF('e1'!A1391&gt;0,HYPERLINK("#"&amp;ADDRESS(1391,'e1'!A1391),""),IF('r1'!A1391&gt;0,HYPERLINK("#"&amp;ADDRESS(1391,'r1'!A1391),""),""))</f>
        <v/>
      </c>
      <c r="C1391" s="13"/>
      <c r="D1391" s="14"/>
      <c r="E1391" s="15"/>
      <c r="F1391" s="16"/>
      <c r="G1391" s="17"/>
      <c r="H1391" s="18"/>
      <c r="I1391" s="19"/>
      <c r="J1391" s="20"/>
      <c r="K1391" s="21"/>
      <c r="L1391" s="22"/>
      <c r="M1391" s="23"/>
      <c r="N1391" s="24"/>
      <c r="O1391" s="25"/>
      <c r="P1391" s="26"/>
      <c r="Q1391" s="27"/>
      <c r="R1391" s="28"/>
      <c r="S1391" s="29"/>
      <c r="T1391" s="30"/>
    </row>
    <row r="1392" spans="1:20" ht="24" customHeight="1" x14ac:dyDescent="0.25">
      <c r="A1392" t="str">
        <f>IF('e1'!A1392&gt;0,HYPERLINK("#"&amp;ADDRESS(1392,'e1'!A1392),""),IF('r1'!A1392&gt;0,HYPERLINK("#"&amp;ADDRESS(1392,'r1'!A1392),""),""))</f>
        <v/>
      </c>
      <c r="C1392" s="13"/>
      <c r="D1392" s="14"/>
      <c r="E1392" s="15"/>
      <c r="F1392" s="16"/>
      <c r="G1392" s="17"/>
      <c r="H1392" s="18"/>
      <c r="I1392" s="19"/>
      <c r="J1392" s="20"/>
      <c r="K1392" s="21"/>
      <c r="L1392" s="22"/>
      <c r="M1392" s="23"/>
      <c r="N1392" s="24"/>
      <c r="O1392" s="25"/>
      <c r="P1392" s="26"/>
      <c r="Q1392" s="27"/>
      <c r="R1392" s="28"/>
      <c r="S1392" s="29"/>
      <c r="T1392" s="30"/>
    </row>
    <row r="1393" spans="1:20" ht="24" customHeight="1" x14ac:dyDescent="0.25">
      <c r="A1393" t="str">
        <f>IF('e1'!A1393&gt;0,HYPERLINK("#"&amp;ADDRESS(1393,'e1'!A1393),""),IF('r1'!A1393&gt;0,HYPERLINK("#"&amp;ADDRESS(1393,'r1'!A1393),""),""))</f>
        <v/>
      </c>
      <c r="C1393" s="13"/>
      <c r="D1393" s="14"/>
      <c r="E1393" s="15"/>
      <c r="F1393" s="16"/>
      <c r="G1393" s="17"/>
      <c r="H1393" s="18"/>
      <c r="I1393" s="19"/>
      <c r="J1393" s="20"/>
      <c r="K1393" s="21"/>
      <c r="L1393" s="22"/>
      <c r="M1393" s="23"/>
      <c r="N1393" s="24"/>
      <c r="O1393" s="25"/>
      <c r="P1393" s="26"/>
      <c r="Q1393" s="27"/>
      <c r="R1393" s="28"/>
      <c r="S1393" s="29"/>
      <c r="T1393" s="30"/>
    </row>
    <row r="1394" spans="1:20" ht="24" customHeight="1" x14ac:dyDescent="0.25">
      <c r="A1394" t="str">
        <f>IF('e1'!A1394&gt;0,HYPERLINK("#"&amp;ADDRESS(1394,'e1'!A1394),""),IF('r1'!A1394&gt;0,HYPERLINK("#"&amp;ADDRESS(1394,'r1'!A1394),""),""))</f>
        <v/>
      </c>
      <c r="C1394" s="13"/>
      <c r="D1394" s="14"/>
      <c r="E1394" s="15"/>
      <c r="F1394" s="16"/>
      <c r="G1394" s="17"/>
      <c r="H1394" s="18"/>
      <c r="I1394" s="19"/>
      <c r="J1394" s="20"/>
      <c r="K1394" s="21"/>
      <c r="L1394" s="22"/>
      <c r="M1394" s="23"/>
      <c r="N1394" s="24"/>
      <c r="O1394" s="25"/>
      <c r="P1394" s="26"/>
      <c r="Q1394" s="27"/>
      <c r="R1394" s="28"/>
      <c r="S1394" s="29"/>
      <c r="T1394" s="30"/>
    </row>
    <row r="1395" spans="1:20" ht="24" customHeight="1" x14ac:dyDescent="0.25">
      <c r="A1395" t="str">
        <f>IF('e1'!A1395&gt;0,HYPERLINK("#"&amp;ADDRESS(1395,'e1'!A1395),""),IF('r1'!A1395&gt;0,HYPERLINK("#"&amp;ADDRESS(1395,'r1'!A1395),""),""))</f>
        <v/>
      </c>
      <c r="C1395" s="13"/>
      <c r="D1395" s="14"/>
      <c r="E1395" s="15"/>
      <c r="F1395" s="16"/>
      <c r="G1395" s="17"/>
      <c r="H1395" s="18"/>
      <c r="I1395" s="19"/>
      <c r="J1395" s="20"/>
      <c r="K1395" s="21"/>
      <c r="L1395" s="22"/>
      <c r="M1395" s="23"/>
      <c r="N1395" s="24"/>
      <c r="O1395" s="25"/>
      <c r="P1395" s="26"/>
      <c r="Q1395" s="27"/>
      <c r="R1395" s="28"/>
      <c r="S1395" s="29"/>
      <c r="T1395" s="30"/>
    </row>
    <row r="1396" spans="1:20" ht="24" customHeight="1" x14ac:dyDescent="0.25">
      <c r="A1396" t="str">
        <f>IF('e1'!A1396&gt;0,HYPERLINK("#"&amp;ADDRESS(1396,'e1'!A1396),""),IF('r1'!A1396&gt;0,HYPERLINK("#"&amp;ADDRESS(1396,'r1'!A1396),""),""))</f>
        <v/>
      </c>
      <c r="C1396" s="13"/>
      <c r="D1396" s="14"/>
      <c r="E1396" s="15"/>
      <c r="F1396" s="16"/>
      <c r="G1396" s="17"/>
      <c r="H1396" s="18"/>
      <c r="I1396" s="19"/>
      <c r="J1396" s="20"/>
      <c r="K1396" s="21"/>
      <c r="L1396" s="22"/>
      <c r="M1396" s="23"/>
      <c r="N1396" s="24"/>
      <c r="O1396" s="25"/>
      <c r="P1396" s="26"/>
      <c r="Q1396" s="27"/>
      <c r="R1396" s="28"/>
      <c r="S1396" s="29"/>
      <c r="T1396" s="30"/>
    </row>
    <row r="1397" spans="1:20" ht="24" customHeight="1" x14ac:dyDescent="0.25">
      <c r="A1397" t="str">
        <f>IF('e1'!A1397&gt;0,HYPERLINK("#"&amp;ADDRESS(1397,'e1'!A1397),""),IF('r1'!A1397&gt;0,HYPERLINK("#"&amp;ADDRESS(1397,'r1'!A1397),""),""))</f>
        <v/>
      </c>
      <c r="C1397" s="13"/>
      <c r="D1397" s="14"/>
      <c r="E1397" s="15"/>
      <c r="F1397" s="16"/>
      <c r="G1397" s="17"/>
      <c r="H1397" s="18"/>
      <c r="I1397" s="19"/>
      <c r="J1397" s="20"/>
      <c r="K1397" s="21"/>
      <c r="L1397" s="22"/>
      <c r="M1397" s="23"/>
      <c r="N1397" s="24"/>
      <c r="O1397" s="25"/>
      <c r="P1397" s="26"/>
      <c r="Q1397" s="27"/>
      <c r="R1397" s="28"/>
      <c r="S1397" s="29"/>
      <c r="T1397" s="30"/>
    </row>
    <row r="1398" spans="1:20" ht="24" customHeight="1" x14ac:dyDescent="0.25">
      <c r="A1398" t="str">
        <f>IF('e1'!A1398&gt;0,HYPERLINK("#"&amp;ADDRESS(1398,'e1'!A1398),""),IF('r1'!A1398&gt;0,HYPERLINK("#"&amp;ADDRESS(1398,'r1'!A1398),""),""))</f>
        <v/>
      </c>
      <c r="C1398" s="13"/>
      <c r="D1398" s="14"/>
      <c r="E1398" s="15"/>
      <c r="F1398" s="16"/>
      <c r="G1398" s="17"/>
      <c r="H1398" s="18"/>
      <c r="I1398" s="19"/>
      <c r="J1398" s="20"/>
      <c r="K1398" s="21"/>
      <c r="L1398" s="22"/>
      <c r="M1398" s="23"/>
      <c r="N1398" s="24"/>
      <c r="O1398" s="25"/>
      <c r="P1398" s="26"/>
      <c r="Q1398" s="27"/>
      <c r="R1398" s="28"/>
      <c r="S1398" s="29"/>
      <c r="T1398" s="30"/>
    </row>
    <row r="1399" spans="1:20" ht="24" customHeight="1" x14ac:dyDescent="0.25">
      <c r="A1399" t="str">
        <f>IF('e1'!A1399&gt;0,HYPERLINK("#"&amp;ADDRESS(1399,'e1'!A1399),""),IF('r1'!A1399&gt;0,HYPERLINK("#"&amp;ADDRESS(1399,'r1'!A1399),""),""))</f>
        <v/>
      </c>
      <c r="C1399" s="13"/>
      <c r="D1399" s="14"/>
      <c r="E1399" s="15"/>
      <c r="F1399" s="16"/>
      <c r="G1399" s="17"/>
      <c r="H1399" s="18"/>
      <c r="I1399" s="19"/>
      <c r="J1399" s="20"/>
      <c r="K1399" s="21"/>
      <c r="L1399" s="22"/>
      <c r="M1399" s="23"/>
      <c r="N1399" s="24"/>
      <c r="O1399" s="25"/>
      <c r="P1399" s="26"/>
      <c r="Q1399" s="27"/>
      <c r="R1399" s="28"/>
      <c r="S1399" s="29"/>
      <c r="T1399" s="30"/>
    </row>
    <row r="1400" spans="1:20" ht="24" customHeight="1" x14ac:dyDescent="0.25">
      <c r="A1400" t="str">
        <f>IF('e1'!A1400&gt;0,HYPERLINK("#"&amp;ADDRESS(1400,'e1'!A1400),""),IF('r1'!A1400&gt;0,HYPERLINK("#"&amp;ADDRESS(1400,'r1'!A1400),""),""))</f>
        <v/>
      </c>
      <c r="C1400" s="13"/>
      <c r="D1400" s="14"/>
      <c r="E1400" s="15"/>
      <c r="F1400" s="16"/>
      <c r="G1400" s="17"/>
      <c r="H1400" s="18"/>
      <c r="I1400" s="19"/>
      <c r="J1400" s="20"/>
      <c r="K1400" s="21"/>
      <c r="L1400" s="22"/>
      <c r="M1400" s="23"/>
      <c r="N1400" s="24"/>
      <c r="O1400" s="25"/>
      <c r="P1400" s="26"/>
      <c r="Q1400" s="27"/>
      <c r="R1400" s="28"/>
      <c r="S1400" s="29"/>
      <c r="T1400" s="30"/>
    </row>
    <row r="1401" spans="1:20" ht="24" customHeight="1" x14ac:dyDescent="0.25">
      <c r="A1401" t="str">
        <f>IF('e1'!A1401&gt;0,HYPERLINK("#"&amp;ADDRESS(1401,'e1'!A1401),""),IF('r1'!A1401&gt;0,HYPERLINK("#"&amp;ADDRESS(1401,'r1'!A1401),""),""))</f>
        <v/>
      </c>
      <c r="C1401" s="13"/>
      <c r="D1401" s="14"/>
      <c r="E1401" s="15"/>
      <c r="F1401" s="16"/>
      <c r="G1401" s="17"/>
      <c r="H1401" s="18"/>
      <c r="I1401" s="19"/>
      <c r="J1401" s="20"/>
      <c r="K1401" s="21"/>
      <c r="L1401" s="22"/>
      <c r="M1401" s="23"/>
      <c r="N1401" s="24"/>
      <c r="O1401" s="25"/>
      <c r="P1401" s="26"/>
      <c r="Q1401" s="27"/>
      <c r="R1401" s="28"/>
      <c r="S1401" s="29"/>
      <c r="T1401" s="30"/>
    </row>
    <row r="1402" spans="1:20" ht="24" customHeight="1" x14ac:dyDescent="0.25">
      <c r="A1402" t="str">
        <f>IF('e1'!A1402&gt;0,HYPERLINK("#"&amp;ADDRESS(1402,'e1'!A1402),""),IF('r1'!A1402&gt;0,HYPERLINK("#"&amp;ADDRESS(1402,'r1'!A1402),""),""))</f>
        <v/>
      </c>
      <c r="C1402" s="13"/>
      <c r="D1402" s="14"/>
      <c r="E1402" s="15"/>
      <c r="F1402" s="16"/>
      <c r="G1402" s="17"/>
      <c r="H1402" s="18"/>
      <c r="I1402" s="19"/>
      <c r="J1402" s="20"/>
      <c r="K1402" s="21"/>
      <c r="L1402" s="22"/>
      <c r="M1402" s="23"/>
      <c r="N1402" s="24"/>
      <c r="O1402" s="25"/>
      <c r="P1402" s="26"/>
      <c r="Q1402" s="27"/>
      <c r="R1402" s="28"/>
      <c r="S1402" s="29"/>
      <c r="T1402" s="30"/>
    </row>
    <row r="1403" spans="1:20" ht="24" customHeight="1" x14ac:dyDescent="0.25">
      <c r="A1403" t="str">
        <f>IF('e1'!A1403&gt;0,HYPERLINK("#"&amp;ADDRESS(1403,'e1'!A1403),""),IF('r1'!A1403&gt;0,HYPERLINK("#"&amp;ADDRESS(1403,'r1'!A1403),""),""))</f>
        <v/>
      </c>
      <c r="C1403" s="13"/>
      <c r="D1403" s="14"/>
      <c r="E1403" s="15"/>
      <c r="F1403" s="16"/>
      <c r="G1403" s="17"/>
      <c r="H1403" s="18"/>
      <c r="I1403" s="19"/>
      <c r="J1403" s="20"/>
      <c r="K1403" s="21"/>
      <c r="L1403" s="22"/>
      <c r="M1403" s="23"/>
      <c r="N1403" s="24"/>
      <c r="O1403" s="25"/>
      <c r="P1403" s="26"/>
      <c r="Q1403" s="27"/>
      <c r="R1403" s="28"/>
      <c r="S1403" s="29"/>
      <c r="T1403" s="30"/>
    </row>
    <row r="1404" spans="1:20" ht="24" customHeight="1" x14ac:dyDescent="0.25">
      <c r="A1404" t="str">
        <f>IF('e1'!A1404&gt;0,HYPERLINK("#"&amp;ADDRESS(1404,'e1'!A1404),""),IF('r1'!A1404&gt;0,HYPERLINK("#"&amp;ADDRESS(1404,'r1'!A1404),""),""))</f>
        <v/>
      </c>
      <c r="C1404" s="13"/>
      <c r="D1404" s="14"/>
      <c r="E1404" s="15"/>
      <c r="F1404" s="16"/>
      <c r="G1404" s="17"/>
      <c r="H1404" s="18"/>
      <c r="I1404" s="19"/>
      <c r="J1404" s="20"/>
      <c r="K1404" s="21"/>
      <c r="L1404" s="22"/>
      <c r="M1404" s="23"/>
      <c r="N1404" s="24"/>
      <c r="O1404" s="25"/>
      <c r="P1404" s="26"/>
      <c r="Q1404" s="27"/>
      <c r="R1404" s="28"/>
      <c r="S1404" s="29"/>
      <c r="T1404" s="30"/>
    </row>
    <row r="1405" spans="1:20" ht="24" customHeight="1" x14ac:dyDescent="0.25">
      <c r="A1405" t="str">
        <f>IF('e1'!A1405&gt;0,HYPERLINK("#"&amp;ADDRESS(1405,'e1'!A1405),""),IF('r1'!A1405&gt;0,HYPERLINK("#"&amp;ADDRESS(1405,'r1'!A1405),""),""))</f>
        <v/>
      </c>
      <c r="C1405" s="13"/>
      <c r="D1405" s="14"/>
      <c r="E1405" s="15"/>
      <c r="F1405" s="16"/>
      <c r="G1405" s="17"/>
      <c r="H1405" s="18"/>
      <c r="I1405" s="19"/>
      <c r="J1405" s="20"/>
      <c r="K1405" s="21"/>
      <c r="L1405" s="22"/>
      <c r="M1405" s="23"/>
      <c r="N1405" s="24"/>
      <c r="O1405" s="25"/>
      <c r="P1405" s="26"/>
      <c r="Q1405" s="27"/>
      <c r="R1405" s="28"/>
      <c r="S1405" s="29"/>
      <c r="T1405" s="30"/>
    </row>
    <row r="1406" spans="1:20" ht="24" customHeight="1" x14ac:dyDescent="0.25">
      <c r="A1406" t="str">
        <f>IF('e1'!A1406&gt;0,HYPERLINK("#"&amp;ADDRESS(1406,'e1'!A1406),""),IF('r1'!A1406&gt;0,HYPERLINK("#"&amp;ADDRESS(1406,'r1'!A1406),""),""))</f>
        <v/>
      </c>
      <c r="C1406" s="13"/>
      <c r="D1406" s="14"/>
      <c r="E1406" s="15"/>
      <c r="F1406" s="16"/>
      <c r="G1406" s="17"/>
      <c r="H1406" s="18"/>
      <c r="I1406" s="19"/>
      <c r="J1406" s="20"/>
      <c r="K1406" s="21"/>
      <c r="L1406" s="22"/>
      <c r="M1406" s="23"/>
      <c r="N1406" s="24"/>
      <c r="O1406" s="25"/>
      <c r="P1406" s="26"/>
      <c r="Q1406" s="27"/>
      <c r="R1406" s="28"/>
      <c r="S1406" s="29"/>
      <c r="T1406" s="30"/>
    </row>
    <row r="1407" spans="1:20" ht="24" customHeight="1" x14ac:dyDescent="0.25">
      <c r="A1407" t="str">
        <f>IF('e1'!A1407&gt;0,HYPERLINK("#"&amp;ADDRESS(1407,'e1'!A1407),""),IF('r1'!A1407&gt;0,HYPERLINK("#"&amp;ADDRESS(1407,'r1'!A1407),""),""))</f>
        <v/>
      </c>
      <c r="C1407" s="13"/>
      <c r="D1407" s="14"/>
      <c r="E1407" s="15"/>
      <c r="F1407" s="16"/>
      <c r="G1407" s="17"/>
      <c r="H1407" s="18"/>
      <c r="I1407" s="19"/>
      <c r="J1407" s="20"/>
      <c r="K1407" s="21"/>
      <c r="L1407" s="22"/>
      <c r="M1407" s="23"/>
      <c r="N1407" s="24"/>
      <c r="O1407" s="25"/>
      <c r="P1407" s="26"/>
      <c r="Q1407" s="27"/>
      <c r="R1407" s="28"/>
      <c r="S1407" s="29"/>
      <c r="T1407" s="30"/>
    </row>
    <row r="1408" spans="1:20" ht="24" customHeight="1" x14ac:dyDescent="0.25">
      <c r="A1408" t="str">
        <f>IF('e1'!A1408&gt;0,HYPERLINK("#"&amp;ADDRESS(1408,'e1'!A1408),""),IF('r1'!A1408&gt;0,HYPERLINK("#"&amp;ADDRESS(1408,'r1'!A1408),""),""))</f>
        <v/>
      </c>
      <c r="C1408" s="13"/>
      <c r="D1408" s="14"/>
      <c r="E1408" s="15"/>
      <c r="F1408" s="16"/>
      <c r="G1408" s="17"/>
      <c r="H1408" s="18"/>
      <c r="I1408" s="19"/>
      <c r="J1408" s="20"/>
      <c r="K1408" s="21"/>
      <c r="L1408" s="22"/>
      <c r="M1408" s="23"/>
      <c r="N1408" s="24"/>
      <c r="O1408" s="25"/>
      <c r="P1408" s="26"/>
      <c r="Q1408" s="27"/>
      <c r="R1408" s="28"/>
      <c r="S1408" s="29"/>
      <c r="T1408" s="30"/>
    </row>
    <row r="1409" spans="1:20" ht="24" customHeight="1" x14ac:dyDescent="0.25">
      <c r="A1409" t="str">
        <f>IF('e1'!A1409&gt;0,HYPERLINK("#"&amp;ADDRESS(1409,'e1'!A1409),""),IF('r1'!A1409&gt;0,HYPERLINK("#"&amp;ADDRESS(1409,'r1'!A1409),""),""))</f>
        <v/>
      </c>
      <c r="C1409" s="13"/>
      <c r="D1409" s="14"/>
      <c r="E1409" s="15"/>
      <c r="F1409" s="16"/>
      <c r="G1409" s="17"/>
      <c r="H1409" s="18"/>
      <c r="I1409" s="19"/>
      <c r="J1409" s="20"/>
      <c r="K1409" s="21"/>
      <c r="L1409" s="22"/>
      <c r="M1409" s="23"/>
      <c r="N1409" s="24"/>
      <c r="O1409" s="25"/>
      <c r="P1409" s="26"/>
      <c r="Q1409" s="27"/>
      <c r="R1409" s="28"/>
      <c r="S1409" s="29"/>
      <c r="T1409" s="30"/>
    </row>
    <row r="1410" spans="1:20" ht="24" customHeight="1" x14ac:dyDescent="0.25">
      <c r="A1410" t="str">
        <f>IF('e1'!A1410&gt;0,HYPERLINK("#"&amp;ADDRESS(1410,'e1'!A1410),""),IF('r1'!A1410&gt;0,HYPERLINK("#"&amp;ADDRESS(1410,'r1'!A1410),""),""))</f>
        <v/>
      </c>
      <c r="C1410" s="13"/>
      <c r="D1410" s="14"/>
      <c r="E1410" s="15"/>
      <c r="F1410" s="16"/>
      <c r="G1410" s="17"/>
      <c r="H1410" s="18"/>
      <c r="I1410" s="19"/>
      <c r="J1410" s="20"/>
      <c r="K1410" s="21"/>
      <c r="L1410" s="22"/>
      <c r="M1410" s="23"/>
      <c r="N1410" s="24"/>
      <c r="O1410" s="25"/>
      <c r="P1410" s="26"/>
      <c r="Q1410" s="27"/>
      <c r="R1410" s="28"/>
      <c r="S1410" s="29"/>
      <c r="T1410" s="30"/>
    </row>
    <row r="1411" spans="1:20" ht="24" customHeight="1" x14ac:dyDescent="0.25">
      <c r="A1411" t="str">
        <f>IF('e1'!A1411&gt;0,HYPERLINK("#"&amp;ADDRESS(1411,'e1'!A1411),""),IF('r1'!A1411&gt;0,HYPERLINK("#"&amp;ADDRESS(1411,'r1'!A1411),""),""))</f>
        <v/>
      </c>
      <c r="C1411" s="13"/>
      <c r="D1411" s="14"/>
      <c r="E1411" s="15"/>
      <c r="F1411" s="16"/>
      <c r="G1411" s="17"/>
      <c r="H1411" s="18"/>
      <c r="I1411" s="19"/>
      <c r="J1411" s="20"/>
      <c r="K1411" s="21"/>
      <c r="L1411" s="22"/>
      <c r="M1411" s="23"/>
      <c r="N1411" s="24"/>
      <c r="O1411" s="25"/>
      <c r="P1411" s="26"/>
      <c r="Q1411" s="27"/>
      <c r="R1411" s="28"/>
      <c r="S1411" s="29"/>
      <c r="T1411" s="30"/>
    </row>
    <row r="1412" spans="1:20" ht="24" customHeight="1" x14ac:dyDescent="0.25">
      <c r="A1412" t="str">
        <f>IF('e1'!A1412&gt;0,HYPERLINK("#"&amp;ADDRESS(1412,'e1'!A1412),""),IF('r1'!A1412&gt;0,HYPERLINK("#"&amp;ADDRESS(1412,'r1'!A1412),""),""))</f>
        <v/>
      </c>
      <c r="C1412" s="13"/>
      <c r="D1412" s="14"/>
      <c r="E1412" s="15"/>
      <c r="F1412" s="16"/>
      <c r="G1412" s="17"/>
      <c r="H1412" s="18"/>
      <c r="I1412" s="19"/>
      <c r="J1412" s="20"/>
      <c r="K1412" s="21"/>
      <c r="L1412" s="22"/>
      <c r="M1412" s="23"/>
      <c r="N1412" s="24"/>
      <c r="O1412" s="25"/>
      <c r="P1412" s="26"/>
      <c r="Q1412" s="27"/>
      <c r="R1412" s="28"/>
      <c r="S1412" s="29"/>
      <c r="T1412" s="30"/>
    </row>
    <row r="1413" spans="1:20" ht="24" customHeight="1" x14ac:dyDescent="0.25">
      <c r="A1413" t="str">
        <f>IF('e1'!A1413&gt;0,HYPERLINK("#"&amp;ADDRESS(1413,'e1'!A1413),""),IF('r1'!A1413&gt;0,HYPERLINK("#"&amp;ADDRESS(1413,'r1'!A1413),""),""))</f>
        <v/>
      </c>
      <c r="C1413" s="13"/>
      <c r="D1413" s="14"/>
      <c r="E1413" s="15"/>
      <c r="F1413" s="16"/>
      <c r="G1413" s="17"/>
      <c r="H1413" s="18"/>
      <c r="I1413" s="19"/>
      <c r="J1413" s="20"/>
      <c r="K1413" s="21"/>
      <c r="L1413" s="22"/>
      <c r="M1413" s="23"/>
      <c r="N1413" s="24"/>
      <c r="O1413" s="25"/>
      <c r="P1413" s="26"/>
      <c r="Q1413" s="27"/>
      <c r="R1413" s="28"/>
      <c r="S1413" s="29"/>
      <c r="T1413" s="30"/>
    </row>
    <row r="1414" spans="1:20" ht="24" customHeight="1" x14ac:dyDescent="0.25">
      <c r="A1414" t="str">
        <f>IF('e1'!A1414&gt;0,HYPERLINK("#"&amp;ADDRESS(1414,'e1'!A1414),""),IF('r1'!A1414&gt;0,HYPERLINK("#"&amp;ADDRESS(1414,'r1'!A1414),""),""))</f>
        <v/>
      </c>
      <c r="C1414" s="13"/>
      <c r="D1414" s="14"/>
      <c r="E1414" s="15"/>
      <c r="F1414" s="16"/>
      <c r="G1414" s="17"/>
      <c r="H1414" s="18"/>
      <c r="I1414" s="19"/>
      <c r="J1414" s="20"/>
      <c r="K1414" s="21"/>
      <c r="L1414" s="22"/>
      <c r="M1414" s="23"/>
      <c r="N1414" s="24"/>
      <c r="O1414" s="25"/>
      <c r="P1414" s="26"/>
      <c r="Q1414" s="27"/>
      <c r="R1414" s="28"/>
      <c r="S1414" s="29"/>
      <c r="T1414" s="30"/>
    </row>
    <row r="1415" spans="1:20" ht="24" customHeight="1" x14ac:dyDescent="0.25">
      <c r="A1415" t="str">
        <f>IF('e1'!A1415&gt;0,HYPERLINK("#"&amp;ADDRESS(1415,'e1'!A1415),""),IF('r1'!A1415&gt;0,HYPERLINK("#"&amp;ADDRESS(1415,'r1'!A1415),""),""))</f>
        <v/>
      </c>
      <c r="C1415" s="13"/>
      <c r="D1415" s="14"/>
      <c r="E1415" s="15"/>
      <c r="F1415" s="16"/>
      <c r="G1415" s="17"/>
      <c r="H1415" s="18"/>
      <c r="I1415" s="19"/>
      <c r="J1415" s="20"/>
      <c r="K1415" s="21"/>
      <c r="L1415" s="22"/>
      <c r="M1415" s="23"/>
      <c r="N1415" s="24"/>
      <c r="O1415" s="25"/>
      <c r="P1415" s="26"/>
      <c r="Q1415" s="27"/>
      <c r="R1415" s="28"/>
      <c r="S1415" s="29"/>
      <c r="T1415" s="30"/>
    </row>
    <row r="1416" spans="1:20" ht="24" customHeight="1" x14ac:dyDescent="0.25">
      <c r="A1416" t="str">
        <f>IF('e1'!A1416&gt;0,HYPERLINK("#"&amp;ADDRESS(1416,'e1'!A1416),""),IF('r1'!A1416&gt;0,HYPERLINK("#"&amp;ADDRESS(1416,'r1'!A1416),""),""))</f>
        <v/>
      </c>
      <c r="C1416" s="13"/>
      <c r="D1416" s="14"/>
      <c r="E1416" s="15"/>
      <c r="F1416" s="16"/>
      <c r="G1416" s="17"/>
      <c r="H1416" s="18"/>
      <c r="I1416" s="19"/>
      <c r="J1416" s="20"/>
      <c r="K1416" s="21"/>
      <c r="L1416" s="22"/>
      <c r="M1416" s="23"/>
      <c r="N1416" s="24"/>
      <c r="O1416" s="25"/>
      <c r="P1416" s="26"/>
      <c r="Q1416" s="27"/>
      <c r="R1416" s="28"/>
      <c r="S1416" s="29"/>
      <c r="T1416" s="30"/>
    </row>
    <row r="1417" spans="1:20" ht="24" customHeight="1" x14ac:dyDescent="0.25">
      <c r="A1417" t="str">
        <f>IF('e1'!A1417&gt;0,HYPERLINK("#"&amp;ADDRESS(1417,'e1'!A1417),""),IF('r1'!A1417&gt;0,HYPERLINK("#"&amp;ADDRESS(1417,'r1'!A1417),""),""))</f>
        <v/>
      </c>
      <c r="C1417" s="13"/>
      <c r="D1417" s="14"/>
      <c r="E1417" s="15"/>
      <c r="F1417" s="16"/>
      <c r="G1417" s="17"/>
      <c r="H1417" s="18"/>
      <c r="I1417" s="19"/>
      <c r="J1417" s="20"/>
      <c r="K1417" s="21"/>
      <c r="L1417" s="22"/>
      <c r="M1417" s="23"/>
      <c r="N1417" s="24"/>
      <c r="O1417" s="25"/>
      <c r="P1417" s="26"/>
      <c r="Q1417" s="27"/>
      <c r="R1417" s="28"/>
      <c r="S1417" s="29"/>
      <c r="T1417" s="30"/>
    </row>
    <row r="1418" spans="1:20" ht="24" customHeight="1" x14ac:dyDescent="0.25">
      <c r="A1418" t="str">
        <f>IF('e1'!A1418&gt;0,HYPERLINK("#"&amp;ADDRESS(1418,'e1'!A1418),""),IF('r1'!A1418&gt;0,HYPERLINK("#"&amp;ADDRESS(1418,'r1'!A1418),""),""))</f>
        <v/>
      </c>
      <c r="C1418" s="13"/>
      <c r="D1418" s="14"/>
      <c r="E1418" s="15"/>
      <c r="F1418" s="16"/>
      <c r="G1418" s="17"/>
      <c r="H1418" s="18"/>
      <c r="I1418" s="19"/>
      <c r="J1418" s="20"/>
      <c r="K1418" s="21"/>
      <c r="L1418" s="22"/>
      <c r="M1418" s="23"/>
      <c r="N1418" s="24"/>
      <c r="O1418" s="25"/>
      <c r="P1418" s="26"/>
      <c r="Q1418" s="27"/>
      <c r="R1418" s="28"/>
      <c r="S1418" s="29"/>
      <c r="T1418" s="30"/>
    </row>
    <row r="1419" spans="1:20" ht="24" customHeight="1" x14ac:dyDescent="0.25">
      <c r="A1419" t="str">
        <f>IF('e1'!A1419&gt;0,HYPERLINK("#"&amp;ADDRESS(1419,'e1'!A1419),""),IF('r1'!A1419&gt;0,HYPERLINK("#"&amp;ADDRESS(1419,'r1'!A1419),""),""))</f>
        <v/>
      </c>
      <c r="C1419" s="13"/>
      <c r="D1419" s="14"/>
      <c r="E1419" s="15"/>
      <c r="F1419" s="16"/>
      <c r="G1419" s="17"/>
      <c r="H1419" s="18"/>
      <c r="I1419" s="19"/>
      <c r="J1419" s="20"/>
      <c r="K1419" s="21"/>
      <c r="L1419" s="22"/>
      <c r="M1419" s="23"/>
      <c r="N1419" s="24"/>
      <c r="O1419" s="25"/>
      <c r="P1419" s="26"/>
      <c r="Q1419" s="27"/>
      <c r="R1419" s="28"/>
      <c r="S1419" s="29"/>
      <c r="T1419" s="30"/>
    </row>
    <row r="1420" spans="1:20" ht="24" customHeight="1" x14ac:dyDescent="0.25">
      <c r="A1420" t="str">
        <f>IF('e1'!A1420&gt;0,HYPERLINK("#"&amp;ADDRESS(1420,'e1'!A1420),""),IF('r1'!A1420&gt;0,HYPERLINK("#"&amp;ADDRESS(1420,'r1'!A1420),""),""))</f>
        <v/>
      </c>
      <c r="C1420" s="13"/>
      <c r="D1420" s="14"/>
      <c r="E1420" s="15"/>
      <c r="F1420" s="16"/>
      <c r="G1420" s="17"/>
      <c r="H1420" s="18"/>
      <c r="I1420" s="19"/>
      <c r="J1420" s="20"/>
      <c r="K1420" s="21"/>
      <c r="L1420" s="22"/>
      <c r="M1420" s="23"/>
      <c r="N1420" s="24"/>
      <c r="O1420" s="25"/>
      <c r="P1420" s="26"/>
      <c r="Q1420" s="27"/>
      <c r="R1420" s="28"/>
      <c r="S1420" s="29"/>
      <c r="T1420" s="30"/>
    </row>
    <row r="1421" spans="1:20" ht="24" customHeight="1" x14ac:dyDescent="0.25">
      <c r="A1421" t="str">
        <f>IF('e1'!A1421&gt;0,HYPERLINK("#"&amp;ADDRESS(1421,'e1'!A1421),""),IF('r1'!A1421&gt;0,HYPERLINK("#"&amp;ADDRESS(1421,'r1'!A1421),""),""))</f>
        <v/>
      </c>
      <c r="C1421" s="13"/>
      <c r="D1421" s="14"/>
      <c r="E1421" s="15"/>
      <c r="F1421" s="16"/>
      <c r="G1421" s="17"/>
      <c r="H1421" s="18"/>
      <c r="I1421" s="19"/>
      <c r="J1421" s="20"/>
      <c r="K1421" s="21"/>
      <c r="L1421" s="22"/>
      <c r="M1421" s="23"/>
      <c r="N1421" s="24"/>
      <c r="O1421" s="25"/>
      <c r="P1421" s="26"/>
      <c r="Q1421" s="27"/>
      <c r="R1421" s="28"/>
      <c r="S1421" s="29"/>
      <c r="T1421" s="30"/>
    </row>
    <row r="1422" spans="1:20" ht="24" customHeight="1" x14ac:dyDescent="0.25">
      <c r="A1422" t="str">
        <f>IF('e1'!A1422&gt;0,HYPERLINK("#"&amp;ADDRESS(1422,'e1'!A1422),""),IF('r1'!A1422&gt;0,HYPERLINK("#"&amp;ADDRESS(1422,'r1'!A1422),""),""))</f>
        <v/>
      </c>
      <c r="C1422" s="13"/>
      <c r="D1422" s="14"/>
      <c r="E1422" s="15"/>
      <c r="F1422" s="16"/>
      <c r="G1422" s="17"/>
      <c r="H1422" s="18"/>
      <c r="I1422" s="19"/>
      <c r="J1422" s="20"/>
      <c r="K1422" s="21"/>
      <c r="L1422" s="22"/>
      <c r="M1422" s="23"/>
      <c r="N1422" s="24"/>
      <c r="O1422" s="25"/>
      <c r="P1422" s="26"/>
      <c r="Q1422" s="27"/>
      <c r="R1422" s="28"/>
      <c r="S1422" s="29"/>
      <c r="T1422" s="30"/>
    </row>
    <row r="1423" spans="1:20" ht="24" customHeight="1" x14ac:dyDescent="0.25">
      <c r="A1423" t="str">
        <f>IF('e1'!A1423&gt;0,HYPERLINK("#"&amp;ADDRESS(1423,'e1'!A1423),""),IF('r1'!A1423&gt;0,HYPERLINK("#"&amp;ADDRESS(1423,'r1'!A1423),""),""))</f>
        <v/>
      </c>
      <c r="C1423" s="13"/>
      <c r="D1423" s="14"/>
      <c r="E1423" s="15"/>
      <c r="F1423" s="16"/>
      <c r="G1423" s="17"/>
      <c r="H1423" s="18"/>
      <c r="I1423" s="19"/>
      <c r="J1423" s="20"/>
      <c r="K1423" s="21"/>
      <c r="L1423" s="22"/>
      <c r="M1423" s="23"/>
      <c r="N1423" s="24"/>
      <c r="O1423" s="25"/>
      <c r="P1423" s="26"/>
      <c r="Q1423" s="27"/>
      <c r="R1423" s="28"/>
      <c r="S1423" s="29"/>
      <c r="T1423" s="30"/>
    </row>
    <row r="1424" spans="1:20" ht="24" customHeight="1" x14ac:dyDescent="0.25">
      <c r="A1424" t="str">
        <f>IF('e1'!A1424&gt;0,HYPERLINK("#"&amp;ADDRESS(1424,'e1'!A1424),""),IF('r1'!A1424&gt;0,HYPERLINK("#"&amp;ADDRESS(1424,'r1'!A1424),""),""))</f>
        <v/>
      </c>
      <c r="C1424" s="13"/>
      <c r="D1424" s="14"/>
      <c r="E1424" s="15"/>
      <c r="F1424" s="16"/>
      <c r="G1424" s="17"/>
      <c r="H1424" s="18"/>
      <c r="I1424" s="19"/>
      <c r="J1424" s="20"/>
      <c r="K1424" s="21"/>
      <c r="L1424" s="22"/>
      <c r="M1424" s="23"/>
      <c r="N1424" s="24"/>
      <c r="O1424" s="25"/>
      <c r="P1424" s="26"/>
      <c r="Q1424" s="27"/>
      <c r="R1424" s="28"/>
      <c r="S1424" s="29"/>
      <c r="T1424" s="30"/>
    </row>
    <row r="1425" spans="1:20" ht="24" customHeight="1" x14ac:dyDescent="0.25">
      <c r="A1425" t="str">
        <f>IF('e1'!A1425&gt;0,HYPERLINK("#"&amp;ADDRESS(1425,'e1'!A1425),""),IF('r1'!A1425&gt;0,HYPERLINK("#"&amp;ADDRESS(1425,'r1'!A1425),""),""))</f>
        <v/>
      </c>
      <c r="C1425" s="13"/>
      <c r="D1425" s="14"/>
      <c r="E1425" s="15"/>
      <c r="F1425" s="16"/>
      <c r="G1425" s="17"/>
      <c r="H1425" s="18"/>
      <c r="I1425" s="19"/>
      <c r="J1425" s="20"/>
      <c r="K1425" s="21"/>
      <c r="L1425" s="22"/>
      <c r="M1425" s="23"/>
      <c r="N1425" s="24"/>
      <c r="O1425" s="25"/>
      <c r="P1425" s="26"/>
      <c r="Q1425" s="27"/>
      <c r="R1425" s="28"/>
      <c r="S1425" s="29"/>
      <c r="T1425" s="30"/>
    </row>
    <row r="1426" spans="1:20" ht="24" customHeight="1" x14ac:dyDescent="0.25">
      <c r="A1426" t="str">
        <f>IF('e1'!A1426&gt;0,HYPERLINK("#"&amp;ADDRESS(1426,'e1'!A1426),""),IF('r1'!A1426&gt;0,HYPERLINK("#"&amp;ADDRESS(1426,'r1'!A1426),""),""))</f>
        <v/>
      </c>
      <c r="C1426" s="13"/>
      <c r="D1426" s="14"/>
      <c r="E1426" s="15"/>
      <c r="F1426" s="16"/>
      <c r="G1426" s="17"/>
      <c r="H1426" s="18"/>
      <c r="I1426" s="19"/>
      <c r="J1426" s="20"/>
      <c r="K1426" s="21"/>
      <c r="L1426" s="22"/>
      <c r="M1426" s="23"/>
      <c r="N1426" s="24"/>
      <c r="O1426" s="25"/>
      <c r="P1426" s="26"/>
      <c r="Q1426" s="27"/>
      <c r="R1426" s="28"/>
      <c r="S1426" s="29"/>
      <c r="T1426" s="30"/>
    </row>
    <row r="1427" spans="1:20" ht="24" customHeight="1" x14ac:dyDescent="0.25">
      <c r="A1427" t="str">
        <f>IF('e1'!A1427&gt;0,HYPERLINK("#"&amp;ADDRESS(1427,'e1'!A1427),""),IF('r1'!A1427&gt;0,HYPERLINK("#"&amp;ADDRESS(1427,'r1'!A1427),""),""))</f>
        <v/>
      </c>
      <c r="C1427" s="13"/>
      <c r="D1427" s="14"/>
      <c r="E1427" s="15"/>
      <c r="F1427" s="16"/>
      <c r="G1427" s="17"/>
      <c r="H1427" s="18"/>
      <c r="I1427" s="19"/>
      <c r="J1427" s="20"/>
      <c r="K1427" s="21"/>
      <c r="L1427" s="22"/>
      <c r="M1427" s="23"/>
      <c r="N1427" s="24"/>
      <c r="O1427" s="25"/>
      <c r="P1427" s="26"/>
      <c r="Q1427" s="27"/>
      <c r="R1427" s="28"/>
      <c r="S1427" s="29"/>
      <c r="T1427" s="30"/>
    </row>
    <row r="1428" spans="1:20" ht="24" customHeight="1" x14ac:dyDescent="0.25">
      <c r="A1428" t="str">
        <f>IF('e1'!A1428&gt;0,HYPERLINK("#"&amp;ADDRESS(1428,'e1'!A1428),""),IF('r1'!A1428&gt;0,HYPERLINK("#"&amp;ADDRESS(1428,'r1'!A1428),""),""))</f>
        <v/>
      </c>
      <c r="C1428" s="13"/>
      <c r="D1428" s="14"/>
      <c r="E1428" s="15"/>
      <c r="F1428" s="16"/>
      <c r="G1428" s="17"/>
      <c r="H1428" s="18"/>
      <c r="I1428" s="19"/>
      <c r="J1428" s="20"/>
      <c r="K1428" s="21"/>
      <c r="L1428" s="22"/>
      <c r="M1428" s="23"/>
      <c r="N1428" s="24"/>
      <c r="O1428" s="25"/>
      <c r="P1428" s="26"/>
      <c r="Q1428" s="27"/>
      <c r="R1428" s="28"/>
      <c r="S1428" s="29"/>
      <c r="T1428" s="30"/>
    </row>
    <row r="1429" spans="1:20" ht="24" customHeight="1" x14ac:dyDescent="0.25">
      <c r="A1429" t="str">
        <f>IF('e1'!A1429&gt;0,HYPERLINK("#"&amp;ADDRESS(1429,'e1'!A1429),""),IF('r1'!A1429&gt;0,HYPERLINK("#"&amp;ADDRESS(1429,'r1'!A1429),""),""))</f>
        <v/>
      </c>
      <c r="C1429" s="13"/>
      <c r="D1429" s="14"/>
      <c r="E1429" s="15"/>
      <c r="F1429" s="16"/>
      <c r="G1429" s="17"/>
      <c r="H1429" s="18"/>
      <c r="I1429" s="19"/>
      <c r="J1429" s="20"/>
      <c r="K1429" s="21"/>
      <c r="L1429" s="22"/>
      <c r="M1429" s="23"/>
      <c r="N1429" s="24"/>
      <c r="O1429" s="25"/>
      <c r="P1429" s="26"/>
      <c r="Q1429" s="27"/>
      <c r="R1429" s="28"/>
      <c r="S1429" s="29"/>
      <c r="T1429" s="30"/>
    </row>
    <row r="1430" spans="1:20" ht="24" customHeight="1" x14ac:dyDescent="0.25">
      <c r="A1430" t="str">
        <f>IF('e1'!A1430&gt;0,HYPERLINK("#"&amp;ADDRESS(1430,'e1'!A1430),""),IF('r1'!A1430&gt;0,HYPERLINK("#"&amp;ADDRESS(1430,'r1'!A1430),""),""))</f>
        <v/>
      </c>
      <c r="C1430" s="13"/>
      <c r="D1430" s="14"/>
      <c r="E1430" s="15"/>
      <c r="F1430" s="16"/>
      <c r="G1430" s="17"/>
      <c r="H1430" s="18"/>
      <c r="I1430" s="19"/>
      <c r="J1430" s="20"/>
      <c r="K1430" s="21"/>
      <c r="L1430" s="22"/>
      <c r="M1430" s="23"/>
      <c r="N1430" s="24"/>
      <c r="O1430" s="25"/>
      <c r="P1430" s="26"/>
      <c r="Q1430" s="27"/>
      <c r="R1430" s="28"/>
      <c r="S1430" s="29"/>
      <c r="T1430" s="30"/>
    </row>
    <row r="1431" spans="1:20" ht="24" customHeight="1" x14ac:dyDescent="0.25">
      <c r="A1431" t="str">
        <f>IF('e1'!A1431&gt;0,HYPERLINK("#"&amp;ADDRESS(1431,'e1'!A1431),""),IF('r1'!A1431&gt;0,HYPERLINK("#"&amp;ADDRESS(1431,'r1'!A1431),""),""))</f>
        <v/>
      </c>
      <c r="C1431" s="13"/>
      <c r="D1431" s="14"/>
      <c r="E1431" s="15"/>
      <c r="F1431" s="16"/>
      <c r="G1431" s="17"/>
      <c r="H1431" s="18"/>
      <c r="I1431" s="19"/>
      <c r="J1431" s="20"/>
      <c r="K1431" s="21"/>
      <c r="L1431" s="22"/>
      <c r="M1431" s="23"/>
      <c r="N1431" s="24"/>
      <c r="O1431" s="25"/>
      <c r="P1431" s="26"/>
      <c r="Q1431" s="27"/>
      <c r="R1431" s="28"/>
      <c r="S1431" s="29"/>
      <c r="T1431" s="30"/>
    </row>
    <row r="1432" spans="1:20" ht="24" customHeight="1" x14ac:dyDescent="0.25">
      <c r="A1432" t="str">
        <f>IF('e1'!A1432&gt;0,HYPERLINK("#"&amp;ADDRESS(1432,'e1'!A1432),""),IF('r1'!A1432&gt;0,HYPERLINK("#"&amp;ADDRESS(1432,'r1'!A1432),""),""))</f>
        <v/>
      </c>
      <c r="C1432" s="13"/>
      <c r="D1432" s="14"/>
      <c r="E1432" s="15"/>
      <c r="F1432" s="16"/>
      <c r="G1432" s="17"/>
      <c r="H1432" s="18"/>
      <c r="I1432" s="19"/>
      <c r="J1432" s="20"/>
      <c r="K1432" s="21"/>
      <c r="L1432" s="22"/>
      <c r="M1432" s="23"/>
      <c r="N1432" s="24"/>
      <c r="O1432" s="25"/>
      <c r="P1432" s="26"/>
      <c r="Q1432" s="27"/>
      <c r="R1432" s="28"/>
      <c r="S1432" s="29"/>
      <c r="T1432" s="30"/>
    </row>
    <row r="1433" spans="1:20" ht="24" customHeight="1" x14ac:dyDescent="0.25">
      <c r="A1433" t="str">
        <f>IF('e1'!A1433&gt;0,HYPERLINK("#"&amp;ADDRESS(1433,'e1'!A1433),""),IF('r1'!A1433&gt;0,HYPERLINK("#"&amp;ADDRESS(1433,'r1'!A1433),""),""))</f>
        <v/>
      </c>
      <c r="C1433" s="13"/>
      <c r="D1433" s="14"/>
      <c r="E1433" s="15"/>
      <c r="F1433" s="16"/>
      <c r="G1433" s="17"/>
      <c r="H1433" s="18"/>
      <c r="I1433" s="19"/>
      <c r="J1433" s="20"/>
      <c r="K1433" s="21"/>
      <c r="L1433" s="22"/>
      <c r="M1433" s="23"/>
      <c r="N1433" s="24"/>
      <c r="O1433" s="25"/>
      <c r="P1433" s="26"/>
      <c r="Q1433" s="27"/>
      <c r="R1433" s="28"/>
      <c r="S1433" s="29"/>
      <c r="T1433" s="30"/>
    </row>
    <row r="1434" spans="1:20" ht="24" customHeight="1" x14ac:dyDescent="0.25">
      <c r="A1434" t="str">
        <f>IF('e1'!A1434&gt;0,HYPERLINK("#"&amp;ADDRESS(1434,'e1'!A1434),""),IF('r1'!A1434&gt;0,HYPERLINK("#"&amp;ADDRESS(1434,'r1'!A1434),""),""))</f>
        <v/>
      </c>
      <c r="C1434" s="13"/>
      <c r="D1434" s="14"/>
      <c r="E1434" s="15"/>
      <c r="F1434" s="16"/>
      <c r="G1434" s="17"/>
      <c r="H1434" s="18"/>
      <c r="I1434" s="19"/>
      <c r="J1434" s="20"/>
      <c r="K1434" s="21"/>
      <c r="L1434" s="22"/>
      <c r="M1434" s="23"/>
      <c r="N1434" s="24"/>
      <c r="O1434" s="25"/>
      <c r="P1434" s="26"/>
      <c r="Q1434" s="27"/>
      <c r="R1434" s="28"/>
      <c r="S1434" s="29"/>
      <c r="T1434" s="30"/>
    </row>
    <row r="1435" spans="1:20" ht="24" customHeight="1" x14ac:dyDescent="0.25">
      <c r="A1435" t="str">
        <f>IF('e1'!A1435&gt;0,HYPERLINK("#"&amp;ADDRESS(1435,'e1'!A1435),""),IF('r1'!A1435&gt;0,HYPERLINK("#"&amp;ADDRESS(1435,'r1'!A1435),""),""))</f>
        <v/>
      </c>
      <c r="C1435" s="13"/>
      <c r="D1435" s="14"/>
      <c r="E1435" s="15"/>
      <c r="F1435" s="16"/>
      <c r="G1435" s="17"/>
      <c r="H1435" s="18"/>
      <c r="I1435" s="19"/>
      <c r="J1435" s="20"/>
      <c r="K1435" s="21"/>
      <c r="L1435" s="22"/>
      <c r="M1435" s="23"/>
      <c r="N1435" s="24"/>
      <c r="O1435" s="25"/>
      <c r="P1435" s="26"/>
      <c r="Q1435" s="27"/>
      <c r="R1435" s="28"/>
      <c r="S1435" s="29"/>
      <c r="T1435" s="30"/>
    </row>
    <row r="1436" spans="1:20" ht="24" customHeight="1" x14ac:dyDescent="0.25">
      <c r="A1436" t="str">
        <f>IF('e1'!A1436&gt;0,HYPERLINK("#"&amp;ADDRESS(1436,'e1'!A1436),""),IF('r1'!A1436&gt;0,HYPERLINK("#"&amp;ADDRESS(1436,'r1'!A1436),""),""))</f>
        <v/>
      </c>
      <c r="C1436" s="13"/>
      <c r="D1436" s="14"/>
      <c r="E1436" s="15"/>
      <c r="F1436" s="16"/>
      <c r="G1436" s="17"/>
      <c r="H1436" s="18"/>
      <c r="I1436" s="19"/>
      <c r="J1436" s="20"/>
      <c r="K1436" s="21"/>
      <c r="L1436" s="22"/>
      <c r="M1436" s="23"/>
      <c r="N1436" s="24"/>
      <c r="O1436" s="25"/>
      <c r="P1436" s="26"/>
      <c r="Q1436" s="27"/>
      <c r="R1436" s="28"/>
      <c r="S1436" s="29"/>
      <c r="T1436" s="30"/>
    </row>
    <row r="1437" spans="1:20" ht="24" customHeight="1" x14ac:dyDescent="0.25">
      <c r="A1437" t="str">
        <f>IF('e1'!A1437&gt;0,HYPERLINK("#"&amp;ADDRESS(1437,'e1'!A1437),""),IF('r1'!A1437&gt;0,HYPERLINK("#"&amp;ADDRESS(1437,'r1'!A1437),""),""))</f>
        <v/>
      </c>
      <c r="C1437" s="13"/>
      <c r="D1437" s="14"/>
      <c r="E1437" s="15"/>
      <c r="F1437" s="16"/>
      <c r="G1437" s="17"/>
      <c r="H1437" s="18"/>
      <c r="I1437" s="19"/>
      <c r="J1437" s="20"/>
      <c r="K1437" s="21"/>
      <c r="L1437" s="22"/>
      <c r="M1437" s="23"/>
      <c r="N1437" s="24"/>
      <c r="O1437" s="25"/>
      <c r="P1437" s="26"/>
      <c r="Q1437" s="27"/>
      <c r="R1437" s="28"/>
      <c r="S1437" s="29"/>
      <c r="T1437" s="30"/>
    </row>
    <row r="1438" spans="1:20" ht="24" customHeight="1" x14ac:dyDescent="0.25">
      <c r="A1438" t="str">
        <f>IF('e1'!A1438&gt;0,HYPERLINK("#"&amp;ADDRESS(1438,'e1'!A1438),""),IF('r1'!A1438&gt;0,HYPERLINK("#"&amp;ADDRESS(1438,'r1'!A1438),""),""))</f>
        <v/>
      </c>
      <c r="C1438" s="13"/>
      <c r="D1438" s="14"/>
      <c r="E1438" s="15"/>
      <c r="F1438" s="16"/>
      <c r="G1438" s="17"/>
      <c r="H1438" s="18"/>
      <c r="I1438" s="19"/>
      <c r="J1438" s="20"/>
      <c r="K1438" s="21"/>
      <c r="L1438" s="22"/>
      <c r="M1438" s="23"/>
      <c r="N1438" s="24"/>
      <c r="O1438" s="25"/>
      <c r="P1438" s="26"/>
      <c r="Q1438" s="27"/>
      <c r="R1438" s="28"/>
      <c r="S1438" s="29"/>
      <c r="T1438" s="30"/>
    </row>
    <row r="1439" spans="1:20" ht="24" customHeight="1" x14ac:dyDescent="0.25">
      <c r="A1439" t="str">
        <f>IF('e1'!A1439&gt;0,HYPERLINK("#"&amp;ADDRESS(1439,'e1'!A1439),""),IF('r1'!A1439&gt;0,HYPERLINK("#"&amp;ADDRESS(1439,'r1'!A1439),""),""))</f>
        <v/>
      </c>
      <c r="C1439" s="13"/>
      <c r="D1439" s="14"/>
      <c r="E1439" s="15"/>
      <c r="F1439" s="16"/>
      <c r="G1439" s="17"/>
      <c r="H1439" s="18"/>
      <c r="I1439" s="19"/>
      <c r="J1439" s="20"/>
      <c r="K1439" s="21"/>
      <c r="L1439" s="22"/>
      <c r="M1439" s="23"/>
      <c r="N1439" s="24"/>
      <c r="O1439" s="25"/>
      <c r="P1439" s="26"/>
      <c r="Q1439" s="27"/>
      <c r="R1439" s="28"/>
      <c r="S1439" s="29"/>
      <c r="T1439" s="30"/>
    </row>
    <row r="1440" spans="1:20" ht="24" customHeight="1" x14ac:dyDescent="0.25">
      <c r="A1440" t="str">
        <f>IF('e1'!A1440&gt;0,HYPERLINK("#"&amp;ADDRESS(1440,'e1'!A1440),""),IF('r1'!A1440&gt;0,HYPERLINK("#"&amp;ADDRESS(1440,'r1'!A1440),""),""))</f>
        <v/>
      </c>
      <c r="C1440" s="13"/>
      <c r="D1440" s="14"/>
      <c r="E1440" s="15"/>
      <c r="F1440" s="16"/>
      <c r="G1440" s="17"/>
      <c r="H1440" s="18"/>
      <c r="I1440" s="19"/>
      <c r="J1440" s="20"/>
      <c r="K1440" s="21"/>
      <c r="L1440" s="22"/>
      <c r="M1440" s="23"/>
      <c r="N1440" s="24"/>
      <c r="O1440" s="25"/>
      <c r="P1440" s="26"/>
      <c r="Q1440" s="27"/>
      <c r="R1440" s="28"/>
      <c r="S1440" s="29"/>
      <c r="T1440" s="30"/>
    </row>
    <row r="1441" spans="1:20" ht="24" customHeight="1" x14ac:dyDescent="0.25">
      <c r="A1441" t="str">
        <f>IF('e1'!A1441&gt;0,HYPERLINK("#"&amp;ADDRESS(1441,'e1'!A1441),""),IF('r1'!A1441&gt;0,HYPERLINK("#"&amp;ADDRESS(1441,'r1'!A1441),""),""))</f>
        <v/>
      </c>
      <c r="C1441" s="13"/>
      <c r="D1441" s="14"/>
      <c r="E1441" s="15"/>
      <c r="F1441" s="16"/>
      <c r="G1441" s="17"/>
      <c r="H1441" s="18"/>
      <c r="I1441" s="19"/>
      <c r="J1441" s="20"/>
      <c r="K1441" s="21"/>
      <c r="L1441" s="22"/>
      <c r="M1441" s="23"/>
      <c r="N1441" s="24"/>
      <c r="O1441" s="25"/>
      <c r="P1441" s="26"/>
      <c r="Q1441" s="27"/>
      <c r="R1441" s="28"/>
      <c r="S1441" s="29"/>
      <c r="T1441" s="30"/>
    </row>
    <row r="1442" spans="1:20" ht="24" customHeight="1" x14ac:dyDescent="0.25">
      <c r="A1442" t="str">
        <f>IF('e1'!A1442&gt;0,HYPERLINK("#"&amp;ADDRESS(1442,'e1'!A1442),""),IF('r1'!A1442&gt;0,HYPERLINK("#"&amp;ADDRESS(1442,'r1'!A1442),""),""))</f>
        <v/>
      </c>
      <c r="C1442" s="13"/>
      <c r="D1442" s="14"/>
      <c r="E1442" s="15"/>
      <c r="F1442" s="16"/>
      <c r="G1442" s="17"/>
      <c r="H1442" s="18"/>
      <c r="I1442" s="19"/>
      <c r="J1442" s="20"/>
      <c r="K1442" s="21"/>
      <c r="L1442" s="22"/>
      <c r="M1442" s="23"/>
      <c r="N1442" s="24"/>
      <c r="O1442" s="25"/>
      <c r="P1442" s="26"/>
      <c r="Q1442" s="27"/>
      <c r="R1442" s="28"/>
      <c r="S1442" s="29"/>
      <c r="T1442" s="30"/>
    </row>
    <row r="1443" spans="1:20" ht="24" customHeight="1" x14ac:dyDescent="0.25">
      <c r="A1443" t="str">
        <f>IF('e1'!A1443&gt;0,HYPERLINK("#"&amp;ADDRESS(1443,'e1'!A1443),""),IF('r1'!A1443&gt;0,HYPERLINK("#"&amp;ADDRESS(1443,'r1'!A1443),""),""))</f>
        <v/>
      </c>
      <c r="C1443" s="13"/>
      <c r="D1443" s="14"/>
      <c r="E1443" s="15"/>
      <c r="F1443" s="16"/>
      <c r="G1443" s="17"/>
      <c r="H1443" s="18"/>
      <c r="I1443" s="19"/>
      <c r="J1443" s="20"/>
      <c r="K1443" s="21"/>
      <c r="L1443" s="22"/>
      <c r="M1443" s="23"/>
      <c r="N1443" s="24"/>
      <c r="O1443" s="25"/>
      <c r="P1443" s="26"/>
      <c r="Q1443" s="27"/>
      <c r="R1443" s="28"/>
      <c r="S1443" s="29"/>
      <c r="T1443" s="30"/>
    </row>
    <row r="1444" spans="1:20" ht="24" customHeight="1" x14ac:dyDescent="0.25">
      <c r="A1444" t="str">
        <f>IF('e1'!A1444&gt;0,HYPERLINK("#"&amp;ADDRESS(1444,'e1'!A1444),""),IF('r1'!A1444&gt;0,HYPERLINK("#"&amp;ADDRESS(1444,'r1'!A1444),""),""))</f>
        <v/>
      </c>
      <c r="C1444" s="13"/>
      <c r="D1444" s="14"/>
      <c r="E1444" s="15"/>
      <c r="F1444" s="16"/>
      <c r="G1444" s="17"/>
      <c r="H1444" s="18"/>
      <c r="I1444" s="19"/>
      <c r="J1444" s="20"/>
      <c r="K1444" s="21"/>
      <c r="L1444" s="22"/>
      <c r="M1444" s="23"/>
      <c r="N1444" s="24"/>
      <c r="O1444" s="25"/>
      <c r="P1444" s="26"/>
      <c r="Q1444" s="27"/>
      <c r="R1444" s="28"/>
      <c r="S1444" s="29"/>
      <c r="T1444" s="30"/>
    </row>
    <row r="1445" spans="1:20" ht="24" customHeight="1" x14ac:dyDescent="0.25">
      <c r="A1445" t="str">
        <f>IF('e1'!A1445&gt;0,HYPERLINK("#"&amp;ADDRESS(1445,'e1'!A1445),""),IF('r1'!A1445&gt;0,HYPERLINK("#"&amp;ADDRESS(1445,'r1'!A1445),""),""))</f>
        <v/>
      </c>
      <c r="C1445" s="13"/>
      <c r="D1445" s="14"/>
      <c r="E1445" s="15"/>
      <c r="F1445" s="16"/>
      <c r="G1445" s="17"/>
      <c r="H1445" s="18"/>
      <c r="I1445" s="19"/>
      <c r="J1445" s="20"/>
      <c r="K1445" s="21"/>
      <c r="L1445" s="22"/>
      <c r="M1445" s="23"/>
      <c r="N1445" s="24"/>
      <c r="O1445" s="25"/>
      <c r="P1445" s="26"/>
      <c r="Q1445" s="27"/>
      <c r="R1445" s="28"/>
      <c r="S1445" s="29"/>
      <c r="T1445" s="30"/>
    </row>
    <row r="1446" spans="1:20" ht="24" customHeight="1" x14ac:dyDescent="0.25">
      <c r="A1446" t="str">
        <f>IF('e1'!A1446&gt;0,HYPERLINK("#"&amp;ADDRESS(1446,'e1'!A1446),""),IF('r1'!A1446&gt;0,HYPERLINK("#"&amp;ADDRESS(1446,'r1'!A1446),""),""))</f>
        <v/>
      </c>
      <c r="C1446" s="13"/>
      <c r="D1446" s="14"/>
      <c r="E1446" s="15"/>
      <c r="F1446" s="16"/>
      <c r="G1446" s="17"/>
      <c r="H1446" s="18"/>
      <c r="I1446" s="19"/>
      <c r="J1446" s="20"/>
      <c r="K1446" s="21"/>
      <c r="L1446" s="22"/>
      <c r="M1446" s="23"/>
      <c r="N1446" s="24"/>
      <c r="O1446" s="25"/>
      <c r="P1446" s="26"/>
      <c r="Q1446" s="27"/>
      <c r="R1446" s="28"/>
      <c r="S1446" s="29"/>
      <c r="T1446" s="30"/>
    </row>
    <row r="1447" spans="1:20" ht="24" customHeight="1" x14ac:dyDescent="0.25">
      <c r="A1447" t="str">
        <f>IF('e1'!A1447&gt;0,HYPERLINK("#"&amp;ADDRESS(1447,'e1'!A1447),""),IF('r1'!A1447&gt;0,HYPERLINK("#"&amp;ADDRESS(1447,'r1'!A1447),""),""))</f>
        <v/>
      </c>
      <c r="C1447" s="13"/>
      <c r="D1447" s="14"/>
      <c r="E1447" s="15"/>
      <c r="F1447" s="16"/>
      <c r="G1447" s="17"/>
      <c r="H1447" s="18"/>
      <c r="I1447" s="19"/>
      <c r="J1447" s="20"/>
      <c r="K1447" s="21"/>
      <c r="L1447" s="22"/>
      <c r="M1447" s="23"/>
      <c r="N1447" s="24"/>
      <c r="O1447" s="25"/>
      <c r="P1447" s="26"/>
      <c r="Q1447" s="27"/>
      <c r="R1447" s="28"/>
      <c r="S1447" s="29"/>
      <c r="T1447" s="30"/>
    </row>
    <row r="1448" spans="1:20" ht="24" customHeight="1" x14ac:dyDescent="0.25">
      <c r="A1448" t="str">
        <f>IF('e1'!A1448&gt;0,HYPERLINK("#"&amp;ADDRESS(1448,'e1'!A1448),""),IF('r1'!A1448&gt;0,HYPERLINK("#"&amp;ADDRESS(1448,'r1'!A1448),""),""))</f>
        <v/>
      </c>
      <c r="C1448" s="13"/>
      <c r="D1448" s="14"/>
      <c r="E1448" s="15"/>
      <c r="F1448" s="16"/>
      <c r="G1448" s="17"/>
      <c r="H1448" s="18"/>
      <c r="I1448" s="19"/>
      <c r="J1448" s="20"/>
      <c r="K1448" s="21"/>
      <c r="L1448" s="22"/>
      <c r="M1448" s="23"/>
      <c r="N1448" s="24"/>
      <c r="O1448" s="25"/>
      <c r="P1448" s="26"/>
      <c r="Q1448" s="27"/>
      <c r="R1448" s="28"/>
      <c r="S1448" s="29"/>
      <c r="T1448" s="30"/>
    </row>
    <row r="1449" spans="1:20" ht="24" customHeight="1" x14ac:dyDescent="0.25">
      <c r="A1449" t="str">
        <f>IF('e1'!A1449&gt;0,HYPERLINK("#"&amp;ADDRESS(1449,'e1'!A1449),""),IF('r1'!A1449&gt;0,HYPERLINK("#"&amp;ADDRESS(1449,'r1'!A1449),""),""))</f>
        <v/>
      </c>
      <c r="C1449" s="13"/>
      <c r="D1449" s="14"/>
      <c r="E1449" s="15"/>
      <c r="F1449" s="16"/>
      <c r="G1449" s="17"/>
      <c r="H1449" s="18"/>
      <c r="I1449" s="19"/>
      <c r="J1449" s="20"/>
      <c r="K1449" s="21"/>
      <c r="L1449" s="22"/>
      <c r="M1449" s="23"/>
      <c r="N1449" s="24"/>
      <c r="O1449" s="25"/>
      <c r="P1449" s="26"/>
      <c r="Q1449" s="27"/>
      <c r="R1449" s="28"/>
      <c r="S1449" s="29"/>
      <c r="T1449" s="30"/>
    </row>
    <row r="1450" spans="1:20" ht="24" customHeight="1" x14ac:dyDescent="0.25">
      <c r="A1450" t="str">
        <f>IF('e1'!A1450&gt;0,HYPERLINK("#"&amp;ADDRESS(1450,'e1'!A1450),""),IF('r1'!A1450&gt;0,HYPERLINK("#"&amp;ADDRESS(1450,'r1'!A1450),""),""))</f>
        <v/>
      </c>
      <c r="C1450" s="13"/>
      <c r="D1450" s="14"/>
      <c r="E1450" s="15"/>
      <c r="F1450" s="16"/>
      <c r="G1450" s="17"/>
      <c r="H1450" s="18"/>
      <c r="I1450" s="19"/>
      <c r="J1450" s="20"/>
      <c r="K1450" s="21"/>
      <c r="L1450" s="22"/>
      <c r="M1450" s="23"/>
      <c r="N1450" s="24"/>
      <c r="O1450" s="25"/>
      <c r="P1450" s="26"/>
      <c r="Q1450" s="27"/>
      <c r="R1450" s="28"/>
      <c r="S1450" s="29"/>
      <c r="T1450" s="30"/>
    </row>
    <row r="1451" spans="1:20" ht="24" customHeight="1" x14ac:dyDescent="0.25">
      <c r="A1451" t="str">
        <f>IF('e1'!A1451&gt;0,HYPERLINK("#"&amp;ADDRESS(1451,'e1'!A1451),""),IF('r1'!A1451&gt;0,HYPERLINK("#"&amp;ADDRESS(1451,'r1'!A1451),""),""))</f>
        <v/>
      </c>
      <c r="C1451" s="13"/>
      <c r="D1451" s="14"/>
      <c r="E1451" s="15"/>
      <c r="F1451" s="16"/>
      <c r="G1451" s="17"/>
      <c r="H1451" s="18"/>
      <c r="I1451" s="19"/>
      <c r="J1451" s="20"/>
      <c r="K1451" s="21"/>
      <c r="L1451" s="22"/>
      <c r="M1451" s="23"/>
      <c r="N1451" s="24"/>
      <c r="O1451" s="25"/>
      <c r="P1451" s="26"/>
      <c r="Q1451" s="27"/>
      <c r="R1451" s="28"/>
      <c r="S1451" s="29"/>
      <c r="T1451" s="30"/>
    </row>
    <row r="1452" spans="1:20" ht="24" customHeight="1" x14ac:dyDescent="0.25">
      <c r="A1452" t="str">
        <f>IF('e1'!A1452&gt;0,HYPERLINK("#"&amp;ADDRESS(1452,'e1'!A1452),""),IF('r1'!A1452&gt;0,HYPERLINK("#"&amp;ADDRESS(1452,'r1'!A1452),""),""))</f>
        <v/>
      </c>
      <c r="C1452" s="13"/>
      <c r="D1452" s="14"/>
      <c r="E1452" s="15"/>
      <c r="F1452" s="16"/>
      <c r="G1452" s="17"/>
      <c r="H1452" s="18"/>
      <c r="I1452" s="19"/>
      <c r="J1452" s="20"/>
      <c r="K1452" s="21"/>
      <c r="L1452" s="22"/>
      <c r="M1452" s="23"/>
      <c r="N1452" s="24"/>
      <c r="O1452" s="25"/>
      <c r="P1452" s="26"/>
      <c r="Q1452" s="27"/>
      <c r="R1452" s="28"/>
      <c r="S1452" s="29"/>
      <c r="T1452" s="30"/>
    </row>
    <row r="1453" spans="1:20" ht="24" customHeight="1" x14ac:dyDescent="0.25">
      <c r="A1453" t="str">
        <f>IF('e1'!A1453&gt;0,HYPERLINK("#"&amp;ADDRESS(1453,'e1'!A1453),""),IF('r1'!A1453&gt;0,HYPERLINK("#"&amp;ADDRESS(1453,'r1'!A1453),""),""))</f>
        <v/>
      </c>
      <c r="C1453" s="13"/>
      <c r="D1453" s="14"/>
      <c r="E1453" s="15"/>
      <c r="F1453" s="16"/>
      <c r="G1453" s="17"/>
      <c r="H1453" s="18"/>
      <c r="I1453" s="19"/>
      <c r="J1453" s="20"/>
      <c r="K1453" s="21"/>
      <c r="L1453" s="22"/>
      <c r="M1453" s="23"/>
      <c r="N1453" s="24"/>
      <c r="O1453" s="25"/>
      <c r="P1453" s="26"/>
      <c r="Q1453" s="27"/>
      <c r="R1453" s="28"/>
      <c r="S1453" s="29"/>
      <c r="T1453" s="30"/>
    </row>
    <row r="1454" spans="1:20" ht="24" customHeight="1" x14ac:dyDescent="0.25">
      <c r="A1454" t="str">
        <f>IF('e1'!A1454&gt;0,HYPERLINK("#"&amp;ADDRESS(1454,'e1'!A1454),""),IF('r1'!A1454&gt;0,HYPERLINK("#"&amp;ADDRESS(1454,'r1'!A1454),""),""))</f>
        <v/>
      </c>
      <c r="C1454" s="13"/>
      <c r="D1454" s="14"/>
      <c r="E1454" s="15"/>
      <c r="F1454" s="16"/>
      <c r="G1454" s="17"/>
      <c r="H1454" s="18"/>
      <c r="I1454" s="19"/>
      <c r="J1454" s="20"/>
      <c r="K1454" s="21"/>
      <c r="L1454" s="22"/>
      <c r="M1454" s="23"/>
      <c r="N1454" s="24"/>
      <c r="O1454" s="25"/>
      <c r="P1454" s="26"/>
      <c r="Q1454" s="27"/>
      <c r="R1454" s="28"/>
      <c r="S1454" s="29"/>
      <c r="T1454" s="30"/>
    </row>
    <row r="1455" spans="1:20" ht="24" customHeight="1" x14ac:dyDescent="0.25">
      <c r="A1455" t="str">
        <f>IF('e1'!A1455&gt;0,HYPERLINK("#"&amp;ADDRESS(1455,'e1'!A1455),""),IF('r1'!A1455&gt;0,HYPERLINK("#"&amp;ADDRESS(1455,'r1'!A1455),""),""))</f>
        <v/>
      </c>
      <c r="C1455" s="13"/>
      <c r="D1455" s="14"/>
      <c r="E1455" s="15"/>
      <c r="F1455" s="16"/>
      <c r="G1455" s="17"/>
      <c r="H1455" s="18"/>
      <c r="I1455" s="19"/>
      <c r="J1455" s="20"/>
      <c r="K1455" s="21"/>
      <c r="L1455" s="22"/>
      <c r="M1455" s="23"/>
      <c r="N1455" s="24"/>
      <c r="O1455" s="25"/>
      <c r="P1455" s="26"/>
      <c r="Q1455" s="27"/>
      <c r="R1455" s="28"/>
      <c r="S1455" s="29"/>
      <c r="T1455" s="30"/>
    </row>
    <row r="1456" spans="1:20" ht="24" customHeight="1" x14ac:dyDescent="0.25">
      <c r="A1456" t="str">
        <f>IF('e1'!A1456&gt;0,HYPERLINK("#"&amp;ADDRESS(1456,'e1'!A1456),""),IF('r1'!A1456&gt;0,HYPERLINK("#"&amp;ADDRESS(1456,'r1'!A1456),""),""))</f>
        <v/>
      </c>
      <c r="C1456" s="13"/>
      <c r="D1456" s="14"/>
      <c r="E1456" s="15"/>
      <c r="F1456" s="16"/>
      <c r="G1456" s="17"/>
      <c r="H1456" s="18"/>
      <c r="I1456" s="19"/>
      <c r="J1456" s="20"/>
      <c r="K1456" s="21"/>
      <c r="L1456" s="22"/>
      <c r="M1456" s="23"/>
      <c r="N1456" s="24"/>
      <c r="O1456" s="25"/>
      <c r="P1456" s="26"/>
      <c r="Q1456" s="27"/>
      <c r="R1456" s="28"/>
      <c r="S1456" s="29"/>
      <c r="T1456" s="30"/>
    </row>
    <row r="1457" spans="1:20" ht="24" customHeight="1" x14ac:dyDescent="0.25">
      <c r="A1457" t="str">
        <f>IF('e1'!A1457&gt;0,HYPERLINK("#"&amp;ADDRESS(1457,'e1'!A1457),""),IF('r1'!A1457&gt;0,HYPERLINK("#"&amp;ADDRESS(1457,'r1'!A1457),""),""))</f>
        <v/>
      </c>
      <c r="C1457" s="13"/>
      <c r="D1457" s="14"/>
      <c r="E1457" s="15"/>
      <c r="F1457" s="16"/>
      <c r="G1457" s="17"/>
      <c r="H1457" s="18"/>
      <c r="I1457" s="19"/>
      <c r="J1457" s="20"/>
      <c r="K1457" s="21"/>
      <c r="L1457" s="22"/>
      <c r="M1457" s="23"/>
      <c r="N1457" s="24"/>
      <c r="O1457" s="25"/>
      <c r="P1457" s="26"/>
      <c r="Q1457" s="27"/>
      <c r="R1457" s="28"/>
      <c r="S1457" s="29"/>
      <c r="T1457" s="30"/>
    </row>
    <row r="1458" spans="1:20" ht="24" customHeight="1" x14ac:dyDescent="0.25">
      <c r="A1458" t="str">
        <f>IF('e1'!A1458&gt;0,HYPERLINK("#"&amp;ADDRESS(1458,'e1'!A1458),""),IF('r1'!A1458&gt;0,HYPERLINK("#"&amp;ADDRESS(1458,'r1'!A1458),""),""))</f>
        <v/>
      </c>
      <c r="C1458" s="13"/>
      <c r="D1458" s="14"/>
      <c r="E1458" s="15"/>
      <c r="F1458" s="16"/>
      <c r="G1458" s="17"/>
      <c r="H1458" s="18"/>
      <c r="I1458" s="19"/>
      <c r="J1458" s="20"/>
      <c r="K1458" s="21"/>
      <c r="L1458" s="22"/>
      <c r="M1458" s="23"/>
      <c r="N1458" s="24"/>
      <c r="O1458" s="25"/>
      <c r="P1458" s="26"/>
      <c r="Q1458" s="27"/>
      <c r="R1458" s="28"/>
      <c r="S1458" s="29"/>
      <c r="T1458" s="30"/>
    </row>
    <row r="1459" spans="1:20" ht="24" customHeight="1" x14ac:dyDescent="0.25">
      <c r="A1459" t="str">
        <f>IF('e1'!A1459&gt;0,HYPERLINK("#"&amp;ADDRESS(1459,'e1'!A1459),""),IF('r1'!A1459&gt;0,HYPERLINK("#"&amp;ADDRESS(1459,'r1'!A1459),""),""))</f>
        <v/>
      </c>
      <c r="C1459" s="13"/>
      <c r="D1459" s="14"/>
      <c r="E1459" s="15"/>
      <c r="F1459" s="16"/>
      <c r="G1459" s="17"/>
      <c r="H1459" s="18"/>
      <c r="I1459" s="19"/>
      <c r="J1459" s="20"/>
      <c r="K1459" s="21"/>
      <c r="L1459" s="22"/>
      <c r="M1459" s="23"/>
      <c r="N1459" s="24"/>
      <c r="O1459" s="25"/>
      <c r="P1459" s="26"/>
      <c r="Q1459" s="27"/>
      <c r="R1459" s="28"/>
      <c r="S1459" s="29"/>
      <c r="T1459" s="30"/>
    </row>
    <row r="1460" spans="1:20" ht="24" customHeight="1" x14ac:dyDescent="0.25">
      <c r="A1460" t="str">
        <f>IF('e1'!A1460&gt;0,HYPERLINK("#"&amp;ADDRESS(1460,'e1'!A1460),""),IF('r1'!A1460&gt;0,HYPERLINK("#"&amp;ADDRESS(1460,'r1'!A1460),""),""))</f>
        <v/>
      </c>
      <c r="C1460" s="13"/>
      <c r="D1460" s="14"/>
      <c r="E1460" s="15"/>
      <c r="F1460" s="16"/>
      <c r="G1460" s="17"/>
      <c r="H1460" s="18"/>
      <c r="I1460" s="19"/>
      <c r="J1460" s="20"/>
      <c r="K1460" s="21"/>
      <c r="L1460" s="22"/>
      <c r="M1460" s="23"/>
      <c r="N1460" s="24"/>
      <c r="O1460" s="25"/>
      <c r="P1460" s="26"/>
      <c r="Q1460" s="27"/>
      <c r="R1460" s="28"/>
      <c r="S1460" s="29"/>
      <c r="T1460" s="30"/>
    </row>
    <row r="1461" spans="1:20" ht="24" customHeight="1" x14ac:dyDescent="0.25">
      <c r="A1461" t="str">
        <f>IF('e1'!A1461&gt;0,HYPERLINK("#"&amp;ADDRESS(1461,'e1'!A1461),""),IF('r1'!A1461&gt;0,HYPERLINK("#"&amp;ADDRESS(1461,'r1'!A1461),""),""))</f>
        <v/>
      </c>
      <c r="C1461" s="13"/>
      <c r="D1461" s="14"/>
      <c r="E1461" s="15"/>
      <c r="F1461" s="16"/>
      <c r="G1461" s="17"/>
      <c r="H1461" s="18"/>
      <c r="I1461" s="19"/>
      <c r="J1461" s="20"/>
      <c r="K1461" s="21"/>
      <c r="L1461" s="22"/>
      <c r="M1461" s="23"/>
      <c r="N1461" s="24"/>
      <c r="O1461" s="25"/>
      <c r="P1461" s="26"/>
      <c r="Q1461" s="27"/>
      <c r="R1461" s="28"/>
      <c r="S1461" s="29"/>
      <c r="T1461" s="30"/>
    </row>
    <row r="1462" spans="1:20" ht="24" customHeight="1" x14ac:dyDescent="0.25">
      <c r="A1462" t="str">
        <f>IF('e1'!A1462&gt;0,HYPERLINK("#"&amp;ADDRESS(1462,'e1'!A1462),""),IF('r1'!A1462&gt;0,HYPERLINK("#"&amp;ADDRESS(1462,'r1'!A1462),""),""))</f>
        <v/>
      </c>
      <c r="C1462" s="13"/>
      <c r="D1462" s="14"/>
      <c r="E1462" s="15"/>
      <c r="F1462" s="16"/>
      <c r="G1462" s="17"/>
      <c r="H1462" s="18"/>
      <c r="I1462" s="19"/>
      <c r="J1462" s="20"/>
      <c r="K1462" s="21"/>
      <c r="L1462" s="22"/>
      <c r="M1462" s="23"/>
      <c r="N1462" s="24"/>
      <c r="O1462" s="25"/>
      <c r="P1462" s="26"/>
      <c r="Q1462" s="27"/>
      <c r="R1462" s="28"/>
      <c r="S1462" s="29"/>
      <c r="T1462" s="30"/>
    </row>
    <row r="1463" spans="1:20" ht="24" customHeight="1" x14ac:dyDescent="0.25">
      <c r="A1463" t="str">
        <f>IF('e1'!A1463&gt;0,HYPERLINK("#"&amp;ADDRESS(1463,'e1'!A1463),""),IF('r1'!A1463&gt;0,HYPERLINK("#"&amp;ADDRESS(1463,'r1'!A1463),""),""))</f>
        <v/>
      </c>
      <c r="C1463" s="13"/>
      <c r="D1463" s="14"/>
      <c r="E1463" s="15"/>
      <c r="F1463" s="16"/>
      <c r="G1463" s="17"/>
      <c r="H1463" s="18"/>
      <c r="I1463" s="19"/>
      <c r="J1463" s="20"/>
      <c r="K1463" s="21"/>
      <c r="L1463" s="22"/>
      <c r="M1463" s="23"/>
      <c r="N1463" s="24"/>
      <c r="O1463" s="25"/>
      <c r="P1463" s="26"/>
      <c r="Q1463" s="27"/>
      <c r="R1463" s="28"/>
      <c r="S1463" s="29"/>
      <c r="T1463" s="30"/>
    </row>
    <row r="1464" spans="1:20" ht="24" customHeight="1" x14ac:dyDescent="0.25">
      <c r="A1464" t="str">
        <f>IF('e1'!A1464&gt;0,HYPERLINK("#"&amp;ADDRESS(1464,'e1'!A1464),""),IF('r1'!A1464&gt;0,HYPERLINK("#"&amp;ADDRESS(1464,'r1'!A1464),""),""))</f>
        <v/>
      </c>
      <c r="C1464" s="13"/>
      <c r="D1464" s="14"/>
      <c r="E1464" s="15"/>
      <c r="F1464" s="16"/>
      <c r="G1464" s="17"/>
      <c r="H1464" s="18"/>
      <c r="I1464" s="19"/>
      <c r="J1464" s="20"/>
      <c r="K1464" s="21"/>
      <c r="L1464" s="22"/>
      <c r="M1464" s="23"/>
      <c r="N1464" s="24"/>
      <c r="O1464" s="25"/>
      <c r="P1464" s="26"/>
      <c r="Q1464" s="27"/>
      <c r="R1464" s="28"/>
      <c r="S1464" s="29"/>
      <c r="T1464" s="30"/>
    </row>
    <row r="1465" spans="1:20" ht="24" customHeight="1" x14ac:dyDescent="0.25">
      <c r="A1465" t="str">
        <f>IF('e1'!A1465&gt;0,HYPERLINK("#"&amp;ADDRESS(1465,'e1'!A1465),""),IF('r1'!A1465&gt;0,HYPERLINK("#"&amp;ADDRESS(1465,'r1'!A1465),""),""))</f>
        <v/>
      </c>
      <c r="C1465" s="13"/>
      <c r="D1465" s="14"/>
      <c r="E1465" s="15"/>
      <c r="F1465" s="16"/>
      <c r="G1465" s="17"/>
      <c r="H1465" s="18"/>
      <c r="I1465" s="19"/>
      <c r="J1465" s="20"/>
      <c r="K1465" s="21"/>
      <c r="L1465" s="22"/>
      <c r="M1465" s="23"/>
      <c r="N1465" s="24"/>
      <c r="O1465" s="25"/>
      <c r="P1465" s="26"/>
      <c r="Q1465" s="27"/>
      <c r="R1465" s="28"/>
      <c r="S1465" s="29"/>
      <c r="T1465" s="30"/>
    </row>
    <row r="1466" spans="1:20" ht="24" customHeight="1" x14ac:dyDescent="0.25">
      <c r="A1466" t="str">
        <f>IF('e1'!A1466&gt;0,HYPERLINK("#"&amp;ADDRESS(1466,'e1'!A1466),""),IF('r1'!A1466&gt;0,HYPERLINK("#"&amp;ADDRESS(1466,'r1'!A1466),""),""))</f>
        <v/>
      </c>
      <c r="C1466" s="13"/>
      <c r="D1466" s="14"/>
      <c r="E1466" s="15"/>
      <c r="F1466" s="16"/>
      <c r="G1466" s="17"/>
      <c r="H1466" s="18"/>
      <c r="I1466" s="19"/>
      <c r="J1466" s="20"/>
      <c r="K1466" s="21"/>
      <c r="L1466" s="22"/>
      <c r="M1466" s="23"/>
      <c r="N1466" s="24"/>
      <c r="O1466" s="25"/>
      <c r="P1466" s="26"/>
      <c r="Q1466" s="27"/>
      <c r="R1466" s="28"/>
      <c r="S1466" s="29"/>
      <c r="T1466" s="30"/>
    </row>
    <row r="1467" spans="1:20" ht="24" customHeight="1" x14ac:dyDescent="0.25">
      <c r="A1467" t="str">
        <f>IF('e1'!A1467&gt;0,HYPERLINK("#"&amp;ADDRESS(1467,'e1'!A1467),""),IF('r1'!A1467&gt;0,HYPERLINK("#"&amp;ADDRESS(1467,'r1'!A1467),""),""))</f>
        <v/>
      </c>
      <c r="C1467" s="13"/>
      <c r="D1467" s="14"/>
      <c r="E1467" s="15"/>
      <c r="F1467" s="16"/>
      <c r="G1467" s="17"/>
      <c r="H1467" s="18"/>
      <c r="I1467" s="19"/>
      <c r="J1467" s="20"/>
      <c r="K1467" s="21"/>
      <c r="L1467" s="22"/>
      <c r="M1467" s="23"/>
      <c r="N1467" s="24"/>
      <c r="O1467" s="25"/>
      <c r="P1467" s="26"/>
      <c r="Q1467" s="27"/>
      <c r="R1467" s="28"/>
      <c r="S1467" s="29"/>
      <c r="T1467" s="30"/>
    </row>
    <row r="1468" spans="1:20" ht="24" customHeight="1" x14ac:dyDescent="0.25">
      <c r="A1468" t="str">
        <f>IF('e1'!A1468&gt;0,HYPERLINK("#"&amp;ADDRESS(1468,'e1'!A1468),""),IF('r1'!A1468&gt;0,HYPERLINK("#"&amp;ADDRESS(1468,'r1'!A1468),""),""))</f>
        <v/>
      </c>
      <c r="C1468" s="13"/>
      <c r="D1468" s="14"/>
      <c r="E1468" s="15"/>
      <c r="F1468" s="16"/>
      <c r="G1468" s="17"/>
      <c r="H1468" s="18"/>
      <c r="I1468" s="19"/>
      <c r="J1468" s="20"/>
      <c r="K1468" s="21"/>
      <c r="L1468" s="22"/>
      <c r="M1468" s="23"/>
      <c r="N1468" s="24"/>
      <c r="O1468" s="25"/>
      <c r="P1468" s="26"/>
      <c r="Q1468" s="27"/>
      <c r="R1468" s="28"/>
      <c r="S1468" s="29"/>
      <c r="T1468" s="30"/>
    </row>
    <row r="1469" spans="1:20" ht="24" customHeight="1" x14ac:dyDescent="0.25">
      <c r="A1469" t="str">
        <f>IF('e1'!A1469&gt;0,HYPERLINK("#"&amp;ADDRESS(1469,'e1'!A1469),""),IF('r1'!A1469&gt;0,HYPERLINK("#"&amp;ADDRESS(1469,'r1'!A1469),""),""))</f>
        <v/>
      </c>
      <c r="C1469" s="13"/>
      <c r="D1469" s="14"/>
      <c r="E1469" s="15"/>
      <c r="F1469" s="16"/>
      <c r="G1469" s="17"/>
      <c r="H1469" s="18"/>
      <c r="I1469" s="19"/>
      <c r="J1469" s="20"/>
      <c r="K1469" s="21"/>
      <c r="L1469" s="22"/>
      <c r="M1469" s="23"/>
      <c r="N1469" s="24"/>
      <c r="O1469" s="25"/>
      <c r="P1469" s="26"/>
      <c r="Q1469" s="27"/>
      <c r="R1469" s="28"/>
      <c r="S1469" s="29"/>
      <c r="T1469" s="30"/>
    </row>
    <row r="1470" spans="1:20" ht="24" customHeight="1" x14ac:dyDescent="0.25">
      <c r="A1470" t="str">
        <f>IF('e1'!A1470&gt;0,HYPERLINK("#"&amp;ADDRESS(1470,'e1'!A1470),""),IF('r1'!A1470&gt;0,HYPERLINK("#"&amp;ADDRESS(1470,'r1'!A1470),""),""))</f>
        <v/>
      </c>
      <c r="C1470" s="13"/>
      <c r="D1470" s="14"/>
      <c r="E1470" s="15"/>
      <c r="F1470" s="16"/>
      <c r="G1470" s="17"/>
      <c r="H1470" s="18"/>
      <c r="I1470" s="19"/>
      <c r="J1470" s="20"/>
      <c r="K1470" s="21"/>
      <c r="L1470" s="22"/>
      <c r="M1470" s="23"/>
      <c r="N1470" s="24"/>
      <c r="O1470" s="25"/>
      <c r="P1470" s="26"/>
      <c r="Q1470" s="27"/>
      <c r="R1470" s="28"/>
      <c r="S1470" s="29"/>
      <c r="T1470" s="30"/>
    </row>
    <row r="1471" spans="1:20" ht="24" customHeight="1" x14ac:dyDescent="0.25">
      <c r="A1471" t="str">
        <f>IF('e1'!A1471&gt;0,HYPERLINK("#"&amp;ADDRESS(1471,'e1'!A1471),""),IF('r1'!A1471&gt;0,HYPERLINK("#"&amp;ADDRESS(1471,'r1'!A1471),""),""))</f>
        <v/>
      </c>
      <c r="C1471" s="13"/>
      <c r="D1471" s="14"/>
      <c r="E1471" s="15"/>
      <c r="F1471" s="16"/>
      <c r="G1471" s="17"/>
      <c r="H1471" s="18"/>
      <c r="I1471" s="19"/>
      <c r="J1471" s="20"/>
      <c r="K1471" s="21"/>
      <c r="L1471" s="22"/>
      <c r="M1471" s="23"/>
      <c r="N1471" s="24"/>
      <c r="O1471" s="25"/>
      <c r="P1471" s="26"/>
      <c r="Q1471" s="27"/>
      <c r="R1471" s="28"/>
      <c r="S1471" s="29"/>
      <c r="T1471" s="30"/>
    </row>
    <row r="1472" spans="1:20" ht="24" customHeight="1" x14ac:dyDescent="0.25">
      <c r="A1472" t="str">
        <f>IF('e1'!A1472&gt;0,HYPERLINK("#"&amp;ADDRESS(1472,'e1'!A1472),""),IF('r1'!A1472&gt;0,HYPERLINK("#"&amp;ADDRESS(1472,'r1'!A1472),""),""))</f>
        <v/>
      </c>
      <c r="C1472" s="13"/>
      <c r="D1472" s="14"/>
      <c r="E1472" s="15"/>
      <c r="F1472" s="16"/>
      <c r="G1472" s="17"/>
      <c r="H1472" s="18"/>
      <c r="I1472" s="19"/>
      <c r="J1472" s="20"/>
      <c r="K1472" s="21"/>
      <c r="L1472" s="22"/>
      <c r="M1472" s="23"/>
      <c r="N1472" s="24"/>
      <c r="O1472" s="25"/>
      <c r="P1472" s="26"/>
      <c r="Q1472" s="27"/>
      <c r="R1472" s="28"/>
      <c r="S1472" s="29"/>
      <c r="T1472" s="30"/>
    </row>
    <row r="1473" spans="1:20" ht="24" customHeight="1" x14ac:dyDescent="0.25">
      <c r="A1473" t="str">
        <f>IF('e1'!A1473&gt;0,HYPERLINK("#"&amp;ADDRESS(1473,'e1'!A1473),""),IF('r1'!A1473&gt;0,HYPERLINK("#"&amp;ADDRESS(1473,'r1'!A1473),""),""))</f>
        <v/>
      </c>
      <c r="C1473" s="13"/>
      <c r="D1473" s="14"/>
      <c r="E1473" s="15"/>
      <c r="F1473" s="16"/>
      <c r="G1473" s="17"/>
      <c r="H1473" s="18"/>
      <c r="I1473" s="19"/>
      <c r="J1473" s="20"/>
      <c r="K1473" s="21"/>
      <c r="L1473" s="22"/>
      <c r="M1473" s="23"/>
      <c r="N1473" s="24"/>
      <c r="O1473" s="25"/>
      <c r="P1473" s="26"/>
      <c r="Q1473" s="27"/>
      <c r="R1473" s="28"/>
      <c r="S1473" s="29"/>
      <c r="T1473" s="30"/>
    </row>
    <row r="1474" spans="1:20" ht="24" customHeight="1" x14ac:dyDescent="0.25">
      <c r="A1474" t="str">
        <f>IF('e1'!A1474&gt;0,HYPERLINK("#"&amp;ADDRESS(1474,'e1'!A1474),""),IF('r1'!A1474&gt;0,HYPERLINK("#"&amp;ADDRESS(1474,'r1'!A1474),""),""))</f>
        <v/>
      </c>
      <c r="C1474" s="13"/>
      <c r="D1474" s="14"/>
      <c r="E1474" s="15"/>
      <c r="F1474" s="16"/>
      <c r="G1474" s="17"/>
      <c r="H1474" s="18"/>
      <c r="I1474" s="19"/>
      <c r="J1474" s="20"/>
      <c r="K1474" s="21"/>
      <c r="L1474" s="22"/>
      <c r="M1474" s="23"/>
      <c r="N1474" s="24"/>
      <c r="O1474" s="25"/>
      <c r="P1474" s="26"/>
      <c r="Q1474" s="27"/>
      <c r="R1474" s="28"/>
      <c r="S1474" s="29"/>
      <c r="T1474" s="30"/>
    </row>
    <row r="1475" spans="1:20" ht="24" customHeight="1" x14ac:dyDescent="0.25">
      <c r="A1475" t="str">
        <f>IF('e1'!A1475&gt;0,HYPERLINK("#"&amp;ADDRESS(1475,'e1'!A1475),""),IF('r1'!A1475&gt;0,HYPERLINK("#"&amp;ADDRESS(1475,'r1'!A1475),""),""))</f>
        <v/>
      </c>
      <c r="C1475" s="13"/>
      <c r="D1475" s="14"/>
      <c r="E1475" s="15"/>
      <c r="F1475" s="16"/>
      <c r="G1475" s="17"/>
      <c r="H1475" s="18"/>
      <c r="I1475" s="19"/>
      <c r="J1475" s="20"/>
      <c r="K1475" s="21"/>
      <c r="L1475" s="22"/>
      <c r="M1475" s="23"/>
      <c r="N1475" s="24"/>
      <c r="O1475" s="25"/>
      <c r="P1475" s="26"/>
      <c r="Q1475" s="27"/>
      <c r="R1475" s="28"/>
      <c r="S1475" s="29"/>
      <c r="T1475" s="30"/>
    </row>
    <row r="1476" spans="1:20" ht="24" customHeight="1" x14ac:dyDescent="0.25">
      <c r="A1476" t="str">
        <f>IF('e1'!A1476&gt;0,HYPERLINK("#"&amp;ADDRESS(1476,'e1'!A1476),""),IF('r1'!A1476&gt;0,HYPERLINK("#"&amp;ADDRESS(1476,'r1'!A1476),""),""))</f>
        <v/>
      </c>
      <c r="C1476" s="13"/>
      <c r="D1476" s="14"/>
      <c r="E1476" s="15"/>
      <c r="F1476" s="16"/>
      <c r="G1476" s="17"/>
      <c r="H1476" s="18"/>
      <c r="I1476" s="19"/>
      <c r="J1476" s="20"/>
      <c r="K1476" s="21"/>
      <c r="L1476" s="22"/>
      <c r="M1476" s="23"/>
      <c r="N1476" s="24"/>
      <c r="O1476" s="25"/>
      <c r="P1476" s="26"/>
      <c r="Q1476" s="27"/>
      <c r="R1476" s="28"/>
      <c r="S1476" s="29"/>
      <c r="T1476" s="30"/>
    </row>
    <row r="1477" spans="1:20" ht="24" customHeight="1" x14ac:dyDescent="0.25">
      <c r="A1477" t="str">
        <f>IF('e1'!A1477&gt;0,HYPERLINK("#"&amp;ADDRESS(1477,'e1'!A1477),""),IF('r1'!A1477&gt;0,HYPERLINK("#"&amp;ADDRESS(1477,'r1'!A1477),""),""))</f>
        <v/>
      </c>
      <c r="C1477" s="13"/>
      <c r="D1477" s="14"/>
      <c r="E1477" s="15"/>
      <c r="F1477" s="16"/>
      <c r="G1477" s="17"/>
      <c r="H1477" s="18"/>
      <c r="I1477" s="19"/>
      <c r="J1477" s="20"/>
      <c r="K1477" s="21"/>
      <c r="L1477" s="22"/>
      <c r="M1477" s="23"/>
      <c r="N1477" s="24"/>
      <c r="O1477" s="25"/>
      <c r="P1477" s="26"/>
      <c r="Q1477" s="27"/>
      <c r="R1477" s="28"/>
      <c r="S1477" s="29"/>
      <c r="T1477" s="30"/>
    </row>
    <row r="1478" spans="1:20" ht="24" customHeight="1" x14ac:dyDescent="0.25">
      <c r="A1478" t="str">
        <f>IF('e1'!A1478&gt;0,HYPERLINK("#"&amp;ADDRESS(1478,'e1'!A1478),""),IF('r1'!A1478&gt;0,HYPERLINK("#"&amp;ADDRESS(1478,'r1'!A1478),""),""))</f>
        <v/>
      </c>
      <c r="C1478" s="13"/>
      <c r="D1478" s="14"/>
      <c r="E1478" s="15"/>
      <c r="F1478" s="16"/>
      <c r="G1478" s="17"/>
      <c r="H1478" s="18"/>
      <c r="I1478" s="19"/>
      <c r="J1478" s="20"/>
      <c r="K1478" s="21"/>
      <c r="L1478" s="22"/>
      <c r="M1478" s="23"/>
      <c r="N1478" s="24"/>
      <c r="O1478" s="25"/>
      <c r="P1478" s="26"/>
      <c r="Q1478" s="27"/>
      <c r="R1478" s="28"/>
      <c r="S1478" s="29"/>
      <c r="T1478" s="30"/>
    </row>
    <row r="1479" spans="1:20" ht="24" customHeight="1" x14ac:dyDescent="0.25">
      <c r="A1479" t="str">
        <f>IF('e1'!A1479&gt;0,HYPERLINK("#"&amp;ADDRESS(1479,'e1'!A1479),""),IF('r1'!A1479&gt;0,HYPERLINK("#"&amp;ADDRESS(1479,'r1'!A1479),""),""))</f>
        <v/>
      </c>
      <c r="C1479" s="13"/>
      <c r="D1479" s="14"/>
      <c r="E1479" s="15"/>
      <c r="F1479" s="16"/>
      <c r="G1479" s="17"/>
      <c r="H1479" s="18"/>
      <c r="I1479" s="19"/>
      <c r="J1479" s="20"/>
      <c r="K1479" s="21"/>
      <c r="L1479" s="22"/>
      <c r="M1479" s="23"/>
      <c r="N1479" s="24"/>
      <c r="O1479" s="25"/>
      <c r="P1479" s="26"/>
      <c r="Q1479" s="27"/>
      <c r="R1479" s="28"/>
      <c r="S1479" s="29"/>
      <c r="T1479" s="30"/>
    </row>
    <row r="1480" spans="1:20" ht="24" customHeight="1" x14ac:dyDescent="0.25">
      <c r="A1480" t="str">
        <f>IF('e1'!A1480&gt;0,HYPERLINK("#"&amp;ADDRESS(1480,'e1'!A1480),""),IF('r1'!A1480&gt;0,HYPERLINK("#"&amp;ADDRESS(1480,'r1'!A1480),""),""))</f>
        <v/>
      </c>
      <c r="C1480" s="13"/>
      <c r="D1480" s="14"/>
      <c r="E1480" s="15"/>
      <c r="F1480" s="16"/>
      <c r="G1480" s="17"/>
      <c r="H1480" s="18"/>
      <c r="I1480" s="19"/>
      <c r="J1480" s="20"/>
      <c r="K1480" s="21"/>
      <c r="L1480" s="22"/>
      <c r="M1480" s="23"/>
      <c r="N1480" s="24"/>
      <c r="O1480" s="25"/>
      <c r="P1480" s="26"/>
      <c r="Q1480" s="27"/>
      <c r="R1480" s="28"/>
      <c r="S1480" s="29"/>
      <c r="T1480" s="30"/>
    </row>
    <row r="1481" spans="1:20" ht="24" customHeight="1" x14ac:dyDescent="0.25">
      <c r="A1481" t="str">
        <f>IF('e1'!A1481&gt;0,HYPERLINK("#"&amp;ADDRESS(1481,'e1'!A1481),""),IF('r1'!A1481&gt;0,HYPERLINK("#"&amp;ADDRESS(1481,'r1'!A1481),""),""))</f>
        <v/>
      </c>
      <c r="C1481" s="13"/>
      <c r="D1481" s="14"/>
      <c r="E1481" s="15"/>
      <c r="F1481" s="16"/>
      <c r="G1481" s="17"/>
      <c r="H1481" s="18"/>
      <c r="I1481" s="19"/>
      <c r="J1481" s="20"/>
      <c r="K1481" s="21"/>
      <c r="L1481" s="22"/>
      <c r="M1481" s="23"/>
      <c r="N1481" s="24"/>
      <c r="O1481" s="25"/>
      <c r="P1481" s="26"/>
      <c r="Q1481" s="27"/>
      <c r="R1481" s="28"/>
      <c r="S1481" s="29"/>
      <c r="T1481" s="30"/>
    </row>
    <row r="1482" spans="1:20" ht="24" customHeight="1" x14ac:dyDescent="0.25">
      <c r="A1482" t="str">
        <f>IF('e1'!A1482&gt;0,HYPERLINK("#"&amp;ADDRESS(1482,'e1'!A1482),""),IF('r1'!A1482&gt;0,HYPERLINK("#"&amp;ADDRESS(1482,'r1'!A1482),""),""))</f>
        <v/>
      </c>
      <c r="C1482" s="13"/>
      <c r="D1482" s="14"/>
      <c r="E1482" s="15"/>
      <c r="F1482" s="16"/>
      <c r="G1482" s="17"/>
      <c r="H1482" s="18"/>
      <c r="I1482" s="19"/>
      <c r="J1482" s="20"/>
      <c r="K1482" s="21"/>
      <c r="L1482" s="22"/>
      <c r="M1482" s="23"/>
      <c r="N1482" s="24"/>
      <c r="O1482" s="25"/>
      <c r="P1482" s="26"/>
      <c r="Q1482" s="27"/>
      <c r="R1482" s="28"/>
      <c r="S1482" s="29"/>
      <c r="T1482" s="30"/>
    </row>
    <row r="1483" spans="1:20" ht="24" customHeight="1" x14ac:dyDescent="0.25">
      <c r="A1483" t="str">
        <f>IF('e1'!A1483&gt;0,HYPERLINK("#"&amp;ADDRESS(1483,'e1'!A1483),""),IF('r1'!A1483&gt;0,HYPERLINK("#"&amp;ADDRESS(1483,'r1'!A1483),""),""))</f>
        <v/>
      </c>
      <c r="C1483" s="13"/>
      <c r="D1483" s="14"/>
      <c r="E1483" s="15"/>
      <c r="F1483" s="16"/>
      <c r="G1483" s="17"/>
      <c r="H1483" s="18"/>
      <c r="I1483" s="19"/>
      <c r="J1483" s="20"/>
      <c r="K1483" s="21"/>
      <c r="L1483" s="22"/>
      <c r="M1483" s="23"/>
      <c r="N1483" s="24"/>
      <c r="O1483" s="25"/>
      <c r="P1483" s="26"/>
      <c r="Q1483" s="27"/>
      <c r="R1483" s="28"/>
      <c r="S1483" s="29"/>
      <c r="T1483" s="30"/>
    </row>
    <row r="1484" spans="1:20" ht="24" customHeight="1" x14ac:dyDescent="0.25">
      <c r="A1484" t="str">
        <f>IF('e1'!A1484&gt;0,HYPERLINK("#"&amp;ADDRESS(1484,'e1'!A1484),""),IF('r1'!A1484&gt;0,HYPERLINK("#"&amp;ADDRESS(1484,'r1'!A1484),""),""))</f>
        <v/>
      </c>
      <c r="C1484" s="13"/>
      <c r="D1484" s="14"/>
      <c r="E1484" s="15"/>
      <c r="F1484" s="16"/>
      <c r="G1484" s="17"/>
      <c r="H1484" s="18"/>
      <c r="I1484" s="19"/>
      <c r="J1484" s="20"/>
      <c r="K1484" s="21"/>
      <c r="L1484" s="22"/>
      <c r="M1484" s="23"/>
      <c r="N1484" s="24"/>
      <c r="O1484" s="25"/>
      <c r="P1484" s="26"/>
      <c r="Q1484" s="27"/>
      <c r="R1484" s="28"/>
      <c r="S1484" s="29"/>
      <c r="T1484" s="30"/>
    </row>
    <row r="1485" spans="1:20" ht="24" customHeight="1" x14ac:dyDescent="0.25">
      <c r="A1485" t="str">
        <f>IF('e1'!A1485&gt;0,HYPERLINK("#"&amp;ADDRESS(1485,'e1'!A1485),""),IF('r1'!A1485&gt;0,HYPERLINK("#"&amp;ADDRESS(1485,'r1'!A1485),""),""))</f>
        <v/>
      </c>
      <c r="C1485" s="13"/>
      <c r="D1485" s="14"/>
      <c r="E1485" s="15"/>
      <c r="F1485" s="16"/>
      <c r="G1485" s="17"/>
      <c r="H1485" s="18"/>
      <c r="I1485" s="19"/>
      <c r="J1485" s="20"/>
      <c r="K1485" s="21"/>
      <c r="L1485" s="22"/>
      <c r="M1485" s="23"/>
      <c r="N1485" s="24"/>
      <c r="O1485" s="25"/>
      <c r="P1485" s="26"/>
      <c r="Q1485" s="27"/>
      <c r="R1485" s="28"/>
      <c r="S1485" s="29"/>
      <c r="T1485" s="30"/>
    </row>
    <row r="1486" spans="1:20" ht="24" customHeight="1" x14ac:dyDescent="0.25">
      <c r="A1486" t="str">
        <f>IF('e1'!A1486&gt;0,HYPERLINK("#"&amp;ADDRESS(1486,'e1'!A1486),""),IF('r1'!A1486&gt;0,HYPERLINK("#"&amp;ADDRESS(1486,'r1'!A1486),""),""))</f>
        <v/>
      </c>
      <c r="C1486" s="13"/>
      <c r="D1486" s="14"/>
      <c r="E1486" s="15"/>
      <c r="F1486" s="16"/>
      <c r="G1486" s="17"/>
      <c r="H1486" s="18"/>
      <c r="I1486" s="19"/>
      <c r="J1486" s="20"/>
      <c r="K1486" s="21"/>
      <c r="L1486" s="22"/>
      <c r="M1486" s="23"/>
      <c r="N1486" s="24"/>
      <c r="O1486" s="25"/>
      <c r="P1486" s="26"/>
      <c r="Q1486" s="27"/>
      <c r="R1486" s="28"/>
      <c r="S1486" s="29"/>
      <c r="T1486" s="30"/>
    </row>
    <row r="1487" spans="1:20" ht="24" customHeight="1" x14ac:dyDescent="0.25">
      <c r="A1487" t="str">
        <f>IF('e1'!A1487&gt;0,HYPERLINK("#"&amp;ADDRESS(1487,'e1'!A1487),""),IF('r1'!A1487&gt;0,HYPERLINK("#"&amp;ADDRESS(1487,'r1'!A1487),""),""))</f>
        <v/>
      </c>
      <c r="C1487" s="13"/>
      <c r="D1487" s="14"/>
      <c r="E1487" s="15"/>
      <c r="F1487" s="16"/>
      <c r="G1487" s="17"/>
      <c r="H1487" s="18"/>
      <c r="I1487" s="19"/>
      <c r="J1487" s="20"/>
      <c r="K1487" s="21"/>
      <c r="L1487" s="22"/>
      <c r="M1487" s="23"/>
      <c r="N1487" s="24"/>
      <c r="O1487" s="25"/>
      <c r="P1487" s="26"/>
      <c r="Q1487" s="27"/>
      <c r="R1487" s="28"/>
      <c r="S1487" s="29"/>
      <c r="T1487" s="30"/>
    </row>
    <row r="1488" spans="1:20" ht="24" customHeight="1" x14ac:dyDescent="0.25">
      <c r="A1488" t="str">
        <f>IF('e1'!A1488&gt;0,HYPERLINK("#"&amp;ADDRESS(1488,'e1'!A1488),""),IF('r1'!A1488&gt;0,HYPERLINK("#"&amp;ADDRESS(1488,'r1'!A1488),""),""))</f>
        <v/>
      </c>
      <c r="C1488" s="13"/>
      <c r="D1488" s="14"/>
      <c r="E1488" s="15"/>
      <c r="F1488" s="16"/>
      <c r="G1488" s="17"/>
      <c r="H1488" s="18"/>
      <c r="I1488" s="19"/>
      <c r="J1488" s="20"/>
      <c r="K1488" s="21"/>
      <c r="L1488" s="22"/>
      <c r="M1488" s="23"/>
      <c r="N1488" s="24"/>
      <c r="O1488" s="25"/>
      <c r="P1488" s="26"/>
      <c r="Q1488" s="27"/>
      <c r="R1488" s="28"/>
      <c r="S1488" s="29"/>
      <c r="T1488" s="30"/>
    </row>
    <row r="1489" spans="1:20" ht="24" customHeight="1" x14ac:dyDescent="0.25">
      <c r="A1489" t="str">
        <f>IF('e1'!A1489&gt;0,HYPERLINK("#"&amp;ADDRESS(1489,'e1'!A1489),""),IF('r1'!A1489&gt;0,HYPERLINK("#"&amp;ADDRESS(1489,'r1'!A1489),""),""))</f>
        <v/>
      </c>
      <c r="C1489" s="13"/>
      <c r="D1489" s="14"/>
      <c r="E1489" s="15"/>
      <c r="F1489" s="16"/>
      <c r="G1489" s="17"/>
      <c r="H1489" s="18"/>
      <c r="I1489" s="19"/>
      <c r="J1489" s="20"/>
      <c r="K1489" s="21"/>
      <c r="L1489" s="22"/>
      <c r="M1489" s="23"/>
      <c r="N1489" s="24"/>
      <c r="O1489" s="25"/>
      <c r="P1489" s="26"/>
      <c r="Q1489" s="27"/>
      <c r="R1489" s="28"/>
      <c r="S1489" s="29"/>
      <c r="T1489" s="30"/>
    </row>
    <row r="1490" spans="1:20" ht="24" customHeight="1" x14ac:dyDescent="0.25">
      <c r="A1490" t="str">
        <f>IF('e1'!A1490&gt;0,HYPERLINK("#"&amp;ADDRESS(1490,'e1'!A1490),""),IF('r1'!A1490&gt;0,HYPERLINK("#"&amp;ADDRESS(1490,'r1'!A1490),""),""))</f>
        <v/>
      </c>
      <c r="C1490" s="13"/>
      <c r="D1490" s="14"/>
      <c r="E1490" s="15"/>
      <c r="F1490" s="16"/>
      <c r="G1490" s="17"/>
      <c r="H1490" s="18"/>
      <c r="I1490" s="19"/>
      <c r="J1490" s="20"/>
      <c r="K1490" s="21"/>
      <c r="L1490" s="22"/>
      <c r="M1490" s="23"/>
      <c r="N1490" s="24"/>
      <c r="O1490" s="25"/>
      <c r="P1490" s="26"/>
      <c r="Q1490" s="27"/>
      <c r="R1490" s="28"/>
      <c r="S1490" s="29"/>
      <c r="T1490" s="30"/>
    </row>
    <row r="1491" spans="1:20" ht="24" customHeight="1" x14ac:dyDescent="0.25">
      <c r="A1491" t="str">
        <f>IF('e1'!A1491&gt;0,HYPERLINK("#"&amp;ADDRESS(1491,'e1'!A1491),""),IF('r1'!A1491&gt;0,HYPERLINK("#"&amp;ADDRESS(1491,'r1'!A1491),""),""))</f>
        <v/>
      </c>
      <c r="C1491" s="13"/>
      <c r="D1491" s="14"/>
      <c r="E1491" s="15"/>
      <c r="F1491" s="16"/>
      <c r="G1491" s="17"/>
      <c r="H1491" s="18"/>
      <c r="I1491" s="19"/>
      <c r="J1491" s="20"/>
      <c r="K1491" s="21"/>
      <c r="L1491" s="22"/>
      <c r="M1491" s="23"/>
      <c r="N1491" s="24"/>
      <c r="O1491" s="25"/>
      <c r="P1491" s="26"/>
      <c r="Q1491" s="27"/>
      <c r="R1491" s="28"/>
      <c r="S1491" s="29"/>
      <c r="T1491" s="30"/>
    </row>
    <row r="1492" spans="1:20" ht="24" customHeight="1" x14ac:dyDescent="0.25">
      <c r="A1492" t="str">
        <f>IF('e1'!A1492&gt;0,HYPERLINK("#"&amp;ADDRESS(1492,'e1'!A1492),""),IF('r1'!A1492&gt;0,HYPERLINK("#"&amp;ADDRESS(1492,'r1'!A1492),""),""))</f>
        <v/>
      </c>
      <c r="C1492" s="13"/>
      <c r="D1492" s="14"/>
      <c r="E1492" s="15"/>
      <c r="F1492" s="16"/>
      <c r="G1492" s="17"/>
      <c r="H1492" s="18"/>
      <c r="I1492" s="19"/>
      <c r="J1492" s="20"/>
      <c r="K1492" s="21"/>
      <c r="L1492" s="22"/>
      <c r="M1492" s="23"/>
      <c r="N1492" s="24"/>
      <c r="O1492" s="25"/>
      <c r="P1492" s="26"/>
      <c r="Q1492" s="27"/>
      <c r="R1492" s="28"/>
      <c r="S1492" s="29"/>
      <c r="T1492" s="30"/>
    </row>
    <row r="1493" spans="1:20" ht="24" customHeight="1" x14ac:dyDescent="0.25">
      <c r="A1493" t="str">
        <f>IF('e1'!A1493&gt;0,HYPERLINK("#"&amp;ADDRESS(1493,'e1'!A1493),""),IF('r1'!A1493&gt;0,HYPERLINK("#"&amp;ADDRESS(1493,'r1'!A1493),""),""))</f>
        <v/>
      </c>
      <c r="C1493" s="13"/>
      <c r="D1493" s="14"/>
      <c r="E1493" s="15"/>
      <c r="F1493" s="16"/>
      <c r="G1493" s="17"/>
      <c r="H1493" s="18"/>
      <c r="I1493" s="19"/>
      <c r="J1493" s="20"/>
      <c r="K1493" s="21"/>
      <c r="L1493" s="22"/>
      <c r="M1493" s="23"/>
      <c r="N1493" s="24"/>
      <c r="O1493" s="25"/>
      <c r="P1493" s="26"/>
      <c r="Q1493" s="27"/>
      <c r="R1493" s="28"/>
      <c r="S1493" s="29"/>
      <c r="T1493" s="30"/>
    </row>
    <row r="1494" spans="1:20" ht="24" customHeight="1" x14ac:dyDescent="0.25">
      <c r="A1494" t="str">
        <f>IF('e1'!A1494&gt;0,HYPERLINK("#"&amp;ADDRESS(1494,'e1'!A1494),""),IF('r1'!A1494&gt;0,HYPERLINK("#"&amp;ADDRESS(1494,'r1'!A1494),""),""))</f>
        <v/>
      </c>
      <c r="C1494" s="13"/>
      <c r="D1494" s="14"/>
      <c r="E1494" s="15"/>
      <c r="F1494" s="16"/>
      <c r="G1494" s="17"/>
      <c r="H1494" s="18"/>
      <c r="I1494" s="19"/>
      <c r="J1494" s="20"/>
      <c r="K1494" s="21"/>
      <c r="L1494" s="22"/>
      <c r="M1494" s="23"/>
      <c r="N1494" s="24"/>
      <c r="O1494" s="25"/>
      <c r="P1494" s="26"/>
      <c r="Q1494" s="27"/>
      <c r="R1494" s="28"/>
      <c r="S1494" s="29"/>
      <c r="T1494" s="30"/>
    </row>
    <row r="1495" spans="1:20" ht="24" customHeight="1" x14ac:dyDescent="0.25">
      <c r="A1495" t="str">
        <f>IF('e1'!A1495&gt;0,HYPERLINK("#"&amp;ADDRESS(1495,'e1'!A1495),""),IF('r1'!A1495&gt;0,HYPERLINK("#"&amp;ADDRESS(1495,'r1'!A1495),""),""))</f>
        <v/>
      </c>
      <c r="C1495" s="13"/>
      <c r="D1495" s="14"/>
      <c r="E1495" s="15"/>
      <c r="F1495" s="16"/>
      <c r="G1495" s="17"/>
      <c r="H1495" s="18"/>
      <c r="I1495" s="19"/>
      <c r="J1495" s="20"/>
      <c r="K1495" s="21"/>
      <c r="L1495" s="22"/>
      <c r="M1495" s="23"/>
      <c r="N1495" s="24"/>
      <c r="O1495" s="25"/>
      <c r="P1495" s="26"/>
      <c r="Q1495" s="27"/>
      <c r="R1495" s="28"/>
      <c r="S1495" s="29"/>
      <c r="T1495" s="30"/>
    </row>
    <row r="1496" spans="1:20" ht="24" customHeight="1" x14ac:dyDescent="0.25">
      <c r="A1496" t="str">
        <f>IF('e1'!A1496&gt;0,HYPERLINK("#"&amp;ADDRESS(1496,'e1'!A1496),""),IF('r1'!A1496&gt;0,HYPERLINK("#"&amp;ADDRESS(1496,'r1'!A1496),""),""))</f>
        <v/>
      </c>
      <c r="C1496" s="13"/>
      <c r="D1496" s="14"/>
      <c r="E1496" s="15"/>
      <c r="F1496" s="16"/>
      <c r="G1496" s="17"/>
      <c r="H1496" s="18"/>
      <c r="I1496" s="19"/>
      <c r="J1496" s="20"/>
      <c r="K1496" s="21"/>
      <c r="L1496" s="22"/>
      <c r="M1496" s="23"/>
      <c r="N1496" s="24"/>
      <c r="O1496" s="25"/>
      <c r="P1496" s="26"/>
      <c r="Q1496" s="27"/>
      <c r="R1496" s="28"/>
      <c r="S1496" s="29"/>
      <c r="T1496" s="30"/>
    </row>
    <row r="1497" spans="1:20" ht="24" customHeight="1" x14ac:dyDescent="0.25">
      <c r="A1497" t="str">
        <f>IF('e1'!A1497&gt;0,HYPERLINK("#"&amp;ADDRESS(1497,'e1'!A1497),""),IF('r1'!A1497&gt;0,HYPERLINK("#"&amp;ADDRESS(1497,'r1'!A1497),""),""))</f>
        <v/>
      </c>
      <c r="C1497" s="13"/>
      <c r="D1497" s="14"/>
      <c r="E1497" s="15"/>
      <c r="F1497" s="16"/>
      <c r="G1497" s="17"/>
      <c r="H1497" s="18"/>
      <c r="I1497" s="19"/>
      <c r="J1497" s="20"/>
      <c r="K1497" s="21"/>
      <c r="L1497" s="22"/>
      <c r="M1497" s="23"/>
      <c r="N1497" s="24"/>
      <c r="O1497" s="25"/>
      <c r="P1497" s="26"/>
      <c r="Q1497" s="27"/>
      <c r="R1497" s="28"/>
      <c r="S1497" s="29"/>
      <c r="T1497" s="30"/>
    </row>
    <row r="1498" spans="1:20" ht="24" customHeight="1" x14ac:dyDescent="0.25">
      <c r="A1498" t="str">
        <f>IF('e1'!A1498&gt;0,HYPERLINK("#"&amp;ADDRESS(1498,'e1'!A1498),""),IF('r1'!A1498&gt;0,HYPERLINK("#"&amp;ADDRESS(1498,'r1'!A1498),""),""))</f>
        <v/>
      </c>
      <c r="C1498" s="13"/>
      <c r="D1498" s="14"/>
      <c r="E1498" s="15"/>
      <c r="F1498" s="16"/>
      <c r="G1498" s="17"/>
      <c r="H1498" s="18"/>
      <c r="I1498" s="19"/>
      <c r="J1498" s="20"/>
      <c r="K1498" s="21"/>
      <c r="L1498" s="22"/>
      <c r="M1498" s="23"/>
      <c r="N1498" s="24"/>
      <c r="O1498" s="25"/>
      <c r="P1498" s="26"/>
      <c r="Q1498" s="27"/>
      <c r="R1498" s="28"/>
      <c r="S1498" s="29"/>
      <c r="T1498" s="30"/>
    </row>
    <row r="1499" spans="1:20" ht="24" customHeight="1" x14ac:dyDescent="0.25">
      <c r="A1499" t="str">
        <f>IF('e1'!A1499&gt;0,HYPERLINK("#"&amp;ADDRESS(1499,'e1'!A1499),""),IF('r1'!A1499&gt;0,HYPERLINK("#"&amp;ADDRESS(1499,'r1'!A1499),""),""))</f>
        <v/>
      </c>
      <c r="C1499" s="13"/>
      <c r="D1499" s="14"/>
      <c r="E1499" s="15"/>
      <c r="F1499" s="16"/>
      <c r="G1499" s="17"/>
      <c r="H1499" s="18"/>
      <c r="I1499" s="19"/>
      <c r="J1499" s="20"/>
      <c r="K1499" s="21"/>
      <c r="L1499" s="22"/>
      <c r="M1499" s="23"/>
      <c r="N1499" s="24"/>
      <c r="O1499" s="25"/>
      <c r="P1499" s="26"/>
      <c r="Q1499" s="27"/>
      <c r="R1499" s="28"/>
      <c r="S1499" s="29"/>
      <c r="T1499" s="30"/>
    </row>
    <row r="1500" spans="1:20" ht="24" customHeight="1" x14ac:dyDescent="0.25">
      <c r="A1500" t="str">
        <f>IF('e1'!A1500&gt;0,HYPERLINK("#"&amp;ADDRESS(1500,'e1'!A1500),""),IF('r1'!A1500&gt;0,HYPERLINK("#"&amp;ADDRESS(1500,'r1'!A1500),""),""))</f>
        <v/>
      </c>
      <c r="C1500" s="13"/>
      <c r="D1500" s="14"/>
      <c r="E1500" s="15"/>
      <c r="F1500" s="16"/>
      <c r="G1500" s="17"/>
      <c r="H1500" s="18"/>
      <c r="I1500" s="19"/>
      <c r="J1500" s="20"/>
      <c r="K1500" s="21"/>
      <c r="L1500" s="22"/>
      <c r="M1500" s="23"/>
      <c r="N1500" s="24"/>
      <c r="O1500" s="25"/>
      <c r="P1500" s="26"/>
      <c r="Q1500" s="27"/>
      <c r="R1500" s="28"/>
      <c r="S1500" s="29"/>
      <c r="T1500" s="30"/>
    </row>
    <row r="1501" spans="1:20" ht="24" customHeight="1" x14ac:dyDescent="0.25">
      <c r="A1501" t="str">
        <f>IF('e1'!A1501&gt;0,HYPERLINK("#"&amp;ADDRESS(1501,'e1'!A1501),""),IF('r1'!A1501&gt;0,HYPERLINK("#"&amp;ADDRESS(1501,'r1'!A1501),""),""))</f>
        <v/>
      </c>
      <c r="C1501" s="13"/>
      <c r="D1501" s="14"/>
      <c r="E1501" s="15"/>
      <c r="F1501" s="16"/>
      <c r="G1501" s="17"/>
      <c r="H1501" s="18"/>
      <c r="I1501" s="19"/>
      <c r="J1501" s="20"/>
      <c r="K1501" s="21"/>
      <c r="L1501" s="22"/>
      <c r="M1501" s="23"/>
      <c r="N1501" s="24"/>
      <c r="O1501" s="25"/>
      <c r="P1501" s="26"/>
      <c r="Q1501" s="27"/>
      <c r="R1501" s="28"/>
      <c r="S1501" s="29"/>
      <c r="T1501" s="30"/>
    </row>
    <row r="1502" spans="1:20" ht="24" customHeight="1" x14ac:dyDescent="0.25">
      <c r="A1502" t="str">
        <f>IF('e1'!A1502&gt;0,HYPERLINK("#"&amp;ADDRESS(1502,'e1'!A1502),""),IF('r1'!A1502&gt;0,HYPERLINK("#"&amp;ADDRESS(1502,'r1'!A1502),""),""))</f>
        <v/>
      </c>
      <c r="C1502" s="13"/>
      <c r="D1502" s="14"/>
      <c r="E1502" s="15"/>
      <c r="F1502" s="16"/>
      <c r="G1502" s="17"/>
      <c r="H1502" s="18"/>
      <c r="I1502" s="19"/>
      <c r="J1502" s="20"/>
      <c r="K1502" s="21"/>
      <c r="L1502" s="22"/>
      <c r="M1502" s="23"/>
      <c r="N1502" s="24"/>
      <c r="O1502" s="25"/>
      <c r="P1502" s="26"/>
      <c r="Q1502" s="27"/>
      <c r="R1502" s="28"/>
      <c r="S1502" s="29"/>
      <c r="T1502" s="30"/>
    </row>
    <row r="1503" spans="1:20" ht="24" customHeight="1" x14ac:dyDescent="0.25">
      <c r="A1503" t="str">
        <f>IF('e1'!A1503&gt;0,HYPERLINK("#"&amp;ADDRESS(1503,'e1'!A1503),""),IF('r1'!A1503&gt;0,HYPERLINK("#"&amp;ADDRESS(1503,'r1'!A1503),""),""))</f>
        <v/>
      </c>
      <c r="C1503" s="13"/>
      <c r="D1503" s="14"/>
      <c r="E1503" s="15"/>
      <c r="F1503" s="16"/>
      <c r="G1503" s="17"/>
      <c r="H1503" s="18"/>
      <c r="I1503" s="19"/>
      <c r="J1503" s="20"/>
      <c r="K1503" s="21"/>
      <c r="L1503" s="22"/>
      <c r="M1503" s="23"/>
      <c r="N1503" s="24"/>
      <c r="O1503" s="25"/>
      <c r="P1503" s="26"/>
      <c r="Q1503" s="27"/>
      <c r="R1503" s="28"/>
      <c r="S1503" s="29"/>
      <c r="T1503" s="30"/>
    </row>
    <row r="1504" spans="1:20" ht="24" customHeight="1" x14ac:dyDescent="0.25">
      <c r="A1504" t="str">
        <f>IF('e1'!A1504&gt;0,HYPERLINK("#"&amp;ADDRESS(1504,'e1'!A1504),""),IF('r1'!A1504&gt;0,HYPERLINK("#"&amp;ADDRESS(1504,'r1'!A1504),""),""))</f>
        <v/>
      </c>
      <c r="C1504" s="13"/>
      <c r="D1504" s="14"/>
      <c r="E1504" s="15"/>
      <c r="F1504" s="16"/>
      <c r="G1504" s="17"/>
      <c r="H1504" s="18"/>
      <c r="I1504" s="19"/>
      <c r="J1504" s="20"/>
      <c r="K1504" s="21"/>
      <c r="L1504" s="22"/>
      <c r="M1504" s="23"/>
      <c r="N1504" s="24"/>
      <c r="O1504" s="25"/>
      <c r="P1504" s="26"/>
      <c r="Q1504" s="27"/>
      <c r="R1504" s="28"/>
      <c r="S1504" s="29"/>
      <c r="T1504" s="30"/>
    </row>
    <row r="1505" spans="1:20" ht="24" customHeight="1" x14ac:dyDescent="0.25">
      <c r="A1505" t="str">
        <f>IF('e1'!A1505&gt;0,HYPERLINK("#"&amp;ADDRESS(1505,'e1'!A1505),""),IF('r1'!A1505&gt;0,HYPERLINK("#"&amp;ADDRESS(1505,'r1'!A1505),""),""))</f>
        <v/>
      </c>
      <c r="C1505" s="13"/>
      <c r="D1505" s="14"/>
      <c r="E1505" s="15"/>
      <c r="F1505" s="16"/>
      <c r="G1505" s="17"/>
      <c r="H1505" s="18"/>
      <c r="I1505" s="19"/>
      <c r="J1505" s="20"/>
      <c r="K1505" s="21"/>
      <c r="L1505" s="22"/>
      <c r="M1505" s="23"/>
      <c r="N1505" s="24"/>
      <c r="O1505" s="25"/>
      <c r="P1505" s="26"/>
      <c r="Q1505" s="27"/>
      <c r="R1505" s="28"/>
      <c r="S1505" s="29"/>
      <c r="T1505" s="30"/>
    </row>
    <row r="1506" spans="1:20" ht="24" customHeight="1" x14ac:dyDescent="0.25">
      <c r="A1506" t="str">
        <f>IF('e1'!A1506&gt;0,HYPERLINK("#"&amp;ADDRESS(1506,'e1'!A1506),""),IF('r1'!A1506&gt;0,HYPERLINK("#"&amp;ADDRESS(1506,'r1'!A1506),""),""))</f>
        <v/>
      </c>
      <c r="C1506" s="13"/>
      <c r="D1506" s="14"/>
      <c r="E1506" s="15"/>
      <c r="F1506" s="16"/>
      <c r="G1506" s="17"/>
      <c r="H1506" s="18"/>
      <c r="I1506" s="19"/>
      <c r="J1506" s="20"/>
      <c r="K1506" s="21"/>
      <c r="L1506" s="22"/>
      <c r="M1506" s="23"/>
      <c r="N1506" s="24"/>
      <c r="O1506" s="25"/>
      <c r="P1506" s="26"/>
      <c r="Q1506" s="27"/>
      <c r="R1506" s="28"/>
      <c r="S1506" s="29"/>
      <c r="T1506" s="30"/>
    </row>
    <row r="1507" spans="1:20" ht="24" customHeight="1" x14ac:dyDescent="0.25">
      <c r="A1507" t="str">
        <f>IF('e1'!A1507&gt;0,HYPERLINK("#"&amp;ADDRESS(1507,'e1'!A1507),""),IF('r1'!A1507&gt;0,HYPERLINK("#"&amp;ADDRESS(1507,'r1'!A1507),""),""))</f>
        <v/>
      </c>
      <c r="C1507" s="13"/>
      <c r="D1507" s="14"/>
      <c r="E1507" s="15"/>
      <c r="F1507" s="16"/>
      <c r="G1507" s="17"/>
      <c r="H1507" s="18"/>
      <c r="I1507" s="19"/>
      <c r="J1507" s="20"/>
      <c r="K1507" s="21"/>
      <c r="L1507" s="22"/>
      <c r="M1507" s="23"/>
      <c r="N1507" s="24"/>
      <c r="O1507" s="25"/>
      <c r="P1507" s="26"/>
      <c r="Q1507" s="27"/>
      <c r="R1507" s="28"/>
      <c r="S1507" s="29"/>
      <c r="T1507" s="30"/>
    </row>
    <row r="1508" spans="1:20" ht="24" customHeight="1" x14ac:dyDescent="0.25">
      <c r="A1508" t="str">
        <f>IF('e1'!A1508&gt;0,HYPERLINK("#"&amp;ADDRESS(1508,'e1'!A1508),""),IF('r1'!A1508&gt;0,HYPERLINK("#"&amp;ADDRESS(1508,'r1'!A1508),""),""))</f>
        <v/>
      </c>
      <c r="C1508" s="13"/>
      <c r="D1508" s="14"/>
      <c r="E1508" s="15"/>
      <c r="F1508" s="16"/>
      <c r="G1508" s="17"/>
      <c r="H1508" s="18"/>
      <c r="I1508" s="19"/>
      <c r="J1508" s="20"/>
      <c r="K1508" s="21"/>
      <c r="L1508" s="22"/>
      <c r="M1508" s="23"/>
      <c r="N1508" s="24"/>
      <c r="O1508" s="25"/>
      <c r="P1508" s="26"/>
      <c r="Q1508" s="27"/>
      <c r="R1508" s="28"/>
      <c r="S1508" s="29"/>
      <c r="T1508" s="30"/>
    </row>
    <row r="1509" spans="1:20" ht="24" customHeight="1" x14ac:dyDescent="0.25">
      <c r="A1509" t="str">
        <f>IF('e1'!A1509&gt;0,HYPERLINK("#"&amp;ADDRESS(1509,'e1'!A1509),""),IF('r1'!A1509&gt;0,HYPERLINK("#"&amp;ADDRESS(1509,'r1'!A1509),""),""))</f>
        <v/>
      </c>
      <c r="C1509" s="13"/>
      <c r="D1509" s="14"/>
      <c r="E1509" s="15"/>
      <c r="F1509" s="16"/>
      <c r="G1509" s="17"/>
      <c r="H1509" s="18"/>
      <c r="I1509" s="19"/>
      <c r="J1509" s="20"/>
      <c r="K1509" s="21"/>
      <c r="L1509" s="22"/>
      <c r="M1509" s="23"/>
      <c r="N1509" s="24"/>
      <c r="O1509" s="25"/>
      <c r="P1509" s="26"/>
      <c r="Q1509" s="27"/>
      <c r="R1509" s="28"/>
      <c r="S1509" s="29"/>
      <c r="T1509" s="30"/>
    </row>
    <row r="1510" spans="1:20" ht="24" customHeight="1" x14ac:dyDescent="0.25">
      <c r="A1510" t="str">
        <f>IF('e1'!A1510&gt;0,HYPERLINK("#"&amp;ADDRESS(1510,'e1'!A1510),""),IF('r1'!A1510&gt;0,HYPERLINK("#"&amp;ADDRESS(1510,'r1'!A1510),""),""))</f>
        <v/>
      </c>
      <c r="C1510" s="13"/>
      <c r="D1510" s="14"/>
      <c r="E1510" s="15"/>
      <c r="F1510" s="16"/>
      <c r="G1510" s="17"/>
      <c r="H1510" s="18"/>
      <c r="I1510" s="19"/>
      <c r="J1510" s="20"/>
      <c r="K1510" s="21"/>
      <c r="L1510" s="22"/>
      <c r="M1510" s="23"/>
      <c r="N1510" s="24"/>
      <c r="O1510" s="25"/>
      <c r="P1510" s="26"/>
      <c r="Q1510" s="27"/>
      <c r="R1510" s="28"/>
      <c r="S1510" s="29"/>
      <c r="T1510" s="30"/>
    </row>
    <row r="1511" spans="1:20" ht="24" customHeight="1" x14ac:dyDescent="0.25">
      <c r="A1511" t="str">
        <f>IF('e1'!A1511&gt;0,HYPERLINK("#"&amp;ADDRESS(1511,'e1'!A1511),""),IF('r1'!A1511&gt;0,HYPERLINK("#"&amp;ADDRESS(1511,'r1'!A1511),""),""))</f>
        <v/>
      </c>
      <c r="C1511" s="13"/>
      <c r="D1511" s="14"/>
      <c r="E1511" s="15"/>
      <c r="F1511" s="16"/>
      <c r="G1511" s="17"/>
      <c r="H1511" s="18"/>
      <c r="I1511" s="19"/>
      <c r="J1511" s="20"/>
      <c r="K1511" s="21"/>
      <c r="L1511" s="22"/>
      <c r="M1511" s="23"/>
      <c r="N1511" s="24"/>
      <c r="O1511" s="25"/>
      <c r="P1511" s="26"/>
      <c r="Q1511" s="27"/>
      <c r="R1511" s="28"/>
      <c r="S1511" s="29"/>
      <c r="T1511" s="30"/>
    </row>
    <row r="1512" spans="1:20" ht="24" customHeight="1" x14ac:dyDescent="0.25">
      <c r="A1512" t="str">
        <f>IF('e1'!A1512&gt;0,HYPERLINK("#"&amp;ADDRESS(1512,'e1'!A1512),""),IF('r1'!A1512&gt;0,HYPERLINK("#"&amp;ADDRESS(1512,'r1'!A1512),""),""))</f>
        <v/>
      </c>
      <c r="C1512" s="13"/>
      <c r="D1512" s="14"/>
      <c r="E1512" s="15"/>
      <c r="F1512" s="16"/>
      <c r="G1512" s="17"/>
      <c r="H1512" s="18"/>
      <c r="I1512" s="19"/>
      <c r="J1512" s="20"/>
      <c r="K1512" s="21"/>
      <c r="L1512" s="22"/>
      <c r="M1512" s="23"/>
      <c r="N1512" s="24"/>
      <c r="O1512" s="25"/>
      <c r="P1512" s="26"/>
      <c r="Q1512" s="27"/>
      <c r="R1512" s="28"/>
      <c r="S1512" s="29"/>
      <c r="T1512" s="30"/>
    </row>
    <row r="1513" spans="1:20" ht="24" customHeight="1" x14ac:dyDescent="0.25">
      <c r="A1513" t="str">
        <f>IF('e1'!A1513&gt;0,HYPERLINK("#"&amp;ADDRESS(1513,'e1'!A1513),""),IF('r1'!A1513&gt;0,HYPERLINK("#"&amp;ADDRESS(1513,'r1'!A1513),""),""))</f>
        <v/>
      </c>
      <c r="C1513" s="13"/>
      <c r="D1513" s="14"/>
      <c r="E1513" s="15"/>
      <c r="F1513" s="16"/>
      <c r="G1513" s="17"/>
      <c r="H1513" s="18"/>
      <c r="I1513" s="19"/>
      <c r="J1513" s="20"/>
      <c r="K1513" s="21"/>
      <c r="L1513" s="22"/>
      <c r="M1513" s="23"/>
      <c r="N1513" s="24"/>
      <c r="O1513" s="25"/>
      <c r="P1513" s="26"/>
      <c r="Q1513" s="27"/>
      <c r="R1513" s="28"/>
      <c r="S1513" s="29"/>
      <c r="T1513" s="30"/>
    </row>
    <row r="1514" spans="1:20" ht="24" customHeight="1" x14ac:dyDescent="0.25">
      <c r="A1514" t="str">
        <f>IF('e1'!A1514&gt;0,HYPERLINK("#"&amp;ADDRESS(1514,'e1'!A1514),""),IF('r1'!A1514&gt;0,HYPERLINK("#"&amp;ADDRESS(1514,'r1'!A1514),""),""))</f>
        <v/>
      </c>
      <c r="C1514" s="13"/>
      <c r="D1514" s="14"/>
      <c r="E1514" s="15"/>
      <c r="F1514" s="16"/>
      <c r="G1514" s="17"/>
      <c r="H1514" s="18"/>
      <c r="I1514" s="19"/>
      <c r="J1514" s="20"/>
      <c r="K1514" s="21"/>
      <c r="L1514" s="22"/>
      <c r="M1514" s="23"/>
      <c r="N1514" s="24"/>
      <c r="O1514" s="25"/>
      <c r="P1514" s="26"/>
      <c r="Q1514" s="27"/>
      <c r="R1514" s="28"/>
      <c r="S1514" s="29"/>
      <c r="T1514" s="30"/>
    </row>
    <row r="1515" spans="1:20" ht="24" customHeight="1" x14ac:dyDescent="0.25">
      <c r="A1515" t="str">
        <f>IF('e1'!A1515&gt;0,HYPERLINK("#"&amp;ADDRESS(1515,'e1'!A1515),""),IF('r1'!A1515&gt;0,HYPERLINK("#"&amp;ADDRESS(1515,'r1'!A1515),""),""))</f>
        <v/>
      </c>
      <c r="C1515" s="13"/>
      <c r="D1515" s="14"/>
      <c r="E1515" s="15"/>
      <c r="F1515" s="16"/>
      <c r="G1515" s="17"/>
      <c r="H1515" s="18"/>
      <c r="I1515" s="19"/>
      <c r="J1515" s="20"/>
      <c r="K1515" s="21"/>
      <c r="L1515" s="22"/>
      <c r="M1515" s="23"/>
      <c r="N1515" s="24"/>
      <c r="O1515" s="25"/>
      <c r="P1515" s="26"/>
      <c r="Q1515" s="27"/>
      <c r="R1515" s="28"/>
      <c r="S1515" s="29"/>
      <c r="T1515" s="30"/>
    </row>
    <row r="1516" spans="1:20" ht="24" customHeight="1" x14ac:dyDescent="0.25">
      <c r="A1516" t="str">
        <f>IF('e1'!A1516&gt;0,HYPERLINK("#"&amp;ADDRESS(1516,'e1'!A1516),""),IF('r1'!A1516&gt;0,HYPERLINK("#"&amp;ADDRESS(1516,'r1'!A1516),""),""))</f>
        <v/>
      </c>
      <c r="C1516" s="13"/>
      <c r="D1516" s="14"/>
      <c r="E1516" s="15"/>
      <c r="F1516" s="16"/>
      <c r="G1516" s="17"/>
      <c r="H1516" s="18"/>
      <c r="I1516" s="19"/>
      <c r="J1516" s="20"/>
      <c r="K1516" s="21"/>
      <c r="L1516" s="22"/>
      <c r="M1516" s="23"/>
      <c r="N1516" s="24"/>
      <c r="O1516" s="25"/>
      <c r="P1516" s="26"/>
      <c r="Q1516" s="27"/>
      <c r="R1516" s="28"/>
      <c r="S1516" s="29"/>
      <c r="T1516" s="30"/>
    </row>
    <row r="1517" spans="1:20" ht="24" customHeight="1" x14ac:dyDescent="0.25">
      <c r="A1517" t="str">
        <f>IF('e1'!A1517&gt;0,HYPERLINK("#"&amp;ADDRESS(1517,'e1'!A1517),""),IF('r1'!A1517&gt;0,HYPERLINK("#"&amp;ADDRESS(1517,'r1'!A1517),""),""))</f>
        <v/>
      </c>
      <c r="C1517" s="13"/>
      <c r="D1517" s="14"/>
      <c r="E1517" s="15"/>
      <c r="F1517" s="16"/>
      <c r="G1517" s="17"/>
      <c r="H1517" s="18"/>
      <c r="I1517" s="19"/>
      <c r="J1517" s="20"/>
      <c r="K1517" s="21"/>
      <c r="L1517" s="22"/>
      <c r="M1517" s="23"/>
      <c r="N1517" s="24"/>
      <c r="O1517" s="25"/>
      <c r="P1517" s="26"/>
      <c r="Q1517" s="27"/>
      <c r="R1517" s="28"/>
      <c r="S1517" s="29"/>
      <c r="T1517" s="30"/>
    </row>
    <row r="1518" spans="1:20" ht="24" customHeight="1" x14ac:dyDescent="0.25">
      <c r="A1518" t="str">
        <f>IF('e1'!A1518&gt;0,HYPERLINK("#"&amp;ADDRESS(1518,'e1'!A1518),""),IF('r1'!A1518&gt;0,HYPERLINK("#"&amp;ADDRESS(1518,'r1'!A1518),""),""))</f>
        <v/>
      </c>
      <c r="C1518" s="13"/>
      <c r="D1518" s="14"/>
      <c r="E1518" s="15"/>
      <c r="F1518" s="16"/>
      <c r="G1518" s="17"/>
      <c r="H1518" s="18"/>
      <c r="I1518" s="19"/>
      <c r="J1518" s="20"/>
      <c r="K1518" s="21"/>
      <c r="L1518" s="22"/>
      <c r="M1518" s="23"/>
      <c r="N1518" s="24"/>
      <c r="O1518" s="25"/>
      <c r="P1518" s="26"/>
      <c r="Q1518" s="27"/>
      <c r="R1518" s="28"/>
      <c r="S1518" s="29"/>
      <c r="T1518" s="30"/>
    </row>
    <row r="1519" spans="1:20" ht="24" customHeight="1" x14ac:dyDescent="0.25">
      <c r="A1519" t="str">
        <f>IF('e1'!A1519&gt;0,HYPERLINK("#"&amp;ADDRESS(1519,'e1'!A1519),""),IF('r1'!A1519&gt;0,HYPERLINK("#"&amp;ADDRESS(1519,'r1'!A1519),""),""))</f>
        <v/>
      </c>
      <c r="C1519" s="13"/>
      <c r="D1519" s="14"/>
      <c r="E1519" s="15"/>
      <c r="F1519" s="16"/>
      <c r="G1519" s="17"/>
      <c r="H1519" s="18"/>
      <c r="I1519" s="19"/>
      <c r="J1519" s="20"/>
      <c r="K1519" s="21"/>
      <c r="L1519" s="22"/>
      <c r="M1519" s="23"/>
      <c r="N1519" s="24"/>
      <c r="O1519" s="25"/>
      <c r="P1519" s="26"/>
      <c r="Q1519" s="27"/>
      <c r="R1519" s="28"/>
      <c r="S1519" s="29"/>
      <c r="T1519" s="30"/>
    </row>
    <row r="1520" spans="1:20" ht="24" customHeight="1" x14ac:dyDescent="0.25">
      <c r="A1520" t="str">
        <f>IF('e1'!A1520&gt;0,HYPERLINK("#"&amp;ADDRESS(1520,'e1'!A1520),""),IF('r1'!A1520&gt;0,HYPERLINK("#"&amp;ADDRESS(1520,'r1'!A1520),""),""))</f>
        <v/>
      </c>
      <c r="C1520" s="13"/>
      <c r="D1520" s="14"/>
      <c r="E1520" s="15"/>
      <c r="F1520" s="16"/>
      <c r="G1520" s="17"/>
      <c r="H1520" s="18"/>
      <c r="I1520" s="19"/>
      <c r="J1520" s="20"/>
      <c r="K1520" s="21"/>
      <c r="L1520" s="22"/>
      <c r="M1520" s="23"/>
      <c r="N1520" s="24"/>
      <c r="O1520" s="25"/>
      <c r="P1520" s="26"/>
      <c r="Q1520" s="27"/>
      <c r="R1520" s="28"/>
      <c r="S1520" s="29"/>
      <c r="T1520" s="30"/>
    </row>
    <row r="1521" spans="1:20" ht="24" customHeight="1" x14ac:dyDescent="0.25">
      <c r="A1521" t="str">
        <f>IF('e1'!A1521&gt;0,HYPERLINK("#"&amp;ADDRESS(1521,'e1'!A1521),""),IF('r1'!A1521&gt;0,HYPERLINK("#"&amp;ADDRESS(1521,'r1'!A1521),""),""))</f>
        <v/>
      </c>
      <c r="C1521" s="13"/>
      <c r="D1521" s="14"/>
      <c r="E1521" s="15"/>
      <c r="F1521" s="16"/>
      <c r="G1521" s="17"/>
      <c r="H1521" s="18"/>
      <c r="I1521" s="19"/>
      <c r="J1521" s="20"/>
      <c r="K1521" s="21"/>
      <c r="L1521" s="22"/>
      <c r="M1521" s="23"/>
      <c r="N1521" s="24"/>
      <c r="O1521" s="25"/>
      <c r="P1521" s="26"/>
      <c r="Q1521" s="27"/>
      <c r="R1521" s="28"/>
      <c r="S1521" s="29"/>
      <c r="T1521" s="30"/>
    </row>
    <row r="1522" spans="1:20" ht="24" customHeight="1" x14ac:dyDescent="0.25">
      <c r="A1522" t="str">
        <f>IF('e1'!A1522&gt;0,HYPERLINK("#"&amp;ADDRESS(1522,'e1'!A1522),""),IF('r1'!A1522&gt;0,HYPERLINK("#"&amp;ADDRESS(1522,'r1'!A1522),""),""))</f>
        <v/>
      </c>
      <c r="C1522" s="13"/>
      <c r="D1522" s="14"/>
      <c r="E1522" s="15"/>
      <c r="F1522" s="16"/>
      <c r="G1522" s="17"/>
      <c r="H1522" s="18"/>
      <c r="I1522" s="19"/>
      <c r="J1522" s="20"/>
      <c r="K1522" s="21"/>
      <c r="L1522" s="22"/>
      <c r="M1522" s="23"/>
      <c r="N1522" s="24"/>
      <c r="O1522" s="25"/>
      <c r="P1522" s="26"/>
      <c r="Q1522" s="27"/>
      <c r="R1522" s="28"/>
      <c r="S1522" s="29"/>
      <c r="T1522" s="30"/>
    </row>
    <row r="1523" spans="1:20" ht="24" customHeight="1" x14ac:dyDescent="0.25">
      <c r="A1523" t="str">
        <f>IF('e1'!A1523&gt;0,HYPERLINK("#"&amp;ADDRESS(1523,'e1'!A1523),""),IF('r1'!A1523&gt;0,HYPERLINK("#"&amp;ADDRESS(1523,'r1'!A1523),""),""))</f>
        <v/>
      </c>
      <c r="C1523" s="13"/>
      <c r="D1523" s="14"/>
      <c r="E1523" s="15"/>
      <c r="F1523" s="16"/>
      <c r="G1523" s="17"/>
      <c r="H1523" s="18"/>
      <c r="I1523" s="19"/>
      <c r="J1523" s="20"/>
      <c r="K1523" s="21"/>
      <c r="L1523" s="22"/>
      <c r="M1523" s="23"/>
      <c r="N1523" s="24"/>
      <c r="O1523" s="25"/>
      <c r="P1523" s="26"/>
      <c r="Q1523" s="27"/>
      <c r="R1523" s="28"/>
      <c r="S1523" s="29"/>
      <c r="T1523" s="30"/>
    </row>
    <row r="1524" spans="1:20" ht="24" customHeight="1" x14ac:dyDescent="0.25">
      <c r="A1524" t="str">
        <f>IF('e1'!A1524&gt;0,HYPERLINK("#"&amp;ADDRESS(1524,'e1'!A1524),""),IF('r1'!A1524&gt;0,HYPERLINK("#"&amp;ADDRESS(1524,'r1'!A1524),""),""))</f>
        <v/>
      </c>
      <c r="C1524" s="13"/>
      <c r="D1524" s="14"/>
      <c r="E1524" s="15"/>
      <c r="F1524" s="16"/>
      <c r="G1524" s="17"/>
      <c r="H1524" s="18"/>
      <c r="I1524" s="19"/>
      <c r="J1524" s="20"/>
      <c r="K1524" s="21"/>
      <c r="L1524" s="22"/>
      <c r="M1524" s="23"/>
      <c r="N1524" s="24"/>
      <c r="O1524" s="25"/>
      <c r="P1524" s="26"/>
      <c r="Q1524" s="27"/>
      <c r="R1524" s="28"/>
      <c r="S1524" s="29"/>
      <c r="T1524" s="30"/>
    </row>
    <row r="1525" spans="1:20" ht="24" customHeight="1" x14ac:dyDescent="0.25">
      <c r="A1525" t="str">
        <f>IF('e1'!A1525&gt;0,HYPERLINK("#"&amp;ADDRESS(1525,'e1'!A1525),""),IF('r1'!A1525&gt;0,HYPERLINK("#"&amp;ADDRESS(1525,'r1'!A1525),""),""))</f>
        <v/>
      </c>
      <c r="C1525" s="13"/>
      <c r="D1525" s="14"/>
      <c r="E1525" s="15"/>
      <c r="F1525" s="16"/>
      <c r="G1525" s="17"/>
      <c r="H1525" s="18"/>
      <c r="I1525" s="19"/>
      <c r="J1525" s="20"/>
      <c r="K1525" s="21"/>
      <c r="L1525" s="22"/>
      <c r="M1525" s="23"/>
      <c r="N1525" s="24"/>
      <c r="O1525" s="25"/>
      <c r="P1525" s="26"/>
      <c r="Q1525" s="27"/>
      <c r="R1525" s="28"/>
      <c r="S1525" s="29"/>
      <c r="T1525" s="30"/>
    </row>
    <row r="1526" spans="1:20" ht="24" customHeight="1" x14ac:dyDescent="0.25">
      <c r="A1526" t="str">
        <f>IF('e1'!A1526&gt;0,HYPERLINK("#"&amp;ADDRESS(1526,'e1'!A1526),""),IF('r1'!A1526&gt;0,HYPERLINK("#"&amp;ADDRESS(1526,'r1'!A1526),""),""))</f>
        <v/>
      </c>
      <c r="C1526" s="13"/>
      <c r="D1526" s="14"/>
      <c r="E1526" s="15"/>
      <c r="F1526" s="16"/>
      <c r="G1526" s="17"/>
      <c r="H1526" s="18"/>
      <c r="I1526" s="19"/>
      <c r="J1526" s="20"/>
      <c r="K1526" s="21"/>
      <c r="L1526" s="22"/>
      <c r="M1526" s="23"/>
      <c r="N1526" s="24"/>
      <c r="O1526" s="25"/>
      <c r="P1526" s="26"/>
      <c r="Q1526" s="27"/>
      <c r="R1526" s="28"/>
      <c r="S1526" s="29"/>
      <c r="T1526" s="30"/>
    </row>
    <row r="1527" spans="1:20" ht="24" customHeight="1" x14ac:dyDescent="0.25">
      <c r="A1527" t="str">
        <f>IF('e1'!A1527&gt;0,HYPERLINK("#"&amp;ADDRESS(1527,'e1'!A1527),""),IF('r1'!A1527&gt;0,HYPERLINK("#"&amp;ADDRESS(1527,'r1'!A1527),""),""))</f>
        <v/>
      </c>
      <c r="C1527" s="13"/>
      <c r="D1527" s="14"/>
      <c r="E1527" s="15"/>
      <c r="F1527" s="16"/>
      <c r="G1527" s="17"/>
      <c r="H1527" s="18"/>
      <c r="I1527" s="19"/>
      <c r="J1527" s="20"/>
      <c r="K1527" s="21"/>
      <c r="L1527" s="22"/>
      <c r="M1527" s="23"/>
      <c r="N1527" s="24"/>
      <c r="O1527" s="25"/>
      <c r="P1527" s="26"/>
      <c r="Q1527" s="27"/>
      <c r="R1527" s="28"/>
      <c r="S1527" s="29"/>
      <c r="T1527" s="30"/>
    </row>
    <row r="1528" spans="1:20" ht="24" customHeight="1" x14ac:dyDescent="0.25">
      <c r="A1528" t="str">
        <f>IF('e1'!A1528&gt;0,HYPERLINK("#"&amp;ADDRESS(1528,'e1'!A1528),""),IF('r1'!A1528&gt;0,HYPERLINK("#"&amp;ADDRESS(1528,'r1'!A1528),""),""))</f>
        <v/>
      </c>
      <c r="C1528" s="13"/>
      <c r="D1528" s="14"/>
      <c r="E1528" s="15"/>
      <c r="F1528" s="16"/>
      <c r="G1528" s="17"/>
      <c r="H1528" s="18"/>
      <c r="I1528" s="19"/>
      <c r="J1528" s="20"/>
      <c r="K1528" s="21"/>
      <c r="L1528" s="22"/>
      <c r="M1528" s="23"/>
      <c r="N1528" s="24"/>
      <c r="O1528" s="25"/>
      <c r="P1528" s="26"/>
      <c r="Q1528" s="27"/>
      <c r="R1528" s="28"/>
      <c r="S1528" s="29"/>
      <c r="T1528" s="30"/>
    </row>
    <row r="1529" spans="1:20" ht="24" customHeight="1" x14ac:dyDescent="0.25">
      <c r="A1529" t="str">
        <f>IF('e1'!A1529&gt;0,HYPERLINK("#"&amp;ADDRESS(1529,'e1'!A1529),""),IF('r1'!A1529&gt;0,HYPERLINK("#"&amp;ADDRESS(1529,'r1'!A1529),""),""))</f>
        <v/>
      </c>
      <c r="C1529" s="13"/>
      <c r="D1529" s="14"/>
      <c r="E1529" s="15"/>
      <c r="F1529" s="16"/>
      <c r="G1529" s="17"/>
      <c r="H1529" s="18"/>
      <c r="I1529" s="19"/>
      <c r="J1529" s="20"/>
      <c r="K1529" s="21"/>
      <c r="L1529" s="22"/>
      <c r="M1529" s="23"/>
      <c r="N1529" s="24"/>
      <c r="O1529" s="25"/>
      <c r="P1529" s="26"/>
      <c r="Q1529" s="27"/>
      <c r="R1529" s="28"/>
      <c r="S1529" s="29"/>
      <c r="T1529" s="30"/>
    </row>
    <row r="1530" spans="1:20" ht="24" customHeight="1" x14ac:dyDescent="0.25">
      <c r="A1530" t="str">
        <f>IF('e1'!A1530&gt;0,HYPERLINK("#"&amp;ADDRESS(1530,'e1'!A1530),""),IF('r1'!A1530&gt;0,HYPERLINK("#"&amp;ADDRESS(1530,'r1'!A1530),""),""))</f>
        <v/>
      </c>
      <c r="C1530" s="13"/>
      <c r="D1530" s="14"/>
      <c r="E1530" s="15"/>
      <c r="F1530" s="16"/>
      <c r="G1530" s="17"/>
      <c r="H1530" s="18"/>
      <c r="I1530" s="19"/>
      <c r="J1530" s="20"/>
      <c r="K1530" s="21"/>
      <c r="L1530" s="22"/>
      <c r="M1530" s="23"/>
      <c r="N1530" s="24"/>
      <c r="O1530" s="25"/>
      <c r="P1530" s="26"/>
      <c r="Q1530" s="27"/>
      <c r="R1530" s="28"/>
      <c r="S1530" s="29"/>
      <c r="T1530" s="30"/>
    </row>
    <row r="1531" spans="1:20" ht="24" customHeight="1" x14ac:dyDescent="0.25">
      <c r="A1531" t="str">
        <f>IF('e1'!A1531&gt;0,HYPERLINK("#"&amp;ADDRESS(1531,'e1'!A1531),""),IF('r1'!A1531&gt;0,HYPERLINK("#"&amp;ADDRESS(1531,'r1'!A1531),""),""))</f>
        <v/>
      </c>
      <c r="C1531" s="13"/>
      <c r="D1531" s="14"/>
      <c r="E1531" s="15"/>
      <c r="F1531" s="16"/>
      <c r="G1531" s="17"/>
      <c r="H1531" s="18"/>
      <c r="I1531" s="19"/>
      <c r="J1531" s="20"/>
      <c r="K1531" s="21"/>
      <c r="L1531" s="22"/>
      <c r="M1531" s="23"/>
      <c r="N1531" s="24"/>
      <c r="O1531" s="25"/>
      <c r="P1531" s="26"/>
      <c r="Q1531" s="27"/>
      <c r="R1531" s="28"/>
      <c r="S1531" s="29"/>
      <c r="T1531" s="30"/>
    </row>
    <row r="1532" spans="1:20" ht="24" customHeight="1" x14ac:dyDescent="0.25">
      <c r="A1532" t="str">
        <f>IF('e1'!A1532&gt;0,HYPERLINK("#"&amp;ADDRESS(1532,'e1'!A1532),""),IF('r1'!A1532&gt;0,HYPERLINK("#"&amp;ADDRESS(1532,'r1'!A1532),""),""))</f>
        <v/>
      </c>
      <c r="C1532" s="13"/>
      <c r="D1532" s="14"/>
      <c r="E1532" s="15"/>
      <c r="F1532" s="16"/>
      <c r="G1532" s="17"/>
      <c r="H1532" s="18"/>
      <c r="I1532" s="19"/>
      <c r="J1532" s="20"/>
      <c r="K1532" s="21"/>
      <c r="L1532" s="22"/>
      <c r="M1532" s="23"/>
      <c r="N1532" s="24"/>
      <c r="O1532" s="25"/>
      <c r="P1532" s="26"/>
      <c r="Q1532" s="27"/>
      <c r="R1532" s="28"/>
      <c r="S1532" s="29"/>
      <c r="T1532" s="30"/>
    </row>
    <row r="1533" spans="1:20" ht="24" customHeight="1" x14ac:dyDescent="0.25">
      <c r="A1533" t="str">
        <f>IF('e1'!A1533&gt;0,HYPERLINK("#"&amp;ADDRESS(1533,'e1'!A1533),""),IF('r1'!A1533&gt;0,HYPERLINK("#"&amp;ADDRESS(1533,'r1'!A1533),""),""))</f>
        <v/>
      </c>
      <c r="C1533" s="13"/>
      <c r="D1533" s="14"/>
      <c r="E1533" s="15"/>
      <c r="F1533" s="16"/>
      <c r="G1533" s="17"/>
      <c r="H1533" s="18"/>
      <c r="I1533" s="19"/>
      <c r="J1533" s="20"/>
      <c r="K1533" s="21"/>
      <c r="L1533" s="22"/>
      <c r="M1533" s="23"/>
      <c r="N1533" s="24"/>
      <c r="O1533" s="25"/>
      <c r="P1533" s="26"/>
      <c r="Q1533" s="27"/>
      <c r="R1533" s="28"/>
      <c r="S1533" s="29"/>
      <c r="T1533" s="30"/>
    </row>
    <row r="1534" spans="1:20" ht="24" customHeight="1" x14ac:dyDescent="0.25">
      <c r="A1534" t="str">
        <f>IF('e1'!A1534&gt;0,HYPERLINK("#"&amp;ADDRESS(1534,'e1'!A1534),""),IF('r1'!A1534&gt;0,HYPERLINK("#"&amp;ADDRESS(1534,'r1'!A1534),""),""))</f>
        <v/>
      </c>
      <c r="C1534" s="13"/>
      <c r="D1534" s="14"/>
      <c r="E1534" s="15"/>
      <c r="F1534" s="16"/>
      <c r="G1534" s="17"/>
      <c r="H1534" s="18"/>
      <c r="I1534" s="19"/>
      <c r="J1534" s="20"/>
      <c r="K1534" s="21"/>
      <c r="L1534" s="22"/>
      <c r="M1534" s="23"/>
      <c r="N1534" s="24"/>
      <c r="O1534" s="25"/>
      <c r="P1534" s="26"/>
      <c r="Q1534" s="27"/>
      <c r="R1534" s="28"/>
      <c r="S1534" s="29"/>
      <c r="T1534" s="30"/>
    </row>
    <row r="1535" spans="1:20" ht="24" customHeight="1" x14ac:dyDescent="0.25">
      <c r="A1535" t="str">
        <f>IF('e1'!A1535&gt;0,HYPERLINK("#"&amp;ADDRESS(1535,'e1'!A1535),""),IF('r1'!A1535&gt;0,HYPERLINK("#"&amp;ADDRESS(1535,'r1'!A1535),""),""))</f>
        <v/>
      </c>
      <c r="C1535" s="13"/>
      <c r="D1535" s="14"/>
      <c r="E1535" s="15"/>
      <c r="F1535" s="16"/>
      <c r="G1535" s="17"/>
      <c r="H1535" s="18"/>
      <c r="I1535" s="19"/>
      <c r="J1535" s="20"/>
      <c r="K1535" s="21"/>
      <c r="L1535" s="22"/>
      <c r="M1535" s="23"/>
      <c r="N1535" s="24"/>
      <c r="O1535" s="25"/>
      <c r="P1535" s="26"/>
      <c r="Q1535" s="27"/>
      <c r="R1535" s="28"/>
      <c r="S1535" s="29"/>
      <c r="T1535" s="30"/>
    </row>
    <row r="1536" spans="1:20" ht="24" customHeight="1" x14ac:dyDescent="0.25">
      <c r="A1536" t="str">
        <f>IF('e1'!A1536&gt;0,HYPERLINK("#"&amp;ADDRESS(1536,'e1'!A1536),""),IF('r1'!A1536&gt;0,HYPERLINK("#"&amp;ADDRESS(1536,'r1'!A1536),""),""))</f>
        <v/>
      </c>
      <c r="C1536" s="13"/>
      <c r="D1536" s="14"/>
      <c r="E1536" s="15"/>
      <c r="F1536" s="16"/>
      <c r="G1536" s="17"/>
      <c r="H1536" s="18"/>
      <c r="I1536" s="19"/>
      <c r="J1536" s="20"/>
      <c r="K1536" s="21"/>
      <c r="L1536" s="22"/>
      <c r="M1536" s="23"/>
      <c r="N1536" s="24"/>
      <c r="O1536" s="25"/>
      <c r="P1536" s="26"/>
      <c r="Q1536" s="27"/>
      <c r="R1536" s="28"/>
      <c r="S1536" s="29"/>
      <c r="T1536" s="30"/>
    </row>
    <row r="1537" spans="1:20" ht="24" customHeight="1" x14ac:dyDescent="0.25">
      <c r="A1537" t="str">
        <f>IF('e1'!A1537&gt;0,HYPERLINK("#"&amp;ADDRESS(1537,'e1'!A1537),""),IF('r1'!A1537&gt;0,HYPERLINK("#"&amp;ADDRESS(1537,'r1'!A1537),""),""))</f>
        <v/>
      </c>
      <c r="C1537" s="13"/>
      <c r="D1537" s="14"/>
      <c r="E1537" s="15"/>
      <c r="F1537" s="16"/>
      <c r="G1537" s="17"/>
      <c r="H1537" s="18"/>
      <c r="I1537" s="19"/>
      <c r="J1537" s="20"/>
      <c r="K1537" s="21"/>
      <c r="L1537" s="22"/>
      <c r="M1537" s="23"/>
      <c r="N1537" s="24"/>
      <c r="O1537" s="25"/>
      <c r="P1537" s="26"/>
      <c r="Q1537" s="27"/>
      <c r="R1537" s="28"/>
      <c r="S1537" s="29"/>
      <c r="T1537" s="30"/>
    </row>
    <row r="1538" spans="1:20" ht="24" customHeight="1" x14ac:dyDescent="0.25">
      <c r="A1538" t="str">
        <f>IF('e1'!A1538&gt;0,HYPERLINK("#"&amp;ADDRESS(1538,'e1'!A1538),""),IF('r1'!A1538&gt;0,HYPERLINK("#"&amp;ADDRESS(1538,'r1'!A1538),""),""))</f>
        <v/>
      </c>
      <c r="C1538" s="13"/>
      <c r="D1538" s="14"/>
      <c r="E1538" s="15"/>
      <c r="F1538" s="16"/>
      <c r="G1538" s="17"/>
      <c r="H1538" s="18"/>
      <c r="I1538" s="19"/>
      <c r="J1538" s="20"/>
      <c r="K1538" s="21"/>
      <c r="L1538" s="22"/>
      <c r="M1538" s="23"/>
      <c r="N1538" s="24"/>
      <c r="O1538" s="25"/>
      <c r="P1538" s="26"/>
      <c r="Q1538" s="27"/>
      <c r="R1538" s="28"/>
      <c r="S1538" s="29"/>
      <c r="T1538" s="30"/>
    </row>
    <row r="1539" spans="1:20" ht="24" customHeight="1" x14ac:dyDescent="0.25">
      <c r="A1539" t="str">
        <f>IF('e1'!A1539&gt;0,HYPERLINK("#"&amp;ADDRESS(1539,'e1'!A1539),""),IF('r1'!A1539&gt;0,HYPERLINK("#"&amp;ADDRESS(1539,'r1'!A1539),""),""))</f>
        <v/>
      </c>
      <c r="C1539" s="13"/>
      <c r="D1539" s="14"/>
      <c r="E1539" s="15"/>
      <c r="F1539" s="16"/>
      <c r="G1539" s="17"/>
      <c r="H1539" s="18"/>
      <c r="I1539" s="19"/>
      <c r="J1539" s="20"/>
      <c r="K1539" s="21"/>
      <c r="L1539" s="22"/>
      <c r="M1539" s="23"/>
      <c r="N1539" s="24"/>
      <c r="O1539" s="25"/>
      <c r="P1539" s="26"/>
      <c r="Q1539" s="27"/>
      <c r="R1539" s="28"/>
      <c r="S1539" s="29"/>
      <c r="T1539" s="30"/>
    </row>
    <row r="1540" spans="1:20" ht="24" customHeight="1" x14ac:dyDescent="0.25">
      <c r="A1540" t="str">
        <f>IF('e1'!A1540&gt;0,HYPERLINK("#"&amp;ADDRESS(1540,'e1'!A1540),""),IF('r1'!A1540&gt;0,HYPERLINK("#"&amp;ADDRESS(1540,'r1'!A1540),""),""))</f>
        <v/>
      </c>
      <c r="C1540" s="13"/>
      <c r="D1540" s="14"/>
      <c r="E1540" s="15"/>
      <c r="F1540" s="16"/>
      <c r="G1540" s="17"/>
      <c r="H1540" s="18"/>
      <c r="I1540" s="19"/>
      <c r="J1540" s="20"/>
      <c r="K1540" s="21"/>
      <c r="L1540" s="22"/>
      <c r="M1540" s="23"/>
      <c r="N1540" s="24"/>
      <c r="O1540" s="25"/>
      <c r="P1540" s="26"/>
      <c r="Q1540" s="27"/>
      <c r="R1540" s="28"/>
      <c r="S1540" s="29"/>
      <c r="T1540" s="30"/>
    </row>
    <row r="1541" spans="1:20" ht="24" customHeight="1" x14ac:dyDescent="0.25">
      <c r="A1541" t="str">
        <f>IF('e1'!A1541&gt;0,HYPERLINK("#"&amp;ADDRESS(1541,'e1'!A1541),""),IF('r1'!A1541&gt;0,HYPERLINK("#"&amp;ADDRESS(1541,'r1'!A1541),""),""))</f>
        <v/>
      </c>
      <c r="C1541" s="13"/>
      <c r="D1541" s="14"/>
      <c r="E1541" s="15"/>
      <c r="F1541" s="16"/>
      <c r="G1541" s="17"/>
      <c r="H1541" s="18"/>
      <c r="I1541" s="19"/>
      <c r="J1541" s="20"/>
      <c r="K1541" s="21"/>
      <c r="L1541" s="22"/>
      <c r="M1541" s="23"/>
      <c r="N1541" s="24"/>
      <c r="O1541" s="25"/>
      <c r="P1541" s="26"/>
      <c r="Q1541" s="27"/>
      <c r="R1541" s="28"/>
      <c r="S1541" s="29"/>
      <c r="T1541" s="30"/>
    </row>
    <row r="1542" spans="1:20" ht="24" customHeight="1" x14ac:dyDescent="0.25">
      <c r="A1542" t="str">
        <f>IF('e1'!A1542&gt;0,HYPERLINK("#"&amp;ADDRESS(1542,'e1'!A1542),""),IF('r1'!A1542&gt;0,HYPERLINK("#"&amp;ADDRESS(1542,'r1'!A1542),""),""))</f>
        <v/>
      </c>
      <c r="C1542" s="13"/>
      <c r="D1542" s="14"/>
      <c r="E1542" s="15"/>
      <c r="F1542" s="16"/>
      <c r="G1542" s="17"/>
      <c r="H1542" s="18"/>
      <c r="I1542" s="19"/>
      <c r="J1542" s="20"/>
      <c r="K1542" s="21"/>
      <c r="L1542" s="22"/>
      <c r="M1542" s="23"/>
      <c r="N1542" s="24"/>
      <c r="O1542" s="25"/>
      <c r="P1542" s="26"/>
      <c r="Q1542" s="27"/>
      <c r="R1542" s="28"/>
      <c r="S1542" s="29"/>
      <c r="T1542" s="30"/>
    </row>
    <row r="1543" spans="1:20" ht="24" customHeight="1" x14ac:dyDescent="0.25">
      <c r="A1543" t="str">
        <f>IF('e1'!A1543&gt;0,HYPERLINK("#"&amp;ADDRESS(1543,'e1'!A1543),""),IF('r1'!A1543&gt;0,HYPERLINK("#"&amp;ADDRESS(1543,'r1'!A1543),""),""))</f>
        <v/>
      </c>
      <c r="C1543" s="13"/>
      <c r="D1543" s="14"/>
      <c r="E1543" s="15"/>
      <c r="F1543" s="16"/>
      <c r="G1543" s="17"/>
      <c r="H1543" s="18"/>
      <c r="I1543" s="19"/>
      <c r="J1543" s="20"/>
      <c r="K1543" s="21"/>
      <c r="L1543" s="22"/>
      <c r="M1543" s="23"/>
      <c r="N1543" s="24"/>
      <c r="O1543" s="25"/>
      <c r="P1543" s="26"/>
      <c r="Q1543" s="27"/>
      <c r="R1543" s="28"/>
      <c r="S1543" s="29"/>
      <c r="T1543" s="30"/>
    </row>
    <row r="1544" spans="1:20" ht="24" customHeight="1" x14ac:dyDescent="0.25">
      <c r="A1544" t="str">
        <f>IF('e1'!A1544&gt;0,HYPERLINK("#"&amp;ADDRESS(1544,'e1'!A1544),""),IF('r1'!A1544&gt;0,HYPERLINK("#"&amp;ADDRESS(1544,'r1'!A1544),""),""))</f>
        <v/>
      </c>
      <c r="C1544" s="13"/>
      <c r="D1544" s="14"/>
      <c r="E1544" s="15"/>
      <c r="F1544" s="16"/>
      <c r="G1544" s="17"/>
      <c r="H1544" s="18"/>
      <c r="I1544" s="19"/>
      <c r="J1544" s="20"/>
      <c r="K1544" s="21"/>
      <c r="L1544" s="22"/>
      <c r="M1544" s="23"/>
      <c r="N1544" s="24"/>
      <c r="O1544" s="25"/>
      <c r="P1544" s="26"/>
      <c r="Q1544" s="27"/>
      <c r="R1544" s="28"/>
      <c r="S1544" s="29"/>
      <c r="T1544" s="30"/>
    </row>
    <row r="1545" spans="1:20" ht="24" customHeight="1" x14ac:dyDescent="0.25">
      <c r="A1545" t="str">
        <f>IF('e1'!A1545&gt;0,HYPERLINK("#"&amp;ADDRESS(1545,'e1'!A1545),""),IF('r1'!A1545&gt;0,HYPERLINK("#"&amp;ADDRESS(1545,'r1'!A1545),""),""))</f>
        <v/>
      </c>
      <c r="C1545" s="13"/>
      <c r="D1545" s="14"/>
      <c r="E1545" s="15"/>
      <c r="F1545" s="16"/>
      <c r="G1545" s="17"/>
      <c r="H1545" s="18"/>
      <c r="I1545" s="19"/>
      <c r="J1545" s="20"/>
      <c r="K1545" s="21"/>
      <c r="L1545" s="22"/>
      <c r="M1545" s="23"/>
      <c r="N1545" s="24"/>
      <c r="O1545" s="25"/>
      <c r="P1545" s="26"/>
      <c r="Q1545" s="27"/>
      <c r="R1545" s="28"/>
      <c r="S1545" s="29"/>
      <c r="T1545" s="30"/>
    </row>
    <row r="1546" spans="1:20" ht="24" customHeight="1" x14ac:dyDescent="0.25">
      <c r="A1546" t="str">
        <f>IF('e1'!A1546&gt;0,HYPERLINK("#"&amp;ADDRESS(1546,'e1'!A1546),""),IF('r1'!A1546&gt;0,HYPERLINK("#"&amp;ADDRESS(1546,'r1'!A1546),""),""))</f>
        <v/>
      </c>
      <c r="C1546" s="13"/>
      <c r="D1546" s="14"/>
      <c r="E1546" s="15"/>
      <c r="F1546" s="16"/>
      <c r="G1546" s="17"/>
      <c r="H1546" s="18"/>
      <c r="I1546" s="19"/>
      <c r="J1546" s="20"/>
      <c r="K1546" s="21"/>
      <c r="L1546" s="22"/>
      <c r="M1546" s="23"/>
      <c r="N1546" s="24"/>
      <c r="O1546" s="25"/>
      <c r="P1546" s="26"/>
      <c r="Q1546" s="27"/>
      <c r="R1546" s="28"/>
      <c r="S1546" s="29"/>
      <c r="T1546" s="30"/>
    </row>
    <row r="1547" spans="1:20" ht="24" customHeight="1" x14ac:dyDescent="0.25">
      <c r="A1547" t="str">
        <f>IF('e1'!A1547&gt;0,HYPERLINK("#"&amp;ADDRESS(1547,'e1'!A1547),""),IF('r1'!A1547&gt;0,HYPERLINK("#"&amp;ADDRESS(1547,'r1'!A1547),""),""))</f>
        <v/>
      </c>
      <c r="C1547" s="13"/>
      <c r="D1547" s="14"/>
      <c r="E1547" s="15"/>
      <c r="F1547" s="16"/>
      <c r="G1547" s="17"/>
      <c r="H1547" s="18"/>
      <c r="I1547" s="19"/>
      <c r="J1547" s="20"/>
      <c r="K1547" s="21"/>
      <c r="L1547" s="22"/>
      <c r="M1547" s="23"/>
      <c r="N1547" s="24"/>
      <c r="O1547" s="25"/>
      <c r="P1547" s="26"/>
      <c r="Q1547" s="27"/>
      <c r="R1547" s="28"/>
      <c r="S1547" s="29"/>
      <c r="T1547" s="30"/>
    </row>
    <row r="1548" spans="1:20" ht="24" customHeight="1" x14ac:dyDescent="0.25">
      <c r="A1548" t="str">
        <f>IF('e1'!A1548&gt;0,HYPERLINK("#"&amp;ADDRESS(1548,'e1'!A1548),""),IF('r1'!A1548&gt;0,HYPERLINK("#"&amp;ADDRESS(1548,'r1'!A1548),""),""))</f>
        <v/>
      </c>
      <c r="C1548" s="13"/>
      <c r="D1548" s="14"/>
      <c r="E1548" s="15"/>
      <c r="F1548" s="16"/>
      <c r="G1548" s="17"/>
      <c r="H1548" s="18"/>
      <c r="I1548" s="19"/>
      <c r="J1548" s="20"/>
      <c r="K1548" s="21"/>
      <c r="L1548" s="22"/>
      <c r="M1548" s="23"/>
      <c r="N1548" s="24"/>
      <c r="O1548" s="25"/>
      <c r="P1548" s="26"/>
      <c r="Q1548" s="27"/>
      <c r="R1548" s="28"/>
      <c r="S1548" s="29"/>
      <c r="T1548" s="30"/>
    </row>
    <row r="1549" spans="1:20" ht="24" customHeight="1" x14ac:dyDescent="0.25">
      <c r="A1549" t="str">
        <f>IF('e1'!A1549&gt;0,HYPERLINK("#"&amp;ADDRESS(1549,'e1'!A1549),""),IF('r1'!A1549&gt;0,HYPERLINK("#"&amp;ADDRESS(1549,'r1'!A1549),""),""))</f>
        <v/>
      </c>
      <c r="C1549" s="13"/>
      <c r="D1549" s="14"/>
      <c r="E1549" s="15"/>
      <c r="F1549" s="16"/>
      <c r="G1549" s="17"/>
      <c r="H1549" s="18"/>
      <c r="I1549" s="19"/>
      <c r="J1549" s="20"/>
      <c r="K1549" s="21"/>
      <c r="L1549" s="22"/>
      <c r="M1549" s="23"/>
      <c r="N1549" s="24"/>
      <c r="O1549" s="25"/>
      <c r="P1549" s="26"/>
      <c r="Q1549" s="27"/>
      <c r="R1549" s="28"/>
      <c r="S1549" s="29"/>
      <c r="T1549" s="30"/>
    </row>
    <row r="1550" spans="1:20" ht="24" customHeight="1" x14ac:dyDescent="0.25">
      <c r="A1550" t="str">
        <f>IF('e1'!A1550&gt;0,HYPERLINK("#"&amp;ADDRESS(1550,'e1'!A1550),""),IF('r1'!A1550&gt;0,HYPERLINK("#"&amp;ADDRESS(1550,'r1'!A1550),""),""))</f>
        <v/>
      </c>
      <c r="C1550" s="13"/>
      <c r="D1550" s="14"/>
      <c r="E1550" s="15"/>
      <c r="F1550" s="16"/>
      <c r="G1550" s="17"/>
      <c r="H1550" s="18"/>
      <c r="I1550" s="19"/>
      <c r="J1550" s="20"/>
      <c r="K1550" s="21"/>
      <c r="L1550" s="22"/>
      <c r="M1550" s="23"/>
      <c r="N1550" s="24"/>
      <c r="O1550" s="25"/>
      <c r="P1550" s="26"/>
      <c r="Q1550" s="27"/>
      <c r="R1550" s="28"/>
      <c r="S1550" s="29"/>
      <c r="T1550" s="30"/>
    </row>
    <row r="1551" spans="1:20" ht="24" customHeight="1" x14ac:dyDescent="0.25">
      <c r="A1551" t="str">
        <f>IF('e1'!A1551&gt;0,HYPERLINK("#"&amp;ADDRESS(1551,'e1'!A1551),""),IF('r1'!A1551&gt;0,HYPERLINK("#"&amp;ADDRESS(1551,'r1'!A1551),""),""))</f>
        <v/>
      </c>
      <c r="C1551" s="13"/>
      <c r="D1551" s="14"/>
      <c r="E1551" s="15"/>
      <c r="F1551" s="16"/>
      <c r="G1551" s="17"/>
      <c r="H1551" s="18"/>
      <c r="I1551" s="19"/>
      <c r="J1551" s="20"/>
      <c r="K1551" s="21"/>
      <c r="L1551" s="22"/>
      <c r="M1551" s="23"/>
      <c r="N1551" s="24"/>
      <c r="O1551" s="25"/>
      <c r="P1551" s="26"/>
      <c r="Q1551" s="27"/>
      <c r="R1551" s="28"/>
      <c r="S1551" s="29"/>
      <c r="T1551" s="30"/>
    </row>
    <row r="1552" spans="1:20" ht="24" customHeight="1" x14ac:dyDescent="0.25">
      <c r="A1552" t="str">
        <f>IF('e1'!A1552&gt;0,HYPERLINK("#"&amp;ADDRESS(1552,'e1'!A1552),""),IF('r1'!A1552&gt;0,HYPERLINK("#"&amp;ADDRESS(1552,'r1'!A1552),""),""))</f>
        <v/>
      </c>
      <c r="C1552" s="13"/>
      <c r="D1552" s="14"/>
      <c r="E1552" s="15"/>
      <c r="F1552" s="16"/>
      <c r="G1552" s="17"/>
      <c r="H1552" s="18"/>
      <c r="I1552" s="19"/>
      <c r="J1552" s="20"/>
      <c r="K1552" s="21"/>
      <c r="L1552" s="22"/>
      <c r="M1552" s="23"/>
      <c r="N1552" s="24"/>
      <c r="O1552" s="25"/>
      <c r="P1552" s="26"/>
      <c r="Q1552" s="27"/>
      <c r="R1552" s="28"/>
      <c r="S1552" s="29"/>
      <c r="T1552" s="30"/>
    </row>
    <row r="1553" spans="1:20" ht="24" customHeight="1" x14ac:dyDescent="0.25">
      <c r="A1553" t="str">
        <f>IF('e1'!A1553&gt;0,HYPERLINK("#"&amp;ADDRESS(1553,'e1'!A1553),""),IF('r1'!A1553&gt;0,HYPERLINK("#"&amp;ADDRESS(1553,'r1'!A1553),""),""))</f>
        <v/>
      </c>
      <c r="C1553" s="13"/>
      <c r="D1553" s="14"/>
      <c r="E1553" s="15"/>
      <c r="F1553" s="16"/>
      <c r="G1553" s="17"/>
      <c r="H1553" s="18"/>
      <c r="I1553" s="19"/>
      <c r="J1553" s="20"/>
      <c r="K1553" s="21"/>
      <c r="L1553" s="22"/>
      <c r="M1553" s="23"/>
      <c r="N1553" s="24"/>
      <c r="O1553" s="25"/>
      <c r="P1553" s="26"/>
      <c r="Q1553" s="27"/>
      <c r="R1553" s="28"/>
      <c r="S1553" s="29"/>
      <c r="T1553" s="30"/>
    </row>
    <row r="1554" spans="1:20" ht="24" customHeight="1" x14ac:dyDescent="0.25">
      <c r="A1554" t="str">
        <f>IF('e1'!A1554&gt;0,HYPERLINK("#"&amp;ADDRESS(1554,'e1'!A1554),""),IF('r1'!A1554&gt;0,HYPERLINK("#"&amp;ADDRESS(1554,'r1'!A1554),""),""))</f>
        <v/>
      </c>
      <c r="C1554" s="13"/>
      <c r="D1554" s="14"/>
      <c r="E1554" s="15"/>
      <c r="F1554" s="16"/>
      <c r="G1554" s="17"/>
      <c r="H1554" s="18"/>
      <c r="I1554" s="19"/>
      <c r="J1554" s="20"/>
      <c r="K1554" s="21"/>
      <c r="L1554" s="22"/>
      <c r="M1554" s="23"/>
      <c r="N1554" s="24"/>
      <c r="O1554" s="25"/>
      <c r="P1554" s="26"/>
      <c r="Q1554" s="27"/>
      <c r="R1554" s="28"/>
      <c r="S1554" s="29"/>
      <c r="T1554" s="30"/>
    </row>
    <row r="1555" spans="1:20" ht="24" customHeight="1" x14ac:dyDescent="0.25">
      <c r="A1555" t="str">
        <f>IF('e1'!A1555&gt;0,HYPERLINK("#"&amp;ADDRESS(1555,'e1'!A1555),""),IF('r1'!A1555&gt;0,HYPERLINK("#"&amp;ADDRESS(1555,'r1'!A1555),""),""))</f>
        <v/>
      </c>
      <c r="C1555" s="13"/>
      <c r="D1555" s="14"/>
      <c r="E1555" s="15"/>
      <c r="F1555" s="16"/>
      <c r="G1555" s="17"/>
      <c r="H1555" s="18"/>
      <c r="I1555" s="19"/>
      <c r="J1555" s="20"/>
      <c r="K1555" s="21"/>
      <c r="L1555" s="22"/>
      <c r="M1555" s="23"/>
      <c r="N1555" s="24"/>
      <c r="O1555" s="25"/>
      <c r="P1555" s="26"/>
      <c r="Q1555" s="27"/>
      <c r="R1555" s="28"/>
      <c r="S1555" s="29"/>
      <c r="T1555" s="30"/>
    </row>
    <row r="1556" spans="1:20" ht="24" customHeight="1" x14ac:dyDescent="0.25">
      <c r="A1556" t="str">
        <f>IF('e1'!A1556&gt;0,HYPERLINK("#"&amp;ADDRESS(1556,'e1'!A1556),""),IF('r1'!A1556&gt;0,HYPERLINK("#"&amp;ADDRESS(1556,'r1'!A1556),""),""))</f>
        <v/>
      </c>
      <c r="C1556" s="13"/>
      <c r="D1556" s="14"/>
      <c r="E1556" s="15"/>
      <c r="F1556" s="16"/>
      <c r="G1556" s="17"/>
      <c r="H1556" s="18"/>
      <c r="I1556" s="19"/>
      <c r="J1556" s="20"/>
      <c r="K1556" s="21"/>
      <c r="L1556" s="22"/>
      <c r="M1556" s="23"/>
      <c r="N1556" s="24"/>
      <c r="O1556" s="25"/>
      <c r="P1556" s="26"/>
      <c r="Q1556" s="27"/>
      <c r="R1556" s="28"/>
      <c r="S1556" s="29"/>
      <c r="T1556" s="30"/>
    </row>
    <row r="1557" spans="1:20" ht="24" customHeight="1" x14ac:dyDescent="0.25">
      <c r="A1557" t="str">
        <f>IF('e1'!A1557&gt;0,HYPERLINK("#"&amp;ADDRESS(1557,'e1'!A1557),""),IF('r1'!A1557&gt;0,HYPERLINK("#"&amp;ADDRESS(1557,'r1'!A1557),""),""))</f>
        <v/>
      </c>
      <c r="C1557" s="13"/>
      <c r="D1557" s="14"/>
      <c r="E1557" s="15"/>
      <c r="F1557" s="16"/>
      <c r="G1557" s="17"/>
      <c r="H1557" s="18"/>
      <c r="I1557" s="19"/>
      <c r="J1557" s="20"/>
      <c r="K1557" s="21"/>
      <c r="L1557" s="22"/>
      <c r="M1557" s="23"/>
      <c r="N1557" s="24"/>
      <c r="O1557" s="25"/>
      <c r="P1557" s="26"/>
      <c r="Q1557" s="27"/>
      <c r="R1557" s="28"/>
      <c r="S1557" s="29"/>
      <c r="T1557" s="30"/>
    </row>
    <row r="1558" spans="1:20" ht="24" customHeight="1" x14ac:dyDescent="0.25">
      <c r="A1558" t="str">
        <f>IF('e1'!A1558&gt;0,HYPERLINK("#"&amp;ADDRESS(1558,'e1'!A1558),""),IF('r1'!A1558&gt;0,HYPERLINK("#"&amp;ADDRESS(1558,'r1'!A1558),""),""))</f>
        <v/>
      </c>
      <c r="C1558" s="13"/>
      <c r="D1558" s="14"/>
      <c r="E1558" s="15"/>
      <c r="F1558" s="16"/>
      <c r="G1558" s="17"/>
      <c r="H1558" s="18"/>
      <c r="I1558" s="19"/>
      <c r="J1558" s="20"/>
      <c r="K1558" s="21"/>
      <c r="L1558" s="22"/>
      <c r="M1558" s="23"/>
      <c r="N1558" s="24"/>
      <c r="O1558" s="25"/>
      <c r="P1558" s="26"/>
      <c r="Q1558" s="27"/>
      <c r="R1558" s="28"/>
      <c r="S1558" s="29"/>
      <c r="T1558" s="30"/>
    </row>
    <row r="1559" spans="1:20" ht="24" customHeight="1" x14ac:dyDescent="0.25">
      <c r="A1559" t="str">
        <f>IF('e1'!A1559&gt;0,HYPERLINK("#"&amp;ADDRESS(1559,'e1'!A1559),""),IF('r1'!A1559&gt;0,HYPERLINK("#"&amp;ADDRESS(1559,'r1'!A1559),""),""))</f>
        <v/>
      </c>
      <c r="C1559" s="13"/>
      <c r="D1559" s="14"/>
      <c r="E1559" s="15"/>
      <c r="F1559" s="16"/>
      <c r="G1559" s="17"/>
      <c r="H1559" s="18"/>
      <c r="I1559" s="19"/>
      <c r="J1559" s="20"/>
      <c r="K1559" s="21"/>
      <c r="L1559" s="22"/>
      <c r="M1559" s="23"/>
      <c r="N1559" s="24"/>
      <c r="O1559" s="25"/>
      <c r="P1559" s="26"/>
      <c r="Q1559" s="27"/>
      <c r="R1559" s="28"/>
      <c r="S1559" s="29"/>
      <c r="T1559" s="30"/>
    </row>
    <row r="1560" spans="1:20" ht="24" customHeight="1" x14ac:dyDescent="0.25">
      <c r="A1560" t="str">
        <f>IF('e1'!A1560&gt;0,HYPERLINK("#"&amp;ADDRESS(1560,'e1'!A1560),""),IF('r1'!A1560&gt;0,HYPERLINK("#"&amp;ADDRESS(1560,'r1'!A1560),""),""))</f>
        <v/>
      </c>
      <c r="C1560" s="13"/>
      <c r="D1560" s="14"/>
      <c r="E1560" s="15"/>
      <c r="F1560" s="16"/>
      <c r="G1560" s="17"/>
      <c r="H1560" s="18"/>
      <c r="I1560" s="19"/>
      <c r="J1560" s="20"/>
      <c r="K1560" s="21"/>
      <c r="L1560" s="22"/>
      <c r="M1560" s="23"/>
      <c r="N1560" s="24"/>
      <c r="O1560" s="25"/>
      <c r="P1560" s="26"/>
      <c r="Q1560" s="27"/>
      <c r="R1560" s="28"/>
      <c r="S1560" s="29"/>
      <c r="T1560" s="30"/>
    </row>
    <row r="1561" spans="1:20" ht="24" customHeight="1" x14ac:dyDescent="0.25">
      <c r="A1561" t="str">
        <f>IF('e1'!A1561&gt;0,HYPERLINK("#"&amp;ADDRESS(1561,'e1'!A1561),""),IF('r1'!A1561&gt;0,HYPERLINK("#"&amp;ADDRESS(1561,'r1'!A1561),""),""))</f>
        <v/>
      </c>
      <c r="C1561" s="13"/>
      <c r="D1561" s="14"/>
      <c r="E1561" s="15"/>
      <c r="F1561" s="16"/>
      <c r="G1561" s="17"/>
      <c r="H1561" s="18"/>
      <c r="I1561" s="19"/>
      <c r="J1561" s="20"/>
      <c r="K1561" s="21"/>
      <c r="L1561" s="22"/>
      <c r="M1561" s="23"/>
      <c r="N1561" s="24"/>
      <c r="O1561" s="25"/>
      <c r="P1561" s="26"/>
      <c r="Q1561" s="27"/>
      <c r="R1561" s="28"/>
      <c r="S1561" s="29"/>
      <c r="T1561" s="30"/>
    </row>
    <row r="1562" spans="1:20" ht="24" customHeight="1" x14ac:dyDescent="0.25">
      <c r="A1562" t="str">
        <f>IF('e1'!A1562&gt;0,HYPERLINK("#"&amp;ADDRESS(1562,'e1'!A1562),""),IF('r1'!A1562&gt;0,HYPERLINK("#"&amp;ADDRESS(1562,'r1'!A1562),""),""))</f>
        <v/>
      </c>
      <c r="C1562" s="13"/>
      <c r="D1562" s="14"/>
      <c r="E1562" s="15"/>
      <c r="F1562" s="16"/>
      <c r="G1562" s="17"/>
      <c r="H1562" s="18"/>
      <c r="I1562" s="19"/>
      <c r="J1562" s="20"/>
      <c r="K1562" s="21"/>
      <c r="L1562" s="22"/>
      <c r="M1562" s="23"/>
      <c r="N1562" s="24"/>
      <c r="O1562" s="25"/>
      <c r="P1562" s="26"/>
      <c r="Q1562" s="27"/>
      <c r="R1562" s="28"/>
      <c r="S1562" s="29"/>
      <c r="T1562" s="30"/>
    </row>
    <row r="1563" spans="1:20" ht="24" customHeight="1" x14ac:dyDescent="0.25">
      <c r="A1563" t="str">
        <f>IF('e1'!A1563&gt;0,HYPERLINK("#"&amp;ADDRESS(1563,'e1'!A1563),""),IF('r1'!A1563&gt;0,HYPERLINK("#"&amp;ADDRESS(1563,'r1'!A1563),""),""))</f>
        <v/>
      </c>
      <c r="C1563" s="13"/>
      <c r="D1563" s="14"/>
      <c r="E1563" s="15"/>
      <c r="F1563" s="16"/>
      <c r="G1563" s="17"/>
      <c r="H1563" s="18"/>
      <c r="I1563" s="19"/>
      <c r="J1563" s="20"/>
      <c r="K1563" s="21"/>
      <c r="L1563" s="22"/>
      <c r="M1563" s="23"/>
      <c r="N1563" s="24"/>
      <c r="O1563" s="25"/>
      <c r="P1563" s="26"/>
      <c r="Q1563" s="27"/>
      <c r="R1563" s="28"/>
      <c r="S1563" s="29"/>
      <c r="T1563" s="30"/>
    </row>
    <row r="1564" spans="1:20" ht="24" customHeight="1" x14ac:dyDescent="0.25">
      <c r="A1564" t="str">
        <f>IF('e1'!A1564&gt;0,HYPERLINK("#"&amp;ADDRESS(1564,'e1'!A1564),""),IF('r1'!A1564&gt;0,HYPERLINK("#"&amp;ADDRESS(1564,'r1'!A1564),""),""))</f>
        <v/>
      </c>
      <c r="C1564" s="13"/>
      <c r="D1564" s="14"/>
      <c r="E1564" s="15"/>
      <c r="F1564" s="16"/>
      <c r="G1564" s="17"/>
      <c r="H1564" s="18"/>
      <c r="I1564" s="19"/>
      <c r="J1564" s="20"/>
      <c r="K1564" s="21"/>
      <c r="L1564" s="22"/>
      <c r="M1564" s="23"/>
      <c r="N1564" s="24"/>
      <c r="O1564" s="25"/>
      <c r="P1564" s="26"/>
      <c r="Q1564" s="27"/>
      <c r="R1564" s="28"/>
      <c r="S1564" s="29"/>
      <c r="T1564" s="30"/>
    </row>
    <row r="1565" spans="1:20" ht="24" customHeight="1" x14ac:dyDescent="0.25">
      <c r="A1565" t="str">
        <f>IF('e1'!A1565&gt;0,HYPERLINK("#"&amp;ADDRESS(1565,'e1'!A1565),""),IF('r1'!A1565&gt;0,HYPERLINK("#"&amp;ADDRESS(1565,'r1'!A1565),""),""))</f>
        <v/>
      </c>
      <c r="C1565" s="13"/>
      <c r="D1565" s="14"/>
      <c r="E1565" s="15"/>
      <c r="F1565" s="16"/>
      <c r="G1565" s="17"/>
      <c r="H1565" s="18"/>
      <c r="I1565" s="19"/>
      <c r="J1565" s="20"/>
      <c r="K1565" s="21"/>
      <c r="L1565" s="22"/>
      <c r="M1565" s="23"/>
      <c r="N1565" s="24"/>
      <c r="O1565" s="25"/>
      <c r="P1565" s="26"/>
      <c r="Q1565" s="27"/>
      <c r="R1565" s="28"/>
      <c r="S1565" s="29"/>
      <c r="T1565" s="30"/>
    </row>
    <row r="1566" spans="1:20" ht="24" customHeight="1" x14ac:dyDescent="0.25">
      <c r="A1566" t="str">
        <f>IF('e1'!A1566&gt;0,HYPERLINK("#"&amp;ADDRESS(1566,'e1'!A1566),""),IF('r1'!A1566&gt;0,HYPERLINK("#"&amp;ADDRESS(1566,'r1'!A1566),""),""))</f>
        <v/>
      </c>
      <c r="C1566" s="13"/>
      <c r="D1566" s="14"/>
      <c r="E1566" s="15"/>
      <c r="F1566" s="16"/>
      <c r="G1566" s="17"/>
      <c r="H1566" s="18"/>
      <c r="I1566" s="19"/>
      <c r="J1566" s="20"/>
      <c r="K1566" s="21"/>
      <c r="L1566" s="22"/>
      <c r="M1566" s="23"/>
      <c r="N1566" s="24"/>
      <c r="O1566" s="25"/>
      <c r="P1566" s="26"/>
      <c r="Q1566" s="27"/>
      <c r="R1566" s="28"/>
      <c r="S1566" s="29"/>
      <c r="T1566" s="30"/>
    </row>
    <row r="1567" spans="1:20" ht="24" customHeight="1" x14ac:dyDescent="0.25">
      <c r="A1567" t="str">
        <f>IF('e1'!A1567&gt;0,HYPERLINK("#"&amp;ADDRESS(1567,'e1'!A1567),""),IF('r1'!A1567&gt;0,HYPERLINK("#"&amp;ADDRESS(1567,'r1'!A1567),""),""))</f>
        <v/>
      </c>
      <c r="C1567" s="13"/>
      <c r="D1567" s="14"/>
      <c r="E1567" s="15"/>
      <c r="F1567" s="16"/>
      <c r="G1567" s="17"/>
      <c r="H1567" s="18"/>
      <c r="I1567" s="19"/>
      <c r="J1567" s="20"/>
      <c r="K1567" s="21"/>
      <c r="L1567" s="22"/>
      <c r="M1567" s="23"/>
      <c r="N1567" s="24"/>
      <c r="O1567" s="25"/>
      <c r="P1567" s="26"/>
      <c r="Q1567" s="27"/>
      <c r="R1567" s="28"/>
      <c r="S1567" s="29"/>
      <c r="T1567" s="30"/>
    </row>
    <row r="1568" spans="1:20" ht="24" customHeight="1" x14ac:dyDescent="0.25">
      <c r="A1568" t="str">
        <f>IF('e1'!A1568&gt;0,HYPERLINK("#"&amp;ADDRESS(1568,'e1'!A1568),""),IF('r1'!A1568&gt;0,HYPERLINK("#"&amp;ADDRESS(1568,'r1'!A1568),""),""))</f>
        <v/>
      </c>
      <c r="C1568" s="13"/>
      <c r="D1568" s="14"/>
      <c r="E1568" s="15"/>
      <c r="F1568" s="16"/>
      <c r="G1568" s="17"/>
      <c r="H1568" s="18"/>
      <c r="I1568" s="19"/>
      <c r="J1568" s="20"/>
      <c r="K1568" s="21"/>
      <c r="L1568" s="22"/>
      <c r="M1568" s="23"/>
      <c r="N1568" s="24"/>
      <c r="O1568" s="25"/>
      <c r="P1568" s="26"/>
      <c r="Q1568" s="27"/>
      <c r="R1568" s="28"/>
      <c r="S1568" s="29"/>
      <c r="T1568" s="30"/>
    </row>
    <row r="1569" spans="1:20" ht="24" customHeight="1" x14ac:dyDescent="0.25">
      <c r="A1569" t="str">
        <f>IF('e1'!A1569&gt;0,HYPERLINK("#"&amp;ADDRESS(1569,'e1'!A1569),""),IF('r1'!A1569&gt;0,HYPERLINK("#"&amp;ADDRESS(1569,'r1'!A1569),""),""))</f>
        <v/>
      </c>
      <c r="C1569" s="13"/>
      <c r="D1569" s="14"/>
      <c r="E1569" s="15"/>
      <c r="F1569" s="16"/>
      <c r="G1569" s="17"/>
      <c r="H1569" s="18"/>
      <c r="I1569" s="19"/>
      <c r="J1569" s="20"/>
      <c r="K1569" s="21"/>
      <c r="L1569" s="22"/>
      <c r="M1569" s="23"/>
      <c r="N1569" s="24"/>
      <c r="O1569" s="25"/>
      <c r="P1569" s="26"/>
      <c r="Q1569" s="27"/>
      <c r="R1569" s="28"/>
      <c r="S1569" s="29"/>
      <c r="T1569" s="30"/>
    </row>
    <row r="1570" spans="1:20" ht="24" customHeight="1" x14ac:dyDescent="0.25">
      <c r="A1570" t="str">
        <f>IF('e1'!A1570&gt;0,HYPERLINK("#"&amp;ADDRESS(1570,'e1'!A1570),""),IF('r1'!A1570&gt;0,HYPERLINK("#"&amp;ADDRESS(1570,'r1'!A1570),""),""))</f>
        <v/>
      </c>
      <c r="C1570" s="13"/>
      <c r="D1570" s="14"/>
      <c r="E1570" s="15"/>
      <c r="F1570" s="16"/>
      <c r="G1570" s="17"/>
      <c r="H1570" s="18"/>
      <c r="I1570" s="19"/>
      <c r="J1570" s="20"/>
      <c r="K1570" s="21"/>
      <c r="L1570" s="22"/>
      <c r="M1570" s="23"/>
      <c r="N1570" s="24"/>
      <c r="O1570" s="25"/>
      <c r="P1570" s="26"/>
      <c r="Q1570" s="27"/>
      <c r="R1570" s="28"/>
      <c r="S1570" s="29"/>
      <c r="T1570" s="30"/>
    </row>
    <row r="1571" spans="1:20" ht="24" customHeight="1" x14ac:dyDescent="0.25">
      <c r="A1571" t="str">
        <f>IF('e1'!A1571&gt;0,HYPERLINK("#"&amp;ADDRESS(1571,'e1'!A1571),""),IF('r1'!A1571&gt;0,HYPERLINK("#"&amp;ADDRESS(1571,'r1'!A1571),""),""))</f>
        <v/>
      </c>
      <c r="C1571" s="13"/>
      <c r="D1571" s="14"/>
      <c r="E1571" s="15"/>
      <c r="F1571" s="16"/>
      <c r="G1571" s="17"/>
      <c r="H1571" s="18"/>
      <c r="I1571" s="19"/>
      <c r="J1571" s="20"/>
      <c r="K1571" s="21"/>
      <c r="L1571" s="22"/>
      <c r="M1571" s="23"/>
      <c r="N1571" s="24"/>
      <c r="O1571" s="25"/>
      <c r="P1571" s="26"/>
      <c r="Q1571" s="27"/>
      <c r="R1571" s="28"/>
      <c r="S1571" s="29"/>
      <c r="T1571" s="30"/>
    </row>
    <row r="1572" spans="1:20" ht="24" customHeight="1" x14ac:dyDescent="0.25">
      <c r="A1572" t="str">
        <f>IF('e1'!A1572&gt;0,HYPERLINK("#"&amp;ADDRESS(1572,'e1'!A1572),""),IF('r1'!A1572&gt;0,HYPERLINK("#"&amp;ADDRESS(1572,'r1'!A1572),""),""))</f>
        <v/>
      </c>
      <c r="C1572" s="13"/>
      <c r="D1572" s="14"/>
      <c r="E1572" s="15"/>
      <c r="F1572" s="16"/>
      <c r="G1572" s="17"/>
      <c r="H1572" s="18"/>
      <c r="I1572" s="19"/>
      <c r="J1572" s="20"/>
      <c r="K1572" s="21"/>
      <c r="L1572" s="22"/>
      <c r="M1572" s="23"/>
      <c r="N1572" s="24"/>
      <c r="O1572" s="25"/>
      <c r="P1572" s="26"/>
      <c r="Q1572" s="27"/>
      <c r="R1572" s="28"/>
      <c r="S1572" s="29"/>
      <c r="T1572" s="30"/>
    </row>
    <row r="1573" spans="1:20" ht="24" customHeight="1" x14ac:dyDescent="0.25">
      <c r="A1573" t="str">
        <f>IF('e1'!A1573&gt;0,HYPERLINK("#"&amp;ADDRESS(1573,'e1'!A1573),""),IF('r1'!A1573&gt;0,HYPERLINK("#"&amp;ADDRESS(1573,'r1'!A1573),""),""))</f>
        <v/>
      </c>
      <c r="C1573" s="13"/>
      <c r="D1573" s="14"/>
      <c r="E1573" s="15"/>
      <c r="F1573" s="16"/>
      <c r="G1573" s="17"/>
      <c r="H1573" s="18"/>
      <c r="I1573" s="19"/>
      <c r="J1573" s="20"/>
      <c r="K1573" s="21"/>
      <c r="L1573" s="22"/>
      <c r="M1573" s="23"/>
      <c r="N1573" s="24"/>
      <c r="O1573" s="25"/>
      <c r="P1573" s="26"/>
      <c r="Q1573" s="27"/>
      <c r="R1573" s="28"/>
      <c r="S1573" s="29"/>
      <c r="T1573" s="30"/>
    </row>
    <row r="1574" spans="1:20" ht="24" customHeight="1" x14ac:dyDescent="0.25">
      <c r="A1574" t="str">
        <f>IF('e1'!A1574&gt;0,HYPERLINK("#"&amp;ADDRESS(1574,'e1'!A1574),""),IF('r1'!A1574&gt;0,HYPERLINK("#"&amp;ADDRESS(1574,'r1'!A1574),""),""))</f>
        <v/>
      </c>
      <c r="C1574" s="13"/>
      <c r="D1574" s="14"/>
      <c r="E1574" s="15"/>
      <c r="F1574" s="16"/>
      <c r="G1574" s="17"/>
      <c r="H1574" s="18"/>
      <c r="I1574" s="19"/>
      <c r="J1574" s="20"/>
      <c r="K1574" s="21"/>
      <c r="L1574" s="22"/>
      <c r="M1574" s="23"/>
      <c r="N1574" s="24"/>
      <c r="O1574" s="25"/>
      <c r="P1574" s="26"/>
      <c r="Q1574" s="27"/>
      <c r="R1574" s="28"/>
      <c r="S1574" s="29"/>
      <c r="T1574" s="30"/>
    </row>
    <row r="1575" spans="1:20" ht="24" customHeight="1" x14ac:dyDescent="0.25">
      <c r="A1575" t="str">
        <f>IF('e1'!A1575&gt;0,HYPERLINK("#"&amp;ADDRESS(1575,'e1'!A1575),""),IF('r1'!A1575&gt;0,HYPERLINK("#"&amp;ADDRESS(1575,'r1'!A1575),""),""))</f>
        <v/>
      </c>
      <c r="C1575" s="13"/>
      <c r="D1575" s="14"/>
      <c r="E1575" s="15"/>
      <c r="F1575" s="16"/>
      <c r="G1575" s="17"/>
      <c r="H1575" s="18"/>
      <c r="I1575" s="19"/>
      <c r="J1575" s="20"/>
      <c r="K1575" s="21"/>
      <c r="L1575" s="22"/>
      <c r="M1575" s="23"/>
      <c r="N1575" s="24"/>
      <c r="O1575" s="25"/>
      <c r="P1575" s="26"/>
      <c r="Q1575" s="27"/>
      <c r="R1575" s="28"/>
      <c r="S1575" s="29"/>
      <c r="T1575" s="30"/>
    </row>
    <row r="1576" spans="1:20" ht="24" customHeight="1" x14ac:dyDescent="0.25">
      <c r="A1576" t="str">
        <f>IF('e1'!A1576&gt;0,HYPERLINK("#"&amp;ADDRESS(1576,'e1'!A1576),""),IF('r1'!A1576&gt;0,HYPERLINK("#"&amp;ADDRESS(1576,'r1'!A1576),""),""))</f>
        <v/>
      </c>
      <c r="C1576" s="13"/>
      <c r="D1576" s="14"/>
      <c r="E1576" s="15"/>
      <c r="F1576" s="16"/>
      <c r="G1576" s="17"/>
      <c r="H1576" s="18"/>
      <c r="I1576" s="19"/>
      <c r="J1576" s="20"/>
      <c r="K1576" s="21"/>
      <c r="L1576" s="22"/>
      <c r="M1576" s="23"/>
      <c r="N1576" s="24"/>
      <c r="O1576" s="25"/>
      <c r="P1576" s="26"/>
      <c r="Q1576" s="27"/>
      <c r="R1576" s="28"/>
      <c r="S1576" s="29"/>
      <c r="T1576" s="30"/>
    </row>
    <row r="1577" spans="1:20" ht="24" customHeight="1" x14ac:dyDescent="0.25">
      <c r="A1577" t="str">
        <f>IF('e1'!A1577&gt;0,HYPERLINK("#"&amp;ADDRESS(1577,'e1'!A1577),""),IF('r1'!A1577&gt;0,HYPERLINK("#"&amp;ADDRESS(1577,'r1'!A1577),""),""))</f>
        <v/>
      </c>
      <c r="C1577" s="13"/>
      <c r="D1577" s="14"/>
      <c r="E1577" s="15"/>
      <c r="F1577" s="16"/>
      <c r="G1577" s="17"/>
      <c r="H1577" s="18"/>
      <c r="I1577" s="19"/>
      <c r="J1577" s="20"/>
      <c r="K1577" s="21"/>
      <c r="L1577" s="22"/>
      <c r="M1577" s="23"/>
      <c r="N1577" s="24"/>
      <c r="O1577" s="25"/>
      <c r="P1577" s="26"/>
      <c r="Q1577" s="27"/>
      <c r="R1577" s="28"/>
      <c r="S1577" s="29"/>
      <c r="T1577" s="30"/>
    </row>
    <row r="1578" spans="1:20" ht="24" customHeight="1" x14ac:dyDescent="0.25">
      <c r="A1578" t="str">
        <f>IF('e1'!A1578&gt;0,HYPERLINK("#"&amp;ADDRESS(1578,'e1'!A1578),""),IF('r1'!A1578&gt;0,HYPERLINK("#"&amp;ADDRESS(1578,'r1'!A1578),""),""))</f>
        <v/>
      </c>
      <c r="C1578" s="13"/>
      <c r="D1578" s="14"/>
      <c r="E1578" s="15"/>
      <c r="F1578" s="16"/>
      <c r="G1578" s="17"/>
      <c r="H1578" s="18"/>
      <c r="I1578" s="19"/>
      <c r="J1578" s="20"/>
      <c r="K1578" s="21"/>
      <c r="L1578" s="22"/>
      <c r="M1578" s="23"/>
      <c r="N1578" s="24"/>
      <c r="O1578" s="25"/>
      <c r="P1578" s="26"/>
      <c r="Q1578" s="27"/>
      <c r="R1578" s="28"/>
      <c r="S1578" s="29"/>
      <c r="T1578" s="30"/>
    </row>
    <row r="1579" spans="1:20" ht="24" customHeight="1" x14ac:dyDescent="0.25">
      <c r="A1579" t="str">
        <f>IF('e1'!A1579&gt;0,HYPERLINK("#"&amp;ADDRESS(1579,'e1'!A1579),""),IF('r1'!A1579&gt;0,HYPERLINK("#"&amp;ADDRESS(1579,'r1'!A1579),""),""))</f>
        <v/>
      </c>
      <c r="C1579" s="13"/>
      <c r="D1579" s="14"/>
      <c r="E1579" s="15"/>
      <c r="F1579" s="16"/>
      <c r="G1579" s="17"/>
      <c r="H1579" s="18"/>
      <c r="I1579" s="19"/>
      <c r="J1579" s="20"/>
      <c r="K1579" s="21"/>
      <c r="L1579" s="22"/>
      <c r="M1579" s="23"/>
      <c r="N1579" s="24"/>
      <c r="O1579" s="25"/>
      <c r="P1579" s="26"/>
      <c r="Q1579" s="27"/>
      <c r="R1579" s="28"/>
      <c r="S1579" s="29"/>
      <c r="T1579" s="30"/>
    </row>
    <row r="1580" spans="1:20" ht="24" customHeight="1" x14ac:dyDescent="0.25">
      <c r="A1580" t="str">
        <f>IF('e1'!A1580&gt;0,HYPERLINK("#"&amp;ADDRESS(1580,'e1'!A1580),""),IF('r1'!A1580&gt;0,HYPERLINK("#"&amp;ADDRESS(1580,'r1'!A1580),""),""))</f>
        <v/>
      </c>
      <c r="C1580" s="13"/>
      <c r="D1580" s="14"/>
      <c r="E1580" s="15"/>
      <c r="F1580" s="16"/>
      <c r="G1580" s="17"/>
      <c r="H1580" s="18"/>
      <c r="I1580" s="19"/>
      <c r="J1580" s="20"/>
      <c r="K1580" s="21"/>
      <c r="L1580" s="22"/>
      <c r="M1580" s="23"/>
      <c r="N1580" s="24"/>
      <c r="O1580" s="25"/>
      <c r="P1580" s="26"/>
      <c r="Q1580" s="27"/>
      <c r="R1580" s="28"/>
      <c r="S1580" s="29"/>
      <c r="T1580" s="30"/>
    </row>
    <row r="1581" spans="1:20" ht="24" customHeight="1" x14ac:dyDescent="0.25">
      <c r="A1581" t="str">
        <f>IF('e1'!A1581&gt;0,HYPERLINK("#"&amp;ADDRESS(1581,'e1'!A1581),""),IF('r1'!A1581&gt;0,HYPERLINK("#"&amp;ADDRESS(1581,'r1'!A1581),""),""))</f>
        <v/>
      </c>
      <c r="C1581" s="13"/>
      <c r="D1581" s="14"/>
      <c r="E1581" s="15"/>
      <c r="F1581" s="16"/>
      <c r="G1581" s="17"/>
      <c r="H1581" s="18"/>
      <c r="I1581" s="19"/>
      <c r="J1581" s="20"/>
      <c r="K1581" s="21"/>
      <c r="L1581" s="22"/>
      <c r="M1581" s="23"/>
      <c r="N1581" s="24"/>
      <c r="O1581" s="25"/>
      <c r="P1581" s="26"/>
      <c r="Q1581" s="27"/>
      <c r="R1581" s="28"/>
      <c r="S1581" s="29"/>
      <c r="T1581" s="30"/>
    </row>
    <row r="1582" spans="1:20" ht="24" customHeight="1" x14ac:dyDescent="0.25">
      <c r="A1582" t="str">
        <f>IF('e1'!A1582&gt;0,HYPERLINK("#"&amp;ADDRESS(1582,'e1'!A1582),""),IF('r1'!A1582&gt;0,HYPERLINK("#"&amp;ADDRESS(1582,'r1'!A1582),""),""))</f>
        <v/>
      </c>
      <c r="C1582" s="13"/>
      <c r="D1582" s="14"/>
      <c r="E1582" s="15"/>
      <c r="F1582" s="16"/>
      <c r="G1582" s="17"/>
      <c r="H1582" s="18"/>
      <c r="I1582" s="19"/>
      <c r="J1582" s="20"/>
      <c r="K1582" s="21"/>
      <c r="L1582" s="22"/>
      <c r="M1582" s="23"/>
      <c r="N1582" s="24"/>
      <c r="O1582" s="25"/>
      <c r="P1582" s="26"/>
      <c r="Q1582" s="27"/>
      <c r="R1582" s="28"/>
      <c r="S1582" s="29"/>
      <c r="T1582" s="30"/>
    </row>
    <row r="1583" spans="1:20" ht="24" customHeight="1" x14ac:dyDescent="0.25">
      <c r="A1583" t="str">
        <f>IF('e1'!A1583&gt;0,HYPERLINK("#"&amp;ADDRESS(1583,'e1'!A1583),""),IF('r1'!A1583&gt;0,HYPERLINK("#"&amp;ADDRESS(1583,'r1'!A1583),""),""))</f>
        <v/>
      </c>
      <c r="C1583" s="13"/>
      <c r="D1583" s="14"/>
      <c r="E1583" s="15"/>
      <c r="F1583" s="16"/>
      <c r="G1583" s="17"/>
      <c r="H1583" s="18"/>
      <c r="I1583" s="19"/>
      <c r="J1583" s="20"/>
      <c r="K1583" s="21"/>
      <c r="L1583" s="22"/>
      <c r="M1583" s="23"/>
      <c r="N1583" s="24"/>
      <c r="O1583" s="25"/>
      <c r="P1583" s="26"/>
      <c r="Q1583" s="27"/>
      <c r="R1583" s="28"/>
      <c r="S1583" s="29"/>
      <c r="T1583" s="30"/>
    </row>
    <row r="1584" spans="1:20" ht="24" customHeight="1" x14ac:dyDescent="0.25">
      <c r="A1584" t="str">
        <f>IF('e1'!A1584&gt;0,HYPERLINK("#"&amp;ADDRESS(1584,'e1'!A1584),""),IF('r1'!A1584&gt;0,HYPERLINK("#"&amp;ADDRESS(1584,'r1'!A1584),""),""))</f>
        <v/>
      </c>
      <c r="C1584" s="13"/>
      <c r="D1584" s="14"/>
      <c r="E1584" s="15"/>
      <c r="F1584" s="16"/>
      <c r="G1584" s="17"/>
      <c r="H1584" s="18"/>
      <c r="I1584" s="19"/>
      <c r="J1584" s="20"/>
      <c r="K1584" s="21"/>
      <c r="L1584" s="22"/>
      <c r="M1584" s="23"/>
      <c r="N1584" s="24"/>
      <c r="O1584" s="25"/>
      <c r="P1584" s="26"/>
      <c r="Q1584" s="27"/>
      <c r="R1584" s="28"/>
      <c r="S1584" s="29"/>
      <c r="T1584" s="30"/>
    </row>
    <row r="1585" spans="1:20" ht="24" customHeight="1" x14ac:dyDescent="0.25">
      <c r="A1585" t="str">
        <f>IF('e1'!A1585&gt;0,HYPERLINK("#"&amp;ADDRESS(1585,'e1'!A1585),""),IF('r1'!A1585&gt;0,HYPERLINK("#"&amp;ADDRESS(1585,'r1'!A1585),""),""))</f>
        <v/>
      </c>
      <c r="C1585" s="13"/>
      <c r="D1585" s="14"/>
      <c r="E1585" s="15"/>
      <c r="F1585" s="16"/>
      <c r="G1585" s="17"/>
      <c r="H1585" s="18"/>
      <c r="I1585" s="19"/>
      <c r="J1585" s="20"/>
      <c r="K1585" s="21"/>
      <c r="L1585" s="22"/>
      <c r="M1585" s="23"/>
      <c r="N1585" s="24"/>
      <c r="O1585" s="25"/>
      <c r="P1585" s="26"/>
      <c r="Q1585" s="27"/>
      <c r="R1585" s="28"/>
      <c r="S1585" s="29"/>
      <c r="T1585" s="30"/>
    </row>
    <row r="1586" spans="1:20" ht="24" customHeight="1" x14ac:dyDescent="0.25">
      <c r="A1586" t="str">
        <f>IF('e1'!A1586&gt;0,HYPERLINK("#"&amp;ADDRESS(1586,'e1'!A1586),""),IF('r1'!A1586&gt;0,HYPERLINK("#"&amp;ADDRESS(1586,'r1'!A1586),""),""))</f>
        <v/>
      </c>
      <c r="C1586" s="13"/>
      <c r="D1586" s="14"/>
      <c r="E1586" s="15"/>
      <c r="F1586" s="16"/>
      <c r="G1586" s="17"/>
      <c r="H1586" s="18"/>
      <c r="I1586" s="19"/>
      <c r="J1586" s="20"/>
      <c r="K1586" s="21"/>
      <c r="L1586" s="22"/>
      <c r="M1586" s="23"/>
      <c r="N1586" s="24"/>
      <c r="O1586" s="25"/>
      <c r="P1586" s="26"/>
      <c r="Q1586" s="27"/>
      <c r="R1586" s="28"/>
      <c r="S1586" s="29"/>
      <c r="T1586" s="30"/>
    </row>
    <row r="1587" spans="1:20" ht="24" customHeight="1" x14ac:dyDescent="0.25">
      <c r="A1587" t="str">
        <f>IF('e1'!A1587&gt;0,HYPERLINK("#"&amp;ADDRESS(1587,'e1'!A1587),""),IF('r1'!A1587&gt;0,HYPERLINK("#"&amp;ADDRESS(1587,'r1'!A1587),""),""))</f>
        <v/>
      </c>
      <c r="C1587" s="13"/>
      <c r="D1587" s="14"/>
      <c r="E1587" s="15"/>
      <c r="F1587" s="16"/>
      <c r="G1587" s="17"/>
      <c r="H1587" s="18"/>
      <c r="I1587" s="19"/>
      <c r="J1587" s="20"/>
      <c r="K1587" s="21"/>
      <c r="L1587" s="22"/>
      <c r="M1587" s="23"/>
      <c r="N1587" s="24"/>
      <c r="O1587" s="25"/>
      <c r="P1587" s="26"/>
      <c r="Q1587" s="27"/>
      <c r="R1587" s="28"/>
      <c r="S1587" s="29"/>
      <c r="T1587" s="30"/>
    </row>
    <row r="1588" spans="1:20" ht="24" customHeight="1" x14ac:dyDescent="0.25">
      <c r="A1588" t="str">
        <f>IF('e1'!A1588&gt;0,HYPERLINK("#"&amp;ADDRESS(1588,'e1'!A1588),""),IF('r1'!A1588&gt;0,HYPERLINK("#"&amp;ADDRESS(1588,'r1'!A1588),""),""))</f>
        <v/>
      </c>
      <c r="C1588" s="13"/>
      <c r="D1588" s="14"/>
      <c r="E1588" s="15"/>
      <c r="F1588" s="16"/>
      <c r="G1588" s="17"/>
      <c r="H1588" s="18"/>
      <c r="I1588" s="19"/>
      <c r="J1588" s="20"/>
      <c r="K1588" s="21"/>
      <c r="L1588" s="22"/>
      <c r="M1588" s="23"/>
      <c r="N1588" s="24"/>
      <c r="O1588" s="25"/>
      <c r="P1588" s="26"/>
      <c r="Q1588" s="27"/>
      <c r="R1588" s="28"/>
      <c r="S1588" s="29"/>
      <c r="T1588" s="30"/>
    </row>
    <row r="1589" spans="1:20" ht="24" customHeight="1" x14ac:dyDescent="0.25">
      <c r="A1589" t="str">
        <f>IF('e1'!A1589&gt;0,HYPERLINK("#"&amp;ADDRESS(1589,'e1'!A1589),""),IF('r1'!A1589&gt;0,HYPERLINK("#"&amp;ADDRESS(1589,'r1'!A1589),""),""))</f>
        <v/>
      </c>
      <c r="C1589" s="13"/>
      <c r="D1589" s="14"/>
      <c r="E1589" s="15"/>
      <c r="F1589" s="16"/>
      <c r="G1589" s="17"/>
      <c r="H1589" s="18"/>
      <c r="I1589" s="19"/>
      <c r="J1589" s="20"/>
      <c r="K1589" s="21"/>
      <c r="L1589" s="22"/>
      <c r="M1589" s="23"/>
      <c r="N1589" s="24"/>
      <c r="O1589" s="25"/>
      <c r="P1589" s="26"/>
      <c r="Q1589" s="27"/>
      <c r="R1589" s="28"/>
      <c r="S1589" s="29"/>
      <c r="T1589" s="30"/>
    </row>
    <row r="1590" spans="1:20" ht="24" customHeight="1" x14ac:dyDescent="0.25">
      <c r="A1590" t="str">
        <f>IF('e1'!A1590&gt;0,HYPERLINK("#"&amp;ADDRESS(1590,'e1'!A1590),""),IF('r1'!A1590&gt;0,HYPERLINK("#"&amp;ADDRESS(1590,'r1'!A1590),""),""))</f>
        <v/>
      </c>
      <c r="C1590" s="13"/>
      <c r="D1590" s="14"/>
      <c r="E1590" s="15"/>
      <c r="F1590" s="16"/>
      <c r="G1590" s="17"/>
      <c r="H1590" s="18"/>
      <c r="I1590" s="19"/>
      <c r="J1590" s="20"/>
      <c r="K1590" s="21"/>
      <c r="L1590" s="22"/>
      <c r="M1590" s="23"/>
      <c r="N1590" s="24"/>
      <c r="O1590" s="25"/>
      <c r="P1590" s="26"/>
      <c r="Q1590" s="27"/>
      <c r="R1590" s="28"/>
      <c r="S1590" s="29"/>
      <c r="T1590" s="30"/>
    </row>
    <row r="1591" spans="1:20" ht="24" customHeight="1" x14ac:dyDescent="0.25">
      <c r="A1591" t="str">
        <f>IF('e1'!A1591&gt;0,HYPERLINK("#"&amp;ADDRESS(1591,'e1'!A1591),""),IF('r1'!A1591&gt;0,HYPERLINK("#"&amp;ADDRESS(1591,'r1'!A1591),""),""))</f>
        <v/>
      </c>
      <c r="C1591" s="13"/>
      <c r="D1591" s="14"/>
      <c r="E1591" s="15"/>
      <c r="F1591" s="16"/>
      <c r="G1591" s="17"/>
      <c r="H1591" s="18"/>
      <c r="I1591" s="19"/>
      <c r="J1591" s="20"/>
      <c r="K1591" s="21"/>
      <c r="L1591" s="22"/>
      <c r="M1591" s="23"/>
      <c r="N1591" s="24"/>
      <c r="O1591" s="25"/>
      <c r="P1591" s="26"/>
      <c r="Q1591" s="27"/>
      <c r="R1591" s="28"/>
      <c r="S1591" s="29"/>
      <c r="T1591" s="30"/>
    </row>
    <row r="1592" spans="1:20" ht="24" customHeight="1" x14ac:dyDescent="0.25">
      <c r="A1592" t="str">
        <f>IF('e1'!A1592&gt;0,HYPERLINK("#"&amp;ADDRESS(1592,'e1'!A1592),""),IF('r1'!A1592&gt;0,HYPERLINK("#"&amp;ADDRESS(1592,'r1'!A1592),""),""))</f>
        <v/>
      </c>
      <c r="C1592" s="13"/>
      <c r="D1592" s="14"/>
      <c r="E1592" s="15"/>
      <c r="F1592" s="16"/>
      <c r="G1592" s="17"/>
      <c r="H1592" s="18"/>
      <c r="I1592" s="19"/>
      <c r="J1592" s="20"/>
      <c r="K1592" s="21"/>
      <c r="L1592" s="22"/>
      <c r="M1592" s="23"/>
      <c r="N1592" s="24"/>
      <c r="O1592" s="25"/>
      <c r="P1592" s="26"/>
      <c r="Q1592" s="27"/>
      <c r="R1592" s="28"/>
      <c r="S1592" s="29"/>
      <c r="T1592" s="30"/>
    </row>
    <row r="1593" spans="1:20" ht="24" customHeight="1" x14ac:dyDescent="0.25">
      <c r="A1593" t="str">
        <f>IF('e1'!A1593&gt;0,HYPERLINK("#"&amp;ADDRESS(1593,'e1'!A1593),""),IF('r1'!A1593&gt;0,HYPERLINK("#"&amp;ADDRESS(1593,'r1'!A1593),""),""))</f>
        <v/>
      </c>
      <c r="C1593" s="13"/>
      <c r="D1593" s="14"/>
      <c r="E1593" s="15"/>
      <c r="F1593" s="16"/>
      <c r="G1593" s="17"/>
      <c r="H1593" s="18"/>
      <c r="I1593" s="19"/>
      <c r="J1593" s="20"/>
      <c r="K1593" s="21"/>
      <c r="L1593" s="22"/>
      <c r="M1593" s="23"/>
      <c r="N1593" s="24"/>
      <c r="O1593" s="25"/>
      <c r="P1593" s="26"/>
      <c r="Q1593" s="27"/>
      <c r="R1593" s="28"/>
      <c r="S1593" s="29"/>
      <c r="T1593" s="30"/>
    </row>
    <row r="1594" spans="1:20" ht="24" customHeight="1" x14ac:dyDescent="0.25">
      <c r="A1594" t="str">
        <f>IF('e1'!A1594&gt;0,HYPERLINK("#"&amp;ADDRESS(1594,'e1'!A1594),""),IF('r1'!A1594&gt;0,HYPERLINK("#"&amp;ADDRESS(1594,'r1'!A1594),""),""))</f>
        <v/>
      </c>
      <c r="C1594" s="13"/>
      <c r="D1594" s="14"/>
      <c r="E1594" s="15"/>
      <c r="F1594" s="16"/>
      <c r="G1594" s="17"/>
      <c r="H1594" s="18"/>
      <c r="I1594" s="19"/>
      <c r="J1594" s="20"/>
      <c r="K1594" s="21"/>
      <c r="L1594" s="22"/>
      <c r="M1594" s="23"/>
      <c r="N1594" s="24"/>
      <c r="O1594" s="25"/>
      <c r="P1594" s="26"/>
      <c r="Q1594" s="27"/>
      <c r="R1594" s="28"/>
      <c r="S1594" s="29"/>
      <c r="T1594" s="30"/>
    </row>
    <row r="1595" spans="1:20" ht="24" customHeight="1" x14ac:dyDescent="0.25">
      <c r="A1595" t="str">
        <f>IF('e1'!A1595&gt;0,HYPERLINK("#"&amp;ADDRESS(1595,'e1'!A1595),""),IF('r1'!A1595&gt;0,HYPERLINK("#"&amp;ADDRESS(1595,'r1'!A1595),""),""))</f>
        <v/>
      </c>
      <c r="C1595" s="13"/>
      <c r="D1595" s="14"/>
      <c r="E1595" s="15"/>
      <c r="F1595" s="16"/>
      <c r="G1595" s="17"/>
      <c r="H1595" s="18"/>
      <c r="I1595" s="19"/>
      <c r="J1595" s="20"/>
      <c r="K1595" s="21"/>
      <c r="L1595" s="22"/>
      <c r="M1595" s="23"/>
      <c r="N1595" s="24"/>
      <c r="O1595" s="25"/>
      <c r="P1595" s="26"/>
      <c r="Q1595" s="27"/>
      <c r="R1595" s="28"/>
      <c r="S1595" s="29"/>
      <c r="T1595" s="30"/>
    </row>
    <row r="1596" spans="1:20" ht="24" customHeight="1" x14ac:dyDescent="0.25">
      <c r="A1596" t="str">
        <f>IF('e1'!A1596&gt;0,HYPERLINK("#"&amp;ADDRESS(1596,'e1'!A1596),""),IF('r1'!A1596&gt;0,HYPERLINK("#"&amp;ADDRESS(1596,'r1'!A1596),""),""))</f>
        <v/>
      </c>
      <c r="C1596" s="13"/>
      <c r="D1596" s="14"/>
      <c r="E1596" s="15"/>
      <c r="F1596" s="16"/>
      <c r="G1596" s="17"/>
      <c r="H1596" s="18"/>
      <c r="I1596" s="19"/>
      <c r="J1596" s="20"/>
      <c r="K1596" s="21"/>
      <c r="L1596" s="22"/>
      <c r="M1596" s="23"/>
      <c r="N1596" s="24"/>
      <c r="O1596" s="25"/>
      <c r="P1596" s="26"/>
      <c r="Q1596" s="27"/>
      <c r="R1596" s="28"/>
      <c r="S1596" s="29"/>
      <c r="T1596" s="30"/>
    </row>
    <row r="1597" spans="1:20" ht="24" customHeight="1" x14ac:dyDescent="0.25">
      <c r="A1597" t="str">
        <f>IF('e1'!A1597&gt;0,HYPERLINK("#"&amp;ADDRESS(1597,'e1'!A1597),""),IF('r1'!A1597&gt;0,HYPERLINK("#"&amp;ADDRESS(1597,'r1'!A1597),""),""))</f>
        <v/>
      </c>
      <c r="C1597" s="13"/>
      <c r="D1597" s="14"/>
      <c r="E1597" s="15"/>
      <c r="F1597" s="16"/>
      <c r="G1597" s="17"/>
      <c r="H1597" s="18"/>
      <c r="I1597" s="19"/>
      <c r="J1597" s="20"/>
      <c r="K1597" s="21"/>
      <c r="L1597" s="22"/>
      <c r="M1597" s="23"/>
      <c r="N1597" s="24"/>
      <c r="O1597" s="25"/>
      <c r="P1597" s="26"/>
      <c r="Q1597" s="27"/>
      <c r="R1597" s="28"/>
      <c r="S1597" s="29"/>
      <c r="T1597" s="30"/>
    </row>
    <row r="1598" spans="1:20" ht="24" customHeight="1" x14ac:dyDescent="0.25">
      <c r="A1598" t="str">
        <f>IF('e1'!A1598&gt;0,HYPERLINK("#"&amp;ADDRESS(1598,'e1'!A1598),""),IF('r1'!A1598&gt;0,HYPERLINK("#"&amp;ADDRESS(1598,'r1'!A1598),""),""))</f>
        <v/>
      </c>
      <c r="C1598" s="13"/>
      <c r="D1598" s="14"/>
      <c r="E1598" s="15"/>
      <c r="F1598" s="16"/>
      <c r="G1598" s="17"/>
      <c r="H1598" s="18"/>
      <c r="I1598" s="19"/>
      <c r="J1598" s="20"/>
      <c r="K1598" s="21"/>
      <c r="L1598" s="22"/>
      <c r="M1598" s="23"/>
      <c r="N1598" s="24"/>
      <c r="O1598" s="25"/>
      <c r="P1598" s="26"/>
      <c r="Q1598" s="27"/>
      <c r="R1598" s="28"/>
      <c r="S1598" s="29"/>
      <c r="T1598" s="30"/>
    </row>
    <row r="1599" spans="1:20" ht="24" customHeight="1" x14ac:dyDescent="0.25">
      <c r="A1599" t="str">
        <f>IF('e1'!A1599&gt;0,HYPERLINK("#"&amp;ADDRESS(1599,'e1'!A1599),""),IF('r1'!A1599&gt;0,HYPERLINK("#"&amp;ADDRESS(1599,'r1'!A1599),""),""))</f>
        <v/>
      </c>
      <c r="C1599" s="13"/>
      <c r="D1599" s="14"/>
      <c r="E1599" s="15"/>
      <c r="F1599" s="16"/>
      <c r="G1599" s="17"/>
      <c r="H1599" s="18"/>
      <c r="I1599" s="19"/>
      <c r="J1599" s="20"/>
      <c r="K1599" s="21"/>
      <c r="L1599" s="22"/>
      <c r="M1599" s="23"/>
      <c r="N1599" s="24"/>
      <c r="O1599" s="25"/>
      <c r="P1599" s="26"/>
      <c r="Q1599" s="27"/>
      <c r="R1599" s="28"/>
      <c r="S1599" s="29"/>
      <c r="T1599" s="30"/>
    </row>
    <row r="1600" spans="1:20" ht="24" customHeight="1" x14ac:dyDescent="0.25">
      <c r="A1600" t="str">
        <f>IF('e1'!A1600&gt;0,HYPERLINK("#"&amp;ADDRESS(1600,'e1'!A1600),""),IF('r1'!A1600&gt;0,HYPERLINK("#"&amp;ADDRESS(1600,'r1'!A1600),""),""))</f>
        <v/>
      </c>
      <c r="C1600" s="13"/>
      <c r="D1600" s="14"/>
      <c r="E1600" s="15"/>
      <c r="F1600" s="16"/>
      <c r="G1600" s="17"/>
      <c r="H1600" s="18"/>
      <c r="I1600" s="19"/>
      <c r="J1600" s="20"/>
      <c r="K1600" s="21"/>
      <c r="L1600" s="22"/>
      <c r="M1600" s="23"/>
      <c r="N1600" s="24"/>
      <c r="O1600" s="25"/>
      <c r="P1600" s="26"/>
      <c r="Q1600" s="27"/>
      <c r="R1600" s="28"/>
      <c r="S1600" s="29"/>
      <c r="T1600" s="30"/>
    </row>
    <row r="1601" spans="1:20" ht="24" customHeight="1" x14ac:dyDescent="0.25">
      <c r="A1601" t="str">
        <f>IF('e1'!A1601&gt;0,HYPERLINK("#"&amp;ADDRESS(1601,'e1'!A1601),""),IF('r1'!A1601&gt;0,HYPERLINK("#"&amp;ADDRESS(1601,'r1'!A1601),""),""))</f>
        <v/>
      </c>
      <c r="C1601" s="13"/>
      <c r="D1601" s="14"/>
      <c r="E1601" s="15"/>
      <c r="F1601" s="16"/>
      <c r="G1601" s="17"/>
      <c r="H1601" s="18"/>
      <c r="I1601" s="19"/>
      <c r="J1601" s="20"/>
      <c r="K1601" s="21"/>
      <c r="L1601" s="22"/>
      <c r="M1601" s="23"/>
      <c r="N1601" s="24"/>
      <c r="O1601" s="25"/>
      <c r="P1601" s="26"/>
      <c r="Q1601" s="27"/>
      <c r="R1601" s="28"/>
      <c r="S1601" s="29"/>
      <c r="T1601" s="30"/>
    </row>
    <row r="1602" spans="1:20" ht="24" customHeight="1" x14ac:dyDescent="0.25">
      <c r="A1602" t="str">
        <f>IF('e1'!A1602&gt;0,HYPERLINK("#"&amp;ADDRESS(1602,'e1'!A1602),""),IF('r1'!A1602&gt;0,HYPERLINK("#"&amp;ADDRESS(1602,'r1'!A1602),""),""))</f>
        <v/>
      </c>
      <c r="C1602" s="13"/>
      <c r="D1602" s="14"/>
      <c r="E1602" s="15"/>
      <c r="F1602" s="16"/>
      <c r="G1602" s="17"/>
      <c r="H1602" s="18"/>
      <c r="I1602" s="19"/>
      <c r="J1602" s="20"/>
      <c r="K1602" s="21"/>
      <c r="L1602" s="22"/>
      <c r="M1602" s="23"/>
      <c r="N1602" s="24"/>
      <c r="O1602" s="25"/>
      <c r="P1602" s="26"/>
      <c r="Q1602" s="27"/>
      <c r="R1602" s="28"/>
      <c r="S1602" s="29"/>
      <c r="T1602" s="30"/>
    </row>
    <row r="1603" spans="1:20" ht="24" customHeight="1" x14ac:dyDescent="0.25">
      <c r="A1603" t="str">
        <f>IF('e1'!A1603&gt;0,HYPERLINK("#"&amp;ADDRESS(1603,'e1'!A1603),""),IF('r1'!A1603&gt;0,HYPERLINK("#"&amp;ADDRESS(1603,'r1'!A1603),""),""))</f>
        <v/>
      </c>
      <c r="C1603" s="13"/>
      <c r="D1603" s="14"/>
      <c r="E1603" s="15"/>
      <c r="F1603" s="16"/>
      <c r="G1603" s="17"/>
      <c r="H1603" s="18"/>
      <c r="I1603" s="19"/>
      <c r="J1603" s="20"/>
      <c r="K1603" s="21"/>
      <c r="L1603" s="22"/>
      <c r="M1603" s="23"/>
      <c r="N1603" s="24"/>
      <c r="O1603" s="25"/>
      <c r="P1603" s="26"/>
      <c r="Q1603" s="27"/>
      <c r="R1603" s="28"/>
      <c r="S1603" s="29"/>
      <c r="T1603" s="30"/>
    </row>
    <row r="1604" spans="1:20" ht="24" customHeight="1" x14ac:dyDescent="0.25">
      <c r="A1604" t="str">
        <f>IF('e1'!A1604&gt;0,HYPERLINK("#"&amp;ADDRESS(1604,'e1'!A1604),""),IF('r1'!A1604&gt;0,HYPERLINK("#"&amp;ADDRESS(1604,'r1'!A1604),""),""))</f>
        <v/>
      </c>
      <c r="C1604" s="13"/>
      <c r="D1604" s="14"/>
      <c r="E1604" s="15"/>
      <c r="F1604" s="16"/>
      <c r="G1604" s="17"/>
      <c r="H1604" s="18"/>
      <c r="I1604" s="19"/>
      <c r="J1604" s="20"/>
      <c r="K1604" s="21"/>
      <c r="L1604" s="22"/>
      <c r="M1604" s="23"/>
      <c r="N1604" s="24"/>
      <c r="O1604" s="25"/>
      <c r="P1604" s="26"/>
      <c r="Q1604" s="27"/>
      <c r="R1604" s="28"/>
      <c r="S1604" s="29"/>
      <c r="T1604" s="30"/>
    </row>
    <row r="1605" spans="1:20" ht="24" customHeight="1" x14ac:dyDescent="0.25">
      <c r="A1605" t="str">
        <f>IF('e1'!A1605&gt;0,HYPERLINK("#"&amp;ADDRESS(1605,'e1'!A1605),""),IF('r1'!A1605&gt;0,HYPERLINK("#"&amp;ADDRESS(1605,'r1'!A1605),""),""))</f>
        <v/>
      </c>
      <c r="C1605" s="13"/>
      <c r="D1605" s="14"/>
      <c r="E1605" s="15"/>
      <c r="F1605" s="16"/>
      <c r="G1605" s="17"/>
      <c r="H1605" s="18"/>
      <c r="I1605" s="19"/>
      <c r="J1605" s="20"/>
      <c r="K1605" s="21"/>
      <c r="L1605" s="22"/>
      <c r="M1605" s="23"/>
      <c r="N1605" s="24"/>
      <c r="O1605" s="25"/>
      <c r="P1605" s="26"/>
      <c r="Q1605" s="27"/>
      <c r="R1605" s="28"/>
      <c r="S1605" s="29"/>
      <c r="T1605" s="30"/>
    </row>
    <row r="1606" spans="1:20" ht="24" customHeight="1" x14ac:dyDescent="0.25">
      <c r="A1606" t="str">
        <f>IF('e1'!A1606&gt;0,HYPERLINK("#"&amp;ADDRESS(1606,'e1'!A1606),""),IF('r1'!A1606&gt;0,HYPERLINK("#"&amp;ADDRESS(1606,'r1'!A1606),""),""))</f>
        <v/>
      </c>
      <c r="C1606" s="13"/>
      <c r="D1606" s="14"/>
      <c r="E1606" s="15"/>
      <c r="F1606" s="16"/>
      <c r="G1606" s="17"/>
      <c r="H1606" s="18"/>
      <c r="I1606" s="19"/>
      <c r="J1606" s="20"/>
      <c r="K1606" s="21"/>
      <c r="L1606" s="22"/>
      <c r="M1606" s="23"/>
      <c r="N1606" s="24"/>
      <c r="O1606" s="25"/>
      <c r="P1606" s="26"/>
      <c r="Q1606" s="27"/>
      <c r="R1606" s="28"/>
      <c r="S1606" s="29"/>
      <c r="T1606" s="30"/>
    </row>
    <row r="1607" spans="1:20" ht="24" customHeight="1" x14ac:dyDescent="0.25">
      <c r="A1607" t="str">
        <f>IF('e1'!A1607&gt;0,HYPERLINK("#"&amp;ADDRESS(1607,'e1'!A1607),""),IF('r1'!A1607&gt;0,HYPERLINK("#"&amp;ADDRESS(1607,'r1'!A1607),""),""))</f>
        <v/>
      </c>
      <c r="C1607" s="13"/>
      <c r="D1607" s="14"/>
      <c r="E1607" s="15"/>
      <c r="F1607" s="16"/>
      <c r="G1607" s="17"/>
      <c r="H1607" s="18"/>
      <c r="I1607" s="19"/>
      <c r="J1607" s="20"/>
      <c r="K1607" s="21"/>
      <c r="L1607" s="22"/>
      <c r="M1607" s="23"/>
      <c r="N1607" s="24"/>
      <c r="O1607" s="25"/>
      <c r="P1607" s="26"/>
      <c r="Q1607" s="27"/>
      <c r="R1607" s="28"/>
      <c r="S1607" s="29"/>
      <c r="T1607" s="30"/>
    </row>
    <row r="1608" spans="1:20" ht="24" customHeight="1" x14ac:dyDescent="0.25">
      <c r="A1608" t="str">
        <f>IF('e1'!A1608&gt;0,HYPERLINK("#"&amp;ADDRESS(1608,'e1'!A1608),""),IF('r1'!A1608&gt;0,HYPERLINK("#"&amp;ADDRESS(1608,'r1'!A1608),""),""))</f>
        <v/>
      </c>
      <c r="C1608" s="13"/>
      <c r="D1608" s="14"/>
      <c r="E1608" s="15"/>
      <c r="F1608" s="16"/>
      <c r="G1608" s="17"/>
      <c r="H1608" s="18"/>
      <c r="I1608" s="19"/>
      <c r="J1608" s="20"/>
      <c r="K1608" s="21"/>
      <c r="L1608" s="22"/>
      <c r="M1608" s="23"/>
      <c r="N1608" s="24"/>
      <c r="O1608" s="25"/>
      <c r="P1608" s="26"/>
      <c r="Q1608" s="27"/>
      <c r="R1608" s="28"/>
      <c r="S1608" s="29"/>
      <c r="T1608" s="30"/>
    </row>
    <row r="1609" spans="1:20" ht="24" customHeight="1" x14ac:dyDescent="0.25">
      <c r="A1609" t="str">
        <f>IF('e1'!A1609&gt;0,HYPERLINK("#"&amp;ADDRESS(1609,'e1'!A1609),""),IF('r1'!A1609&gt;0,HYPERLINK("#"&amp;ADDRESS(1609,'r1'!A1609),""),""))</f>
        <v/>
      </c>
      <c r="C1609" s="13"/>
      <c r="D1609" s="14"/>
      <c r="E1609" s="15"/>
      <c r="F1609" s="16"/>
      <c r="G1609" s="17"/>
      <c r="H1609" s="18"/>
      <c r="I1609" s="19"/>
      <c r="J1609" s="20"/>
      <c r="K1609" s="21"/>
      <c r="L1609" s="22"/>
      <c r="M1609" s="23"/>
      <c r="N1609" s="24"/>
      <c r="O1609" s="25"/>
      <c r="P1609" s="26"/>
      <c r="Q1609" s="27"/>
      <c r="R1609" s="28"/>
      <c r="S1609" s="29"/>
      <c r="T1609" s="30"/>
    </row>
    <row r="1610" spans="1:20" ht="24" customHeight="1" x14ac:dyDescent="0.25">
      <c r="A1610" t="str">
        <f>IF('e1'!A1610&gt;0,HYPERLINK("#"&amp;ADDRESS(1610,'e1'!A1610),""),IF('r1'!A1610&gt;0,HYPERLINK("#"&amp;ADDRESS(1610,'r1'!A1610),""),""))</f>
        <v/>
      </c>
      <c r="C1610" s="13"/>
      <c r="D1610" s="14"/>
      <c r="E1610" s="15"/>
      <c r="F1610" s="16"/>
      <c r="G1610" s="17"/>
      <c r="H1610" s="18"/>
      <c r="I1610" s="19"/>
      <c r="J1610" s="20"/>
      <c r="K1610" s="21"/>
      <c r="L1610" s="22"/>
      <c r="M1610" s="23"/>
      <c r="N1610" s="24"/>
      <c r="O1610" s="25"/>
      <c r="P1610" s="26"/>
      <c r="Q1610" s="27"/>
      <c r="R1610" s="28"/>
      <c r="S1610" s="29"/>
      <c r="T1610" s="30"/>
    </row>
    <row r="1611" spans="1:20" ht="24" customHeight="1" x14ac:dyDescent="0.25">
      <c r="A1611" t="str">
        <f>IF('e1'!A1611&gt;0,HYPERLINK("#"&amp;ADDRESS(1611,'e1'!A1611),""),IF('r1'!A1611&gt;0,HYPERLINK("#"&amp;ADDRESS(1611,'r1'!A1611),""),""))</f>
        <v/>
      </c>
      <c r="C1611" s="13"/>
      <c r="D1611" s="14"/>
      <c r="E1611" s="15"/>
      <c r="F1611" s="16"/>
      <c r="G1611" s="17"/>
      <c r="H1611" s="18"/>
      <c r="I1611" s="19"/>
      <c r="J1611" s="20"/>
      <c r="K1611" s="21"/>
      <c r="L1611" s="22"/>
      <c r="M1611" s="23"/>
      <c r="N1611" s="24"/>
      <c r="O1611" s="25"/>
      <c r="P1611" s="26"/>
      <c r="Q1611" s="27"/>
      <c r="R1611" s="28"/>
      <c r="S1611" s="29"/>
      <c r="T1611" s="30"/>
    </row>
    <row r="1612" spans="1:20" ht="24" customHeight="1" x14ac:dyDescent="0.25">
      <c r="A1612" t="str">
        <f>IF('e1'!A1612&gt;0,HYPERLINK("#"&amp;ADDRESS(1612,'e1'!A1612),""),IF('r1'!A1612&gt;0,HYPERLINK("#"&amp;ADDRESS(1612,'r1'!A1612),""),""))</f>
        <v/>
      </c>
      <c r="C1612" s="13"/>
      <c r="D1612" s="14"/>
      <c r="E1612" s="15"/>
      <c r="F1612" s="16"/>
      <c r="G1612" s="17"/>
      <c r="H1612" s="18"/>
      <c r="I1612" s="19"/>
      <c r="J1612" s="20"/>
      <c r="K1612" s="21"/>
      <c r="L1612" s="22"/>
      <c r="M1612" s="23"/>
      <c r="N1612" s="24"/>
      <c r="O1612" s="25"/>
      <c r="P1612" s="26"/>
      <c r="Q1612" s="27"/>
      <c r="R1612" s="28"/>
      <c r="S1612" s="29"/>
      <c r="T1612" s="30"/>
    </row>
    <row r="1613" spans="1:20" ht="24" customHeight="1" x14ac:dyDescent="0.25">
      <c r="A1613" t="str">
        <f>IF('e1'!A1613&gt;0,HYPERLINK("#"&amp;ADDRESS(1613,'e1'!A1613),""),IF('r1'!A1613&gt;0,HYPERLINK("#"&amp;ADDRESS(1613,'r1'!A1613),""),""))</f>
        <v/>
      </c>
      <c r="C1613" s="13"/>
      <c r="D1613" s="14"/>
      <c r="E1613" s="15"/>
      <c r="F1613" s="16"/>
      <c r="G1613" s="17"/>
      <c r="H1613" s="18"/>
      <c r="I1613" s="19"/>
      <c r="J1613" s="20"/>
      <c r="K1613" s="21"/>
      <c r="L1613" s="22"/>
      <c r="M1613" s="23"/>
      <c r="N1613" s="24"/>
      <c r="O1613" s="25"/>
      <c r="P1613" s="26"/>
      <c r="Q1613" s="27"/>
      <c r="R1613" s="28"/>
      <c r="S1613" s="29"/>
      <c r="T1613" s="30"/>
    </row>
    <row r="1614" spans="1:20" ht="24" customHeight="1" x14ac:dyDescent="0.25">
      <c r="A1614" t="str">
        <f>IF('e1'!A1614&gt;0,HYPERLINK("#"&amp;ADDRESS(1614,'e1'!A1614),""),IF('r1'!A1614&gt;0,HYPERLINK("#"&amp;ADDRESS(1614,'r1'!A1614),""),""))</f>
        <v/>
      </c>
      <c r="C1614" s="13"/>
      <c r="D1614" s="14"/>
      <c r="E1614" s="15"/>
      <c r="F1614" s="16"/>
      <c r="G1614" s="17"/>
      <c r="H1614" s="18"/>
      <c r="I1614" s="19"/>
      <c r="J1614" s="20"/>
      <c r="K1614" s="21"/>
      <c r="L1614" s="22"/>
      <c r="M1614" s="23"/>
      <c r="N1614" s="24"/>
      <c r="O1614" s="25"/>
      <c r="P1614" s="26"/>
      <c r="Q1614" s="27"/>
      <c r="R1614" s="28"/>
      <c r="S1614" s="29"/>
      <c r="T1614" s="30"/>
    </row>
    <row r="1615" spans="1:20" ht="24" customHeight="1" x14ac:dyDescent="0.25">
      <c r="A1615" t="str">
        <f>IF('e1'!A1615&gt;0,HYPERLINK("#"&amp;ADDRESS(1615,'e1'!A1615),""),IF('r1'!A1615&gt;0,HYPERLINK("#"&amp;ADDRESS(1615,'r1'!A1615),""),""))</f>
        <v/>
      </c>
      <c r="C1615" s="13"/>
      <c r="D1615" s="14"/>
      <c r="E1615" s="15"/>
      <c r="F1615" s="16"/>
      <c r="G1615" s="17"/>
      <c r="H1615" s="18"/>
      <c r="I1615" s="19"/>
      <c r="J1615" s="20"/>
      <c r="K1615" s="21"/>
      <c r="L1615" s="22"/>
      <c r="M1615" s="23"/>
      <c r="N1615" s="24"/>
      <c r="O1615" s="25"/>
      <c r="P1615" s="26"/>
      <c r="Q1615" s="27"/>
      <c r="R1615" s="28"/>
      <c r="S1615" s="29"/>
      <c r="T1615" s="30"/>
    </row>
    <row r="1616" spans="1:20" ht="24" customHeight="1" x14ac:dyDescent="0.25">
      <c r="A1616" t="str">
        <f>IF('e1'!A1616&gt;0,HYPERLINK("#"&amp;ADDRESS(1616,'e1'!A1616),""),IF('r1'!A1616&gt;0,HYPERLINK("#"&amp;ADDRESS(1616,'r1'!A1616),""),""))</f>
        <v/>
      </c>
      <c r="C1616" s="13"/>
      <c r="D1616" s="14"/>
      <c r="E1616" s="15"/>
      <c r="F1616" s="16"/>
      <c r="G1616" s="17"/>
      <c r="H1616" s="18"/>
      <c r="I1616" s="19"/>
      <c r="J1616" s="20"/>
      <c r="K1616" s="21"/>
      <c r="L1616" s="22"/>
      <c r="M1616" s="23"/>
      <c r="N1616" s="24"/>
      <c r="O1616" s="25"/>
      <c r="P1616" s="26"/>
      <c r="Q1616" s="27"/>
      <c r="R1616" s="28"/>
      <c r="S1616" s="29"/>
      <c r="T1616" s="30"/>
    </row>
    <row r="1617" spans="1:20" ht="24" customHeight="1" x14ac:dyDescent="0.25">
      <c r="A1617" t="str">
        <f>IF('e1'!A1617&gt;0,HYPERLINK("#"&amp;ADDRESS(1617,'e1'!A1617),""),IF('r1'!A1617&gt;0,HYPERLINK("#"&amp;ADDRESS(1617,'r1'!A1617),""),""))</f>
        <v/>
      </c>
      <c r="C1617" s="13"/>
      <c r="D1617" s="14"/>
      <c r="E1617" s="15"/>
      <c r="F1617" s="16"/>
      <c r="G1617" s="17"/>
      <c r="H1617" s="18"/>
      <c r="I1617" s="19"/>
      <c r="J1617" s="20"/>
      <c r="K1617" s="21"/>
      <c r="L1617" s="22"/>
      <c r="M1617" s="23"/>
      <c r="N1617" s="24"/>
      <c r="O1617" s="25"/>
      <c r="P1617" s="26"/>
      <c r="Q1617" s="27"/>
      <c r="R1617" s="28"/>
      <c r="S1617" s="29"/>
      <c r="T1617" s="30"/>
    </row>
    <row r="1618" spans="1:20" ht="24" customHeight="1" x14ac:dyDescent="0.25">
      <c r="A1618" t="str">
        <f>IF('e1'!A1618&gt;0,HYPERLINK("#"&amp;ADDRESS(1618,'e1'!A1618),""),IF('r1'!A1618&gt;0,HYPERLINK("#"&amp;ADDRESS(1618,'r1'!A1618),""),""))</f>
        <v/>
      </c>
      <c r="C1618" s="13"/>
      <c r="D1618" s="14"/>
      <c r="E1618" s="15"/>
      <c r="F1618" s="16"/>
      <c r="G1618" s="17"/>
      <c r="H1618" s="18"/>
      <c r="I1618" s="19"/>
      <c r="J1618" s="20"/>
      <c r="K1618" s="21"/>
      <c r="L1618" s="22"/>
      <c r="M1618" s="23"/>
      <c r="N1618" s="24"/>
      <c r="O1618" s="25"/>
      <c r="P1618" s="26"/>
      <c r="Q1618" s="27"/>
      <c r="R1618" s="28"/>
      <c r="S1618" s="29"/>
      <c r="T1618" s="30"/>
    </row>
    <row r="1619" spans="1:20" ht="24" customHeight="1" x14ac:dyDescent="0.25">
      <c r="A1619" t="str">
        <f>IF('e1'!A1619&gt;0,HYPERLINK("#"&amp;ADDRESS(1619,'e1'!A1619),""),IF('r1'!A1619&gt;0,HYPERLINK("#"&amp;ADDRESS(1619,'r1'!A1619),""),""))</f>
        <v/>
      </c>
      <c r="C1619" s="13"/>
      <c r="D1619" s="14"/>
      <c r="E1619" s="15"/>
      <c r="F1619" s="16"/>
      <c r="G1619" s="17"/>
      <c r="H1619" s="18"/>
      <c r="I1619" s="19"/>
      <c r="J1619" s="20"/>
      <c r="K1619" s="21"/>
      <c r="L1619" s="22"/>
      <c r="M1619" s="23"/>
      <c r="N1619" s="24"/>
      <c r="O1619" s="25"/>
      <c r="P1619" s="26"/>
      <c r="Q1619" s="27"/>
      <c r="R1619" s="28"/>
      <c r="S1619" s="29"/>
      <c r="T1619" s="30"/>
    </row>
    <row r="1620" spans="1:20" ht="24" customHeight="1" x14ac:dyDescent="0.25">
      <c r="A1620" t="str">
        <f>IF('e1'!A1620&gt;0,HYPERLINK("#"&amp;ADDRESS(1620,'e1'!A1620),""),IF('r1'!A1620&gt;0,HYPERLINK("#"&amp;ADDRESS(1620,'r1'!A1620),""),""))</f>
        <v/>
      </c>
      <c r="C1620" s="13"/>
      <c r="D1620" s="14"/>
      <c r="E1620" s="15"/>
      <c r="F1620" s="16"/>
      <c r="G1620" s="17"/>
      <c r="H1620" s="18"/>
      <c r="I1620" s="19"/>
      <c r="J1620" s="20"/>
      <c r="K1620" s="21"/>
      <c r="L1620" s="22"/>
      <c r="M1620" s="23"/>
      <c r="N1620" s="24"/>
      <c r="O1620" s="25"/>
      <c r="P1620" s="26"/>
      <c r="Q1620" s="27"/>
      <c r="R1620" s="28"/>
      <c r="S1620" s="29"/>
      <c r="T1620" s="30"/>
    </row>
    <row r="1621" spans="1:20" ht="24" customHeight="1" x14ac:dyDescent="0.25">
      <c r="A1621" t="str">
        <f>IF('e1'!A1621&gt;0,HYPERLINK("#"&amp;ADDRESS(1621,'e1'!A1621),""),IF('r1'!A1621&gt;0,HYPERLINK("#"&amp;ADDRESS(1621,'r1'!A1621),""),""))</f>
        <v/>
      </c>
      <c r="C1621" s="13"/>
      <c r="D1621" s="14"/>
      <c r="E1621" s="15"/>
      <c r="F1621" s="16"/>
      <c r="G1621" s="17"/>
      <c r="H1621" s="18"/>
      <c r="I1621" s="19"/>
      <c r="J1621" s="20"/>
      <c r="K1621" s="21"/>
      <c r="L1621" s="22"/>
      <c r="M1621" s="23"/>
      <c r="N1621" s="24"/>
      <c r="O1621" s="25"/>
      <c r="P1621" s="26"/>
      <c r="Q1621" s="27"/>
      <c r="R1621" s="28"/>
      <c r="S1621" s="29"/>
      <c r="T1621" s="30"/>
    </row>
    <row r="1622" spans="1:20" ht="24" customHeight="1" x14ac:dyDescent="0.25">
      <c r="A1622" t="str">
        <f>IF('e1'!A1622&gt;0,HYPERLINK("#"&amp;ADDRESS(1622,'e1'!A1622),""),IF('r1'!A1622&gt;0,HYPERLINK("#"&amp;ADDRESS(1622,'r1'!A1622),""),""))</f>
        <v/>
      </c>
      <c r="C1622" s="13"/>
      <c r="D1622" s="14"/>
      <c r="E1622" s="15"/>
      <c r="F1622" s="16"/>
      <c r="G1622" s="17"/>
      <c r="H1622" s="18"/>
      <c r="I1622" s="19"/>
      <c r="J1622" s="20"/>
      <c r="K1622" s="21"/>
      <c r="L1622" s="22"/>
      <c r="M1622" s="23"/>
      <c r="N1622" s="24"/>
      <c r="O1622" s="25"/>
      <c r="P1622" s="26"/>
      <c r="Q1622" s="27"/>
      <c r="R1622" s="28"/>
      <c r="S1622" s="29"/>
      <c r="T1622" s="30"/>
    </row>
    <row r="1623" spans="1:20" ht="24" customHeight="1" x14ac:dyDescent="0.25">
      <c r="A1623" t="str">
        <f>IF('e1'!A1623&gt;0,HYPERLINK("#"&amp;ADDRESS(1623,'e1'!A1623),""),IF('r1'!A1623&gt;0,HYPERLINK("#"&amp;ADDRESS(1623,'r1'!A1623),""),""))</f>
        <v/>
      </c>
      <c r="C1623" s="13"/>
      <c r="D1623" s="14"/>
      <c r="E1623" s="15"/>
      <c r="F1623" s="16"/>
      <c r="G1623" s="17"/>
      <c r="H1623" s="18"/>
      <c r="I1623" s="19"/>
      <c r="J1623" s="20"/>
      <c r="K1623" s="21"/>
      <c r="L1623" s="22"/>
      <c r="M1623" s="23"/>
      <c r="N1623" s="24"/>
      <c r="O1623" s="25"/>
      <c r="P1623" s="26"/>
      <c r="Q1623" s="27"/>
      <c r="R1623" s="28"/>
      <c r="S1623" s="29"/>
      <c r="T1623" s="30"/>
    </row>
    <row r="1624" spans="1:20" ht="24" customHeight="1" x14ac:dyDescent="0.25">
      <c r="A1624" t="str">
        <f>IF('e1'!A1624&gt;0,HYPERLINK("#"&amp;ADDRESS(1624,'e1'!A1624),""),IF('r1'!A1624&gt;0,HYPERLINK("#"&amp;ADDRESS(1624,'r1'!A1624),""),""))</f>
        <v/>
      </c>
      <c r="C1624" s="13"/>
      <c r="D1624" s="14"/>
      <c r="E1624" s="15"/>
      <c r="F1624" s="16"/>
      <c r="G1624" s="17"/>
      <c r="H1624" s="18"/>
      <c r="I1624" s="19"/>
      <c r="J1624" s="20"/>
      <c r="K1624" s="21"/>
      <c r="L1624" s="22"/>
      <c r="M1624" s="23"/>
      <c r="N1624" s="24"/>
      <c r="O1624" s="25"/>
      <c r="P1624" s="26"/>
      <c r="Q1624" s="27"/>
      <c r="R1624" s="28"/>
      <c r="S1624" s="29"/>
      <c r="T1624" s="30"/>
    </row>
    <row r="1625" spans="1:20" ht="24" customHeight="1" x14ac:dyDescent="0.25">
      <c r="A1625" t="str">
        <f>IF('e1'!A1625&gt;0,HYPERLINK("#"&amp;ADDRESS(1625,'e1'!A1625),""),IF('r1'!A1625&gt;0,HYPERLINK("#"&amp;ADDRESS(1625,'r1'!A1625),""),""))</f>
        <v/>
      </c>
      <c r="C1625" s="13"/>
      <c r="D1625" s="14"/>
      <c r="E1625" s="15"/>
      <c r="F1625" s="16"/>
      <c r="G1625" s="17"/>
      <c r="H1625" s="18"/>
      <c r="I1625" s="19"/>
      <c r="J1625" s="20"/>
      <c r="K1625" s="21"/>
      <c r="L1625" s="22"/>
      <c r="M1625" s="23"/>
      <c r="N1625" s="24"/>
      <c r="O1625" s="25"/>
      <c r="P1625" s="26"/>
      <c r="Q1625" s="27"/>
      <c r="R1625" s="28"/>
      <c r="S1625" s="29"/>
      <c r="T1625" s="30"/>
    </row>
    <row r="1626" spans="1:20" ht="24" customHeight="1" x14ac:dyDescent="0.25">
      <c r="A1626" t="str">
        <f>IF('e1'!A1626&gt;0,HYPERLINK("#"&amp;ADDRESS(1626,'e1'!A1626),""),IF('r1'!A1626&gt;0,HYPERLINK("#"&amp;ADDRESS(1626,'r1'!A1626),""),""))</f>
        <v/>
      </c>
      <c r="C1626" s="13"/>
      <c r="D1626" s="14"/>
      <c r="E1626" s="15"/>
      <c r="F1626" s="16"/>
      <c r="G1626" s="17"/>
      <c r="H1626" s="18"/>
      <c r="I1626" s="19"/>
      <c r="J1626" s="20"/>
      <c r="K1626" s="21"/>
      <c r="L1626" s="22"/>
      <c r="M1626" s="23"/>
      <c r="N1626" s="24"/>
      <c r="O1626" s="25"/>
      <c r="P1626" s="26"/>
      <c r="Q1626" s="27"/>
      <c r="R1626" s="28"/>
      <c r="S1626" s="29"/>
      <c r="T1626" s="30"/>
    </row>
    <row r="1627" spans="1:20" ht="24" customHeight="1" x14ac:dyDescent="0.25">
      <c r="A1627" t="str">
        <f>IF('e1'!A1627&gt;0,HYPERLINK("#"&amp;ADDRESS(1627,'e1'!A1627),""),IF('r1'!A1627&gt;0,HYPERLINK("#"&amp;ADDRESS(1627,'r1'!A1627),""),""))</f>
        <v/>
      </c>
      <c r="C1627" s="13"/>
      <c r="D1627" s="14"/>
      <c r="E1627" s="15"/>
      <c r="F1627" s="16"/>
      <c r="G1627" s="17"/>
      <c r="H1627" s="18"/>
      <c r="I1627" s="19"/>
      <c r="J1627" s="20"/>
      <c r="K1627" s="21"/>
      <c r="L1627" s="22"/>
      <c r="M1627" s="23"/>
      <c r="N1627" s="24"/>
      <c r="O1627" s="25"/>
      <c r="P1627" s="26"/>
      <c r="Q1627" s="27"/>
      <c r="R1627" s="28"/>
      <c r="S1627" s="29"/>
      <c r="T1627" s="30"/>
    </row>
    <row r="1628" spans="1:20" ht="24" customHeight="1" x14ac:dyDescent="0.25">
      <c r="A1628" t="str">
        <f>IF('e1'!A1628&gt;0,HYPERLINK("#"&amp;ADDRESS(1628,'e1'!A1628),""),IF('r1'!A1628&gt;0,HYPERLINK("#"&amp;ADDRESS(1628,'r1'!A1628),""),""))</f>
        <v/>
      </c>
      <c r="C1628" s="13"/>
      <c r="D1628" s="14"/>
      <c r="E1628" s="15"/>
      <c r="F1628" s="16"/>
      <c r="G1628" s="17"/>
      <c r="H1628" s="18"/>
      <c r="I1628" s="19"/>
      <c r="J1628" s="20"/>
      <c r="K1628" s="21"/>
      <c r="L1628" s="22"/>
      <c r="M1628" s="23"/>
      <c r="N1628" s="24"/>
      <c r="O1628" s="25"/>
      <c r="P1628" s="26"/>
      <c r="Q1628" s="27"/>
      <c r="R1628" s="28"/>
      <c r="S1628" s="29"/>
      <c r="T1628" s="30"/>
    </row>
    <row r="1629" spans="1:20" ht="24" customHeight="1" x14ac:dyDescent="0.25">
      <c r="A1629" t="str">
        <f>IF('e1'!A1629&gt;0,HYPERLINK("#"&amp;ADDRESS(1629,'e1'!A1629),""),IF('r1'!A1629&gt;0,HYPERLINK("#"&amp;ADDRESS(1629,'r1'!A1629),""),""))</f>
        <v/>
      </c>
      <c r="C1629" s="13"/>
      <c r="D1629" s="14"/>
      <c r="E1629" s="15"/>
      <c r="F1629" s="16"/>
      <c r="G1629" s="17"/>
      <c r="H1629" s="18"/>
      <c r="I1629" s="19"/>
      <c r="J1629" s="20"/>
      <c r="K1629" s="21"/>
      <c r="L1629" s="22"/>
      <c r="M1629" s="23"/>
      <c r="N1629" s="24"/>
      <c r="O1629" s="25"/>
      <c r="P1629" s="26"/>
      <c r="Q1629" s="27"/>
      <c r="R1629" s="28"/>
      <c r="S1629" s="29"/>
      <c r="T1629" s="30"/>
    </row>
    <row r="1630" spans="1:20" ht="24" customHeight="1" x14ac:dyDescent="0.25">
      <c r="A1630" t="str">
        <f>IF('e1'!A1630&gt;0,HYPERLINK("#"&amp;ADDRESS(1630,'e1'!A1630),""),IF('r1'!A1630&gt;0,HYPERLINK("#"&amp;ADDRESS(1630,'r1'!A1630),""),""))</f>
        <v/>
      </c>
      <c r="C1630" s="13"/>
      <c r="D1630" s="14"/>
      <c r="E1630" s="15"/>
      <c r="F1630" s="16"/>
      <c r="G1630" s="17"/>
      <c r="H1630" s="18"/>
      <c r="I1630" s="19"/>
      <c r="J1630" s="20"/>
      <c r="K1630" s="21"/>
      <c r="L1630" s="22"/>
      <c r="M1630" s="23"/>
      <c r="N1630" s="24"/>
      <c r="O1630" s="25"/>
      <c r="P1630" s="26"/>
      <c r="Q1630" s="27"/>
      <c r="R1630" s="28"/>
      <c r="S1630" s="29"/>
      <c r="T1630" s="30"/>
    </row>
    <row r="1631" spans="1:20" ht="24" customHeight="1" x14ac:dyDescent="0.25">
      <c r="A1631" t="str">
        <f>IF('e1'!A1631&gt;0,HYPERLINK("#"&amp;ADDRESS(1631,'e1'!A1631),""),IF('r1'!A1631&gt;0,HYPERLINK("#"&amp;ADDRESS(1631,'r1'!A1631),""),""))</f>
        <v/>
      </c>
      <c r="C1631" s="13"/>
      <c r="D1631" s="14"/>
      <c r="E1631" s="15"/>
      <c r="F1631" s="16"/>
      <c r="G1631" s="17"/>
      <c r="H1631" s="18"/>
      <c r="I1631" s="19"/>
      <c r="J1631" s="20"/>
      <c r="K1631" s="21"/>
      <c r="L1631" s="22"/>
      <c r="M1631" s="23"/>
      <c r="N1631" s="24"/>
      <c r="O1631" s="25"/>
      <c r="P1631" s="26"/>
      <c r="Q1631" s="27"/>
      <c r="R1631" s="28"/>
      <c r="S1631" s="29"/>
      <c r="T1631" s="30"/>
    </row>
    <row r="1632" spans="1:20" ht="24" customHeight="1" x14ac:dyDescent="0.25">
      <c r="A1632" t="str">
        <f>IF('e1'!A1632&gt;0,HYPERLINK("#"&amp;ADDRESS(1632,'e1'!A1632),""),IF('r1'!A1632&gt;0,HYPERLINK("#"&amp;ADDRESS(1632,'r1'!A1632),""),""))</f>
        <v/>
      </c>
      <c r="C1632" s="13"/>
      <c r="D1632" s="14"/>
      <c r="E1632" s="15"/>
      <c r="F1632" s="16"/>
      <c r="G1632" s="17"/>
      <c r="H1632" s="18"/>
      <c r="I1632" s="19"/>
      <c r="J1632" s="20"/>
      <c r="K1632" s="21"/>
      <c r="L1632" s="22"/>
      <c r="M1632" s="23"/>
      <c r="N1632" s="24"/>
      <c r="O1632" s="25"/>
      <c r="P1632" s="26"/>
      <c r="Q1632" s="27"/>
      <c r="R1632" s="28"/>
      <c r="S1632" s="29"/>
      <c r="T1632" s="30"/>
    </row>
    <row r="1633" spans="1:20" ht="24" customHeight="1" x14ac:dyDescent="0.25">
      <c r="A1633" t="str">
        <f>IF('e1'!A1633&gt;0,HYPERLINK("#"&amp;ADDRESS(1633,'e1'!A1633),""),IF('r1'!A1633&gt;0,HYPERLINK("#"&amp;ADDRESS(1633,'r1'!A1633),""),""))</f>
        <v/>
      </c>
      <c r="C1633" s="13"/>
      <c r="D1633" s="14"/>
      <c r="E1633" s="15"/>
      <c r="F1633" s="16"/>
      <c r="G1633" s="17"/>
      <c r="H1633" s="18"/>
      <c r="I1633" s="19"/>
      <c r="J1633" s="20"/>
      <c r="K1633" s="21"/>
      <c r="L1633" s="22"/>
      <c r="M1633" s="23"/>
      <c r="N1633" s="24"/>
      <c r="O1633" s="25"/>
      <c r="P1633" s="26"/>
      <c r="Q1633" s="27"/>
      <c r="R1633" s="28"/>
      <c r="S1633" s="29"/>
      <c r="T1633" s="30"/>
    </row>
    <row r="1634" spans="1:20" ht="24" customHeight="1" x14ac:dyDescent="0.25">
      <c r="A1634" t="str">
        <f>IF('e1'!A1634&gt;0,HYPERLINK("#"&amp;ADDRESS(1634,'e1'!A1634),""),IF('r1'!A1634&gt;0,HYPERLINK("#"&amp;ADDRESS(1634,'r1'!A1634),""),""))</f>
        <v/>
      </c>
      <c r="C1634" s="13"/>
      <c r="D1634" s="14"/>
      <c r="E1634" s="15"/>
      <c r="F1634" s="16"/>
      <c r="G1634" s="17"/>
      <c r="H1634" s="18"/>
      <c r="I1634" s="19"/>
      <c r="J1634" s="20"/>
      <c r="K1634" s="21"/>
      <c r="L1634" s="22"/>
      <c r="M1634" s="23"/>
      <c r="N1634" s="24"/>
      <c r="O1634" s="25"/>
      <c r="P1634" s="26"/>
      <c r="Q1634" s="27"/>
      <c r="R1634" s="28"/>
      <c r="S1634" s="29"/>
      <c r="T1634" s="30"/>
    </row>
    <row r="1635" spans="1:20" ht="24" customHeight="1" x14ac:dyDescent="0.25">
      <c r="A1635" t="str">
        <f>IF('e1'!A1635&gt;0,HYPERLINK("#"&amp;ADDRESS(1635,'e1'!A1635),""),IF('r1'!A1635&gt;0,HYPERLINK("#"&amp;ADDRESS(1635,'r1'!A1635),""),""))</f>
        <v/>
      </c>
      <c r="C1635" s="13"/>
      <c r="D1635" s="14"/>
      <c r="E1635" s="15"/>
      <c r="F1635" s="16"/>
      <c r="G1635" s="17"/>
      <c r="H1635" s="18"/>
      <c r="I1635" s="19"/>
      <c r="J1635" s="20"/>
      <c r="K1635" s="21"/>
      <c r="L1635" s="22"/>
      <c r="M1635" s="23"/>
      <c r="N1635" s="24"/>
      <c r="O1635" s="25"/>
      <c r="P1635" s="26"/>
      <c r="Q1635" s="27"/>
      <c r="R1635" s="28"/>
      <c r="S1635" s="29"/>
      <c r="T1635" s="30"/>
    </row>
    <row r="1636" spans="1:20" ht="24" customHeight="1" x14ac:dyDescent="0.25">
      <c r="A1636" t="str">
        <f>IF('e1'!A1636&gt;0,HYPERLINK("#"&amp;ADDRESS(1636,'e1'!A1636),""),IF('r1'!A1636&gt;0,HYPERLINK("#"&amp;ADDRESS(1636,'r1'!A1636),""),""))</f>
        <v/>
      </c>
      <c r="C1636" s="13"/>
      <c r="D1636" s="14"/>
      <c r="E1636" s="15"/>
      <c r="F1636" s="16"/>
      <c r="G1636" s="17"/>
      <c r="H1636" s="18"/>
      <c r="I1636" s="19"/>
      <c r="J1636" s="20"/>
      <c r="K1636" s="21"/>
      <c r="L1636" s="22"/>
      <c r="M1636" s="23"/>
      <c r="N1636" s="24"/>
      <c r="O1636" s="25"/>
      <c r="P1636" s="26"/>
      <c r="Q1636" s="27"/>
      <c r="R1636" s="28"/>
      <c r="S1636" s="29"/>
      <c r="T1636" s="30"/>
    </row>
    <row r="1637" spans="1:20" ht="24" customHeight="1" x14ac:dyDescent="0.25">
      <c r="A1637" t="str">
        <f>IF('e1'!A1637&gt;0,HYPERLINK("#"&amp;ADDRESS(1637,'e1'!A1637),""),IF('r1'!A1637&gt;0,HYPERLINK("#"&amp;ADDRESS(1637,'r1'!A1637),""),""))</f>
        <v/>
      </c>
      <c r="C1637" s="13"/>
      <c r="D1637" s="14"/>
      <c r="E1637" s="15"/>
      <c r="F1637" s="16"/>
      <c r="G1637" s="17"/>
      <c r="H1637" s="18"/>
      <c r="I1637" s="19"/>
      <c r="J1637" s="20"/>
      <c r="K1637" s="21"/>
      <c r="L1637" s="22"/>
      <c r="M1637" s="23"/>
      <c r="N1637" s="24"/>
      <c r="O1637" s="25"/>
      <c r="P1637" s="26"/>
      <c r="Q1637" s="27"/>
      <c r="R1637" s="28"/>
      <c r="S1637" s="29"/>
      <c r="T1637" s="30"/>
    </row>
    <row r="1638" spans="1:20" ht="24" customHeight="1" x14ac:dyDescent="0.25">
      <c r="A1638" t="str">
        <f>IF('e1'!A1638&gt;0,HYPERLINK("#"&amp;ADDRESS(1638,'e1'!A1638),""),IF('r1'!A1638&gt;0,HYPERLINK("#"&amp;ADDRESS(1638,'r1'!A1638),""),""))</f>
        <v/>
      </c>
      <c r="C1638" s="13"/>
      <c r="D1638" s="14"/>
      <c r="E1638" s="15"/>
      <c r="F1638" s="16"/>
      <c r="G1638" s="17"/>
      <c r="H1638" s="18"/>
      <c r="I1638" s="19"/>
      <c r="J1638" s="20"/>
      <c r="K1638" s="21"/>
      <c r="L1638" s="22"/>
      <c r="M1638" s="23"/>
      <c r="N1638" s="24"/>
      <c r="O1638" s="25"/>
      <c r="P1638" s="26"/>
      <c r="Q1638" s="27"/>
      <c r="R1638" s="28"/>
      <c r="S1638" s="29"/>
      <c r="T1638" s="30"/>
    </row>
    <row r="1639" spans="1:20" ht="24" customHeight="1" x14ac:dyDescent="0.25">
      <c r="A1639" t="str">
        <f>IF('e1'!A1639&gt;0,HYPERLINK("#"&amp;ADDRESS(1639,'e1'!A1639),""),IF('r1'!A1639&gt;0,HYPERLINK("#"&amp;ADDRESS(1639,'r1'!A1639),""),""))</f>
        <v/>
      </c>
      <c r="C1639" s="13"/>
      <c r="D1639" s="14"/>
      <c r="E1639" s="15"/>
      <c r="F1639" s="16"/>
      <c r="G1639" s="17"/>
      <c r="H1639" s="18"/>
      <c r="I1639" s="19"/>
      <c r="J1639" s="20"/>
      <c r="K1639" s="21"/>
      <c r="L1639" s="22"/>
      <c r="M1639" s="23"/>
      <c r="N1639" s="24"/>
      <c r="O1639" s="25"/>
      <c r="P1639" s="26"/>
      <c r="Q1639" s="27"/>
      <c r="R1639" s="28"/>
      <c r="S1639" s="29"/>
      <c r="T1639" s="30"/>
    </row>
    <row r="1640" spans="1:20" ht="24" customHeight="1" x14ac:dyDescent="0.25">
      <c r="A1640" t="str">
        <f>IF('e1'!A1640&gt;0,HYPERLINK("#"&amp;ADDRESS(1640,'e1'!A1640),""),IF('r1'!A1640&gt;0,HYPERLINK("#"&amp;ADDRESS(1640,'r1'!A1640),""),""))</f>
        <v/>
      </c>
      <c r="C1640" s="13"/>
      <c r="D1640" s="14"/>
      <c r="E1640" s="15"/>
      <c r="F1640" s="16"/>
      <c r="G1640" s="17"/>
      <c r="H1640" s="18"/>
      <c r="I1640" s="19"/>
      <c r="J1640" s="20"/>
      <c r="K1640" s="21"/>
      <c r="L1640" s="22"/>
      <c r="M1640" s="23"/>
      <c r="N1640" s="24"/>
      <c r="O1640" s="25"/>
      <c r="P1640" s="26"/>
      <c r="Q1640" s="27"/>
      <c r="R1640" s="28"/>
      <c r="S1640" s="29"/>
      <c r="T1640" s="30"/>
    </row>
    <row r="1641" spans="1:20" ht="24" customHeight="1" x14ac:dyDescent="0.25">
      <c r="A1641" t="str">
        <f>IF('e1'!A1641&gt;0,HYPERLINK("#"&amp;ADDRESS(1641,'e1'!A1641),""),IF('r1'!A1641&gt;0,HYPERLINK("#"&amp;ADDRESS(1641,'r1'!A1641),""),""))</f>
        <v/>
      </c>
      <c r="C1641" s="13"/>
      <c r="D1641" s="14"/>
      <c r="E1641" s="15"/>
      <c r="F1641" s="16"/>
      <c r="G1641" s="17"/>
      <c r="H1641" s="18"/>
      <c r="I1641" s="19"/>
      <c r="J1641" s="20"/>
      <c r="K1641" s="21"/>
      <c r="L1641" s="22"/>
      <c r="M1641" s="23"/>
      <c r="N1641" s="24"/>
      <c r="O1641" s="25"/>
      <c r="P1641" s="26"/>
      <c r="Q1641" s="27"/>
      <c r="R1641" s="28"/>
      <c r="S1641" s="29"/>
      <c r="T1641" s="30"/>
    </row>
    <row r="1642" spans="1:20" ht="24" customHeight="1" x14ac:dyDescent="0.25">
      <c r="A1642" t="str">
        <f>IF('e1'!A1642&gt;0,HYPERLINK("#"&amp;ADDRESS(1642,'e1'!A1642),""),IF('r1'!A1642&gt;0,HYPERLINK("#"&amp;ADDRESS(1642,'r1'!A1642),""),""))</f>
        <v/>
      </c>
      <c r="C1642" s="13"/>
      <c r="D1642" s="14"/>
      <c r="E1642" s="15"/>
      <c r="F1642" s="16"/>
      <c r="G1642" s="17"/>
      <c r="H1642" s="18"/>
      <c r="I1642" s="19"/>
      <c r="J1642" s="20"/>
      <c r="K1642" s="21"/>
      <c r="L1642" s="22"/>
      <c r="M1642" s="23"/>
      <c r="N1642" s="24"/>
      <c r="O1642" s="25"/>
      <c r="P1642" s="26"/>
      <c r="Q1642" s="27"/>
      <c r="R1642" s="28"/>
      <c r="S1642" s="29"/>
      <c r="T1642" s="30"/>
    </row>
    <row r="1643" spans="1:20" ht="24" customHeight="1" x14ac:dyDescent="0.25">
      <c r="A1643" t="str">
        <f>IF('e1'!A1643&gt;0,HYPERLINK("#"&amp;ADDRESS(1643,'e1'!A1643),""),IF('r1'!A1643&gt;0,HYPERLINK("#"&amp;ADDRESS(1643,'r1'!A1643),""),""))</f>
        <v/>
      </c>
      <c r="C1643" s="13"/>
      <c r="D1643" s="14"/>
      <c r="E1643" s="15"/>
      <c r="F1643" s="16"/>
      <c r="G1643" s="17"/>
      <c r="H1643" s="18"/>
      <c r="I1643" s="19"/>
      <c r="J1643" s="20"/>
      <c r="K1643" s="21"/>
      <c r="L1643" s="22"/>
      <c r="M1643" s="23"/>
      <c r="N1643" s="24"/>
      <c r="O1643" s="25"/>
      <c r="P1643" s="26"/>
      <c r="Q1643" s="27"/>
      <c r="R1643" s="28"/>
      <c r="S1643" s="29"/>
      <c r="T1643" s="30"/>
    </row>
    <row r="1644" spans="1:20" ht="24" customHeight="1" x14ac:dyDescent="0.25">
      <c r="A1644" t="str">
        <f>IF('e1'!A1644&gt;0,HYPERLINK("#"&amp;ADDRESS(1644,'e1'!A1644),""),IF('r1'!A1644&gt;0,HYPERLINK("#"&amp;ADDRESS(1644,'r1'!A1644),""),""))</f>
        <v/>
      </c>
      <c r="C1644" s="13"/>
      <c r="D1644" s="14"/>
      <c r="E1644" s="15"/>
      <c r="F1644" s="16"/>
      <c r="G1644" s="17"/>
      <c r="H1644" s="18"/>
      <c r="I1644" s="19"/>
      <c r="J1644" s="20"/>
      <c r="K1644" s="21"/>
      <c r="L1644" s="22"/>
      <c r="M1644" s="23"/>
      <c r="N1644" s="24"/>
      <c r="O1644" s="25"/>
      <c r="P1644" s="26"/>
      <c r="Q1644" s="27"/>
      <c r="R1644" s="28"/>
      <c r="S1644" s="29"/>
      <c r="T1644" s="30"/>
    </row>
    <row r="1645" spans="1:20" ht="24" customHeight="1" x14ac:dyDescent="0.25">
      <c r="A1645" t="str">
        <f>IF('e1'!A1645&gt;0,HYPERLINK("#"&amp;ADDRESS(1645,'e1'!A1645),""),IF('r1'!A1645&gt;0,HYPERLINK("#"&amp;ADDRESS(1645,'r1'!A1645),""),""))</f>
        <v/>
      </c>
      <c r="C1645" s="13"/>
      <c r="D1645" s="14"/>
      <c r="E1645" s="15"/>
      <c r="F1645" s="16"/>
      <c r="G1645" s="17"/>
      <c r="H1645" s="18"/>
      <c r="I1645" s="19"/>
      <c r="J1645" s="20"/>
      <c r="K1645" s="21"/>
      <c r="L1645" s="22"/>
      <c r="M1645" s="23"/>
      <c r="N1645" s="24"/>
      <c r="O1645" s="25"/>
      <c r="P1645" s="26"/>
      <c r="Q1645" s="27"/>
      <c r="R1645" s="28"/>
      <c r="S1645" s="29"/>
      <c r="T1645" s="30"/>
    </row>
    <row r="1646" spans="1:20" ht="24" customHeight="1" x14ac:dyDescent="0.25">
      <c r="A1646" t="str">
        <f>IF('e1'!A1646&gt;0,HYPERLINK("#"&amp;ADDRESS(1646,'e1'!A1646),""),IF('r1'!A1646&gt;0,HYPERLINK("#"&amp;ADDRESS(1646,'r1'!A1646),""),""))</f>
        <v/>
      </c>
      <c r="C1646" s="13"/>
      <c r="D1646" s="14"/>
      <c r="E1646" s="15"/>
      <c r="F1646" s="16"/>
      <c r="G1646" s="17"/>
      <c r="H1646" s="18"/>
      <c r="I1646" s="19"/>
      <c r="J1646" s="20"/>
      <c r="K1646" s="21"/>
      <c r="L1646" s="22"/>
      <c r="M1646" s="23"/>
      <c r="N1646" s="24"/>
      <c r="O1646" s="25"/>
      <c r="P1646" s="26"/>
      <c r="Q1646" s="27"/>
      <c r="R1646" s="28"/>
      <c r="S1646" s="29"/>
      <c r="T1646" s="30"/>
    </row>
    <row r="1647" spans="1:20" ht="24" customHeight="1" x14ac:dyDescent="0.25">
      <c r="A1647" t="str">
        <f>IF('e1'!A1647&gt;0,HYPERLINK("#"&amp;ADDRESS(1647,'e1'!A1647),""),IF('r1'!A1647&gt;0,HYPERLINK("#"&amp;ADDRESS(1647,'r1'!A1647),""),""))</f>
        <v/>
      </c>
      <c r="C1647" s="13"/>
      <c r="D1647" s="14"/>
      <c r="E1647" s="15"/>
      <c r="F1647" s="16"/>
      <c r="G1647" s="17"/>
      <c r="H1647" s="18"/>
      <c r="I1647" s="19"/>
      <c r="J1647" s="20"/>
      <c r="K1647" s="21"/>
      <c r="L1647" s="22"/>
      <c r="M1647" s="23"/>
      <c r="N1647" s="24"/>
      <c r="O1647" s="25"/>
      <c r="P1647" s="26"/>
      <c r="Q1647" s="27"/>
      <c r="R1647" s="28"/>
      <c r="S1647" s="29"/>
      <c r="T1647" s="30"/>
    </row>
    <row r="1648" spans="1:20" ht="24" customHeight="1" x14ac:dyDescent="0.25">
      <c r="A1648" t="str">
        <f>IF('e1'!A1648&gt;0,HYPERLINK("#"&amp;ADDRESS(1648,'e1'!A1648),""),IF('r1'!A1648&gt;0,HYPERLINK("#"&amp;ADDRESS(1648,'r1'!A1648),""),""))</f>
        <v/>
      </c>
      <c r="C1648" s="13"/>
      <c r="D1648" s="14"/>
      <c r="E1648" s="15"/>
      <c r="F1648" s="16"/>
      <c r="G1648" s="17"/>
      <c r="H1648" s="18"/>
      <c r="I1648" s="19"/>
      <c r="J1648" s="20"/>
      <c r="K1648" s="21"/>
      <c r="L1648" s="22"/>
      <c r="M1648" s="23"/>
      <c r="N1648" s="24"/>
      <c r="O1648" s="25"/>
      <c r="P1648" s="26"/>
      <c r="Q1648" s="27"/>
      <c r="R1648" s="28"/>
      <c r="S1648" s="29"/>
      <c r="T1648" s="30"/>
    </row>
    <row r="1649" spans="1:20" ht="24" customHeight="1" x14ac:dyDescent="0.25">
      <c r="A1649" t="str">
        <f>IF('e1'!A1649&gt;0,HYPERLINK("#"&amp;ADDRESS(1649,'e1'!A1649),""),IF('r1'!A1649&gt;0,HYPERLINK("#"&amp;ADDRESS(1649,'r1'!A1649),""),""))</f>
        <v/>
      </c>
      <c r="C1649" s="13"/>
      <c r="D1649" s="14"/>
      <c r="E1649" s="15"/>
      <c r="F1649" s="16"/>
      <c r="G1649" s="17"/>
      <c r="H1649" s="18"/>
      <c r="I1649" s="19"/>
      <c r="J1649" s="20"/>
      <c r="K1649" s="21"/>
      <c r="L1649" s="22"/>
      <c r="M1649" s="23"/>
      <c r="N1649" s="24"/>
      <c r="O1649" s="25"/>
      <c r="P1649" s="26"/>
      <c r="Q1649" s="27"/>
      <c r="R1649" s="28"/>
      <c r="S1649" s="29"/>
      <c r="T1649" s="30"/>
    </row>
    <row r="1650" spans="1:20" ht="24" customHeight="1" x14ac:dyDescent="0.25">
      <c r="A1650" t="str">
        <f>IF('e1'!A1650&gt;0,HYPERLINK("#"&amp;ADDRESS(1650,'e1'!A1650),""),IF('r1'!A1650&gt;0,HYPERLINK("#"&amp;ADDRESS(1650,'r1'!A1650),""),""))</f>
        <v/>
      </c>
      <c r="C1650" s="13"/>
      <c r="D1650" s="14"/>
      <c r="E1650" s="15"/>
      <c r="F1650" s="16"/>
      <c r="G1650" s="17"/>
      <c r="H1650" s="18"/>
      <c r="I1650" s="19"/>
      <c r="J1650" s="20"/>
      <c r="K1650" s="21"/>
      <c r="L1650" s="22"/>
      <c r="M1650" s="23"/>
      <c r="N1650" s="24"/>
      <c r="O1650" s="25"/>
      <c r="P1650" s="26"/>
      <c r="Q1650" s="27"/>
      <c r="R1650" s="28"/>
      <c r="S1650" s="29"/>
      <c r="T1650" s="30"/>
    </row>
    <row r="1651" spans="1:20" ht="24" customHeight="1" x14ac:dyDescent="0.25">
      <c r="A1651" t="str">
        <f>IF('e1'!A1651&gt;0,HYPERLINK("#"&amp;ADDRESS(1651,'e1'!A1651),""),IF('r1'!A1651&gt;0,HYPERLINK("#"&amp;ADDRESS(1651,'r1'!A1651),""),""))</f>
        <v/>
      </c>
      <c r="C1651" s="13"/>
      <c r="D1651" s="14"/>
      <c r="E1651" s="15"/>
      <c r="F1651" s="16"/>
      <c r="G1651" s="17"/>
      <c r="H1651" s="18"/>
      <c r="I1651" s="19"/>
      <c r="J1651" s="20"/>
      <c r="K1651" s="21"/>
      <c r="L1651" s="22"/>
      <c r="M1651" s="23"/>
      <c r="N1651" s="24"/>
      <c r="O1651" s="25"/>
      <c r="P1651" s="26"/>
      <c r="Q1651" s="27"/>
      <c r="R1651" s="28"/>
      <c r="S1651" s="29"/>
      <c r="T1651" s="30"/>
    </row>
    <row r="1652" spans="1:20" ht="24" customHeight="1" x14ac:dyDescent="0.25">
      <c r="A1652" t="str">
        <f>IF('e1'!A1652&gt;0,HYPERLINK("#"&amp;ADDRESS(1652,'e1'!A1652),""),IF('r1'!A1652&gt;0,HYPERLINK("#"&amp;ADDRESS(1652,'r1'!A1652),""),""))</f>
        <v/>
      </c>
      <c r="C1652" s="13"/>
      <c r="D1652" s="14"/>
      <c r="E1652" s="15"/>
      <c r="F1652" s="16"/>
      <c r="G1652" s="17"/>
      <c r="H1652" s="18"/>
      <c r="I1652" s="19"/>
      <c r="J1652" s="20"/>
      <c r="K1652" s="21"/>
      <c r="L1652" s="22"/>
      <c r="M1652" s="23"/>
      <c r="N1652" s="24"/>
      <c r="O1652" s="25"/>
      <c r="P1652" s="26"/>
      <c r="Q1652" s="27"/>
      <c r="R1652" s="28"/>
      <c r="S1652" s="29"/>
      <c r="T1652" s="30"/>
    </row>
    <row r="1653" spans="1:20" ht="24" customHeight="1" x14ac:dyDescent="0.25">
      <c r="A1653" t="str">
        <f>IF('e1'!A1653&gt;0,HYPERLINK("#"&amp;ADDRESS(1653,'e1'!A1653),""),IF('r1'!A1653&gt;0,HYPERLINK("#"&amp;ADDRESS(1653,'r1'!A1653),""),""))</f>
        <v/>
      </c>
      <c r="C1653" s="13"/>
      <c r="D1653" s="14"/>
      <c r="E1653" s="15"/>
      <c r="F1653" s="16"/>
      <c r="G1653" s="17"/>
      <c r="H1653" s="18"/>
      <c r="I1653" s="19"/>
      <c r="J1653" s="20"/>
      <c r="K1653" s="21"/>
      <c r="L1653" s="22"/>
      <c r="M1653" s="23"/>
      <c r="N1653" s="24"/>
      <c r="O1653" s="25"/>
      <c r="P1653" s="26"/>
      <c r="Q1653" s="27"/>
      <c r="R1653" s="28"/>
      <c r="S1653" s="29"/>
      <c r="T1653" s="30"/>
    </row>
    <row r="1654" spans="1:20" ht="24" customHeight="1" x14ac:dyDescent="0.25">
      <c r="A1654" t="str">
        <f>IF('e1'!A1654&gt;0,HYPERLINK("#"&amp;ADDRESS(1654,'e1'!A1654),""),IF('r1'!A1654&gt;0,HYPERLINK("#"&amp;ADDRESS(1654,'r1'!A1654),""),""))</f>
        <v/>
      </c>
      <c r="C1654" s="13"/>
      <c r="D1654" s="14"/>
      <c r="E1654" s="15"/>
      <c r="F1654" s="16"/>
      <c r="G1654" s="17"/>
      <c r="H1654" s="18"/>
      <c r="I1654" s="19"/>
      <c r="J1654" s="20"/>
      <c r="K1654" s="21"/>
      <c r="L1654" s="22"/>
      <c r="M1654" s="23"/>
      <c r="N1654" s="24"/>
      <c r="O1654" s="25"/>
      <c r="P1654" s="26"/>
      <c r="Q1654" s="27"/>
      <c r="R1654" s="28"/>
      <c r="S1654" s="29"/>
      <c r="T1654" s="30"/>
    </row>
    <row r="1655" spans="1:20" ht="24" customHeight="1" x14ac:dyDescent="0.25">
      <c r="A1655" t="str">
        <f>IF('e1'!A1655&gt;0,HYPERLINK("#"&amp;ADDRESS(1655,'e1'!A1655),""),IF('r1'!A1655&gt;0,HYPERLINK("#"&amp;ADDRESS(1655,'r1'!A1655),""),""))</f>
        <v/>
      </c>
      <c r="C1655" s="13"/>
      <c r="D1655" s="14"/>
      <c r="E1655" s="15"/>
      <c r="F1655" s="16"/>
      <c r="G1655" s="17"/>
      <c r="H1655" s="18"/>
      <c r="I1655" s="19"/>
      <c r="J1655" s="20"/>
      <c r="K1655" s="21"/>
      <c r="L1655" s="22"/>
      <c r="M1655" s="23"/>
      <c r="N1655" s="24"/>
      <c r="O1655" s="25"/>
      <c r="P1655" s="26"/>
      <c r="Q1655" s="27"/>
      <c r="R1655" s="28"/>
      <c r="S1655" s="29"/>
      <c r="T1655" s="30"/>
    </row>
    <row r="1656" spans="1:20" ht="24" customHeight="1" x14ac:dyDescent="0.25">
      <c r="A1656" t="str">
        <f>IF('e1'!A1656&gt;0,HYPERLINK("#"&amp;ADDRESS(1656,'e1'!A1656),""),IF('r1'!A1656&gt;0,HYPERLINK("#"&amp;ADDRESS(1656,'r1'!A1656),""),""))</f>
        <v/>
      </c>
      <c r="C1656" s="13"/>
      <c r="D1656" s="14"/>
      <c r="E1656" s="15"/>
      <c r="F1656" s="16"/>
      <c r="G1656" s="17"/>
      <c r="H1656" s="18"/>
      <c r="I1656" s="19"/>
      <c r="J1656" s="20"/>
      <c r="K1656" s="21"/>
      <c r="L1656" s="22"/>
      <c r="M1656" s="23"/>
      <c r="N1656" s="24"/>
      <c r="O1656" s="25"/>
      <c r="P1656" s="26"/>
      <c r="Q1656" s="27"/>
      <c r="R1656" s="28"/>
      <c r="S1656" s="29"/>
      <c r="T1656" s="30"/>
    </row>
    <row r="1657" spans="1:20" ht="24" customHeight="1" x14ac:dyDescent="0.25">
      <c r="A1657" t="str">
        <f>IF('e1'!A1657&gt;0,HYPERLINK("#"&amp;ADDRESS(1657,'e1'!A1657),""),IF('r1'!A1657&gt;0,HYPERLINK("#"&amp;ADDRESS(1657,'r1'!A1657),""),""))</f>
        <v/>
      </c>
      <c r="C1657" s="13"/>
      <c r="D1657" s="14"/>
      <c r="E1657" s="15"/>
      <c r="F1657" s="16"/>
      <c r="G1657" s="17"/>
      <c r="H1657" s="18"/>
      <c r="I1657" s="19"/>
      <c r="J1657" s="20"/>
      <c r="K1657" s="21"/>
      <c r="L1657" s="22"/>
      <c r="M1657" s="23"/>
      <c r="N1657" s="24"/>
      <c r="O1657" s="25"/>
      <c r="P1657" s="26"/>
      <c r="Q1657" s="27"/>
      <c r="R1657" s="28"/>
      <c r="S1657" s="29"/>
      <c r="T1657" s="30"/>
    </row>
    <row r="1658" spans="1:20" ht="24" customHeight="1" x14ac:dyDescent="0.25">
      <c r="A1658" t="str">
        <f>IF('e1'!A1658&gt;0,HYPERLINK("#"&amp;ADDRESS(1658,'e1'!A1658),""),IF('r1'!A1658&gt;0,HYPERLINK("#"&amp;ADDRESS(1658,'r1'!A1658),""),""))</f>
        <v/>
      </c>
      <c r="C1658" s="13"/>
      <c r="D1658" s="14"/>
      <c r="E1658" s="15"/>
      <c r="F1658" s="16"/>
      <c r="G1658" s="17"/>
      <c r="H1658" s="18"/>
      <c r="I1658" s="19"/>
      <c r="J1658" s="20"/>
      <c r="K1658" s="21"/>
      <c r="L1658" s="22"/>
      <c r="M1658" s="23"/>
      <c r="N1658" s="24"/>
      <c r="O1658" s="25"/>
      <c r="P1658" s="26"/>
      <c r="Q1658" s="27"/>
      <c r="R1658" s="28"/>
      <c r="S1658" s="29"/>
      <c r="T1658" s="30"/>
    </row>
    <row r="1659" spans="1:20" ht="24" customHeight="1" x14ac:dyDescent="0.25">
      <c r="A1659" t="str">
        <f>IF('e1'!A1659&gt;0,HYPERLINK("#"&amp;ADDRESS(1659,'e1'!A1659),""),IF('r1'!A1659&gt;0,HYPERLINK("#"&amp;ADDRESS(1659,'r1'!A1659),""),""))</f>
        <v/>
      </c>
      <c r="C1659" s="13"/>
      <c r="D1659" s="14"/>
      <c r="E1659" s="15"/>
      <c r="F1659" s="16"/>
      <c r="G1659" s="17"/>
      <c r="H1659" s="18"/>
      <c r="I1659" s="19"/>
      <c r="J1659" s="20"/>
      <c r="K1659" s="21"/>
      <c r="L1659" s="22"/>
      <c r="M1659" s="23"/>
      <c r="N1659" s="24"/>
      <c r="O1659" s="25"/>
      <c r="P1659" s="26"/>
      <c r="Q1659" s="27"/>
      <c r="R1659" s="28"/>
      <c r="S1659" s="29"/>
      <c r="T1659" s="30"/>
    </row>
    <row r="1660" spans="1:20" ht="24" customHeight="1" x14ac:dyDescent="0.25">
      <c r="A1660" t="str">
        <f>IF('e1'!A1660&gt;0,HYPERLINK("#"&amp;ADDRESS(1660,'e1'!A1660),""),IF('r1'!A1660&gt;0,HYPERLINK("#"&amp;ADDRESS(1660,'r1'!A1660),""),""))</f>
        <v/>
      </c>
      <c r="C1660" s="13"/>
      <c r="D1660" s="14"/>
      <c r="E1660" s="15"/>
      <c r="F1660" s="16"/>
      <c r="G1660" s="17"/>
      <c r="H1660" s="18"/>
      <c r="I1660" s="19"/>
      <c r="J1660" s="20"/>
      <c r="K1660" s="21"/>
      <c r="L1660" s="22"/>
      <c r="M1660" s="23"/>
      <c r="N1660" s="24"/>
      <c r="O1660" s="25"/>
      <c r="P1660" s="26"/>
      <c r="Q1660" s="27"/>
      <c r="R1660" s="28"/>
      <c r="S1660" s="29"/>
      <c r="T1660" s="30"/>
    </row>
    <row r="1661" spans="1:20" ht="24" customHeight="1" x14ac:dyDescent="0.25">
      <c r="A1661" t="str">
        <f>IF('e1'!A1661&gt;0,HYPERLINK("#"&amp;ADDRESS(1661,'e1'!A1661),""),IF('r1'!A1661&gt;0,HYPERLINK("#"&amp;ADDRESS(1661,'r1'!A1661),""),""))</f>
        <v/>
      </c>
      <c r="C1661" s="13"/>
      <c r="D1661" s="14"/>
      <c r="E1661" s="15"/>
      <c r="F1661" s="16"/>
      <c r="G1661" s="17"/>
      <c r="H1661" s="18"/>
      <c r="I1661" s="19"/>
      <c r="J1661" s="20"/>
      <c r="K1661" s="21"/>
      <c r="L1661" s="22"/>
      <c r="M1661" s="23"/>
      <c r="N1661" s="24"/>
      <c r="O1661" s="25"/>
      <c r="P1661" s="26"/>
      <c r="Q1661" s="27"/>
      <c r="R1661" s="28"/>
      <c r="S1661" s="29"/>
      <c r="T1661" s="30"/>
    </row>
    <row r="1662" spans="1:20" ht="24" customHeight="1" x14ac:dyDescent="0.25">
      <c r="A1662" t="str">
        <f>IF('e1'!A1662&gt;0,HYPERLINK("#"&amp;ADDRESS(1662,'e1'!A1662),""),IF('r1'!A1662&gt;0,HYPERLINK("#"&amp;ADDRESS(1662,'r1'!A1662),""),""))</f>
        <v/>
      </c>
      <c r="C1662" s="13"/>
      <c r="D1662" s="14"/>
      <c r="E1662" s="15"/>
      <c r="F1662" s="16"/>
      <c r="G1662" s="17"/>
      <c r="H1662" s="18"/>
      <c r="I1662" s="19"/>
      <c r="J1662" s="20"/>
      <c r="K1662" s="21"/>
      <c r="L1662" s="22"/>
      <c r="M1662" s="23"/>
      <c r="N1662" s="24"/>
      <c r="O1662" s="25"/>
      <c r="P1662" s="26"/>
      <c r="Q1662" s="27"/>
      <c r="R1662" s="28"/>
      <c r="S1662" s="29"/>
      <c r="T1662" s="30"/>
    </row>
    <row r="1663" spans="1:20" ht="24" customHeight="1" x14ac:dyDescent="0.25">
      <c r="A1663" t="str">
        <f>IF('e1'!A1663&gt;0,HYPERLINK("#"&amp;ADDRESS(1663,'e1'!A1663),""),IF('r1'!A1663&gt;0,HYPERLINK("#"&amp;ADDRESS(1663,'r1'!A1663),""),""))</f>
        <v/>
      </c>
      <c r="C1663" s="13"/>
      <c r="D1663" s="14"/>
      <c r="E1663" s="15"/>
      <c r="F1663" s="16"/>
      <c r="G1663" s="17"/>
      <c r="H1663" s="18"/>
      <c r="I1663" s="19"/>
      <c r="J1663" s="20"/>
      <c r="K1663" s="21"/>
      <c r="L1663" s="22"/>
      <c r="M1663" s="23"/>
      <c r="N1663" s="24"/>
      <c r="O1663" s="25"/>
      <c r="P1663" s="26"/>
      <c r="Q1663" s="27"/>
      <c r="R1663" s="28"/>
      <c r="S1663" s="29"/>
      <c r="T1663" s="30"/>
    </row>
    <row r="1664" spans="1:20" ht="24" customHeight="1" x14ac:dyDescent="0.25">
      <c r="A1664" t="str">
        <f>IF('e1'!A1664&gt;0,HYPERLINK("#"&amp;ADDRESS(1664,'e1'!A1664),""),IF('r1'!A1664&gt;0,HYPERLINK("#"&amp;ADDRESS(1664,'r1'!A1664),""),""))</f>
        <v/>
      </c>
      <c r="C1664" s="13"/>
      <c r="D1664" s="14"/>
      <c r="E1664" s="15"/>
      <c r="F1664" s="16"/>
      <c r="G1664" s="17"/>
      <c r="H1664" s="18"/>
      <c r="I1664" s="19"/>
      <c r="J1664" s="20"/>
      <c r="K1664" s="21"/>
      <c r="L1664" s="22"/>
      <c r="M1664" s="23"/>
      <c r="N1664" s="24"/>
      <c r="O1664" s="25"/>
      <c r="P1664" s="26"/>
      <c r="Q1664" s="27"/>
      <c r="R1664" s="28"/>
      <c r="S1664" s="29"/>
      <c r="T1664" s="30"/>
    </row>
    <row r="1665" spans="1:20" ht="24" customHeight="1" x14ac:dyDescent="0.25">
      <c r="A1665" t="str">
        <f>IF('e1'!A1665&gt;0,HYPERLINK("#"&amp;ADDRESS(1665,'e1'!A1665),""),IF('r1'!A1665&gt;0,HYPERLINK("#"&amp;ADDRESS(1665,'r1'!A1665),""),""))</f>
        <v/>
      </c>
      <c r="C1665" s="13"/>
      <c r="D1665" s="14"/>
      <c r="E1665" s="15"/>
      <c r="F1665" s="16"/>
      <c r="G1665" s="17"/>
      <c r="H1665" s="18"/>
      <c r="I1665" s="19"/>
      <c r="J1665" s="20"/>
      <c r="K1665" s="21"/>
      <c r="L1665" s="22"/>
      <c r="M1665" s="23"/>
      <c r="N1665" s="24"/>
      <c r="O1665" s="25"/>
      <c r="P1665" s="26"/>
      <c r="Q1665" s="27"/>
      <c r="R1665" s="28"/>
      <c r="S1665" s="29"/>
      <c r="T1665" s="30"/>
    </row>
    <row r="1666" spans="1:20" ht="24" customHeight="1" x14ac:dyDescent="0.25">
      <c r="A1666" t="str">
        <f>IF('e1'!A1666&gt;0,HYPERLINK("#"&amp;ADDRESS(1666,'e1'!A1666),""),IF('r1'!A1666&gt;0,HYPERLINK("#"&amp;ADDRESS(1666,'r1'!A1666),""),""))</f>
        <v/>
      </c>
      <c r="C1666" s="13"/>
      <c r="D1666" s="14"/>
      <c r="E1666" s="15"/>
      <c r="F1666" s="16"/>
      <c r="G1666" s="17"/>
      <c r="H1666" s="18"/>
      <c r="I1666" s="19"/>
      <c r="J1666" s="20"/>
      <c r="K1666" s="21"/>
      <c r="L1666" s="22"/>
      <c r="M1666" s="23"/>
      <c r="N1666" s="24"/>
      <c r="O1666" s="25"/>
      <c r="P1666" s="26"/>
      <c r="Q1666" s="27"/>
      <c r="R1666" s="28"/>
      <c r="S1666" s="29"/>
      <c r="T1666" s="30"/>
    </row>
    <row r="1667" spans="1:20" ht="24" customHeight="1" x14ac:dyDescent="0.25">
      <c r="A1667" t="str">
        <f>IF('e1'!A1667&gt;0,HYPERLINK("#"&amp;ADDRESS(1667,'e1'!A1667),""),IF('r1'!A1667&gt;0,HYPERLINK("#"&amp;ADDRESS(1667,'r1'!A1667),""),""))</f>
        <v/>
      </c>
      <c r="C1667" s="13"/>
      <c r="D1667" s="14"/>
      <c r="E1667" s="15"/>
      <c r="F1667" s="16"/>
      <c r="G1667" s="17"/>
      <c r="H1667" s="18"/>
      <c r="I1667" s="19"/>
      <c r="J1667" s="20"/>
      <c r="K1667" s="21"/>
      <c r="L1667" s="22"/>
      <c r="M1667" s="23"/>
      <c r="N1667" s="24"/>
      <c r="O1667" s="25"/>
      <c r="P1667" s="26"/>
      <c r="Q1667" s="27"/>
      <c r="R1667" s="28"/>
      <c r="S1667" s="29"/>
      <c r="T1667" s="30"/>
    </row>
    <row r="1668" spans="1:20" ht="24" customHeight="1" x14ac:dyDescent="0.25">
      <c r="A1668" t="str">
        <f>IF('e1'!A1668&gt;0,HYPERLINK("#"&amp;ADDRESS(1668,'e1'!A1668),""),IF('r1'!A1668&gt;0,HYPERLINK("#"&amp;ADDRESS(1668,'r1'!A1668),""),""))</f>
        <v/>
      </c>
      <c r="C1668" s="13"/>
      <c r="D1668" s="14"/>
      <c r="E1668" s="15"/>
      <c r="F1668" s="16"/>
      <c r="G1668" s="17"/>
      <c r="H1668" s="18"/>
      <c r="I1668" s="19"/>
      <c r="J1668" s="20"/>
      <c r="K1668" s="21"/>
      <c r="L1668" s="22"/>
      <c r="M1668" s="23"/>
      <c r="N1668" s="24"/>
      <c r="O1668" s="25"/>
      <c r="P1668" s="26"/>
      <c r="Q1668" s="27"/>
      <c r="R1668" s="28"/>
      <c r="S1668" s="29"/>
      <c r="T1668" s="30"/>
    </row>
    <row r="1669" spans="1:20" ht="24" customHeight="1" x14ac:dyDescent="0.25">
      <c r="A1669" t="str">
        <f>IF('e1'!A1669&gt;0,HYPERLINK("#"&amp;ADDRESS(1669,'e1'!A1669),""),IF('r1'!A1669&gt;0,HYPERLINK("#"&amp;ADDRESS(1669,'r1'!A1669),""),""))</f>
        <v/>
      </c>
      <c r="C1669" s="13"/>
      <c r="D1669" s="14"/>
      <c r="E1669" s="15"/>
      <c r="F1669" s="16"/>
      <c r="G1669" s="17"/>
      <c r="H1669" s="18"/>
      <c r="I1669" s="19"/>
      <c r="J1669" s="20"/>
      <c r="K1669" s="21"/>
      <c r="L1669" s="22"/>
      <c r="M1669" s="23"/>
      <c r="N1669" s="24"/>
      <c r="O1669" s="25"/>
      <c r="P1669" s="26"/>
      <c r="Q1669" s="27"/>
      <c r="R1669" s="28"/>
      <c r="S1669" s="29"/>
      <c r="T1669" s="30"/>
    </row>
    <row r="1670" spans="1:20" ht="24" customHeight="1" x14ac:dyDescent="0.25">
      <c r="A1670" t="str">
        <f>IF('e1'!A1670&gt;0,HYPERLINK("#"&amp;ADDRESS(1670,'e1'!A1670),""),IF('r1'!A1670&gt;0,HYPERLINK("#"&amp;ADDRESS(1670,'r1'!A1670),""),""))</f>
        <v/>
      </c>
      <c r="C1670" s="13"/>
      <c r="D1670" s="14"/>
      <c r="E1670" s="15"/>
      <c r="F1670" s="16"/>
      <c r="G1670" s="17"/>
      <c r="H1670" s="18"/>
      <c r="I1670" s="19"/>
      <c r="J1670" s="20"/>
      <c r="K1670" s="21"/>
      <c r="L1670" s="22"/>
      <c r="M1670" s="23"/>
      <c r="N1670" s="24"/>
      <c r="O1670" s="25"/>
      <c r="P1670" s="26"/>
      <c r="Q1670" s="27"/>
      <c r="R1670" s="28"/>
      <c r="S1670" s="29"/>
      <c r="T1670" s="30"/>
    </row>
    <row r="1671" spans="1:20" ht="24" customHeight="1" x14ac:dyDescent="0.25">
      <c r="A1671" t="str">
        <f>IF('e1'!A1671&gt;0,HYPERLINK("#"&amp;ADDRESS(1671,'e1'!A1671),""),IF('r1'!A1671&gt;0,HYPERLINK("#"&amp;ADDRESS(1671,'r1'!A1671),""),""))</f>
        <v/>
      </c>
      <c r="C1671" s="13"/>
      <c r="D1671" s="14"/>
      <c r="E1671" s="15"/>
      <c r="F1671" s="16"/>
      <c r="G1671" s="17"/>
      <c r="H1671" s="18"/>
      <c r="I1671" s="19"/>
      <c r="J1671" s="20"/>
      <c r="K1671" s="21"/>
      <c r="L1671" s="22"/>
      <c r="M1671" s="23"/>
      <c r="N1671" s="24"/>
      <c r="O1671" s="25"/>
      <c r="P1671" s="26"/>
      <c r="Q1671" s="27"/>
      <c r="R1671" s="28"/>
      <c r="S1671" s="29"/>
      <c r="T1671" s="30"/>
    </row>
    <row r="1672" spans="1:20" ht="24" customHeight="1" x14ac:dyDescent="0.25">
      <c r="A1672" t="str">
        <f>IF('e1'!A1672&gt;0,HYPERLINK("#"&amp;ADDRESS(1672,'e1'!A1672),""),IF('r1'!A1672&gt;0,HYPERLINK("#"&amp;ADDRESS(1672,'r1'!A1672),""),""))</f>
        <v/>
      </c>
      <c r="C1672" s="13"/>
      <c r="D1672" s="14"/>
      <c r="E1672" s="15"/>
      <c r="F1672" s="16"/>
      <c r="G1672" s="17"/>
      <c r="H1672" s="18"/>
      <c r="I1672" s="19"/>
      <c r="J1672" s="20"/>
      <c r="K1672" s="21"/>
      <c r="L1672" s="22"/>
      <c r="M1672" s="23"/>
      <c r="N1672" s="24"/>
      <c r="O1672" s="25"/>
      <c r="P1672" s="26"/>
      <c r="Q1672" s="27"/>
      <c r="R1672" s="28"/>
      <c r="S1672" s="29"/>
      <c r="T1672" s="30"/>
    </row>
    <row r="1673" spans="1:20" ht="24" customHeight="1" x14ac:dyDescent="0.25">
      <c r="A1673" t="str">
        <f>IF('e1'!A1673&gt;0,HYPERLINK("#"&amp;ADDRESS(1673,'e1'!A1673),""),IF('r1'!A1673&gt;0,HYPERLINK("#"&amp;ADDRESS(1673,'r1'!A1673),""),""))</f>
        <v/>
      </c>
      <c r="C1673" s="13"/>
      <c r="D1673" s="14"/>
      <c r="E1673" s="15"/>
      <c r="F1673" s="16"/>
      <c r="G1673" s="17"/>
      <c r="H1673" s="18"/>
      <c r="I1673" s="19"/>
      <c r="J1673" s="20"/>
      <c r="K1673" s="21"/>
      <c r="L1673" s="22"/>
      <c r="M1673" s="23"/>
      <c r="N1673" s="24"/>
      <c r="O1673" s="25"/>
      <c r="P1673" s="26"/>
      <c r="Q1673" s="27"/>
      <c r="R1673" s="28"/>
      <c r="S1673" s="29"/>
      <c r="T1673" s="30"/>
    </row>
    <row r="1674" spans="1:20" ht="24" customHeight="1" x14ac:dyDescent="0.25">
      <c r="A1674" t="str">
        <f>IF('e1'!A1674&gt;0,HYPERLINK("#"&amp;ADDRESS(1674,'e1'!A1674),""),IF('r1'!A1674&gt;0,HYPERLINK("#"&amp;ADDRESS(1674,'r1'!A1674),""),""))</f>
        <v/>
      </c>
      <c r="C1674" s="13"/>
      <c r="D1674" s="14"/>
      <c r="E1674" s="15"/>
      <c r="F1674" s="16"/>
      <c r="G1674" s="17"/>
      <c r="H1674" s="18"/>
      <c r="I1674" s="19"/>
      <c r="J1674" s="20"/>
      <c r="K1674" s="21"/>
      <c r="L1674" s="22"/>
      <c r="M1674" s="23"/>
      <c r="N1674" s="24"/>
      <c r="O1674" s="25"/>
      <c r="P1674" s="26"/>
      <c r="Q1674" s="27"/>
      <c r="R1674" s="28"/>
      <c r="S1674" s="29"/>
      <c r="T1674" s="30"/>
    </row>
    <row r="1675" spans="1:20" ht="24" customHeight="1" x14ac:dyDescent="0.25">
      <c r="A1675" t="str">
        <f>IF('e1'!A1675&gt;0,HYPERLINK("#"&amp;ADDRESS(1675,'e1'!A1675),""),IF('r1'!A1675&gt;0,HYPERLINK("#"&amp;ADDRESS(1675,'r1'!A1675),""),""))</f>
        <v/>
      </c>
      <c r="C1675" s="13"/>
      <c r="D1675" s="14"/>
      <c r="E1675" s="15"/>
      <c r="F1675" s="16"/>
      <c r="G1675" s="17"/>
      <c r="H1675" s="18"/>
      <c r="I1675" s="19"/>
      <c r="J1675" s="20"/>
      <c r="K1675" s="21"/>
      <c r="L1675" s="22"/>
      <c r="M1675" s="23"/>
      <c r="N1675" s="24"/>
      <c r="O1675" s="25"/>
      <c r="P1675" s="26"/>
      <c r="Q1675" s="27"/>
      <c r="R1675" s="28"/>
      <c r="S1675" s="29"/>
      <c r="T1675" s="30"/>
    </row>
    <row r="1676" spans="1:20" ht="24" customHeight="1" x14ac:dyDescent="0.25">
      <c r="A1676" t="str">
        <f>IF('e1'!A1676&gt;0,HYPERLINK("#"&amp;ADDRESS(1676,'e1'!A1676),""),IF('r1'!A1676&gt;0,HYPERLINK("#"&amp;ADDRESS(1676,'r1'!A1676),""),""))</f>
        <v/>
      </c>
      <c r="C1676" s="13"/>
      <c r="D1676" s="14"/>
      <c r="E1676" s="15"/>
      <c r="F1676" s="16"/>
      <c r="G1676" s="17"/>
      <c r="H1676" s="18"/>
      <c r="I1676" s="19"/>
      <c r="J1676" s="20"/>
      <c r="K1676" s="21"/>
      <c r="L1676" s="22"/>
      <c r="M1676" s="23"/>
      <c r="N1676" s="24"/>
      <c r="O1676" s="25"/>
      <c r="P1676" s="26"/>
      <c r="Q1676" s="27"/>
      <c r="R1676" s="28"/>
      <c r="S1676" s="29"/>
      <c r="T1676" s="30"/>
    </row>
    <row r="1677" spans="1:20" ht="24" customHeight="1" x14ac:dyDescent="0.25">
      <c r="A1677" t="str">
        <f>IF('e1'!A1677&gt;0,HYPERLINK("#"&amp;ADDRESS(1677,'e1'!A1677),""),IF('r1'!A1677&gt;0,HYPERLINK("#"&amp;ADDRESS(1677,'r1'!A1677),""),""))</f>
        <v/>
      </c>
      <c r="C1677" s="13"/>
      <c r="D1677" s="14"/>
      <c r="E1677" s="15"/>
      <c r="F1677" s="16"/>
      <c r="G1677" s="17"/>
      <c r="H1677" s="18"/>
      <c r="I1677" s="19"/>
      <c r="J1677" s="20"/>
      <c r="K1677" s="21"/>
      <c r="L1677" s="22"/>
      <c r="M1677" s="23"/>
      <c r="N1677" s="24"/>
      <c r="O1677" s="25"/>
      <c r="P1677" s="26"/>
      <c r="Q1677" s="27"/>
      <c r="R1677" s="28"/>
      <c r="S1677" s="29"/>
      <c r="T1677" s="30"/>
    </row>
    <row r="1678" spans="1:20" ht="24" customHeight="1" x14ac:dyDescent="0.25">
      <c r="A1678" t="str">
        <f>IF('e1'!A1678&gt;0,HYPERLINK("#"&amp;ADDRESS(1678,'e1'!A1678),""),IF('r1'!A1678&gt;0,HYPERLINK("#"&amp;ADDRESS(1678,'r1'!A1678),""),""))</f>
        <v/>
      </c>
      <c r="C1678" s="13"/>
      <c r="D1678" s="14"/>
      <c r="E1678" s="15"/>
      <c r="F1678" s="16"/>
      <c r="G1678" s="17"/>
      <c r="H1678" s="18"/>
      <c r="I1678" s="19"/>
      <c r="J1678" s="20"/>
      <c r="K1678" s="21"/>
      <c r="L1678" s="22"/>
      <c r="M1678" s="23"/>
      <c r="N1678" s="24"/>
      <c r="O1678" s="25"/>
      <c r="P1678" s="26"/>
      <c r="Q1678" s="27"/>
      <c r="R1678" s="28"/>
      <c r="S1678" s="29"/>
      <c r="T1678" s="30"/>
    </row>
    <row r="1679" spans="1:20" ht="24" customHeight="1" x14ac:dyDescent="0.25">
      <c r="A1679" t="str">
        <f>IF('e1'!A1679&gt;0,HYPERLINK("#"&amp;ADDRESS(1679,'e1'!A1679),""),IF('r1'!A1679&gt;0,HYPERLINK("#"&amp;ADDRESS(1679,'r1'!A1679),""),""))</f>
        <v/>
      </c>
      <c r="C1679" s="13"/>
      <c r="D1679" s="14"/>
      <c r="E1679" s="15"/>
      <c r="F1679" s="16"/>
      <c r="G1679" s="17"/>
      <c r="H1679" s="18"/>
      <c r="I1679" s="19"/>
      <c r="J1679" s="20"/>
      <c r="K1679" s="21"/>
      <c r="L1679" s="22"/>
      <c r="M1679" s="23"/>
      <c r="N1679" s="24"/>
      <c r="O1679" s="25"/>
      <c r="P1679" s="26"/>
      <c r="Q1679" s="27"/>
      <c r="R1679" s="28"/>
      <c r="S1679" s="29"/>
      <c r="T1679" s="30"/>
    </row>
    <row r="1680" spans="1:20" ht="24" customHeight="1" x14ac:dyDescent="0.25">
      <c r="A1680" t="str">
        <f>IF('e1'!A1680&gt;0,HYPERLINK("#"&amp;ADDRESS(1680,'e1'!A1680),""),IF('r1'!A1680&gt;0,HYPERLINK("#"&amp;ADDRESS(1680,'r1'!A1680),""),""))</f>
        <v/>
      </c>
      <c r="C1680" s="13"/>
      <c r="D1680" s="14"/>
      <c r="E1680" s="15"/>
      <c r="F1680" s="16"/>
      <c r="G1680" s="17"/>
      <c r="H1680" s="18"/>
      <c r="I1680" s="19"/>
      <c r="J1680" s="20"/>
      <c r="K1680" s="21"/>
      <c r="L1680" s="22"/>
      <c r="M1680" s="23"/>
      <c r="N1680" s="24"/>
      <c r="O1680" s="25"/>
      <c r="P1680" s="26"/>
      <c r="Q1680" s="27"/>
      <c r="R1680" s="28"/>
      <c r="S1680" s="29"/>
      <c r="T1680" s="30"/>
    </row>
    <row r="1681" spans="1:20" ht="24" customHeight="1" x14ac:dyDescent="0.25">
      <c r="A1681" t="str">
        <f>IF('e1'!A1681&gt;0,HYPERLINK("#"&amp;ADDRESS(1681,'e1'!A1681),""),IF('r1'!A1681&gt;0,HYPERLINK("#"&amp;ADDRESS(1681,'r1'!A1681),""),""))</f>
        <v/>
      </c>
      <c r="C1681" s="13"/>
      <c r="D1681" s="14"/>
      <c r="E1681" s="15"/>
      <c r="F1681" s="16"/>
      <c r="G1681" s="17"/>
      <c r="H1681" s="18"/>
      <c r="I1681" s="19"/>
      <c r="J1681" s="20"/>
      <c r="K1681" s="21"/>
      <c r="L1681" s="22"/>
      <c r="M1681" s="23"/>
      <c r="N1681" s="24"/>
      <c r="O1681" s="25"/>
      <c r="P1681" s="26"/>
      <c r="Q1681" s="27"/>
      <c r="R1681" s="28"/>
      <c r="S1681" s="29"/>
      <c r="T1681" s="30"/>
    </row>
    <row r="1682" spans="1:20" ht="24" customHeight="1" x14ac:dyDescent="0.25">
      <c r="A1682" t="str">
        <f>IF('e1'!A1682&gt;0,HYPERLINK("#"&amp;ADDRESS(1682,'e1'!A1682),""),IF('r1'!A1682&gt;0,HYPERLINK("#"&amp;ADDRESS(1682,'r1'!A1682),""),""))</f>
        <v/>
      </c>
      <c r="C1682" s="13"/>
      <c r="D1682" s="14"/>
      <c r="E1682" s="15"/>
      <c r="F1682" s="16"/>
      <c r="G1682" s="17"/>
      <c r="H1682" s="18"/>
      <c r="I1682" s="19"/>
      <c r="J1682" s="20"/>
      <c r="K1682" s="21"/>
      <c r="L1682" s="22"/>
      <c r="M1682" s="23"/>
      <c r="N1682" s="24"/>
      <c r="O1682" s="25"/>
      <c r="P1682" s="26"/>
      <c r="Q1682" s="27"/>
      <c r="R1682" s="28"/>
      <c r="S1682" s="29"/>
      <c r="T1682" s="30"/>
    </row>
    <row r="1683" spans="1:20" ht="24" customHeight="1" x14ac:dyDescent="0.25">
      <c r="A1683" t="str">
        <f>IF('e1'!A1683&gt;0,HYPERLINK("#"&amp;ADDRESS(1683,'e1'!A1683),""),IF('r1'!A1683&gt;0,HYPERLINK("#"&amp;ADDRESS(1683,'r1'!A1683),""),""))</f>
        <v/>
      </c>
      <c r="C1683" s="13"/>
      <c r="D1683" s="14"/>
      <c r="E1683" s="15"/>
      <c r="F1683" s="16"/>
      <c r="G1683" s="17"/>
      <c r="H1683" s="18"/>
      <c r="I1683" s="19"/>
      <c r="J1683" s="20"/>
      <c r="K1683" s="21"/>
      <c r="L1683" s="22"/>
      <c r="M1683" s="23"/>
      <c r="N1683" s="24"/>
      <c r="O1683" s="25"/>
      <c r="P1683" s="26"/>
      <c r="Q1683" s="27"/>
      <c r="R1683" s="28"/>
      <c r="S1683" s="29"/>
      <c r="T1683" s="30"/>
    </row>
    <row r="1684" spans="1:20" ht="24" customHeight="1" x14ac:dyDescent="0.25">
      <c r="A1684" t="str">
        <f>IF('e1'!A1684&gt;0,HYPERLINK("#"&amp;ADDRESS(1684,'e1'!A1684),""),IF('r1'!A1684&gt;0,HYPERLINK("#"&amp;ADDRESS(1684,'r1'!A1684),""),""))</f>
        <v/>
      </c>
      <c r="C1684" s="13"/>
      <c r="D1684" s="14"/>
      <c r="E1684" s="15"/>
      <c r="F1684" s="16"/>
      <c r="G1684" s="17"/>
      <c r="H1684" s="18"/>
      <c r="I1684" s="19"/>
      <c r="J1684" s="20"/>
      <c r="K1684" s="21"/>
      <c r="L1684" s="22"/>
      <c r="M1684" s="23"/>
      <c r="N1684" s="24"/>
      <c r="O1684" s="25"/>
      <c r="P1684" s="26"/>
      <c r="Q1684" s="27"/>
      <c r="R1684" s="28"/>
      <c r="S1684" s="29"/>
      <c r="T1684" s="30"/>
    </row>
    <row r="1685" spans="1:20" ht="24" customHeight="1" x14ac:dyDescent="0.25">
      <c r="A1685" t="str">
        <f>IF('e1'!A1685&gt;0,HYPERLINK("#"&amp;ADDRESS(1685,'e1'!A1685),""),IF('r1'!A1685&gt;0,HYPERLINK("#"&amp;ADDRESS(1685,'r1'!A1685),""),""))</f>
        <v/>
      </c>
      <c r="C1685" s="13"/>
      <c r="D1685" s="14"/>
      <c r="E1685" s="15"/>
      <c r="F1685" s="16"/>
      <c r="G1685" s="17"/>
      <c r="H1685" s="18"/>
      <c r="I1685" s="19"/>
      <c r="J1685" s="20"/>
      <c r="K1685" s="21"/>
      <c r="L1685" s="22"/>
      <c r="M1685" s="23"/>
      <c r="N1685" s="24"/>
      <c r="O1685" s="25"/>
      <c r="P1685" s="26"/>
      <c r="Q1685" s="27"/>
      <c r="R1685" s="28"/>
      <c r="S1685" s="29"/>
      <c r="T1685" s="30"/>
    </row>
    <row r="1686" spans="1:20" ht="24" customHeight="1" x14ac:dyDescent="0.25">
      <c r="A1686" t="str">
        <f>IF('e1'!A1686&gt;0,HYPERLINK("#"&amp;ADDRESS(1686,'e1'!A1686),""),IF('r1'!A1686&gt;0,HYPERLINK("#"&amp;ADDRESS(1686,'r1'!A1686),""),""))</f>
        <v/>
      </c>
      <c r="C1686" s="13"/>
      <c r="D1686" s="14"/>
      <c r="E1686" s="15"/>
      <c r="F1686" s="16"/>
      <c r="G1686" s="17"/>
      <c r="H1686" s="18"/>
      <c r="I1686" s="19"/>
      <c r="J1686" s="20"/>
      <c r="K1686" s="21"/>
      <c r="L1686" s="22"/>
      <c r="M1686" s="23"/>
      <c r="N1686" s="24"/>
      <c r="O1686" s="25"/>
      <c r="P1686" s="26"/>
      <c r="Q1686" s="27"/>
      <c r="R1686" s="28"/>
      <c r="S1686" s="29"/>
      <c r="T1686" s="30"/>
    </row>
    <row r="1687" spans="1:20" ht="24" customHeight="1" x14ac:dyDescent="0.25">
      <c r="A1687" t="str">
        <f>IF('e1'!A1687&gt;0,HYPERLINK("#"&amp;ADDRESS(1687,'e1'!A1687),""),IF('r1'!A1687&gt;0,HYPERLINK("#"&amp;ADDRESS(1687,'r1'!A1687),""),""))</f>
        <v/>
      </c>
      <c r="C1687" s="13"/>
      <c r="D1687" s="14"/>
      <c r="E1687" s="15"/>
      <c r="F1687" s="16"/>
      <c r="G1687" s="17"/>
      <c r="H1687" s="18"/>
      <c r="I1687" s="19"/>
      <c r="J1687" s="20"/>
      <c r="K1687" s="21"/>
      <c r="L1687" s="22"/>
      <c r="M1687" s="23"/>
      <c r="N1687" s="24"/>
      <c r="O1687" s="25"/>
      <c r="P1687" s="26"/>
      <c r="Q1687" s="27"/>
      <c r="R1687" s="28"/>
      <c r="S1687" s="29"/>
      <c r="T1687" s="30"/>
    </row>
    <row r="1688" spans="1:20" ht="24" customHeight="1" x14ac:dyDescent="0.25">
      <c r="A1688" t="str">
        <f>IF('e1'!A1688&gt;0,HYPERLINK("#"&amp;ADDRESS(1688,'e1'!A1688),""),IF('r1'!A1688&gt;0,HYPERLINK("#"&amp;ADDRESS(1688,'r1'!A1688),""),""))</f>
        <v/>
      </c>
      <c r="C1688" s="13"/>
      <c r="D1688" s="14"/>
      <c r="E1688" s="15"/>
      <c r="F1688" s="16"/>
      <c r="G1688" s="17"/>
      <c r="H1688" s="18"/>
      <c r="I1688" s="19"/>
      <c r="J1688" s="20"/>
      <c r="K1688" s="21"/>
      <c r="L1688" s="22"/>
      <c r="M1688" s="23"/>
      <c r="N1688" s="24"/>
      <c r="O1688" s="25"/>
      <c r="P1688" s="26"/>
      <c r="Q1688" s="27"/>
      <c r="R1688" s="28"/>
      <c r="S1688" s="29"/>
      <c r="T1688" s="30"/>
    </row>
    <row r="1689" spans="1:20" ht="24" customHeight="1" x14ac:dyDescent="0.25">
      <c r="A1689" t="str">
        <f>IF('e1'!A1689&gt;0,HYPERLINK("#"&amp;ADDRESS(1689,'e1'!A1689),""),IF('r1'!A1689&gt;0,HYPERLINK("#"&amp;ADDRESS(1689,'r1'!A1689),""),""))</f>
        <v/>
      </c>
      <c r="C1689" s="13"/>
      <c r="D1689" s="14"/>
      <c r="E1689" s="15"/>
      <c r="F1689" s="16"/>
      <c r="G1689" s="17"/>
      <c r="H1689" s="18"/>
      <c r="I1689" s="19"/>
      <c r="J1689" s="20"/>
      <c r="K1689" s="21"/>
      <c r="L1689" s="22"/>
      <c r="M1689" s="23"/>
      <c r="N1689" s="24"/>
      <c r="O1689" s="25"/>
      <c r="P1689" s="26"/>
      <c r="Q1689" s="27"/>
      <c r="R1689" s="28"/>
      <c r="S1689" s="29"/>
      <c r="T1689" s="30"/>
    </row>
    <row r="1690" spans="1:20" ht="24" customHeight="1" x14ac:dyDescent="0.25">
      <c r="A1690" t="str">
        <f>IF('e1'!A1690&gt;0,HYPERLINK("#"&amp;ADDRESS(1690,'e1'!A1690),""),IF('r1'!A1690&gt;0,HYPERLINK("#"&amp;ADDRESS(1690,'r1'!A1690),""),""))</f>
        <v/>
      </c>
      <c r="C1690" s="13"/>
      <c r="D1690" s="14"/>
      <c r="E1690" s="15"/>
      <c r="F1690" s="16"/>
      <c r="G1690" s="17"/>
      <c r="H1690" s="18"/>
      <c r="I1690" s="19"/>
      <c r="J1690" s="20"/>
      <c r="K1690" s="21"/>
      <c r="L1690" s="22"/>
      <c r="M1690" s="23"/>
      <c r="N1690" s="24"/>
      <c r="O1690" s="25"/>
      <c r="P1690" s="26"/>
      <c r="Q1690" s="27"/>
      <c r="R1690" s="28"/>
      <c r="S1690" s="29"/>
      <c r="T1690" s="30"/>
    </row>
    <row r="1691" spans="1:20" ht="24" customHeight="1" x14ac:dyDescent="0.25">
      <c r="A1691" t="str">
        <f>IF('e1'!A1691&gt;0,HYPERLINK("#"&amp;ADDRESS(1691,'e1'!A1691),""),IF('r1'!A1691&gt;0,HYPERLINK("#"&amp;ADDRESS(1691,'r1'!A1691),""),""))</f>
        <v/>
      </c>
      <c r="C1691" s="13"/>
      <c r="D1691" s="14"/>
      <c r="E1691" s="15"/>
      <c r="F1691" s="16"/>
      <c r="G1691" s="17"/>
      <c r="H1691" s="18"/>
      <c r="I1691" s="19"/>
      <c r="J1691" s="20"/>
      <c r="K1691" s="21"/>
      <c r="L1691" s="22"/>
      <c r="M1691" s="23"/>
      <c r="N1691" s="24"/>
      <c r="O1691" s="25"/>
      <c r="P1691" s="26"/>
      <c r="Q1691" s="27"/>
      <c r="R1691" s="28"/>
      <c r="S1691" s="29"/>
      <c r="T1691" s="30"/>
    </row>
    <row r="1692" spans="1:20" ht="24" customHeight="1" x14ac:dyDescent="0.25">
      <c r="A1692" t="str">
        <f>IF('e1'!A1692&gt;0,HYPERLINK("#"&amp;ADDRESS(1692,'e1'!A1692),""),IF('r1'!A1692&gt;0,HYPERLINK("#"&amp;ADDRESS(1692,'r1'!A1692),""),""))</f>
        <v/>
      </c>
      <c r="C1692" s="13"/>
      <c r="D1692" s="14"/>
      <c r="E1692" s="15"/>
      <c r="F1692" s="16"/>
      <c r="G1692" s="17"/>
      <c r="H1692" s="18"/>
      <c r="I1692" s="19"/>
      <c r="J1692" s="20"/>
      <c r="K1692" s="21"/>
      <c r="L1692" s="22"/>
      <c r="M1692" s="23"/>
      <c r="N1692" s="24"/>
      <c r="O1692" s="25"/>
      <c r="P1692" s="26"/>
      <c r="Q1692" s="27"/>
      <c r="R1692" s="28"/>
      <c r="S1692" s="29"/>
      <c r="T1692" s="30"/>
    </row>
    <row r="1693" spans="1:20" ht="24" customHeight="1" x14ac:dyDescent="0.25">
      <c r="A1693" t="str">
        <f>IF('e1'!A1693&gt;0,HYPERLINK("#"&amp;ADDRESS(1693,'e1'!A1693),""),IF('r1'!A1693&gt;0,HYPERLINK("#"&amp;ADDRESS(1693,'r1'!A1693),""),""))</f>
        <v/>
      </c>
      <c r="C1693" s="13"/>
      <c r="D1693" s="14"/>
      <c r="E1693" s="15"/>
      <c r="F1693" s="16"/>
      <c r="G1693" s="17"/>
      <c r="H1693" s="18"/>
      <c r="I1693" s="19"/>
      <c r="J1693" s="20"/>
      <c r="K1693" s="21"/>
      <c r="L1693" s="22"/>
      <c r="M1693" s="23"/>
      <c r="N1693" s="24"/>
      <c r="O1693" s="25"/>
      <c r="P1693" s="26"/>
      <c r="Q1693" s="27"/>
      <c r="R1693" s="28"/>
      <c r="S1693" s="29"/>
      <c r="T1693" s="30"/>
    </row>
    <row r="1694" spans="1:20" ht="24" customHeight="1" x14ac:dyDescent="0.25">
      <c r="A1694" t="str">
        <f>IF('e1'!A1694&gt;0,HYPERLINK("#"&amp;ADDRESS(1694,'e1'!A1694),""),IF('r1'!A1694&gt;0,HYPERLINK("#"&amp;ADDRESS(1694,'r1'!A1694),""),""))</f>
        <v/>
      </c>
      <c r="C1694" s="13"/>
      <c r="D1694" s="14"/>
      <c r="E1694" s="15"/>
      <c r="F1694" s="16"/>
      <c r="G1694" s="17"/>
      <c r="H1694" s="18"/>
      <c r="I1694" s="19"/>
      <c r="J1694" s="20"/>
      <c r="K1694" s="21"/>
      <c r="L1694" s="22"/>
      <c r="M1694" s="23"/>
      <c r="N1694" s="24"/>
      <c r="O1694" s="25"/>
      <c r="P1694" s="26"/>
      <c r="Q1694" s="27"/>
      <c r="R1694" s="28"/>
      <c r="S1694" s="29"/>
      <c r="T1694" s="30"/>
    </row>
    <row r="1695" spans="1:20" ht="24" customHeight="1" x14ac:dyDescent="0.25">
      <c r="A1695" t="str">
        <f>IF('e1'!A1695&gt;0,HYPERLINK("#"&amp;ADDRESS(1695,'e1'!A1695),""),IF('r1'!A1695&gt;0,HYPERLINK("#"&amp;ADDRESS(1695,'r1'!A1695),""),""))</f>
        <v/>
      </c>
      <c r="C1695" s="13"/>
      <c r="D1695" s="14"/>
      <c r="E1695" s="15"/>
      <c r="F1695" s="16"/>
      <c r="G1695" s="17"/>
      <c r="H1695" s="18"/>
      <c r="I1695" s="19"/>
      <c r="J1695" s="20"/>
      <c r="K1695" s="21"/>
      <c r="L1695" s="22"/>
      <c r="M1695" s="23"/>
      <c r="N1695" s="24"/>
      <c r="O1695" s="25"/>
      <c r="P1695" s="26"/>
      <c r="Q1695" s="27"/>
      <c r="R1695" s="28"/>
      <c r="S1695" s="29"/>
      <c r="T1695" s="30"/>
    </row>
    <row r="1696" spans="1:20" ht="24" customHeight="1" x14ac:dyDescent="0.25">
      <c r="A1696" t="str">
        <f>IF('e1'!A1696&gt;0,HYPERLINK("#"&amp;ADDRESS(1696,'e1'!A1696),""),IF('r1'!A1696&gt;0,HYPERLINK("#"&amp;ADDRESS(1696,'r1'!A1696),""),""))</f>
        <v/>
      </c>
      <c r="C1696" s="13"/>
      <c r="D1696" s="14"/>
      <c r="E1696" s="15"/>
      <c r="F1696" s="16"/>
      <c r="G1696" s="17"/>
      <c r="H1696" s="18"/>
      <c r="I1696" s="19"/>
      <c r="J1696" s="20"/>
      <c r="K1696" s="21"/>
      <c r="L1696" s="22"/>
      <c r="M1696" s="23"/>
      <c r="N1696" s="24"/>
      <c r="O1696" s="25"/>
      <c r="P1696" s="26"/>
      <c r="Q1696" s="27"/>
      <c r="R1696" s="28"/>
      <c r="S1696" s="29"/>
      <c r="T1696" s="30"/>
    </row>
    <row r="1697" spans="1:20" ht="24" customHeight="1" x14ac:dyDescent="0.25">
      <c r="A1697" t="str">
        <f>IF('e1'!A1697&gt;0,HYPERLINK("#"&amp;ADDRESS(1697,'e1'!A1697),""),IF('r1'!A1697&gt;0,HYPERLINK("#"&amp;ADDRESS(1697,'r1'!A1697),""),""))</f>
        <v/>
      </c>
      <c r="C1697" s="13"/>
      <c r="D1697" s="14"/>
      <c r="E1697" s="15"/>
      <c r="F1697" s="16"/>
      <c r="G1697" s="17"/>
      <c r="H1697" s="18"/>
      <c r="I1697" s="19"/>
      <c r="J1697" s="20"/>
      <c r="K1697" s="21"/>
      <c r="L1697" s="22"/>
      <c r="M1697" s="23"/>
      <c r="N1697" s="24"/>
      <c r="O1697" s="25"/>
      <c r="P1697" s="26"/>
      <c r="Q1697" s="27"/>
      <c r="R1697" s="28"/>
      <c r="S1697" s="29"/>
      <c r="T1697" s="30"/>
    </row>
    <row r="1698" spans="1:20" ht="24" customHeight="1" x14ac:dyDescent="0.25">
      <c r="A1698" t="str">
        <f>IF('e1'!A1698&gt;0,HYPERLINK("#"&amp;ADDRESS(1698,'e1'!A1698),""),IF('r1'!A1698&gt;0,HYPERLINK("#"&amp;ADDRESS(1698,'r1'!A1698),""),""))</f>
        <v/>
      </c>
      <c r="C1698" s="13"/>
      <c r="D1698" s="14"/>
      <c r="E1698" s="15"/>
      <c r="F1698" s="16"/>
      <c r="G1698" s="17"/>
      <c r="H1698" s="18"/>
      <c r="I1698" s="19"/>
      <c r="J1698" s="20"/>
      <c r="K1698" s="21"/>
      <c r="L1698" s="22"/>
      <c r="M1698" s="23"/>
      <c r="N1698" s="24"/>
      <c r="O1698" s="25"/>
      <c r="P1698" s="26"/>
      <c r="Q1698" s="27"/>
      <c r="R1698" s="28"/>
      <c r="S1698" s="29"/>
      <c r="T1698" s="30"/>
    </row>
    <row r="1699" spans="1:20" ht="24" customHeight="1" x14ac:dyDescent="0.25">
      <c r="A1699" t="str">
        <f>IF('e1'!A1699&gt;0,HYPERLINK("#"&amp;ADDRESS(1699,'e1'!A1699),""),IF('r1'!A1699&gt;0,HYPERLINK("#"&amp;ADDRESS(1699,'r1'!A1699),""),""))</f>
        <v/>
      </c>
      <c r="C1699" s="13"/>
      <c r="D1699" s="14"/>
      <c r="E1699" s="15"/>
      <c r="F1699" s="16"/>
      <c r="G1699" s="17"/>
      <c r="H1699" s="18"/>
      <c r="I1699" s="19"/>
      <c r="J1699" s="20"/>
      <c r="K1699" s="21"/>
      <c r="L1699" s="22"/>
      <c r="M1699" s="23"/>
      <c r="N1699" s="24"/>
      <c r="O1699" s="25"/>
      <c r="P1699" s="26"/>
      <c r="Q1699" s="27"/>
      <c r="R1699" s="28"/>
      <c r="S1699" s="29"/>
      <c r="T1699" s="30"/>
    </row>
    <row r="1700" spans="1:20" ht="24" customHeight="1" x14ac:dyDescent="0.25">
      <c r="A1700" t="str">
        <f>IF('e1'!A1700&gt;0,HYPERLINK("#"&amp;ADDRESS(1700,'e1'!A1700),""),IF('r1'!A1700&gt;0,HYPERLINK("#"&amp;ADDRESS(1700,'r1'!A1700),""),""))</f>
        <v/>
      </c>
      <c r="C1700" s="13"/>
      <c r="D1700" s="14"/>
      <c r="E1700" s="15"/>
      <c r="F1700" s="16"/>
      <c r="G1700" s="17"/>
      <c r="H1700" s="18"/>
      <c r="I1700" s="19"/>
      <c r="J1700" s="20"/>
      <c r="K1700" s="21"/>
      <c r="L1700" s="22"/>
      <c r="M1700" s="23"/>
      <c r="N1700" s="24"/>
      <c r="O1700" s="25"/>
      <c r="P1700" s="26"/>
      <c r="Q1700" s="27"/>
      <c r="R1700" s="28"/>
      <c r="S1700" s="29"/>
      <c r="T1700" s="30"/>
    </row>
    <row r="1701" spans="1:20" ht="24" customHeight="1" x14ac:dyDescent="0.25">
      <c r="A1701" t="str">
        <f>IF('e1'!A1701&gt;0,HYPERLINK("#"&amp;ADDRESS(1701,'e1'!A1701),""),IF('r1'!A1701&gt;0,HYPERLINK("#"&amp;ADDRESS(1701,'r1'!A1701),""),""))</f>
        <v/>
      </c>
      <c r="C1701" s="13"/>
      <c r="D1701" s="14"/>
      <c r="E1701" s="15"/>
      <c r="F1701" s="16"/>
      <c r="G1701" s="17"/>
      <c r="H1701" s="18"/>
      <c r="I1701" s="19"/>
      <c r="J1701" s="20"/>
      <c r="K1701" s="21"/>
      <c r="L1701" s="22"/>
      <c r="M1701" s="23"/>
      <c r="N1701" s="24"/>
      <c r="O1701" s="25"/>
      <c r="P1701" s="26"/>
      <c r="Q1701" s="27"/>
      <c r="R1701" s="28"/>
      <c r="S1701" s="29"/>
      <c r="T1701" s="30"/>
    </row>
    <row r="1702" spans="1:20" ht="24" customHeight="1" x14ac:dyDescent="0.25">
      <c r="A1702" t="str">
        <f>IF('e1'!A1702&gt;0,HYPERLINK("#"&amp;ADDRESS(1702,'e1'!A1702),""),IF('r1'!A1702&gt;0,HYPERLINK("#"&amp;ADDRESS(1702,'r1'!A1702),""),""))</f>
        <v/>
      </c>
      <c r="C1702" s="13"/>
      <c r="D1702" s="14"/>
      <c r="E1702" s="15"/>
      <c r="F1702" s="16"/>
      <c r="G1702" s="17"/>
      <c r="H1702" s="18"/>
      <c r="I1702" s="19"/>
      <c r="J1702" s="20"/>
      <c r="K1702" s="21"/>
      <c r="L1702" s="22"/>
      <c r="M1702" s="23"/>
      <c r="N1702" s="24"/>
      <c r="O1702" s="25"/>
      <c r="P1702" s="26"/>
      <c r="Q1702" s="27"/>
      <c r="R1702" s="28"/>
      <c r="S1702" s="29"/>
      <c r="T1702" s="30"/>
    </row>
    <row r="1703" spans="1:20" ht="24" customHeight="1" x14ac:dyDescent="0.25">
      <c r="A1703" t="str">
        <f>IF('e1'!A1703&gt;0,HYPERLINK("#"&amp;ADDRESS(1703,'e1'!A1703),""),IF('r1'!A1703&gt;0,HYPERLINK("#"&amp;ADDRESS(1703,'r1'!A1703),""),""))</f>
        <v/>
      </c>
      <c r="C1703" s="13"/>
      <c r="D1703" s="14"/>
      <c r="E1703" s="15"/>
      <c r="F1703" s="16"/>
      <c r="G1703" s="17"/>
      <c r="H1703" s="18"/>
      <c r="I1703" s="19"/>
      <c r="J1703" s="20"/>
      <c r="K1703" s="21"/>
      <c r="L1703" s="22"/>
      <c r="M1703" s="23"/>
      <c r="N1703" s="24"/>
      <c r="O1703" s="25"/>
      <c r="P1703" s="26"/>
      <c r="Q1703" s="27"/>
      <c r="R1703" s="28"/>
      <c r="S1703" s="29"/>
      <c r="T1703" s="30"/>
    </row>
    <row r="1704" spans="1:20" ht="24" customHeight="1" x14ac:dyDescent="0.25">
      <c r="A1704" t="str">
        <f>IF('e1'!A1704&gt;0,HYPERLINK("#"&amp;ADDRESS(1704,'e1'!A1704),""),IF('r1'!A1704&gt;0,HYPERLINK("#"&amp;ADDRESS(1704,'r1'!A1704),""),""))</f>
        <v/>
      </c>
      <c r="C1704" s="13"/>
      <c r="D1704" s="14"/>
      <c r="E1704" s="15"/>
      <c r="F1704" s="16"/>
      <c r="G1704" s="17"/>
      <c r="H1704" s="18"/>
      <c r="I1704" s="19"/>
      <c r="J1704" s="20"/>
      <c r="K1704" s="21"/>
      <c r="L1704" s="22"/>
      <c r="M1704" s="23"/>
      <c r="N1704" s="24"/>
      <c r="O1704" s="25"/>
      <c r="P1704" s="26"/>
      <c r="Q1704" s="27"/>
      <c r="R1704" s="28"/>
      <c r="S1704" s="29"/>
      <c r="T1704" s="30"/>
    </row>
    <row r="1705" spans="1:20" ht="24" customHeight="1" x14ac:dyDescent="0.25">
      <c r="A1705" t="str">
        <f>IF('e1'!A1705&gt;0,HYPERLINK("#"&amp;ADDRESS(1705,'e1'!A1705),""),IF('r1'!A1705&gt;0,HYPERLINK("#"&amp;ADDRESS(1705,'r1'!A1705),""),""))</f>
        <v/>
      </c>
      <c r="C1705" s="13"/>
      <c r="D1705" s="14"/>
      <c r="E1705" s="15"/>
      <c r="F1705" s="16"/>
      <c r="G1705" s="17"/>
      <c r="H1705" s="18"/>
      <c r="I1705" s="19"/>
      <c r="J1705" s="20"/>
      <c r="K1705" s="21"/>
      <c r="L1705" s="22"/>
      <c r="M1705" s="23"/>
      <c r="N1705" s="24"/>
      <c r="O1705" s="25"/>
      <c r="P1705" s="26"/>
      <c r="Q1705" s="27"/>
      <c r="R1705" s="28"/>
      <c r="S1705" s="29"/>
      <c r="T1705" s="30"/>
    </row>
    <row r="1706" spans="1:20" ht="24" customHeight="1" x14ac:dyDescent="0.25">
      <c r="A1706" t="str">
        <f>IF('e1'!A1706&gt;0,HYPERLINK("#"&amp;ADDRESS(1706,'e1'!A1706),""),IF('r1'!A1706&gt;0,HYPERLINK("#"&amp;ADDRESS(1706,'r1'!A1706),""),""))</f>
        <v/>
      </c>
      <c r="C1706" s="13"/>
      <c r="D1706" s="14"/>
      <c r="E1706" s="15"/>
      <c r="F1706" s="16"/>
      <c r="G1706" s="17"/>
      <c r="H1706" s="18"/>
      <c r="I1706" s="19"/>
      <c r="J1706" s="20"/>
      <c r="K1706" s="21"/>
      <c r="L1706" s="22"/>
      <c r="M1706" s="23"/>
      <c r="N1706" s="24"/>
      <c r="O1706" s="25"/>
      <c r="P1706" s="26"/>
      <c r="Q1706" s="27"/>
      <c r="R1706" s="28"/>
      <c r="S1706" s="29"/>
      <c r="T1706" s="30"/>
    </row>
    <row r="1707" spans="1:20" ht="24" customHeight="1" x14ac:dyDescent="0.25">
      <c r="A1707" t="str">
        <f>IF('e1'!A1707&gt;0,HYPERLINK("#"&amp;ADDRESS(1707,'e1'!A1707),""),IF('r1'!A1707&gt;0,HYPERLINK("#"&amp;ADDRESS(1707,'r1'!A1707),""),""))</f>
        <v/>
      </c>
      <c r="C1707" s="13"/>
      <c r="D1707" s="14"/>
      <c r="E1707" s="15"/>
      <c r="F1707" s="16"/>
      <c r="G1707" s="17"/>
      <c r="H1707" s="18"/>
      <c r="I1707" s="19"/>
      <c r="J1707" s="20"/>
      <c r="K1707" s="21"/>
      <c r="L1707" s="22"/>
      <c r="M1707" s="23"/>
      <c r="N1707" s="24"/>
      <c r="O1707" s="25"/>
      <c r="P1707" s="26"/>
      <c r="Q1707" s="27"/>
      <c r="R1707" s="28"/>
      <c r="S1707" s="29"/>
      <c r="T1707" s="30"/>
    </row>
    <row r="1708" spans="1:20" ht="24" customHeight="1" x14ac:dyDescent="0.25">
      <c r="A1708" t="str">
        <f>IF('e1'!A1708&gt;0,HYPERLINK("#"&amp;ADDRESS(1708,'e1'!A1708),""),IF('r1'!A1708&gt;0,HYPERLINK("#"&amp;ADDRESS(1708,'r1'!A1708),""),""))</f>
        <v/>
      </c>
      <c r="C1708" s="13"/>
      <c r="D1708" s="14"/>
      <c r="E1708" s="15"/>
      <c r="F1708" s="16"/>
      <c r="G1708" s="17"/>
      <c r="H1708" s="18"/>
      <c r="I1708" s="19"/>
      <c r="J1708" s="20"/>
      <c r="K1708" s="21"/>
      <c r="L1708" s="22"/>
      <c r="M1708" s="23"/>
      <c r="N1708" s="24"/>
      <c r="O1708" s="25"/>
      <c r="P1708" s="26"/>
      <c r="Q1708" s="27"/>
      <c r="R1708" s="28"/>
      <c r="S1708" s="29"/>
      <c r="T1708" s="30"/>
    </row>
    <row r="1709" spans="1:20" ht="24" customHeight="1" x14ac:dyDescent="0.25">
      <c r="A1709" t="str">
        <f>IF('e1'!A1709&gt;0,HYPERLINK("#"&amp;ADDRESS(1709,'e1'!A1709),""),IF('r1'!A1709&gt;0,HYPERLINK("#"&amp;ADDRESS(1709,'r1'!A1709),""),""))</f>
        <v/>
      </c>
      <c r="C1709" s="13"/>
      <c r="D1709" s="14"/>
      <c r="E1709" s="15"/>
      <c r="F1709" s="16"/>
      <c r="G1709" s="17"/>
      <c r="H1709" s="18"/>
      <c r="I1709" s="19"/>
      <c r="J1709" s="20"/>
      <c r="K1709" s="21"/>
      <c r="L1709" s="22"/>
      <c r="M1709" s="23"/>
      <c r="N1709" s="24"/>
      <c r="O1709" s="25"/>
      <c r="P1709" s="26"/>
      <c r="Q1709" s="27"/>
      <c r="R1709" s="28"/>
      <c r="S1709" s="29"/>
      <c r="T1709" s="30"/>
    </row>
    <row r="1710" spans="1:20" ht="24" customHeight="1" x14ac:dyDescent="0.25">
      <c r="A1710" t="str">
        <f>IF('e1'!A1710&gt;0,HYPERLINK("#"&amp;ADDRESS(1710,'e1'!A1710),""),IF('r1'!A1710&gt;0,HYPERLINK("#"&amp;ADDRESS(1710,'r1'!A1710),""),""))</f>
        <v/>
      </c>
      <c r="C1710" s="13"/>
      <c r="D1710" s="14"/>
      <c r="E1710" s="15"/>
      <c r="F1710" s="16"/>
      <c r="G1710" s="17"/>
      <c r="H1710" s="18"/>
      <c r="I1710" s="19"/>
      <c r="J1710" s="20"/>
      <c r="K1710" s="21"/>
      <c r="L1710" s="22"/>
      <c r="M1710" s="23"/>
      <c r="N1710" s="24"/>
      <c r="O1710" s="25"/>
      <c r="P1710" s="26"/>
      <c r="Q1710" s="27"/>
      <c r="R1710" s="28"/>
      <c r="S1710" s="29"/>
      <c r="T1710" s="30"/>
    </row>
    <row r="1711" spans="1:20" ht="24" customHeight="1" x14ac:dyDescent="0.25">
      <c r="A1711" t="str">
        <f>IF('e1'!A1711&gt;0,HYPERLINK("#"&amp;ADDRESS(1711,'e1'!A1711),""),IF('r1'!A1711&gt;0,HYPERLINK("#"&amp;ADDRESS(1711,'r1'!A1711),""),""))</f>
        <v/>
      </c>
      <c r="C1711" s="13"/>
      <c r="D1711" s="14"/>
      <c r="E1711" s="15"/>
      <c r="F1711" s="16"/>
      <c r="G1711" s="17"/>
      <c r="H1711" s="18"/>
      <c r="I1711" s="19"/>
      <c r="J1711" s="20"/>
      <c r="K1711" s="21"/>
      <c r="L1711" s="22"/>
      <c r="M1711" s="23"/>
      <c r="N1711" s="24"/>
      <c r="O1711" s="25"/>
      <c r="P1711" s="26"/>
      <c r="Q1711" s="27"/>
      <c r="R1711" s="28"/>
      <c r="S1711" s="29"/>
      <c r="T1711" s="30"/>
    </row>
    <row r="1712" spans="1:20" ht="24" customHeight="1" x14ac:dyDescent="0.25">
      <c r="A1712" t="str">
        <f>IF('e1'!A1712&gt;0,HYPERLINK("#"&amp;ADDRESS(1712,'e1'!A1712),""),IF('r1'!A1712&gt;0,HYPERLINK("#"&amp;ADDRESS(1712,'r1'!A1712),""),""))</f>
        <v/>
      </c>
      <c r="C1712" s="13"/>
      <c r="D1712" s="14"/>
      <c r="E1712" s="15"/>
      <c r="F1712" s="16"/>
      <c r="G1712" s="17"/>
      <c r="H1712" s="18"/>
      <c r="I1712" s="19"/>
      <c r="J1712" s="20"/>
      <c r="K1712" s="21"/>
      <c r="L1712" s="22"/>
      <c r="M1712" s="23"/>
      <c r="N1712" s="24"/>
      <c r="O1712" s="25"/>
      <c r="P1712" s="26"/>
      <c r="Q1712" s="27"/>
      <c r="R1712" s="28"/>
      <c r="S1712" s="29"/>
      <c r="T1712" s="30"/>
    </row>
    <row r="1713" spans="1:20" ht="24" customHeight="1" x14ac:dyDescent="0.25">
      <c r="A1713" t="str">
        <f>IF('e1'!A1713&gt;0,HYPERLINK("#"&amp;ADDRESS(1713,'e1'!A1713),""),IF('r1'!A1713&gt;0,HYPERLINK("#"&amp;ADDRESS(1713,'r1'!A1713),""),""))</f>
        <v/>
      </c>
      <c r="C1713" s="13"/>
      <c r="D1713" s="14"/>
      <c r="E1713" s="15"/>
      <c r="F1713" s="16"/>
      <c r="G1713" s="17"/>
      <c r="H1713" s="18"/>
      <c r="I1713" s="19"/>
      <c r="J1713" s="20"/>
      <c r="K1713" s="21"/>
      <c r="L1713" s="22"/>
      <c r="M1713" s="23"/>
      <c r="N1713" s="24"/>
      <c r="O1713" s="25"/>
      <c r="P1713" s="26"/>
      <c r="Q1713" s="27"/>
      <c r="R1713" s="28"/>
      <c r="S1713" s="29"/>
      <c r="T1713" s="30"/>
    </row>
    <row r="1714" spans="1:20" ht="24" customHeight="1" x14ac:dyDescent="0.25">
      <c r="A1714" t="str">
        <f>IF('e1'!A1714&gt;0,HYPERLINK("#"&amp;ADDRESS(1714,'e1'!A1714),""),IF('r1'!A1714&gt;0,HYPERLINK("#"&amp;ADDRESS(1714,'r1'!A1714),""),""))</f>
        <v/>
      </c>
      <c r="C1714" s="13"/>
      <c r="D1714" s="14"/>
      <c r="E1714" s="15"/>
      <c r="F1714" s="16"/>
      <c r="G1714" s="17"/>
      <c r="H1714" s="18"/>
      <c r="I1714" s="19"/>
      <c r="J1714" s="20"/>
      <c r="K1714" s="21"/>
      <c r="L1714" s="22"/>
      <c r="M1714" s="23"/>
      <c r="N1714" s="24"/>
      <c r="O1714" s="25"/>
      <c r="P1714" s="26"/>
      <c r="Q1714" s="27"/>
      <c r="R1714" s="28"/>
      <c r="S1714" s="29"/>
      <c r="T1714" s="30"/>
    </row>
    <row r="1715" spans="1:20" ht="24" customHeight="1" x14ac:dyDescent="0.25">
      <c r="A1715" t="str">
        <f>IF('e1'!A1715&gt;0,HYPERLINK("#"&amp;ADDRESS(1715,'e1'!A1715),""),IF('r1'!A1715&gt;0,HYPERLINK("#"&amp;ADDRESS(1715,'r1'!A1715),""),""))</f>
        <v/>
      </c>
      <c r="C1715" s="13"/>
      <c r="D1715" s="14"/>
      <c r="E1715" s="15"/>
      <c r="F1715" s="16"/>
      <c r="G1715" s="17"/>
      <c r="H1715" s="18"/>
      <c r="I1715" s="19"/>
      <c r="J1715" s="20"/>
      <c r="K1715" s="21"/>
      <c r="L1715" s="22"/>
      <c r="M1715" s="23"/>
      <c r="N1715" s="24"/>
      <c r="O1715" s="25"/>
      <c r="P1715" s="26"/>
      <c r="Q1715" s="27"/>
      <c r="R1715" s="28"/>
      <c r="S1715" s="29"/>
      <c r="T1715" s="30"/>
    </row>
    <row r="1716" spans="1:20" ht="24" customHeight="1" x14ac:dyDescent="0.25">
      <c r="A1716" t="str">
        <f>IF('e1'!A1716&gt;0,HYPERLINK("#"&amp;ADDRESS(1716,'e1'!A1716),""),IF('r1'!A1716&gt;0,HYPERLINK("#"&amp;ADDRESS(1716,'r1'!A1716),""),""))</f>
        <v/>
      </c>
      <c r="C1716" s="13"/>
      <c r="D1716" s="14"/>
      <c r="E1716" s="15"/>
      <c r="F1716" s="16"/>
      <c r="G1716" s="17"/>
      <c r="H1716" s="18"/>
      <c r="I1716" s="19"/>
      <c r="J1716" s="20"/>
      <c r="K1716" s="21"/>
      <c r="L1716" s="22"/>
      <c r="M1716" s="23"/>
      <c r="N1716" s="24"/>
      <c r="O1716" s="25"/>
      <c r="P1716" s="26"/>
      <c r="Q1716" s="27"/>
      <c r="R1716" s="28"/>
      <c r="S1716" s="29"/>
      <c r="T1716" s="30"/>
    </row>
    <row r="1717" spans="1:20" ht="24" customHeight="1" x14ac:dyDescent="0.25">
      <c r="A1717" t="str">
        <f>IF('e1'!A1717&gt;0,HYPERLINK("#"&amp;ADDRESS(1717,'e1'!A1717),""),IF('r1'!A1717&gt;0,HYPERLINK("#"&amp;ADDRESS(1717,'r1'!A1717),""),""))</f>
        <v/>
      </c>
      <c r="C1717" s="13"/>
      <c r="D1717" s="14"/>
      <c r="E1717" s="15"/>
      <c r="F1717" s="16"/>
      <c r="G1717" s="17"/>
      <c r="H1717" s="18"/>
      <c r="I1717" s="19"/>
      <c r="J1717" s="20"/>
      <c r="K1717" s="21"/>
      <c r="L1717" s="22"/>
      <c r="M1717" s="23"/>
      <c r="N1717" s="24"/>
      <c r="O1717" s="25"/>
      <c r="P1717" s="26"/>
      <c r="Q1717" s="27"/>
      <c r="R1717" s="28"/>
      <c r="S1717" s="29"/>
      <c r="T1717" s="30"/>
    </row>
    <row r="1718" spans="1:20" ht="24" customHeight="1" x14ac:dyDescent="0.25">
      <c r="A1718" t="str">
        <f>IF('e1'!A1718&gt;0,HYPERLINK("#"&amp;ADDRESS(1718,'e1'!A1718),""),IF('r1'!A1718&gt;0,HYPERLINK("#"&amp;ADDRESS(1718,'r1'!A1718),""),""))</f>
        <v/>
      </c>
      <c r="C1718" s="13"/>
      <c r="D1718" s="14"/>
      <c r="E1718" s="15"/>
      <c r="F1718" s="16"/>
      <c r="G1718" s="17"/>
      <c r="H1718" s="18"/>
      <c r="I1718" s="19"/>
      <c r="J1718" s="20"/>
      <c r="K1718" s="21"/>
      <c r="L1718" s="22"/>
      <c r="M1718" s="23"/>
      <c r="N1718" s="24"/>
      <c r="O1718" s="25"/>
      <c r="P1718" s="26"/>
      <c r="Q1718" s="27"/>
      <c r="R1718" s="28"/>
      <c r="S1718" s="29"/>
      <c r="T1718" s="30"/>
    </row>
    <row r="1719" spans="1:20" ht="24" customHeight="1" x14ac:dyDescent="0.25">
      <c r="A1719" t="str">
        <f>IF('e1'!A1719&gt;0,HYPERLINK("#"&amp;ADDRESS(1719,'e1'!A1719),""),IF('r1'!A1719&gt;0,HYPERLINK("#"&amp;ADDRESS(1719,'r1'!A1719),""),""))</f>
        <v/>
      </c>
      <c r="C1719" s="13"/>
      <c r="D1719" s="14"/>
      <c r="E1719" s="15"/>
      <c r="F1719" s="16"/>
      <c r="G1719" s="17"/>
      <c r="H1719" s="18"/>
      <c r="I1719" s="19"/>
      <c r="J1719" s="20"/>
      <c r="K1719" s="21"/>
      <c r="L1719" s="22"/>
      <c r="M1719" s="23"/>
      <c r="N1719" s="24"/>
      <c r="O1719" s="25"/>
      <c r="P1719" s="26"/>
      <c r="Q1719" s="27"/>
      <c r="R1719" s="28"/>
      <c r="S1719" s="29"/>
      <c r="T1719" s="30"/>
    </row>
    <row r="1720" spans="1:20" ht="24" customHeight="1" x14ac:dyDescent="0.25">
      <c r="A1720" t="str">
        <f>IF('e1'!A1720&gt;0,HYPERLINK("#"&amp;ADDRESS(1720,'e1'!A1720),""),IF('r1'!A1720&gt;0,HYPERLINK("#"&amp;ADDRESS(1720,'r1'!A1720),""),""))</f>
        <v/>
      </c>
      <c r="C1720" s="13"/>
      <c r="D1720" s="14"/>
      <c r="E1720" s="15"/>
      <c r="F1720" s="16"/>
      <c r="G1720" s="17"/>
      <c r="H1720" s="18"/>
      <c r="I1720" s="19"/>
      <c r="J1720" s="20"/>
      <c r="K1720" s="21"/>
      <c r="L1720" s="22"/>
      <c r="M1720" s="23"/>
      <c r="N1720" s="24"/>
      <c r="O1720" s="25"/>
      <c r="P1720" s="26"/>
      <c r="Q1720" s="27"/>
      <c r="R1720" s="28"/>
      <c r="S1720" s="29"/>
      <c r="T1720" s="30"/>
    </row>
    <row r="1721" spans="1:20" ht="24" customHeight="1" x14ac:dyDescent="0.25">
      <c r="A1721" t="str">
        <f>IF('e1'!A1721&gt;0,HYPERLINK("#"&amp;ADDRESS(1721,'e1'!A1721),""),IF('r1'!A1721&gt;0,HYPERLINK("#"&amp;ADDRESS(1721,'r1'!A1721),""),""))</f>
        <v/>
      </c>
      <c r="C1721" s="13"/>
      <c r="D1721" s="14"/>
      <c r="E1721" s="15"/>
      <c r="F1721" s="16"/>
      <c r="G1721" s="17"/>
      <c r="H1721" s="18"/>
      <c r="I1721" s="19"/>
      <c r="J1721" s="20"/>
      <c r="K1721" s="21"/>
      <c r="L1721" s="22"/>
      <c r="M1721" s="23"/>
      <c r="N1721" s="24"/>
      <c r="O1721" s="25"/>
      <c r="P1721" s="26"/>
      <c r="Q1721" s="27"/>
      <c r="R1721" s="28"/>
      <c r="S1721" s="29"/>
      <c r="T1721" s="30"/>
    </row>
    <row r="1722" spans="1:20" ht="24" customHeight="1" x14ac:dyDescent="0.25">
      <c r="A1722" t="str">
        <f>IF('e1'!A1722&gt;0,HYPERLINK("#"&amp;ADDRESS(1722,'e1'!A1722),""),IF('r1'!A1722&gt;0,HYPERLINK("#"&amp;ADDRESS(1722,'r1'!A1722),""),""))</f>
        <v/>
      </c>
      <c r="C1722" s="13"/>
      <c r="D1722" s="14"/>
      <c r="E1722" s="15"/>
      <c r="F1722" s="16"/>
      <c r="G1722" s="17"/>
      <c r="H1722" s="18"/>
      <c r="I1722" s="19"/>
      <c r="J1722" s="20"/>
      <c r="K1722" s="21"/>
      <c r="L1722" s="22"/>
      <c r="M1722" s="23"/>
      <c r="N1722" s="24"/>
      <c r="O1722" s="25"/>
      <c r="P1722" s="26"/>
      <c r="Q1722" s="27"/>
      <c r="R1722" s="28"/>
      <c r="S1722" s="29"/>
      <c r="T1722" s="30"/>
    </row>
    <row r="1723" spans="1:20" ht="24" customHeight="1" x14ac:dyDescent="0.25">
      <c r="A1723" t="str">
        <f>IF('e1'!A1723&gt;0,HYPERLINK("#"&amp;ADDRESS(1723,'e1'!A1723),""),IF('r1'!A1723&gt;0,HYPERLINK("#"&amp;ADDRESS(1723,'r1'!A1723),""),""))</f>
        <v/>
      </c>
      <c r="C1723" s="13"/>
      <c r="D1723" s="14"/>
      <c r="E1723" s="15"/>
      <c r="F1723" s="16"/>
      <c r="G1723" s="17"/>
      <c r="H1723" s="18"/>
      <c r="I1723" s="19"/>
      <c r="J1723" s="20"/>
      <c r="K1723" s="21"/>
      <c r="L1723" s="22"/>
      <c r="M1723" s="23"/>
      <c r="N1723" s="24"/>
      <c r="O1723" s="25"/>
      <c r="P1723" s="26"/>
      <c r="Q1723" s="27"/>
      <c r="R1723" s="28"/>
      <c r="S1723" s="29"/>
      <c r="T1723" s="30"/>
    </row>
    <row r="1724" spans="1:20" ht="24" customHeight="1" x14ac:dyDescent="0.25">
      <c r="A1724" t="str">
        <f>IF('e1'!A1724&gt;0,HYPERLINK("#"&amp;ADDRESS(1724,'e1'!A1724),""),IF('r1'!A1724&gt;0,HYPERLINK("#"&amp;ADDRESS(1724,'r1'!A1724),""),""))</f>
        <v/>
      </c>
      <c r="C1724" s="13"/>
      <c r="D1724" s="14"/>
      <c r="E1724" s="15"/>
      <c r="F1724" s="16"/>
      <c r="G1724" s="17"/>
      <c r="H1724" s="18"/>
      <c r="I1724" s="19"/>
      <c r="J1724" s="20"/>
      <c r="K1724" s="21"/>
      <c r="L1724" s="22"/>
      <c r="M1724" s="23"/>
      <c r="N1724" s="24"/>
      <c r="O1724" s="25"/>
      <c r="P1724" s="26"/>
      <c r="Q1724" s="27"/>
      <c r="R1724" s="28"/>
      <c r="S1724" s="29"/>
      <c r="T1724" s="30"/>
    </row>
    <row r="1725" spans="1:20" ht="24" customHeight="1" x14ac:dyDescent="0.25">
      <c r="A1725" t="str">
        <f>IF('e1'!A1725&gt;0,HYPERLINK("#"&amp;ADDRESS(1725,'e1'!A1725),""),IF('r1'!A1725&gt;0,HYPERLINK("#"&amp;ADDRESS(1725,'r1'!A1725),""),""))</f>
        <v/>
      </c>
      <c r="C1725" s="13"/>
      <c r="D1725" s="14"/>
      <c r="E1725" s="15"/>
      <c r="F1725" s="16"/>
      <c r="G1725" s="17"/>
      <c r="H1725" s="18"/>
      <c r="I1725" s="19"/>
      <c r="J1725" s="20"/>
      <c r="K1725" s="21"/>
      <c r="L1725" s="22"/>
      <c r="M1725" s="23"/>
      <c r="N1725" s="24"/>
      <c r="O1725" s="25"/>
      <c r="P1725" s="26"/>
      <c r="Q1725" s="27"/>
      <c r="R1725" s="28"/>
      <c r="S1725" s="29"/>
      <c r="T1725" s="30"/>
    </row>
    <row r="1726" spans="1:20" ht="24" customHeight="1" x14ac:dyDescent="0.25">
      <c r="A1726" t="str">
        <f>IF('e1'!A1726&gt;0,HYPERLINK("#"&amp;ADDRESS(1726,'e1'!A1726),""),IF('r1'!A1726&gt;0,HYPERLINK("#"&amp;ADDRESS(1726,'r1'!A1726),""),""))</f>
        <v/>
      </c>
      <c r="C1726" s="13"/>
      <c r="D1726" s="14"/>
      <c r="E1726" s="15"/>
      <c r="F1726" s="16"/>
      <c r="G1726" s="17"/>
      <c r="H1726" s="18"/>
      <c r="I1726" s="19"/>
      <c r="J1726" s="20"/>
      <c r="K1726" s="21"/>
      <c r="L1726" s="22"/>
      <c r="M1726" s="23"/>
      <c r="N1726" s="24"/>
      <c r="O1726" s="25"/>
      <c r="P1726" s="26"/>
      <c r="Q1726" s="27"/>
      <c r="R1726" s="28"/>
      <c r="S1726" s="29"/>
      <c r="T1726" s="30"/>
    </row>
    <row r="1727" spans="1:20" ht="24" customHeight="1" x14ac:dyDescent="0.25">
      <c r="A1727" t="str">
        <f>IF('e1'!A1727&gt;0,HYPERLINK("#"&amp;ADDRESS(1727,'e1'!A1727),""),IF('r1'!A1727&gt;0,HYPERLINK("#"&amp;ADDRESS(1727,'r1'!A1727),""),""))</f>
        <v/>
      </c>
      <c r="C1727" s="13"/>
      <c r="D1727" s="14"/>
      <c r="E1727" s="15"/>
      <c r="F1727" s="16"/>
      <c r="G1727" s="17"/>
      <c r="H1727" s="18"/>
      <c r="I1727" s="19"/>
      <c r="J1727" s="20"/>
      <c r="K1727" s="21"/>
      <c r="L1727" s="22"/>
      <c r="M1727" s="23"/>
      <c r="N1727" s="24"/>
      <c r="O1727" s="25"/>
      <c r="P1727" s="26"/>
      <c r="Q1727" s="27"/>
      <c r="R1727" s="28"/>
      <c r="S1727" s="29"/>
      <c r="T1727" s="30"/>
    </row>
    <row r="1728" spans="1:20" ht="24" customHeight="1" x14ac:dyDescent="0.25">
      <c r="A1728" t="str">
        <f>IF('e1'!A1728&gt;0,HYPERLINK("#"&amp;ADDRESS(1728,'e1'!A1728),""),IF('r1'!A1728&gt;0,HYPERLINK("#"&amp;ADDRESS(1728,'r1'!A1728),""),""))</f>
        <v/>
      </c>
      <c r="C1728" s="13"/>
      <c r="D1728" s="14"/>
      <c r="E1728" s="15"/>
      <c r="F1728" s="16"/>
      <c r="G1728" s="17"/>
      <c r="H1728" s="18"/>
      <c r="I1728" s="19"/>
      <c r="J1728" s="20"/>
      <c r="K1728" s="21"/>
      <c r="L1728" s="22"/>
      <c r="M1728" s="23"/>
      <c r="N1728" s="24"/>
      <c r="O1728" s="25"/>
      <c r="P1728" s="26"/>
      <c r="Q1728" s="27"/>
      <c r="R1728" s="28"/>
      <c r="S1728" s="29"/>
      <c r="T1728" s="30"/>
    </row>
    <row r="1729" spans="1:20" ht="24" customHeight="1" x14ac:dyDescent="0.25">
      <c r="A1729" t="str">
        <f>IF('e1'!A1729&gt;0,HYPERLINK("#"&amp;ADDRESS(1729,'e1'!A1729),""),IF('r1'!A1729&gt;0,HYPERLINK("#"&amp;ADDRESS(1729,'r1'!A1729),""),""))</f>
        <v/>
      </c>
      <c r="C1729" s="13"/>
      <c r="D1729" s="14"/>
      <c r="E1729" s="15"/>
      <c r="F1729" s="16"/>
      <c r="G1729" s="17"/>
      <c r="H1729" s="18"/>
      <c r="I1729" s="19"/>
      <c r="J1729" s="20"/>
      <c r="K1729" s="21"/>
      <c r="L1729" s="22"/>
      <c r="M1729" s="23"/>
      <c r="N1729" s="24"/>
      <c r="O1729" s="25"/>
      <c r="P1729" s="26"/>
      <c r="Q1729" s="27"/>
      <c r="R1729" s="28"/>
      <c r="S1729" s="29"/>
      <c r="T1729" s="30"/>
    </row>
    <row r="1730" spans="1:20" ht="24" customHeight="1" x14ac:dyDescent="0.25">
      <c r="A1730" t="str">
        <f>IF('e1'!A1730&gt;0,HYPERLINK("#"&amp;ADDRESS(1730,'e1'!A1730),""),IF('r1'!A1730&gt;0,HYPERLINK("#"&amp;ADDRESS(1730,'r1'!A1730),""),""))</f>
        <v/>
      </c>
      <c r="C1730" s="13"/>
      <c r="D1730" s="14"/>
      <c r="E1730" s="15"/>
      <c r="F1730" s="16"/>
      <c r="G1730" s="17"/>
      <c r="H1730" s="18"/>
      <c r="I1730" s="19"/>
      <c r="J1730" s="20"/>
      <c r="K1730" s="21"/>
      <c r="L1730" s="22"/>
      <c r="M1730" s="23"/>
      <c r="N1730" s="24"/>
      <c r="O1730" s="25"/>
      <c r="P1730" s="26"/>
      <c r="Q1730" s="27"/>
      <c r="R1730" s="28"/>
      <c r="S1730" s="29"/>
      <c r="T1730" s="30"/>
    </row>
    <row r="1731" spans="1:20" ht="24" customHeight="1" x14ac:dyDescent="0.25">
      <c r="A1731" t="str">
        <f>IF('e1'!A1731&gt;0,HYPERLINK("#"&amp;ADDRESS(1731,'e1'!A1731),""),IF('r1'!A1731&gt;0,HYPERLINK("#"&amp;ADDRESS(1731,'r1'!A1731),""),""))</f>
        <v/>
      </c>
      <c r="C1731" s="13"/>
      <c r="D1731" s="14"/>
      <c r="E1731" s="15"/>
      <c r="F1731" s="16"/>
      <c r="G1731" s="17"/>
      <c r="H1731" s="18"/>
      <c r="I1731" s="19"/>
      <c r="J1731" s="20"/>
      <c r="K1731" s="21"/>
      <c r="L1731" s="22"/>
      <c r="M1731" s="23"/>
      <c r="N1731" s="24"/>
      <c r="O1731" s="25"/>
      <c r="P1731" s="26"/>
      <c r="Q1731" s="27"/>
      <c r="R1731" s="28"/>
      <c r="S1731" s="29"/>
      <c r="T1731" s="30"/>
    </row>
    <row r="1732" spans="1:20" ht="24" customHeight="1" x14ac:dyDescent="0.25">
      <c r="A1732" t="str">
        <f>IF('e1'!A1732&gt;0,HYPERLINK("#"&amp;ADDRESS(1732,'e1'!A1732),""),IF('r1'!A1732&gt;0,HYPERLINK("#"&amp;ADDRESS(1732,'r1'!A1732),""),""))</f>
        <v/>
      </c>
      <c r="C1732" s="13"/>
      <c r="D1732" s="14"/>
      <c r="E1732" s="15"/>
      <c r="F1732" s="16"/>
      <c r="G1732" s="17"/>
      <c r="H1732" s="18"/>
      <c r="I1732" s="19"/>
      <c r="J1732" s="20"/>
      <c r="K1732" s="21"/>
      <c r="L1732" s="22"/>
      <c r="M1732" s="23"/>
      <c r="N1732" s="24"/>
      <c r="O1732" s="25"/>
      <c r="P1732" s="26"/>
      <c r="Q1732" s="27"/>
      <c r="R1732" s="28"/>
      <c r="S1732" s="29"/>
      <c r="T1732" s="30"/>
    </row>
    <row r="1733" spans="1:20" ht="24" customHeight="1" x14ac:dyDescent="0.25">
      <c r="A1733" t="str">
        <f>IF('e1'!A1733&gt;0,HYPERLINK("#"&amp;ADDRESS(1733,'e1'!A1733),""),IF('r1'!A1733&gt;0,HYPERLINK("#"&amp;ADDRESS(1733,'r1'!A1733),""),""))</f>
        <v/>
      </c>
      <c r="C1733" s="13"/>
      <c r="D1733" s="14"/>
      <c r="E1733" s="15"/>
      <c r="F1733" s="16"/>
      <c r="G1733" s="17"/>
      <c r="H1733" s="18"/>
      <c r="I1733" s="19"/>
      <c r="J1733" s="20"/>
      <c r="K1733" s="21"/>
      <c r="L1733" s="22"/>
      <c r="M1733" s="23"/>
      <c r="N1733" s="24"/>
      <c r="O1733" s="25"/>
      <c r="P1733" s="26"/>
      <c r="Q1733" s="27"/>
      <c r="R1733" s="28"/>
      <c r="S1733" s="29"/>
      <c r="T1733" s="30"/>
    </row>
    <row r="1734" spans="1:20" ht="24" customHeight="1" x14ac:dyDescent="0.25">
      <c r="A1734" t="str">
        <f>IF('e1'!A1734&gt;0,HYPERLINK("#"&amp;ADDRESS(1734,'e1'!A1734),""),IF('r1'!A1734&gt;0,HYPERLINK("#"&amp;ADDRESS(1734,'r1'!A1734),""),""))</f>
        <v/>
      </c>
      <c r="C1734" s="13"/>
      <c r="D1734" s="14"/>
      <c r="E1734" s="15"/>
      <c r="F1734" s="16"/>
      <c r="G1734" s="17"/>
      <c r="H1734" s="18"/>
      <c r="I1734" s="19"/>
      <c r="J1734" s="20"/>
      <c r="K1734" s="21"/>
      <c r="L1734" s="22"/>
      <c r="M1734" s="23"/>
      <c r="N1734" s="24"/>
      <c r="O1734" s="25"/>
      <c r="P1734" s="26"/>
      <c r="Q1734" s="27"/>
      <c r="R1734" s="28"/>
      <c r="S1734" s="29"/>
      <c r="T1734" s="30"/>
    </row>
    <row r="1735" spans="1:20" ht="24" customHeight="1" x14ac:dyDescent="0.25">
      <c r="A1735" t="str">
        <f>IF('e1'!A1735&gt;0,HYPERLINK("#"&amp;ADDRESS(1735,'e1'!A1735),""),IF('r1'!A1735&gt;0,HYPERLINK("#"&amp;ADDRESS(1735,'r1'!A1735),""),""))</f>
        <v/>
      </c>
      <c r="C1735" s="13"/>
      <c r="D1735" s="14"/>
      <c r="E1735" s="15"/>
      <c r="F1735" s="16"/>
      <c r="G1735" s="17"/>
      <c r="H1735" s="18"/>
      <c r="I1735" s="19"/>
      <c r="J1735" s="20"/>
      <c r="K1735" s="21"/>
      <c r="L1735" s="22"/>
      <c r="M1735" s="23"/>
      <c r="N1735" s="24"/>
      <c r="O1735" s="25"/>
      <c r="P1735" s="26"/>
      <c r="Q1735" s="27"/>
      <c r="R1735" s="28"/>
      <c r="S1735" s="29"/>
      <c r="T1735" s="30"/>
    </row>
    <row r="1736" spans="1:20" ht="24" customHeight="1" x14ac:dyDescent="0.25">
      <c r="A1736" t="str">
        <f>IF('e1'!A1736&gt;0,HYPERLINK("#"&amp;ADDRESS(1736,'e1'!A1736),""),IF('r1'!A1736&gt;0,HYPERLINK("#"&amp;ADDRESS(1736,'r1'!A1736),""),""))</f>
        <v/>
      </c>
      <c r="C1736" s="13"/>
      <c r="D1736" s="14"/>
      <c r="E1736" s="15"/>
      <c r="F1736" s="16"/>
      <c r="G1736" s="17"/>
      <c r="H1736" s="18"/>
      <c r="I1736" s="19"/>
      <c r="J1736" s="20"/>
      <c r="K1736" s="21"/>
      <c r="L1736" s="22"/>
      <c r="M1736" s="23"/>
      <c r="N1736" s="24"/>
      <c r="O1736" s="25"/>
      <c r="P1736" s="26"/>
      <c r="Q1736" s="27"/>
      <c r="R1736" s="28"/>
      <c r="S1736" s="29"/>
      <c r="T1736" s="30"/>
    </row>
    <row r="1737" spans="1:20" ht="24" customHeight="1" x14ac:dyDescent="0.25">
      <c r="A1737" t="str">
        <f>IF('e1'!A1737&gt;0,HYPERLINK("#"&amp;ADDRESS(1737,'e1'!A1737),""),IF('r1'!A1737&gt;0,HYPERLINK("#"&amp;ADDRESS(1737,'r1'!A1737),""),""))</f>
        <v/>
      </c>
      <c r="C1737" s="13"/>
      <c r="D1737" s="14"/>
      <c r="E1737" s="15"/>
      <c r="F1737" s="16"/>
      <c r="G1737" s="17"/>
      <c r="H1737" s="18"/>
      <c r="I1737" s="19"/>
      <c r="J1737" s="20"/>
      <c r="K1737" s="21"/>
      <c r="L1737" s="22"/>
      <c r="M1737" s="23"/>
      <c r="N1737" s="24"/>
      <c r="O1737" s="25"/>
      <c r="P1737" s="26"/>
      <c r="Q1737" s="27"/>
      <c r="R1737" s="28"/>
      <c r="S1737" s="29"/>
      <c r="T1737" s="30"/>
    </row>
    <row r="1738" spans="1:20" ht="24" customHeight="1" x14ac:dyDescent="0.25">
      <c r="A1738" t="str">
        <f>IF('e1'!A1738&gt;0,HYPERLINK("#"&amp;ADDRESS(1738,'e1'!A1738),""),IF('r1'!A1738&gt;0,HYPERLINK("#"&amp;ADDRESS(1738,'r1'!A1738),""),""))</f>
        <v/>
      </c>
      <c r="C1738" s="13"/>
      <c r="D1738" s="14"/>
      <c r="E1738" s="15"/>
      <c r="F1738" s="16"/>
      <c r="G1738" s="17"/>
      <c r="H1738" s="18"/>
      <c r="I1738" s="19"/>
      <c r="J1738" s="20"/>
      <c r="K1738" s="21"/>
      <c r="L1738" s="22"/>
      <c r="M1738" s="23"/>
      <c r="N1738" s="24"/>
      <c r="O1738" s="25"/>
      <c r="P1738" s="26"/>
      <c r="Q1738" s="27"/>
      <c r="R1738" s="28"/>
      <c r="S1738" s="29"/>
      <c r="T1738" s="30"/>
    </row>
    <row r="1739" spans="1:20" ht="24" customHeight="1" x14ac:dyDescent="0.25">
      <c r="A1739" t="str">
        <f>IF('e1'!A1739&gt;0,HYPERLINK("#"&amp;ADDRESS(1739,'e1'!A1739),""),IF('r1'!A1739&gt;0,HYPERLINK("#"&amp;ADDRESS(1739,'r1'!A1739),""),""))</f>
        <v/>
      </c>
      <c r="C1739" s="13"/>
      <c r="D1739" s="14"/>
      <c r="E1739" s="15"/>
      <c r="F1739" s="16"/>
      <c r="G1739" s="17"/>
      <c r="H1739" s="18"/>
      <c r="I1739" s="19"/>
      <c r="J1739" s="20"/>
      <c r="K1739" s="21"/>
      <c r="L1739" s="22"/>
      <c r="M1739" s="23"/>
      <c r="N1739" s="24"/>
      <c r="O1739" s="25"/>
      <c r="P1739" s="26"/>
      <c r="Q1739" s="27"/>
      <c r="R1739" s="28"/>
      <c r="S1739" s="29"/>
      <c r="T1739" s="30"/>
    </row>
    <row r="1740" spans="1:20" ht="24" customHeight="1" x14ac:dyDescent="0.25">
      <c r="A1740" t="str">
        <f>IF('e1'!A1740&gt;0,HYPERLINK("#"&amp;ADDRESS(1740,'e1'!A1740),""),IF('r1'!A1740&gt;0,HYPERLINK("#"&amp;ADDRESS(1740,'r1'!A1740),""),""))</f>
        <v/>
      </c>
      <c r="C1740" s="13"/>
      <c r="D1740" s="14"/>
      <c r="E1740" s="15"/>
      <c r="F1740" s="16"/>
      <c r="G1740" s="17"/>
      <c r="H1740" s="18"/>
      <c r="I1740" s="19"/>
      <c r="J1740" s="20"/>
      <c r="K1740" s="21"/>
      <c r="L1740" s="22"/>
      <c r="M1740" s="23"/>
      <c r="N1740" s="24"/>
      <c r="O1740" s="25"/>
      <c r="P1740" s="26"/>
      <c r="Q1740" s="27"/>
      <c r="R1740" s="28"/>
      <c r="S1740" s="29"/>
      <c r="T1740" s="30"/>
    </row>
    <row r="1741" spans="1:20" ht="24" customHeight="1" x14ac:dyDescent="0.25">
      <c r="A1741" t="str">
        <f>IF('e1'!A1741&gt;0,HYPERLINK("#"&amp;ADDRESS(1741,'e1'!A1741),""),IF('r1'!A1741&gt;0,HYPERLINK("#"&amp;ADDRESS(1741,'r1'!A1741),""),""))</f>
        <v/>
      </c>
      <c r="C1741" s="13"/>
      <c r="D1741" s="14"/>
      <c r="E1741" s="15"/>
      <c r="F1741" s="16"/>
      <c r="G1741" s="17"/>
      <c r="H1741" s="18"/>
      <c r="I1741" s="19"/>
      <c r="J1741" s="20"/>
      <c r="K1741" s="21"/>
      <c r="L1741" s="22"/>
      <c r="M1741" s="23"/>
      <c r="N1741" s="24"/>
      <c r="O1741" s="25"/>
      <c r="P1741" s="26"/>
      <c r="Q1741" s="27"/>
      <c r="R1741" s="28"/>
      <c r="S1741" s="29"/>
      <c r="T1741" s="30"/>
    </row>
    <row r="1742" spans="1:20" ht="24" customHeight="1" x14ac:dyDescent="0.25">
      <c r="A1742" t="str">
        <f>IF('e1'!A1742&gt;0,HYPERLINK("#"&amp;ADDRESS(1742,'e1'!A1742),""),IF('r1'!A1742&gt;0,HYPERLINK("#"&amp;ADDRESS(1742,'r1'!A1742),""),""))</f>
        <v/>
      </c>
      <c r="C1742" s="13"/>
      <c r="D1742" s="14"/>
      <c r="E1742" s="15"/>
      <c r="F1742" s="16"/>
      <c r="G1742" s="17"/>
      <c r="H1742" s="18"/>
      <c r="I1742" s="19"/>
      <c r="J1742" s="20"/>
      <c r="K1742" s="21"/>
      <c r="L1742" s="22"/>
      <c r="M1742" s="23"/>
      <c r="N1742" s="24"/>
      <c r="O1742" s="25"/>
      <c r="P1742" s="26"/>
      <c r="Q1742" s="27"/>
      <c r="R1742" s="28"/>
      <c r="S1742" s="29"/>
      <c r="T1742" s="30"/>
    </row>
    <row r="1743" spans="1:20" ht="24" customHeight="1" x14ac:dyDescent="0.25">
      <c r="A1743" t="str">
        <f>IF('e1'!A1743&gt;0,HYPERLINK("#"&amp;ADDRESS(1743,'e1'!A1743),""),IF('r1'!A1743&gt;0,HYPERLINK("#"&amp;ADDRESS(1743,'r1'!A1743),""),""))</f>
        <v/>
      </c>
      <c r="C1743" s="13"/>
      <c r="D1743" s="14"/>
      <c r="E1743" s="15"/>
      <c r="F1743" s="16"/>
      <c r="G1743" s="17"/>
      <c r="H1743" s="18"/>
      <c r="I1743" s="19"/>
      <c r="J1743" s="20"/>
      <c r="K1743" s="21"/>
      <c r="L1743" s="22"/>
      <c r="M1743" s="23"/>
      <c r="N1743" s="24"/>
      <c r="O1743" s="25"/>
      <c r="P1743" s="26"/>
      <c r="Q1743" s="27"/>
      <c r="R1743" s="28"/>
      <c r="S1743" s="29"/>
      <c r="T1743" s="30"/>
    </row>
    <row r="1744" spans="1:20" ht="24" customHeight="1" x14ac:dyDescent="0.25">
      <c r="A1744" t="str">
        <f>IF('e1'!A1744&gt;0,HYPERLINK("#"&amp;ADDRESS(1744,'e1'!A1744),""),IF('r1'!A1744&gt;0,HYPERLINK("#"&amp;ADDRESS(1744,'r1'!A1744),""),""))</f>
        <v/>
      </c>
      <c r="C1744" s="13"/>
      <c r="D1744" s="14"/>
      <c r="E1744" s="15"/>
      <c r="F1744" s="16"/>
      <c r="G1744" s="17"/>
      <c r="H1744" s="18"/>
      <c r="I1744" s="19"/>
      <c r="J1744" s="20"/>
      <c r="K1744" s="21"/>
      <c r="L1744" s="22"/>
      <c r="M1744" s="23"/>
      <c r="N1744" s="24"/>
      <c r="O1744" s="25"/>
      <c r="P1744" s="26"/>
      <c r="Q1744" s="27"/>
      <c r="R1744" s="28"/>
      <c r="S1744" s="29"/>
      <c r="T1744" s="30"/>
    </row>
    <row r="1745" spans="1:20" ht="24" customHeight="1" x14ac:dyDescent="0.25">
      <c r="A1745" t="str">
        <f>IF('e1'!A1745&gt;0,HYPERLINK("#"&amp;ADDRESS(1745,'e1'!A1745),""),IF('r1'!A1745&gt;0,HYPERLINK("#"&amp;ADDRESS(1745,'r1'!A1745),""),""))</f>
        <v/>
      </c>
      <c r="C1745" s="13"/>
      <c r="D1745" s="14"/>
      <c r="E1745" s="15"/>
      <c r="F1745" s="16"/>
      <c r="G1745" s="17"/>
      <c r="H1745" s="18"/>
      <c r="I1745" s="19"/>
      <c r="J1745" s="20"/>
      <c r="K1745" s="21"/>
      <c r="L1745" s="22"/>
      <c r="M1745" s="23"/>
      <c r="N1745" s="24"/>
      <c r="O1745" s="25"/>
      <c r="P1745" s="26"/>
      <c r="Q1745" s="27"/>
      <c r="R1745" s="28"/>
      <c r="S1745" s="29"/>
      <c r="T1745" s="30"/>
    </row>
    <row r="1746" spans="1:20" ht="24" customHeight="1" x14ac:dyDescent="0.25">
      <c r="A1746" t="str">
        <f>IF('e1'!A1746&gt;0,HYPERLINK("#"&amp;ADDRESS(1746,'e1'!A1746),""),IF('r1'!A1746&gt;0,HYPERLINK("#"&amp;ADDRESS(1746,'r1'!A1746),""),""))</f>
        <v/>
      </c>
      <c r="C1746" s="13"/>
      <c r="D1746" s="14"/>
      <c r="E1746" s="15"/>
      <c r="F1746" s="16"/>
      <c r="G1746" s="17"/>
      <c r="H1746" s="18"/>
      <c r="I1746" s="19"/>
      <c r="J1746" s="20"/>
      <c r="K1746" s="21"/>
      <c r="L1746" s="22"/>
      <c r="M1746" s="23"/>
      <c r="N1746" s="24"/>
      <c r="O1746" s="25"/>
      <c r="P1746" s="26"/>
      <c r="Q1746" s="27"/>
      <c r="R1746" s="28"/>
      <c r="S1746" s="29"/>
      <c r="T1746" s="30"/>
    </row>
    <row r="1747" spans="1:20" ht="24" customHeight="1" x14ac:dyDescent="0.25">
      <c r="A1747" t="str">
        <f>IF('e1'!A1747&gt;0,HYPERLINK("#"&amp;ADDRESS(1747,'e1'!A1747),""),IF('r1'!A1747&gt;0,HYPERLINK("#"&amp;ADDRESS(1747,'r1'!A1747),""),""))</f>
        <v/>
      </c>
      <c r="C1747" s="13"/>
      <c r="D1747" s="14"/>
      <c r="E1747" s="15"/>
      <c r="F1747" s="16"/>
      <c r="G1747" s="17"/>
      <c r="H1747" s="18"/>
      <c r="I1747" s="19"/>
      <c r="J1747" s="20"/>
      <c r="K1747" s="21"/>
      <c r="L1747" s="22"/>
      <c r="M1747" s="23"/>
      <c r="N1747" s="24"/>
      <c r="O1747" s="25"/>
      <c r="P1747" s="26"/>
      <c r="Q1747" s="27"/>
      <c r="R1747" s="28"/>
      <c r="S1747" s="29"/>
      <c r="T1747" s="30"/>
    </row>
    <row r="1748" spans="1:20" ht="24" customHeight="1" x14ac:dyDescent="0.25">
      <c r="A1748" t="str">
        <f>IF('e1'!A1748&gt;0,HYPERLINK("#"&amp;ADDRESS(1748,'e1'!A1748),""),IF('r1'!A1748&gt;0,HYPERLINK("#"&amp;ADDRESS(1748,'r1'!A1748),""),""))</f>
        <v/>
      </c>
      <c r="C1748" s="13"/>
      <c r="D1748" s="14"/>
      <c r="E1748" s="15"/>
      <c r="F1748" s="16"/>
      <c r="G1748" s="17"/>
      <c r="H1748" s="18"/>
      <c r="I1748" s="19"/>
      <c r="J1748" s="20"/>
      <c r="K1748" s="21"/>
      <c r="L1748" s="22"/>
      <c r="M1748" s="23"/>
      <c r="N1748" s="24"/>
      <c r="O1748" s="25"/>
      <c r="P1748" s="26"/>
      <c r="Q1748" s="27"/>
      <c r="R1748" s="28"/>
      <c r="S1748" s="29"/>
      <c r="T1748" s="30"/>
    </row>
    <row r="1749" spans="1:20" ht="24" customHeight="1" x14ac:dyDescent="0.25">
      <c r="A1749" t="str">
        <f>IF('e1'!A1749&gt;0,HYPERLINK("#"&amp;ADDRESS(1749,'e1'!A1749),""),IF('r1'!A1749&gt;0,HYPERLINK("#"&amp;ADDRESS(1749,'r1'!A1749),""),""))</f>
        <v/>
      </c>
      <c r="C1749" s="13"/>
      <c r="D1749" s="14"/>
      <c r="E1749" s="15"/>
      <c r="F1749" s="16"/>
      <c r="G1749" s="17"/>
      <c r="H1749" s="18"/>
      <c r="I1749" s="19"/>
      <c r="J1749" s="20"/>
      <c r="K1749" s="21"/>
      <c r="L1749" s="22"/>
      <c r="M1749" s="23"/>
      <c r="N1749" s="24"/>
      <c r="O1749" s="25"/>
      <c r="P1749" s="26"/>
      <c r="Q1749" s="27"/>
      <c r="R1749" s="28"/>
      <c r="S1749" s="29"/>
      <c r="T1749" s="30"/>
    </row>
    <row r="1750" spans="1:20" ht="24" customHeight="1" x14ac:dyDescent="0.25">
      <c r="A1750" t="str">
        <f>IF('e1'!A1750&gt;0,HYPERLINK("#"&amp;ADDRESS(1750,'e1'!A1750),""),IF('r1'!A1750&gt;0,HYPERLINK("#"&amp;ADDRESS(1750,'r1'!A1750),""),""))</f>
        <v/>
      </c>
      <c r="C1750" s="13"/>
      <c r="D1750" s="14"/>
      <c r="E1750" s="15"/>
      <c r="F1750" s="16"/>
      <c r="G1750" s="17"/>
      <c r="H1750" s="18"/>
      <c r="I1750" s="19"/>
      <c r="J1750" s="20"/>
      <c r="K1750" s="21"/>
      <c r="L1750" s="22"/>
      <c r="M1750" s="23"/>
      <c r="N1750" s="24"/>
      <c r="O1750" s="25"/>
      <c r="P1750" s="26"/>
      <c r="Q1750" s="27"/>
      <c r="R1750" s="28"/>
      <c r="S1750" s="29"/>
      <c r="T1750" s="30"/>
    </row>
    <row r="1751" spans="1:20" ht="24" customHeight="1" x14ac:dyDescent="0.25">
      <c r="A1751" t="str">
        <f>IF('e1'!A1751&gt;0,HYPERLINK("#"&amp;ADDRESS(1751,'e1'!A1751),""),IF('r1'!A1751&gt;0,HYPERLINK("#"&amp;ADDRESS(1751,'r1'!A1751),""),""))</f>
        <v/>
      </c>
      <c r="C1751" s="13"/>
      <c r="D1751" s="14"/>
      <c r="E1751" s="15"/>
      <c r="F1751" s="16"/>
      <c r="G1751" s="17"/>
      <c r="H1751" s="18"/>
      <c r="I1751" s="19"/>
      <c r="J1751" s="20"/>
      <c r="K1751" s="21"/>
      <c r="L1751" s="22"/>
      <c r="M1751" s="23"/>
      <c r="N1751" s="24"/>
      <c r="O1751" s="25"/>
      <c r="P1751" s="26"/>
      <c r="Q1751" s="27"/>
      <c r="R1751" s="28"/>
      <c r="S1751" s="29"/>
      <c r="T1751" s="30"/>
    </row>
    <row r="1752" spans="1:20" ht="24" customHeight="1" x14ac:dyDescent="0.25">
      <c r="A1752" t="str">
        <f>IF('e1'!A1752&gt;0,HYPERLINK("#"&amp;ADDRESS(1752,'e1'!A1752),""),IF('r1'!A1752&gt;0,HYPERLINK("#"&amp;ADDRESS(1752,'r1'!A1752),""),""))</f>
        <v/>
      </c>
      <c r="C1752" s="13"/>
      <c r="D1752" s="14"/>
      <c r="E1752" s="15"/>
      <c r="F1752" s="16"/>
      <c r="G1752" s="17"/>
      <c r="H1752" s="18"/>
      <c r="I1752" s="19"/>
      <c r="J1752" s="20"/>
      <c r="K1752" s="21"/>
      <c r="L1752" s="22"/>
      <c r="M1752" s="23"/>
      <c r="N1752" s="24"/>
      <c r="O1752" s="25"/>
      <c r="P1752" s="26"/>
      <c r="Q1752" s="27"/>
      <c r="R1752" s="28"/>
      <c r="S1752" s="29"/>
      <c r="T1752" s="30"/>
    </row>
    <row r="1753" spans="1:20" ht="24" customHeight="1" x14ac:dyDescent="0.25">
      <c r="A1753" t="str">
        <f>IF('e1'!A1753&gt;0,HYPERLINK("#"&amp;ADDRESS(1753,'e1'!A1753),""),IF('r1'!A1753&gt;0,HYPERLINK("#"&amp;ADDRESS(1753,'r1'!A1753),""),""))</f>
        <v/>
      </c>
      <c r="C1753" s="13"/>
      <c r="D1753" s="14"/>
      <c r="E1753" s="15"/>
      <c r="F1753" s="16"/>
      <c r="G1753" s="17"/>
      <c r="H1753" s="18"/>
      <c r="I1753" s="19"/>
      <c r="J1753" s="20"/>
      <c r="K1753" s="21"/>
      <c r="L1753" s="22"/>
      <c r="M1753" s="23"/>
      <c r="N1753" s="24"/>
      <c r="O1753" s="25"/>
      <c r="P1753" s="26"/>
      <c r="Q1753" s="27"/>
      <c r="R1753" s="28"/>
      <c r="S1753" s="29"/>
      <c r="T1753" s="30"/>
    </row>
    <row r="1754" spans="1:20" ht="24" customHeight="1" x14ac:dyDescent="0.25">
      <c r="A1754" t="str">
        <f>IF('e1'!A1754&gt;0,HYPERLINK("#"&amp;ADDRESS(1754,'e1'!A1754),""),IF('r1'!A1754&gt;0,HYPERLINK("#"&amp;ADDRESS(1754,'r1'!A1754),""),""))</f>
        <v/>
      </c>
      <c r="C1754" s="13"/>
      <c r="D1754" s="14"/>
      <c r="E1754" s="15"/>
      <c r="F1754" s="16"/>
      <c r="G1754" s="17"/>
      <c r="H1754" s="18"/>
      <c r="I1754" s="19"/>
      <c r="J1754" s="20"/>
      <c r="K1754" s="21"/>
      <c r="L1754" s="22"/>
      <c r="M1754" s="23"/>
      <c r="N1754" s="24"/>
      <c r="O1754" s="25"/>
      <c r="P1754" s="26"/>
      <c r="Q1754" s="27"/>
      <c r="R1754" s="28"/>
      <c r="S1754" s="29"/>
      <c r="T1754" s="30"/>
    </row>
    <row r="1755" spans="1:20" ht="24" customHeight="1" x14ac:dyDescent="0.25">
      <c r="A1755" t="str">
        <f>IF('e1'!A1755&gt;0,HYPERLINK("#"&amp;ADDRESS(1755,'e1'!A1755),""),IF('r1'!A1755&gt;0,HYPERLINK("#"&amp;ADDRESS(1755,'r1'!A1755),""),""))</f>
        <v/>
      </c>
      <c r="C1755" s="13"/>
      <c r="D1755" s="14"/>
      <c r="E1755" s="15"/>
      <c r="F1755" s="16"/>
      <c r="G1755" s="17"/>
      <c r="H1755" s="18"/>
      <c r="I1755" s="19"/>
      <c r="J1755" s="20"/>
      <c r="K1755" s="21"/>
      <c r="L1755" s="22"/>
      <c r="M1755" s="23"/>
      <c r="N1755" s="24"/>
      <c r="O1755" s="25"/>
      <c r="P1755" s="26"/>
      <c r="Q1755" s="27"/>
      <c r="R1755" s="28"/>
      <c r="S1755" s="29"/>
      <c r="T1755" s="30"/>
    </row>
    <row r="1756" spans="1:20" ht="24" customHeight="1" x14ac:dyDescent="0.25">
      <c r="A1756" t="str">
        <f>IF('e1'!A1756&gt;0,HYPERLINK("#"&amp;ADDRESS(1756,'e1'!A1756),""),IF('r1'!A1756&gt;0,HYPERLINK("#"&amp;ADDRESS(1756,'r1'!A1756),""),""))</f>
        <v/>
      </c>
      <c r="C1756" s="13"/>
      <c r="D1756" s="14"/>
      <c r="E1756" s="15"/>
      <c r="F1756" s="16"/>
      <c r="G1756" s="17"/>
      <c r="H1756" s="18"/>
      <c r="I1756" s="19"/>
      <c r="J1756" s="20"/>
      <c r="K1756" s="21"/>
      <c r="L1756" s="22"/>
      <c r="M1756" s="23"/>
      <c r="N1756" s="24"/>
      <c r="O1756" s="25"/>
      <c r="P1756" s="26"/>
      <c r="Q1756" s="27"/>
      <c r="R1756" s="28"/>
      <c r="S1756" s="29"/>
      <c r="T1756" s="30"/>
    </row>
    <row r="1757" spans="1:20" ht="24" customHeight="1" x14ac:dyDescent="0.25">
      <c r="A1757" t="str">
        <f>IF('e1'!A1757&gt;0,HYPERLINK("#"&amp;ADDRESS(1757,'e1'!A1757),""),IF('r1'!A1757&gt;0,HYPERLINK("#"&amp;ADDRESS(1757,'r1'!A1757),""),""))</f>
        <v/>
      </c>
      <c r="C1757" s="13"/>
      <c r="D1757" s="14"/>
      <c r="E1757" s="15"/>
      <c r="F1757" s="16"/>
      <c r="G1757" s="17"/>
      <c r="H1757" s="18"/>
      <c r="I1757" s="19"/>
      <c r="J1757" s="20"/>
      <c r="K1757" s="21"/>
      <c r="L1757" s="22"/>
      <c r="M1757" s="23"/>
      <c r="N1757" s="24"/>
      <c r="O1757" s="25"/>
      <c r="P1757" s="26"/>
      <c r="Q1757" s="27"/>
      <c r="R1757" s="28"/>
      <c r="S1757" s="29"/>
      <c r="T1757" s="30"/>
    </row>
    <row r="1758" spans="1:20" ht="24" customHeight="1" x14ac:dyDescent="0.25">
      <c r="A1758" t="str">
        <f>IF('e1'!A1758&gt;0,HYPERLINK("#"&amp;ADDRESS(1758,'e1'!A1758),""),IF('r1'!A1758&gt;0,HYPERLINK("#"&amp;ADDRESS(1758,'r1'!A1758),""),""))</f>
        <v/>
      </c>
      <c r="C1758" s="13"/>
      <c r="D1758" s="14"/>
      <c r="E1758" s="15"/>
      <c r="F1758" s="16"/>
      <c r="G1758" s="17"/>
      <c r="H1758" s="18"/>
      <c r="I1758" s="19"/>
      <c r="J1758" s="20"/>
      <c r="K1758" s="21"/>
      <c r="L1758" s="22"/>
      <c r="M1758" s="23"/>
      <c r="N1758" s="24"/>
      <c r="O1758" s="25"/>
      <c r="P1758" s="26"/>
      <c r="Q1758" s="27"/>
      <c r="R1758" s="28"/>
      <c r="S1758" s="29"/>
      <c r="T1758" s="30"/>
    </row>
    <row r="1759" spans="1:20" ht="24" customHeight="1" x14ac:dyDescent="0.25">
      <c r="A1759" t="str">
        <f>IF('e1'!A1759&gt;0,HYPERLINK("#"&amp;ADDRESS(1759,'e1'!A1759),""),IF('r1'!A1759&gt;0,HYPERLINK("#"&amp;ADDRESS(1759,'r1'!A1759),""),""))</f>
        <v/>
      </c>
      <c r="C1759" s="13"/>
      <c r="D1759" s="14"/>
      <c r="E1759" s="15"/>
      <c r="F1759" s="16"/>
      <c r="G1759" s="17"/>
      <c r="H1759" s="18"/>
      <c r="I1759" s="19"/>
      <c r="J1759" s="20"/>
      <c r="K1759" s="21"/>
      <c r="L1759" s="22"/>
      <c r="M1759" s="23"/>
      <c r="N1759" s="24"/>
      <c r="O1759" s="25"/>
      <c r="P1759" s="26"/>
      <c r="Q1759" s="27"/>
      <c r="R1759" s="28"/>
      <c r="S1759" s="29"/>
      <c r="T1759" s="30"/>
    </row>
    <row r="1760" spans="1:20" ht="24" customHeight="1" x14ac:dyDescent="0.25">
      <c r="A1760" t="str">
        <f>IF('e1'!A1760&gt;0,HYPERLINK("#"&amp;ADDRESS(1760,'e1'!A1760),""),IF('r1'!A1760&gt;0,HYPERLINK("#"&amp;ADDRESS(1760,'r1'!A1760),""),""))</f>
        <v/>
      </c>
      <c r="C1760" s="13"/>
      <c r="D1760" s="14"/>
      <c r="E1760" s="15"/>
      <c r="F1760" s="16"/>
      <c r="G1760" s="17"/>
      <c r="H1760" s="18"/>
      <c r="I1760" s="19"/>
      <c r="J1760" s="20"/>
      <c r="K1760" s="21"/>
      <c r="L1760" s="22"/>
      <c r="M1760" s="23"/>
      <c r="N1760" s="24"/>
      <c r="O1760" s="25"/>
      <c r="P1760" s="26"/>
      <c r="Q1760" s="27"/>
      <c r="R1760" s="28"/>
      <c r="S1760" s="29"/>
      <c r="T1760" s="30"/>
    </row>
    <row r="1761" spans="1:20" ht="24" customHeight="1" x14ac:dyDescent="0.25">
      <c r="A1761" t="str">
        <f>IF('e1'!A1761&gt;0,HYPERLINK("#"&amp;ADDRESS(1761,'e1'!A1761),""),IF('r1'!A1761&gt;0,HYPERLINK("#"&amp;ADDRESS(1761,'r1'!A1761),""),""))</f>
        <v/>
      </c>
      <c r="C1761" s="13"/>
      <c r="D1761" s="14"/>
      <c r="E1761" s="15"/>
      <c r="F1761" s="16"/>
      <c r="G1761" s="17"/>
      <c r="H1761" s="18"/>
      <c r="I1761" s="19"/>
      <c r="J1761" s="20"/>
      <c r="K1761" s="21"/>
      <c r="L1761" s="22"/>
      <c r="M1761" s="23"/>
      <c r="N1761" s="24"/>
      <c r="O1761" s="25"/>
      <c r="P1761" s="26"/>
      <c r="Q1761" s="27"/>
      <c r="R1761" s="28"/>
      <c r="S1761" s="29"/>
      <c r="T1761" s="30"/>
    </row>
    <row r="1762" spans="1:20" ht="24" customHeight="1" x14ac:dyDescent="0.25">
      <c r="A1762" t="str">
        <f>IF('e1'!A1762&gt;0,HYPERLINK("#"&amp;ADDRESS(1762,'e1'!A1762),""),IF('r1'!A1762&gt;0,HYPERLINK("#"&amp;ADDRESS(1762,'r1'!A1762),""),""))</f>
        <v/>
      </c>
      <c r="C1762" s="13"/>
      <c r="D1762" s="14"/>
      <c r="E1762" s="15"/>
      <c r="F1762" s="16"/>
      <c r="G1762" s="17"/>
      <c r="H1762" s="18"/>
      <c r="I1762" s="19"/>
      <c r="J1762" s="20"/>
      <c r="K1762" s="21"/>
      <c r="L1762" s="22"/>
      <c r="M1762" s="23"/>
      <c r="N1762" s="24"/>
      <c r="O1762" s="25"/>
      <c r="P1762" s="26"/>
      <c r="Q1762" s="27"/>
      <c r="R1762" s="28"/>
      <c r="S1762" s="29"/>
      <c r="T1762" s="30"/>
    </row>
    <row r="1763" spans="1:20" ht="24" customHeight="1" x14ac:dyDescent="0.25">
      <c r="A1763" t="str">
        <f>IF('e1'!A1763&gt;0,HYPERLINK("#"&amp;ADDRESS(1763,'e1'!A1763),""),IF('r1'!A1763&gt;0,HYPERLINK("#"&amp;ADDRESS(1763,'r1'!A1763),""),""))</f>
        <v/>
      </c>
      <c r="C1763" s="13"/>
      <c r="D1763" s="14"/>
      <c r="E1763" s="15"/>
      <c r="F1763" s="16"/>
      <c r="G1763" s="17"/>
      <c r="H1763" s="18"/>
      <c r="I1763" s="19"/>
      <c r="J1763" s="20"/>
      <c r="K1763" s="21"/>
      <c r="L1763" s="22"/>
      <c r="M1763" s="23"/>
      <c r="N1763" s="24"/>
      <c r="O1763" s="25"/>
      <c r="P1763" s="26"/>
      <c r="Q1763" s="27"/>
      <c r="R1763" s="28"/>
      <c r="S1763" s="29"/>
      <c r="T1763" s="30"/>
    </row>
    <row r="1764" spans="1:20" ht="24" customHeight="1" x14ac:dyDescent="0.25">
      <c r="A1764" t="str">
        <f>IF('e1'!A1764&gt;0,HYPERLINK("#"&amp;ADDRESS(1764,'e1'!A1764),""),IF('r1'!A1764&gt;0,HYPERLINK("#"&amp;ADDRESS(1764,'r1'!A1764),""),""))</f>
        <v/>
      </c>
      <c r="C1764" s="13"/>
      <c r="D1764" s="14"/>
      <c r="E1764" s="15"/>
      <c r="F1764" s="16"/>
      <c r="G1764" s="17"/>
      <c r="H1764" s="18"/>
      <c r="I1764" s="19"/>
      <c r="J1764" s="20"/>
      <c r="K1764" s="21"/>
      <c r="L1764" s="22"/>
      <c r="M1764" s="23"/>
      <c r="N1764" s="24"/>
      <c r="O1764" s="25"/>
      <c r="P1764" s="26"/>
      <c r="Q1764" s="27"/>
      <c r="R1764" s="28"/>
      <c r="S1764" s="29"/>
      <c r="T1764" s="30"/>
    </row>
    <row r="1765" spans="1:20" ht="24" customHeight="1" x14ac:dyDescent="0.25">
      <c r="A1765" t="str">
        <f>IF('e1'!A1765&gt;0,HYPERLINK("#"&amp;ADDRESS(1765,'e1'!A1765),""),IF('r1'!A1765&gt;0,HYPERLINK("#"&amp;ADDRESS(1765,'r1'!A1765),""),""))</f>
        <v/>
      </c>
      <c r="C1765" s="13"/>
      <c r="D1765" s="14"/>
      <c r="E1765" s="15"/>
      <c r="F1765" s="16"/>
      <c r="G1765" s="17"/>
      <c r="H1765" s="18"/>
      <c r="I1765" s="19"/>
      <c r="J1765" s="20"/>
      <c r="K1765" s="21"/>
      <c r="L1765" s="22"/>
      <c r="M1765" s="23"/>
      <c r="N1765" s="24"/>
      <c r="O1765" s="25"/>
      <c r="P1765" s="26"/>
      <c r="Q1765" s="27"/>
      <c r="R1765" s="28"/>
      <c r="S1765" s="29"/>
      <c r="T1765" s="30"/>
    </row>
    <row r="1766" spans="1:20" ht="24" customHeight="1" x14ac:dyDescent="0.25">
      <c r="A1766" t="str">
        <f>IF('e1'!A1766&gt;0,HYPERLINK("#"&amp;ADDRESS(1766,'e1'!A1766),""),IF('r1'!A1766&gt;0,HYPERLINK("#"&amp;ADDRESS(1766,'r1'!A1766),""),""))</f>
        <v/>
      </c>
      <c r="C1766" s="13"/>
      <c r="D1766" s="14"/>
      <c r="E1766" s="15"/>
      <c r="F1766" s="16"/>
      <c r="G1766" s="17"/>
      <c r="H1766" s="18"/>
      <c r="I1766" s="19"/>
      <c r="J1766" s="20"/>
      <c r="K1766" s="21"/>
      <c r="L1766" s="22"/>
      <c r="M1766" s="23"/>
      <c r="N1766" s="24"/>
      <c r="O1766" s="25"/>
      <c r="P1766" s="26"/>
      <c r="Q1766" s="27"/>
      <c r="R1766" s="28"/>
      <c r="S1766" s="29"/>
      <c r="T1766" s="30"/>
    </row>
    <row r="1767" spans="1:20" ht="24" customHeight="1" x14ac:dyDescent="0.25">
      <c r="A1767" t="str">
        <f>IF('e1'!A1767&gt;0,HYPERLINK("#"&amp;ADDRESS(1767,'e1'!A1767),""),IF('r1'!A1767&gt;0,HYPERLINK("#"&amp;ADDRESS(1767,'r1'!A1767),""),""))</f>
        <v/>
      </c>
      <c r="C1767" s="13"/>
      <c r="D1767" s="14"/>
      <c r="E1767" s="15"/>
      <c r="F1767" s="16"/>
      <c r="G1767" s="17"/>
      <c r="H1767" s="18"/>
      <c r="I1767" s="19"/>
      <c r="J1767" s="20"/>
      <c r="K1767" s="21"/>
      <c r="L1767" s="22"/>
      <c r="M1767" s="23"/>
      <c r="N1767" s="24"/>
      <c r="O1767" s="25"/>
      <c r="P1767" s="26"/>
      <c r="Q1767" s="27"/>
      <c r="R1767" s="28"/>
      <c r="S1767" s="29"/>
      <c r="T1767" s="30"/>
    </row>
    <row r="1768" spans="1:20" ht="24" customHeight="1" x14ac:dyDescent="0.25">
      <c r="A1768" t="str">
        <f>IF('e1'!A1768&gt;0,HYPERLINK("#"&amp;ADDRESS(1768,'e1'!A1768),""),IF('r1'!A1768&gt;0,HYPERLINK("#"&amp;ADDRESS(1768,'r1'!A1768),""),""))</f>
        <v/>
      </c>
      <c r="C1768" s="13"/>
      <c r="D1768" s="14"/>
      <c r="E1768" s="15"/>
      <c r="F1768" s="16"/>
      <c r="G1768" s="17"/>
      <c r="H1768" s="18"/>
      <c r="I1768" s="19"/>
      <c r="J1768" s="20"/>
      <c r="K1768" s="21"/>
      <c r="L1768" s="22"/>
      <c r="M1768" s="23"/>
      <c r="N1768" s="24"/>
      <c r="O1768" s="25"/>
      <c r="P1768" s="26"/>
      <c r="Q1768" s="27"/>
      <c r="R1768" s="28"/>
      <c r="S1768" s="29"/>
      <c r="T1768" s="30"/>
    </row>
    <row r="1769" spans="1:20" ht="24" customHeight="1" x14ac:dyDescent="0.25">
      <c r="A1769" t="str">
        <f>IF('e1'!A1769&gt;0,HYPERLINK("#"&amp;ADDRESS(1769,'e1'!A1769),""),IF('r1'!A1769&gt;0,HYPERLINK("#"&amp;ADDRESS(1769,'r1'!A1769),""),""))</f>
        <v/>
      </c>
      <c r="C1769" s="13"/>
      <c r="D1769" s="14"/>
      <c r="E1769" s="15"/>
      <c r="F1769" s="16"/>
      <c r="G1769" s="17"/>
      <c r="H1769" s="18"/>
      <c r="I1769" s="19"/>
      <c r="J1769" s="20"/>
      <c r="K1769" s="21"/>
      <c r="L1769" s="22"/>
      <c r="M1769" s="23"/>
      <c r="N1769" s="24"/>
      <c r="O1769" s="25"/>
      <c r="P1769" s="26"/>
      <c r="Q1769" s="27"/>
      <c r="R1769" s="28"/>
      <c r="S1769" s="29"/>
      <c r="T1769" s="30"/>
    </row>
    <row r="1770" spans="1:20" ht="24" customHeight="1" x14ac:dyDescent="0.25">
      <c r="A1770" t="str">
        <f>IF('e1'!A1770&gt;0,HYPERLINK("#"&amp;ADDRESS(1770,'e1'!A1770),""),IF('r1'!A1770&gt;0,HYPERLINK("#"&amp;ADDRESS(1770,'r1'!A1770),""),""))</f>
        <v/>
      </c>
      <c r="C1770" s="13"/>
      <c r="D1770" s="14"/>
      <c r="E1770" s="15"/>
      <c r="F1770" s="16"/>
      <c r="G1770" s="17"/>
      <c r="H1770" s="18"/>
      <c r="I1770" s="19"/>
      <c r="J1770" s="20"/>
      <c r="K1770" s="21"/>
      <c r="L1770" s="22"/>
      <c r="M1770" s="23"/>
      <c r="N1770" s="24"/>
      <c r="O1770" s="25"/>
      <c r="P1770" s="26"/>
      <c r="Q1770" s="27"/>
      <c r="R1770" s="28"/>
      <c r="S1770" s="29"/>
      <c r="T1770" s="30"/>
    </row>
    <row r="1771" spans="1:20" ht="24" customHeight="1" x14ac:dyDescent="0.25">
      <c r="A1771" t="str">
        <f>IF('e1'!A1771&gt;0,HYPERLINK("#"&amp;ADDRESS(1771,'e1'!A1771),""),IF('r1'!A1771&gt;0,HYPERLINK("#"&amp;ADDRESS(1771,'r1'!A1771),""),""))</f>
        <v/>
      </c>
      <c r="C1771" s="13"/>
      <c r="D1771" s="14"/>
      <c r="E1771" s="15"/>
      <c r="F1771" s="16"/>
      <c r="G1771" s="17"/>
      <c r="H1771" s="18"/>
      <c r="I1771" s="19"/>
      <c r="J1771" s="20"/>
      <c r="K1771" s="21"/>
      <c r="L1771" s="22"/>
      <c r="M1771" s="23"/>
      <c r="N1771" s="24"/>
      <c r="O1771" s="25"/>
      <c r="P1771" s="26"/>
      <c r="Q1771" s="27"/>
      <c r="R1771" s="28"/>
      <c r="S1771" s="29"/>
      <c r="T1771" s="30"/>
    </row>
    <row r="1772" spans="1:20" ht="24" customHeight="1" x14ac:dyDescent="0.25">
      <c r="A1772" t="str">
        <f>IF('e1'!A1772&gt;0,HYPERLINK("#"&amp;ADDRESS(1772,'e1'!A1772),""),IF('r1'!A1772&gt;0,HYPERLINK("#"&amp;ADDRESS(1772,'r1'!A1772),""),""))</f>
        <v/>
      </c>
      <c r="C1772" s="13"/>
      <c r="D1772" s="14"/>
      <c r="E1772" s="15"/>
      <c r="F1772" s="16"/>
      <c r="G1772" s="17"/>
      <c r="H1772" s="18"/>
      <c r="I1772" s="19"/>
      <c r="J1772" s="20"/>
      <c r="K1772" s="21"/>
      <c r="L1772" s="22"/>
      <c r="M1772" s="23"/>
      <c r="N1772" s="24"/>
      <c r="O1772" s="25"/>
      <c r="P1772" s="26"/>
      <c r="Q1772" s="27"/>
      <c r="R1772" s="28"/>
      <c r="S1772" s="29"/>
      <c r="T1772" s="30"/>
    </row>
    <row r="1773" spans="1:20" ht="24" customHeight="1" x14ac:dyDescent="0.25">
      <c r="A1773" t="str">
        <f>IF('e1'!A1773&gt;0,HYPERLINK("#"&amp;ADDRESS(1773,'e1'!A1773),""),IF('r1'!A1773&gt;0,HYPERLINK("#"&amp;ADDRESS(1773,'r1'!A1773),""),""))</f>
        <v/>
      </c>
      <c r="C1773" s="13"/>
      <c r="D1773" s="14"/>
      <c r="E1773" s="15"/>
      <c r="F1773" s="16"/>
      <c r="G1773" s="17"/>
      <c r="H1773" s="18"/>
      <c r="I1773" s="19"/>
      <c r="J1773" s="20"/>
      <c r="K1773" s="21"/>
      <c r="L1773" s="22"/>
      <c r="M1773" s="23"/>
      <c r="N1773" s="24"/>
      <c r="O1773" s="25"/>
      <c r="P1773" s="26"/>
      <c r="Q1773" s="27"/>
      <c r="R1773" s="28"/>
      <c r="S1773" s="29"/>
      <c r="T1773" s="30"/>
    </row>
    <row r="1774" spans="1:20" ht="24" customHeight="1" x14ac:dyDescent="0.25">
      <c r="A1774" t="str">
        <f>IF('e1'!A1774&gt;0,HYPERLINK("#"&amp;ADDRESS(1774,'e1'!A1774),""),IF('r1'!A1774&gt;0,HYPERLINK("#"&amp;ADDRESS(1774,'r1'!A1774),""),""))</f>
        <v/>
      </c>
      <c r="C1774" s="13"/>
      <c r="D1774" s="14"/>
      <c r="E1774" s="15"/>
      <c r="F1774" s="16"/>
      <c r="G1774" s="17"/>
      <c r="H1774" s="18"/>
      <c r="I1774" s="19"/>
      <c r="J1774" s="20"/>
      <c r="K1774" s="21"/>
      <c r="L1774" s="22"/>
      <c r="M1774" s="23"/>
      <c r="N1774" s="24"/>
      <c r="O1774" s="25"/>
      <c r="P1774" s="26"/>
      <c r="Q1774" s="27"/>
      <c r="R1774" s="28"/>
      <c r="S1774" s="29"/>
      <c r="T1774" s="30"/>
    </row>
    <row r="1775" spans="1:20" ht="24" customHeight="1" x14ac:dyDescent="0.25">
      <c r="A1775" t="str">
        <f>IF('e1'!A1775&gt;0,HYPERLINK("#"&amp;ADDRESS(1775,'e1'!A1775),""),IF('r1'!A1775&gt;0,HYPERLINK("#"&amp;ADDRESS(1775,'r1'!A1775),""),""))</f>
        <v/>
      </c>
      <c r="C1775" s="13"/>
      <c r="D1775" s="14"/>
      <c r="E1775" s="15"/>
      <c r="F1775" s="16"/>
      <c r="G1775" s="17"/>
      <c r="H1775" s="18"/>
      <c r="I1775" s="19"/>
      <c r="J1775" s="20"/>
      <c r="K1775" s="21"/>
      <c r="L1775" s="22"/>
      <c r="M1775" s="23"/>
      <c r="N1775" s="24"/>
      <c r="O1775" s="25"/>
      <c r="P1775" s="26"/>
      <c r="Q1775" s="27"/>
      <c r="R1775" s="28"/>
      <c r="S1775" s="29"/>
      <c r="T1775" s="30"/>
    </row>
    <row r="1776" spans="1:20" ht="24" customHeight="1" x14ac:dyDescent="0.25">
      <c r="A1776" t="str">
        <f>IF('e1'!A1776&gt;0,HYPERLINK("#"&amp;ADDRESS(1776,'e1'!A1776),""),IF('r1'!A1776&gt;0,HYPERLINK("#"&amp;ADDRESS(1776,'r1'!A1776),""),""))</f>
        <v/>
      </c>
      <c r="C1776" s="13"/>
      <c r="D1776" s="14"/>
      <c r="E1776" s="15"/>
      <c r="F1776" s="16"/>
      <c r="G1776" s="17"/>
      <c r="H1776" s="18"/>
      <c r="I1776" s="19"/>
      <c r="J1776" s="20"/>
      <c r="K1776" s="21"/>
      <c r="L1776" s="22"/>
      <c r="M1776" s="23"/>
      <c r="N1776" s="24"/>
      <c r="O1776" s="25"/>
      <c r="P1776" s="26"/>
      <c r="Q1776" s="27"/>
      <c r="R1776" s="28"/>
      <c r="S1776" s="29"/>
      <c r="T1776" s="30"/>
    </row>
    <row r="1777" spans="1:20" ht="24" customHeight="1" x14ac:dyDescent="0.25">
      <c r="A1777" t="str">
        <f>IF('e1'!A1777&gt;0,HYPERLINK("#"&amp;ADDRESS(1777,'e1'!A1777),""),IF('r1'!A1777&gt;0,HYPERLINK("#"&amp;ADDRESS(1777,'r1'!A1777),""),""))</f>
        <v/>
      </c>
      <c r="C1777" s="13"/>
      <c r="D1777" s="14"/>
      <c r="E1777" s="15"/>
      <c r="F1777" s="16"/>
      <c r="G1777" s="17"/>
      <c r="H1777" s="18"/>
      <c r="I1777" s="19"/>
      <c r="J1777" s="20"/>
      <c r="K1777" s="21"/>
      <c r="L1777" s="22"/>
      <c r="M1777" s="23"/>
      <c r="N1777" s="24"/>
      <c r="O1777" s="25"/>
      <c r="P1777" s="26"/>
      <c r="Q1777" s="27"/>
      <c r="R1777" s="28"/>
      <c r="S1777" s="29"/>
      <c r="T1777" s="30"/>
    </row>
    <row r="1778" spans="1:20" ht="24" customHeight="1" x14ac:dyDescent="0.25">
      <c r="A1778" t="str">
        <f>IF('e1'!A1778&gt;0,HYPERLINK("#"&amp;ADDRESS(1778,'e1'!A1778),""),IF('r1'!A1778&gt;0,HYPERLINK("#"&amp;ADDRESS(1778,'r1'!A1778),""),""))</f>
        <v/>
      </c>
      <c r="C1778" s="13"/>
      <c r="D1778" s="14"/>
      <c r="E1778" s="15"/>
      <c r="F1778" s="16"/>
      <c r="G1778" s="17"/>
      <c r="H1778" s="18"/>
      <c r="I1778" s="19"/>
      <c r="J1778" s="20"/>
      <c r="K1778" s="21"/>
      <c r="L1778" s="22"/>
      <c r="M1778" s="23"/>
      <c r="N1778" s="24"/>
      <c r="O1778" s="25"/>
      <c r="P1778" s="26"/>
      <c r="Q1778" s="27"/>
      <c r="R1778" s="28"/>
      <c r="S1778" s="29"/>
      <c r="T1778" s="30"/>
    </row>
    <row r="1779" spans="1:20" ht="24" customHeight="1" x14ac:dyDescent="0.25">
      <c r="A1779" t="str">
        <f>IF('e1'!A1779&gt;0,HYPERLINK("#"&amp;ADDRESS(1779,'e1'!A1779),""),IF('r1'!A1779&gt;0,HYPERLINK("#"&amp;ADDRESS(1779,'r1'!A1779),""),""))</f>
        <v/>
      </c>
      <c r="C1779" s="13"/>
      <c r="D1779" s="14"/>
      <c r="E1779" s="15"/>
      <c r="F1779" s="16"/>
      <c r="G1779" s="17"/>
      <c r="H1779" s="18"/>
      <c r="I1779" s="19"/>
      <c r="J1779" s="20"/>
      <c r="K1779" s="21"/>
      <c r="L1779" s="22"/>
      <c r="M1779" s="23"/>
      <c r="N1779" s="24"/>
      <c r="O1779" s="25"/>
      <c r="P1779" s="26"/>
      <c r="Q1779" s="27"/>
      <c r="R1779" s="28"/>
      <c r="S1779" s="29"/>
      <c r="T1779" s="30"/>
    </row>
    <row r="1780" spans="1:20" ht="24" customHeight="1" x14ac:dyDescent="0.25">
      <c r="A1780" t="str">
        <f>IF('e1'!A1780&gt;0,HYPERLINK("#"&amp;ADDRESS(1780,'e1'!A1780),""),IF('r1'!A1780&gt;0,HYPERLINK("#"&amp;ADDRESS(1780,'r1'!A1780),""),""))</f>
        <v/>
      </c>
      <c r="C1780" s="13"/>
      <c r="D1780" s="14"/>
      <c r="E1780" s="15"/>
      <c r="F1780" s="16"/>
      <c r="G1780" s="17"/>
      <c r="H1780" s="18"/>
      <c r="I1780" s="19"/>
      <c r="J1780" s="20"/>
      <c r="K1780" s="21"/>
      <c r="L1780" s="22"/>
      <c r="M1780" s="23"/>
      <c r="N1780" s="24"/>
      <c r="O1780" s="25"/>
      <c r="P1780" s="26"/>
      <c r="Q1780" s="27"/>
      <c r="R1780" s="28"/>
      <c r="S1780" s="29"/>
      <c r="T1780" s="30"/>
    </row>
    <row r="1781" spans="1:20" ht="24" customHeight="1" x14ac:dyDescent="0.25">
      <c r="A1781" t="str">
        <f>IF('e1'!A1781&gt;0,HYPERLINK("#"&amp;ADDRESS(1781,'e1'!A1781),""),IF('r1'!A1781&gt;0,HYPERLINK("#"&amp;ADDRESS(1781,'r1'!A1781),""),""))</f>
        <v/>
      </c>
      <c r="C1781" s="13"/>
      <c r="D1781" s="14"/>
      <c r="E1781" s="15"/>
      <c r="F1781" s="16"/>
      <c r="G1781" s="17"/>
      <c r="H1781" s="18"/>
      <c r="I1781" s="19"/>
      <c r="J1781" s="20"/>
      <c r="K1781" s="21"/>
      <c r="L1781" s="22"/>
      <c r="M1781" s="23"/>
      <c r="N1781" s="24"/>
      <c r="O1781" s="25"/>
      <c r="P1781" s="26"/>
      <c r="Q1781" s="27"/>
      <c r="R1781" s="28"/>
      <c r="S1781" s="29"/>
      <c r="T1781" s="30"/>
    </row>
    <row r="1782" spans="1:20" ht="24" customHeight="1" x14ac:dyDescent="0.25">
      <c r="A1782" t="str">
        <f>IF('e1'!A1782&gt;0,HYPERLINK("#"&amp;ADDRESS(1782,'e1'!A1782),""),IF('r1'!A1782&gt;0,HYPERLINK("#"&amp;ADDRESS(1782,'r1'!A1782),""),""))</f>
        <v/>
      </c>
      <c r="C1782" s="13"/>
      <c r="D1782" s="14"/>
      <c r="E1782" s="15"/>
      <c r="F1782" s="16"/>
      <c r="G1782" s="17"/>
      <c r="H1782" s="18"/>
      <c r="I1782" s="19"/>
      <c r="J1782" s="20"/>
      <c r="K1782" s="21"/>
      <c r="L1782" s="22"/>
      <c r="M1782" s="23"/>
      <c r="N1782" s="24"/>
      <c r="O1782" s="25"/>
      <c r="P1782" s="26"/>
      <c r="Q1782" s="27"/>
      <c r="R1782" s="28"/>
      <c r="S1782" s="29"/>
      <c r="T1782" s="30"/>
    </row>
    <row r="1783" spans="1:20" ht="24" customHeight="1" x14ac:dyDescent="0.25">
      <c r="A1783" t="str">
        <f>IF('e1'!A1783&gt;0,HYPERLINK("#"&amp;ADDRESS(1783,'e1'!A1783),""),IF('r1'!A1783&gt;0,HYPERLINK("#"&amp;ADDRESS(1783,'r1'!A1783),""),""))</f>
        <v/>
      </c>
      <c r="C1783" s="13"/>
      <c r="D1783" s="14"/>
      <c r="E1783" s="15"/>
      <c r="F1783" s="16"/>
      <c r="G1783" s="17"/>
      <c r="H1783" s="18"/>
      <c r="I1783" s="19"/>
      <c r="J1783" s="20"/>
      <c r="K1783" s="21"/>
      <c r="L1783" s="22"/>
      <c r="M1783" s="23"/>
      <c r="N1783" s="24"/>
      <c r="O1783" s="25"/>
      <c r="P1783" s="26"/>
      <c r="Q1783" s="27"/>
      <c r="R1783" s="28"/>
      <c r="S1783" s="29"/>
      <c r="T1783" s="30"/>
    </row>
    <row r="1784" spans="1:20" ht="24" customHeight="1" x14ac:dyDescent="0.25">
      <c r="A1784" t="str">
        <f>IF('e1'!A1784&gt;0,HYPERLINK("#"&amp;ADDRESS(1784,'e1'!A1784),""),IF('r1'!A1784&gt;0,HYPERLINK("#"&amp;ADDRESS(1784,'r1'!A1784),""),""))</f>
        <v/>
      </c>
      <c r="C1784" s="13"/>
      <c r="D1784" s="14"/>
      <c r="E1784" s="15"/>
      <c r="F1784" s="16"/>
      <c r="G1784" s="17"/>
      <c r="H1784" s="18"/>
      <c r="I1784" s="19"/>
      <c r="J1784" s="20"/>
      <c r="K1784" s="21"/>
      <c r="L1784" s="22"/>
      <c r="M1784" s="23"/>
      <c r="N1784" s="24"/>
      <c r="O1784" s="25"/>
      <c r="P1784" s="26"/>
      <c r="Q1784" s="27"/>
      <c r="R1784" s="28"/>
      <c r="S1784" s="29"/>
      <c r="T1784" s="30"/>
    </row>
    <row r="1785" spans="1:20" ht="24" customHeight="1" x14ac:dyDescent="0.25">
      <c r="A1785" t="str">
        <f>IF('e1'!A1785&gt;0,HYPERLINK("#"&amp;ADDRESS(1785,'e1'!A1785),""),IF('r1'!A1785&gt;0,HYPERLINK("#"&amp;ADDRESS(1785,'r1'!A1785),""),""))</f>
        <v/>
      </c>
      <c r="C1785" s="13"/>
      <c r="D1785" s="14"/>
      <c r="E1785" s="15"/>
      <c r="F1785" s="16"/>
      <c r="G1785" s="17"/>
      <c r="H1785" s="18"/>
      <c r="I1785" s="19"/>
      <c r="J1785" s="20"/>
      <c r="K1785" s="21"/>
      <c r="L1785" s="22"/>
      <c r="M1785" s="23"/>
      <c r="N1785" s="24"/>
      <c r="O1785" s="25"/>
      <c r="P1785" s="26"/>
      <c r="Q1785" s="27"/>
      <c r="R1785" s="28"/>
      <c r="S1785" s="29"/>
      <c r="T1785" s="30"/>
    </row>
    <row r="1786" spans="1:20" ht="24" customHeight="1" x14ac:dyDescent="0.25">
      <c r="A1786" t="str">
        <f>IF('e1'!A1786&gt;0,HYPERLINK("#"&amp;ADDRESS(1786,'e1'!A1786),""),IF('r1'!A1786&gt;0,HYPERLINK("#"&amp;ADDRESS(1786,'r1'!A1786),""),""))</f>
        <v/>
      </c>
      <c r="C1786" s="13"/>
      <c r="D1786" s="14"/>
      <c r="E1786" s="15"/>
      <c r="F1786" s="16"/>
      <c r="G1786" s="17"/>
      <c r="H1786" s="18"/>
      <c r="I1786" s="19"/>
      <c r="J1786" s="20"/>
      <c r="K1786" s="21"/>
      <c r="L1786" s="22"/>
      <c r="M1786" s="23"/>
      <c r="N1786" s="24"/>
      <c r="O1786" s="25"/>
      <c r="P1786" s="26"/>
      <c r="Q1786" s="27"/>
      <c r="R1786" s="28"/>
      <c r="S1786" s="29"/>
      <c r="T1786" s="30"/>
    </row>
    <row r="1787" spans="1:20" ht="24" customHeight="1" x14ac:dyDescent="0.25">
      <c r="A1787" t="str">
        <f>IF('e1'!A1787&gt;0,HYPERLINK("#"&amp;ADDRESS(1787,'e1'!A1787),""),IF('r1'!A1787&gt;0,HYPERLINK("#"&amp;ADDRESS(1787,'r1'!A1787),""),""))</f>
        <v/>
      </c>
      <c r="C1787" s="13"/>
      <c r="D1787" s="14"/>
      <c r="E1787" s="15"/>
      <c r="F1787" s="16"/>
      <c r="G1787" s="17"/>
      <c r="H1787" s="18"/>
      <c r="I1787" s="19"/>
      <c r="J1787" s="20"/>
      <c r="K1787" s="21"/>
      <c r="L1787" s="22"/>
      <c r="M1787" s="23"/>
      <c r="N1787" s="24"/>
      <c r="O1787" s="25"/>
      <c r="P1787" s="26"/>
      <c r="Q1787" s="27"/>
      <c r="R1787" s="28"/>
      <c r="S1787" s="29"/>
      <c r="T1787" s="30"/>
    </row>
    <row r="1788" spans="1:20" ht="24" customHeight="1" x14ac:dyDescent="0.25">
      <c r="A1788" t="str">
        <f>IF('e1'!A1788&gt;0,HYPERLINK("#"&amp;ADDRESS(1788,'e1'!A1788),""),IF('r1'!A1788&gt;0,HYPERLINK("#"&amp;ADDRESS(1788,'r1'!A1788),""),""))</f>
        <v/>
      </c>
      <c r="C1788" s="13"/>
      <c r="D1788" s="14"/>
      <c r="E1788" s="15"/>
      <c r="F1788" s="16"/>
      <c r="G1788" s="17"/>
      <c r="H1788" s="18"/>
      <c r="I1788" s="19"/>
      <c r="J1788" s="20"/>
      <c r="K1788" s="21"/>
      <c r="L1788" s="22"/>
      <c r="M1788" s="23"/>
      <c r="N1788" s="24"/>
      <c r="O1788" s="25"/>
      <c r="P1788" s="26"/>
      <c r="Q1788" s="27"/>
      <c r="R1788" s="28"/>
      <c r="S1788" s="29"/>
      <c r="T1788" s="30"/>
    </row>
    <row r="1789" spans="1:20" ht="24" customHeight="1" x14ac:dyDescent="0.25">
      <c r="A1789" t="str">
        <f>IF('e1'!A1789&gt;0,HYPERLINK("#"&amp;ADDRESS(1789,'e1'!A1789),""),IF('r1'!A1789&gt;0,HYPERLINK("#"&amp;ADDRESS(1789,'r1'!A1789),""),""))</f>
        <v/>
      </c>
      <c r="C1789" s="13"/>
      <c r="D1789" s="14"/>
      <c r="E1789" s="15"/>
      <c r="F1789" s="16"/>
      <c r="G1789" s="17"/>
      <c r="H1789" s="18"/>
      <c r="I1789" s="19"/>
      <c r="J1789" s="20"/>
      <c r="K1789" s="21"/>
      <c r="L1789" s="22"/>
      <c r="M1789" s="23"/>
      <c r="N1789" s="24"/>
      <c r="O1789" s="25"/>
      <c r="P1789" s="26"/>
      <c r="Q1789" s="27"/>
      <c r="R1789" s="28"/>
      <c r="S1789" s="29"/>
      <c r="T1789" s="30"/>
    </row>
    <row r="1790" spans="1:20" ht="24" customHeight="1" x14ac:dyDescent="0.25">
      <c r="A1790" t="str">
        <f>IF('e1'!A1790&gt;0,HYPERLINK("#"&amp;ADDRESS(1790,'e1'!A1790),""),IF('r1'!A1790&gt;0,HYPERLINK("#"&amp;ADDRESS(1790,'r1'!A1790),""),""))</f>
        <v/>
      </c>
      <c r="C1790" s="13"/>
      <c r="D1790" s="14"/>
      <c r="E1790" s="15"/>
      <c r="F1790" s="16"/>
      <c r="G1790" s="17"/>
      <c r="H1790" s="18"/>
      <c r="I1790" s="19"/>
      <c r="J1790" s="20"/>
      <c r="K1790" s="21"/>
      <c r="L1790" s="22"/>
      <c r="M1790" s="23"/>
      <c r="N1790" s="24"/>
      <c r="O1790" s="25"/>
      <c r="P1790" s="26"/>
      <c r="Q1790" s="27"/>
      <c r="R1790" s="28"/>
      <c r="S1790" s="29"/>
      <c r="T1790" s="30"/>
    </row>
    <row r="1791" spans="1:20" ht="24" customHeight="1" x14ac:dyDescent="0.25">
      <c r="A1791" t="str">
        <f>IF('e1'!A1791&gt;0,HYPERLINK("#"&amp;ADDRESS(1791,'e1'!A1791),""),IF('r1'!A1791&gt;0,HYPERLINK("#"&amp;ADDRESS(1791,'r1'!A1791),""),""))</f>
        <v/>
      </c>
      <c r="C1791" s="13"/>
      <c r="D1791" s="14"/>
      <c r="E1791" s="15"/>
      <c r="F1791" s="16"/>
      <c r="G1791" s="17"/>
      <c r="H1791" s="18"/>
      <c r="I1791" s="19"/>
      <c r="J1791" s="20"/>
      <c r="K1791" s="21"/>
      <c r="L1791" s="22"/>
      <c r="M1791" s="23"/>
      <c r="N1791" s="24"/>
      <c r="O1791" s="25"/>
      <c r="P1791" s="26"/>
      <c r="Q1791" s="27"/>
      <c r="R1791" s="28"/>
      <c r="S1791" s="29"/>
      <c r="T1791" s="30"/>
    </row>
    <row r="1792" spans="1:20" ht="24" customHeight="1" x14ac:dyDescent="0.25">
      <c r="A1792" t="str">
        <f>IF('e1'!A1792&gt;0,HYPERLINK("#"&amp;ADDRESS(1792,'e1'!A1792),""),IF('r1'!A1792&gt;0,HYPERLINK("#"&amp;ADDRESS(1792,'r1'!A1792),""),""))</f>
        <v/>
      </c>
      <c r="C1792" s="13"/>
      <c r="D1792" s="14"/>
      <c r="E1792" s="15"/>
      <c r="F1792" s="16"/>
      <c r="G1792" s="17"/>
      <c r="H1792" s="18"/>
      <c r="I1792" s="19"/>
      <c r="J1792" s="20"/>
      <c r="K1792" s="21"/>
      <c r="L1792" s="22"/>
      <c r="M1792" s="23"/>
      <c r="N1792" s="24"/>
      <c r="O1792" s="25"/>
      <c r="P1792" s="26"/>
      <c r="Q1792" s="27"/>
      <c r="R1792" s="28"/>
      <c r="S1792" s="29"/>
      <c r="T1792" s="30"/>
    </row>
    <row r="1793" spans="1:20" ht="24" customHeight="1" x14ac:dyDescent="0.25">
      <c r="A1793" t="str">
        <f>IF('e1'!A1793&gt;0,HYPERLINK("#"&amp;ADDRESS(1793,'e1'!A1793),""),IF('r1'!A1793&gt;0,HYPERLINK("#"&amp;ADDRESS(1793,'r1'!A1793),""),""))</f>
        <v/>
      </c>
      <c r="C1793" s="13"/>
      <c r="D1793" s="14"/>
      <c r="E1793" s="15"/>
      <c r="F1793" s="16"/>
      <c r="G1793" s="17"/>
      <c r="H1793" s="18"/>
      <c r="I1793" s="19"/>
      <c r="J1793" s="20"/>
      <c r="K1793" s="21"/>
      <c r="L1793" s="22"/>
      <c r="M1793" s="23"/>
      <c r="N1793" s="24"/>
      <c r="O1793" s="25"/>
      <c r="P1793" s="26"/>
      <c r="Q1793" s="27"/>
      <c r="R1793" s="28"/>
      <c r="S1793" s="29"/>
      <c r="T1793" s="30"/>
    </row>
    <row r="1794" spans="1:20" ht="24" customHeight="1" x14ac:dyDescent="0.25">
      <c r="A1794" t="str">
        <f>IF('e1'!A1794&gt;0,HYPERLINK("#"&amp;ADDRESS(1794,'e1'!A1794),""),IF('r1'!A1794&gt;0,HYPERLINK("#"&amp;ADDRESS(1794,'r1'!A1794),""),""))</f>
        <v/>
      </c>
      <c r="C1794" s="13"/>
      <c r="D1794" s="14"/>
      <c r="E1794" s="15"/>
      <c r="F1794" s="16"/>
      <c r="G1794" s="17"/>
      <c r="H1794" s="18"/>
      <c r="I1794" s="19"/>
      <c r="J1794" s="20"/>
      <c r="K1794" s="21"/>
      <c r="L1794" s="22"/>
      <c r="M1794" s="23"/>
      <c r="N1794" s="24"/>
      <c r="O1794" s="25"/>
      <c r="P1794" s="26"/>
      <c r="Q1794" s="27"/>
      <c r="R1794" s="28"/>
      <c r="S1794" s="29"/>
      <c r="T1794" s="30"/>
    </row>
    <row r="1795" spans="1:20" ht="24" customHeight="1" x14ac:dyDescent="0.25">
      <c r="A1795" t="str">
        <f>IF('e1'!A1795&gt;0,HYPERLINK("#"&amp;ADDRESS(1795,'e1'!A1795),""),IF('r1'!A1795&gt;0,HYPERLINK("#"&amp;ADDRESS(1795,'r1'!A1795),""),""))</f>
        <v/>
      </c>
      <c r="C1795" s="13"/>
      <c r="D1795" s="14"/>
      <c r="E1795" s="15"/>
      <c r="F1795" s="16"/>
      <c r="G1795" s="17"/>
      <c r="H1795" s="18"/>
      <c r="I1795" s="19"/>
      <c r="J1795" s="20"/>
      <c r="K1795" s="21"/>
      <c r="L1795" s="22"/>
      <c r="M1795" s="23"/>
      <c r="N1795" s="24"/>
      <c r="O1795" s="25"/>
      <c r="P1795" s="26"/>
      <c r="Q1795" s="27"/>
      <c r="R1795" s="28"/>
      <c r="S1795" s="29"/>
      <c r="T1795" s="30"/>
    </row>
    <row r="1796" spans="1:20" ht="24" customHeight="1" x14ac:dyDescent="0.25">
      <c r="A1796" t="str">
        <f>IF('e1'!A1796&gt;0,HYPERLINK("#"&amp;ADDRESS(1796,'e1'!A1796),""),IF('r1'!A1796&gt;0,HYPERLINK("#"&amp;ADDRESS(1796,'r1'!A1796),""),""))</f>
        <v/>
      </c>
      <c r="C1796" s="13"/>
      <c r="D1796" s="14"/>
      <c r="E1796" s="15"/>
      <c r="F1796" s="16"/>
      <c r="G1796" s="17"/>
      <c r="H1796" s="18"/>
      <c r="I1796" s="19"/>
      <c r="J1796" s="20"/>
      <c r="K1796" s="21"/>
      <c r="L1796" s="22"/>
      <c r="M1796" s="23"/>
      <c r="N1796" s="24"/>
      <c r="O1796" s="25"/>
      <c r="P1796" s="26"/>
      <c r="Q1796" s="27"/>
      <c r="R1796" s="28"/>
      <c r="S1796" s="29"/>
      <c r="T1796" s="30"/>
    </row>
    <row r="1797" spans="1:20" ht="24" customHeight="1" x14ac:dyDescent="0.25">
      <c r="A1797" t="str">
        <f>IF('e1'!A1797&gt;0,HYPERLINK("#"&amp;ADDRESS(1797,'e1'!A1797),""),IF('r1'!A1797&gt;0,HYPERLINK("#"&amp;ADDRESS(1797,'r1'!A1797),""),""))</f>
        <v/>
      </c>
      <c r="C1797" s="13"/>
      <c r="D1797" s="14"/>
      <c r="E1797" s="15"/>
      <c r="F1797" s="16"/>
      <c r="G1797" s="17"/>
      <c r="H1797" s="18"/>
      <c r="I1797" s="19"/>
      <c r="J1797" s="20"/>
      <c r="K1797" s="21"/>
      <c r="L1797" s="22"/>
      <c r="M1797" s="23"/>
      <c r="N1797" s="24"/>
      <c r="O1797" s="25"/>
      <c r="P1797" s="26"/>
      <c r="Q1797" s="27"/>
      <c r="R1797" s="28"/>
      <c r="S1797" s="29"/>
      <c r="T1797" s="30"/>
    </row>
    <row r="1798" spans="1:20" ht="24" customHeight="1" x14ac:dyDescent="0.25">
      <c r="A1798" t="str">
        <f>IF('e1'!A1798&gt;0,HYPERLINK("#"&amp;ADDRESS(1798,'e1'!A1798),""),IF('r1'!A1798&gt;0,HYPERLINK("#"&amp;ADDRESS(1798,'r1'!A1798),""),""))</f>
        <v/>
      </c>
      <c r="C1798" s="13"/>
      <c r="D1798" s="14"/>
      <c r="E1798" s="15"/>
      <c r="F1798" s="16"/>
      <c r="G1798" s="17"/>
      <c r="H1798" s="18"/>
      <c r="I1798" s="19"/>
      <c r="J1798" s="20"/>
      <c r="K1798" s="21"/>
      <c r="L1798" s="22"/>
      <c r="M1798" s="23"/>
      <c r="N1798" s="24"/>
      <c r="O1798" s="25"/>
      <c r="P1798" s="26"/>
      <c r="Q1798" s="27"/>
      <c r="R1798" s="28"/>
      <c r="S1798" s="29"/>
      <c r="T1798" s="30"/>
    </row>
    <row r="1799" spans="1:20" ht="24" customHeight="1" x14ac:dyDescent="0.25">
      <c r="A1799" t="str">
        <f>IF('e1'!A1799&gt;0,HYPERLINK("#"&amp;ADDRESS(1799,'e1'!A1799),""),IF('r1'!A1799&gt;0,HYPERLINK("#"&amp;ADDRESS(1799,'r1'!A1799),""),""))</f>
        <v/>
      </c>
      <c r="C1799" s="13"/>
      <c r="D1799" s="14"/>
      <c r="E1799" s="15"/>
      <c r="F1799" s="16"/>
      <c r="G1799" s="17"/>
      <c r="H1799" s="18"/>
      <c r="I1799" s="19"/>
      <c r="J1799" s="20"/>
      <c r="K1799" s="21"/>
      <c r="L1799" s="22"/>
      <c r="M1799" s="23"/>
      <c r="N1799" s="24"/>
      <c r="O1799" s="25"/>
      <c r="P1799" s="26"/>
      <c r="Q1799" s="27"/>
      <c r="R1799" s="28"/>
      <c r="S1799" s="29"/>
      <c r="T1799" s="30"/>
    </row>
    <row r="1800" spans="1:20" ht="24" customHeight="1" x14ac:dyDescent="0.25">
      <c r="A1800" t="str">
        <f>IF('e1'!A1800&gt;0,HYPERLINK("#"&amp;ADDRESS(1800,'e1'!A1800),""),IF('r1'!A1800&gt;0,HYPERLINK("#"&amp;ADDRESS(1800,'r1'!A1800),""),""))</f>
        <v/>
      </c>
      <c r="C1800" s="13"/>
      <c r="D1800" s="14"/>
      <c r="E1800" s="15"/>
      <c r="F1800" s="16"/>
      <c r="G1800" s="17"/>
      <c r="H1800" s="18"/>
      <c r="I1800" s="19"/>
      <c r="J1800" s="20"/>
      <c r="K1800" s="21"/>
      <c r="L1800" s="22"/>
      <c r="M1800" s="23"/>
      <c r="N1800" s="24"/>
      <c r="O1800" s="25"/>
      <c r="P1800" s="26"/>
      <c r="Q1800" s="27"/>
      <c r="R1800" s="28"/>
      <c r="S1800" s="29"/>
      <c r="T1800" s="30"/>
    </row>
    <row r="1801" spans="1:20" ht="24" customHeight="1" x14ac:dyDescent="0.25">
      <c r="A1801" t="str">
        <f>IF('e1'!A1801&gt;0,HYPERLINK("#"&amp;ADDRESS(1801,'e1'!A1801),""),IF('r1'!A1801&gt;0,HYPERLINK("#"&amp;ADDRESS(1801,'r1'!A1801),""),""))</f>
        <v/>
      </c>
      <c r="C1801" s="13"/>
      <c r="D1801" s="14"/>
      <c r="E1801" s="15"/>
      <c r="F1801" s="16"/>
      <c r="G1801" s="17"/>
      <c r="H1801" s="18"/>
      <c r="I1801" s="19"/>
      <c r="J1801" s="20"/>
      <c r="K1801" s="21"/>
      <c r="L1801" s="22"/>
      <c r="M1801" s="23"/>
      <c r="N1801" s="24"/>
      <c r="O1801" s="25"/>
      <c r="P1801" s="26"/>
      <c r="Q1801" s="27"/>
      <c r="R1801" s="28"/>
      <c r="S1801" s="29"/>
      <c r="T1801" s="30"/>
    </row>
    <row r="1802" spans="1:20" ht="24" customHeight="1" x14ac:dyDescent="0.25">
      <c r="A1802" t="str">
        <f>IF('e1'!A1802&gt;0,HYPERLINK("#"&amp;ADDRESS(1802,'e1'!A1802),""),IF('r1'!A1802&gt;0,HYPERLINK("#"&amp;ADDRESS(1802,'r1'!A1802),""),""))</f>
        <v/>
      </c>
      <c r="C1802" s="13"/>
      <c r="D1802" s="14"/>
      <c r="E1802" s="15"/>
      <c r="F1802" s="16"/>
      <c r="G1802" s="17"/>
      <c r="H1802" s="18"/>
      <c r="I1802" s="19"/>
      <c r="J1802" s="20"/>
      <c r="K1802" s="21"/>
      <c r="L1802" s="22"/>
      <c r="M1802" s="23"/>
      <c r="N1802" s="24"/>
      <c r="O1802" s="25"/>
      <c r="P1802" s="26"/>
      <c r="Q1802" s="27"/>
      <c r="R1802" s="28"/>
      <c r="S1802" s="29"/>
      <c r="T1802" s="30"/>
    </row>
    <row r="1803" spans="1:20" ht="24" customHeight="1" x14ac:dyDescent="0.25">
      <c r="A1803" t="str">
        <f>IF('e1'!A1803&gt;0,HYPERLINK("#"&amp;ADDRESS(1803,'e1'!A1803),""),IF('r1'!A1803&gt;0,HYPERLINK("#"&amp;ADDRESS(1803,'r1'!A1803),""),""))</f>
        <v/>
      </c>
      <c r="C1803" s="13"/>
      <c r="D1803" s="14"/>
      <c r="E1803" s="15"/>
      <c r="F1803" s="16"/>
      <c r="G1803" s="17"/>
      <c r="H1803" s="18"/>
      <c r="I1803" s="19"/>
      <c r="J1803" s="20"/>
      <c r="K1803" s="21"/>
      <c r="L1803" s="22"/>
      <c r="M1803" s="23"/>
      <c r="N1803" s="24"/>
      <c r="O1803" s="25"/>
      <c r="P1803" s="26"/>
      <c r="Q1803" s="27"/>
      <c r="R1803" s="28"/>
      <c r="S1803" s="29"/>
      <c r="T1803" s="30"/>
    </row>
    <row r="1804" spans="1:20" ht="24" customHeight="1" x14ac:dyDescent="0.25">
      <c r="A1804" t="str">
        <f>IF('e1'!A1804&gt;0,HYPERLINK("#"&amp;ADDRESS(1804,'e1'!A1804),""),IF('r1'!A1804&gt;0,HYPERLINK("#"&amp;ADDRESS(1804,'r1'!A1804),""),""))</f>
        <v/>
      </c>
      <c r="C1804" s="13"/>
      <c r="D1804" s="14"/>
      <c r="E1804" s="15"/>
      <c r="F1804" s="16"/>
      <c r="G1804" s="17"/>
      <c r="H1804" s="18"/>
      <c r="I1804" s="19"/>
      <c r="J1804" s="20"/>
      <c r="K1804" s="21"/>
      <c r="L1804" s="22"/>
      <c r="M1804" s="23"/>
      <c r="N1804" s="24"/>
      <c r="O1804" s="25"/>
      <c r="P1804" s="26"/>
      <c r="Q1804" s="27"/>
      <c r="R1804" s="28"/>
      <c r="S1804" s="29"/>
      <c r="T1804" s="30"/>
    </row>
    <row r="1805" spans="1:20" ht="24" customHeight="1" x14ac:dyDescent="0.25">
      <c r="A1805" t="str">
        <f>IF('e1'!A1805&gt;0,HYPERLINK("#"&amp;ADDRESS(1805,'e1'!A1805),""),IF('r1'!A1805&gt;0,HYPERLINK("#"&amp;ADDRESS(1805,'r1'!A1805),""),""))</f>
        <v/>
      </c>
      <c r="C1805" s="13"/>
      <c r="D1805" s="14"/>
      <c r="E1805" s="15"/>
      <c r="F1805" s="16"/>
      <c r="G1805" s="17"/>
      <c r="H1805" s="18"/>
      <c r="I1805" s="19"/>
      <c r="J1805" s="20"/>
      <c r="K1805" s="21"/>
      <c r="L1805" s="22"/>
      <c r="M1805" s="23"/>
      <c r="N1805" s="24"/>
      <c r="O1805" s="25"/>
      <c r="P1805" s="26"/>
      <c r="Q1805" s="27"/>
      <c r="R1805" s="28"/>
      <c r="S1805" s="29"/>
      <c r="T1805" s="30"/>
    </row>
    <row r="1806" spans="1:20" ht="24" customHeight="1" x14ac:dyDescent="0.25">
      <c r="A1806" t="str">
        <f>IF('e1'!A1806&gt;0,HYPERLINK("#"&amp;ADDRESS(1806,'e1'!A1806),""),IF('r1'!A1806&gt;0,HYPERLINK("#"&amp;ADDRESS(1806,'r1'!A1806),""),""))</f>
        <v/>
      </c>
      <c r="C1806" s="13"/>
      <c r="D1806" s="14"/>
      <c r="E1806" s="15"/>
      <c r="F1806" s="16"/>
      <c r="G1806" s="17"/>
      <c r="H1806" s="18"/>
      <c r="I1806" s="19"/>
      <c r="J1806" s="20"/>
      <c r="K1806" s="21"/>
      <c r="L1806" s="22"/>
      <c r="M1806" s="23"/>
      <c r="N1806" s="24"/>
      <c r="O1806" s="25"/>
      <c r="P1806" s="26"/>
      <c r="Q1806" s="27"/>
      <c r="R1806" s="28"/>
      <c r="S1806" s="29"/>
      <c r="T1806" s="30"/>
    </row>
    <row r="1807" spans="1:20" ht="24" customHeight="1" x14ac:dyDescent="0.25">
      <c r="A1807" t="str">
        <f>IF('e1'!A1807&gt;0,HYPERLINK("#"&amp;ADDRESS(1807,'e1'!A1807),""),IF('r1'!A1807&gt;0,HYPERLINK("#"&amp;ADDRESS(1807,'r1'!A1807),""),""))</f>
        <v/>
      </c>
      <c r="C1807" s="13"/>
      <c r="D1807" s="14"/>
      <c r="E1807" s="15"/>
      <c r="F1807" s="16"/>
      <c r="G1807" s="17"/>
      <c r="H1807" s="18"/>
      <c r="I1807" s="19"/>
      <c r="J1807" s="20"/>
      <c r="K1807" s="21"/>
      <c r="L1807" s="22"/>
      <c r="M1807" s="23"/>
      <c r="N1807" s="24"/>
      <c r="O1807" s="25"/>
      <c r="P1807" s="26"/>
      <c r="Q1807" s="27"/>
      <c r="R1807" s="28"/>
      <c r="S1807" s="29"/>
      <c r="T1807" s="30"/>
    </row>
    <row r="1808" spans="1:20" ht="24" customHeight="1" x14ac:dyDescent="0.25">
      <c r="A1808" t="str">
        <f>IF('e1'!A1808&gt;0,HYPERLINK("#"&amp;ADDRESS(1808,'e1'!A1808),""),IF('r1'!A1808&gt;0,HYPERLINK("#"&amp;ADDRESS(1808,'r1'!A1808),""),""))</f>
        <v/>
      </c>
      <c r="C1808" s="13"/>
      <c r="D1808" s="14"/>
      <c r="E1808" s="15"/>
      <c r="F1808" s="16"/>
      <c r="G1808" s="17"/>
      <c r="H1808" s="18"/>
      <c r="I1808" s="19"/>
      <c r="J1808" s="20"/>
      <c r="K1808" s="21"/>
      <c r="L1808" s="22"/>
      <c r="M1808" s="23"/>
      <c r="N1808" s="24"/>
      <c r="O1808" s="25"/>
      <c r="P1808" s="26"/>
      <c r="Q1808" s="27"/>
      <c r="R1808" s="28"/>
      <c r="S1808" s="29"/>
      <c r="T1808" s="30"/>
    </row>
    <row r="1809" spans="1:20" ht="24" customHeight="1" x14ac:dyDescent="0.25">
      <c r="A1809" t="str">
        <f>IF('e1'!A1809&gt;0,HYPERLINK("#"&amp;ADDRESS(1809,'e1'!A1809),""),IF('r1'!A1809&gt;0,HYPERLINK("#"&amp;ADDRESS(1809,'r1'!A1809),""),""))</f>
        <v/>
      </c>
      <c r="C1809" s="13"/>
      <c r="D1809" s="14"/>
      <c r="E1809" s="15"/>
      <c r="F1809" s="16"/>
      <c r="G1809" s="17"/>
      <c r="H1809" s="18"/>
      <c r="I1809" s="19"/>
      <c r="J1809" s="20"/>
      <c r="K1809" s="21"/>
      <c r="L1809" s="22"/>
      <c r="M1809" s="23"/>
      <c r="N1809" s="24"/>
      <c r="O1809" s="25"/>
      <c r="P1809" s="26"/>
      <c r="Q1809" s="27"/>
      <c r="R1809" s="28"/>
      <c r="S1809" s="29"/>
      <c r="T1809" s="30"/>
    </row>
    <row r="1810" spans="1:20" ht="24" customHeight="1" x14ac:dyDescent="0.25">
      <c r="A1810" t="str">
        <f>IF('e1'!A1810&gt;0,HYPERLINK("#"&amp;ADDRESS(1810,'e1'!A1810),""),IF('r1'!A1810&gt;0,HYPERLINK("#"&amp;ADDRESS(1810,'r1'!A1810),""),""))</f>
        <v/>
      </c>
      <c r="C1810" s="13"/>
      <c r="D1810" s="14"/>
      <c r="E1810" s="15"/>
      <c r="F1810" s="16"/>
      <c r="G1810" s="17"/>
      <c r="H1810" s="18"/>
      <c r="I1810" s="19"/>
      <c r="J1810" s="20"/>
      <c r="K1810" s="21"/>
      <c r="L1810" s="22"/>
      <c r="M1810" s="23"/>
      <c r="N1810" s="24"/>
      <c r="O1810" s="25"/>
      <c r="P1810" s="26"/>
      <c r="Q1810" s="27"/>
      <c r="R1810" s="28"/>
      <c r="S1810" s="29"/>
      <c r="T1810" s="30"/>
    </row>
    <row r="1811" spans="1:20" ht="24" customHeight="1" x14ac:dyDescent="0.25">
      <c r="A1811" t="str">
        <f>IF('e1'!A1811&gt;0,HYPERLINK("#"&amp;ADDRESS(1811,'e1'!A1811),""),IF('r1'!A1811&gt;0,HYPERLINK("#"&amp;ADDRESS(1811,'r1'!A1811),""),""))</f>
        <v/>
      </c>
      <c r="C1811" s="13"/>
      <c r="D1811" s="14"/>
      <c r="E1811" s="15"/>
      <c r="F1811" s="16"/>
      <c r="G1811" s="17"/>
      <c r="H1811" s="18"/>
      <c r="I1811" s="19"/>
      <c r="J1811" s="20"/>
      <c r="K1811" s="21"/>
      <c r="L1811" s="22"/>
      <c r="M1811" s="23"/>
      <c r="N1811" s="24"/>
      <c r="O1811" s="25"/>
      <c r="P1811" s="26"/>
      <c r="Q1811" s="27"/>
      <c r="R1811" s="28"/>
      <c r="S1811" s="29"/>
      <c r="T1811" s="30"/>
    </row>
    <row r="1812" spans="1:20" ht="24" customHeight="1" x14ac:dyDescent="0.25">
      <c r="A1812" t="str">
        <f>IF('e1'!A1812&gt;0,HYPERLINK("#"&amp;ADDRESS(1812,'e1'!A1812),""),IF('r1'!A1812&gt;0,HYPERLINK("#"&amp;ADDRESS(1812,'r1'!A1812),""),""))</f>
        <v/>
      </c>
      <c r="C1812" s="13"/>
      <c r="D1812" s="14"/>
      <c r="E1812" s="15"/>
      <c r="F1812" s="16"/>
      <c r="G1812" s="17"/>
      <c r="H1812" s="18"/>
      <c r="I1812" s="19"/>
      <c r="J1812" s="20"/>
      <c r="K1812" s="21"/>
      <c r="L1812" s="22"/>
      <c r="M1812" s="23"/>
      <c r="N1812" s="24"/>
      <c r="O1812" s="25"/>
      <c r="P1812" s="26"/>
      <c r="Q1812" s="27"/>
      <c r="R1812" s="28"/>
      <c r="S1812" s="29"/>
      <c r="T1812" s="30"/>
    </row>
    <row r="1813" spans="1:20" ht="24" customHeight="1" x14ac:dyDescent="0.25">
      <c r="A1813" t="str">
        <f>IF('e1'!A1813&gt;0,HYPERLINK("#"&amp;ADDRESS(1813,'e1'!A1813),""),IF('r1'!A1813&gt;0,HYPERLINK("#"&amp;ADDRESS(1813,'r1'!A1813),""),""))</f>
        <v/>
      </c>
      <c r="C1813" s="13"/>
      <c r="D1813" s="14"/>
      <c r="E1813" s="15"/>
      <c r="F1813" s="16"/>
      <c r="G1813" s="17"/>
      <c r="H1813" s="18"/>
      <c r="I1813" s="19"/>
      <c r="J1813" s="20"/>
      <c r="K1813" s="21"/>
      <c r="L1813" s="22"/>
      <c r="M1813" s="23"/>
      <c r="N1813" s="24"/>
      <c r="O1813" s="25"/>
      <c r="P1813" s="26"/>
      <c r="Q1813" s="27"/>
      <c r="R1813" s="28"/>
      <c r="S1813" s="29"/>
      <c r="T1813" s="30"/>
    </row>
    <row r="1814" spans="1:20" ht="24" customHeight="1" x14ac:dyDescent="0.25">
      <c r="A1814" t="str">
        <f>IF('e1'!A1814&gt;0,HYPERLINK("#"&amp;ADDRESS(1814,'e1'!A1814),""),IF('r1'!A1814&gt;0,HYPERLINK("#"&amp;ADDRESS(1814,'r1'!A1814),""),""))</f>
        <v/>
      </c>
      <c r="C1814" s="13"/>
      <c r="D1814" s="14"/>
      <c r="E1814" s="15"/>
      <c r="F1814" s="16"/>
      <c r="G1814" s="17"/>
      <c r="H1814" s="18"/>
      <c r="I1814" s="19"/>
      <c r="J1814" s="20"/>
      <c r="K1814" s="21"/>
      <c r="L1814" s="22"/>
      <c r="M1814" s="23"/>
      <c r="N1814" s="24"/>
      <c r="O1814" s="25"/>
      <c r="P1814" s="26"/>
      <c r="Q1814" s="27"/>
      <c r="R1814" s="28"/>
      <c r="S1814" s="29"/>
      <c r="T1814" s="30"/>
    </row>
    <row r="1815" spans="1:20" ht="24" customHeight="1" x14ac:dyDescent="0.25">
      <c r="A1815" t="str">
        <f>IF('e1'!A1815&gt;0,HYPERLINK("#"&amp;ADDRESS(1815,'e1'!A1815),""),IF('r1'!A1815&gt;0,HYPERLINK("#"&amp;ADDRESS(1815,'r1'!A1815),""),""))</f>
        <v/>
      </c>
      <c r="C1815" s="13"/>
      <c r="D1815" s="14"/>
      <c r="E1815" s="15"/>
      <c r="F1815" s="16"/>
      <c r="G1815" s="17"/>
      <c r="H1815" s="18"/>
      <c r="I1815" s="19"/>
      <c r="J1815" s="20"/>
      <c r="K1815" s="21"/>
      <c r="L1815" s="22"/>
      <c r="M1815" s="23"/>
      <c r="N1815" s="24"/>
      <c r="O1815" s="25"/>
      <c r="P1815" s="26"/>
      <c r="Q1815" s="27"/>
      <c r="R1815" s="28"/>
      <c r="S1815" s="29"/>
      <c r="T1815" s="30"/>
    </row>
    <row r="1816" spans="1:20" ht="24" customHeight="1" x14ac:dyDescent="0.25">
      <c r="A1816" t="str">
        <f>IF('e1'!A1816&gt;0,HYPERLINK("#"&amp;ADDRESS(1816,'e1'!A1816),""),IF('r1'!A1816&gt;0,HYPERLINK("#"&amp;ADDRESS(1816,'r1'!A1816),""),""))</f>
        <v/>
      </c>
      <c r="C1816" s="13"/>
      <c r="D1816" s="14"/>
      <c r="E1816" s="15"/>
      <c r="F1816" s="16"/>
      <c r="G1816" s="17"/>
      <c r="H1816" s="18"/>
      <c r="I1816" s="19"/>
      <c r="J1816" s="20"/>
      <c r="K1816" s="21"/>
      <c r="L1816" s="22"/>
      <c r="M1816" s="23"/>
      <c r="N1816" s="24"/>
      <c r="O1816" s="25"/>
      <c r="P1816" s="26"/>
      <c r="Q1816" s="27"/>
      <c r="R1816" s="28"/>
      <c r="S1816" s="29"/>
      <c r="T1816" s="30"/>
    </row>
    <row r="1817" spans="1:20" ht="24" customHeight="1" x14ac:dyDescent="0.25">
      <c r="A1817" t="str">
        <f>IF('e1'!A1817&gt;0,HYPERLINK("#"&amp;ADDRESS(1817,'e1'!A1817),""),IF('r1'!A1817&gt;0,HYPERLINK("#"&amp;ADDRESS(1817,'r1'!A1817),""),""))</f>
        <v/>
      </c>
      <c r="C1817" s="13"/>
      <c r="D1817" s="14"/>
      <c r="E1817" s="15"/>
      <c r="F1817" s="16"/>
      <c r="G1817" s="17"/>
      <c r="H1817" s="18"/>
      <c r="I1817" s="19"/>
      <c r="J1817" s="20"/>
      <c r="K1817" s="21"/>
      <c r="L1817" s="22"/>
      <c r="M1817" s="23"/>
      <c r="N1817" s="24"/>
      <c r="O1817" s="25"/>
      <c r="P1817" s="26"/>
      <c r="Q1817" s="27"/>
      <c r="R1817" s="28"/>
      <c r="S1817" s="29"/>
      <c r="T1817" s="30"/>
    </row>
    <row r="1818" spans="1:20" ht="24" customHeight="1" x14ac:dyDescent="0.25">
      <c r="A1818" t="str">
        <f>IF('e1'!A1818&gt;0,HYPERLINK("#"&amp;ADDRESS(1818,'e1'!A1818),""),IF('r1'!A1818&gt;0,HYPERLINK("#"&amp;ADDRESS(1818,'r1'!A1818),""),""))</f>
        <v/>
      </c>
      <c r="C1818" s="13"/>
      <c r="D1818" s="14"/>
      <c r="E1818" s="15"/>
      <c r="F1818" s="16"/>
      <c r="G1818" s="17"/>
      <c r="H1818" s="18"/>
      <c r="I1818" s="19"/>
      <c r="J1818" s="20"/>
      <c r="K1818" s="21"/>
      <c r="L1818" s="22"/>
      <c r="M1818" s="23"/>
      <c r="N1818" s="24"/>
      <c r="O1818" s="25"/>
      <c r="P1818" s="26"/>
      <c r="Q1818" s="27"/>
      <c r="R1818" s="28"/>
      <c r="S1818" s="29"/>
      <c r="T1818" s="30"/>
    </row>
    <row r="1819" spans="1:20" ht="24" customHeight="1" x14ac:dyDescent="0.25">
      <c r="A1819" t="str">
        <f>IF('e1'!A1819&gt;0,HYPERLINK("#"&amp;ADDRESS(1819,'e1'!A1819),""),IF('r1'!A1819&gt;0,HYPERLINK("#"&amp;ADDRESS(1819,'r1'!A1819),""),""))</f>
        <v/>
      </c>
      <c r="C1819" s="13"/>
      <c r="D1819" s="14"/>
      <c r="E1819" s="15"/>
      <c r="F1819" s="16"/>
      <c r="G1819" s="17"/>
      <c r="H1819" s="18"/>
      <c r="I1819" s="19"/>
      <c r="J1819" s="20"/>
      <c r="K1819" s="21"/>
      <c r="L1819" s="22"/>
      <c r="M1819" s="23"/>
      <c r="N1819" s="24"/>
      <c r="O1819" s="25"/>
      <c r="P1819" s="26"/>
      <c r="Q1819" s="27"/>
      <c r="R1819" s="28"/>
      <c r="S1819" s="29"/>
      <c r="T1819" s="30"/>
    </row>
    <row r="1820" spans="1:20" ht="24" customHeight="1" x14ac:dyDescent="0.25">
      <c r="A1820" t="str">
        <f>IF('e1'!A1820&gt;0,HYPERLINK("#"&amp;ADDRESS(1820,'e1'!A1820),""),IF('r1'!A1820&gt;0,HYPERLINK("#"&amp;ADDRESS(1820,'r1'!A1820),""),""))</f>
        <v/>
      </c>
      <c r="C1820" s="13"/>
      <c r="D1820" s="14"/>
      <c r="E1820" s="15"/>
      <c r="F1820" s="16"/>
      <c r="G1820" s="17"/>
      <c r="H1820" s="18"/>
      <c r="I1820" s="19"/>
      <c r="J1820" s="20"/>
      <c r="K1820" s="21"/>
      <c r="L1820" s="22"/>
      <c r="M1820" s="23"/>
      <c r="N1820" s="24"/>
      <c r="O1820" s="25"/>
      <c r="P1820" s="26"/>
      <c r="Q1820" s="27"/>
      <c r="R1820" s="28"/>
      <c r="S1820" s="29"/>
      <c r="T1820" s="30"/>
    </row>
    <row r="1821" spans="1:20" ht="24" customHeight="1" x14ac:dyDescent="0.25">
      <c r="A1821" t="str">
        <f>IF('e1'!A1821&gt;0,HYPERLINK("#"&amp;ADDRESS(1821,'e1'!A1821),""),IF('r1'!A1821&gt;0,HYPERLINK("#"&amp;ADDRESS(1821,'r1'!A1821),""),""))</f>
        <v/>
      </c>
      <c r="C1821" s="13"/>
      <c r="D1821" s="14"/>
      <c r="E1821" s="15"/>
      <c r="F1821" s="16"/>
      <c r="G1821" s="17"/>
      <c r="H1821" s="18"/>
      <c r="I1821" s="19"/>
      <c r="J1821" s="20"/>
      <c r="K1821" s="21"/>
      <c r="L1821" s="22"/>
      <c r="M1821" s="23"/>
      <c r="N1821" s="24"/>
      <c r="O1821" s="25"/>
      <c r="P1821" s="26"/>
      <c r="Q1821" s="27"/>
      <c r="R1821" s="28"/>
      <c r="S1821" s="29"/>
      <c r="T1821" s="30"/>
    </row>
    <row r="1822" spans="1:20" ht="24" customHeight="1" x14ac:dyDescent="0.25">
      <c r="A1822" t="str">
        <f>IF('e1'!A1822&gt;0,HYPERLINK("#"&amp;ADDRESS(1822,'e1'!A1822),""),IF('r1'!A1822&gt;0,HYPERLINK("#"&amp;ADDRESS(1822,'r1'!A1822),""),""))</f>
        <v/>
      </c>
      <c r="C1822" s="13"/>
      <c r="D1822" s="14"/>
      <c r="E1822" s="15"/>
      <c r="F1822" s="16"/>
      <c r="G1822" s="17"/>
      <c r="H1822" s="18"/>
      <c r="I1822" s="19"/>
      <c r="J1822" s="20"/>
      <c r="K1822" s="21"/>
      <c r="L1822" s="22"/>
      <c r="M1822" s="23"/>
      <c r="N1822" s="24"/>
      <c r="O1822" s="25"/>
      <c r="P1822" s="26"/>
      <c r="Q1822" s="27"/>
      <c r="R1822" s="28"/>
      <c r="S1822" s="29"/>
      <c r="T1822" s="30"/>
    </row>
    <row r="1823" spans="1:20" ht="24" customHeight="1" x14ac:dyDescent="0.25">
      <c r="A1823" t="str">
        <f>IF('e1'!A1823&gt;0,HYPERLINK("#"&amp;ADDRESS(1823,'e1'!A1823),""),IF('r1'!A1823&gt;0,HYPERLINK("#"&amp;ADDRESS(1823,'r1'!A1823),""),""))</f>
        <v/>
      </c>
      <c r="C1823" s="13"/>
      <c r="D1823" s="14"/>
      <c r="E1823" s="15"/>
      <c r="F1823" s="16"/>
      <c r="G1823" s="17"/>
      <c r="H1823" s="18"/>
      <c r="I1823" s="19"/>
      <c r="J1823" s="20"/>
      <c r="K1823" s="21"/>
      <c r="L1823" s="22"/>
      <c r="M1823" s="23"/>
      <c r="N1823" s="24"/>
      <c r="O1823" s="25"/>
      <c r="P1823" s="26"/>
      <c r="Q1823" s="27"/>
      <c r="R1823" s="28"/>
      <c r="S1823" s="29"/>
      <c r="T1823" s="30"/>
    </row>
    <row r="1824" spans="1:20" ht="24" customHeight="1" x14ac:dyDescent="0.25">
      <c r="A1824" t="str">
        <f>IF('e1'!A1824&gt;0,HYPERLINK("#"&amp;ADDRESS(1824,'e1'!A1824),""),IF('r1'!A1824&gt;0,HYPERLINK("#"&amp;ADDRESS(1824,'r1'!A1824),""),""))</f>
        <v/>
      </c>
      <c r="C1824" s="13"/>
      <c r="D1824" s="14"/>
      <c r="E1824" s="15"/>
      <c r="F1824" s="16"/>
      <c r="G1824" s="17"/>
      <c r="H1824" s="18"/>
      <c r="I1824" s="19"/>
      <c r="J1824" s="20"/>
      <c r="K1824" s="21"/>
      <c r="L1824" s="22"/>
      <c r="M1824" s="23"/>
      <c r="N1824" s="24"/>
      <c r="O1824" s="25"/>
      <c r="P1824" s="26"/>
      <c r="Q1824" s="27"/>
      <c r="R1824" s="28"/>
      <c r="S1824" s="29"/>
      <c r="T1824" s="30"/>
    </row>
    <row r="1825" spans="1:20" ht="24" customHeight="1" x14ac:dyDescent="0.25">
      <c r="A1825" t="str">
        <f>IF('e1'!A1825&gt;0,HYPERLINK("#"&amp;ADDRESS(1825,'e1'!A1825),""),IF('r1'!A1825&gt;0,HYPERLINK("#"&amp;ADDRESS(1825,'r1'!A1825),""),""))</f>
        <v/>
      </c>
      <c r="C1825" s="13"/>
      <c r="D1825" s="14"/>
      <c r="E1825" s="15"/>
      <c r="F1825" s="16"/>
      <c r="G1825" s="17"/>
      <c r="H1825" s="18"/>
      <c r="I1825" s="19"/>
      <c r="J1825" s="20"/>
      <c r="K1825" s="21"/>
      <c r="L1825" s="22"/>
      <c r="M1825" s="23"/>
      <c r="N1825" s="24"/>
      <c r="O1825" s="25"/>
      <c r="P1825" s="26"/>
      <c r="Q1825" s="27"/>
      <c r="R1825" s="28"/>
      <c r="S1825" s="29"/>
      <c r="T1825" s="30"/>
    </row>
    <row r="1826" spans="1:20" ht="24" customHeight="1" x14ac:dyDescent="0.25">
      <c r="A1826" t="str">
        <f>IF('e1'!A1826&gt;0,HYPERLINK("#"&amp;ADDRESS(1826,'e1'!A1826),""),IF('r1'!A1826&gt;0,HYPERLINK("#"&amp;ADDRESS(1826,'r1'!A1826),""),""))</f>
        <v/>
      </c>
      <c r="C1826" s="13"/>
      <c r="D1826" s="14"/>
      <c r="E1826" s="15"/>
      <c r="F1826" s="16"/>
      <c r="G1826" s="17"/>
      <c r="H1826" s="18"/>
      <c r="I1826" s="19"/>
      <c r="J1826" s="20"/>
      <c r="K1826" s="21"/>
      <c r="L1826" s="22"/>
      <c r="M1826" s="23"/>
      <c r="N1826" s="24"/>
      <c r="O1826" s="25"/>
      <c r="P1826" s="26"/>
      <c r="Q1826" s="27"/>
      <c r="R1826" s="28"/>
      <c r="S1826" s="29"/>
      <c r="T1826" s="30"/>
    </row>
    <row r="1827" spans="1:20" ht="24" customHeight="1" x14ac:dyDescent="0.25">
      <c r="A1827" t="str">
        <f>IF('e1'!A1827&gt;0,HYPERLINK("#"&amp;ADDRESS(1827,'e1'!A1827),""),IF('r1'!A1827&gt;0,HYPERLINK("#"&amp;ADDRESS(1827,'r1'!A1827),""),""))</f>
        <v/>
      </c>
      <c r="C1827" s="13"/>
      <c r="D1827" s="14"/>
      <c r="E1827" s="15"/>
      <c r="F1827" s="16"/>
      <c r="G1827" s="17"/>
      <c r="H1827" s="18"/>
      <c r="I1827" s="19"/>
      <c r="J1827" s="20"/>
      <c r="K1827" s="21"/>
      <c r="L1827" s="22"/>
      <c r="M1827" s="23"/>
      <c r="N1827" s="24"/>
      <c r="O1827" s="25"/>
      <c r="P1827" s="26"/>
      <c r="Q1827" s="27"/>
      <c r="R1827" s="28"/>
      <c r="S1827" s="29"/>
      <c r="T1827" s="30"/>
    </row>
    <row r="1828" spans="1:20" ht="24" customHeight="1" x14ac:dyDescent="0.25">
      <c r="A1828" t="str">
        <f>IF('e1'!A1828&gt;0,HYPERLINK("#"&amp;ADDRESS(1828,'e1'!A1828),""),IF('r1'!A1828&gt;0,HYPERLINK("#"&amp;ADDRESS(1828,'r1'!A1828),""),""))</f>
        <v/>
      </c>
      <c r="C1828" s="13"/>
      <c r="D1828" s="14"/>
      <c r="E1828" s="15"/>
      <c r="F1828" s="16"/>
      <c r="G1828" s="17"/>
      <c r="H1828" s="18"/>
      <c r="I1828" s="19"/>
      <c r="J1828" s="20"/>
      <c r="K1828" s="21"/>
      <c r="L1828" s="22"/>
      <c r="M1828" s="23"/>
      <c r="N1828" s="24"/>
      <c r="O1828" s="25"/>
      <c r="P1828" s="26"/>
      <c r="Q1828" s="27"/>
      <c r="R1828" s="28"/>
      <c r="S1828" s="29"/>
      <c r="T1828" s="30"/>
    </row>
    <row r="1829" spans="1:20" ht="24" customHeight="1" x14ac:dyDescent="0.25">
      <c r="A1829" t="str">
        <f>IF('e1'!A1829&gt;0,HYPERLINK("#"&amp;ADDRESS(1829,'e1'!A1829),""),IF('r1'!A1829&gt;0,HYPERLINK("#"&amp;ADDRESS(1829,'r1'!A1829),""),""))</f>
        <v/>
      </c>
      <c r="C1829" s="13"/>
      <c r="D1829" s="14"/>
      <c r="E1829" s="15"/>
      <c r="F1829" s="16"/>
      <c r="G1829" s="17"/>
      <c r="H1829" s="18"/>
      <c r="I1829" s="19"/>
      <c r="J1829" s="20"/>
      <c r="K1829" s="21"/>
      <c r="L1829" s="22"/>
      <c r="M1829" s="23"/>
      <c r="N1829" s="24"/>
      <c r="O1829" s="25"/>
      <c r="P1829" s="26"/>
      <c r="Q1829" s="27"/>
      <c r="R1829" s="28"/>
      <c r="S1829" s="29"/>
      <c r="T1829" s="30"/>
    </row>
    <row r="1830" spans="1:20" ht="24" customHeight="1" x14ac:dyDescent="0.25">
      <c r="A1830" t="str">
        <f>IF('e1'!A1830&gt;0,HYPERLINK("#"&amp;ADDRESS(1830,'e1'!A1830),""),IF('r1'!A1830&gt;0,HYPERLINK("#"&amp;ADDRESS(1830,'r1'!A1830),""),""))</f>
        <v/>
      </c>
      <c r="C1830" s="13"/>
      <c r="D1830" s="14"/>
      <c r="E1830" s="15"/>
      <c r="F1830" s="16"/>
      <c r="G1830" s="17"/>
      <c r="H1830" s="18"/>
      <c r="I1830" s="19"/>
      <c r="J1830" s="20"/>
      <c r="K1830" s="21"/>
      <c r="L1830" s="22"/>
      <c r="M1830" s="23"/>
      <c r="N1830" s="24"/>
      <c r="O1830" s="25"/>
      <c r="P1830" s="26"/>
      <c r="Q1830" s="27"/>
      <c r="R1830" s="28"/>
      <c r="S1830" s="29"/>
      <c r="T1830" s="30"/>
    </row>
    <row r="1831" spans="1:20" ht="24" customHeight="1" x14ac:dyDescent="0.25">
      <c r="A1831" t="str">
        <f>IF('e1'!A1831&gt;0,HYPERLINK("#"&amp;ADDRESS(1831,'e1'!A1831),""),IF('r1'!A1831&gt;0,HYPERLINK("#"&amp;ADDRESS(1831,'r1'!A1831),""),""))</f>
        <v/>
      </c>
      <c r="C1831" s="13"/>
      <c r="D1831" s="14"/>
      <c r="E1831" s="15"/>
      <c r="F1831" s="16"/>
      <c r="G1831" s="17"/>
      <c r="H1831" s="18"/>
      <c r="I1831" s="19"/>
      <c r="J1831" s="20"/>
      <c r="K1831" s="21"/>
      <c r="L1831" s="22"/>
      <c r="M1831" s="23"/>
      <c r="N1831" s="24"/>
      <c r="O1831" s="25"/>
      <c r="P1831" s="26"/>
      <c r="Q1831" s="27"/>
      <c r="R1831" s="28"/>
      <c r="S1831" s="29"/>
      <c r="T1831" s="30"/>
    </row>
    <row r="1832" spans="1:20" ht="24" customHeight="1" x14ac:dyDescent="0.25">
      <c r="A1832" t="str">
        <f>IF('e1'!A1832&gt;0,HYPERLINK("#"&amp;ADDRESS(1832,'e1'!A1832),""),IF('r1'!A1832&gt;0,HYPERLINK("#"&amp;ADDRESS(1832,'r1'!A1832),""),""))</f>
        <v/>
      </c>
      <c r="C1832" s="13"/>
      <c r="D1832" s="14"/>
      <c r="E1832" s="15"/>
      <c r="F1832" s="16"/>
      <c r="G1832" s="17"/>
      <c r="H1832" s="18"/>
      <c r="I1832" s="19"/>
      <c r="J1832" s="20"/>
      <c r="K1832" s="21"/>
      <c r="L1832" s="22"/>
      <c r="M1832" s="23"/>
      <c r="N1832" s="24"/>
      <c r="O1832" s="25"/>
      <c r="P1832" s="26"/>
      <c r="Q1832" s="27"/>
      <c r="R1832" s="28"/>
      <c r="S1832" s="29"/>
      <c r="T1832" s="30"/>
    </row>
    <row r="1833" spans="1:20" ht="24" customHeight="1" x14ac:dyDescent="0.25">
      <c r="A1833" t="str">
        <f>IF('e1'!A1833&gt;0,HYPERLINK("#"&amp;ADDRESS(1833,'e1'!A1833),""),IF('r1'!A1833&gt;0,HYPERLINK("#"&amp;ADDRESS(1833,'r1'!A1833),""),""))</f>
        <v/>
      </c>
      <c r="C1833" s="13"/>
      <c r="D1833" s="14"/>
      <c r="E1833" s="15"/>
      <c r="F1833" s="16"/>
      <c r="G1833" s="17"/>
      <c r="H1833" s="18"/>
      <c r="I1833" s="19"/>
      <c r="J1833" s="20"/>
      <c r="K1833" s="21"/>
      <c r="L1833" s="22"/>
      <c r="M1833" s="23"/>
      <c r="N1833" s="24"/>
      <c r="O1833" s="25"/>
      <c r="P1833" s="26"/>
      <c r="Q1833" s="27"/>
      <c r="R1833" s="28"/>
      <c r="S1833" s="29"/>
      <c r="T1833" s="30"/>
    </row>
    <row r="1834" spans="1:20" ht="24" customHeight="1" x14ac:dyDescent="0.25">
      <c r="A1834" t="str">
        <f>IF('e1'!A1834&gt;0,HYPERLINK("#"&amp;ADDRESS(1834,'e1'!A1834),""),IF('r1'!A1834&gt;0,HYPERLINK("#"&amp;ADDRESS(1834,'r1'!A1834),""),""))</f>
        <v/>
      </c>
      <c r="C1834" s="13"/>
      <c r="D1834" s="14"/>
      <c r="E1834" s="15"/>
      <c r="F1834" s="16"/>
      <c r="G1834" s="17"/>
      <c r="H1834" s="18"/>
      <c r="I1834" s="19"/>
      <c r="J1834" s="20"/>
      <c r="K1834" s="21"/>
      <c r="L1834" s="22"/>
      <c r="M1834" s="23"/>
      <c r="N1834" s="24"/>
      <c r="O1834" s="25"/>
      <c r="P1834" s="26"/>
      <c r="Q1834" s="27"/>
      <c r="R1834" s="28"/>
      <c r="S1834" s="29"/>
      <c r="T1834" s="30"/>
    </row>
    <row r="1835" spans="1:20" ht="24" customHeight="1" x14ac:dyDescent="0.25">
      <c r="A1835" t="str">
        <f>IF('e1'!A1835&gt;0,HYPERLINK("#"&amp;ADDRESS(1835,'e1'!A1835),""),IF('r1'!A1835&gt;0,HYPERLINK("#"&amp;ADDRESS(1835,'r1'!A1835),""),""))</f>
        <v/>
      </c>
      <c r="C1835" s="13"/>
      <c r="D1835" s="14"/>
      <c r="E1835" s="15"/>
      <c r="F1835" s="16"/>
      <c r="G1835" s="17"/>
      <c r="H1835" s="18"/>
      <c r="I1835" s="19"/>
      <c r="J1835" s="20"/>
      <c r="K1835" s="21"/>
      <c r="L1835" s="22"/>
      <c r="M1835" s="23"/>
      <c r="N1835" s="24"/>
      <c r="O1835" s="25"/>
      <c r="P1835" s="26"/>
      <c r="Q1835" s="27"/>
      <c r="R1835" s="28"/>
      <c r="S1835" s="29"/>
      <c r="T1835" s="30"/>
    </row>
    <row r="1836" spans="1:20" ht="24" customHeight="1" x14ac:dyDescent="0.25">
      <c r="A1836" t="str">
        <f>IF('e1'!A1836&gt;0,HYPERLINK("#"&amp;ADDRESS(1836,'e1'!A1836),""),IF('r1'!A1836&gt;0,HYPERLINK("#"&amp;ADDRESS(1836,'r1'!A1836),""),""))</f>
        <v/>
      </c>
      <c r="C1836" s="13"/>
      <c r="D1836" s="14"/>
      <c r="E1836" s="15"/>
      <c r="F1836" s="16"/>
      <c r="G1836" s="17"/>
      <c r="H1836" s="18"/>
      <c r="I1836" s="19"/>
      <c r="J1836" s="20"/>
      <c r="K1836" s="21"/>
      <c r="L1836" s="22"/>
      <c r="M1836" s="23"/>
      <c r="N1836" s="24"/>
      <c r="O1836" s="25"/>
      <c r="P1836" s="26"/>
      <c r="Q1836" s="27"/>
      <c r="R1836" s="28"/>
      <c r="S1836" s="29"/>
      <c r="T1836" s="30"/>
    </row>
    <row r="1837" spans="1:20" ht="24" customHeight="1" x14ac:dyDescent="0.25">
      <c r="A1837" t="str">
        <f>IF('e1'!A1837&gt;0,HYPERLINK("#"&amp;ADDRESS(1837,'e1'!A1837),""),IF('r1'!A1837&gt;0,HYPERLINK("#"&amp;ADDRESS(1837,'r1'!A1837),""),""))</f>
        <v/>
      </c>
      <c r="C1837" s="13"/>
      <c r="D1837" s="14"/>
      <c r="E1837" s="15"/>
      <c r="F1837" s="16"/>
      <c r="G1837" s="17"/>
      <c r="H1837" s="18"/>
      <c r="I1837" s="19"/>
      <c r="J1837" s="20"/>
      <c r="K1837" s="21"/>
      <c r="L1837" s="22"/>
      <c r="M1837" s="23"/>
      <c r="N1837" s="24"/>
      <c r="O1837" s="25"/>
      <c r="P1837" s="26"/>
      <c r="Q1837" s="27"/>
      <c r="R1837" s="28"/>
      <c r="S1837" s="29"/>
      <c r="T1837" s="30"/>
    </row>
    <row r="1838" spans="1:20" ht="24" customHeight="1" x14ac:dyDescent="0.25">
      <c r="A1838" t="str">
        <f>IF('e1'!A1838&gt;0,HYPERLINK("#"&amp;ADDRESS(1838,'e1'!A1838),""),IF('r1'!A1838&gt;0,HYPERLINK("#"&amp;ADDRESS(1838,'r1'!A1838),""),""))</f>
        <v/>
      </c>
      <c r="C1838" s="13"/>
      <c r="D1838" s="14"/>
      <c r="E1838" s="15"/>
      <c r="F1838" s="16"/>
      <c r="G1838" s="17"/>
      <c r="H1838" s="18"/>
      <c r="I1838" s="19"/>
      <c r="J1838" s="20"/>
      <c r="K1838" s="21"/>
      <c r="L1838" s="22"/>
      <c r="M1838" s="23"/>
      <c r="N1838" s="24"/>
      <c r="O1838" s="25"/>
      <c r="P1838" s="26"/>
      <c r="Q1838" s="27"/>
      <c r="R1838" s="28"/>
      <c r="S1838" s="29"/>
      <c r="T1838" s="30"/>
    </row>
    <row r="1839" spans="1:20" ht="24" customHeight="1" x14ac:dyDescent="0.25">
      <c r="A1839" t="str">
        <f>IF('e1'!A1839&gt;0,HYPERLINK("#"&amp;ADDRESS(1839,'e1'!A1839),""),IF('r1'!A1839&gt;0,HYPERLINK("#"&amp;ADDRESS(1839,'r1'!A1839),""),""))</f>
        <v/>
      </c>
      <c r="C1839" s="13"/>
      <c r="D1839" s="14"/>
      <c r="E1839" s="15"/>
      <c r="F1839" s="16"/>
      <c r="G1839" s="17"/>
      <c r="H1839" s="18"/>
      <c r="I1839" s="19"/>
      <c r="J1839" s="20"/>
      <c r="K1839" s="21"/>
      <c r="L1839" s="22"/>
      <c r="M1839" s="23"/>
      <c r="N1839" s="24"/>
      <c r="O1839" s="25"/>
      <c r="P1839" s="26"/>
      <c r="Q1839" s="27"/>
      <c r="R1839" s="28"/>
      <c r="S1839" s="29"/>
      <c r="T1839" s="30"/>
    </row>
    <row r="1840" spans="1:20" ht="24" customHeight="1" x14ac:dyDescent="0.25">
      <c r="A1840" t="str">
        <f>IF('e1'!A1840&gt;0,HYPERLINK("#"&amp;ADDRESS(1840,'e1'!A1840),""),IF('r1'!A1840&gt;0,HYPERLINK("#"&amp;ADDRESS(1840,'r1'!A1840),""),""))</f>
        <v/>
      </c>
      <c r="C1840" s="13"/>
      <c r="D1840" s="14"/>
      <c r="E1840" s="15"/>
      <c r="F1840" s="16"/>
      <c r="G1840" s="17"/>
      <c r="H1840" s="18"/>
      <c r="I1840" s="19"/>
      <c r="J1840" s="20"/>
      <c r="K1840" s="21"/>
      <c r="L1840" s="22"/>
      <c r="M1840" s="23"/>
      <c r="N1840" s="24"/>
      <c r="O1840" s="25"/>
      <c r="P1840" s="26"/>
      <c r="Q1840" s="27"/>
      <c r="R1840" s="28"/>
      <c r="S1840" s="29"/>
      <c r="T1840" s="30"/>
    </row>
    <row r="1841" spans="1:20" ht="24" customHeight="1" x14ac:dyDescent="0.25">
      <c r="A1841" t="str">
        <f>IF('e1'!A1841&gt;0,HYPERLINK("#"&amp;ADDRESS(1841,'e1'!A1841),""),IF('r1'!A1841&gt;0,HYPERLINK("#"&amp;ADDRESS(1841,'r1'!A1841),""),""))</f>
        <v/>
      </c>
      <c r="C1841" s="13"/>
      <c r="D1841" s="14"/>
      <c r="E1841" s="15"/>
      <c r="F1841" s="16"/>
      <c r="G1841" s="17"/>
      <c r="H1841" s="18"/>
      <c r="I1841" s="19"/>
      <c r="J1841" s="20"/>
      <c r="K1841" s="21"/>
      <c r="L1841" s="22"/>
      <c r="M1841" s="23"/>
      <c r="N1841" s="24"/>
      <c r="O1841" s="25"/>
      <c r="P1841" s="26"/>
      <c r="Q1841" s="27"/>
      <c r="R1841" s="28"/>
      <c r="S1841" s="29"/>
      <c r="T1841" s="30"/>
    </row>
    <row r="1842" spans="1:20" ht="24" customHeight="1" x14ac:dyDescent="0.25">
      <c r="A1842" t="str">
        <f>IF('e1'!A1842&gt;0,HYPERLINK("#"&amp;ADDRESS(1842,'e1'!A1842),""),IF('r1'!A1842&gt;0,HYPERLINK("#"&amp;ADDRESS(1842,'r1'!A1842),""),""))</f>
        <v/>
      </c>
      <c r="C1842" s="13"/>
      <c r="D1842" s="14"/>
      <c r="E1842" s="15"/>
      <c r="F1842" s="16"/>
      <c r="G1842" s="17"/>
      <c r="H1842" s="18"/>
      <c r="I1842" s="19"/>
      <c r="J1842" s="20"/>
      <c r="K1842" s="21"/>
      <c r="L1842" s="22"/>
      <c r="M1842" s="23"/>
      <c r="N1842" s="24"/>
      <c r="O1842" s="25"/>
      <c r="P1842" s="26"/>
      <c r="Q1842" s="27"/>
      <c r="R1842" s="28"/>
      <c r="S1842" s="29"/>
      <c r="T1842" s="30"/>
    </row>
    <row r="1843" spans="1:20" ht="24" customHeight="1" x14ac:dyDescent="0.25">
      <c r="A1843" t="str">
        <f>IF('e1'!A1843&gt;0,HYPERLINK("#"&amp;ADDRESS(1843,'e1'!A1843),""),IF('r1'!A1843&gt;0,HYPERLINK("#"&amp;ADDRESS(1843,'r1'!A1843),""),""))</f>
        <v/>
      </c>
      <c r="C1843" s="13"/>
      <c r="D1843" s="14"/>
      <c r="E1843" s="15"/>
      <c r="F1843" s="16"/>
      <c r="G1843" s="17"/>
      <c r="H1843" s="18"/>
      <c r="I1843" s="19"/>
      <c r="J1843" s="20"/>
      <c r="K1843" s="21"/>
      <c r="L1843" s="22"/>
      <c r="M1843" s="23"/>
      <c r="N1843" s="24"/>
      <c r="O1843" s="25"/>
      <c r="P1843" s="26"/>
      <c r="Q1843" s="27"/>
      <c r="R1843" s="28"/>
      <c r="S1843" s="29"/>
      <c r="T1843" s="30"/>
    </row>
    <row r="1844" spans="1:20" ht="24" customHeight="1" x14ac:dyDescent="0.25">
      <c r="A1844" t="str">
        <f>IF('e1'!A1844&gt;0,HYPERLINK("#"&amp;ADDRESS(1844,'e1'!A1844),""),IF('r1'!A1844&gt;0,HYPERLINK("#"&amp;ADDRESS(1844,'r1'!A1844),""),""))</f>
        <v/>
      </c>
      <c r="C1844" s="13"/>
      <c r="D1844" s="14"/>
      <c r="E1844" s="15"/>
      <c r="F1844" s="16"/>
      <c r="G1844" s="17"/>
      <c r="H1844" s="18"/>
      <c r="I1844" s="19"/>
      <c r="J1844" s="20"/>
      <c r="K1844" s="21"/>
      <c r="L1844" s="22"/>
      <c r="M1844" s="23"/>
      <c r="N1844" s="24"/>
      <c r="O1844" s="25"/>
      <c r="P1844" s="26"/>
      <c r="Q1844" s="27"/>
      <c r="R1844" s="28"/>
      <c r="S1844" s="29"/>
      <c r="T1844" s="30"/>
    </row>
    <row r="1845" spans="1:20" ht="24" customHeight="1" x14ac:dyDescent="0.25">
      <c r="A1845" t="str">
        <f>IF('e1'!A1845&gt;0,HYPERLINK("#"&amp;ADDRESS(1845,'e1'!A1845),""),IF('r1'!A1845&gt;0,HYPERLINK("#"&amp;ADDRESS(1845,'r1'!A1845),""),""))</f>
        <v/>
      </c>
      <c r="C1845" s="13"/>
      <c r="D1845" s="14"/>
      <c r="E1845" s="15"/>
      <c r="F1845" s="16"/>
      <c r="G1845" s="17"/>
      <c r="H1845" s="18"/>
      <c r="I1845" s="19"/>
      <c r="J1845" s="20"/>
      <c r="K1845" s="21"/>
      <c r="L1845" s="22"/>
      <c r="M1845" s="23"/>
      <c r="N1845" s="24"/>
      <c r="O1845" s="25"/>
      <c r="P1845" s="26"/>
      <c r="Q1845" s="27"/>
      <c r="R1845" s="28"/>
      <c r="S1845" s="29"/>
      <c r="T1845" s="30"/>
    </row>
    <row r="1846" spans="1:20" ht="24" customHeight="1" x14ac:dyDescent="0.25">
      <c r="A1846" t="str">
        <f>IF('e1'!A1846&gt;0,HYPERLINK("#"&amp;ADDRESS(1846,'e1'!A1846),""),IF('r1'!A1846&gt;0,HYPERLINK("#"&amp;ADDRESS(1846,'r1'!A1846),""),""))</f>
        <v/>
      </c>
      <c r="C1846" s="13"/>
      <c r="D1846" s="14"/>
      <c r="E1846" s="15"/>
      <c r="F1846" s="16"/>
      <c r="G1846" s="17"/>
      <c r="H1846" s="18"/>
      <c r="I1846" s="19"/>
      <c r="J1846" s="20"/>
      <c r="K1846" s="21"/>
      <c r="L1846" s="22"/>
      <c r="M1846" s="23"/>
      <c r="N1846" s="24"/>
      <c r="O1846" s="25"/>
      <c r="P1846" s="26"/>
      <c r="Q1846" s="27"/>
      <c r="R1846" s="28"/>
      <c r="S1846" s="29"/>
      <c r="T1846" s="30"/>
    </row>
    <row r="1847" spans="1:20" ht="24" customHeight="1" x14ac:dyDescent="0.25">
      <c r="A1847" t="str">
        <f>IF('e1'!A1847&gt;0,HYPERLINK("#"&amp;ADDRESS(1847,'e1'!A1847),""),IF('r1'!A1847&gt;0,HYPERLINK("#"&amp;ADDRESS(1847,'r1'!A1847),""),""))</f>
        <v/>
      </c>
      <c r="C1847" s="13"/>
      <c r="D1847" s="14"/>
      <c r="E1847" s="15"/>
      <c r="F1847" s="16"/>
      <c r="G1847" s="17"/>
      <c r="H1847" s="18"/>
      <c r="I1847" s="19"/>
      <c r="J1847" s="20"/>
      <c r="K1847" s="21"/>
      <c r="L1847" s="22"/>
      <c r="M1847" s="23"/>
      <c r="N1847" s="24"/>
      <c r="O1847" s="25"/>
      <c r="P1847" s="26"/>
      <c r="Q1847" s="27"/>
      <c r="R1847" s="28"/>
      <c r="S1847" s="29"/>
      <c r="T1847" s="30"/>
    </row>
    <row r="1848" spans="1:20" ht="24" customHeight="1" x14ac:dyDescent="0.25">
      <c r="A1848" t="str">
        <f>IF('e1'!A1848&gt;0,HYPERLINK("#"&amp;ADDRESS(1848,'e1'!A1848),""),IF('r1'!A1848&gt;0,HYPERLINK("#"&amp;ADDRESS(1848,'r1'!A1848),""),""))</f>
        <v/>
      </c>
      <c r="C1848" s="13"/>
      <c r="D1848" s="14"/>
      <c r="E1848" s="15"/>
      <c r="F1848" s="16"/>
      <c r="G1848" s="17"/>
      <c r="H1848" s="18"/>
      <c r="I1848" s="19"/>
      <c r="J1848" s="20"/>
      <c r="K1848" s="21"/>
      <c r="L1848" s="22"/>
      <c r="M1848" s="23"/>
      <c r="N1848" s="24"/>
      <c r="O1848" s="25"/>
      <c r="P1848" s="26"/>
      <c r="Q1848" s="27"/>
      <c r="R1848" s="28"/>
      <c r="S1848" s="29"/>
      <c r="T1848" s="30"/>
    </row>
    <row r="1849" spans="1:20" ht="24" customHeight="1" x14ac:dyDescent="0.25">
      <c r="A1849" t="str">
        <f>IF('e1'!A1849&gt;0,HYPERLINK("#"&amp;ADDRESS(1849,'e1'!A1849),""),IF('r1'!A1849&gt;0,HYPERLINK("#"&amp;ADDRESS(1849,'r1'!A1849),""),""))</f>
        <v/>
      </c>
      <c r="C1849" s="13"/>
      <c r="D1849" s="14"/>
      <c r="E1849" s="15"/>
      <c r="F1849" s="16"/>
      <c r="G1849" s="17"/>
      <c r="H1849" s="18"/>
      <c r="I1849" s="19"/>
      <c r="J1849" s="20"/>
      <c r="K1849" s="21"/>
      <c r="L1849" s="22"/>
      <c r="M1849" s="23"/>
      <c r="N1849" s="24"/>
      <c r="O1849" s="25"/>
      <c r="P1849" s="26"/>
      <c r="Q1849" s="27"/>
      <c r="R1849" s="28"/>
      <c r="S1849" s="29"/>
      <c r="T1849" s="30"/>
    </row>
    <row r="1850" spans="1:20" ht="24" customHeight="1" x14ac:dyDescent="0.25">
      <c r="A1850" t="str">
        <f>IF('e1'!A1850&gt;0,HYPERLINK("#"&amp;ADDRESS(1850,'e1'!A1850),""),IF('r1'!A1850&gt;0,HYPERLINK("#"&amp;ADDRESS(1850,'r1'!A1850),""),""))</f>
        <v/>
      </c>
      <c r="C1850" s="13"/>
      <c r="D1850" s="14"/>
      <c r="E1850" s="15"/>
      <c r="F1850" s="16"/>
      <c r="G1850" s="17"/>
      <c r="H1850" s="18"/>
      <c r="I1850" s="19"/>
      <c r="J1850" s="20"/>
      <c r="K1850" s="21"/>
      <c r="L1850" s="22"/>
      <c r="M1850" s="23"/>
      <c r="N1850" s="24"/>
      <c r="O1850" s="25"/>
      <c r="P1850" s="26"/>
      <c r="Q1850" s="27"/>
      <c r="R1850" s="28"/>
      <c r="S1850" s="29"/>
      <c r="T1850" s="30"/>
    </row>
    <row r="1851" spans="1:20" ht="24" customHeight="1" x14ac:dyDescent="0.25">
      <c r="A1851" t="str">
        <f>IF('e1'!A1851&gt;0,HYPERLINK("#"&amp;ADDRESS(1851,'e1'!A1851),""),IF('r1'!A1851&gt;0,HYPERLINK("#"&amp;ADDRESS(1851,'r1'!A1851),""),""))</f>
        <v/>
      </c>
      <c r="C1851" s="13"/>
      <c r="D1851" s="14"/>
      <c r="E1851" s="15"/>
      <c r="F1851" s="16"/>
      <c r="G1851" s="17"/>
      <c r="H1851" s="18"/>
      <c r="I1851" s="19"/>
      <c r="J1851" s="20"/>
      <c r="K1851" s="21"/>
      <c r="L1851" s="22"/>
      <c r="M1851" s="23"/>
      <c r="N1851" s="24"/>
      <c r="O1851" s="25"/>
      <c r="P1851" s="26"/>
      <c r="Q1851" s="27"/>
      <c r="R1851" s="28"/>
      <c r="S1851" s="29"/>
      <c r="T1851" s="30"/>
    </row>
    <row r="1852" spans="1:20" ht="24" customHeight="1" x14ac:dyDescent="0.25">
      <c r="A1852" t="str">
        <f>IF('e1'!A1852&gt;0,HYPERLINK("#"&amp;ADDRESS(1852,'e1'!A1852),""),IF('r1'!A1852&gt;0,HYPERLINK("#"&amp;ADDRESS(1852,'r1'!A1852),""),""))</f>
        <v/>
      </c>
      <c r="C1852" s="13"/>
      <c r="D1852" s="14"/>
      <c r="E1852" s="15"/>
      <c r="F1852" s="16"/>
      <c r="G1852" s="17"/>
      <c r="H1852" s="18"/>
      <c r="I1852" s="19"/>
      <c r="J1852" s="20"/>
      <c r="K1852" s="21"/>
      <c r="L1852" s="22"/>
      <c r="M1852" s="23"/>
      <c r="N1852" s="24"/>
      <c r="O1852" s="25"/>
      <c r="P1852" s="26"/>
      <c r="Q1852" s="27"/>
      <c r="R1852" s="28"/>
      <c r="S1852" s="29"/>
      <c r="T1852" s="30"/>
    </row>
    <row r="1853" spans="1:20" ht="24" customHeight="1" x14ac:dyDescent="0.25">
      <c r="A1853" t="str">
        <f>IF('e1'!A1853&gt;0,HYPERLINK("#"&amp;ADDRESS(1853,'e1'!A1853),""),IF('r1'!A1853&gt;0,HYPERLINK("#"&amp;ADDRESS(1853,'r1'!A1853),""),""))</f>
        <v/>
      </c>
      <c r="C1853" s="13"/>
      <c r="D1853" s="14"/>
      <c r="E1853" s="15"/>
      <c r="F1853" s="16"/>
      <c r="G1853" s="17"/>
      <c r="H1853" s="18"/>
      <c r="I1853" s="19"/>
      <c r="J1853" s="20"/>
      <c r="K1853" s="21"/>
      <c r="L1853" s="22"/>
      <c r="M1853" s="23"/>
      <c r="N1853" s="24"/>
      <c r="O1853" s="25"/>
      <c r="P1853" s="26"/>
      <c r="Q1853" s="27"/>
      <c r="R1853" s="28"/>
      <c r="S1853" s="29"/>
      <c r="T1853" s="30"/>
    </row>
    <row r="1854" spans="1:20" ht="24" customHeight="1" x14ac:dyDescent="0.25">
      <c r="A1854" t="str">
        <f>IF('e1'!A1854&gt;0,HYPERLINK("#"&amp;ADDRESS(1854,'e1'!A1854),""),IF('r1'!A1854&gt;0,HYPERLINK("#"&amp;ADDRESS(1854,'r1'!A1854),""),""))</f>
        <v/>
      </c>
      <c r="C1854" s="13"/>
      <c r="D1854" s="14"/>
      <c r="E1854" s="15"/>
      <c r="F1854" s="16"/>
      <c r="G1854" s="17"/>
      <c r="H1854" s="18"/>
      <c r="I1854" s="19"/>
      <c r="J1854" s="20"/>
      <c r="K1854" s="21"/>
      <c r="L1854" s="22"/>
      <c r="M1854" s="23"/>
      <c r="N1854" s="24"/>
      <c r="O1854" s="25"/>
      <c r="P1854" s="26"/>
      <c r="Q1854" s="27"/>
      <c r="R1854" s="28"/>
      <c r="S1854" s="29"/>
      <c r="T1854" s="30"/>
    </row>
    <row r="1855" spans="1:20" ht="24" customHeight="1" x14ac:dyDescent="0.25">
      <c r="A1855" t="str">
        <f>IF('e1'!A1855&gt;0,HYPERLINK("#"&amp;ADDRESS(1855,'e1'!A1855),""),IF('r1'!A1855&gt;0,HYPERLINK("#"&amp;ADDRESS(1855,'r1'!A1855),""),""))</f>
        <v/>
      </c>
      <c r="C1855" s="13"/>
      <c r="D1855" s="14"/>
      <c r="E1855" s="15"/>
      <c r="F1855" s="16"/>
      <c r="G1855" s="17"/>
      <c r="H1855" s="18"/>
      <c r="I1855" s="19"/>
      <c r="J1855" s="20"/>
      <c r="K1855" s="21"/>
      <c r="L1855" s="22"/>
      <c r="M1855" s="23"/>
      <c r="N1855" s="24"/>
      <c r="O1855" s="25"/>
      <c r="P1855" s="26"/>
      <c r="Q1855" s="27"/>
      <c r="R1855" s="28"/>
      <c r="S1855" s="29"/>
      <c r="T1855" s="30"/>
    </row>
    <row r="1856" spans="1:20" ht="24" customHeight="1" x14ac:dyDescent="0.25">
      <c r="A1856" t="str">
        <f>IF('e1'!A1856&gt;0,HYPERLINK("#"&amp;ADDRESS(1856,'e1'!A1856),""),IF('r1'!A1856&gt;0,HYPERLINK("#"&amp;ADDRESS(1856,'r1'!A1856),""),""))</f>
        <v/>
      </c>
      <c r="C1856" s="13"/>
      <c r="D1856" s="14"/>
      <c r="E1856" s="15"/>
      <c r="F1856" s="16"/>
      <c r="G1856" s="17"/>
      <c r="H1856" s="18"/>
      <c r="I1856" s="19"/>
      <c r="J1856" s="20"/>
      <c r="K1856" s="21"/>
      <c r="L1856" s="22"/>
      <c r="M1856" s="23"/>
      <c r="N1856" s="24"/>
      <c r="O1856" s="25"/>
      <c r="P1856" s="26"/>
      <c r="Q1856" s="27"/>
      <c r="R1856" s="28"/>
      <c r="S1856" s="29"/>
      <c r="T1856" s="30"/>
    </row>
    <row r="1857" spans="1:20" ht="24" customHeight="1" x14ac:dyDescent="0.25">
      <c r="A1857" t="str">
        <f>IF('e1'!A1857&gt;0,HYPERLINK("#"&amp;ADDRESS(1857,'e1'!A1857),""),IF('r1'!A1857&gt;0,HYPERLINK("#"&amp;ADDRESS(1857,'r1'!A1857),""),""))</f>
        <v/>
      </c>
      <c r="C1857" s="13"/>
      <c r="D1857" s="14"/>
      <c r="E1857" s="15"/>
      <c r="F1857" s="16"/>
      <c r="G1857" s="17"/>
      <c r="H1857" s="18"/>
      <c r="I1857" s="19"/>
      <c r="J1857" s="20"/>
      <c r="K1857" s="21"/>
      <c r="L1857" s="22"/>
      <c r="M1857" s="23"/>
      <c r="N1857" s="24"/>
      <c r="O1857" s="25"/>
      <c r="P1857" s="26"/>
      <c r="Q1857" s="27"/>
      <c r="R1857" s="28"/>
      <c r="S1857" s="29"/>
      <c r="T1857" s="30"/>
    </row>
    <row r="1858" spans="1:20" ht="24" customHeight="1" x14ac:dyDescent="0.25">
      <c r="A1858" t="str">
        <f>IF('e1'!A1858&gt;0,HYPERLINK("#"&amp;ADDRESS(1858,'e1'!A1858),""),IF('r1'!A1858&gt;0,HYPERLINK("#"&amp;ADDRESS(1858,'r1'!A1858),""),""))</f>
        <v/>
      </c>
      <c r="C1858" s="13"/>
      <c r="D1858" s="14"/>
      <c r="E1858" s="15"/>
      <c r="F1858" s="16"/>
      <c r="G1858" s="17"/>
      <c r="H1858" s="18"/>
      <c r="I1858" s="19"/>
      <c r="J1858" s="20"/>
      <c r="K1858" s="21"/>
      <c r="L1858" s="22"/>
      <c r="M1858" s="23"/>
      <c r="N1858" s="24"/>
      <c r="O1858" s="25"/>
      <c r="P1858" s="26"/>
      <c r="Q1858" s="27"/>
      <c r="R1858" s="28"/>
      <c r="S1858" s="29"/>
      <c r="T1858" s="30"/>
    </row>
    <row r="1859" spans="1:20" ht="24" customHeight="1" x14ac:dyDescent="0.25">
      <c r="A1859" t="str">
        <f>IF('e1'!A1859&gt;0,HYPERLINK("#"&amp;ADDRESS(1859,'e1'!A1859),""),IF('r1'!A1859&gt;0,HYPERLINK("#"&amp;ADDRESS(1859,'r1'!A1859),""),""))</f>
        <v/>
      </c>
      <c r="C1859" s="13"/>
      <c r="D1859" s="14"/>
      <c r="E1859" s="15"/>
      <c r="F1859" s="16"/>
      <c r="G1859" s="17"/>
      <c r="H1859" s="18"/>
      <c r="I1859" s="19"/>
      <c r="J1859" s="20"/>
      <c r="K1859" s="21"/>
      <c r="L1859" s="22"/>
      <c r="M1859" s="23"/>
      <c r="N1859" s="24"/>
      <c r="O1859" s="25"/>
      <c r="P1859" s="26"/>
      <c r="Q1859" s="27"/>
      <c r="R1859" s="28"/>
      <c r="S1859" s="29"/>
      <c r="T1859" s="30"/>
    </row>
    <row r="1860" spans="1:20" ht="24" customHeight="1" x14ac:dyDescent="0.25">
      <c r="A1860" t="str">
        <f>IF('e1'!A1860&gt;0,HYPERLINK("#"&amp;ADDRESS(1860,'e1'!A1860),""),IF('r1'!A1860&gt;0,HYPERLINK("#"&amp;ADDRESS(1860,'r1'!A1860),""),""))</f>
        <v/>
      </c>
      <c r="C1860" s="13"/>
      <c r="D1860" s="14"/>
      <c r="E1860" s="15"/>
      <c r="F1860" s="16"/>
      <c r="G1860" s="17"/>
      <c r="H1860" s="18"/>
      <c r="I1860" s="19"/>
      <c r="J1860" s="20"/>
      <c r="K1860" s="21"/>
      <c r="L1860" s="22"/>
      <c r="M1860" s="23"/>
      <c r="N1860" s="24"/>
      <c r="O1860" s="25"/>
      <c r="P1860" s="26"/>
      <c r="Q1860" s="27"/>
      <c r="R1860" s="28"/>
      <c r="S1860" s="29"/>
      <c r="T1860" s="30"/>
    </row>
    <row r="1861" spans="1:20" ht="24" customHeight="1" x14ac:dyDescent="0.25">
      <c r="A1861" t="str">
        <f>IF('e1'!A1861&gt;0,HYPERLINK("#"&amp;ADDRESS(1861,'e1'!A1861),""),IF('r1'!A1861&gt;0,HYPERLINK("#"&amp;ADDRESS(1861,'r1'!A1861),""),""))</f>
        <v/>
      </c>
      <c r="C1861" s="13"/>
      <c r="D1861" s="14"/>
      <c r="E1861" s="15"/>
      <c r="F1861" s="16"/>
      <c r="G1861" s="17"/>
      <c r="H1861" s="18"/>
      <c r="I1861" s="19"/>
      <c r="J1861" s="20"/>
      <c r="K1861" s="21"/>
      <c r="L1861" s="22"/>
      <c r="M1861" s="23"/>
      <c r="N1861" s="24"/>
      <c r="O1861" s="25"/>
      <c r="P1861" s="26"/>
      <c r="Q1861" s="27"/>
      <c r="R1861" s="28"/>
      <c r="S1861" s="29"/>
      <c r="T1861" s="30"/>
    </row>
    <row r="1862" spans="1:20" ht="24" customHeight="1" x14ac:dyDescent="0.25">
      <c r="A1862" t="str">
        <f>IF('e1'!A1862&gt;0,HYPERLINK("#"&amp;ADDRESS(1862,'e1'!A1862),""),IF('r1'!A1862&gt;0,HYPERLINK("#"&amp;ADDRESS(1862,'r1'!A1862),""),""))</f>
        <v/>
      </c>
      <c r="C1862" s="13"/>
      <c r="D1862" s="14"/>
      <c r="E1862" s="15"/>
      <c r="F1862" s="16"/>
      <c r="G1862" s="17"/>
      <c r="H1862" s="18"/>
      <c r="I1862" s="19"/>
      <c r="J1862" s="20"/>
      <c r="K1862" s="21"/>
      <c r="L1862" s="22"/>
      <c r="M1862" s="23"/>
      <c r="N1862" s="24"/>
      <c r="O1862" s="25"/>
      <c r="P1862" s="26"/>
      <c r="Q1862" s="27"/>
      <c r="R1862" s="28"/>
      <c r="S1862" s="29"/>
      <c r="T1862" s="30"/>
    </row>
    <row r="1863" spans="1:20" ht="24" customHeight="1" x14ac:dyDescent="0.25">
      <c r="A1863" t="str">
        <f>IF('e1'!A1863&gt;0,HYPERLINK("#"&amp;ADDRESS(1863,'e1'!A1863),""),IF('r1'!A1863&gt;0,HYPERLINK("#"&amp;ADDRESS(1863,'r1'!A1863),""),""))</f>
        <v/>
      </c>
      <c r="C1863" s="13"/>
      <c r="D1863" s="14"/>
      <c r="E1863" s="15"/>
      <c r="F1863" s="16"/>
      <c r="G1863" s="17"/>
      <c r="H1863" s="18"/>
      <c r="I1863" s="19"/>
      <c r="J1863" s="20"/>
      <c r="K1863" s="21"/>
      <c r="L1863" s="22"/>
      <c r="M1863" s="23"/>
      <c r="N1863" s="24"/>
      <c r="O1863" s="25"/>
      <c r="P1863" s="26"/>
      <c r="Q1863" s="27"/>
      <c r="R1863" s="28"/>
      <c r="S1863" s="29"/>
      <c r="T1863" s="30"/>
    </row>
    <row r="1864" spans="1:20" ht="24" customHeight="1" x14ac:dyDescent="0.25">
      <c r="A1864" t="str">
        <f>IF('e1'!A1864&gt;0,HYPERLINK("#"&amp;ADDRESS(1864,'e1'!A1864),""),IF('r1'!A1864&gt;0,HYPERLINK("#"&amp;ADDRESS(1864,'r1'!A1864),""),""))</f>
        <v/>
      </c>
      <c r="C1864" s="13"/>
      <c r="D1864" s="14"/>
      <c r="E1864" s="15"/>
      <c r="F1864" s="16"/>
      <c r="G1864" s="17"/>
      <c r="H1864" s="18"/>
      <c r="I1864" s="19"/>
      <c r="J1864" s="20"/>
      <c r="K1864" s="21"/>
      <c r="L1864" s="22"/>
      <c r="M1864" s="23"/>
      <c r="N1864" s="24"/>
      <c r="O1864" s="25"/>
      <c r="P1864" s="26"/>
      <c r="Q1864" s="27"/>
      <c r="R1864" s="28"/>
      <c r="S1864" s="29"/>
      <c r="T1864" s="30"/>
    </row>
    <row r="1865" spans="1:20" ht="24" customHeight="1" x14ac:dyDescent="0.25">
      <c r="A1865" t="str">
        <f>IF('e1'!A1865&gt;0,HYPERLINK("#"&amp;ADDRESS(1865,'e1'!A1865),""),IF('r1'!A1865&gt;0,HYPERLINK("#"&amp;ADDRESS(1865,'r1'!A1865),""),""))</f>
        <v/>
      </c>
      <c r="C1865" s="13"/>
      <c r="D1865" s="14"/>
      <c r="E1865" s="15"/>
      <c r="F1865" s="16"/>
      <c r="G1865" s="17"/>
      <c r="H1865" s="18"/>
      <c r="I1865" s="19"/>
      <c r="J1865" s="20"/>
      <c r="K1865" s="21"/>
      <c r="L1865" s="22"/>
      <c r="M1865" s="23"/>
      <c r="N1865" s="24"/>
      <c r="O1865" s="25"/>
      <c r="P1865" s="26"/>
      <c r="Q1865" s="27"/>
      <c r="R1865" s="28"/>
      <c r="S1865" s="29"/>
      <c r="T1865" s="30"/>
    </row>
    <row r="1866" spans="1:20" ht="24" customHeight="1" x14ac:dyDescent="0.25">
      <c r="A1866" t="str">
        <f>IF('e1'!A1866&gt;0,HYPERLINK("#"&amp;ADDRESS(1866,'e1'!A1866),""),IF('r1'!A1866&gt;0,HYPERLINK("#"&amp;ADDRESS(1866,'r1'!A1866),""),""))</f>
        <v/>
      </c>
      <c r="C1866" s="13"/>
      <c r="D1866" s="14"/>
      <c r="E1866" s="15"/>
      <c r="F1866" s="16"/>
      <c r="G1866" s="17"/>
      <c r="H1866" s="18"/>
      <c r="I1866" s="19"/>
      <c r="J1866" s="20"/>
      <c r="K1866" s="21"/>
      <c r="L1866" s="22"/>
      <c r="M1866" s="23"/>
      <c r="N1866" s="24"/>
      <c r="O1866" s="25"/>
      <c r="P1866" s="26"/>
      <c r="Q1866" s="27"/>
      <c r="R1866" s="28"/>
      <c r="S1866" s="29"/>
      <c r="T1866" s="30"/>
    </row>
    <row r="1867" spans="1:20" ht="24" customHeight="1" x14ac:dyDescent="0.25">
      <c r="A1867" t="str">
        <f>IF('e1'!A1867&gt;0,HYPERLINK("#"&amp;ADDRESS(1867,'e1'!A1867),""),IF('r1'!A1867&gt;0,HYPERLINK("#"&amp;ADDRESS(1867,'r1'!A1867),""),""))</f>
        <v/>
      </c>
      <c r="C1867" s="13"/>
      <c r="D1867" s="14"/>
      <c r="E1867" s="15"/>
      <c r="F1867" s="16"/>
      <c r="G1867" s="17"/>
      <c r="H1867" s="18"/>
      <c r="I1867" s="19"/>
      <c r="J1867" s="20"/>
      <c r="K1867" s="21"/>
      <c r="L1867" s="22"/>
      <c r="M1867" s="23"/>
      <c r="N1867" s="24"/>
      <c r="O1867" s="25"/>
      <c r="P1867" s="26"/>
      <c r="Q1867" s="27"/>
      <c r="R1867" s="28"/>
      <c r="S1867" s="29"/>
      <c r="T1867" s="30"/>
    </row>
    <row r="1868" spans="1:20" ht="24" customHeight="1" x14ac:dyDescent="0.25">
      <c r="A1868" t="str">
        <f>IF('e1'!A1868&gt;0,HYPERLINK("#"&amp;ADDRESS(1868,'e1'!A1868),""),IF('r1'!A1868&gt;0,HYPERLINK("#"&amp;ADDRESS(1868,'r1'!A1868),""),""))</f>
        <v/>
      </c>
      <c r="C1868" s="13"/>
      <c r="D1868" s="14"/>
      <c r="E1868" s="15"/>
      <c r="F1868" s="16"/>
      <c r="G1868" s="17"/>
      <c r="H1868" s="18"/>
      <c r="I1868" s="19"/>
      <c r="J1868" s="20"/>
      <c r="K1868" s="21"/>
      <c r="L1868" s="22"/>
      <c r="M1868" s="23"/>
      <c r="N1868" s="24"/>
      <c r="O1868" s="25"/>
      <c r="P1868" s="26"/>
      <c r="Q1868" s="27"/>
      <c r="R1868" s="28"/>
      <c r="S1868" s="29"/>
      <c r="T1868" s="30"/>
    </row>
    <row r="1869" spans="1:20" ht="24" customHeight="1" x14ac:dyDescent="0.25">
      <c r="A1869" t="str">
        <f>IF('e1'!A1869&gt;0,HYPERLINK("#"&amp;ADDRESS(1869,'e1'!A1869),""),IF('r1'!A1869&gt;0,HYPERLINK("#"&amp;ADDRESS(1869,'r1'!A1869),""),""))</f>
        <v/>
      </c>
      <c r="C1869" s="13"/>
      <c r="D1869" s="14"/>
      <c r="E1869" s="15"/>
      <c r="F1869" s="16"/>
      <c r="G1869" s="17"/>
      <c r="H1869" s="18"/>
      <c r="I1869" s="19"/>
      <c r="J1869" s="20"/>
      <c r="K1869" s="21"/>
      <c r="L1869" s="22"/>
      <c r="M1869" s="23"/>
      <c r="N1869" s="24"/>
      <c r="O1869" s="25"/>
      <c r="P1869" s="26"/>
      <c r="Q1869" s="27"/>
      <c r="R1869" s="28"/>
      <c r="S1869" s="29"/>
      <c r="T1869" s="30"/>
    </row>
    <row r="1870" spans="1:20" ht="24" customHeight="1" x14ac:dyDescent="0.25">
      <c r="A1870" t="str">
        <f>IF('e1'!A1870&gt;0,HYPERLINK("#"&amp;ADDRESS(1870,'e1'!A1870),""),IF('r1'!A1870&gt;0,HYPERLINK("#"&amp;ADDRESS(1870,'r1'!A1870),""),""))</f>
        <v/>
      </c>
      <c r="C1870" s="13"/>
      <c r="D1870" s="14"/>
      <c r="E1870" s="15"/>
      <c r="F1870" s="16"/>
      <c r="G1870" s="17"/>
      <c r="H1870" s="18"/>
      <c r="I1870" s="19"/>
      <c r="J1870" s="20"/>
      <c r="K1870" s="21"/>
      <c r="L1870" s="22"/>
      <c r="M1870" s="23"/>
      <c r="N1870" s="24"/>
      <c r="O1870" s="25"/>
      <c r="P1870" s="26"/>
      <c r="Q1870" s="27"/>
      <c r="R1870" s="28"/>
      <c r="S1870" s="29"/>
      <c r="T1870" s="30"/>
    </row>
    <row r="1871" spans="1:20" ht="24" customHeight="1" x14ac:dyDescent="0.25">
      <c r="A1871" t="str">
        <f>IF('e1'!A1871&gt;0,HYPERLINK("#"&amp;ADDRESS(1871,'e1'!A1871),""),IF('r1'!A1871&gt;0,HYPERLINK("#"&amp;ADDRESS(1871,'r1'!A1871),""),""))</f>
        <v/>
      </c>
      <c r="C1871" s="13"/>
      <c r="D1871" s="14"/>
      <c r="E1871" s="15"/>
      <c r="F1871" s="16"/>
      <c r="G1871" s="17"/>
      <c r="H1871" s="18"/>
      <c r="I1871" s="19"/>
      <c r="J1871" s="20"/>
      <c r="K1871" s="21"/>
      <c r="L1871" s="22"/>
      <c r="M1871" s="23"/>
      <c r="N1871" s="24"/>
      <c r="O1871" s="25"/>
      <c r="P1871" s="26"/>
      <c r="Q1871" s="27"/>
      <c r="R1871" s="28"/>
      <c r="S1871" s="29"/>
      <c r="T1871" s="30"/>
    </row>
    <row r="1872" spans="1:20" ht="24" customHeight="1" x14ac:dyDescent="0.25">
      <c r="A1872" t="str">
        <f>IF('e1'!A1872&gt;0,HYPERLINK("#"&amp;ADDRESS(1872,'e1'!A1872),""),IF('r1'!A1872&gt;0,HYPERLINK("#"&amp;ADDRESS(1872,'r1'!A1872),""),""))</f>
        <v/>
      </c>
      <c r="C1872" s="13"/>
      <c r="D1872" s="14"/>
      <c r="E1872" s="15"/>
      <c r="F1872" s="16"/>
      <c r="G1872" s="17"/>
      <c r="H1872" s="18"/>
      <c r="I1872" s="19"/>
      <c r="J1872" s="20"/>
      <c r="K1872" s="21"/>
      <c r="L1872" s="22"/>
      <c r="M1872" s="23"/>
      <c r="N1872" s="24"/>
      <c r="O1872" s="25"/>
      <c r="P1872" s="26"/>
      <c r="Q1872" s="27"/>
      <c r="R1872" s="28"/>
      <c r="S1872" s="29"/>
      <c r="T1872" s="30"/>
    </row>
    <row r="1873" spans="1:20" ht="24" customHeight="1" x14ac:dyDescent="0.25">
      <c r="A1873" t="str">
        <f>IF('e1'!A1873&gt;0,HYPERLINK("#"&amp;ADDRESS(1873,'e1'!A1873),""),IF('r1'!A1873&gt;0,HYPERLINK("#"&amp;ADDRESS(1873,'r1'!A1873),""),""))</f>
        <v/>
      </c>
      <c r="C1873" s="13"/>
      <c r="D1873" s="14"/>
      <c r="E1873" s="15"/>
      <c r="F1873" s="16"/>
      <c r="G1873" s="17"/>
      <c r="H1873" s="18"/>
      <c r="I1873" s="19"/>
      <c r="J1873" s="20"/>
      <c r="K1873" s="21"/>
      <c r="L1873" s="22"/>
      <c r="M1873" s="23"/>
      <c r="N1873" s="24"/>
      <c r="O1873" s="25"/>
      <c r="P1873" s="26"/>
      <c r="Q1873" s="27"/>
      <c r="R1873" s="28"/>
      <c r="S1873" s="29"/>
      <c r="T1873" s="30"/>
    </row>
    <row r="1874" spans="1:20" ht="24" customHeight="1" x14ac:dyDescent="0.25">
      <c r="A1874" t="str">
        <f>IF('e1'!A1874&gt;0,HYPERLINK("#"&amp;ADDRESS(1874,'e1'!A1874),""),IF('r1'!A1874&gt;0,HYPERLINK("#"&amp;ADDRESS(1874,'r1'!A1874),""),""))</f>
        <v/>
      </c>
      <c r="C1874" s="13"/>
      <c r="D1874" s="14"/>
      <c r="E1874" s="15"/>
      <c r="F1874" s="16"/>
      <c r="G1874" s="17"/>
      <c r="H1874" s="18"/>
      <c r="I1874" s="19"/>
      <c r="J1874" s="20"/>
      <c r="K1874" s="21"/>
      <c r="L1874" s="22"/>
      <c r="M1874" s="23"/>
      <c r="N1874" s="24"/>
      <c r="O1874" s="25"/>
      <c r="P1874" s="26"/>
      <c r="Q1874" s="27"/>
      <c r="R1874" s="28"/>
      <c r="S1874" s="29"/>
      <c r="T1874" s="30"/>
    </row>
    <row r="1875" spans="1:20" ht="24" customHeight="1" x14ac:dyDescent="0.25">
      <c r="A1875" t="str">
        <f>IF('e1'!A1875&gt;0,HYPERLINK("#"&amp;ADDRESS(1875,'e1'!A1875),""),IF('r1'!A1875&gt;0,HYPERLINK("#"&amp;ADDRESS(1875,'r1'!A1875),""),""))</f>
        <v/>
      </c>
      <c r="C1875" s="13"/>
      <c r="D1875" s="14"/>
      <c r="E1875" s="15"/>
      <c r="F1875" s="16"/>
      <c r="G1875" s="17"/>
      <c r="H1875" s="18"/>
      <c r="I1875" s="19"/>
      <c r="J1875" s="20"/>
      <c r="K1875" s="21"/>
      <c r="L1875" s="22"/>
      <c r="M1875" s="23"/>
      <c r="N1875" s="24"/>
      <c r="O1875" s="25"/>
      <c r="P1875" s="26"/>
      <c r="Q1875" s="27"/>
      <c r="R1875" s="28"/>
      <c r="S1875" s="29"/>
      <c r="T1875" s="30"/>
    </row>
    <row r="1876" spans="1:20" ht="24" customHeight="1" x14ac:dyDescent="0.25">
      <c r="A1876" t="str">
        <f>IF('e1'!A1876&gt;0,HYPERLINK("#"&amp;ADDRESS(1876,'e1'!A1876),""),IF('r1'!A1876&gt;0,HYPERLINK("#"&amp;ADDRESS(1876,'r1'!A1876),""),""))</f>
        <v/>
      </c>
      <c r="C1876" s="13"/>
      <c r="D1876" s="14"/>
      <c r="E1876" s="15"/>
      <c r="F1876" s="16"/>
      <c r="G1876" s="17"/>
      <c r="H1876" s="18"/>
      <c r="I1876" s="19"/>
      <c r="J1876" s="20"/>
      <c r="K1876" s="21"/>
      <c r="L1876" s="22"/>
      <c r="M1876" s="23"/>
      <c r="N1876" s="24"/>
      <c r="O1876" s="25"/>
      <c r="P1876" s="26"/>
      <c r="Q1876" s="27"/>
      <c r="R1876" s="28"/>
      <c r="S1876" s="29"/>
      <c r="T1876" s="30"/>
    </row>
    <row r="1877" spans="1:20" ht="24" customHeight="1" x14ac:dyDescent="0.25">
      <c r="A1877" t="str">
        <f>IF('e1'!A1877&gt;0,HYPERLINK("#"&amp;ADDRESS(1877,'e1'!A1877),""),IF('r1'!A1877&gt;0,HYPERLINK("#"&amp;ADDRESS(1877,'r1'!A1877),""),""))</f>
        <v/>
      </c>
      <c r="C1877" s="13"/>
      <c r="D1877" s="14"/>
      <c r="E1877" s="15"/>
      <c r="F1877" s="16"/>
      <c r="G1877" s="17"/>
      <c r="H1877" s="18"/>
      <c r="I1877" s="19"/>
      <c r="J1877" s="20"/>
      <c r="K1877" s="21"/>
      <c r="L1877" s="22"/>
      <c r="M1877" s="23"/>
      <c r="N1877" s="24"/>
      <c r="O1877" s="25"/>
      <c r="P1877" s="26"/>
      <c r="Q1877" s="27"/>
      <c r="R1877" s="28"/>
      <c r="S1877" s="29"/>
      <c r="T1877" s="30"/>
    </row>
    <row r="1878" spans="1:20" ht="24" customHeight="1" x14ac:dyDescent="0.25">
      <c r="A1878" t="str">
        <f>IF('e1'!A1878&gt;0,HYPERLINK("#"&amp;ADDRESS(1878,'e1'!A1878),""),IF('r1'!A1878&gt;0,HYPERLINK("#"&amp;ADDRESS(1878,'r1'!A1878),""),""))</f>
        <v/>
      </c>
      <c r="C1878" s="13"/>
      <c r="D1878" s="14"/>
      <c r="E1878" s="15"/>
      <c r="F1878" s="16"/>
      <c r="G1878" s="17"/>
      <c r="H1878" s="18"/>
      <c r="I1878" s="19"/>
      <c r="J1878" s="20"/>
      <c r="K1878" s="21"/>
      <c r="L1878" s="22"/>
      <c r="M1878" s="23"/>
      <c r="N1878" s="24"/>
      <c r="O1878" s="25"/>
      <c r="P1878" s="26"/>
      <c r="Q1878" s="27"/>
      <c r="R1878" s="28"/>
      <c r="S1878" s="29"/>
      <c r="T1878" s="30"/>
    </row>
    <row r="1879" spans="1:20" ht="24" customHeight="1" x14ac:dyDescent="0.25">
      <c r="A1879" t="str">
        <f>IF('e1'!A1879&gt;0,HYPERLINK("#"&amp;ADDRESS(1879,'e1'!A1879),""),IF('r1'!A1879&gt;0,HYPERLINK("#"&amp;ADDRESS(1879,'r1'!A1879),""),""))</f>
        <v/>
      </c>
      <c r="C1879" s="13"/>
      <c r="D1879" s="14"/>
      <c r="E1879" s="15"/>
      <c r="F1879" s="16"/>
      <c r="G1879" s="17"/>
      <c r="H1879" s="18"/>
      <c r="I1879" s="19"/>
      <c r="J1879" s="20"/>
      <c r="K1879" s="21"/>
      <c r="L1879" s="22"/>
      <c r="M1879" s="23"/>
      <c r="N1879" s="24"/>
      <c r="O1879" s="25"/>
      <c r="P1879" s="26"/>
      <c r="Q1879" s="27"/>
      <c r="R1879" s="28"/>
      <c r="S1879" s="29"/>
      <c r="T1879" s="30"/>
    </row>
    <row r="1880" spans="1:20" ht="24" customHeight="1" x14ac:dyDescent="0.25">
      <c r="A1880" t="str">
        <f>IF('e1'!A1880&gt;0,HYPERLINK("#"&amp;ADDRESS(1880,'e1'!A1880),""),IF('r1'!A1880&gt;0,HYPERLINK("#"&amp;ADDRESS(1880,'r1'!A1880),""),""))</f>
        <v/>
      </c>
      <c r="C1880" s="13"/>
      <c r="D1880" s="14"/>
      <c r="E1880" s="15"/>
      <c r="F1880" s="16"/>
      <c r="G1880" s="17"/>
      <c r="H1880" s="18"/>
      <c r="I1880" s="19"/>
      <c r="J1880" s="20"/>
      <c r="K1880" s="21"/>
      <c r="L1880" s="22"/>
      <c r="M1880" s="23"/>
      <c r="N1880" s="24"/>
      <c r="O1880" s="25"/>
      <c r="P1880" s="26"/>
      <c r="Q1880" s="27"/>
      <c r="R1880" s="28"/>
      <c r="S1880" s="29"/>
      <c r="T1880" s="30"/>
    </row>
    <row r="1881" spans="1:20" ht="24" customHeight="1" x14ac:dyDescent="0.25">
      <c r="A1881" t="str">
        <f>IF('e1'!A1881&gt;0,HYPERLINK("#"&amp;ADDRESS(1881,'e1'!A1881),""),IF('r1'!A1881&gt;0,HYPERLINK("#"&amp;ADDRESS(1881,'r1'!A1881),""),""))</f>
        <v/>
      </c>
      <c r="C1881" s="13"/>
      <c r="D1881" s="14"/>
      <c r="E1881" s="15"/>
      <c r="F1881" s="16"/>
      <c r="G1881" s="17"/>
      <c r="H1881" s="18"/>
      <c r="I1881" s="19"/>
      <c r="J1881" s="20"/>
      <c r="K1881" s="21"/>
      <c r="L1881" s="22"/>
      <c r="M1881" s="23"/>
      <c r="N1881" s="24"/>
      <c r="O1881" s="25"/>
      <c r="P1881" s="26"/>
      <c r="Q1881" s="27"/>
      <c r="R1881" s="28"/>
      <c r="S1881" s="29"/>
      <c r="T1881" s="30"/>
    </row>
    <row r="1882" spans="1:20" ht="24" customHeight="1" x14ac:dyDescent="0.25">
      <c r="A1882" t="str">
        <f>IF('e1'!A1882&gt;0,HYPERLINK("#"&amp;ADDRESS(1882,'e1'!A1882),""),IF('r1'!A1882&gt;0,HYPERLINK("#"&amp;ADDRESS(1882,'r1'!A1882),""),""))</f>
        <v/>
      </c>
      <c r="C1882" s="13"/>
      <c r="D1882" s="14"/>
      <c r="E1882" s="15"/>
      <c r="F1882" s="16"/>
      <c r="G1882" s="17"/>
      <c r="H1882" s="18"/>
      <c r="I1882" s="19"/>
      <c r="J1882" s="20"/>
      <c r="K1882" s="21"/>
      <c r="L1882" s="22"/>
      <c r="M1882" s="23"/>
      <c r="N1882" s="24"/>
      <c r="O1882" s="25"/>
      <c r="P1882" s="26"/>
      <c r="Q1882" s="27"/>
      <c r="R1882" s="28"/>
      <c r="S1882" s="29"/>
      <c r="T1882" s="30"/>
    </row>
    <row r="1883" spans="1:20" ht="24" customHeight="1" x14ac:dyDescent="0.25">
      <c r="A1883" t="str">
        <f>IF('e1'!A1883&gt;0,HYPERLINK("#"&amp;ADDRESS(1883,'e1'!A1883),""),IF('r1'!A1883&gt;0,HYPERLINK("#"&amp;ADDRESS(1883,'r1'!A1883),""),""))</f>
        <v/>
      </c>
      <c r="C1883" s="13"/>
      <c r="D1883" s="14"/>
      <c r="E1883" s="15"/>
      <c r="F1883" s="16"/>
      <c r="G1883" s="17"/>
      <c r="H1883" s="18"/>
      <c r="I1883" s="19"/>
      <c r="J1883" s="20"/>
      <c r="K1883" s="21"/>
      <c r="L1883" s="22"/>
      <c r="M1883" s="23"/>
      <c r="N1883" s="24"/>
      <c r="O1883" s="25"/>
      <c r="P1883" s="26"/>
      <c r="Q1883" s="27"/>
      <c r="R1883" s="28"/>
      <c r="S1883" s="29"/>
      <c r="T1883" s="30"/>
    </row>
    <row r="1884" spans="1:20" ht="24" customHeight="1" x14ac:dyDescent="0.25">
      <c r="A1884" t="str">
        <f>IF('e1'!A1884&gt;0,HYPERLINK("#"&amp;ADDRESS(1884,'e1'!A1884),""),IF('r1'!A1884&gt;0,HYPERLINK("#"&amp;ADDRESS(1884,'r1'!A1884),""),""))</f>
        <v/>
      </c>
      <c r="C1884" s="13"/>
      <c r="D1884" s="14"/>
      <c r="E1884" s="15"/>
      <c r="F1884" s="16"/>
      <c r="G1884" s="17"/>
      <c r="H1884" s="18"/>
      <c r="I1884" s="19"/>
      <c r="J1884" s="20"/>
      <c r="K1884" s="21"/>
      <c r="L1884" s="22"/>
      <c r="M1884" s="23"/>
      <c r="N1884" s="24"/>
      <c r="O1884" s="25"/>
      <c r="P1884" s="26"/>
      <c r="Q1884" s="27"/>
      <c r="R1884" s="28"/>
      <c r="S1884" s="29"/>
      <c r="T1884" s="30"/>
    </row>
    <row r="1885" spans="1:20" ht="24" customHeight="1" x14ac:dyDescent="0.25">
      <c r="A1885" t="str">
        <f>IF('e1'!A1885&gt;0,HYPERLINK("#"&amp;ADDRESS(1885,'e1'!A1885),""),IF('r1'!A1885&gt;0,HYPERLINK("#"&amp;ADDRESS(1885,'r1'!A1885),""),""))</f>
        <v/>
      </c>
      <c r="C1885" s="13"/>
      <c r="D1885" s="14"/>
      <c r="E1885" s="15"/>
      <c r="F1885" s="16"/>
      <c r="G1885" s="17"/>
      <c r="H1885" s="18"/>
      <c r="I1885" s="19"/>
      <c r="J1885" s="20"/>
      <c r="K1885" s="21"/>
      <c r="L1885" s="22"/>
      <c r="M1885" s="23"/>
      <c r="N1885" s="24"/>
      <c r="O1885" s="25"/>
      <c r="P1885" s="26"/>
      <c r="Q1885" s="27"/>
      <c r="R1885" s="28"/>
      <c r="S1885" s="29"/>
      <c r="T1885" s="30"/>
    </row>
    <row r="1886" spans="1:20" ht="24" customHeight="1" x14ac:dyDescent="0.25">
      <c r="A1886" t="str">
        <f>IF('e1'!A1886&gt;0,HYPERLINK("#"&amp;ADDRESS(1886,'e1'!A1886),""),IF('r1'!A1886&gt;0,HYPERLINK("#"&amp;ADDRESS(1886,'r1'!A1886),""),""))</f>
        <v/>
      </c>
      <c r="C1886" s="13"/>
      <c r="D1886" s="14"/>
      <c r="E1886" s="15"/>
      <c r="F1886" s="16"/>
      <c r="G1886" s="17"/>
      <c r="H1886" s="18"/>
      <c r="I1886" s="19"/>
      <c r="J1886" s="20"/>
      <c r="K1886" s="21"/>
      <c r="L1886" s="22"/>
      <c r="M1886" s="23"/>
      <c r="N1886" s="24"/>
      <c r="O1886" s="25"/>
      <c r="P1886" s="26"/>
      <c r="Q1886" s="27"/>
      <c r="R1886" s="28"/>
      <c r="S1886" s="29"/>
      <c r="T1886" s="30"/>
    </row>
    <row r="1887" spans="1:20" ht="24" customHeight="1" x14ac:dyDescent="0.25">
      <c r="A1887" t="str">
        <f>IF('e1'!A1887&gt;0,HYPERLINK("#"&amp;ADDRESS(1887,'e1'!A1887),""),IF('r1'!A1887&gt;0,HYPERLINK("#"&amp;ADDRESS(1887,'r1'!A1887),""),""))</f>
        <v/>
      </c>
      <c r="C1887" s="13"/>
      <c r="D1887" s="14"/>
      <c r="E1887" s="15"/>
      <c r="F1887" s="16"/>
      <c r="G1887" s="17"/>
      <c r="H1887" s="18"/>
      <c r="I1887" s="19"/>
      <c r="J1887" s="20"/>
      <c r="K1887" s="21"/>
      <c r="L1887" s="22"/>
      <c r="M1887" s="23"/>
      <c r="N1887" s="24"/>
      <c r="O1887" s="25"/>
      <c r="P1887" s="26"/>
      <c r="Q1887" s="27"/>
      <c r="R1887" s="28"/>
      <c r="S1887" s="29"/>
      <c r="T1887" s="30"/>
    </row>
    <row r="1888" spans="1:20" ht="24" customHeight="1" x14ac:dyDescent="0.25">
      <c r="A1888" t="str">
        <f>IF('e1'!A1888&gt;0,HYPERLINK("#"&amp;ADDRESS(1888,'e1'!A1888),""),IF('r1'!A1888&gt;0,HYPERLINK("#"&amp;ADDRESS(1888,'r1'!A1888),""),""))</f>
        <v/>
      </c>
      <c r="C1888" s="13"/>
      <c r="D1888" s="14"/>
      <c r="E1888" s="15"/>
      <c r="F1888" s="16"/>
      <c r="G1888" s="17"/>
      <c r="H1888" s="18"/>
      <c r="I1888" s="19"/>
      <c r="J1888" s="20"/>
      <c r="K1888" s="21"/>
      <c r="L1888" s="22"/>
      <c r="M1888" s="23"/>
      <c r="N1888" s="24"/>
      <c r="O1888" s="25"/>
      <c r="P1888" s="26"/>
      <c r="Q1888" s="27"/>
      <c r="R1888" s="28"/>
      <c r="S1888" s="29"/>
      <c r="T1888" s="30"/>
    </row>
    <row r="1889" spans="1:20" ht="24" customHeight="1" x14ac:dyDescent="0.25">
      <c r="A1889" t="str">
        <f>IF('e1'!A1889&gt;0,HYPERLINK("#"&amp;ADDRESS(1889,'e1'!A1889),""),IF('r1'!A1889&gt;0,HYPERLINK("#"&amp;ADDRESS(1889,'r1'!A1889),""),""))</f>
        <v/>
      </c>
      <c r="C1889" s="13"/>
      <c r="D1889" s="14"/>
      <c r="E1889" s="15"/>
      <c r="F1889" s="16"/>
      <c r="G1889" s="17"/>
      <c r="H1889" s="18"/>
      <c r="I1889" s="19"/>
      <c r="J1889" s="20"/>
      <c r="K1889" s="21"/>
      <c r="L1889" s="22"/>
      <c r="M1889" s="23"/>
      <c r="N1889" s="24"/>
      <c r="O1889" s="25"/>
      <c r="P1889" s="26"/>
      <c r="Q1889" s="27"/>
      <c r="R1889" s="28"/>
      <c r="S1889" s="29"/>
      <c r="T1889" s="30"/>
    </row>
    <row r="1890" spans="1:20" ht="24" customHeight="1" x14ac:dyDescent="0.25">
      <c r="A1890" t="str">
        <f>IF('e1'!A1890&gt;0,HYPERLINK("#"&amp;ADDRESS(1890,'e1'!A1890),""),IF('r1'!A1890&gt;0,HYPERLINK("#"&amp;ADDRESS(1890,'r1'!A1890),""),""))</f>
        <v/>
      </c>
      <c r="C1890" s="13"/>
      <c r="D1890" s="14"/>
      <c r="E1890" s="15"/>
      <c r="F1890" s="16"/>
      <c r="G1890" s="17"/>
      <c r="H1890" s="18"/>
      <c r="I1890" s="19"/>
      <c r="J1890" s="20"/>
      <c r="K1890" s="21"/>
      <c r="L1890" s="22"/>
      <c r="M1890" s="23"/>
      <c r="N1890" s="24"/>
      <c r="O1890" s="25"/>
      <c r="P1890" s="26"/>
      <c r="Q1890" s="27"/>
      <c r="R1890" s="28"/>
      <c r="S1890" s="29"/>
      <c r="T1890" s="30"/>
    </row>
    <row r="1891" spans="1:20" ht="24" customHeight="1" x14ac:dyDescent="0.25">
      <c r="A1891" t="str">
        <f>IF('e1'!A1891&gt;0,HYPERLINK("#"&amp;ADDRESS(1891,'e1'!A1891),""),IF('r1'!A1891&gt;0,HYPERLINK("#"&amp;ADDRESS(1891,'r1'!A1891),""),""))</f>
        <v/>
      </c>
      <c r="C1891" s="13"/>
      <c r="D1891" s="14"/>
      <c r="E1891" s="15"/>
      <c r="F1891" s="16"/>
      <c r="G1891" s="17"/>
      <c r="H1891" s="18"/>
      <c r="I1891" s="19"/>
      <c r="J1891" s="20"/>
      <c r="K1891" s="21"/>
      <c r="L1891" s="22"/>
      <c r="M1891" s="23"/>
      <c r="N1891" s="24"/>
      <c r="O1891" s="25"/>
      <c r="P1891" s="26"/>
      <c r="Q1891" s="27"/>
      <c r="R1891" s="28"/>
      <c r="S1891" s="29"/>
      <c r="T1891" s="30"/>
    </row>
    <row r="1892" spans="1:20" ht="24" customHeight="1" x14ac:dyDescent="0.25">
      <c r="A1892" t="str">
        <f>IF('e1'!A1892&gt;0,HYPERLINK("#"&amp;ADDRESS(1892,'e1'!A1892),""),IF('r1'!A1892&gt;0,HYPERLINK("#"&amp;ADDRESS(1892,'r1'!A1892),""),""))</f>
        <v/>
      </c>
      <c r="C1892" s="13"/>
      <c r="D1892" s="14"/>
      <c r="E1892" s="15"/>
      <c r="F1892" s="16"/>
      <c r="G1892" s="17"/>
      <c r="H1892" s="18"/>
      <c r="I1892" s="19"/>
      <c r="J1892" s="20"/>
      <c r="K1892" s="21"/>
      <c r="L1892" s="22"/>
      <c r="M1892" s="23"/>
      <c r="N1892" s="24"/>
      <c r="O1892" s="25"/>
      <c r="P1892" s="26"/>
      <c r="Q1892" s="27"/>
      <c r="R1892" s="28"/>
      <c r="S1892" s="29"/>
      <c r="T1892" s="30"/>
    </row>
    <row r="1893" spans="1:20" ht="24" customHeight="1" x14ac:dyDescent="0.25">
      <c r="A1893" t="str">
        <f>IF('e1'!A1893&gt;0,HYPERLINK("#"&amp;ADDRESS(1893,'e1'!A1893),""),IF('r1'!A1893&gt;0,HYPERLINK("#"&amp;ADDRESS(1893,'r1'!A1893),""),""))</f>
        <v/>
      </c>
      <c r="C1893" s="13"/>
      <c r="D1893" s="14"/>
      <c r="E1893" s="15"/>
      <c r="F1893" s="16"/>
      <c r="G1893" s="17"/>
      <c r="H1893" s="18"/>
      <c r="I1893" s="19"/>
      <c r="J1893" s="20"/>
      <c r="K1893" s="21"/>
      <c r="L1893" s="22"/>
      <c r="M1893" s="23"/>
      <c r="N1893" s="24"/>
      <c r="O1893" s="25"/>
      <c r="P1893" s="26"/>
      <c r="Q1893" s="27"/>
      <c r="R1893" s="28"/>
      <c r="S1893" s="29"/>
      <c r="T1893" s="30"/>
    </row>
    <row r="1894" spans="1:20" ht="24" customHeight="1" x14ac:dyDescent="0.25">
      <c r="A1894" t="str">
        <f>IF('e1'!A1894&gt;0,HYPERLINK("#"&amp;ADDRESS(1894,'e1'!A1894),""),IF('r1'!A1894&gt;0,HYPERLINK("#"&amp;ADDRESS(1894,'r1'!A1894),""),""))</f>
        <v/>
      </c>
      <c r="C1894" s="13"/>
      <c r="D1894" s="14"/>
      <c r="E1894" s="15"/>
      <c r="F1894" s="16"/>
      <c r="G1894" s="17"/>
      <c r="H1894" s="18"/>
      <c r="I1894" s="19"/>
      <c r="J1894" s="20"/>
      <c r="K1894" s="21"/>
      <c r="L1894" s="22"/>
      <c r="M1894" s="23"/>
      <c r="N1894" s="24"/>
      <c r="O1894" s="25"/>
      <c r="P1894" s="26"/>
      <c r="Q1894" s="27"/>
      <c r="R1894" s="28"/>
      <c r="S1894" s="29"/>
      <c r="T1894" s="30"/>
    </row>
    <row r="1895" spans="1:20" ht="24" customHeight="1" x14ac:dyDescent="0.25">
      <c r="A1895" t="str">
        <f>IF('e1'!A1895&gt;0,HYPERLINK("#"&amp;ADDRESS(1895,'e1'!A1895),""),IF('r1'!A1895&gt;0,HYPERLINK("#"&amp;ADDRESS(1895,'r1'!A1895),""),""))</f>
        <v/>
      </c>
      <c r="C1895" s="13"/>
      <c r="D1895" s="14"/>
      <c r="E1895" s="15"/>
      <c r="F1895" s="16"/>
      <c r="G1895" s="17"/>
      <c r="H1895" s="18"/>
      <c r="I1895" s="19"/>
      <c r="J1895" s="20"/>
      <c r="K1895" s="21"/>
      <c r="L1895" s="22"/>
      <c r="M1895" s="23"/>
      <c r="N1895" s="24"/>
      <c r="O1895" s="25"/>
      <c r="P1895" s="26"/>
      <c r="Q1895" s="27"/>
      <c r="R1895" s="28"/>
      <c r="S1895" s="29"/>
      <c r="T1895" s="30"/>
    </row>
    <row r="1896" spans="1:20" ht="24" customHeight="1" x14ac:dyDescent="0.25">
      <c r="A1896" t="str">
        <f>IF('e1'!A1896&gt;0,HYPERLINK("#"&amp;ADDRESS(1896,'e1'!A1896),""),IF('r1'!A1896&gt;0,HYPERLINK("#"&amp;ADDRESS(1896,'r1'!A1896),""),""))</f>
        <v/>
      </c>
      <c r="C1896" s="13"/>
      <c r="D1896" s="14"/>
      <c r="E1896" s="15"/>
      <c r="F1896" s="16"/>
      <c r="G1896" s="17"/>
      <c r="H1896" s="18"/>
      <c r="I1896" s="19"/>
      <c r="J1896" s="20"/>
      <c r="K1896" s="21"/>
      <c r="L1896" s="22"/>
      <c r="M1896" s="23"/>
      <c r="N1896" s="24"/>
      <c r="O1896" s="25"/>
      <c r="P1896" s="26"/>
      <c r="Q1896" s="27"/>
      <c r="R1896" s="28"/>
      <c r="S1896" s="29"/>
      <c r="T1896" s="30"/>
    </row>
    <row r="1897" spans="1:20" ht="24" customHeight="1" x14ac:dyDescent="0.25">
      <c r="A1897" t="str">
        <f>IF('e1'!A1897&gt;0,HYPERLINK("#"&amp;ADDRESS(1897,'e1'!A1897),""),IF('r1'!A1897&gt;0,HYPERLINK("#"&amp;ADDRESS(1897,'r1'!A1897),""),""))</f>
        <v/>
      </c>
      <c r="C1897" s="13"/>
      <c r="D1897" s="14"/>
      <c r="E1897" s="15"/>
      <c r="F1897" s="16"/>
      <c r="G1897" s="17"/>
      <c r="H1897" s="18"/>
      <c r="I1897" s="19"/>
      <c r="J1897" s="20"/>
      <c r="K1897" s="21"/>
      <c r="L1897" s="22"/>
      <c r="M1897" s="23"/>
      <c r="N1897" s="24"/>
      <c r="O1897" s="25"/>
      <c r="P1897" s="26"/>
      <c r="Q1897" s="27"/>
      <c r="R1897" s="28"/>
      <c r="S1897" s="29"/>
      <c r="T1897" s="30"/>
    </row>
    <row r="1898" spans="1:20" ht="24" customHeight="1" x14ac:dyDescent="0.25">
      <c r="A1898" t="str">
        <f>IF('e1'!A1898&gt;0,HYPERLINK("#"&amp;ADDRESS(1898,'e1'!A1898),""),IF('r1'!A1898&gt;0,HYPERLINK("#"&amp;ADDRESS(1898,'r1'!A1898),""),""))</f>
        <v/>
      </c>
      <c r="C1898" s="13"/>
      <c r="D1898" s="14"/>
      <c r="E1898" s="15"/>
      <c r="F1898" s="16"/>
      <c r="G1898" s="17"/>
      <c r="H1898" s="18"/>
      <c r="I1898" s="19"/>
      <c r="J1898" s="20"/>
      <c r="K1898" s="21"/>
      <c r="L1898" s="22"/>
      <c r="M1898" s="23"/>
      <c r="N1898" s="24"/>
      <c r="O1898" s="25"/>
      <c r="P1898" s="26"/>
      <c r="Q1898" s="27"/>
      <c r="R1898" s="28"/>
      <c r="S1898" s="29"/>
      <c r="T1898" s="30"/>
    </row>
    <row r="1899" spans="1:20" ht="24" customHeight="1" x14ac:dyDescent="0.25">
      <c r="A1899" t="str">
        <f>IF('e1'!A1899&gt;0,HYPERLINK("#"&amp;ADDRESS(1899,'e1'!A1899),""),IF('r1'!A1899&gt;0,HYPERLINK("#"&amp;ADDRESS(1899,'r1'!A1899),""),""))</f>
        <v/>
      </c>
      <c r="C1899" s="13"/>
      <c r="D1899" s="14"/>
      <c r="E1899" s="15"/>
      <c r="F1899" s="16"/>
      <c r="G1899" s="17"/>
      <c r="H1899" s="18"/>
      <c r="I1899" s="19"/>
      <c r="J1899" s="20"/>
      <c r="K1899" s="21"/>
      <c r="L1899" s="22"/>
      <c r="M1899" s="23"/>
      <c r="N1899" s="24"/>
      <c r="O1899" s="25"/>
      <c r="P1899" s="26"/>
      <c r="Q1899" s="27"/>
      <c r="R1899" s="28"/>
      <c r="S1899" s="29"/>
      <c r="T1899" s="30"/>
    </row>
    <row r="1900" spans="1:20" ht="24" customHeight="1" x14ac:dyDescent="0.25">
      <c r="A1900" t="str">
        <f>IF('e1'!A1900&gt;0,HYPERLINK("#"&amp;ADDRESS(1900,'e1'!A1900),""),IF('r1'!A1900&gt;0,HYPERLINK("#"&amp;ADDRESS(1900,'r1'!A1900),""),""))</f>
        <v/>
      </c>
      <c r="C1900" s="13"/>
      <c r="D1900" s="14"/>
      <c r="E1900" s="15"/>
      <c r="F1900" s="16"/>
      <c r="G1900" s="17"/>
      <c r="H1900" s="18"/>
      <c r="I1900" s="19"/>
      <c r="J1900" s="20"/>
      <c r="K1900" s="21"/>
      <c r="L1900" s="22"/>
      <c r="M1900" s="23"/>
      <c r="N1900" s="24"/>
      <c r="O1900" s="25"/>
      <c r="P1900" s="26"/>
      <c r="Q1900" s="27"/>
      <c r="R1900" s="28"/>
      <c r="S1900" s="29"/>
      <c r="T1900" s="30"/>
    </row>
    <row r="1901" spans="1:20" ht="24" customHeight="1" x14ac:dyDescent="0.25">
      <c r="A1901" t="str">
        <f>IF('e1'!A1901&gt;0,HYPERLINK("#"&amp;ADDRESS(1901,'e1'!A1901),""),IF('r1'!A1901&gt;0,HYPERLINK("#"&amp;ADDRESS(1901,'r1'!A1901),""),""))</f>
        <v/>
      </c>
      <c r="C1901" s="13"/>
      <c r="D1901" s="14"/>
      <c r="E1901" s="15"/>
      <c r="F1901" s="16"/>
      <c r="G1901" s="17"/>
      <c r="H1901" s="18"/>
      <c r="I1901" s="19"/>
      <c r="J1901" s="20"/>
      <c r="K1901" s="21"/>
      <c r="L1901" s="22"/>
      <c r="M1901" s="23"/>
      <c r="N1901" s="24"/>
      <c r="O1901" s="25"/>
      <c r="P1901" s="26"/>
      <c r="Q1901" s="27"/>
      <c r="R1901" s="28"/>
      <c r="S1901" s="29"/>
      <c r="T1901" s="30"/>
    </row>
    <row r="1902" spans="1:20" ht="24" customHeight="1" x14ac:dyDescent="0.25">
      <c r="A1902" t="str">
        <f>IF('e1'!A1902&gt;0,HYPERLINK("#"&amp;ADDRESS(1902,'e1'!A1902),""),IF('r1'!A1902&gt;0,HYPERLINK("#"&amp;ADDRESS(1902,'r1'!A1902),""),""))</f>
        <v/>
      </c>
      <c r="C1902" s="13"/>
      <c r="D1902" s="14"/>
      <c r="E1902" s="15"/>
      <c r="F1902" s="16"/>
      <c r="G1902" s="17"/>
      <c r="H1902" s="18"/>
      <c r="I1902" s="19"/>
      <c r="J1902" s="20"/>
      <c r="K1902" s="21"/>
      <c r="L1902" s="22"/>
      <c r="M1902" s="23"/>
      <c r="N1902" s="24"/>
      <c r="O1902" s="25"/>
      <c r="P1902" s="26"/>
      <c r="Q1902" s="27"/>
      <c r="R1902" s="28"/>
      <c r="S1902" s="29"/>
      <c r="T1902" s="30"/>
    </row>
    <row r="1903" spans="1:20" ht="24" customHeight="1" x14ac:dyDescent="0.25">
      <c r="A1903" t="str">
        <f>IF('e1'!A1903&gt;0,HYPERLINK("#"&amp;ADDRESS(1903,'e1'!A1903),""),IF('r1'!A1903&gt;0,HYPERLINK("#"&amp;ADDRESS(1903,'r1'!A1903),""),""))</f>
        <v/>
      </c>
      <c r="C1903" s="13"/>
      <c r="D1903" s="14"/>
      <c r="E1903" s="15"/>
      <c r="F1903" s="16"/>
      <c r="G1903" s="17"/>
      <c r="H1903" s="18"/>
      <c r="I1903" s="19"/>
      <c r="J1903" s="20"/>
      <c r="K1903" s="21"/>
      <c r="L1903" s="22"/>
      <c r="M1903" s="23"/>
      <c r="N1903" s="24"/>
      <c r="O1903" s="25"/>
      <c r="P1903" s="26"/>
      <c r="Q1903" s="27"/>
      <c r="R1903" s="28"/>
      <c r="S1903" s="29"/>
      <c r="T1903" s="30"/>
    </row>
    <row r="1904" spans="1:20" ht="24" customHeight="1" x14ac:dyDescent="0.25">
      <c r="A1904" t="str">
        <f>IF('e1'!A1904&gt;0,HYPERLINK("#"&amp;ADDRESS(1904,'e1'!A1904),""),IF('r1'!A1904&gt;0,HYPERLINK("#"&amp;ADDRESS(1904,'r1'!A1904),""),""))</f>
        <v/>
      </c>
      <c r="C1904" s="13"/>
      <c r="D1904" s="14"/>
      <c r="E1904" s="15"/>
      <c r="F1904" s="16"/>
      <c r="G1904" s="17"/>
      <c r="H1904" s="18"/>
      <c r="I1904" s="19"/>
      <c r="J1904" s="20"/>
      <c r="K1904" s="21"/>
      <c r="L1904" s="22"/>
      <c r="M1904" s="23"/>
      <c r="N1904" s="24"/>
      <c r="O1904" s="25"/>
      <c r="P1904" s="26"/>
      <c r="Q1904" s="27"/>
      <c r="R1904" s="28"/>
      <c r="S1904" s="29"/>
      <c r="T1904" s="30"/>
    </row>
    <row r="1905" spans="1:20" ht="24" customHeight="1" x14ac:dyDescent="0.25">
      <c r="A1905" t="str">
        <f>IF('e1'!A1905&gt;0,HYPERLINK("#"&amp;ADDRESS(1905,'e1'!A1905),""),IF('r1'!A1905&gt;0,HYPERLINK("#"&amp;ADDRESS(1905,'r1'!A1905),""),""))</f>
        <v/>
      </c>
      <c r="C1905" s="13"/>
      <c r="D1905" s="14"/>
      <c r="E1905" s="15"/>
      <c r="F1905" s="16"/>
      <c r="G1905" s="17"/>
      <c r="H1905" s="18"/>
      <c r="I1905" s="19"/>
      <c r="J1905" s="20"/>
      <c r="K1905" s="21"/>
      <c r="L1905" s="22"/>
      <c r="M1905" s="23"/>
      <c r="N1905" s="24"/>
      <c r="O1905" s="25"/>
      <c r="P1905" s="26"/>
      <c r="Q1905" s="27"/>
      <c r="R1905" s="28"/>
      <c r="S1905" s="29"/>
      <c r="T1905" s="30"/>
    </row>
    <row r="1906" spans="1:20" ht="24" customHeight="1" x14ac:dyDescent="0.25">
      <c r="A1906" t="str">
        <f>IF('e1'!A1906&gt;0,HYPERLINK("#"&amp;ADDRESS(1906,'e1'!A1906),""),IF('r1'!A1906&gt;0,HYPERLINK("#"&amp;ADDRESS(1906,'r1'!A1906),""),""))</f>
        <v/>
      </c>
      <c r="C1906" s="13"/>
      <c r="D1906" s="14"/>
      <c r="E1906" s="15"/>
      <c r="F1906" s="16"/>
      <c r="G1906" s="17"/>
      <c r="H1906" s="18"/>
      <c r="I1906" s="19"/>
      <c r="J1906" s="20"/>
      <c r="K1906" s="21"/>
      <c r="L1906" s="22"/>
      <c r="M1906" s="23"/>
      <c r="N1906" s="24"/>
      <c r="O1906" s="25"/>
      <c r="P1906" s="26"/>
      <c r="Q1906" s="27"/>
      <c r="R1906" s="28"/>
      <c r="S1906" s="29"/>
      <c r="T1906" s="30"/>
    </row>
    <row r="1907" spans="1:20" ht="24" customHeight="1" x14ac:dyDescent="0.25">
      <c r="A1907" t="str">
        <f>IF('e1'!A1907&gt;0,HYPERLINK("#"&amp;ADDRESS(1907,'e1'!A1907),""),IF('r1'!A1907&gt;0,HYPERLINK("#"&amp;ADDRESS(1907,'r1'!A1907),""),""))</f>
        <v/>
      </c>
      <c r="C1907" s="13"/>
      <c r="D1907" s="14"/>
      <c r="E1907" s="15"/>
      <c r="F1907" s="16"/>
      <c r="G1907" s="17"/>
      <c r="H1907" s="18"/>
      <c r="I1907" s="19"/>
      <c r="J1907" s="20"/>
      <c r="K1907" s="21"/>
      <c r="L1907" s="22"/>
      <c r="M1907" s="23"/>
      <c r="N1907" s="24"/>
      <c r="O1907" s="25"/>
      <c r="P1907" s="26"/>
      <c r="Q1907" s="27"/>
      <c r="R1907" s="28"/>
      <c r="S1907" s="29"/>
      <c r="T1907" s="30"/>
    </row>
    <row r="1908" spans="1:20" ht="24" customHeight="1" x14ac:dyDescent="0.25">
      <c r="A1908" t="str">
        <f>IF('e1'!A1908&gt;0,HYPERLINK("#"&amp;ADDRESS(1908,'e1'!A1908),""),IF('r1'!A1908&gt;0,HYPERLINK("#"&amp;ADDRESS(1908,'r1'!A1908),""),""))</f>
        <v/>
      </c>
      <c r="C1908" s="13"/>
      <c r="D1908" s="14"/>
      <c r="E1908" s="15"/>
      <c r="F1908" s="16"/>
      <c r="G1908" s="17"/>
      <c r="H1908" s="18"/>
      <c r="I1908" s="19"/>
      <c r="J1908" s="20"/>
      <c r="K1908" s="21"/>
      <c r="L1908" s="22"/>
      <c r="M1908" s="23"/>
      <c r="N1908" s="24"/>
      <c r="O1908" s="25"/>
      <c r="P1908" s="26"/>
      <c r="Q1908" s="27"/>
      <c r="R1908" s="28"/>
      <c r="S1908" s="29"/>
      <c r="T1908" s="30"/>
    </row>
    <row r="1909" spans="1:20" ht="24" customHeight="1" x14ac:dyDescent="0.25">
      <c r="A1909" t="str">
        <f>IF('e1'!A1909&gt;0,HYPERLINK("#"&amp;ADDRESS(1909,'e1'!A1909),""),IF('r1'!A1909&gt;0,HYPERLINK("#"&amp;ADDRESS(1909,'r1'!A1909),""),""))</f>
        <v/>
      </c>
      <c r="C1909" s="13"/>
      <c r="D1909" s="14"/>
      <c r="E1909" s="15"/>
      <c r="F1909" s="16"/>
      <c r="G1909" s="17"/>
      <c r="H1909" s="18"/>
      <c r="I1909" s="19"/>
      <c r="J1909" s="20"/>
      <c r="K1909" s="21"/>
      <c r="L1909" s="22"/>
      <c r="M1909" s="23"/>
      <c r="N1909" s="24"/>
      <c r="O1909" s="25"/>
      <c r="P1909" s="26"/>
      <c r="Q1909" s="27"/>
      <c r="R1909" s="28"/>
      <c r="S1909" s="29"/>
      <c r="T1909" s="30"/>
    </row>
    <row r="1910" spans="1:20" ht="24" customHeight="1" x14ac:dyDescent="0.25">
      <c r="A1910" t="str">
        <f>IF('e1'!A1910&gt;0,HYPERLINK("#"&amp;ADDRESS(1910,'e1'!A1910),""),IF('r1'!A1910&gt;0,HYPERLINK("#"&amp;ADDRESS(1910,'r1'!A1910),""),""))</f>
        <v/>
      </c>
      <c r="C1910" s="13"/>
      <c r="D1910" s="14"/>
      <c r="E1910" s="15"/>
      <c r="F1910" s="16"/>
      <c r="G1910" s="17"/>
      <c r="H1910" s="18"/>
      <c r="I1910" s="19"/>
      <c r="J1910" s="20"/>
      <c r="K1910" s="21"/>
      <c r="L1910" s="22"/>
      <c r="M1910" s="23"/>
      <c r="N1910" s="24"/>
      <c r="O1910" s="25"/>
      <c r="P1910" s="26"/>
      <c r="Q1910" s="27"/>
      <c r="R1910" s="28"/>
      <c r="S1910" s="29"/>
      <c r="T1910" s="30"/>
    </row>
    <row r="1911" spans="1:20" ht="24" customHeight="1" x14ac:dyDescent="0.25">
      <c r="A1911" t="str">
        <f>IF('e1'!A1911&gt;0,HYPERLINK("#"&amp;ADDRESS(1911,'e1'!A1911),""),IF('r1'!A1911&gt;0,HYPERLINK("#"&amp;ADDRESS(1911,'r1'!A1911),""),""))</f>
        <v/>
      </c>
      <c r="C1911" s="13"/>
      <c r="D1911" s="14"/>
      <c r="E1911" s="15"/>
      <c r="F1911" s="16"/>
      <c r="G1911" s="17"/>
      <c r="H1911" s="18"/>
      <c r="I1911" s="19"/>
      <c r="J1911" s="20"/>
      <c r="K1911" s="21"/>
      <c r="L1911" s="22"/>
      <c r="M1911" s="23"/>
      <c r="N1911" s="24"/>
      <c r="O1911" s="25"/>
      <c r="P1911" s="26"/>
      <c r="Q1911" s="27"/>
      <c r="R1911" s="28"/>
      <c r="S1911" s="29"/>
      <c r="T1911" s="30"/>
    </row>
    <row r="1912" spans="1:20" ht="24" customHeight="1" x14ac:dyDescent="0.25">
      <c r="A1912" t="str">
        <f>IF('e1'!A1912&gt;0,HYPERLINK("#"&amp;ADDRESS(1912,'e1'!A1912),""),IF('r1'!A1912&gt;0,HYPERLINK("#"&amp;ADDRESS(1912,'r1'!A1912),""),""))</f>
        <v/>
      </c>
      <c r="C1912" s="13"/>
      <c r="D1912" s="14"/>
      <c r="E1912" s="15"/>
      <c r="F1912" s="16"/>
      <c r="G1912" s="17"/>
      <c r="H1912" s="18"/>
      <c r="I1912" s="19"/>
      <c r="J1912" s="20"/>
      <c r="K1912" s="21"/>
      <c r="L1912" s="22"/>
      <c r="M1912" s="23"/>
      <c r="N1912" s="24"/>
      <c r="O1912" s="25"/>
      <c r="P1912" s="26"/>
      <c r="Q1912" s="27"/>
      <c r="R1912" s="28"/>
      <c r="S1912" s="29"/>
      <c r="T1912" s="30"/>
    </row>
    <row r="1913" spans="1:20" ht="24" customHeight="1" x14ac:dyDescent="0.25">
      <c r="A1913" t="str">
        <f>IF('e1'!A1913&gt;0,HYPERLINK("#"&amp;ADDRESS(1913,'e1'!A1913),""),IF('r1'!A1913&gt;0,HYPERLINK("#"&amp;ADDRESS(1913,'r1'!A1913),""),""))</f>
        <v/>
      </c>
      <c r="C1913" s="13"/>
      <c r="D1913" s="14"/>
      <c r="E1913" s="15"/>
      <c r="F1913" s="16"/>
      <c r="G1913" s="17"/>
      <c r="H1913" s="18"/>
      <c r="I1913" s="19"/>
      <c r="J1913" s="20"/>
      <c r="K1913" s="21"/>
      <c r="L1913" s="22"/>
      <c r="M1913" s="23"/>
      <c r="N1913" s="24"/>
      <c r="O1913" s="25"/>
      <c r="P1913" s="26"/>
      <c r="Q1913" s="27"/>
      <c r="R1913" s="28"/>
      <c r="S1913" s="29"/>
      <c r="T1913" s="30"/>
    </row>
    <row r="1914" spans="1:20" ht="24" customHeight="1" x14ac:dyDescent="0.25">
      <c r="A1914" t="str">
        <f>IF('e1'!A1914&gt;0,HYPERLINK("#"&amp;ADDRESS(1914,'e1'!A1914),""),IF('r1'!A1914&gt;0,HYPERLINK("#"&amp;ADDRESS(1914,'r1'!A1914),""),""))</f>
        <v/>
      </c>
      <c r="C1914" s="13"/>
      <c r="D1914" s="14"/>
      <c r="E1914" s="15"/>
      <c r="F1914" s="16"/>
      <c r="G1914" s="17"/>
      <c r="H1914" s="18"/>
      <c r="I1914" s="19"/>
      <c r="J1914" s="20"/>
      <c r="K1914" s="21"/>
      <c r="L1914" s="22"/>
      <c r="M1914" s="23"/>
      <c r="N1914" s="24"/>
      <c r="O1914" s="25"/>
      <c r="P1914" s="26"/>
      <c r="Q1914" s="27"/>
      <c r="R1914" s="28"/>
      <c r="S1914" s="29"/>
      <c r="T1914" s="30"/>
    </row>
    <row r="1915" spans="1:20" ht="24" customHeight="1" x14ac:dyDescent="0.25">
      <c r="A1915" t="str">
        <f>IF('e1'!A1915&gt;0,HYPERLINK("#"&amp;ADDRESS(1915,'e1'!A1915),""),IF('r1'!A1915&gt;0,HYPERLINK("#"&amp;ADDRESS(1915,'r1'!A1915),""),""))</f>
        <v/>
      </c>
      <c r="C1915" s="13"/>
      <c r="D1915" s="14"/>
      <c r="E1915" s="15"/>
      <c r="F1915" s="16"/>
      <c r="G1915" s="17"/>
      <c r="H1915" s="18"/>
      <c r="I1915" s="19"/>
      <c r="J1915" s="20"/>
      <c r="K1915" s="21"/>
      <c r="L1915" s="22"/>
      <c r="M1915" s="23"/>
      <c r="N1915" s="24"/>
      <c r="O1915" s="25"/>
      <c r="P1915" s="26"/>
      <c r="Q1915" s="27"/>
      <c r="R1915" s="28"/>
      <c r="S1915" s="29"/>
      <c r="T1915" s="30"/>
    </row>
    <row r="1916" spans="1:20" ht="24" customHeight="1" x14ac:dyDescent="0.25">
      <c r="A1916" t="str">
        <f>IF('e1'!A1916&gt;0,HYPERLINK("#"&amp;ADDRESS(1916,'e1'!A1916),""),IF('r1'!A1916&gt;0,HYPERLINK("#"&amp;ADDRESS(1916,'r1'!A1916),""),""))</f>
        <v/>
      </c>
      <c r="C1916" s="13"/>
      <c r="D1916" s="14"/>
      <c r="E1916" s="15"/>
      <c r="F1916" s="16"/>
      <c r="G1916" s="17"/>
      <c r="H1916" s="18"/>
      <c r="I1916" s="19"/>
      <c r="J1916" s="20"/>
      <c r="K1916" s="21"/>
      <c r="L1916" s="22"/>
      <c r="M1916" s="23"/>
      <c r="N1916" s="24"/>
      <c r="O1916" s="25"/>
      <c r="P1916" s="26"/>
      <c r="Q1916" s="27"/>
      <c r="R1916" s="28"/>
      <c r="S1916" s="29"/>
      <c r="T1916" s="30"/>
    </row>
    <row r="1917" spans="1:20" ht="24" customHeight="1" x14ac:dyDescent="0.25">
      <c r="A1917" t="str">
        <f>IF('e1'!A1917&gt;0,HYPERLINK("#"&amp;ADDRESS(1917,'e1'!A1917),""),IF('r1'!A1917&gt;0,HYPERLINK("#"&amp;ADDRESS(1917,'r1'!A1917),""),""))</f>
        <v/>
      </c>
      <c r="C1917" s="13"/>
      <c r="D1917" s="14"/>
      <c r="E1917" s="15"/>
      <c r="F1917" s="16"/>
      <c r="G1917" s="17"/>
      <c r="H1917" s="18"/>
      <c r="I1917" s="19"/>
      <c r="J1917" s="20"/>
      <c r="K1917" s="21"/>
      <c r="L1917" s="22"/>
      <c r="M1917" s="23"/>
      <c r="N1917" s="24"/>
      <c r="O1917" s="25"/>
      <c r="P1917" s="26"/>
      <c r="Q1917" s="27"/>
      <c r="R1917" s="28"/>
      <c r="S1917" s="29"/>
      <c r="T1917" s="30"/>
    </row>
    <row r="1918" spans="1:20" ht="24" customHeight="1" x14ac:dyDescent="0.25">
      <c r="A1918" t="str">
        <f>IF('e1'!A1918&gt;0,HYPERLINK("#"&amp;ADDRESS(1918,'e1'!A1918),""),IF('r1'!A1918&gt;0,HYPERLINK("#"&amp;ADDRESS(1918,'r1'!A1918),""),""))</f>
        <v/>
      </c>
      <c r="C1918" s="13"/>
      <c r="D1918" s="14"/>
      <c r="E1918" s="15"/>
      <c r="F1918" s="16"/>
      <c r="G1918" s="17"/>
      <c r="H1918" s="18"/>
      <c r="I1918" s="19"/>
      <c r="J1918" s="20"/>
      <c r="K1918" s="21"/>
      <c r="L1918" s="22"/>
      <c r="M1918" s="23"/>
      <c r="N1918" s="24"/>
      <c r="O1918" s="25"/>
      <c r="P1918" s="26"/>
      <c r="Q1918" s="27"/>
      <c r="R1918" s="28"/>
      <c r="S1918" s="29"/>
      <c r="T1918" s="30"/>
    </row>
    <row r="1919" spans="1:20" ht="24" customHeight="1" x14ac:dyDescent="0.25">
      <c r="A1919" t="str">
        <f>IF('e1'!A1919&gt;0,HYPERLINK("#"&amp;ADDRESS(1919,'e1'!A1919),""),IF('r1'!A1919&gt;0,HYPERLINK("#"&amp;ADDRESS(1919,'r1'!A1919),""),""))</f>
        <v/>
      </c>
      <c r="C1919" s="13"/>
      <c r="D1919" s="14"/>
      <c r="E1919" s="15"/>
      <c r="F1919" s="16"/>
      <c r="G1919" s="17"/>
      <c r="H1919" s="18"/>
      <c r="I1919" s="19"/>
      <c r="J1919" s="20"/>
      <c r="K1919" s="21"/>
      <c r="L1919" s="22"/>
      <c r="M1919" s="23"/>
      <c r="N1919" s="24"/>
      <c r="O1919" s="25"/>
      <c r="P1919" s="26"/>
      <c r="Q1919" s="27"/>
      <c r="R1919" s="28"/>
      <c r="S1919" s="29"/>
      <c r="T1919" s="30"/>
    </row>
    <row r="1920" spans="1:20" ht="24" customHeight="1" x14ac:dyDescent="0.25">
      <c r="A1920" t="str">
        <f>IF('e1'!A1920&gt;0,HYPERLINK("#"&amp;ADDRESS(1920,'e1'!A1920),""),IF('r1'!A1920&gt;0,HYPERLINK("#"&amp;ADDRESS(1920,'r1'!A1920),""),""))</f>
        <v/>
      </c>
      <c r="C1920" s="13"/>
      <c r="D1920" s="14"/>
      <c r="E1920" s="15"/>
      <c r="F1920" s="16"/>
      <c r="G1920" s="17"/>
      <c r="H1920" s="18"/>
      <c r="I1920" s="19"/>
      <c r="J1920" s="20"/>
      <c r="K1920" s="21"/>
      <c r="L1920" s="22"/>
      <c r="M1920" s="23"/>
      <c r="N1920" s="24"/>
      <c r="O1920" s="25"/>
      <c r="P1920" s="26"/>
      <c r="Q1920" s="27"/>
      <c r="R1920" s="28"/>
      <c r="S1920" s="29"/>
      <c r="T1920" s="30"/>
    </row>
    <row r="1921" spans="1:20" ht="24" customHeight="1" x14ac:dyDescent="0.25">
      <c r="A1921" t="str">
        <f>IF('e1'!A1921&gt;0,HYPERLINK("#"&amp;ADDRESS(1921,'e1'!A1921),""),IF('r1'!A1921&gt;0,HYPERLINK("#"&amp;ADDRESS(1921,'r1'!A1921),""),""))</f>
        <v/>
      </c>
      <c r="C1921" s="13"/>
      <c r="D1921" s="14"/>
      <c r="E1921" s="15"/>
      <c r="F1921" s="16"/>
      <c r="G1921" s="17"/>
      <c r="H1921" s="18"/>
      <c r="I1921" s="19"/>
      <c r="J1921" s="20"/>
      <c r="K1921" s="21"/>
      <c r="L1921" s="22"/>
      <c r="M1921" s="23"/>
      <c r="N1921" s="24"/>
      <c r="O1921" s="25"/>
      <c r="P1921" s="26"/>
      <c r="Q1921" s="27"/>
      <c r="R1921" s="28"/>
      <c r="S1921" s="29"/>
      <c r="T1921" s="30"/>
    </row>
    <row r="1922" spans="1:20" ht="24" customHeight="1" x14ac:dyDescent="0.25">
      <c r="A1922" t="str">
        <f>IF('e1'!A1922&gt;0,HYPERLINK("#"&amp;ADDRESS(1922,'e1'!A1922),""),IF('r1'!A1922&gt;0,HYPERLINK("#"&amp;ADDRESS(1922,'r1'!A1922),""),""))</f>
        <v/>
      </c>
      <c r="C1922" s="13"/>
      <c r="D1922" s="14"/>
      <c r="E1922" s="15"/>
      <c r="F1922" s="16"/>
      <c r="G1922" s="17"/>
      <c r="H1922" s="18"/>
      <c r="I1922" s="19"/>
      <c r="J1922" s="20"/>
      <c r="K1922" s="21"/>
      <c r="L1922" s="22"/>
      <c r="M1922" s="23"/>
      <c r="N1922" s="24"/>
      <c r="O1922" s="25"/>
      <c r="P1922" s="26"/>
      <c r="Q1922" s="27"/>
      <c r="R1922" s="28"/>
      <c r="S1922" s="29"/>
      <c r="T1922" s="30"/>
    </row>
    <row r="1923" spans="1:20" ht="24" customHeight="1" x14ac:dyDescent="0.25">
      <c r="A1923" t="str">
        <f>IF('e1'!A1923&gt;0,HYPERLINK("#"&amp;ADDRESS(1923,'e1'!A1923),""),IF('r1'!A1923&gt;0,HYPERLINK("#"&amp;ADDRESS(1923,'r1'!A1923),""),""))</f>
        <v/>
      </c>
      <c r="C1923" s="13"/>
      <c r="D1923" s="14"/>
      <c r="E1923" s="15"/>
      <c r="F1923" s="16"/>
      <c r="G1923" s="17"/>
      <c r="H1923" s="18"/>
      <c r="I1923" s="19"/>
      <c r="J1923" s="20"/>
      <c r="K1923" s="21"/>
      <c r="L1923" s="22"/>
      <c r="M1923" s="23"/>
      <c r="N1923" s="24"/>
      <c r="O1923" s="25"/>
      <c r="P1923" s="26"/>
      <c r="Q1923" s="27"/>
      <c r="R1923" s="28"/>
      <c r="S1923" s="29"/>
      <c r="T1923" s="30"/>
    </row>
    <row r="1924" spans="1:20" ht="24" customHeight="1" x14ac:dyDescent="0.25">
      <c r="A1924" t="str">
        <f>IF('e1'!A1924&gt;0,HYPERLINK("#"&amp;ADDRESS(1924,'e1'!A1924),""),IF('r1'!A1924&gt;0,HYPERLINK("#"&amp;ADDRESS(1924,'r1'!A1924),""),""))</f>
        <v/>
      </c>
      <c r="C1924" s="13"/>
      <c r="D1924" s="14"/>
      <c r="E1924" s="15"/>
      <c r="F1924" s="16"/>
      <c r="G1924" s="17"/>
      <c r="H1924" s="18"/>
      <c r="I1924" s="19"/>
      <c r="J1924" s="20"/>
      <c r="K1924" s="21"/>
      <c r="L1924" s="22"/>
      <c r="M1924" s="23"/>
      <c r="N1924" s="24"/>
      <c r="O1924" s="25"/>
      <c r="P1924" s="26"/>
      <c r="Q1924" s="27"/>
      <c r="R1924" s="28"/>
      <c r="S1924" s="29"/>
      <c r="T1924" s="30"/>
    </row>
    <row r="1925" spans="1:20" ht="24" customHeight="1" x14ac:dyDescent="0.25">
      <c r="A1925" t="str">
        <f>IF('e1'!A1925&gt;0,HYPERLINK("#"&amp;ADDRESS(1925,'e1'!A1925),""),IF('r1'!A1925&gt;0,HYPERLINK("#"&amp;ADDRESS(1925,'r1'!A1925),""),""))</f>
        <v/>
      </c>
      <c r="C1925" s="13"/>
      <c r="D1925" s="14"/>
      <c r="E1925" s="15"/>
      <c r="F1925" s="16"/>
      <c r="G1925" s="17"/>
      <c r="H1925" s="18"/>
      <c r="I1925" s="19"/>
      <c r="J1925" s="20"/>
      <c r="K1925" s="21"/>
      <c r="L1925" s="22"/>
      <c r="M1925" s="23"/>
      <c r="N1925" s="24"/>
      <c r="O1925" s="25"/>
      <c r="P1925" s="26"/>
      <c r="Q1925" s="27"/>
      <c r="R1925" s="28"/>
      <c r="S1925" s="29"/>
      <c r="T1925" s="30"/>
    </row>
    <row r="1926" spans="1:20" ht="24" customHeight="1" x14ac:dyDescent="0.25">
      <c r="A1926" t="str">
        <f>IF('e1'!A1926&gt;0,HYPERLINK("#"&amp;ADDRESS(1926,'e1'!A1926),""),IF('r1'!A1926&gt;0,HYPERLINK("#"&amp;ADDRESS(1926,'r1'!A1926),""),""))</f>
        <v/>
      </c>
      <c r="C1926" s="13"/>
      <c r="D1926" s="14"/>
      <c r="E1926" s="15"/>
      <c r="F1926" s="16"/>
      <c r="G1926" s="17"/>
      <c r="H1926" s="18"/>
      <c r="I1926" s="19"/>
      <c r="J1926" s="20"/>
      <c r="K1926" s="21"/>
      <c r="L1926" s="22"/>
      <c r="M1926" s="23"/>
      <c r="N1926" s="24"/>
      <c r="O1926" s="25"/>
      <c r="P1926" s="26"/>
      <c r="Q1926" s="27"/>
      <c r="R1926" s="28"/>
      <c r="S1926" s="29"/>
      <c r="T1926" s="30"/>
    </row>
    <row r="1927" spans="1:20" ht="24" customHeight="1" x14ac:dyDescent="0.25">
      <c r="A1927" t="str">
        <f>IF('e1'!A1927&gt;0,HYPERLINK("#"&amp;ADDRESS(1927,'e1'!A1927),""),IF('r1'!A1927&gt;0,HYPERLINK("#"&amp;ADDRESS(1927,'r1'!A1927),""),""))</f>
        <v/>
      </c>
      <c r="C1927" s="13"/>
      <c r="D1927" s="14"/>
      <c r="E1927" s="15"/>
      <c r="F1927" s="16"/>
      <c r="G1927" s="17"/>
      <c r="H1927" s="18"/>
      <c r="I1927" s="19"/>
      <c r="J1927" s="20"/>
      <c r="K1927" s="21"/>
      <c r="L1927" s="22"/>
      <c r="M1927" s="23"/>
      <c r="N1927" s="24"/>
      <c r="O1927" s="25"/>
      <c r="P1927" s="26"/>
      <c r="Q1927" s="27"/>
      <c r="R1927" s="28"/>
      <c r="S1927" s="29"/>
      <c r="T1927" s="30"/>
    </row>
    <row r="1928" spans="1:20" ht="24" customHeight="1" x14ac:dyDescent="0.25">
      <c r="A1928" t="str">
        <f>IF('e1'!A1928&gt;0,HYPERLINK("#"&amp;ADDRESS(1928,'e1'!A1928),""),IF('r1'!A1928&gt;0,HYPERLINK("#"&amp;ADDRESS(1928,'r1'!A1928),""),""))</f>
        <v/>
      </c>
      <c r="C1928" s="13"/>
      <c r="D1928" s="14"/>
      <c r="E1928" s="15"/>
      <c r="F1928" s="16"/>
      <c r="G1928" s="17"/>
      <c r="H1928" s="18"/>
      <c r="I1928" s="19"/>
      <c r="J1928" s="20"/>
      <c r="K1928" s="21"/>
      <c r="L1928" s="22"/>
      <c r="M1928" s="23"/>
      <c r="N1928" s="24"/>
      <c r="O1928" s="25"/>
      <c r="P1928" s="26"/>
      <c r="Q1928" s="27"/>
      <c r="R1928" s="28"/>
      <c r="S1928" s="29"/>
      <c r="T1928" s="30"/>
    </row>
    <row r="1929" spans="1:20" ht="24" customHeight="1" x14ac:dyDescent="0.25">
      <c r="A1929" t="str">
        <f>IF('e1'!A1929&gt;0,HYPERLINK("#"&amp;ADDRESS(1929,'e1'!A1929),""),IF('r1'!A1929&gt;0,HYPERLINK("#"&amp;ADDRESS(1929,'r1'!A1929),""),""))</f>
        <v/>
      </c>
      <c r="C1929" s="13"/>
      <c r="D1929" s="14"/>
      <c r="E1929" s="15"/>
      <c r="F1929" s="16"/>
      <c r="G1929" s="17"/>
      <c r="H1929" s="18"/>
      <c r="I1929" s="19"/>
      <c r="J1929" s="20"/>
      <c r="K1929" s="21"/>
      <c r="L1929" s="22"/>
      <c r="M1929" s="23"/>
      <c r="N1929" s="24"/>
      <c r="O1929" s="25"/>
      <c r="P1929" s="26"/>
      <c r="Q1929" s="27"/>
      <c r="R1929" s="28"/>
      <c r="S1929" s="29"/>
      <c r="T1929" s="30"/>
    </row>
    <row r="1930" spans="1:20" ht="24" customHeight="1" x14ac:dyDescent="0.25">
      <c r="A1930" t="str">
        <f>IF('e1'!A1930&gt;0,HYPERLINK("#"&amp;ADDRESS(1930,'e1'!A1930),""),IF('r1'!A1930&gt;0,HYPERLINK("#"&amp;ADDRESS(1930,'r1'!A1930),""),""))</f>
        <v/>
      </c>
      <c r="C1930" s="13"/>
      <c r="D1930" s="14"/>
      <c r="E1930" s="15"/>
      <c r="F1930" s="16"/>
      <c r="G1930" s="17"/>
      <c r="H1930" s="18"/>
      <c r="I1930" s="19"/>
      <c r="J1930" s="20"/>
      <c r="K1930" s="21"/>
      <c r="L1930" s="22"/>
      <c r="M1930" s="23"/>
      <c r="N1930" s="24"/>
      <c r="O1930" s="25"/>
      <c r="P1930" s="26"/>
      <c r="Q1930" s="27"/>
      <c r="R1930" s="28"/>
      <c r="S1930" s="29"/>
      <c r="T1930" s="30"/>
    </row>
    <row r="1931" spans="1:20" ht="24" customHeight="1" x14ac:dyDescent="0.25">
      <c r="A1931" t="str">
        <f>IF('e1'!A1931&gt;0,HYPERLINK("#"&amp;ADDRESS(1931,'e1'!A1931),""),IF('r1'!A1931&gt;0,HYPERLINK("#"&amp;ADDRESS(1931,'r1'!A1931),""),""))</f>
        <v/>
      </c>
      <c r="C1931" s="13"/>
      <c r="D1931" s="14"/>
      <c r="E1931" s="15"/>
      <c r="F1931" s="16"/>
      <c r="G1931" s="17"/>
      <c r="H1931" s="18"/>
      <c r="I1931" s="19"/>
      <c r="J1931" s="20"/>
      <c r="K1931" s="21"/>
      <c r="L1931" s="22"/>
      <c r="M1931" s="23"/>
      <c r="N1931" s="24"/>
      <c r="O1931" s="25"/>
      <c r="P1931" s="26"/>
      <c r="Q1931" s="27"/>
      <c r="R1931" s="28"/>
      <c r="S1931" s="29"/>
      <c r="T1931" s="30"/>
    </row>
    <row r="1932" spans="1:20" ht="24" customHeight="1" x14ac:dyDescent="0.25">
      <c r="A1932" t="str">
        <f>IF('e1'!A1932&gt;0,HYPERLINK("#"&amp;ADDRESS(1932,'e1'!A1932),""),IF('r1'!A1932&gt;0,HYPERLINK("#"&amp;ADDRESS(1932,'r1'!A1932),""),""))</f>
        <v/>
      </c>
      <c r="C1932" s="13"/>
      <c r="D1932" s="14"/>
      <c r="E1932" s="15"/>
      <c r="F1932" s="16"/>
      <c r="G1932" s="17"/>
      <c r="H1932" s="18"/>
      <c r="I1932" s="19"/>
      <c r="J1932" s="20"/>
      <c r="K1932" s="21"/>
      <c r="L1932" s="22"/>
      <c r="M1932" s="23"/>
      <c r="N1932" s="24"/>
      <c r="O1932" s="25"/>
      <c r="P1932" s="26"/>
      <c r="Q1932" s="27"/>
      <c r="R1932" s="28"/>
      <c r="S1932" s="29"/>
      <c r="T1932" s="30"/>
    </row>
    <row r="1933" spans="1:20" ht="24" customHeight="1" x14ac:dyDescent="0.25">
      <c r="A1933" t="str">
        <f>IF('e1'!A1933&gt;0,HYPERLINK("#"&amp;ADDRESS(1933,'e1'!A1933),""),IF('r1'!A1933&gt;0,HYPERLINK("#"&amp;ADDRESS(1933,'r1'!A1933),""),""))</f>
        <v/>
      </c>
      <c r="C1933" s="13"/>
      <c r="D1933" s="14"/>
      <c r="E1933" s="15"/>
      <c r="F1933" s="16"/>
      <c r="G1933" s="17"/>
      <c r="H1933" s="18"/>
      <c r="I1933" s="19"/>
      <c r="J1933" s="20"/>
      <c r="K1933" s="21"/>
      <c r="L1933" s="22"/>
      <c r="M1933" s="23"/>
      <c r="N1933" s="24"/>
      <c r="O1933" s="25"/>
      <c r="P1933" s="26"/>
      <c r="Q1933" s="27"/>
      <c r="R1933" s="28"/>
      <c r="S1933" s="29"/>
      <c r="T1933" s="30"/>
    </row>
    <row r="1934" spans="1:20" ht="24" customHeight="1" x14ac:dyDescent="0.25">
      <c r="A1934" t="str">
        <f>IF('e1'!A1934&gt;0,HYPERLINK("#"&amp;ADDRESS(1934,'e1'!A1934),""),IF('r1'!A1934&gt;0,HYPERLINK("#"&amp;ADDRESS(1934,'r1'!A1934),""),""))</f>
        <v/>
      </c>
      <c r="C1934" s="13"/>
      <c r="D1934" s="14"/>
      <c r="E1934" s="15"/>
      <c r="F1934" s="16"/>
      <c r="G1934" s="17"/>
      <c r="H1934" s="18"/>
      <c r="I1934" s="19"/>
      <c r="J1934" s="20"/>
      <c r="K1934" s="21"/>
      <c r="L1934" s="22"/>
      <c r="M1934" s="23"/>
      <c r="N1934" s="24"/>
      <c r="O1934" s="25"/>
      <c r="P1934" s="26"/>
      <c r="Q1934" s="27"/>
      <c r="R1934" s="28"/>
      <c r="S1934" s="29"/>
      <c r="T1934" s="30"/>
    </row>
    <row r="1935" spans="1:20" ht="24" customHeight="1" x14ac:dyDescent="0.25">
      <c r="A1935" t="str">
        <f>IF('e1'!A1935&gt;0,HYPERLINK("#"&amp;ADDRESS(1935,'e1'!A1935),""),IF('r1'!A1935&gt;0,HYPERLINK("#"&amp;ADDRESS(1935,'r1'!A1935),""),""))</f>
        <v/>
      </c>
      <c r="C1935" s="13"/>
      <c r="D1935" s="14"/>
      <c r="E1935" s="15"/>
      <c r="F1935" s="16"/>
      <c r="G1935" s="17"/>
      <c r="H1935" s="18"/>
      <c r="I1935" s="19"/>
      <c r="J1935" s="20"/>
      <c r="K1935" s="21"/>
      <c r="L1935" s="22"/>
      <c r="M1935" s="23"/>
      <c r="N1935" s="24"/>
      <c r="O1935" s="25"/>
      <c r="P1935" s="26"/>
      <c r="Q1935" s="27"/>
      <c r="R1935" s="28"/>
      <c r="S1935" s="29"/>
      <c r="T1935" s="30"/>
    </row>
    <row r="1936" spans="1:20" ht="24" customHeight="1" x14ac:dyDescent="0.25">
      <c r="A1936" t="str">
        <f>IF('e1'!A1936&gt;0,HYPERLINK("#"&amp;ADDRESS(1936,'e1'!A1936),""),IF('r1'!A1936&gt;0,HYPERLINK("#"&amp;ADDRESS(1936,'r1'!A1936),""),""))</f>
        <v/>
      </c>
      <c r="C1936" s="13"/>
      <c r="D1936" s="14"/>
      <c r="E1936" s="15"/>
      <c r="F1936" s="16"/>
      <c r="G1936" s="17"/>
      <c r="H1936" s="18"/>
      <c r="I1936" s="19"/>
      <c r="J1936" s="20"/>
      <c r="K1936" s="21"/>
      <c r="L1936" s="22"/>
      <c r="M1936" s="23"/>
      <c r="N1936" s="24"/>
      <c r="O1936" s="25"/>
      <c r="P1936" s="26"/>
      <c r="Q1936" s="27"/>
      <c r="R1936" s="28"/>
      <c r="S1936" s="29"/>
      <c r="T1936" s="30"/>
    </row>
    <row r="1937" spans="1:20" ht="24" customHeight="1" x14ac:dyDescent="0.25">
      <c r="A1937" t="str">
        <f>IF('e1'!A1937&gt;0,HYPERLINK("#"&amp;ADDRESS(1937,'e1'!A1937),""),IF('r1'!A1937&gt;0,HYPERLINK("#"&amp;ADDRESS(1937,'r1'!A1937),""),""))</f>
        <v/>
      </c>
      <c r="C1937" s="13"/>
      <c r="D1937" s="14"/>
      <c r="E1937" s="15"/>
      <c r="F1937" s="16"/>
      <c r="G1937" s="17"/>
      <c r="H1937" s="18"/>
      <c r="I1937" s="19"/>
      <c r="J1937" s="20"/>
      <c r="K1937" s="21"/>
      <c r="L1937" s="22"/>
      <c r="M1937" s="23"/>
      <c r="N1937" s="24"/>
      <c r="O1937" s="25"/>
      <c r="P1937" s="26"/>
      <c r="Q1937" s="27"/>
      <c r="R1937" s="28"/>
      <c r="S1937" s="29"/>
      <c r="T1937" s="30"/>
    </row>
    <row r="1938" spans="1:20" ht="24" customHeight="1" x14ac:dyDescent="0.25">
      <c r="A1938" t="str">
        <f>IF('e1'!A1938&gt;0,HYPERLINK("#"&amp;ADDRESS(1938,'e1'!A1938),""),IF('r1'!A1938&gt;0,HYPERLINK("#"&amp;ADDRESS(1938,'r1'!A1938),""),""))</f>
        <v/>
      </c>
      <c r="C1938" s="13"/>
      <c r="D1938" s="14"/>
      <c r="E1938" s="15"/>
      <c r="F1938" s="16"/>
      <c r="G1938" s="17"/>
      <c r="H1938" s="18"/>
      <c r="I1938" s="19"/>
      <c r="J1938" s="20"/>
      <c r="K1938" s="21"/>
      <c r="L1938" s="22"/>
      <c r="M1938" s="23"/>
      <c r="N1938" s="24"/>
      <c r="O1938" s="25"/>
      <c r="P1938" s="26"/>
      <c r="Q1938" s="27"/>
      <c r="R1938" s="28"/>
      <c r="S1938" s="29"/>
      <c r="T1938" s="30"/>
    </row>
    <row r="1939" spans="1:20" ht="24" customHeight="1" x14ac:dyDescent="0.25">
      <c r="A1939" t="str">
        <f>IF('e1'!A1939&gt;0,HYPERLINK("#"&amp;ADDRESS(1939,'e1'!A1939),""),IF('r1'!A1939&gt;0,HYPERLINK("#"&amp;ADDRESS(1939,'r1'!A1939),""),""))</f>
        <v/>
      </c>
      <c r="C1939" s="13"/>
      <c r="D1939" s="14"/>
      <c r="E1939" s="15"/>
      <c r="F1939" s="16"/>
      <c r="G1939" s="17"/>
      <c r="H1939" s="18"/>
      <c r="I1939" s="19"/>
      <c r="J1939" s="20"/>
      <c r="K1939" s="21"/>
      <c r="L1939" s="22"/>
      <c r="M1939" s="23"/>
      <c r="N1939" s="24"/>
      <c r="O1939" s="25"/>
      <c r="P1939" s="26"/>
      <c r="Q1939" s="27"/>
      <c r="R1939" s="28"/>
      <c r="S1939" s="29"/>
      <c r="T1939" s="30"/>
    </row>
    <row r="1940" spans="1:20" ht="24" customHeight="1" x14ac:dyDescent="0.25">
      <c r="A1940" t="str">
        <f>IF('e1'!A1940&gt;0,HYPERLINK("#"&amp;ADDRESS(1940,'e1'!A1940),""),IF('r1'!A1940&gt;0,HYPERLINK("#"&amp;ADDRESS(1940,'r1'!A1940),""),""))</f>
        <v/>
      </c>
      <c r="C1940" s="13"/>
      <c r="D1940" s="14"/>
      <c r="E1940" s="15"/>
      <c r="F1940" s="16"/>
      <c r="G1940" s="17"/>
      <c r="H1940" s="18"/>
      <c r="I1940" s="19"/>
      <c r="J1940" s="20"/>
      <c r="K1940" s="21"/>
      <c r="L1940" s="22"/>
      <c r="M1940" s="23"/>
      <c r="N1940" s="24"/>
      <c r="O1940" s="25"/>
      <c r="P1940" s="26"/>
      <c r="Q1940" s="27"/>
      <c r="R1940" s="28"/>
      <c r="S1940" s="29"/>
      <c r="T1940" s="30"/>
    </row>
    <row r="1941" spans="1:20" ht="24" customHeight="1" x14ac:dyDescent="0.25">
      <c r="A1941" t="str">
        <f>IF('e1'!A1941&gt;0,HYPERLINK("#"&amp;ADDRESS(1941,'e1'!A1941),""),IF('r1'!A1941&gt;0,HYPERLINK("#"&amp;ADDRESS(1941,'r1'!A1941),""),""))</f>
        <v/>
      </c>
      <c r="C1941" s="13"/>
      <c r="D1941" s="14"/>
      <c r="E1941" s="15"/>
      <c r="F1941" s="16"/>
      <c r="G1941" s="17"/>
      <c r="H1941" s="18"/>
      <c r="I1941" s="19"/>
      <c r="J1941" s="20"/>
      <c r="K1941" s="21"/>
      <c r="L1941" s="22"/>
      <c r="M1941" s="23"/>
      <c r="N1941" s="24"/>
      <c r="O1941" s="25"/>
      <c r="P1941" s="26"/>
      <c r="Q1941" s="27"/>
      <c r="R1941" s="28"/>
      <c r="S1941" s="29"/>
      <c r="T1941" s="30"/>
    </row>
    <row r="1942" spans="1:20" ht="24" customHeight="1" x14ac:dyDescent="0.25">
      <c r="A1942" t="str">
        <f>IF('e1'!A1942&gt;0,HYPERLINK("#"&amp;ADDRESS(1942,'e1'!A1942),""),IF('r1'!A1942&gt;0,HYPERLINK("#"&amp;ADDRESS(1942,'r1'!A1942),""),""))</f>
        <v/>
      </c>
      <c r="C1942" s="13"/>
      <c r="D1942" s="14"/>
      <c r="E1942" s="15"/>
      <c r="F1942" s="16"/>
      <c r="G1942" s="17"/>
      <c r="H1942" s="18"/>
      <c r="I1942" s="19"/>
      <c r="J1942" s="20"/>
      <c r="K1942" s="21"/>
      <c r="L1942" s="22"/>
      <c r="M1942" s="23"/>
      <c r="N1942" s="24"/>
      <c r="O1942" s="25"/>
      <c r="P1942" s="26"/>
      <c r="Q1942" s="27"/>
      <c r="R1942" s="28"/>
      <c r="S1942" s="29"/>
      <c r="T1942" s="30"/>
    </row>
    <row r="1943" spans="1:20" ht="24" customHeight="1" x14ac:dyDescent="0.25">
      <c r="A1943" t="str">
        <f>IF('e1'!A1943&gt;0,HYPERLINK("#"&amp;ADDRESS(1943,'e1'!A1943),""),IF('r1'!A1943&gt;0,HYPERLINK("#"&amp;ADDRESS(1943,'r1'!A1943),""),""))</f>
        <v/>
      </c>
      <c r="C1943" s="13"/>
      <c r="D1943" s="14"/>
      <c r="E1943" s="15"/>
      <c r="F1943" s="16"/>
      <c r="G1943" s="17"/>
      <c r="H1943" s="18"/>
      <c r="I1943" s="19"/>
      <c r="J1943" s="20"/>
      <c r="K1943" s="21"/>
      <c r="L1943" s="22"/>
      <c r="M1943" s="23"/>
      <c r="N1943" s="24"/>
      <c r="O1943" s="25"/>
      <c r="P1943" s="26"/>
      <c r="Q1943" s="27"/>
      <c r="R1943" s="28"/>
      <c r="S1943" s="29"/>
      <c r="T1943" s="30"/>
    </row>
    <row r="1944" spans="1:20" ht="24" customHeight="1" x14ac:dyDescent="0.25">
      <c r="A1944" t="str">
        <f>IF('e1'!A1944&gt;0,HYPERLINK("#"&amp;ADDRESS(1944,'e1'!A1944),""),IF('r1'!A1944&gt;0,HYPERLINK("#"&amp;ADDRESS(1944,'r1'!A1944),""),""))</f>
        <v/>
      </c>
      <c r="C1944" s="13"/>
      <c r="D1944" s="14"/>
      <c r="E1944" s="15"/>
      <c r="F1944" s="16"/>
      <c r="G1944" s="17"/>
      <c r="H1944" s="18"/>
      <c r="I1944" s="19"/>
      <c r="J1944" s="20"/>
      <c r="K1944" s="21"/>
      <c r="L1944" s="22"/>
      <c r="M1944" s="23"/>
      <c r="N1944" s="24"/>
      <c r="O1944" s="25"/>
      <c r="P1944" s="26"/>
      <c r="Q1944" s="27"/>
      <c r="R1944" s="28"/>
      <c r="S1944" s="29"/>
      <c r="T1944" s="30"/>
    </row>
    <row r="1945" spans="1:20" ht="24" customHeight="1" x14ac:dyDescent="0.25">
      <c r="A1945" t="str">
        <f>IF('e1'!A1945&gt;0,HYPERLINK("#"&amp;ADDRESS(1945,'e1'!A1945),""),IF('r1'!A1945&gt;0,HYPERLINK("#"&amp;ADDRESS(1945,'r1'!A1945),""),""))</f>
        <v/>
      </c>
      <c r="C1945" s="13"/>
      <c r="D1945" s="14"/>
      <c r="E1945" s="15"/>
      <c r="F1945" s="16"/>
      <c r="G1945" s="17"/>
      <c r="H1945" s="18"/>
      <c r="I1945" s="19"/>
      <c r="J1945" s="20"/>
      <c r="K1945" s="21"/>
      <c r="L1945" s="22"/>
      <c r="M1945" s="23"/>
      <c r="N1945" s="24"/>
      <c r="O1945" s="25"/>
      <c r="P1945" s="26"/>
      <c r="Q1945" s="27"/>
      <c r="R1945" s="28"/>
      <c r="S1945" s="29"/>
      <c r="T1945" s="30"/>
    </row>
    <row r="1946" spans="1:20" ht="24" customHeight="1" x14ac:dyDescent="0.25">
      <c r="A1946" t="str">
        <f>IF('e1'!A1946&gt;0,HYPERLINK("#"&amp;ADDRESS(1946,'e1'!A1946),""),IF('r1'!A1946&gt;0,HYPERLINK("#"&amp;ADDRESS(1946,'r1'!A1946),""),""))</f>
        <v/>
      </c>
      <c r="C1946" s="13"/>
      <c r="D1946" s="14"/>
      <c r="E1946" s="15"/>
      <c r="F1946" s="16"/>
      <c r="G1946" s="17"/>
      <c r="H1946" s="18"/>
      <c r="I1946" s="19"/>
      <c r="J1946" s="20"/>
      <c r="K1946" s="21"/>
      <c r="L1946" s="22"/>
      <c r="M1946" s="23"/>
      <c r="N1946" s="24"/>
      <c r="O1946" s="25"/>
      <c r="P1946" s="26"/>
      <c r="Q1946" s="27"/>
      <c r="R1946" s="28"/>
      <c r="S1946" s="29"/>
      <c r="T1946" s="30"/>
    </row>
    <row r="1947" spans="1:20" ht="24" customHeight="1" x14ac:dyDescent="0.25">
      <c r="A1947" t="str">
        <f>IF('e1'!A1947&gt;0,HYPERLINK("#"&amp;ADDRESS(1947,'e1'!A1947),""),IF('r1'!A1947&gt;0,HYPERLINK("#"&amp;ADDRESS(1947,'r1'!A1947),""),""))</f>
        <v/>
      </c>
      <c r="C1947" s="13"/>
      <c r="D1947" s="14"/>
      <c r="E1947" s="15"/>
      <c r="F1947" s="16"/>
      <c r="G1947" s="17"/>
      <c r="H1947" s="18"/>
      <c r="I1947" s="19"/>
      <c r="J1947" s="20"/>
      <c r="K1947" s="21"/>
      <c r="L1947" s="22"/>
      <c r="M1947" s="23"/>
      <c r="N1947" s="24"/>
      <c r="O1947" s="25"/>
      <c r="P1947" s="26"/>
      <c r="Q1947" s="27"/>
      <c r="R1947" s="28"/>
      <c r="S1947" s="29"/>
      <c r="T1947" s="30"/>
    </row>
    <row r="1948" spans="1:20" ht="24" customHeight="1" x14ac:dyDescent="0.25">
      <c r="A1948" t="str">
        <f>IF('e1'!A1948&gt;0,HYPERLINK("#"&amp;ADDRESS(1948,'e1'!A1948),""),IF('r1'!A1948&gt;0,HYPERLINK("#"&amp;ADDRESS(1948,'r1'!A1948),""),""))</f>
        <v/>
      </c>
      <c r="C1948" s="13"/>
      <c r="D1948" s="14"/>
      <c r="E1948" s="15"/>
      <c r="F1948" s="16"/>
      <c r="G1948" s="17"/>
      <c r="H1948" s="18"/>
      <c r="I1948" s="19"/>
      <c r="J1948" s="20"/>
      <c r="K1948" s="21"/>
      <c r="L1948" s="22"/>
      <c r="M1948" s="23"/>
      <c r="N1948" s="24"/>
      <c r="O1948" s="25"/>
      <c r="P1948" s="26"/>
      <c r="Q1948" s="27"/>
      <c r="R1948" s="28"/>
      <c r="S1948" s="29"/>
      <c r="T1948" s="30"/>
    </row>
    <row r="1949" spans="1:20" ht="24" customHeight="1" x14ac:dyDescent="0.25">
      <c r="A1949" t="str">
        <f>IF('e1'!A1949&gt;0,HYPERLINK("#"&amp;ADDRESS(1949,'e1'!A1949),""),IF('r1'!A1949&gt;0,HYPERLINK("#"&amp;ADDRESS(1949,'r1'!A1949),""),""))</f>
        <v/>
      </c>
      <c r="C1949" s="13"/>
      <c r="D1949" s="14"/>
      <c r="E1949" s="15"/>
      <c r="F1949" s="16"/>
      <c r="G1949" s="17"/>
      <c r="H1949" s="18"/>
      <c r="I1949" s="19"/>
      <c r="J1949" s="20"/>
      <c r="K1949" s="21"/>
      <c r="L1949" s="22"/>
      <c r="M1949" s="23"/>
      <c r="N1949" s="24"/>
      <c r="O1949" s="25"/>
      <c r="P1949" s="26"/>
      <c r="Q1949" s="27"/>
      <c r="R1949" s="28"/>
      <c r="S1949" s="29"/>
      <c r="T1949" s="30"/>
    </row>
    <row r="1950" spans="1:20" ht="24" customHeight="1" x14ac:dyDescent="0.25">
      <c r="A1950" t="str">
        <f>IF('e1'!A1950&gt;0,HYPERLINK("#"&amp;ADDRESS(1950,'e1'!A1950),""),IF('r1'!A1950&gt;0,HYPERLINK("#"&amp;ADDRESS(1950,'r1'!A1950),""),""))</f>
        <v/>
      </c>
      <c r="C1950" s="13"/>
      <c r="D1950" s="14"/>
      <c r="E1950" s="15"/>
      <c r="F1950" s="16"/>
      <c r="G1950" s="17"/>
      <c r="H1950" s="18"/>
      <c r="I1950" s="19"/>
      <c r="J1950" s="20"/>
      <c r="K1950" s="21"/>
      <c r="L1950" s="22"/>
      <c r="M1950" s="23"/>
      <c r="N1950" s="24"/>
      <c r="O1950" s="25"/>
      <c r="P1950" s="26"/>
      <c r="Q1950" s="27"/>
      <c r="R1950" s="28"/>
      <c r="S1950" s="29"/>
      <c r="T1950" s="30"/>
    </row>
    <row r="1951" spans="1:20" ht="24" customHeight="1" x14ac:dyDescent="0.25">
      <c r="A1951" t="str">
        <f>IF('e1'!A1951&gt;0,HYPERLINK("#"&amp;ADDRESS(1951,'e1'!A1951),""),IF('r1'!A1951&gt;0,HYPERLINK("#"&amp;ADDRESS(1951,'r1'!A1951),""),""))</f>
        <v/>
      </c>
      <c r="C1951" s="13"/>
      <c r="D1951" s="14"/>
      <c r="E1951" s="15"/>
      <c r="F1951" s="16"/>
      <c r="G1951" s="17"/>
      <c r="H1951" s="18"/>
      <c r="I1951" s="19"/>
      <c r="J1951" s="20"/>
      <c r="K1951" s="21"/>
      <c r="L1951" s="22"/>
      <c r="M1951" s="23"/>
      <c r="N1951" s="24"/>
      <c r="O1951" s="25"/>
      <c r="P1951" s="26"/>
      <c r="Q1951" s="27"/>
      <c r="R1951" s="28"/>
      <c r="S1951" s="29"/>
      <c r="T1951" s="30"/>
    </row>
    <row r="1952" spans="1:20" ht="24" customHeight="1" x14ac:dyDescent="0.25">
      <c r="A1952" t="str">
        <f>IF('e1'!A1952&gt;0,HYPERLINK("#"&amp;ADDRESS(1952,'e1'!A1952),""),IF('r1'!A1952&gt;0,HYPERLINK("#"&amp;ADDRESS(1952,'r1'!A1952),""),""))</f>
        <v/>
      </c>
      <c r="C1952" s="13"/>
      <c r="D1952" s="14"/>
      <c r="E1952" s="15"/>
      <c r="F1952" s="16"/>
      <c r="G1952" s="17"/>
      <c r="H1952" s="18"/>
      <c r="I1952" s="19"/>
      <c r="J1952" s="20"/>
      <c r="K1952" s="21"/>
      <c r="L1952" s="22"/>
      <c r="M1952" s="23"/>
      <c r="N1952" s="24"/>
      <c r="O1952" s="25"/>
      <c r="P1952" s="26"/>
      <c r="Q1952" s="27"/>
      <c r="R1952" s="28"/>
      <c r="S1952" s="29"/>
      <c r="T1952" s="30"/>
    </row>
    <row r="1953" spans="1:20" ht="24" customHeight="1" x14ac:dyDescent="0.25">
      <c r="A1953" t="str">
        <f>IF('e1'!A1953&gt;0,HYPERLINK("#"&amp;ADDRESS(1953,'e1'!A1953),""),IF('r1'!A1953&gt;0,HYPERLINK("#"&amp;ADDRESS(1953,'r1'!A1953),""),""))</f>
        <v/>
      </c>
      <c r="C1953" s="13"/>
      <c r="D1953" s="14"/>
      <c r="E1953" s="15"/>
      <c r="F1953" s="16"/>
      <c r="G1953" s="17"/>
      <c r="H1953" s="18"/>
      <c r="I1953" s="19"/>
      <c r="J1953" s="20"/>
      <c r="K1953" s="21"/>
      <c r="L1953" s="22"/>
      <c r="M1953" s="23"/>
      <c r="N1953" s="24"/>
      <c r="O1953" s="25"/>
      <c r="P1953" s="26"/>
      <c r="Q1953" s="27"/>
      <c r="R1953" s="28"/>
      <c r="S1953" s="29"/>
      <c r="T1953" s="30"/>
    </row>
    <row r="1954" spans="1:20" ht="24" customHeight="1" x14ac:dyDescent="0.25">
      <c r="A1954" t="str">
        <f>IF('e1'!A1954&gt;0,HYPERLINK("#"&amp;ADDRESS(1954,'e1'!A1954),""),IF('r1'!A1954&gt;0,HYPERLINK("#"&amp;ADDRESS(1954,'r1'!A1954),""),""))</f>
        <v/>
      </c>
      <c r="C1954" s="13"/>
      <c r="D1954" s="14"/>
      <c r="E1954" s="15"/>
      <c r="F1954" s="16"/>
      <c r="G1954" s="17"/>
      <c r="H1954" s="18"/>
      <c r="I1954" s="19"/>
      <c r="J1954" s="20"/>
      <c r="K1954" s="21"/>
      <c r="L1954" s="22"/>
      <c r="M1954" s="23"/>
      <c r="N1954" s="24"/>
      <c r="O1954" s="25"/>
      <c r="P1954" s="26"/>
      <c r="Q1954" s="27"/>
      <c r="R1954" s="28"/>
      <c r="S1954" s="29"/>
      <c r="T1954" s="30"/>
    </row>
    <row r="1955" spans="1:20" ht="24" customHeight="1" x14ac:dyDescent="0.25">
      <c r="A1955" t="str">
        <f>IF('e1'!A1955&gt;0,HYPERLINK("#"&amp;ADDRESS(1955,'e1'!A1955),""),IF('r1'!A1955&gt;0,HYPERLINK("#"&amp;ADDRESS(1955,'r1'!A1955),""),""))</f>
        <v/>
      </c>
      <c r="C1955" s="13"/>
      <c r="D1955" s="14"/>
      <c r="E1955" s="15"/>
      <c r="F1955" s="16"/>
      <c r="G1955" s="17"/>
      <c r="H1955" s="18"/>
      <c r="I1955" s="19"/>
      <c r="J1955" s="20"/>
      <c r="K1955" s="21"/>
      <c r="L1955" s="22"/>
      <c r="M1955" s="23"/>
      <c r="N1955" s="24"/>
      <c r="O1955" s="25"/>
      <c r="P1955" s="26"/>
      <c r="Q1955" s="27"/>
      <c r="R1955" s="28"/>
      <c r="S1955" s="29"/>
      <c r="T1955" s="30"/>
    </row>
    <row r="1956" spans="1:20" ht="24" customHeight="1" x14ac:dyDescent="0.25">
      <c r="A1956" t="str">
        <f>IF('e1'!A1956&gt;0,HYPERLINK("#"&amp;ADDRESS(1956,'e1'!A1956),""),IF('r1'!A1956&gt;0,HYPERLINK("#"&amp;ADDRESS(1956,'r1'!A1956),""),""))</f>
        <v/>
      </c>
      <c r="C1956" s="13"/>
      <c r="D1956" s="14"/>
      <c r="E1956" s="15"/>
      <c r="F1956" s="16"/>
      <c r="G1956" s="17"/>
      <c r="H1956" s="18"/>
      <c r="I1956" s="19"/>
      <c r="J1956" s="20"/>
      <c r="K1956" s="21"/>
      <c r="L1956" s="22"/>
      <c r="M1956" s="23"/>
      <c r="N1956" s="24"/>
      <c r="O1956" s="25"/>
      <c r="P1956" s="26"/>
      <c r="Q1956" s="27"/>
      <c r="R1956" s="28"/>
      <c r="S1956" s="29"/>
      <c r="T1956" s="30"/>
    </row>
    <row r="1957" spans="1:20" ht="24" customHeight="1" x14ac:dyDescent="0.25">
      <c r="A1957" t="str">
        <f>IF('e1'!A1957&gt;0,HYPERLINK("#"&amp;ADDRESS(1957,'e1'!A1957),""),IF('r1'!A1957&gt;0,HYPERLINK("#"&amp;ADDRESS(1957,'r1'!A1957),""),""))</f>
        <v/>
      </c>
      <c r="C1957" s="13"/>
      <c r="D1957" s="14"/>
      <c r="E1957" s="15"/>
      <c r="F1957" s="16"/>
      <c r="G1957" s="17"/>
      <c r="H1957" s="18"/>
      <c r="I1957" s="19"/>
      <c r="J1957" s="20"/>
      <c r="K1957" s="21"/>
      <c r="L1957" s="22"/>
      <c r="M1957" s="23"/>
      <c r="N1957" s="24"/>
      <c r="O1957" s="25"/>
      <c r="P1957" s="26"/>
      <c r="Q1957" s="27"/>
      <c r="R1957" s="28"/>
      <c r="S1957" s="29"/>
      <c r="T1957" s="30"/>
    </row>
    <row r="1958" spans="1:20" ht="24" customHeight="1" x14ac:dyDescent="0.25">
      <c r="A1958" t="str">
        <f>IF('e1'!A1958&gt;0,HYPERLINK("#"&amp;ADDRESS(1958,'e1'!A1958),""),IF('r1'!A1958&gt;0,HYPERLINK("#"&amp;ADDRESS(1958,'r1'!A1958),""),""))</f>
        <v/>
      </c>
      <c r="C1958" s="13"/>
      <c r="D1958" s="14"/>
      <c r="E1958" s="15"/>
      <c r="F1958" s="16"/>
      <c r="G1958" s="17"/>
      <c r="H1958" s="18"/>
      <c r="I1958" s="19"/>
      <c r="J1958" s="20"/>
      <c r="K1958" s="21"/>
      <c r="L1958" s="22"/>
      <c r="M1958" s="23"/>
      <c r="N1958" s="24"/>
      <c r="O1958" s="25"/>
      <c r="P1958" s="26"/>
      <c r="Q1958" s="27"/>
      <c r="R1958" s="28"/>
      <c r="S1958" s="29"/>
      <c r="T1958" s="30"/>
    </row>
    <row r="1959" spans="1:20" ht="24" customHeight="1" x14ac:dyDescent="0.25">
      <c r="A1959" t="str">
        <f>IF('e1'!A1959&gt;0,HYPERLINK("#"&amp;ADDRESS(1959,'e1'!A1959),""),IF('r1'!A1959&gt;0,HYPERLINK("#"&amp;ADDRESS(1959,'r1'!A1959),""),""))</f>
        <v/>
      </c>
      <c r="C1959" s="13"/>
      <c r="D1959" s="14"/>
      <c r="E1959" s="15"/>
      <c r="F1959" s="16"/>
      <c r="G1959" s="17"/>
      <c r="H1959" s="18"/>
      <c r="I1959" s="19"/>
      <c r="J1959" s="20"/>
      <c r="K1959" s="21"/>
      <c r="L1959" s="22"/>
      <c r="M1959" s="23"/>
      <c r="N1959" s="24"/>
      <c r="O1959" s="25"/>
      <c r="P1959" s="26"/>
      <c r="Q1959" s="27"/>
      <c r="R1959" s="28"/>
      <c r="S1959" s="29"/>
      <c r="T1959" s="30"/>
    </row>
    <row r="1960" spans="1:20" ht="24" customHeight="1" x14ac:dyDescent="0.25">
      <c r="A1960" t="str">
        <f>IF('e1'!A1960&gt;0,HYPERLINK("#"&amp;ADDRESS(1960,'e1'!A1960),""),IF('r1'!A1960&gt;0,HYPERLINK("#"&amp;ADDRESS(1960,'r1'!A1960),""),""))</f>
        <v/>
      </c>
      <c r="C1960" s="13"/>
      <c r="D1960" s="14"/>
      <c r="E1960" s="15"/>
      <c r="F1960" s="16"/>
      <c r="G1960" s="17"/>
      <c r="H1960" s="18"/>
      <c r="I1960" s="19"/>
      <c r="J1960" s="20"/>
      <c r="K1960" s="21"/>
      <c r="L1960" s="22"/>
      <c r="M1960" s="23"/>
      <c r="N1960" s="24"/>
      <c r="O1960" s="25"/>
      <c r="P1960" s="26"/>
      <c r="Q1960" s="27"/>
      <c r="R1960" s="28"/>
      <c r="S1960" s="29"/>
      <c r="T1960" s="30"/>
    </row>
    <row r="1961" spans="1:20" ht="24" customHeight="1" x14ac:dyDescent="0.25">
      <c r="A1961" t="str">
        <f>IF('e1'!A1961&gt;0,HYPERLINK("#"&amp;ADDRESS(1961,'e1'!A1961),""),IF('r1'!A1961&gt;0,HYPERLINK("#"&amp;ADDRESS(1961,'r1'!A1961),""),""))</f>
        <v/>
      </c>
      <c r="C1961" s="13"/>
      <c r="D1961" s="14"/>
      <c r="E1961" s="15"/>
      <c r="F1961" s="16"/>
      <c r="G1961" s="17"/>
      <c r="H1961" s="18"/>
      <c r="I1961" s="19"/>
      <c r="J1961" s="20"/>
      <c r="K1961" s="21"/>
      <c r="L1961" s="22"/>
      <c r="M1961" s="23"/>
      <c r="N1961" s="24"/>
      <c r="O1961" s="25"/>
      <c r="P1961" s="26"/>
      <c r="Q1961" s="27"/>
      <c r="R1961" s="28"/>
      <c r="S1961" s="29"/>
      <c r="T1961" s="30"/>
    </row>
    <row r="1962" spans="1:20" ht="24" customHeight="1" x14ac:dyDescent="0.25">
      <c r="A1962" t="str">
        <f>IF('e1'!A1962&gt;0,HYPERLINK("#"&amp;ADDRESS(1962,'e1'!A1962),""),IF('r1'!A1962&gt;0,HYPERLINK("#"&amp;ADDRESS(1962,'r1'!A1962),""),""))</f>
        <v/>
      </c>
      <c r="C1962" s="13"/>
      <c r="D1962" s="14"/>
      <c r="E1962" s="15"/>
      <c r="F1962" s="16"/>
      <c r="G1962" s="17"/>
      <c r="H1962" s="18"/>
      <c r="I1962" s="19"/>
      <c r="J1962" s="20"/>
      <c r="K1962" s="21"/>
      <c r="L1962" s="22"/>
      <c r="M1962" s="23"/>
      <c r="N1962" s="24"/>
      <c r="O1962" s="25"/>
      <c r="P1962" s="26"/>
      <c r="Q1962" s="27"/>
      <c r="R1962" s="28"/>
      <c r="S1962" s="29"/>
      <c r="T1962" s="30"/>
    </row>
    <row r="1963" spans="1:20" ht="24" customHeight="1" x14ac:dyDescent="0.25">
      <c r="A1963" t="str">
        <f>IF('e1'!A1963&gt;0,HYPERLINK("#"&amp;ADDRESS(1963,'e1'!A1963),""),IF('r1'!A1963&gt;0,HYPERLINK("#"&amp;ADDRESS(1963,'r1'!A1963),""),""))</f>
        <v/>
      </c>
      <c r="C1963" s="13"/>
      <c r="D1963" s="14"/>
      <c r="E1963" s="15"/>
      <c r="F1963" s="16"/>
      <c r="G1963" s="17"/>
      <c r="H1963" s="18"/>
      <c r="I1963" s="19"/>
      <c r="J1963" s="20"/>
      <c r="K1963" s="21"/>
      <c r="L1963" s="22"/>
      <c r="M1963" s="23"/>
      <c r="N1963" s="24"/>
      <c r="O1963" s="25"/>
      <c r="P1963" s="26"/>
      <c r="Q1963" s="27"/>
      <c r="R1963" s="28"/>
      <c r="S1963" s="29"/>
      <c r="T1963" s="30"/>
    </row>
    <row r="1964" spans="1:20" ht="24" customHeight="1" x14ac:dyDescent="0.25">
      <c r="A1964" t="str">
        <f>IF('e1'!A1964&gt;0,HYPERLINK("#"&amp;ADDRESS(1964,'e1'!A1964),""),IF('r1'!A1964&gt;0,HYPERLINK("#"&amp;ADDRESS(1964,'r1'!A1964),""),""))</f>
        <v/>
      </c>
      <c r="C1964" s="13"/>
      <c r="D1964" s="14"/>
      <c r="E1964" s="15"/>
      <c r="F1964" s="16"/>
      <c r="G1964" s="17"/>
      <c r="H1964" s="18"/>
      <c r="I1964" s="19"/>
      <c r="J1964" s="20"/>
      <c r="K1964" s="21"/>
      <c r="L1964" s="22"/>
      <c r="M1964" s="23"/>
      <c r="N1964" s="24"/>
      <c r="O1964" s="25"/>
      <c r="P1964" s="26"/>
      <c r="Q1964" s="27"/>
      <c r="R1964" s="28"/>
      <c r="S1964" s="29"/>
      <c r="T1964" s="30"/>
    </row>
    <row r="1965" spans="1:20" ht="24" customHeight="1" x14ac:dyDescent="0.25">
      <c r="A1965" t="str">
        <f>IF('e1'!A1965&gt;0,HYPERLINK("#"&amp;ADDRESS(1965,'e1'!A1965),""),IF('r1'!A1965&gt;0,HYPERLINK("#"&amp;ADDRESS(1965,'r1'!A1965),""),""))</f>
        <v/>
      </c>
      <c r="C1965" s="13"/>
      <c r="D1965" s="14"/>
      <c r="E1965" s="15"/>
      <c r="F1965" s="16"/>
      <c r="G1965" s="17"/>
      <c r="H1965" s="18"/>
      <c r="I1965" s="19"/>
      <c r="J1965" s="20"/>
      <c r="K1965" s="21"/>
      <c r="L1965" s="22"/>
      <c r="M1965" s="23"/>
      <c r="N1965" s="24"/>
      <c r="O1965" s="25"/>
      <c r="P1965" s="26"/>
      <c r="Q1965" s="27"/>
      <c r="R1965" s="28"/>
      <c r="S1965" s="29"/>
      <c r="T1965" s="30"/>
    </row>
    <row r="1966" spans="1:20" ht="24" customHeight="1" x14ac:dyDescent="0.25">
      <c r="A1966" t="str">
        <f>IF('e1'!A1966&gt;0,HYPERLINK("#"&amp;ADDRESS(1966,'e1'!A1966),""),IF('r1'!A1966&gt;0,HYPERLINK("#"&amp;ADDRESS(1966,'r1'!A1966),""),""))</f>
        <v/>
      </c>
      <c r="C1966" s="13"/>
      <c r="D1966" s="14"/>
      <c r="E1966" s="15"/>
      <c r="F1966" s="16"/>
      <c r="G1966" s="17"/>
      <c r="H1966" s="18"/>
      <c r="I1966" s="19"/>
      <c r="J1966" s="20"/>
      <c r="K1966" s="21"/>
      <c r="L1966" s="22"/>
      <c r="M1966" s="23"/>
      <c r="N1966" s="24"/>
      <c r="O1966" s="25"/>
      <c r="P1966" s="26"/>
      <c r="Q1966" s="27"/>
      <c r="R1966" s="28"/>
      <c r="S1966" s="29"/>
      <c r="T1966" s="30"/>
    </row>
    <row r="1967" spans="1:20" ht="24" customHeight="1" x14ac:dyDescent="0.25">
      <c r="A1967" t="str">
        <f>IF('e1'!A1967&gt;0,HYPERLINK("#"&amp;ADDRESS(1967,'e1'!A1967),""),IF('r1'!A1967&gt;0,HYPERLINK("#"&amp;ADDRESS(1967,'r1'!A1967),""),""))</f>
        <v/>
      </c>
      <c r="C1967" s="13"/>
      <c r="D1967" s="14"/>
      <c r="E1967" s="15"/>
      <c r="F1967" s="16"/>
      <c r="G1967" s="17"/>
      <c r="H1967" s="18"/>
      <c r="I1967" s="19"/>
      <c r="J1967" s="20"/>
      <c r="K1967" s="21"/>
      <c r="L1967" s="22"/>
      <c r="M1967" s="23"/>
      <c r="N1967" s="24"/>
      <c r="O1967" s="25"/>
      <c r="P1967" s="26"/>
      <c r="Q1967" s="27"/>
      <c r="R1967" s="28"/>
      <c r="S1967" s="29"/>
      <c r="T1967" s="30"/>
    </row>
    <row r="1968" spans="1:20" ht="24" customHeight="1" x14ac:dyDescent="0.25">
      <c r="A1968" t="str">
        <f>IF('e1'!A1968&gt;0,HYPERLINK("#"&amp;ADDRESS(1968,'e1'!A1968),""),IF('r1'!A1968&gt;0,HYPERLINK("#"&amp;ADDRESS(1968,'r1'!A1968),""),""))</f>
        <v/>
      </c>
      <c r="C1968" s="13"/>
      <c r="D1968" s="14"/>
      <c r="E1968" s="15"/>
      <c r="F1968" s="16"/>
      <c r="G1968" s="17"/>
      <c r="H1968" s="18"/>
      <c r="I1968" s="19"/>
      <c r="J1968" s="20"/>
      <c r="K1968" s="21"/>
      <c r="L1968" s="22"/>
      <c r="M1968" s="23"/>
      <c r="N1968" s="24"/>
      <c r="O1968" s="25"/>
      <c r="P1968" s="26"/>
      <c r="Q1968" s="27"/>
      <c r="R1968" s="28"/>
      <c r="S1968" s="29"/>
      <c r="T1968" s="30"/>
    </row>
    <row r="1969" spans="1:20" ht="24" customHeight="1" x14ac:dyDescent="0.25">
      <c r="A1969" t="str">
        <f>IF('e1'!A1969&gt;0,HYPERLINK("#"&amp;ADDRESS(1969,'e1'!A1969),""),IF('r1'!A1969&gt;0,HYPERLINK("#"&amp;ADDRESS(1969,'r1'!A1969),""),""))</f>
        <v/>
      </c>
      <c r="C1969" s="13"/>
      <c r="D1969" s="14"/>
      <c r="E1969" s="15"/>
      <c r="F1969" s="16"/>
      <c r="G1969" s="17"/>
      <c r="H1969" s="18"/>
      <c r="I1969" s="19"/>
      <c r="J1969" s="20"/>
      <c r="K1969" s="21"/>
      <c r="L1969" s="22"/>
      <c r="M1969" s="23"/>
      <c r="N1969" s="24"/>
      <c r="O1969" s="25"/>
      <c r="P1969" s="26"/>
      <c r="Q1969" s="27"/>
      <c r="R1969" s="28"/>
      <c r="S1969" s="29"/>
      <c r="T1969" s="30"/>
    </row>
    <row r="1970" spans="1:20" ht="24" customHeight="1" x14ac:dyDescent="0.25">
      <c r="A1970" t="str">
        <f>IF('e1'!A1970&gt;0,HYPERLINK("#"&amp;ADDRESS(1970,'e1'!A1970),""),IF('r1'!A1970&gt;0,HYPERLINK("#"&amp;ADDRESS(1970,'r1'!A1970),""),""))</f>
        <v/>
      </c>
      <c r="C1970" s="13"/>
      <c r="D1970" s="14"/>
      <c r="E1970" s="15"/>
      <c r="F1970" s="16"/>
      <c r="G1970" s="17"/>
      <c r="H1970" s="18"/>
      <c r="I1970" s="19"/>
      <c r="J1970" s="20"/>
      <c r="K1970" s="21"/>
      <c r="L1970" s="22"/>
      <c r="M1970" s="23"/>
      <c r="N1970" s="24"/>
      <c r="O1970" s="25"/>
      <c r="P1970" s="26"/>
      <c r="Q1970" s="27"/>
      <c r="R1970" s="28"/>
      <c r="S1970" s="29"/>
      <c r="T1970" s="30"/>
    </row>
    <row r="1971" spans="1:20" ht="24" customHeight="1" x14ac:dyDescent="0.25">
      <c r="A1971" t="str">
        <f>IF('e1'!A1971&gt;0,HYPERLINK("#"&amp;ADDRESS(1971,'e1'!A1971),""),IF('r1'!A1971&gt;0,HYPERLINK("#"&amp;ADDRESS(1971,'r1'!A1971),""),""))</f>
        <v/>
      </c>
      <c r="C1971" s="13"/>
      <c r="D1971" s="14"/>
      <c r="E1971" s="15"/>
      <c r="F1971" s="16"/>
      <c r="G1971" s="17"/>
      <c r="H1971" s="18"/>
      <c r="I1971" s="19"/>
      <c r="J1971" s="20"/>
      <c r="K1971" s="21"/>
      <c r="L1971" s="22"/>
      <c r="M1971" s="23"/>
      <c r="N1971" s="24"/>
      <c r="O1971" s="25"/>
      <c r="P1971" s="26"/>
      <c r="Q1971" s="27"/>
      <c r="R1971" s="28"/>
      <c r="S1971" s="29"/>
      <c r="T1971" s="30"/>
    </row>
    <row r="1972" spans="1:20" ht="24" customHeight="1" x14ac:dyDescent="0.25">
      <c r="A1972" t="str">
        <f>IF('e1'!A1972&gt;0,HYPERLINK("#"&amp;ADDRESS(1972,'e1'!A1972),""),IF('r1'!A1972&gt;0,HYPERLINK("#"&amp;ADDRESS(1972,'r1'!A1972),""),""))</f>
        <v/>
      </c>
      <c r="C1972" s="13"/>
      <c r="D1972" s="14"/>
      <c r="E1972" s="15"/>
      <c r="F1972" s="16"/>
      <c r="G1972" s="17"/>
      <c r="H1972" s="18"/>
      <c r="I1972" s="19"/>
      <c r="J1972" s="20"/>
      <c r="K1972" s="21"/>
      <c r="L1972" s="22"/>
      <c r="M1972" s="23"/>
      <c r="N1972" s="24"/>
      <c r="O1972" s="25"/>
      <c r="P1972" s="26"/>
      <c r="Q1972" s="27"/>
      <c r="R1972" s="28"/>
      <c r="S1972" s="29"/>
      <c r="T1972" s="30"/>
    </row>
    <row r="1973" spans="1:20" ht="24" customHeight="1" x14ac:dyDescent="0.25">
      <c r="A1973" t="str">
        <f>IF('e1'!A1973&gt;0,HYPERLINK("#"&amp;ADDRESS(1973,'e1'!A1973),""),IF('r1'!A1973&gt;0,HYPERLINK("#"&amp;ADDRESS(1973,'r1'!A1973),""),""))</f>
        <v/>
      </c>
      <c r="C1973" s="13"/>
      <c r="D1973" s="14"/>
      <c r="E1973" s="15"/>
      <c r="F1973" s="16"/>
      <c r="G1973" s="17"/>
      <c r="H1973" s="18"/>
      <c r="I1973" s="19"/>
      <c r="J1973" s="20"/>
      <c r="K1973" s="21"/>
      <c r="L1973" s="22"/>
      <c r="M1973" s="23"/>
      <c r="N1973" s="24"/>
      <c r="O1973" s="25"/>
      <c r="P1973" s="26"/>
      <c r="Q1973" s="27"/>
      <c r="R1973" s="28"/>
      <c r="S1973" s="29"/>
      <c r="T1973" s="30"/>
    </row>
    <row r="1974" spans="1:20" ht="24" customHeight="1" x14ac:dyDescent="0.25">
      <c r="A1974" t="str">
        <f>IF('e1'!A1974&gt;0,HYPERLINK("#"&amp;ADDRESS(1974,'e1'!A1974),""),IF('r1'!A1974&gt;0,HYPERLINK("#"&amp;ADDRESS(1974,'r1'!A1974),""),""))</f>
        <v/>
      </c>
      <c r="C1974" s="13"/>
      <c r="D1974" s="14"/>
      <c r="E1974" s="15"/>
      <c r="F1974" s="16"/>
      <c r="G1974" s="17"/>
      <c r="H1974" s="18"/>
      <c r="I1974" s="19"/>
      <c r="J1974" s="20"/>
      <c r="K1974" s="21"/>
      <c r="L1974" s="22"/>
      <c r="M1974" s="23"/>
      <c r="N1974" s="24"/>
      <c r="O1974" s="25"/>
      <c r="P1974" s="26"/>
      <c r="Q1974" s="27"/>
      <c r="R1974" s="28"/>
      <c r="S1974" s="29"/>
      <c r="T1974" s="30"/>
    </row>
    <row r="1975" spans="1:20" ht="24" customHeight="1" x14ac:dyDescent="0.25">
      <c r="A1975" t="str">
        <f>IF('e1'!A1975&gt;0,HYPERLINK("#"&amp;ADDRESS(1975,'e1'!A1975),""),IF('r1'!A1975&gt;0,HYPERLINK("#"&amp;ADDRESS(1975,'r1'!A1975),""),""))</f>
        <v/>
      </c>
      <c r="C1975" s="13"/>
      <c r="D1975" s="14"/>
      <c r="E1975" s="15"/>
      <c r="F1975" s="16"/>
      <c r="G1975" s="17"/>
      <c r="H1975" s="18"/>
      <c r="I1975" s="19"/>
      <c r="J1975" s="20"/>
      <c r="K1975" s="21"/>
      <c r="L1975" s="22"/>
      <c r="M1975" s="23"/>
      <c r="N1975" s="24"/>
      <c r="O1975" s="25"/>
      <c r="P1975" s="26"/>
      <c r="Q1975" s="27"/>
      <c r="R1975" s="28"/>
      <c r="S1975" s="29"/>
      <c r="T1975" s="30"/>
    </row>
    <row r="1976" spans="1:20" ht="24" customHeight="1" x14ac:dyDescent="0.25">
      <c r="A1976" t="str">
        <f>IF('e1'!A1976&gt;0,HYPERLINK("#"&amp;ADDRESS(1976,'e1'!A1976),""),IF('r1'!A1976&gt;0,HYPERLINK("#"&amp;ADDRESS(1976,'r1'!A1976),""),""))</f>
        <v/>
      </c>
      <c r="C1976" s="13"/>
      <c r="D1976" s="14"/>
      <c r="E1976" s="15"/>
      <c r="F1976" s="16"/>
      <c r="G1976" s="17"/>
      <c r="H1976" s="18"/>
      <c r="I1976" s="19"/>
      <c r="J1976" s="20"/>
      <c r="K1976" s="21"/>
      <c r="L1976" s="22"/>
      <c r="M1976" s="23"/>
      <c r="N1976" s="24"/>
      <c r="O1976" s="25"/>
      <c r="P1976" s="26"/>
      <c r="Q1976" s="27"/>
      <c r="R1976" s="28"/>
      <c r="S1976" s="29"/>
      <c r="T1976" s="30"/>
    </row>
    <row r="1977" spans="1:20" ht="24" customHeight="1" x14ac:dyDescent="0.25">
      <c r="A1977" t="str">
        <f>IF('e1'!A1977&gt;0,HYPERLINK("#"&amp;ADDRESS(1977,'e1'!A1977),""),IF('r1'!A1977&gt;0,HYPERLINK("#"&amp;ADDRESS(1977,'r1'!A1977),""),""))</f>
        <v/>
      </c>
      <c r="C1977" s="13"/>
      <c r="D1977" s="14"/>
      <c r="E1977" s="15"/>
      <c r="F1977" s="16"/>
      <c r="G1977" s="17"/>
      <c r="H1977" s="18"/>
      <c r="I1977" s="19"/>
      <c r="J1977" s="20"/>
      <c r="K1977" s="21"/>
      <c r="L1977" s="22"/>
      <c r="M1977" s="23"/>
      <c r="N1977" s="24"/>
      <c r="O1977" s="25"/>
      <c r="P1977" s="26"/>
      <c r="Q1977" s="27"/>
      <c r="R1977" s="28"/>
      <c r="S1977" s="29"/>
      <c r="T1977" s="30"/>
    </row>
    <row r="1978" spans="1:20" ht="24" customHeight="1" x14ac:dyDescent="0.25">
      <c r="A1978" t="str">
        <f>IF('e1'!A1978&gt;0,HYPERLINK("#"&amp;ADDRESS(1978,'e1'!A1978),""),IF('r1'!A1978&gt;0,HYPERLINK("#"&amp;ADDRESS(1978,'r1'!A1978),""),""))</f>
        <v/>
      </c>
      <c r="C1978" s="13"/>
      <c r="D1978" s="14"/>
      <c r="E1978" s="15"/>
      <c r="F1978" s="16"/>
      <c r="G1978" s="17"/>
      <c r="H1978" s="18"/>
      <c r="I1978" s="19"/>
      <c r="J1978" s="20"/>
      <c r="K1978" s="21"/>
      <c r="L1978" s="22"/>
      <c r="M1978" s="23"/>
      <c r="N1978" s="24"/>
      <c r="O1978" s="25"/>
      <c r="P1978" s="26"/>
      <c r="Q1978" s="27"/>
      <c r="R1978" s="28"/>
      <c r="S1978" s="29"/>
      <c r="T1978" s="30"/>
    </row>
    <row r="1979" spans="1:20" ht="24" customHeight="1" x14ac:dyDescent="0.25">
      <c r="A1979" t="str">
        <f>IF('e1'!A1979&gt;0,HYPERLINK("#"&amp;ADDRESS(1979,'e1'!A1979),""),IF('r1'!A1979&gt;0,HYPERLINK("#"&amp;ADDRESS(1979,'r1'!A1979),""),""))</f>
        <v/>
      </c>
      <c r="C1979" s="13"/>
      <c r="D1979" s="14"/>
      <c r="E1979" s="15"/>
      <c r="F1979" s="16"/>
      <c r="G1979" s="17"/>
      <c r="H1979" s="18"/>
      <c r="I1979" s="19"/>
      <c r="J1979" s="20"/>
      <c r="K1979" s="21"/>
      <c r="L1979" s="22"/>
      <c r="M1979" s="23"/>
      <c r="N1979" s="24"/>
      <c r="O1979" s="25"/>
      <c r="P1979" s="26"/>
      <c r="Q1979" s="27"/>
      <c r="R1979" s="28"/>
      <c r="S1979" s="29"/>
      <c r="T1979" s="30"/>
    </row>
    <row r="1980" spans="1:20" ht="24" customHeight="1" x14ac:dyDescent="0.25">
      <c r="A1980" t="str">
        <f>IF('e1'!A1980&gt;0,HYPERLINK("#"&amp;ADDRESS(1980,'e1'!A1980),""),IF('r1'!A1980&gt;0,HYPERLINK("#"&amp;ADDRESS(1980,'r1'!A1980),""),""))</f>
        <v/>
      </c>
      <c r="C1980" s="13"/>
      <c r="D1980" s="14"/>
      <c r="E1980" s="15"/>
      <c r="F1980" s="16"/>
      <c r="G1980" s="17"/>
      <c r="H1980" s="18"/>
      <c r="I1980" s="19"/>
      <c r="J1980" s="20"/>
      <c r="K1980" s="21"/>
      <c r="L1980" s="22"/>
      <c r="M1980" s="23"/>
      <c r="N1980" s="24"/>
      <c r="O1980" s="25"/>
      <c r="P1980" s="26"/>
      <c r="Q1980" s="27"/>
      <c r="R1980" s="28"/>
      <c r="S1980" s="29"/>
      <c r="T1980" s="30"/>
    </row>
    <row r="1981" spans="1:20" ht="24" customHeight="1" x14ac:dyDescent="0.25">
      <c r="A1981" t="str">
        <f>IF('e1'!A1981&gt;0,HYPERLINK("#"&amp;ADDRESS(1981,'e1'!A1981),""),IF('r1'!A1981&gt;0,HYPERLINK("#"&amp;ADDRESS(1981,'r1'!A1981),""),""))</f>
        <v/>
      </c>
      <c r="C1981" s="13"/>
      <c r="D1981" s="14"/>
      <c r="E1981" s="15"/>
      <c r="F1981" s="16"/>
      <c r="G1981" s="17"/>
      <c r="H1981" s="18"/>
      <c r="I1981" s="19"/>
      <c r="J1981" s="20"/>
      <c r="K1981" s="21"/>
      <c r="L1981" s="22"/>
      <c r="M1981" s="23"/>
      <c r="N1981" s="24"/>
      <c r="O1981" s="25"/>
      <c r="P1981" s="26"/>
      <c r="Q1981" s="27"/>
      <c r="R1981" s="28"/>
      <c r="S1981" s="29"/>
      <c r="T1981" s="30"/>
    </row>
    <row r="1982" spans="1:20" ht="24" customHeight="1" x14ac:dyDescent="0.25">
      <c r="A1982" t="str">
        <f>IF('e1'!A1982&gt;0,HYPERLINK("#"&amp;ADDRESS(1982,'e1'!A1982),""),IF('r1'!A1982&gt;0,HYPERLINK("#"&amp;ADDRESS(1982,'r1'!A1982),""),""))</f>
        <v/>
      </c>
      <c r="C1982" s="13"/>
      <c r="D1982" s="14"/>
      <c r="E1982" s="15"/>
      <c r="F1982" s="16"/>
      <c r="G1982" s="17"/>
      <c r="H1982" s="18"/>
      <c r="I1982" s="19"/>
      <c r="J1982" s="20"/>
      <c r="K1982" s="21"/>
      <c r="L1982" s="22"/>
      <c r="M1982" s="23"/>
      <c r="N1982" s="24"/>
      <c r="O1982" s="25"/>
      <c r="P1982" s="26"/>
      <c r="Q1982" s="27"/>
      <c r="R1982" s="28"/>
      <c r="S1982" s="29"/>
      <c r="T1982" s="30"/>
    </row>
    <row r="1983" spans="1:20" ht="24" customHeight="1" x14ac:dyDescent="0.25">
      <c r="A1983" t="str">
        <f>IF('e1'!A1983&gt;0,HYPERLINK("#"&amp;ADDRESS(1983,'e1'!A1983),""),IF('r1'!A1983&gt;0,HYPERLINK("#"&amp;ADDRESS(1983,'r1'!A1983),""),""))</f>
        <v/>
      </c>
      <c r="C1983" s="13"/>
      <c r="D1983" s="14"/>
      <c r="E1983" s="15"/>
      <c r="F1983" s="16"/>
      <c r="G1983" s="17"/>
      <c r="H1983" s="18"/>
      <c r="I1983" s="19"/>
      <c r="J1983" s="20"/>
      <c r="K1983" s="21"/>
      <c r="L1983" s="22"/>
      <c r="M1983" s="23"/>
      <c r="N1983" s="24"/>
      <c r="O1983" s="25"/>
      <c r="P1983" s="26"/>
      <c r="Q1983" s="27"/>
      <c r="R1983" s="28"/>
      <c r="S1983" s="29"/>
      <c r="T1983" s="30"/>
    </row>
    <row r="1984" spans="1:20" ht="24" customHeight="1" x14ac:dyDescent="0.25">
      <c r="A1984" t="str">
        <f>IF('e1'!A1984&gt;0,HYPERLINK("#"&amp;ADDRESS(1984,'e1'!A1984),""),IF('r1'!A1984&gt;0,HYPERLINK("#"&amp;ADDRESS(1984,'r1'!A1984),""),""))</f>
        <v/>
      </c>
      <c r="C1984" s="13"/>
      <c r="D1984" s="14"/>
      <c r="E1984" s="15"/>
      <c r="F1984" s="16"/>
      <c r="G1984" s="17"/>
      <c r="H1984" s="18"/>
      <c r="I1984" s="19"/>
      <c r="J1984" s="20"/>
      <c r="K1984" s="21"/>
      <c r="L1984" s="22"/>
      <c r="M1984" s="23"/>
      <c r="N1984" s="24"/>
      <c r="O1984" s="25"/>
      <c r="P1984" s="26"/>
      <c r="Q1984" s="27"/>
      <c r="R1984" s="28"/>
      <c r="S1984" s="29"/>
      <c r="T1984" s="30"/>
    </row>
    <row r="1985" spans="1:20" ht="24" customHeight="1" x14ac:dyDescent="0.25">
      <c r="A1985" t="str">
        <f>IF('e1'!A1985&gt;0,HYPERLINK("#"&amp;ADDRESS(1985,'e1'!A1985),""),IF('r1'!A1985&gt;0,HYPERLINK("#"&amp;ADDRESS(1985,'r1'!A1985),""),""))</f>
        <v/>
      </c>
      <c r="C1985" s="13"/>
      <c r="D1985" s="14"/>
      <c r="E1985" s="15"/>
      <c r="F1985" s="16"/>
      <c r="G1985" s="17"/>
      <c r="H1985" s="18"/>
      <c r="I1985" s="19"/>
      <c r="J1985" s="20"/>
      <c r="K1985" s="21"/>
      <c r="L1985" s="22"/>
      <c r="M1985" s="23"/>
      <c r="N1985" s="24"/>
      <c r="O1985" s="25"/>
      <c r="P1985" s="26"/>
      <c r="Q1985" s="27"/>
      <c r="R1985" s="28"/>
      <c r="S1985" s="29"/>
      <c r="T1985" s="30"/>
    </row>
    <row r="1986" spans="1:20" ht="24" customHeight="1" x14ac:dyDescent="0.25">
      <c r="A1986" t="str">
        <f>IF('e1'!A1986&gt;0,HYPERLINK("#"&amp;ADDRESS(1986,'e1'!A1986),""),IF('r1'!A1986&gt;0,HYPERLINK("#"&amp;ADDRESS(1986,'r1'!A1986),""),""))</f>
        <v/>
      </c>
      <c r="C1986" s="13"/>
      <c r="D1986" s="14"/>
      <c r="E1986" s="15"/>
      <c r="F1986" s="16"/>
      <c r="G1986" s="17"/>
      <c r="H1986" s="18"/>
      <c r="I1986" s="19"/>
      <c r="J1986" s="20"/>
      <c r="K1986" s="21"/>
      <c r="L1986" s="22"/>
      <c r="M1986" s="23"/>
      <c r="N1986" s="24"/>
      <c r="O1986" s="25"/>
      <c r="P1986" s="26"/>
      <c r="Q1986" s="27"/>
      <c r="R1986" s="28"/>
      <c r="S1986" s="29"/>
      <c r="T1986" s="30"/>
    </row>
    <row r="1987" spans="1:20" ht="24" customHeight="1" x14ac:dyDescent="0.25">
      <c r="A1987" t="str">
        <f>IF('e1'!A1987&gt;0,HYPERLINK("#"&amp;ADDRESS(1987,'e1'!A1987),""),IF('r1'!A1987&gt;0,HYPERLINK("#"&amp;ADDRESS(1987,'r1'!A1987),""),""))</f>
        <v/>
      </c>
      <c r="C1987" s="13"/>
      <c r="D1987" s="14"/>
      <c r="E1987" s="15"/>
      <c r="F1987" s="16"/>
      <c r="G1987" s="17"/>
      <c r="H1987" s="18"/>
      <c r="I1987" s="19"/>
      <c r="J1987" s="20"/>
      <c r="K1987" s="21"/>
      <c r="L1987" s="22"/>
      <c r="M1987" s="23"/>
      <c r="N1987" s="24"/>
      <c r="O1987" s="25"/>
      <c r="P1987" s="26"/>
      <c r="Q1987" s="27"/>
      <c r="R1987" s="28"/>
      <c r="S1987" s="29"/>
      <c r="T1987" s="30"/>
    </row>
    <row r="1988" spans="1:20" ht="24" customHeight="1" x14ac:dyDescent="0.25">
      <c r="A1988" t="str">
        <f>IF('e1'!A1988&gt;0,HYPERLINK("#"&amp;ADDRESS(1988,'e1'!A1988),""),IF('r1'!A1988&gt;0,HYPERLINK("#"&amp;ADDRESS(1988,'r1'!A1988),""),""))</f>
        <v/>
      </c>
      <c r="C1988" s="13"/>
      <c r="D1988" s="14"/>
      <c r="E1988" s="15"/>
      <c r="F1988" s="16"/>
      <c r="G1988" s="17"/>
      <c r="H1988" s="18"/>
      <c r="I1988" s="19"/>
      <c r="J1988" s="20"/>
      <c r="K1988" s="21"/>
      <c r="L1988" s="22"/>
      <c r="M1988" s="23"/>
      <c r="N1988" s="24"/>
      <c r="O1988" s="25"/>
      <c r="P1988" s="26"/>
      <c r="Q1988" s="27"/>
      <c r="R1988" s="28"/>
      <c r="S1988" s="29"/>
      <c r="T1988" s="30"/>
    </row>
    <row r="1989" spans="1:20" ht="24" customHeight="1" x14ac:dyDescent="0.25">
      <c r="A1989" t="str">
        <f>IF('e1'!A1989&gt;0,HYPERLINK("#"&amp;ADDRESS(1989,'e1'!A1989),""),IF('r1'!A1989&gt;0,HYPERLINK("#"&amp;ADDRESS(1989,'r1'!A1989),""),""))</f>
        <v/>
      </c>
      <c r="C1989" s="13"/>
      <c r="D1989" s="14"/>
      <c r="E1989" s="15"/>
      <c r="F1989" s="16"/>
      <c r="G1989" s="17"/>
      <c r="H1989" s="18"/>
      <c r="I1989" s="19"/>
      <c r="J1989" s="20"/>
      <c r="K1989" s="21"/>
      <c r="L1989" s="22"/>
      <c r="M1989" s="23"/>
      <c r="N1989" s="24"/>
      <c r="O1989" s="25"/>
      <c r="P1989" s="26"/>
      <c r="Q1989" s="27"/>
      <c r="R1989" s="28"/>
      <c r="S1989" s="29"/>
      <c r="T1989" s="30"/>
    </row>
    <row r="1990" spans="1:20" ht="24" customHeight="1" x14ac:dyDescent="0.25">
      <c r="A1990" t="str">
        <f>IF('e1'!A1990&gt;0,HYPERLINK("#"&amp;ADDRESS(1990,'e1'!A1990),""),IF('r1'!A1990&gt;0,HYPERLINK("#"&amp;ADDRESS(1990,'r1'!A1990),""),""))</f>
        <v/>
      </c>
      <c r="C1990" s="13"/>
      <c r="D1990" s="14"/>
      <c r="E1990" s="15"/>
      <c r="F1990" s="16"/>
      <c r="G1990" s="17"/>
      <c r="H1990" s="18"/>
      <c r="I1990" s="19"/>
      <c r="J1990" s="20"/>
      <c r="K1990" s="21"/>
      <c r="L1990" s="22"/>
      <c r="M1990" s="23"/>
      <c r="N1990" s="24"/>
      <c r="O1990" s="25"/>
      <c r="P1990" s="26"/>
      <c r="Q1990" s="27"/>
      <c r="R1990" s="28"/>
      <c r="S1990" s="29"/>
      <c r="T1990" s="30"/>
    </row>
    <row r="1991" spans="1:20" ht="24" customHeight="1" x14ac:dyDescent="0.25">
      <c r="A1991" t="str">
        <f>IF('e1'!A1991&gt;0,HYPERLINK("#"&amp;ADDRESS(1991,'e1'!A1991),""),IF('r1'!A1991&gt;0,HYPERLINK("#"&amp;ADDRESS(1991,'r1'!A1991),""),""))</f>
        <v/>
      </c>
      <c r="C1991" s="13"/>
      <c r="D1991" s="14"/>
      <c r="E1991" s="15"/>
      <c r="F1991" s="16"/>
      <c r="G1991" s="17"/>
      <c r="H1991" s="18"/>
      <c r="I1991" s="19"/>
      <c r="J1991" s="20"/>
      <c r="K1991" s="21"/>
      <c r="L1991" s="22"/>
      <c r="M1991" s="23"/>
      <c r="N1991" s="24"/>
      <c r="O1991" s="25"/>
      <c r="P1991" s="26"/>
      <c r="Q1991" s="27"/>
      <c r="R1991" s="28"/>
      <c r="S1991" s="29"/>
      <c r="T1991" s="30"/>
    </row>
    <row r="1992" spans="1:20" ht="24" customHeight="1" x14ac:dyDescent="0.25">
      <c r="A1992" t="str">
        <f>IF('e1'!A1992&gt;0,HYPERLINK("#"&amp;ADDRESS(1992,'e1'!A1992),""),IF('r1'!A1992&gt;0,HYPERLINK("#"&amp;ADDRESS(1992,'r1'!A1992),""),""))</f>
        <v/>
      </c>
      <c r="C1992" s="13"/>
      <c r="D1992" s="14"/>
      <c r="E1992" s="15"/>
      <c r="F1992" s="16"/>
      <c r="G1992" s="17"/>
      <c r="H1992" s="18"/>
      <c r="I1992" s="19"/>
      <c r="J1992" s="20"/>
      <c r="K1992" s="21"/>
      <c r="L1992" s="22"/>
      <c r="M1992" s="23"/>
      <c r="N1992" s="24"/>
      <c r="O1992" s="25"/>
      <c r="P1992" s="26"/>
      <c r="Q1992" s="27"/>
      <c r="R1992" s="28"/>
      <c r="S1992" s="29"/>
      <c r="T1992" s="30"/>
    </row>
    <row r="1993" spans="1:20" ht="24" customHeight="1" x14ac:dyDescent="0.25">
      <c r="A1993" t="str">
        <f>IF('e1'!A1993&gt;0,HYPERLINK("#"&amp;ADDRESS(1993,'e1'!A1993),""),IF('r1'!A1993&gt;0,HYPERLINK("#"&amp;ADDRESS(1993,'r1'!A1993),""),""))</f>
        <v/>
      </c>
      <c r="C1993" s="13"/>
      <c r="D1993" s="14"/>
      <c r="E1993" s="15"/>
      <c r="F1993" s="16"/>
      <c r="G1993" s="17"/>
      <c r="H1993" s="18"/>
      <c r="I1993" s="19"/>
      <c r="J1993" s="20"/>
      <c r="K1993" s="21"/>
      <c r="L1993" s="22"/>
      <c r="M1993" s="23"/>
      <c r="N1993" s="24"/>
      <c r="O1993" s="25"/>
      <c r="P1993" s="26"/>
      <c r="Q1993" s="27"/>
      <c r="R1993" s="28"/>
      <c r="S1993" s="29"/>
      <c r="T1993" s="30"/>
    </row>
    <row r="1994" spans="1:20" ht="24" customHeight="1" x14ac:dyDescent="0.25">
      <c r="A1994" t="str">
        <f>IF('e1'!A1994&gt;0,HYPERLINK("#"&amp;ADDRESS(1994,'e1'!A1994),""),IF('r1'!A1994&gt;0,HYPERLINK("#"&amp;ADDRESS(1994,'r1'!A1994),""),""))</f>
        <v/>
      </c>
      <c r="C1994" s="13"/>
      <c r="D1994" s="14"/>
      <c r="E1994" s="15"/>
      <c r="F1994" s="16"/>
      <c r="G1994" s="17"/>
      <c r="H1994" s="18"/>
      <c r="I1994" s="19"/>
      <c r="J1994" s="20"/>
      <c r="K1994" s="21"/>
      <c r="L1994" s="22"/>
      <c r="M1994" s="23"/>
      <c r="N1994" s="24"/>
      <c r="O1994" s="25"/>
      <c r="P1994" s="26"/>
      <c r="Q1994" s="27"/>
      <c r="R1994" s="28"/>
      <c r="S1994" s="29"/>
      <c r="T1994" s="30"/>
    </row>
    <row r="1995" spans="1:20" ht="24" customHeight="1" x14ac:dyDescent="0.25">
      <c r="A1995" t="str">
        <f>IF('e1'!A1995&gt;0,HYPERLINK("#"&amp;ADDRESS(1995,'e1'!A1995),""),IF('r1'!A1995&gt;0,HYPERLINK("#"&amp;ADDRESS(1995,'r1'!A1995),""),""))</f>
        <v/>
      </c>
      <c r="C1995" s="13"/>
      <c r="D1995" s="14"/>
      <c r="E1995" s="15"/>
      <c r="F1995" s="16"/>
      <c r="G1995" s="17"/>
      <c r="H1995" s="18"/>
      <c r="I1995" s="19"/>
      <c r="J1995" s="20"/>
      <c r="K1995" s="21"/>
      <c r="L1995" s="22"/>
      <c r="M1995" s="23"/>
      <c r="N1995" s="24"/>
      <c r="O1995" s="25"/>
      <c r="P1995" s="26"/>
      <c r="Q1995" s="27"/>
      <c r="R1995" s="28"/>
      <c r="S1995" s="29"/>
      <c r="T1995" s="30"/>
    </row>
    <row r="1996" spans="1:20" ht="24" customHeight="1" x14ac:dyDescent="0.25">
      <c r="A1996" t="str">
        <f>IF('e1'!A1996&gt;0,HYPERLINK("#"&amp;ADDRESS(1996,'e1'!A1996),""),IF('r1'!A1996&gt;0,HYPERLINK("#"&amp;ADDRESS(1996,'r1'!A1996),""),""))</f>
        <v/>
      </c>
      <c r="C1996" s="13"/>
      <c r="D1996" s="14"/>
      <c r="E1996" s="15"/>
      <c r="F1996" s="16"/>
      <c r="G1996" s="17"/>
      <c r="H1996" s="18"/>
      <c r="I1996" s="19"/>
      <c r="J1996" s="20"/>
      <c r="K1996" s="21"/>
      <c r="L1996" s="22"/>
      <c r="M1996" s="23"/>
      <c r="N1996" s="24"/>
      <c r="O1996" s="25"/>
      <c r="P1996" s="26"/>
      <c r="Q1996" s="27"/>
      <c r="R1996" s="28"/>
      <c r="S1996" s="29"/>
      <c r="T1996" s="30"/>
    </row>
    <row r="1997" spans="1:20" ht="24" customHeight="1" x14ac:dyDescent="0.25">
      <c r="A1997" t="str">
        <f>IF('e1'!A1997&gt;0,HYPERLINK("#"&amp;ADDRESS(1997,'e1'!A1997),""),IF('r1'!A1997&gt;0,HYPERLINK("#"&amp;ADDRESS(1997,'r1'!A1997),""),""))</f>
        <v/>
      </c>
      <c r="C1997" s="13"/>
      <c r="D1997" s="14"/>
      <c r="E1997" s="15"/>
      <c r="F1997" s="16"/>
      <c r="G1997" s="17"/>
      <c r="H1997" s="18"/>
      <c r="I1997" s="19"/>
      <c r="J1997" s="20"/>
      <c r="K1997" s="21"/>
      <c r="L1997" s="22"/>
      <c r="M1997" s="23"/>
      <c r="N1997" s="24"/>
      <c r="O1997" s="25"/>
      <c r="P1997" s="26"/>
      <c r="Q1997" s="27"/>
      <c r="R1997" s="28"/>
      <c r="S1997" s="29"/>
      <c r="T1997" s="30"/>
    </row>
    <row r="1998" spans="1:20" ht="24" customHeight="1" x14ac:dyDescent="0.25">
      <c r="A1998" t="str">
        <f>IF('e1'!A1998&gt;0,HYPERLINK("#"&amp;ADDRESS(1998,'e1'!A1998),""),IF('r1'!A1998&gt;0,HYPERLINK("#"&amp;ADDRESS(1998,'r1'!A1998),""),""))</f>
        <v/>
      </c>
      <c r="C1998" s="13"/>
      <c r="D1998" s="14"/>
      <c r="E1998" s="15"/>
      <c r="F1998" s="16"/>
      <c r="G1998" s="17"/>
      <c r="H1998" s="18"/>
      <c r="I1998" s="19"/>
      <c r="J1998" s="20"/>
      <c r="K1998" s="21"/>
      <c r="L1998" s="22"/>
      <c r="M1998" s="23"/>
      <c r="N1998" s="24"/>
      <c r="O1998" s="25"/>
      <c r="P1998" s="26"/>
      <c r="Q1998" s="27"/>
      <c r="R1998" s="28"/>
      <c r="S1998" s="29"/>
      <c r="T1998" s="30"/>
    </row>
    <row r="1999" spans="1:20" ht="24" customHeight="1" x14ac:dyDescent="0.25">
      <c r="A1999" t="str">
        <f>IF('e1'!A1999&gt;0,HYPERLINK("#"&amp;ADDRESS(1999,'e1'!A1999),""),IF('r1'!A1999&gt;0,HYPERLINK("#"&amp;ADDRESS(1999,'r1'!A1999),""),""))</f>
        <v/>
      </c>
      <c r="C1999" s="13"/>
      <c r="D1999" s="14"/>
      <c r="E1999" s="15"/>
      <c r="F1999" s="16"/>
      <c r="G1999" s="17"/>
      <c r="H1999" s="18"/>
      <c r="I1999" s="19"/>
      <c r="J1999" s="20"/>
      <c r="K1999" s="21"/>
      <c r="L1999" s="22"/>
      <c r="M1999" s="23"/>
      <c r="N1999" s="24"/>
      <c r="O1999" s="25"/>
      <c r="P1999" s="26"/>
      <c r="Q1999" s="27"/>
      <c r="R1999" s="28"/>
      <c r="S1999" s="29"/>
      <c r="T1999" s="30"/>
    </row>
    <row r="2000" spans="1:20" ht="24" customHeight="1" x14ac:dyDescent="0.25">
      <c r="A2000" t="str">
        <f>IF('e1'!A2000&gt;0,HYPERLINK("#"&amp;ADDRESS(2000,'e1'!A2000),""),IF('r1'!A2000&gt;0,HYPERLINK("#"&amp;ADDRESS(2000,'r1'!A2000),""),""))</f>
        <v/>
      </c>
      <c r="C2000" s="13"/>
      <c r="D2000" s="14"/>
      <c r="E2000" s="15"/>
      <c r="F2000" s="16"/>
      <c r="G2000" s="17"/>
      <c r="H2000" s="18"/>
      <c r="I2000" s="19"/>
      <c r="J2000" s="20"/>
      <c r="K2000" s="21"/>
      <c r="L2000" s="22"/>
      <c r="M2000" s="23"/>
      <c r="N2000" s="24"/>
      <c r="O2000" s="25"/>
      <c r="P2000" s="26"/>
      <c r="Q2000" s="27"/>
      <c r="R2000" s="28"/>
      <c r="S2000" s="29"/>
      <c r="T2000" s="30"/>
    </row>
    <row r="2001" spans="1:20" ht="24" customHeight="1" x14ac:dyDescent="0.25">
      <c r="A2001" t="str">
        <f>IF('e1'!A2001&gt;0,HYPERLINK("#"&amp;ADDRESS(2001,'e1'!A2001),""),IF('r1'!A2001&gt;0,HYPERLINK("#"&amp;ADDRESS(2001,'r1'!A2001),""),""))</f>
        <v/>
      </c>
      <c r="C2001" s="13"/>
      <c r="D2001" s="14"/>
      <c r="E2001" s="15"/>
      <c r="F2001" s="16"/>
      <c r="G2001" s="17"/>
      <c r="H2001" s="18"/>
      <c r="I2001" s="19"/>
      <c r="J2001" s="20"/>
      <c r="K2001" s="21"/>
      <c r="L2001" s="22"/>
      <c r="M2001" s="23"/>
      <c r="N2001" s="24"/>
      <c r="O2001" s="25"/>
      <c r="P2001" s="26"/>
      <c r="Q2001" s="27"/>
      <c r="R2001" s="28"/>
      <c r="S2001" s="29"/>
      <c r="T2001" s="30"/>
    </row>
    <row r="2002" spans="1:20" ht="24" customHeight="1" x14ac:dyDescent="0.25">
      <c r="A2002" t="str">
        <f>IF('e1'!A2002&gt;0,HYPERLINK("#"&amp;ADDRESS(2002,'e1'!A2002),""),IF('r1'!A2002&gt;0,HYPERLINK("#"&amp;ADDRESS(2002,'r1'!A2002),""),""))</f>
        <v/>
      </c>
      <c r="C2002" s="13"/>
      <c r="D2002" s="14"/>
      <c r="E2002" s="15"/>
      <c r="F2002" s="16"/>
      <c r="G2002" s="17"/>
      <c r="H2002" s="18"/>
      <c r="I2002" s="19"/>
      <c r="J2002" s="20"/>
      <c r="K2002" s="21"/>
      <c r="L2002" s="22"/>
      <c r="M2002" s="23"/>
      <c r="N2002" s="24"/>
      <c r="O2002" s="25"/>
      <c r="P2002" s="26"/>
      <c r="Q2002" s="27"/>
      <c r="R2002" s="28"/>
      <c r="S2002" s="29"/>
      <c r="T2002" s="30"/>
    </row>
    <row r="2003" spans="1:20" ht="24" customHeight="1" x14ac:dyDescent="0.25">
      <c r="A2003" t="str">
        <f>IF('e1'!A2003&gt;0,HYPERLINK("#"&amp;ADDRESS(2003,'e1'!A2003),""),IF('r1'!A2003&gt;0,HYPERLINK("#"&amp;ADDRESS(2003,'r1'!A2003),""),""))</f>
        <v/>
      </c>
      <c r="C2003" s="13"/>
      <c r="D2003" s="14"/>
      <c r="E2003" s="15"/>
      <c r="F2003" s="16"/>
      <c r="G2003" s="17"/>
      <c r="H2003" s="18"/>
      <c r="I2003" s="19"/>
      <c r="J2003" s="20"/>
      <c r="K2003" s="21"/>
      <c r="L2003" s="22"/>
      <c r="M2003" s="23"/>
      <c r="N2003" s="24"/>
      <c r="O2003" s="25"/>
      <c r="P2003" s="26"/>
      <c r="Q2003" s="27"/>
      <c r="R2003" s="28"/>
      <c r="S2003" s="29"/>
      <c r="T2003" s="30"/>
    </row>
    <row r="2004" spans="1:20" ht="24" customHeight="1" x14ac:dyDescent="0.25">
      <c r="A2004" t="str">
        <f>IF('e1'!A2004&gt;0,HYPERLINK("#"&amp;ADDRESS(2004,'e1'!A2004),""),IF('r1'!A2004&gt;0,HYPERLINK("#"&amp;ADDRESS(2004,'r1'!A2004),""),""))</f>
        <v/>
      </c>
      <c r="C2004" s="13"/>
      <c r="D2004" s="14"/>
      <c r="E2004" s="15"/>
      <c r="F2004" s="16"/>
      <c r="G2004" s="17"/>
      <c r="H2004" s="18"/>
      <c r="I2004" s="19"/>
      <c r="J2004" s="20"/>
      <c r="K2004" s="21"/>
      <c r="L2004" s="22"/>
      <c r="M2004" s="23"/>
      <c r="N2004" s="24"/>
      <c r="O2004" s="25"/>
      <c r="P2004" s="26"/>
      <c r="Q2004" s="27"/>
      <c r="R2004" s="28"/>
      <c r="S2004" s="29"/>
      <c r="T2004" s="30"/>
    </row>
    <row r="2005" spans="1:20" ht="24" customHeight="1" x14ac:dyDescent="0.25">
      <c r="A2005" t="str">
        <f>IF('e1'!A2005&gt;0,HYPERLINK("#"&amp;ADDRESS(2005,'e1'!A2005),""),IF('r1'!A2005&gt;0,HYPERLINK("#"&amp;ADDRESS(2005,'r1'!A2005),""),""))</f>
        <v/>
      </c>
      <c r="C2005" s="13"/>
      <c r="D2005" s="14"/>
      <c r="E2005" s="15"/>
      <c r="F2005" s="16"/>
      <c r="G2005" s="17"/>
      <c r="H2005" s="18"/>
      <c r="I2005" s="19"/>
      <c r="J2005" s="20"/>
      <c r="K2005" s="21"/>
      <c r="L2005" s="22"/>
      <c r="M2005" s="23"/>
      <c r="N2005" s="24"/>
      <c r="O2005" s="25"/>
      <c r="P2005" s="26"/>
      <c r="Q2005" s="27"/>
      <c r="R2005" s="28"/>
      <c r="S2005" s="29"/>
      <c r="T2005" s="30"/>
    </row>
  </sheetData>
  <sheetProtection sheet="1" formatColumns="0" formatRows="0"/>
  <mergeCells count="1">
    <mergeCell ref="A5:B5"/>
  </mergeCells>
  <hyperlinks>
    <hyperlink ref="C2" location="reference!A4:D9" display="Reference Number" xr:uid="{00000000-0004-0000-0000-000000000000}"/>
    <hyperlink ref="D2" location="reference!A11:D18" display="Disclosure Group" xr:uid="{00000000-0004-0000-0000-000001000000}"/>
    <hyperlink ref="E2" location="reference!A20:D25" display="Title (English)" xr:uid="{00000000-0004-0000-0000-000002000000}"/>
    <hyperlink ref="F2" location="reference!A27:D32" display="Title (French)" xr:uid="{00000000-0004-0000-0000-000003000000}"/>
    <hyperlink ref="G2" location="reference!A34:D39" display="Name" xr:uid="{00000000-0004-0000-0000-000004000000}"/>
    <hyperlink ref="H2" location="reference!A41:D46" display="Purpose of hospitality activity (English)" xr:uid="{00000000-0004-0000-0000-000005000000}"/>
    <hyperlink ref="I2" location="reference!A48:D53" display="Purpose of hospitality activity (French)" xr:uid="{00000000-0004-0000-0000-000006000000}"/>
    <hyperlink ref="J2" location="reference!A55:D60" display="Start Date" xr:uid="{00000000-0004-0000-0000-000007000000}"/>
    <hyperlink ref="K2" location="reference!A62:D67" display="End Date" xr:uid="{00000000-0004-0000-0000-000008000000}"/>
    <hyperlink ref="L2" location="reference!A69:D74" display="Municipality where the hospitality_x000d__x000a_activity took place (English)" xr:uid="{00000000-0004-0000-0000-000009000000}"/>
    <hyperlink ref="M2" location="reference!A76:D81" display="Municipality where the hospitality_x000d__x000a_activity took place (French)" xr:uid="{00000000-0004-0000-0000-00000A000000}"/>
    <hyperlink ref="N2" location="reference!A83:D88" display="Name of commercial establishment or vendor_x000d__x000a_involved in the hospitality activity (English)" xr:uid="{00000000-0004-0000-0000-00000B000000}"/>
    <hyperlink ref="O2" location="reference!A90:D95" display="Name of commercial establishment or vendor_x000d__x000a_involved in the hospitality activity (French)" xr:uid="{00000000-0004-0000-0000-00000C000000}"/>
    <hyperlink ref="P2" location="reference!A97:D102" display="Attendees (Government_x000d__x000a_of Canada Officials)" xr:uid="{00000000-0004-0000-0000-00000D000000}"/>
    <hyperlink ref="Q2" location="reference!A104:D109" display="Attendees (Guests)" xr:uid="{00000000-0004-0000-0000-00000E000000}"/>
    <hyperlink ref="R2" location="reference!A111:D116" display="Total cost" xr:uid="{00000000-0004-0000-0000-00000F000000}"/>
    <hyperlink ref="S2" location="reference!A118:D122" display="Additional comments (English)" xr:uid="{00000000-0004-0000-0000-000010000000}"/>
    <hyperlink ref="T2" location="reference!A124:D128" display="Additional comments (French)" xr:uid="{00000000-0004-0000-0000-000011000000}"/>
  </hyperlinks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0000000-000E-0000-0000-000001000000}">
            <xm:f>AND('e1'!A6=0,'r1'!A6&gt;0)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A6:A2005</xm:sqref>
        </x14:conditionalFormatting>
        <x14:conditionalFormatting xmlns:xm="http://schemas.microsoft.com/office/excel/2006/main">
          <x14:cfRule type="expression" priority="2" stopIfTrue="1" id="{00000000-000E-0000-0000-000002000000}">
            <xm:f>AND(ISNUMBER('e1'!A4),'e1'!A4&gt;0)</xm:f>
            <x14:dxf>
              <font>
                <color rgb="FFFFFFFF"/>
              </font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A4:T2005</xm:sqref>
        </x14:conditionalFormatting>
        <x14:conditionalFormatting xmlns:xm="http://schemas.microsoft.com/office/excel/2006/main">
          <x14:cfRule type="expression" priority="3" stopIfTrue="1" id="{00000000-000E-0000-0000-000003000000}">
            <xm:f>AND(ISNUMBER('r1'!C4),'e1'!C4=0,'r1'!C4&gt;0)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C4:T2005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choice" error="Please enter one of the valid keys: MPSES, SLE" xr:uid="{00000000-0002-0000-0000-000000000000}">
          <x14:formula1>
            <xm:f>reference!$C$17:$C$18</xm:f>
          </x14:formula1>
          <xm:sqref>D6:D2005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05"/>
  <sheetViews>
    <sheetView workbookViewId="0">
      <pane xSplit="2" ySplit="4" topLeftCell="C5" activePane="bottomRight" state="frozen"/>
      <selection pane="topRight" activeCell="C6" sqref="C6"/>
      <selection pane="bottomLeft"/>
      <selection pane="bottomRight"/>
    </sheetView>
  </sheetViews>
  <sheetFormatPr defaultRowHeight="15" x14ac:dyDescent="0.25"/>
  <cols>
    <col min="1" max="1" width="1" customWidth="1"/>
    <col min="2" max="2" width="3" customWidth="1"/>
    <col min="3" max="3" width="10" customWidth="1"/>
    <col min="4" max="4" width="20" customWidth="1"/>
  </cols>
  <sheetData>
    <row r="1" spans="1:4" s="1" customFormat="1" ht="27" customHeight="1" x14ac:dyDescent="0.35">
      <c r="A1" s="2"/>
      <c r="C1" s="3" t="s">
        <v>54</v>
      </c>
    </row>
    <row r="2" spans="1:4" s="4" customFormat="1" ht="21.95" customHeight="1" x14ac:dyDescent="0.25">
      <c r="A2" s="2"/>
      <c r="C2" s="5" t="s">
        <v>55</v>
      </c>
      <c r="D2" s="5" t="s">
        <v>56</v>
      </c>
    </row>
    <row r="3" spans="1:4" hidden="1" x14ac:dyDescent="0.25">
      <c r="A3" s="2" t="s">
        <v>19</v>
      </c>
      <c r="B3" t="s">
        <v>20</v>
      </c>
      <c r="C3" t="s">
        <v>57</v>
      </c>
      <c r="D3" t="s">
        <v>58</v>
      </c>
    </row>
    <row r="4" spans="1:4" s="4" customFormat="1" ht="6" customHeight="1" x14ac:dyDescent="0.25">
      <c r="A4" s="2"/>
      <c r="C4" s="5" t="str">
        <f>IF('e2'!C4&gt;0,HYPERLINK("#C"&amp;'e2'!C4,""),IF('r2'!C4&gt;0,HYPERLINK("#C"&amp;'r2'!C4,""),""))</f>
        <v/>
      </c>
      <c r="D4" s="5" t="str">
        <f>IF('e2'!D4&gt;0,HYPERLINK("#D"&amp;'e2'!D4,""),IF('r2'!D4&gt;0,HYPERLINK("#D"&amp;'r2'!D4,""),""))</f>
        <v/>
      </c>
    </row>
    <row r="5" spans="1:4" s="6" customFormat="1" ht="15" customHeight="1" x14ac:dyDescent="0.25">
      <c r="A5" s="38" t="s">
        <v>39</v>
      </c>
      <c r="B5" s="39"/>
      <c r="C5" s="10">
        <v>2019</v>
      </c>
      <c r="D5" s="8" t="s">
        <v>59</v>
      </c>
    </row>
    <row r="6" spans="1:4" ht="24" customHeight="1" x14ac:dyDescent="0.35">
      <c r="A6" t="str">
        <f>IF('e2'!A6&gt;0,HYPERLINK("#"&amp;ADDRESS(6,'e2'!A6),""),IF('r2'!A6&gt;0,HYPERLINK("#"&amp;ADDRESS(6,'r2'!A6),""),""))</f>
        <v/>
      </c>
      <c r="B6" s="12" t="str">
        <f>IF('r2'!B6,"","▶")</f>
        <v>▶</v>
      </c>
      <c r="C6" s="31"/>
      <c r="D6" s="32"/>
    </row>
    <row r="7" spans="1:4" ht="24" customHeight="1" x14ac:dyDescent="0.25">
      <c r="A7" t="str">
        <f>IF('e2'!A7&gt;0,HYPERLINK("#"&amp;ADDRESS(7,'e2'!A7),""),IF('r2'!A7&gt;0,HYPERLINK("#"&amp;ADDRESS(7,'r2'!A7),""),""))</f>
        <v/>
      </c>
      <c r="C7" s="31"/>
      <c r="D7" s="32"/>
    </row>
    <row r="8" spans="1:4" ht="24" customHeight="1" x14ac:dyDescent="0.25">
      <c r="A8" t="str">
        <f>IF('e2'!A8&gt;0,HYPERLINK("#"&amp;ADDRESS(8,'e2'!A8),""),IF('r2'!A8&gt;0,HYPERLINK("#"&amp;ADDRESS(8,'r2'!A8),""),""))</f>
        <v/>
      </c>
      <c r="C8" s="31"/>
      <c r="D8" s="32"/>
    </row>
    <row r="9" spans="1:4" ht="24" customHeight="1" x14ac:dyDescent="0.25">
      <c r="A9" t="str">
        <f>IF('e2'!A9&gt;0,HYPERLINK("#"&amp;ADDRESS(9,'e2'!A9),""),IF('r2'!A9&gt;0,HYPERLINK("#"&amp;ADDRESS(9,'r2'!A9),""),""))</f>
        <v/>
      </c>
      <c r="C9" s="31"/>
      <c r="D9" s="32"/>
    </row>
    <row r="10" spans="1:4" ht="24" customHeight="1" x14ac:dyDescent="0.25">
      <c r="A10" t="str">
        <f>IF('e2'!A10&gt;0,HYPERLINK("#"&amp;ADDRESS(10,'e2'!A10),""),IF('r2'!A10&gt;0,HYPERLINK("#"&amp;ADDRESS(10,'r2'!A10),""),""))</f>
        <v/>
      </c>
      <c r="C10" s="31"/>
      <c r="D10" s="32"/>
    </row>
    <row r="11" spans="1:4" ht="24" customHeight="1" x14ac:dyDescent="0.25">
      <c r="A11" t="str">
        <f>IF('e2'!A11&gt;0,HYPERLINK("#"&amp;ADDRESS(11,'e2'!A11),""),IF('r2'!A11&gt;0,HYPERLINK("#"&amp;ADDRESS(11,'r2'!A11),""),""))</f>
        <v/>
      </c>
      <c r="C11" s="31"/>
      <c r="D11" s="32"/>
    </row>
    <row r="12" spans="1:4" ht="24" customHeight="1" x14ac:dyDescent="0.25">
      <c r="A12" t="str">
        <f>IF('e2'!A12&gt;0,HYPERLINK("#"&amp;ADDRESS(12,'e2'!A12),""),IF('r2'!A12&gt;0,HYPERLINK("#"&amp;ADDRESS(12,'r2'!A12),""),""))</f>
        <v/>
      </c>
      <c r="C12" s="31"/>
      <c r="D12" s="32"/>
    </row>
    <row r="13" spans="1:4" ht="24" customHeight="1" x14ac:dyDescent="0.25">
      <c r="A13" t="str">
        <f>IF('e2'!A13&gt;0,HYPERLINK("#"&amp;ADDRESS(13,'e2'!A13),""),IF('r2'!A13&gt;0,HYPERLINK("#"&amp;ADDRESS(13,'r2'!A13),""),""))</f>
        <v/>
      </c>
      <c r="C13" s="31"/>
      <c r="D13" s="32"/>
    </row>
    <row r="14" spans="1:4" ht="24" customHeight="1" x14ac:dyDescent="0.25">
      <c r="A14" t="str">
        <f>IF('e2'!A14&gt;0,HYPERLINK("#"&amp;ADDRESS(14,'e2'!A14),""),IF('r2'!A14&gt;0,HYPERLINK("#"&amp;ADDRESS(14,'r2'!A14),""),""))</f>
        <v/>
      </c>
      <c r="C14" s="31"/>
      <c r="D14" s="32"/>
    </row>
    <row r="15" spans="1:4" ht="24" customHeight="1" x14ac:dyDescent="0.25">
      <c r="A15" t="str">
        <f>IF('e2'!A15&gt;0,HYPERLINK("#"&amp;ADDRESS(15,'e2'!A15),""),IF('r2'!A15&gt;0,HYPERLINK("#"&amp;ADDRESS(15,'r2'!A15),""),""))</f>
        <v/>
      </c>
      <c r="C15" s="31"/>
      <c r="D15" s="32"/>
    </row>
    <row r="16" spans="1:4" ht="24" customHeight="1" x14ac:dyDescent="0.25">
      <c r="A16" t="str">
        <f>IF('e2'!A16&gt;0,HYPERLINK("#"&amp;ADDRESS(16,'e2'!A16),""),IF('r2'!A16&gt;0,HYPERLINK("#"&amp;ADDRESS(16,'r2'!A16),""),""))</f>
        <v/>
      </c>
      <c r="C16" s="31"/>
      <c r="D16" s="32"/>
    </row>
    <row r="17" spans="1:4" ht="24" customHeight="1" x14ac:dyDescent="0.25">
      <c r="A17" t="str">
        <f>IF('e2'!A17&gt;0,HYPERLINK("#"&amp;ADDRESS(17,'e2'!A17),""),IF('r2'!A17&gt;0,HYPERLINK("#"&amp;ADDRESS(17,'r2'!A17),""),""))</f>
        <v/>
      </c>
      <c r="C17" s="31"/>
      <c r="D17" s="32"/>
    </row>
    <row r="18" spans="1:4" ht="24" customHeight="1" x14ac:dyDescent="0.25">
      <c r="A18" t="str">
        <f>IF('e2'!A18&gt;0,HYPERLINK("#"&amp;ADDRESS(18,'e2'!A18),""),IF('r2'!A18&gt;0,HYPERLINK("#"&amp;ADDRESS(18,'r2'!A18),""),""))</f>
        <v/>
      </c>
      <c r="C18" s="31"/>
      <c r="D18" s="32"/>
    </row>
    <row r="19" spans="1:4" ht="24" customHeight="1" x14ac:dyDescent="0.25">
      <c r="A19" t="str">
        <f>IF('e2'!A19&gt;0,HYPERLINK("#"&amp;ADDRESS(19,'e2'!A19),""),IF('r2'!A19&gt;0,HYPERLINK("#"&amp;ADDRESS(19,'r2'!A19),""),""))</f>
        <v/>
      </c>
      <c r="C19" s="31"/>
      <c r="D19" s="32"/>
    </row>
    <row r="20" spans="1:4" ht="24" customHeight="1" x14ac:dyDescent="0.25">
      <c r="A20" t="str">
        <f>IF('e2'!A20&gt;0,HYPERLINK("#"&amp;ADDRESS(20,'e2'!A20),""),IF('r2'!A20&gt;0,HYPERLINK("#"&amp;ADDRESS(20,'r2'!A20),""),""))</f>
        <v/>
      </c>
      <c r="C20" s="31"/>
      <c r="D20" s="32"/>
    </row>
    <row r="21" spans="1:4" ht="24" customHeight="1" x14ac:dyDescent="0.25">
      <c r="A21" t="str">
        <f>IF('e2'!A21&gt;0,HYPERLINK("#"&amp;ADDRESS(21,'e2'!A21),""),IF('r2'!A21&gt;0,HYPERLINK("#"&amp;ADDRESS(21,'r2'!A21),""),""))</f>
        <v/>
      </c>
      <c r="C21" s="31"/>
      <c r="D21" s="32"/>
    </row>
    <row r="22" spans="1:4" ht="24" customHeight="1" x14ac:dyDescent="0.25">
      <c r="A22" t="str">
        <f>IF('e2'!A22&gt;0,HYPERLINK("#"&amp;ADDRESS(22,'e2'!A22),""),IF('r2'!A22&gt;0,HYPERLINK("#"&amp;ADDRESS(22,'r2'!A22),""),""))</f>
        <v/>
      </c>
      <c r="C22" s="31"/>
      <c r="D22" s="32"/>
    </row>
    <row r="23" spans="1:4" ht="24" customHeight="1" x14ac:dyDescent="0.25">
      <c r="A23" t="str">
        <f>IF('e2'!A23&gt;0,HYPERLINK("#"&amp;ADDRESS(23,'e2'!A23),""),IF('r2'!A23&gt;0,HYPERLINK("#"&amp;ADDRESS(23,'r2'!A23),""),""))</f>
        <v/>
      </c>
      <c r="C23" s="31"/>
      <c r="D23" s="32"/>
    </row>
    <row r="24" spans="1:4" ht="24" customHeight="1" x14ac:dyDescent="0.25">
      <c r="A24" t="str">
        <f>IF('e2'!A24&gt;0,HYPERLINK("#"&amp;ADDRESS(24,'e2'!A24),""),IF('r2'!A24&gt;0,HYPERLINK("#"&amp;ADDRESS(24,'r2'!A24),""),""))</f>
        <v/>
      </c>
      <c r="C24" s="31"/>
      <c r="D24" s="32"/>
    </row>
    <row r="25" spans="1:4" ht="24" customHeight="1" x14ac:dyDescent="0.25">
      <c r="A25" t="str">
        <f>IF('e2'!A25&gt;0,HYPERLINK("#"&amp;ADDRESS(25,'e2'!A25),""),IF('r2'!A25&gt;0,HYPERLINK("#"&amp;ADDRESS(25,'r2'!A25),""),""))</f>
        <v/>
      </c>
      <c r="C25" s="31"/>
      <c r="D25" s="32"/>
    </row>
    <row r="26" spans="1:4" ht="24" customHeight="1" x14ac:dyDescent="0.25">
      <c r="A26" t="str">
        <f>IF('e2'!A26&gt;0,HYPERLINK("#"&amp;ADDRESS(26,'e2'!A26),""),IF('r2'!A26&gt;0,HYPERLINK("#"&amp;ADDRESS(26,'r2'!A26),""),""))</f>
        <v/>
      </c>
      <c r="C26" s="31"/>
      <c r="D26" s="32"/>
    </row>
    <row r="27" spans="1:4" ht="24" customHeight="1" x14ac:dyDescent="0.25">
      <c r="A27" t="str">
        <f>IF('e2'!A27&gt;0,HYPERLINK("#"&amp;ADDRESS(27,'e2'!A27),""),IF('r2'!A27&gt;0,HYPERLINK("#"&amp;ADDRESS(27,'r2'!A27),""),""))</f>
        <v/>
      </c>
      <c r="C27" s="31"/>
      <c r="D27" s="32"/>
    </row>
    <row r="28" spans="1:4" ht="24" customHeight="1" x14ac:dyDescent="0.25">
      <c r="A28" t="str">
        <f>IF('e2'!A28&gt;0,HYPERLINK("#"&amp;ADDRESS(28,'e2'!A28),""),IF('r2'!A28&gt;0,HYPERLINK("#"&amp;ADDRESS(28,'r2'!A28),""),""))</f>
        <v/>
      </c>
      <c r="C28" s="31"/>
      <c r="D28" s="32"/>
    </row>
    <row r="29" spans="1:4" ht="24" customHeight="1" x14ac:dyDescent="0.25">
      <c r="A29" t="str">
        <f>IF('e2'!A29&gt;0,HYPERLINK("#"&amp;ADDRESS(29,'e2'!A29),""),IF('r2'!A29&gt;0,HYPERLINK("#"&amp;ADDRESS(29,'r2'!A29),""),""))</f>
        <v/>
      </c>
      <c r="C29" s="31"/>
      <c r="D29" s="32"/>
    </row>
    <row r="30" spans="1:4" ht="24" customHeight="1" x14ac:dyDescent="0.25">
      <c r="A30" t="str">
        <f>IF('e2'!A30&gt;0,HYPERLINK("#"&amp;ADDRESS(30,'e2'!A30),""),IF('r2'!A30&gt;0,HYPERLINK("#"&amp;ADDRESS(30,'r2'!A30),""),""))</f>
        <v/>
      </c>
      <c r="C30" s="31"/>
      <c r="D30" s="32"/>
    </row>
    <row r="31" spans="1:4" ht="24" customHeight="1" x14ac:dyDescent="0.25">
      <c r="A31" t="str">
        <f>IF('e2'!A31&gt;0,HYPERLINK("#"&amp;ADDRESS(31,'e2'!A31),""),IF('r2'!A31&gt;0,HYPERLINK("#"&amp;ADDRESS(31,'r2'!A31),""),""))</f>
        <v/>
      </c>
      <c r="C31" s="31"/>
      <c r="D31" s="32"/>
    </row>
    <row r="32" spans="1:4" ht="24" customHeight="1" x14ac:dyDescent="0.25">
      <c r="A32" t="str">
        <f>IF('e2'!A32&gt;0,HYPERLINK("#"&amp;ADDRESS(32,'e2'!A32),""),IF('r2'!A32&gt;0,HYPERLINK("#"&amp;ADDRESS(32,'r2'!A32),""),""))</f>
        <v/>
      </c>
      <c r="C32" s="31"/>
      <c r="D32" s="32"/>
    </row>
    <row r="33" spans="1:4" ht="24" customHeight="1" x14ac:dyDescent="0.25">
      <c r="A33" t="str">
        <f>IF('e2'!A33&gt;0,HYPERLINK("#"&amp;ADDRESS(33,'e2'!A33),""),IF('r2'!A33&gt;0,HYPERLINK("#"&amp;ADDRESS(33,'r2'!A33),""),""))</f>
        <v/>
      </c>
      <c r="C33" s="31"/>
      <c r="D33" s="32"/>
    </row>
    <row r="34" spans="1:4" ht="24" customHeight="1" x14ac:dyDescent="0.25">
      <c r="A34" t="str">
        <f>IF('e2'!A34&gt;0,HYPERLINK("#"&amp;ADDRESS(34,'e2'!A34),""),IF('r2'!A34&gt;0,HYPERLINK("#"&amp;ADDRESS(34,'r2'!A34),""),""))</f>
        <v/>
      </c>
      <c r="C34" s="31"/>
      <c r="D34" s="32"/>
    </row>
    <row r="35" spans="1:4" ht="24" customHeight="1" x14ac:dyDescent="0.25">
      <c r="A35" t="str">
        <f>IF('e2'!A35&gt;0,HYPERLINK("#"&amp;ADDRESS(35,'e2'!A35),""),IF('r2'!A35&gt;0,HYPERLINK("#"&amp;ADDRESS(35,'r2'!A35),""),""))</f>
        <v/>
      </c>
      <c r="C35" s="31"/>
      <c r="D35" s="32"/>
    </row>
    <row r="36" spans="1:4" ht="24" customHeight="1" x14ac:dyDescent="0.25">
      <c r="A36" t="str">
        <f>IF('e2'!A36&gt;0,HYPERLINK("#"&amp;ADDRESS(36,'e2'!A36),""),IF('r2'!A36&gt;0,HYPERLINK("#"&amp;ADDRESS(36,'r2'!A36),""),""))</f>
        <v/>
      </c>
      <c r="C36" s="31"/>
      <c r="D36" s="32"/>
    </row>
    <row r="37" spans="1:4" ht="24" customHeight="1" x14ac:dyDescent="0.25">
      <c r="A37" t="str">
        <f>IF('e2'!A37&gt;0,HYPERLINK("#"&amp;ADDRESS(37,'e2'!A37),""),IF('r2'!A37&gt;0,HYPERLINK("#"&amp;ADDRESS(37,'r2'!A37),""),""))</f>
        <v/>
      </c>
      <c r="C37" s="31"/>
      <c r="D37" s="32"/>
    </row>
    <row r="38" spans="1:4" ht="24" customHeight="1" x14ac:dyDescent="0.25">
      <c r="A38" t="str">
        <f>IF('e2'!A38&gt;0,HYPERLINK("#"&amp;ADDRESS(38,'e2'!A38),""),IF('r2'!A38&gt;0,HYPERLINK("#"&amp;ADDRESS(38,'r2'!A38),""),""))</f>
        <v/>
      </c>
      <c r="C38" s="31"/>
      <c r="D38" s="32"/>
    </row>
    <row r="39" spans="1:4" ht="24" customHeight="1" x14ac:dyDescent="0.25">
      <c r="A39" t="str">
        <f>IF('e2'!A39&gt;0,HYPERLINK("#"&amp;ADDRESS(39,'e2'!A39),""),IF('r2'!A39&gt;0,HYPERLINK("#"&amp;ADDRESS(39,'r2'!A39),""),""))</f>
        <v/>
      </c>
      <c r="C39" s="31"/>
      <c r="D39" s="32"/>
    </row>
    <row r="40" spans="1:4" ht="24" customHeight="1" x14ac:dyDescent="0.25">
      <c r="A40" t="str">
        <f>IF('e2'!A40&gt;0,HYPERLINK("#"&amp;ADDRESS(40,'e2'!A40),""),IF('r2'!A40&gt;0,HYPERLINK("#"&amp;ADDRESS(40,'r2'!A40),""),""))</f>
        <v/>
      </c>
      <c r="C40" s="31"/>
      <c r="D40" s="32"/>
    </row>
    <row r="41" spans="1:4" ht="24" customHeight="1" x14ac:dyDescent="0.25">
      <c r="A41" t="str">
        <f>IF('e2'!A41&gt;0,HYPERLINK("#"&amp;ADDRESS(41,'e2'!A41),""),IF('r2'!A41&gt;0,HYPERLINK("#"&amp;ADDRESS(41,'r2'!A41),""),""))</f>
        <v/>
      </c>
      <c r="C41" s="31"/>
      <c r="D41" s="32"/>
    </row>
    <row r="42" spans="1:4" ht="24" customHeight="1" x14ac:dyDescent="0.25">
      <c r="A42" t="str">
        <f>IF('e2'!A42&gt;0,HYPERLINK("#"&amp;ADDRESS(42,'e2'!A42),""),IF('r2'!A42&gt;0,HYPERLINK("#"&amp;ADDRESS(42,'r2'!A42),""),""))</f>
        <v/>
      </c>
      <c r="C42" s="31"/>
      <c r="D42" s="32"/>
    </row>
    <row r="43" spans="1:4" ht="24" customHeight="1" x14ac:dyDescent="0.25">
      <c r="A43" t="str">
        <f>IF('e2'!A43&gt;0,HYPERLINK("#"&amp;ADDRESS(43,'e2'!A43),""),IF('r2'!A43&gt;0,HYPERLINK("#"&amp;ADDRESS(43,'r2'!A43),""),""))</f>
        <v/>
      </c>
      <c r="C43" s="31"/>
      <c r="D43" s="32"/>
    </row>
    <row r="44" spans="1:4" ht="24" customHeight="1" x14ac:dyDescent="0.25">
      <c r="A44" t="str">
        <f>IF('e2'!A44&gt;0,HYPERLINK("#"&amp;ADDRESS(44,'e2'!A44),""),IF('r2'!A44&gt;0,HYPERLINK("#"&amp;ADDRESS(44,'r2'!A44),""),""))</f>
        <v/>
      </c>
      <c r="C44" s="31"/>
      <c r="D44" s="32"/>
    </row>
    <row r="45" spans="1:4" ht="24" customHeight="1" x14ac:dyDescent="0.25">
      <c r="A45" t="str">
        <f>IF('e2'!A45&gt;0,HYPERLINK("#"&amp;ADDRESS(45,'e2'!A45),""),IF('r2'!A45&gt;0,HYPERLINK("#"&amp;ADDRESS(45,'r2'!A45),""),""))</f>
        <v/>
      </c>
      <c r="C45" s="31"/>
      <c r="D45" s="32"/>
    </row>
    <row r="46" spans="1:4" ht="24" customHeight="1" x14ac:dyDescent="0.25">
      <c r="A46" t="str">
        <f>IF('e2'!A46&gt;0,HYPERLINK("#"&amp;ADDRESS(46,'e2'!A46),""),IF('r2'!A46&gt;0,HYPERLINK("#"&amp;ADDRESS(46,'r2'!A46),""),""))</f>
        <v/>
      </c>
      <c r="C46" s="31"/>
      <c r="D46" s="32"/>
    </row>
    <row r="47" spans="1:4" ht="24" customHeight="1" x14ac:dyDescent="0.25">
      <c r="A47" t="str">
        <f>IF('e2'!A47&gt;0,HYPERLINK("#"&amp;ADDRESS(47,'e2'!A47),""),IF('r2'!A47&gt;0,HYPERLINK("#"&amp;ADDRESS(47,'r2'!A47),""),""))</f>
        <v/>
      </c>
      <c r="C47" s="31"/>
      <c r="D47" s="32"/>
    </row>
    <row r="48" spans="1:4" ht="24" customHeight="1" x14ac:dyDescent="0.25">
      <c r="A48" t="str">
        <f>IF('e2'!A48&gt;0,HYPERLINK("#"&amp;ADDRESS(48,'e2'!A48),""),IF('r2'!A48&gt;0,HYPERLINK("#"&amp;ADDRESS(48,'r2'!A48),""),""))</f>
        <v/>
      </c>
      <c r="C48" s="31"/>
      <c r="D48" s="32"/>
    </row>
    <row r="49" spans="1:4" ht="24" customHeight="1" x14ac:dyDescent="0.25">
      <c r="A49" t="str">
        <f>IF('e2'!A49&gt;0,HYPERLINK("#"&amp;ADDRESS(49,'e2'!A49),""),IF('r2'!A49&gt;0,HYPERLINK("#"&amp;ADDRESS(49,'r2'!A49),""),""))</f>
        <v/>
      </c>
      <c r="C49" s="31"/>
      <c r="D49" s="32"/>
    </row>
    <row r="50" spans="1:4" ht="24" customHeight="1" x14ac:dyDescent="0.25">
      <c r="A50" t="str">
        <f>IF('e2'!A50&gt;0,HYPERLINK("#"&amp;ADDRESS(50,'e2'!A50),""),IF('r2'!A50&gt;0,HYPERLINK("#"&amp;ADDRESS(50,'r2'!A50),""),""))</f>
        <v/>
      </c>
      <c r="C50" s="31"/>
      <c r="D50" s="32"/>
    </row>
    <row r="51" spans="1:4" ht="24" customHeight="1" x14ac:dyDescent="0.25">
      <c r="A51" t="str">
        <f>IF('e2'!A51&gt;0,HYPERLINK("#"&amp;ADDRESS(51,'e2'!A51),""),IF('r2'!A51&gt;0,HYPERLINK("#"&amp;ADDRESS(51,'r2'!A51),""),""))</f>
        <v/>
      </c>
      <c r="C51" s="31"/>
      <c r="D51" s="32"/>
    </row>
    <row r="52" spans="1:4" ht="24" customHeight="1" x14ac:dyDescent="0.25">
      <c r="A52" t="str">
        <f>IF('e2'!A52&gt;0,HYPERLINK("#"&amp;ADDRESS(52,'e2'!A52),""),IF('r2'!A52&gt;0,HYPERLINK("#"&amp;ADDRESS(52,'r2'!A52),""),""))</f>
        <v/>
      </c>
      <c r="C52" s="31"/>
      <c r="D52" s="32"/>
    </row>
    <row r="53" spans="1:4" ht="24" customHeight="1" x14ac:dyDescent="0.25">
      <c r="A53" t="str">
        <f>IF('e2'!A53&gt;0,HYPERLINK("#"&amp;ADDRESS(53,'e2'!A53),""),IF('r2'!A53&gt;0,HYPERLINK("#"&amp;ADDRESS(53,'r2'!A53),""),""))</f>
        <v/>
      </c>
      <c r="C53" s="31"/>
      <c r="D53" s="32"/>
    </row>
    <row r="54" spans="1:4" ht="24" customHeight="1" x14ac:dyDescent="0.25">
      <c r="A54" t="str">
        <f>IF('e2'!A54&gt;0,HYPERLINK("#"&amp;ADDRESS(54,'e2'!A54),""),IF('r2'!A54&gt;0,HYPERLINK("#"&amp;ADDRESS(54,'r2'!A54),""),""))</f>
        <v/>
      </c>
      <c r="C54" s="31"/>
      <c r="D54" s="32"/>
    </row>
    <row r="55" spans="1:4" ht="24" customHeight="1" x14ac:dyDescent="0.25">
      <c r="A55" t="str">
        <f>IF('e2'!A55&gt;0,HYPERLINK("#"&amp;ADDRESS(55,'e2'!A55),""),IF('r2'!A55&gt;0,HYPERLINK("#"&amp;ADDRESS(55,'r2'!A55),""),""))</f>
        <v/>
      </c>
      <c r="C55" s="31"/>
      <c r="D55" s="32"/>
    </row>
    <row r="56" spans="1:4" ht="24" customHeight="1" x14ac:dyDescent="0.25">
      <c r="A56" t="str">
        <f>IF('e2'!A56&gt;0,HYPERLINK("#"&amp;ADDRESS(56,'e2'!A56),""),IF('r2'!A56&gt;0,HYPERLINK("#"&amp;ADDRESS(56,'r2'!A56),""),""))</f>
        <v/>
      </c>
      <c r="C56" s="31"/>
      <c r="D56" s="32"/>
    </row>
    <row r="57" spans="1:4" ht="24" customHeight="1" x14ac:dyDescent="0.25">
      <c r="A57" t="str">
        <f>IF('e2'!A57&gt;0,HYPERLINK("#"&amp;ADDRESS(57,'e2'!A57),""),IF('r2'!A57&gt;0,HYPERLINK("#"&amp;ADDRESS(57,'r2'!A57),""),""))</f>
        <v/>
      </c>
      <c r="C57" s="31"/>
      <c r="D57" s="32"/>
    </row>
    <row r="58" spans="1:4" ht="24" customHeight="1" x14ac:dyDescent="0.25">
      <c r="A58" t="str">
        <f>IF('e2'!A58&gt;0,HYPERLINK("#"&amp;ADDRESS(58,'e2'!A58),""),IF('r2'!A58&gt;0,HYPERLINK("#"&amp;ADDRESS(58,'r2'!A58),""),""))</f>
        <v/>
      </c>
      <c r="C58" s="31"/>
      <c r="D58" s="32"/>
    </row>
    <row r="59" spans="1:4" ht="24" customHeight="1" x14ac:dyDescent="0.25">
      <c r="A59" t="str">
        <f>IF('e2'!A59&gt;0,HYPERLINK("#"&amp;ADDRESS(59,'e2'!A59),""),IF('r2'!A59&gt;0,HYPERLINK("#"&amp;ADDRESS(59,'r2'!A59),""),""))</f>
        <v/>
      </c>
      <c r="C59" s="31"/>
      <c r="D59" s="32"/>
    </row>
    <row r="60" spans="1:4" ht="24" customHeight="1" x14ac:dyDescent="0.25">
      <c r="A60" t="str">
        <f>IF('e2'!A60&gt;0,HYPERLINK("#"&amp;ADDRESS(60,'e2'!A60),""),IF('r2'!A60&gt;0,HYPERLINK("#"&amp;ADDRESS(60,'r2'!A60),""),""))</f>
        <v/>
      </c>
      <c r="C60" s="31"/>
      <c r="D60" s="32"/>
    </row>
    <row r="61" spans="1:4" ht="24" customHeight="1" x14ac:dyDescent="0.25">
      <c r="A61" t="str">
        <f>IF('e2'!A61&gt;0,HYPERLINK("#"&amp;ADDRESS(61,'e2'!A61),""),IF('r2'!A61&gt;0,HYPERLINK("#"&amp;ADDRESS(61,'r2'!A61),""),""))</f>
        <v/>
      </c>
      <c r="C61" s="31"/>
      <c r="D61" s="32"/>
    </row>
    <row r="62" spans="1:4" ht="24" customHeight="1" x14ac:dyDescent="0.25">
      <c r="A62" t="str">
        <f>IF('e2'!A62&gt;0,HYPERLINK("#"&amp;ADDRESS(62,'e2'!A62),""),IF('r2'!A62&gt;0,HYPERLINK("#"&amp;ADDRESS(62,'r2'!A62),""),""))</f>
        <v/>
      </c>
      <c r="C62" s="31"/>
      <c r="D62" s="32"/>
    </row>
    <row r="63" spans="1:4" ht="24" customHeight="1" x14ac:dyDescent="0.25">
      <c r="A63" t="str">
        <f>IF('e2'!A63&gt;0,HYPERLINK("#"&amp;ADDRESS(63,'e2'!A63),""),IF('r2'!A63&gt;0,HYPERLINK("#"&amp;ADDRESS(63,'r2'!A63),""),""))</f>
        <v/>
      </c>
      <c r="C63" s="31"/>
      <c r="D63" s="32"/>
    </row>
    <row r="64" spans="1:4" ht="24" customHeight="1" x14ac:dyDescent="0.25">
      <c r="A64" t="str">
        <f>IF('e2'!A64&gt;0,HYPERLINK("#"&amp;ADDRESS(64,'e2'!A64),""),IF('r2'!A64&gt;0,HYPERLINK("#"&amp;ADDRESS(64,'r2'!A64),""),""))</f>
        <v/>
      </c>
      <c r="C64" s="31"/>
      <c r="D64" s="32"/>
    </row>
    <row r="65" spans="1:4" ht="24" customHeight="1" x14ac:dyDescent="0.25">
      <c r="A65" t="str">
        <f>IF('e2'!A65&gt;0,HYPERLINK("#"&amp;ADDRESS(65,'e2'!A65),""),IF('r2'!A65&gt;0,HYPERLINK("#"&amp;ADDRESS(65,'r2'!A65),""),""))</f>
        <v/>
      </c>
      <c r="C65" s="31"/>
      <c r="D65" s="32"/>
    </row>
    <row r="66" spans="1:4" ht="24" customHeight="1" x14ac:dyDescent="0.25">
      <c r="A66" t="str">
        <f>IF('e2'!A66&gt;0,HYPERLINK("#"&amp;ADDRESS(66,'e2'!A66),""),IF('r2'!A66&gt;0,HYPERLINK("#"&amp;ADDRESS(66,'r2'!A66),""),""))</f>
        <v/>
      </c>
      <c r="C66" s="31"/>
      <c r="D66" s="32"/>
    </row>
    <row r="67" spans="1:4" ht="24" customHeight="1" x14ac:dyDescent="0.25">
      <c r="A67" t="str">
        <f>IF('e2'!A67&gt;0,HYPERLINK("#"&amp;ADDRESS(67,'e2'!A67),""),IF('r2'!A67&gt;0,HYPERLINK("#"&amp;ADDRESS(67,'r2'!A67),""),""))</f>
        <v/>
      </c>
      <c r="C67" s="31"/>
      <c r="D67" s="32"/>
    </row>
    <row r="68" spans="1:4" ht="24" customHeight="1" x14ac:dyDescent="0.25">
      <c r="A68" t="str">
        <f>IF('e2'!A68&gt;0,HYPERLINK("#"&amp;ADDRESS(68,'e2'!A68),""),IF('r2'!A68&gt;0,HYPERLINK("#"&amp;ADDRESS(68,'r2'!A68),""),""))</f>
        <v/>
      </c>
      <c r="C68" s="31"/>
      <c r="D68" s="32"/>
    </row>
    <row r="69" spans="1:4" ht="24" customHeight="1" x14ac:dyDescent="0.25">
      <c r="A69" t="str">
        <f>IF('e2'!A69&gt;0,HYPERLINK("#"&amp;ADDRESS(69,'e2'!A69),""),IF('r2'!A69&gt;0,HYPERLINK("#"&amp;ADDRESS(69,'r2'!A69),""),""))</f>
        <v/>
      </c>
      <c r="C69" s="31"/>
      <c r="D69" s="32"/>
    </row>
    <row r="70" spans="1:4" ht="24" customHeight="1" x14ac:dyDescent="0.25">
      <c r="A70" t="str">
        <f>IF('e2'!A70&gt;0,HYPERLINK("#"&amp;ADDRESS(70,'e2'!A70),""),IF('r2'!A70&gt;0,HYPERLINK("#"&amp;ADDRESS(70,'r2'!A70),""),""))</f>
        <v/>
      </c>
      <c r="C70" s="31"/>
      <c r="D70" s="32"/>
    </row>
    <row r="71" spans="1:4" ht="24" customHeight="1" x14ac:dyDescent="0.25">
      <c r="A71" t="str">
        <f>IF('e2'!A71&gt;0,HYPERLINK("#"&amp;ADDRESS(71,'e2'!A71),""),IF('r2'!A71&gt;0,HYPERLINK("#"&amp;ADDRESS(71,'r2'!A71),""),""))</f>
        <v/>
      </c>
      <c r="C71" s="31"/>
      <c r="D71" s="32"/>
    </row>
    <row r="72" spans="1:4" ht="24" customHeight="1" x14ac:dyDescent="0.25">
      <c r="A72" t="str">
        <f>IF('e2'!A72&gt;0,HYPERLINK("#"&amp;ADDRESS(72,'e2'!A72),""),IF('r2'!A72&gt;0,HYPERLINK("#"&amp;ADDRESS(72,'r2'!A72),""),""))</f>
        <v/>
      </c>
      <c r="C72" s="31"/>
      <c r="D72" s="32"/>
    </row>
    <row r="73" spans="1:4" ht="24" customHeight="1" x14ac:dyDescent="0.25">
      <c r="A73" t="str">
        <f>IF('e2'!A73&gt;0,HYPERLINK("#"&amp;ADDRESS(73,'e2'!A73),""),IF('r2'!A73&gt;0,HYPERLINK("#"&amp;ADDRESS(73,'r2'!A73),""),""))</f>
        <v/>
      </c>
      <c r="C73" s="31"/>
      <c r="D73" s="32"/>
    </row>
    <row r="74" spans="1:4" ht="24" customHeight="1" x14ac:dyDescent="0.25">
      <c r="A74" t="str">
        <f>IF('e2'!A74&gt;0,HYPERLINK("#"&amp;ADDRESS(74,'e2'!A74),""),IF('r2'!A74&gt;0,HYPERLINK("#"&amp;ADDRESS(74,'r2'!A74),""),""))</f>
        <v/>
      </c>
      <c r="C74" s="31"/>
      <c r="D74" s="32"/>
    </row>
    <row r="75" spans="1:4" ht="24" customHeight="1" x14ac:dyDescent="0.25">
      <c r="A75" t="str">
        <f>IF('e2'!A75&gt;0,HYPERLINK("#"&amp;ADDRESS(75,'e2'!A75),""),IF('r2'!A75&gt;0,HYPERLINK("#"&amp;ADDRESS(75,'r2'!A75),""),""))</f>
        <v/>
      </c>
      <c r="C75" s="31"/>
      <c r="D75" s="32"/>
    </row>
    <row r="76" spans="1:4" ht="24" customHeight="1" x14ac:dyDescent="0.25">
      <c r="A76" t="str">
        <f>IF('e2'!A76&gt;0,HYPERLINK("#"&amp;ADDRESS(76,'e2'!A76),""),IF('r2'!A76&gt;0,HYPERLINK("#"&amp;ADDRESS(76,'r2'!A76),""),""))</f>
        <v/>
      </c>
      <c r="C76" s="31"/>
      <c r="D76" s="32"/>
    </row>
    <row r="77" spans="1:4" ht="24" customHeight="1" x14ac:dyDescent="0.25">
      <c r="A77" t="str">
        <f>IF('e2'!A77&gt;0,HYPERLINK("#"&amp;ADDRESS(77,'e2'!A77),""),IF('r2'!A77&gt;0,HYPERLINK("#"&amp;ADDRESS(77,'r2'!A77),""),""))</f>
        <v/>
      </c>
      <c r="C77" s="31"/>
      <c r="D77" s="32"/>
    </row>
    <row r="78" spans="1:4" ht="24" customHeight="1" x14ac:dyDescent="0.25">
      <c r="A78" t="str">
        <f>IF('e2'!A78&gt;0,HYPERLINK("#"&amp;ADDRESS(78,'e2'!A78),""),IF('r2'!A78&gt;0,HYPERLINK("#"&amp;ADDRESS(78,'r2'!A78),""),""))</f>
        <v/>
      </c>
      <c r="C78" s="31"/>
      <c r="D78" s="32"/>
    </row>
    <row r="79" spans="1:4" ht="24" customHeight="1" x14ac:dyDescent="0.25">
      <c r="A79" t="str">
        <f>IF('e2'!A79&gt;0,HYPERLINK("#"&amp;ADDRESS(79,'e2'!A79),""),IF('r2'!A79&gt;0,HYPERLINK("#"&amp;ADDRESS(79,'r2'!A79),""),""))</f>
        <v/>
      </c>
      <c r="C79" s="31"/>
      <c r="D79" s="32"/>
    </row>
    <row r="80" spans="1:4" ht="24" customHeight="1" x14ac:dyDescent="0.25">
      <c r="A80" t="str">
        <f>IF('e2'!A80&gt;0,HYPERLINK("#"&amp;ADDRESS(80,'e2'!A80),""),IF('r2'!A80&gt;0,HYPERLINK("#"&amp;ADDRESS(80,'r2'!A80),""),""))</f>
        <v/>
      </c>
      <c r="C80" s="31"/>
      <c r="D80" s="32"/>
    </row>
    <row r="81" spans="1:4" ht="24" customHeight="1" x14ac:dyDescent="0.25">
      <c r="A81" t="str">
        <f>IF('e2'!A81&gt;0,HYPERLINK("#"&amp;ADDRESS(81,'e2'!A81),""),IF('r2'!A81&gt;0,HYPERLINK("#"&amp;ADDRESS(81,'r2'!A81),""),""))</f>
        <v/>
      </c>
      <c r="C81" s="31"/>
      <c r="D81" s="32"/>
    </row>
    <row r="82" spans="1:4" ht="24" customHeight="1" x14ac:dyDescent="0.25">
      <c r="A82" t="str">
        <f>IF('e2'!A82&gt;0,HYPERLINK("#"&amp;ADDRESS(82,'e2'!A82),""),IF('r2'!A82&gt;0,HYPERLINK("#"&amp;ADDRESS(82,'r2'!A82),""),""))</f>
        <v/>
      </c>
      <c r="C82" s="31"/>
      <c r="D82" s="32"/>
    </row>
    <row r="83" spans="1:4" ht="24" customHeight="1" x14ac:dyDescent="0.25">
      <c r="A83" t="str">
        <f>IF('e2'!A83&gt;0,HYPERLINK("#"&amp;ADDRESS(83,'e2'!A83),""),IF('r2'!A83&gt;0,HYPERLINK("#"&amp;ADDRESS(83,'r2'!A83),""),""))</f>
        <v/>
      </c>
      <c r="C83" s="31"/>
      <c r="D83" s="32"/>
    </row>
    <row r="84" spans="1:4" ht="24" customHeight="1" x14ac:dyDescent="0.25">
      <c r="A84" t="str">
        <f>IF('e2'!A84&gt;0,HYPERLINK("#"&amp;ADDRESS(84,'e2'!A84),""),IF('r2'!A84&gt;0,HYPERLINK("#"&amp;ADDRESS(84,'r2'!A84),""),""))</f>
        <v/>
      </c>
      <c r="C84" s="31"/>
      <c r="D84" s="32"/>
    </row>
    <row r="85" spans="1:4" ht="24" customHeight="1" x14ac:dyDescent="0.25">
      <c r="A85" t="str">
        <f>IF('e2'!A85&gt;0,HYPERLINK("#"&amp;ADDRESS(85,'e2'!A85),""),IF('r2'!A85&gt;0,HYPERLINK("#"&amp;ADDRESS(85,'r2'!A85),""),""))</f>
        <v/>
      </c>
      <c r="C85" s="31"/>
      <c r="D85" s="32"/>
    </row>
    <row r="86" spans="1:4" ht="24" customHeight="1" x14ac:dyDescent="0.25">
      <c r="A86" t="str">
        <f>IF('e2'!A86&gt;0,HYPERLINK("#"&amp;ADDRESS(86,'e2'!A86),""),IF('r2'!A86&gt;0,HYPERLINK("#"&amp;ADDRESS(86,'r2'!A86),""),""))</f>
        <v/>
      </c>
      <c r="C86" s="31"/>
      <c r="D86" s="32"/>
    </row>
    <row r="87" spans="1:4" ht="24" customHeight="1" x14ac:dyDescent="0.25">
      <c r="A87" t="str">
        <f>IF('e2'!A87&gt;0,HYPERLINK("#"&amp;ADDRESS(87,'e2'!A87),""),IF('r2'!A87&gt;0,HYPERLINK("#"&amp;ADDRESS(87,'r2'!A87),""),""))</f>
        <v/>
      </c>
      <c r="C87" s="31"/>
      <c r="D87" s="32"/>
    </row>
    <row r="88" spans="1:4" ht="24" customHeight="1" x14ac:dyDescent="0.25">
      <c r="A88" t="str">
        <f>IF('e2'!A88&gt;0,HYPERLINK("#"&amp;ADDRESS(88,'e2'!A88),""),IF('r2'!A88&gt;0,HYPERLINK("#"&amp;ADDRESS(88,'r2'!A88),""),""))</f>
        <v/>
      </c>
      <c r="C88" s="31"/>
      <c r="D88" s="32"/>
    </row>
    <row r="89" spans="1:4" ht="24" customHeight="1" x14ac:dyDescent="0.25">
      <c r="A89" t="str">
        <f>IF('e2'!A89&gt;0,HYPERLINK("#"&amp;ADDRESS(89,'e2'!A89),""),IF('r2'!A89&gt;0,HYPERLINK("#"&amp;ADDRESS(89,'r2'!A89),""),""))</f>
        <v/>
      </c>
      <c r="C89" s="31"/>
      <c r="D89" s="32"/>
    </row>
    <row r="90" spans="1:4" ht="24" customHeight="1" x14ac:dyDescent="0.25">
      <c r="A90" t="str">
        <f>IF('e2'!A90&gt;0,HYPERLINK("#"&amp;ADDRESS(90,'e2'!A90),""),IF('r2'!A90&gt;0,HYPERLINK("#"&amp;ADDRESS(90,'r2'!A90),""),""))</f>
        <v/>
      </c>
      <c r="C90" s="31"/>
      <c r="D90" s="32"/>
    </row>
    <row r="91" spans="1:4" ht="24" customHeight="1" x14ac:dyDescent="0.25">
      <c r="A91" t="str">
        <f>IF('e2'!A91&gt;0,HYPERLINK("#"&amp;ADDRESS(91,'e2'!A91),""),IF('r2'!A91&gt;0,HYPERLINK("#"&amp;ADDRESS(91,'r2'!A91),""),""))</f>
        <v/>
      </c>
      <c r="C91" s="31"/>
      <c r="D91" s="32"/>
    </row>
    <row r="92" spans="1:4" ht="24" customHeight="1" x14ac:dyDescent="0.25">
      <c r="A92" t="str">
        <f>IF('e2'!A92&gt;0,HYPERLINK("#"&amp;ADDRESS(92,'e2'!A92),""),IF('r2'!A92&gt;0,HYPERLINK("#"&amp;ADDRESS(92,'r2'!A92),""),""))</f>
        <v/>
      </c>
      <c r="C92" s="31"/>
      <c r="D92" s="32"/>
    </row>
    <row r="93" spans="1:4" ht="24" customHeight="1" x14ac:dyDescent="0.25">
      <c r="A93" t="str">
        <f>IF('e2'!A93&gt;0,HYPERLINK("#"&amp;ADDRESS(93,'e2'!A93),""),IF('r2'!A93&gt;0,HYPERLINK("#"&amp;ADDRESS(93,'r2'!A93),""),""))</f>
        <v/>
      </c>
      <c r="C93" s="31"/>
      <c r="D93" s="32"/>
    </row>
    <row r="94" spans="1:4" ht="24" customHeight="1" x14ac:dyDescent="0.25">
      <c r="A94" t="str">
        <f>IF('e2'!A94&gt;0,HYPERLINK("#"&amp;ADDRESS(94,'e2'!A94),""),IF('r2'!A94&gt;0,HYPERLINK("#"&amp;ADDRESS(94,'r2'!A94),""),""))</f>
        <v/>
      </c>
      <c r="C94" s="31"/>
      <c r="D94" s="32"/>
    </row>
    <row r="95" spans="1:4" ht="24" customHeight="1" x14ac:dyDescent="0.25">
      <c r="A95" t="str">
        <f>IF('e2'!A95&gt;0,HYPERLINK("#"&amp;ADDRESS(95,'e2'!A95),""),IF('r2'!A95&gt;0,HYPERLINK("#"&amp;ADDRESS(95,'r2'!A95),""),""))</f>
        <v/>
      </c>
      <c r="C95" s="31"/>
      <c r="D95" s="32"/>
    </row>
    <row r="96" spans="1:4" ht="24" customHeight="1" x14ac:dyDescent="0.25">
      <c r="A96" t="str">
        <f>IF('e2'!A96&gt;0,HYPERLINK("#"&amp;ADDRESS(96,'e2'!A96),""),IF('r2'!A96&gt;0,HYPERLINK("#"&amp;ADDRESS(96,'r2'!A96),""),""))</f>
        <v/>
      </c>
      <c r="C96" s="31"/>
      <c r="D96" s="32"/>
    </row>
    <row r="97" spans="1:4" ht="24" customHeight="1" x14ac:dyDescent="0.25">
      <c r="A97" t="str">
        <f>IF('e2'!A97&gt;0,HYPERLINK("#"&amp;ADDRESS(97,'e2'!A97),""),IF('r2'!A97&gt;0,HYPERLINK("#"&amp;ADDRESS(97,'r2'!A97),""),""))</f>
        <v/>
      </c>
      <c r="C97" s="31"/>
      <c r="D97" s="32"/>
    </row>
    <row r="98" spans="1:4" ht="24" customHeight="1" x14ac:dyDescent="0.25">
      <c r="A98" t="str">
        <f>IF('e2'!A98&gt;0,HYPERLINK("#"&amp;ADDRESS(98,'e2'!A98),""),IF('r2'!A98&gt;0,HYPERLINK("#"&amp;ADDRESS(98,'r2'!A98),""),""))</f>
        <v/>
      </c>
      <c r="C98" s="31"/>
      <c r="D98" s="32"/>
    </row>
    <row r="99" spans="1:4" ht="24" customHeight="1" x14ac:dyDescent="0.25">
      <c r="A99" t="str">
        <f>IF('e2'!A99&gt;0,HYPERLINK("#"&amp;ADDRESS(99,'e2'!A99),""),IF('r2'!A99&gt;0,HYPERLINK("#"&amp;ADDRESS(99,'r2'!A99),""),""))</f>
        <v/>
      </c>
      <c r="C99" s="31"/>
      <c r="D99" s="32"/>
    </row>
    <row r="100" spans="1:4" ht="24" customHeight="1" x14ac:dyDescent="0.25">
      <c r="A100" t="str">
        <f>IF('e2'!A100&gt;0,HYPERLINK("#"&amp;ADDRESS(100,'e2'!A100),""),IF('r2'!A100&gt;0,HYPERLINK("#"&amp;ADDRESS(100,'r2'!A100),""),""))</f>
        <v/>
      </c>
      <c r="C100" s="31"/>
      <c r="D100" s="32"/>
    </row>
    <row r="101" spans="1:4" ht="24" customHeight="1" x14ac:dyDescent="0.25">
      <c r="A101" t="str">
        <f>IF('e2'!A101&gt;0,HYPERLINK("#"&amp;ADDRESS(101,'e2'!A101),""),IF('r2'!A101&gt;0,HYPERLINK("#"&amp;ADDRESS(101,'r2'!A101),""),""))</f>
        <v/>
      </c>
      <c r="C101" s="31"/>
      <c r="D101" s="32"/>
    </row>
    <row r="102" spans="1:4" ht="24" customHeight="1" x14ac:dyDescent="0.25">
      <c r="A102" t="str">
        <f>IF('e2'!A102&gt;0,HYPERLINK("#"&amp;ADDRESS(102,'e2'!A102),""),IF('r2'!A102&gt;0,HYPERLINK("#"&amp;ADDRESS(102,'r2'!A102),""),""))</f>
        <v/>
      </c>
      <c r="C102" s="31"/>
      <c r="D102" s="32"/>
    </row>
    <row r="103" spans="1:4" ht="24" customHeight="1" x14ac:dyDescent="0.25">
      <c r="A103" t="str">
        <f>IF('e2'!A103&gt;0,HYPERLINK("#"&amp;ADDRESS(103,'e2'!A103),""),IF('r2'!A103&gt;0,HYPERLINK("#"&amp;ADDRESS(103,'r2'!A103),""),""))</f>
        <v/>
      </c>
      <c r="C103" s="31"/>
      <c r="D103" s="32"/>
    </row>
    <row r="104" spans="1:4" ht="24" customHeight="1" x14ac:dyDescent="0.25">
      <c r="A104" t="str">
        <f>IF('e2'!A104&gt;0,HYPERLINK("#"&amp;ADDRESS(104,'e2'!A104),""),IF('r2'!A104&gt;0,HYPERLINK("#"&amp;ADDRESS(104,'r2'!A104),""),""))</f>
        <v/>
      </c>
      <c r="C104" s="31"/>
      <c r="D104" s="32"/>
    </row>
    <row r="105" spans="1:4" ht="24" customHeight="1" x14ac:dyDescent="0.25">
      <c r="A105" t="str">
        <f>IF('e2'!A105&gt;0,HYPERLINK("#"&amp;ADDRESS(105,'e2'!A105),""),IF('r2'!A105&gt;0,HYPERLINK("#"&amp;ADDRESS(105,'r2'!A105),""),""))</f>
        <v/>
      </c>
      <c r="C105" s="31"/>
      <c r="D105" s="32"/>
    </row>
    <row r="106" spans="1:4" ht="24" customHeight="1" x14ac:dyDescent="0.25">
      <c r="A106" t="str">
        <f>IF('e2'!A106&gt;0,HYPERLINK("#"&amp;ADDRESS(106,'e2'!A106),""),IF('r2'!A106&gt;0,HYPERLINK("#"&amp;ADDRESS(106,'r2'!A106),""),""))</f>
        <v/>
      </c>
      <c r="C106" s="31"/>
      <c r="D106" s="32"/>
    </row>
    <row r="107" spans="1:4" ht="24" customHeight="1" x14ac:dyDescent="0.25">
      <c r="A107" t="str">
        <f>IF('e2'!A107&gt;0,HYPERLINK("#"&amp;ADDRESS(107,'e2'!A107),""),IF('r2'!A107&gt;0,HYPERLINK("#"&amp;ADDRESS(107,'r2'!A107),""),""))</f>
        <v/>
      </c>
      <c r="C107" s="31"/>
      <c r="D107" s="32"/>
    </row>
    <row r="108" spans="1:4" ht="24" customHeight="1" x14ac:dyDescent="0.25">
      <c r="A108" t="str">
        <f>IF('e2'!A108&gt;0,HYPERLINK("#"&amp;ADDRESS(108,'e2'!A108),""),IF('r2'!A108&gt;0,HYPERLINK("#"&amp;ADDRESS(108,'r2'!A108),""),""))</f>
        <v/>
      </c>
      <c r="C108" s="31"/>
      <c r="D108" s="32"/>
    </row>
    <row r="109" spans="1:4" ht="24" customHeight="1" x14ac:dyDescent="0.25">
      <c r="A109" t="str">
        <f>IF('e2'!A109&gt;0,HYPERLINK("#"&amp;ADDRESS(109,'e2'!A109),""),IF('r2'!A109&gt;0,HYPERLINK("#"&amp;ADDRESS(109,'r2'!A109),""),""))</f>
        <v/>
      </c>
      <c r="C109" s="31"/>
      <c r="D109" s="32"/>
    </row>
    <row r="110" spans="1:4" ht="24" customHeight="1" x14ac:dyDescent="0.25">
      <c r="A110" t="str">
        <f>IF('e2'!A110&gt;0,HYPERLINK("#"&amp;ADDRESS(110,'e2'!A110),""),IF('r2'!A110&gt;0,HYPERLINK("#"&amp;ADDRESS(110,'r2'!A110),""),""))</f>
        <v/>
      </c>
      <c r="C110" s="31"/>
      <c r="D110" s="32"/>
    </row>
    <row r="111" spans="1:4" ht="24" customHeight="1" x14ac:dyDescent="0.25">
      <c r="A111" t="str">
        <f>IF('e2'!A111&gt;0,HYPERLINK("#"&amp;ADDRESS(111,'e2'!A111),""),IF('r2'!A111&gt;0,HYPERLINK("#"&amp;ADDRESS(111,'r2'!A111),""),""))</f>
        <v/>
      </c>
      <c r="C111" s="31"/>
      <c r="D111" s="32"/>
    </row>
    <row r="112" spans="1:4" ht="24" customHeight="1" x14ac:dyDescent="0.25">
      <c r="A112" t="str">
        <f>IF('e2'!A112&gt;0,HYPERLINK("#"&amp;ADDRESS(112,'e2'!A112),""),IF('r2'!A112&gt;0,HYPERLINK("#"&amp;ADDRESS(112,'r2'!A112),""),""))</f>
        <v/>
      </c>
      <c r="C112" s="31"/>
      <c r="D112" s="32"/>
    </row>
    <row r="113" spans="1:4" ht="24" customHeight="1" x14ac:dyDescent="0.25">
      <c r="A113" t="str">
        <f>IF('e2'!A113&gt;0,HYPERLINK("#"&amp;ADDRESS(113,'e2'!A113),""),IF('r2'!A113&gt;0,HYPERLINK("#"&amp;ADDRESS(113,'r2'!A113),""),""))</f>
        <v/>
      </c>
      <c r="C113" s="31"/>
      <c r="D113" s="32"/>
    </row>
    <row r="114" spans="1:4" ht="24" customHeight="1" x14ac:dyDescent="0.25">
      <c r="A114" t="str">
        <f>IF('e2'!A114&gt;0,HYPERLINK("#"&amp;ADDRESS(114,'e2'!A114),""),IF('r2'!A114&gt;0,HYPERLINK("#"&amp;ADDRESS(114,'r2'!A114),""),""))</f>
        <v/>
      </c>
      <c r="C114" s="31"/>
      <c r="D114" s="32"/>
    </row>
    <row r="115" spans="1:4" ht="24" customHeight="1" x14ac:dyDescent="0.25">
      <c r="A115" t="str">
        <f>IF('e2'!A115&gt;0,HYPERLINK("#"&amp;ADDRESS(115,'e2'!A115),""),IF('r2'!A115&gt;0,HYPERLINK("#"&amp;ADDRESS(115,'r2'!A115),""),""))</f>
        <v/>
      </c>
      <c r="C115" s="31"/>
      <c r="D115" s="32"/>
    </row>
    <row r="116" spans="1:4" ht="24" customHeight="1" x14ac:dyDescent="0.25">
      <c r="A116" t="str">
        <f>IF('e2'!A116&gt;0,HYPERLINK("#"&amp;ADDRESS(116,'e2'!A116),""),IF('r2'!A116&gt;0,HYPERLINK("#"&amp;ADDRESS(116,'r2'!A116),""),""))</f>
        <v/>
      </c>
      <c r="C116" s="31"/>
      <c r="D116" s="32"/>
    </row>
    <row r="117" spans="1:4" ht="24" customHeight="1" x14ac:dyDescent="0.25">
      <c r="A117" t="str">
        <f>IF('e2'!A117&gt;0,HYPERLINK("#"&amp;ADDRESS(117,'e2'!A117),""),IF('r2'!A117&gt;0,HYPERLINK("#"&amp;ADDRESS(117,'r2'!A117),""),""))</f>
        <v/>
      </c>
      <c r="C117" s="31"/>
      <c r="D117" s="32"/>
    </row>
    <row r="118" spans="1:4" ht="24" customHeight="1" x14ac:dyDescent="0.25">
      <c r="A118" t="str">
        <f>IF('e2'!A118&gt;0,HYPERLINK("#"&amp;ADDRESS(118,'e2'!A118),""),IF('r2'!A118&gt;0,HYPERLINK("#"&amp;ADDRESS(118,'r2'!A118),""),""))</f>
        <v/>
      </c>
      <c r="C118" s="31"/>
      <c r="D118" s="32"/>
    </row>
    <row r="119" spans="1:4" ht="24" customHeight="1" x14ac:dyDescent="0.25">
      <c r="A119" t="str">
        <f>IF('e2'!A119&gt;0,HYPERLINK("#"&amp;ADDRESS(119,'e2'!A119),""),IF('r2'!A119&gt;0,HYPERLINK("#"&amp;ADDRESS(119,'r2'!A119),""),""))</f>
        <v/>
      </c>
      <c r="C119" s="31"/>
      <c r="D119" s="32"/>
    </row>
    <row r="120" spans="1:4" ht="24" customHeight="1" x14ac:dyDescent="0.25">
      <c r="A120" t="str">
        <f>IF('e2'!A120&gt;0,HYPERLINK("#"&amp;ADDRESS(120,'e2'!A120),""),IF('r2'!A120&gt;0,HYPERLINK("#"&amp;ADDRESS(120,'r2'!A120),""),""))</f>
        <v/>
      </c>
      <c r="C120" s="31"/>
      <c r="D120" s="32"/>
    </row>
    <row r="121" spans="1:4" ht="24" customHeight="1" x14ac:dyDescent="0.25">
      <c r="A121" t="str">
        <f>IF('e2'!A121&gt;0,HYPERLINK("#"&amp;ADDRESS(121,'e2'!A121),""),IF('r2'!A121&gt;0,HYPERLINK("#"&amp;ADDRESS(121,'r2'!A121),""),""))</f>
        <v/>
      </c>
      <c r="C121" s="31"/>
      <c r="D121" s="32"/>
    </row>
    <row r="122" spans="1:4" ht="24" customHeight="1" x14ac:dyDescent="0.25">
      <c r="A122" t="str">
        <f>IF('e2'!A122&gt;0,HYPERLINK("#"&amp;ADDRESS(122,'e2'!A122),""),IF('r2'!A122&gt;0,HYPERLINK("#"&amp;ADDRESS(122,'r2'!A122),""),""))</f>
        <v/>
      </c>
      <c r="C122" s="31"/>
      <c r="D122" s="32"/>
    </row>
    <row r="123" spans="1:4" ht="24" customHeight="1" x14ac:dyDescent="0.25">
      <c r="A123" t="str">
        <f>IF('e2'!A123&gt;0,HYPERLINK("#"&amp;ADDRESS(123,'e2'!A123),""),IF('r2'!A123&gt;0,HYPERLINK("#"&amp;ADDRESS(123,'r2'!A123),""),""))</f>
        <v/>
      </c>
      <c r="C123" s="31"/>
      <c r="D123" s="32"/>
    </row>
    <row r="124" spans="1:4" ht="24" customHeight="1" x14ac:dyDescent="0.25">
      <c r="A124" t="str">
        <f>IF('e2'!A124&gt;0,HYPERLINK("#"&amp;ADDRESS(124,'e2'!A124),""),IF('r2'!A124&gt;0,HYPERLINK("#"&amp;ADDRESS(124,'r2'!A124),""),""))</f>
        <v/>
      </c>
      <c r="C124" s="31"/>
      <c r="D124" s="32"/>
    </row>
    <row r="125" spans="1:4" ht="24" customHeight="1" x14ac:dyDescent="0.25">
      <c r="A125" t="str">
        <f>IF('e2'!A125&gt;0,HYPERLINK("#"&amp;ADDRESS(125,'e2'!A125),""),IF('r2'!A125&gt;0,HYPERLINK("#"&amp;ADDRESS(125,'r2'!A125),""),""))</f>
        <v/>
      </c>
      <c r="C125" s="31"/>
      <c r="D125" s="32"/>
    </row>
    <row r="126" spans="1:4" ht="24" customHeight="1" x14ac:dyDescent="0.25">
      <c r="A126" t="str">
        <f>IF('e2'!A126&gt;0,HYPERLINK("#"&amp;ADDRESS(126,'e2'!A126),""),IF('r2'!A126&gt;0,HYPERLINK("#"&amp;ADDRESS(126,'r2'!A126),""),""))</f>
        <v/>
      </c>
      <c r="C126" s="31"/>
      <c r="D126" s="32"/>
    </row>
    <row r="127" spans="1:4" ht="24" customHeight="1" x14ac:dyDescent="0.25">
      <c r="A127" t="str">
        <f>IF('e2'!A127&gt;0,HYPERLINK("#"&amp;ADDRESS(127,'e2'!A127),""),IF('r2'!A127&gt;0,HYPERLINK("#"&amp;ADDRESS(127,'r2'!A127),""),""))</f>
        <v/>
      </c>
      <c r="C127" s="31"/>
      <c r="D127" s="32"/>
    </row>
    <row r="128" spans="1:4" ht="24" customHeight="1" x14ac:dyDescent="0.25">
      <c r="A128" t="str">
        <f>IF('e2'!A128&gt;0,HYPERLINK("#"&amp;ADDRESS(128,'e2'!A128),""),IF('r2'!A128&gt;0,HYPERLINK("#"&amp;ADDRESS(128,'r2'!A128),""),""))</f>
        <v/>
      </c>
      <c r="C128" s="31"/>
      <c r="D128" s="32"/>
    </row>
    <row r="129" spans="1:4" ht="24" customHeight="1" x14ac:dyDescent="0.25">
      <c r="A129" t="str">
        <f>IF('e2'!A129&gt;0,HYPERLINK("#"&amp;ADDRESS(129,'e2'!A129),""),IF('r2'!A129&gt;0,HYPERLINK("#"&amp;ADDRESS(129,'r2'!A129),""),""))</f>
        <v/>
      </c>
      <c r="C129" s="31"/>
      <c r="D129" s="32"/>
    </row>
    <row r="130" spans="1:4" ht="24" customHeight="1" x14ac:dyDescent="0.25">
      <c r="A130" t="str">
        <f>IF('e2'!A130&gt;0,HYPERLINK("#"&amp;ADDRESS(130,'e2'!A130),""),IF('r2'!A130&gt;0,HYPERLINK("#"&amp;ADDRESS(130,'r2'!A130),""),""))</f>
        <v/>
      </c>
      <c r="C130" s="31"/>
      <c r="D130" s="32"/>
    </row>
    <row r="131" spans="1:4" ht="24" customHeight="1" x14ac:dyDescent="0.25">
      <c r="A131" t="str">
        <f>IF('e2'!A131&gt;0,HYPERLINK("#"&amp;ADDRESS(131,'e2'!A131),""),IF('r2'!A131&gt;0,HYPERLINK("#"&amp;ADDRESS(131,'r2'!A131),""),""))</f>
        <v/>
      </c>
      <c r="C131" s="31"/>
      <c r="D131" s="32"/>
    </row>
    <row r="132" spans="1:4" ht="24" customHeight="1" x14ac:dyDescent="0.25">
      <c r="A132" t="str">
        <f>IF('e2'!A132&gt;0,HYPERLINK("#"&amp;ADDRESS(132,'e2'!A132),""),IF('r2'!A132&gt;0,HYPERLINK("#"&amp;ADDRESS(132,'r2'!A132),""),""))</f>
        <v/>
      </c>
      <c r="C132" s="31"/>
      <c r="D132" s="32"/>
    </row>
    <row r="133" spans="1:4" ht="24" customHeight="1" x14ac:dyDescent="0.25">
      <c r="A133" t="str">
        <f>IF('e2'!A133&gt;0,HYPERLINK("#"&amp;ADDRESS(133,'e2'!A133),""),IF('r2'!A133&gt;0,HYPERLINK("#"&amp;ADDRESS(133,'r2'!A133),""),""))</f>
        <v/>
      </c>
      <c r="C133" s="31"/>
      <c r="D133" s="32"/>
    </row>
    <row r="134" spans="1:4" ht="24" customHeight="1" x14ac:dyDescent="0.25">
      <c r="A134" t="str">
        <f>IF('e2'!A134&gt;0,HYPERLINK("#"&amp;ADDRESS(134,'e2'!A134),""),IF('r2'!A134&gt;0,HYPERLINK("#"&amp;ADDRESS(134,'r2'!A134),""),""))</f>
        <v/>
      </c>
      <c r="C134" s="31"/>
      <c r="D134" s="32"/>
    </row>
    <row r="135" spans="1:4" ht="24" customHeight="1" x14ac:dyDescent="0.25">
      <c r="A135" t="str">
        <f>IF('e2'!A135&gt;0,HYPERLINK("#"&amp;ADDRESS(135,'e2'!A135),""),IF('r2'!A135&gt;0,HYPERLINK("#"&amp;ADDRESS(135,'r2'!A135),""),""))</f>
        <v/>
      </c>
      <c r="C135" s="31"/>
      <c r="D135" s="32"/>
    </row>
    <row r="136" spans="1:4" ht="24" customHeight="1" x14ac:dyDescent="0.25">
      <c r="A136" t="str">
        <f>IF('e2'!A136&gt;0,HYPERLINK("#"&amp;ADDRESS(136,'e2'!A136),""),IF('r2'!A136&gt;0,HYPERLINK("#"&amp;ADDRESS(136,'r2'!A136),""),""))</f>
        <v/>
      </c>
      <c r="C136" s="31"/>
      <c r="D136" s="32"/>
    </row>
    <row r="137" spans="1:4" ht="24" customHeight="1" x14ac:dyDescent="0.25">
      <c r="A137" t="str">
        <f>IF('e2'!A137&gt;0,HYPERLINK("#"&amp;ADDRESS(137,'e2'!A137),""),IF('r2'!A137&gt;0,HYPERLINK("#"&amp;ADDRESS(137,'r2'!A137),""),""))</f>
        <v/>
      </c>
      <c r="C137" s="31"/>
      <c r="D137" s="32"/>
    </row>
    <row r="138" spans="1:4" ht="24" customHeight="1" x14ac:dyDescent="0.25">
      <c r="A138" t="str">
        <f>IF('e2'!A138&gt;0,HYPERLINK("#"&amp;ADDRESS(138,'e2'!A138),""),IF('r2'!A138&gt;0,HYPERLINK("#"&amp;ADDRESS(138,'r2'!A138),""),""))</f>
        <v/>
      </c>
      <c r="C138" s="31"/>
      <c r="D138" s="32"/>
    </row>
    <row r="139" spans="1:4" ht="24" customHeight="1" x14ac:dyDescent="0.25">
      <c r="A139" t="str">
        <f>IF('e2'!A139&gt;0,HYPERLINK("#"&amp;ADDRESS(139,'e2'!A139),""),IF('r2'!A139&gt;0,HYPERLINK("#"&amp;ADDRESS(139,'r2'!A139),""),""))</f>
        <v/>
      </c>
      <c r="C139" s="31"/>
      <c r="D139" s="32"/>
    </row>
    <row r="140" spans="1:4" ht="24" customHeight="1" x14ac:dyDescent="0.25">
      <c r="A140" t="str">
        <f>IF('e2'!A140&gt;0,HYPERLINK("#"&amp;ADDRESS(140,'e2'!A140),""),IF('r2'!A140&gt;0,HYPERLINK("#"&amp;ADDRESS(140,'r2'!A140),""),""))</f>
        <v/>
      </c>
      <c r="C140" s="31"/>
      <c r="D140" s="32"/>
    </row>
    <row r="141" spans="1:4" ht="24" customHeight="1" x14ac:dyDescent="0.25">
      <c r="A141" t="str">
        <f>IF('e2'!A141&gt;0,HYPERLINK("#"&amp;ADDRESS(141,'e2'!A141),""),IF('r2'!A141&gt;0,HYPERLINK("#"&amp;ADDRESS(141,'r2'!A141),""),""))</f>
        <v/>
      </c>
      <c r="C141" s="31"/>
      <c r="D141" s="32"/>
    </row>
    <row r="142" spans="1:4" ht="24" customHeight="1" x14ac:dyDescent="0.25">
      <c r="A142" t="str">
        <f>IF('e2'!A142&gt;0,HYPERLINK("#"&amp;ADDRESS(142,'e2'!A142),""),IF('r2'!A142&gt;0,HYPERLINK("#"&amp;ADDRESS(142,'r2'!A142),""),""))</f>
        <v/>
      </c>
      <c r="C142" s="31"/>
      <c r="D142" s="32"/>
    </row>
    <row r="143" spans="1:4" ht="24" customHeight="1" x14ac:dyDescent="0.25">
      <c r="A143" t="str">
        <f>IF('e2'!A143&gt;0,HYPERLINK("#"&amp;ADDRESS(143,'e2'!A143),""),IF('r2'!A143&gt;0,HYPERLINK("#"&amp;ADDRESS(143,'r2'!A143),""),""))</f>
        <v/>
      </c>
      <c r="C143" s="31"/>
      <c r="D143" s="32"/>
    </row>
    <row r="144" spans="1:4" ht="24" customHeight="1" x14ac:dyDescent="0.25">
      <c r="A144" t="str">
        <f>IF('e2'!A144&gt;0,HYPERLINK("#"&amp;ADDRESS(144,'e2'!A144),""),IF('r2'!A144&gt;0,HYPERLINK("#"&amp;ADDRESS(144,'r2'!A144),""),""))</f>
        <v/>
      </c>
      <c r="C144" s="31"/>
      <c r="D144" s="32"/>
    </row>
    <row r="145" spans="1:4" ht="24" customHeight="1" x14ac:dyDescent="0.25">
      <c r="A145" t="str">
        <f>IF('e2'!A145&gt;0,HYPERLINK("#"&amp;ADDRESS(145,'e2'!A145),""),IF('r2'!A145&gt;0,HYPERLINK("#"&amp;ADDRESS(145,'r2'!A145),""),""))</f>
        <v/>
      </c>
      <c r="C145" s="31"/>
      <c r="D145" s="32"/>
    </row>
    <row r="146" spans="1:4" ht="24" customHeight="1" x14ac:dyDescent="0.25">
      <c r="A146" t="str">
        <f>IF('e2'!A146&gt;0,HYPERLINK("#"&amp;ADDRESS(146,'e2'!A146),""),IF('r2'!A146&gt;0,HYPERLINK("#"&amp;ADDRESS(146,'r2'!A146),""),""))</f>
        <v/>
      </c>
      <c r="C146" s="31"/>
      <c r="D146" s="32"/>
    </row>
    <row r="147" spans="1:4" ht="24" customHeight="1" x14ac:dyDescent="0.25">
      <c r="A147" t="str">
        <f>IF('e2'!A147&gt;0,HYPERLINK("#"&amp;ADDRESS(147,'e2'!A147),""),IF('r2'!A147&gt;0,HYPERLINK("#"&amp;ADDRESS(147,'r2'!A147),""),""))</f>
        <v/>
      </c>
      <c r="C147" s="31"/>
      <c r="D147" s="32"/>
    </row>
    <row r="148" spans="1:4" ht="24" customHeight="1" x14ac:dyDescent="0.25">
      <c r="A148" t="str">
        <f>IF('e2'!A148&gt;0,HYPERLINK("#"&amp;ADDRESS(148,'e2'!A148),""),IF('r2'!A148&gt;0,HYPERLINK("#"&amp;ADDRESS(148,'r2'!A148),""),""))</f>
        <v/>
      </c>
      <c r="C148" s="31"/>
      <c r="D148" s="32"/>
    </row>
    <row r="149" spans="1:4" ht="24" customHeight="1" x14ac:dyDescent="0.25">
      <c r="A149" t="str">
        <f>IF('e2'!A149&gt;0,HYPERLINK("#"&amp;ADDRESS(149,'e2'!A149),""),IF('r2'!A149&gt;0,HYPERLINK("#"&amp;ADDRESS(149,'r2'!A149),""),""))</f>
        <v/>
      </c>
      <c r="C149" s="31"/>
      <c r="D149" s="32"/>
    </row>
    <row r="150" spans="1:4" ht="24" customHeight="1" x14ac:dyDescent="0.25">
      <c r="A150" t="str">
        <f>IF('e2'!A150&gt;0,HYPERLINK("#"&amp;ADDRESS(150,'e2'!A150),""),IF('r2'!A150&gt;0,HYPERLINK("#"&amp;ADDRESS(150,'r2'!A150),""),""))</f>
        <v/>
      </c>
      <c r="C150" s="31"/>
      <c r="D150" s="32"/>
    </row>
    <row r="151" spans="1:4" ht="24" customHeight="1" x14ac:dyDescent="0.25">
      <c r="A151" t="str">
        <f>IF('e2'!A151&gt;0,HYPERLINK("#"&amp;ADDRESS(151,'e2'!A151),""),IF('r2'!A151&gt;0,HYPERLINK("#"&amp;ADDRESS(151,'r2'!A151),""),""))</f>
        <v/>
      </c>
      <c r="C151" s="31"/>
      <c r="D151" s="32"/>
    </row>
    <row r="152" spans="1:4" ht="24" customHeight="1" x14ac:dyDescent="0.25">
      <c r="A152" t="str">
        <f>IF('e2'!A152&gt;0,HYPERLINK("#"&amp;ADDRESS(152,'e2'!A152),""),IF('r2'!A152&gt;0,HYPERLINK("#"&amp;ADDRESS(152,'r2'!A152),""),""))</f>
        <v/>
      </c>
      <c r="C152" s="31"/>
      <c r="D152" s="32"/>
    </row>
    <row r="153" spans="1:4" ht="24" customHeight="1" x14ac:dyDescent="0.25">
      <c r="A153" t="str">
        <f>IF('e2'!A153&gt;0,HYPERLINK("#"&amp;ADDRESS(153,'e2'!A153),""),IF('r2'!A153&gt;0,HYPERLINK("#"&amp;ADDRESS(153,'r2'!A153),""),""))</f>
        <v/>
      </c>
      <c r="C153" s="31"/>
      <c r="D153" s="32"/>
    </row>
    <row r="154" spans="1:4" ht="24" customHeight="1" x14ac:dyDescent="0.25">
      <c r="A154" t="str">
        <f>IF('e2'!A154&gt;0,HYPERLINK("#"&amp;ADDRESS(154,'e2'!A154),""),IF('r2'!A154&gt;0,HYPERLINK("#"&amp;ADDRESS(154,'r2'!A154),""),""))</f>
        <v/>
      </c>
      <c r="C154" s="31"/>
      <c r="D154" s="32"/>
    </row>
    <row r="155" spans="1:4" ht="24" customHeight="1" x14ac:dyDescent="0.25">
      <c r="A155" t="str">
        <f>IF('e2'!A155&gt;0,HYPERLINK("#"&amp;ADDRESS(155,'e2'!A155),""),IF('r2'!A155&gt;0,HYPERLINK("#"&amp;ADDRESS(155,'r2'!A155),""),""))</f>
        <v/>
      </c>
      <c r="C155" s="31"/>
      <c r="D155" s="32"/>
    </row>
    <row r="156" spans="1:4" ht="24" customHeight="1" x14ac:dyDescent="0.25">
      <c r="A156" t="str">
        <f>IF('e2'!A156&gt;0,HYPERLINK("#"&amp;ADDRESS(156,'e2'!A156),""),IF('r2'!A156&gt;0,HYPERLINK("#"&amp;ADDRESS(156,'r2'!A156),""),""))</f>
        <v/>
      </c>
      <c r="C156" s="31"/>
      <c r="D156" s="32"/>
    </row>
    <row r="157" spans="1:4" ht="24" customHeight="1" x14ac:dyDescent="0.25">
      <c r="A157" t="str">
        <f>IF('e2'!A157&gt;0,HYPERLINK("#"&amp;ADDRESS(157,'e2'!A157),""),IF('r2'!A157&gt;0,HYPERLINK("#"&amp;ADDRESS(157,'r2'!A157),""),""))</f>
        <v/>
      </c>
      <c r="C157" s="31"/>
      <c r="D157" s="32"/>
    </row>
    <row r="158" spans="1:4" ht="24" customHeight="1" x14ac:dyDescent="0.25">
      <c r="A158" t="str">
        <f>IF('e2'!A158&gt;0,HYPERLINK("#"&amp;ADDRESS(158,'e2'!A158),""),IF('r2'!A158&gt;0,HYPERLINK("#"&amp;ADDRESS(158,'r2'!A158),""),""))</f>
        <v/>
      </c>
      <c r="C158" s="31"/>
      <c r="D158" s="32"/>
    </row>
    <row r="159" spans="1:4" ht="24" customHeight="1" x14ac:dyDescent="0.25">
      <c r="A159" t="str">
        <f>IF('e2'!A159&gt;0,HYPERLINK("#"&amp;ADDRESS(159,'e2'!A159),""),IF('r2'!A159&gt;0,HYPERLINK("#"&amp;ADDRESS(159,'r2'!A159),""),""))</f>
        <v/>
      </c>
      <c r="C159" s="31"/>
      <c r="D159" s="32"/>
    </row>
    <row r="160" spans="1:4" ht="24" customHeight="1" x14ac:dyDescent="0.25">
      <c r="A160" t="str">
        <f>IF('e2'!A160&gt;0,HYPERLINK("#"&amp;ADDRESS(160,'e2'!A160),""),IF('r2'!A160&gt;0,HYPERLINK("#"&amp;ADDRESS(160,'r2'!A160),""),""))</f>
        <v/>
      </c>
      <c r="C160" s="31"/>
      <c r="D160" s="32"/>
    </row>
    <row r="161" spans="1:4" ht="24" customHeight="1" x14ac:dyDescent="0.25">
      <c r="A161" t="str">
        <f>IF('e2'!A161&gt;0,HYPERLINK("#"&amp;ADDRESS(161,'e2'!A161),""),IF('r2'!A161&gt;0,HYPERLINK("#"&amp;ADDRESS(161,'r2'!A161),""),""))</f>
        <v/>
      </c>
      <c r="C161" s="31"/>
      <c r="D161" s="32"/>
    </row>
    <row r="162" spans="1:4" ht="24" customHeight="1" x14ac:dyDescent="0.25">
      <c r="A162" t="str">
        <f>IF('e2'!A162&gt;0,HYPERLINK("#"&amp;ADDRESS(162,'e2'!A162),""),IF('r2'!A162&gt;0,HYPERLINK("#"&amp;ADDRESS(162,'r2'!A162),""),""))</f>
        <v/>
      </c>
      <c r="C162" s="31"/>
      <c r="D162" s="32"/>
    </row>
    <row r="163" spans="1:4" ht="24" customHeight="1" x14ac:dyDescent="0.25">
      <c r="A163" t="str">
        <f>IF('e2'!A163&gt;0,HYPERLINK("#"&amp;ADDRESS(163,'e2'!A163),""),IF('r2'!A163&gt;0,HYPERLINK("#"&amp;ADDRESS(163,'r2'!A163),""),""))</f>
        <v/>
      </c>
      <c r="C163" s="31"/>
      <c r="D163" s="32"/>
    </row>
    <row r="164" spans="1:4" ht="24" customHeight="1" x14ac:dyDescent="0.25">
      <c r="A164" t="str">
        <f>IF('e2'!A164&gt;0,HYPERLINK("#"&amp;ADDRESS(164,'e2'!A164),""),IF('r2'!A164&gt;0,HYPERLINK("#"&amp;ADDRESS(164,'r2'!A164),""),""))</f>
        <v/>
      </c>
      <c r="C164" s="31"/>
      <c r="D164" s="32"/>
    </row>
    <row r="165" spans="1:4" ht="24" customHeight="1" x14ac:dyDescent="0.25">
      <c r="A165" t="str">
        <f>IF('e2'!A165&gt;0,HYPERLINK("#"&amp;ADDRESS(165,'e2'!A165),""),IF('r2'!A165&gt;0,HYPERLINK("#"&amp;ADDRESS(165,'r2'!A165),""),""))</f>
        <v/>
      </c>
      <c r="C165" s="31"/>
      <c r="D165" s="32"/>
    </row>
    <row r="166" spans="1:4" ht="24" customHeight="1" x14ac:dyDescent="0.25">
      <c r="A166" t="str">
        <f>IF('e2'!A166&gt;0,HYPERLINK("#"&amp;ADDRESS(166,'e2'!A166),""),IF('r2'!A166&gt;0,HYPERLINK("#"&amp;ADDRESS(166,'r2'!A166),""),""))</f>
        <v/>
      </c>
      <c r="C166" s="31"/>
      <c r="D166" s="32"/>
    </row>
    <row r="167" spans="1:4" ht="24" customHeight="1" x14ac:dyDescent="0.25">
      <c r="A167" t="str">
        <f>IF('e2'!A167&gt;0,HYPERLINK("#"&amp;ADDRESS(167,'e2'!A167),""),IF('r2'!A167&gt;0,HYPERLINK("#"&amp;ADDRESS(167,'r2'!A167),""),""))</f>
        <v/>
      </c>
      <c r="C167" s="31"/>
      <c r="D167" s="32"/>
    </row>
    <row r="168" spans="1:4" ht="24" customHeight="1" x14ac:dyDescent="0.25">
      <c r="A168" t="str">
        <f>IF('e2'!A168&gt;0,HYPERLINK("#"&amp;ADDRESS(168,'e2'!A168),""),IF('r2'!A168&gt;0,HYPERLINK("#"&amp;ADDRESS(168,'r2'!A168),""),""))</f>
        <v/>
      </c>
      <c r="C168" s="31"/>
      <c r="D168" s="32"/>
    </row>
    <row r="169" spans="1:4" ht="24" customHeight="1" x14ac:dyDescent="0.25">
      <c r="A169" t="str">
        <f>IF('e2'!A169&gt;0,HYPERLINK("#"&amp;ADDRESS(169,'e2'!A169),""),IF('r2'!A169&gt;0,HYPERLINK("#"&amp;ADDRESS(169,'r2'!A169),""),""))</f>
        <v/>
      </c>
      <c r="C169" s="31"/>
      <c r="D169" s="32"/>
    </row>
    <row r="170" spans="1:4" ht="24" customHeight="1" x14ac:dyDescent="0.25">
      <c r="A170" t="str">
        <f>IF('e2'!A170&gt;0,HYPERLINK("#"&amp;ADDRESS(170,'e2'!A170),""),IF('r2'!A170&gt;0,HYPERLINK("#"&amp;ADDRESS(170,'r2'!A170),""),""))</f>
        <v/>
      </c>
      <c r="C170" s="31"/>
      <c r="D170" s="32"/>
    </row>
    <row r="171" spans="1:4" ht="24" customHeight="1" x14ac:dyDescent="0.25">
      <c r="A171" t="str">
        <f>IF('e2'!A171&gt;0,HYPERLINK("#"&amp;ADDRESS(171,'e2'!A171),""),IF('r2'!A171&gt;0,HYPERLINK("#"&amp;ADDRESS(171,'r2'!A171),""),""))</f>
        <v/>
      </c>
      <c r="C171" s="31"/>
      <c r="D171" s="32"/>
    </row>
    <row r="172" spans="1:4" ht="24" customHeight="1" x14ac:dyDescent="0.25">
      <c r="A172" t="str">
        <f>IF('e2'!A172&gt;0,HYPERLINK("#"&amp;ADDRESS(172,'e2'!A172),""),IF('r2'!A172&gt;0,HYPERLINK("#"&amp;ADDRESS(172,'r2'!A172),""),""))</f>
        <v/>
      </c>
      <c r="C172" s="31"/>
      <c r="D172" s="32"/>
    </row>
    <row r="173" spans="1:4" ht="24" customHeight="1" x14ac:dyDescent="0.25">
      <c r="A173" t="str">
        <f>IF('e2'!A173&gt;0,HYPERLINK("#"&amp;ADDRESS(173,'e2'!A173),""),IF('r2'!A173&gt;0,HYPERLINK("#"&amp;ADDRESS(173,'r2'!A173),""),""))</f>
        <v/>
      </c>
      <c r="C173" s="31"/>
      <c r="D173" s="32"/>
    </row>
    <row r="174" spans="1:4" ht="24" customHeight="1" x14ac:dyDescent="0.25">
      <c r="A174" t="str">
        <f>IF('e2'!A174&gt;0,HYPERLINK("#"&amp;ADDRESS(174,'e2'!A174),""),IF('r2'!A174&gt;0,HYPERLINK("#"&amp;ADDRESS(174,'r2'!A174),""),""))</f>
        <v/>
      </c>
      <c r="C174" s="31"/>
      <c r="D174" s="32"/>
    </row>
    <row r="175" spans="1:4" ht="24" customHeight="1" x14ac:dyDescent="0.25">
      <c r="A175" t="str">
        <f>IF('e2'!A175&gt;0,HYPERLINK("#"&amp;ADDRESS(175,'e2'!A175),""),IF('r2'!A175&gt;0,HYPERLINK("#"&amp;ADDRESS(175,'r2'!A175),""),""))</f>
        <v/>
      </c>
      <c r="C175" s="31"/>
      <c r="D175" s="32"/>
    </row>
    <row r="176" spans="1:4" ht="24" customHeight="1" x14ac:dyDescent="0.25">
      <c r="A176" t="str">
        <f>IF('e2'!A176&gt;0,HYPERLINK("#"&amp;ADDRESS(176,'e2'!A176),""),IF('r2'!A176&gt;0,HYPERLINK("#"&amp;ADDRESS(176,'r2'!A176),""),""))</f>
        <v/>
      </c>
      <c r="C176" s="31"/>
      <c r="D176" s="32"/>
    </row>
    <row r="177" spans="1:4" ht="24" customHeight="1" x14ac:dyDescent="0.25">
      <c r="A177" t="str">
        <f>IF('e2'!A177&gt;0,HYPERLINK("#"&amp;ADDRESS(177,'e2'!A177),""),IF('r2'!A177&gt;0,HYPERLINK("#"&amp;ADDRESS(177,'r2'!A177),""),""))</f>
        <v/>
      </c>
      <c r="C177" s="31"/>
      <c r="D177" s="32"/>
    </row>
    <row r="178" spans="1:4" ht="24" customHeight="1" x14ac:dyDescent="0.25">
      <c r="A178" t="str">
        <f>IF('e2'!A178&gt;0,HYPERLINK("#"&amp;ADDRESS(178,'e2'!A178),""),IF('r2'!A178&gt;0,HYPERLINK("#"&amp;ADDRESS(178,'r2'!A178),""),""))</f>
        <v/>
      </c>
      <c r="C178" s="31"/>
      <c r="D178" s="32"/>
    </row>
    <row r="179" spans="1:4" ht="24" customHeight="1" x14ac:dyDescent="0.25">
      <c r="A179" t="str">
        <f>IF('e2'!A179&gt;0,HYPERLINK("#"&amp;ADDRESS(179,'e2'!A179),""),IF('r2'!A179&gt;0,HYPERLINK("#"&amp;ADDRESS(179,'r2'!A179),""),""))</f>
        <v/>
      </c>
      <c r="C179" s="31"/>
      <c r="D179" s="32"/>
    </row>
    <row r="180" spans="1:4" ht="24" customHeight="1" x14ac:dyDescent="0.25">
      <c r="A180" t="str">
        <f>IF('e2'!A180&gt;0,HYPERLINK("#"&amp;ADDRESS(180,'e2'!A180),""),IF('r2'!A180&gt;0,HYPERLINK("#"&amp;ADDRESS(180,'r2'!A180),""),""))</f>
        <v/>
      </c>
      <c r="C180" s="31"/>
      <c r="D180" s="32"/>
    </row>
    <row r="181" spans="1:4" ht="24" customHeight="1" x14ac:dyDescent="0.25">
      <c r="A181" t="str">
        <f>IF('e2'!A181&gt;0,HYPERLINK("#"&amp;ADDRESS(181,'e2'!A181),""),IF('r2'!A181&gt;0,HYPERLINK("#"&amp;ADDRESS(181,'r2'!A181),""),""))</f>
        <v/>
      </c>
      <c r="C181" s="31"/>
      <c r="D181" s="32"/>
    </row>
    <row r="182" spans="1:4" ht="24" customHeight="1" x14ac:dyDescent="0.25">
      <c r="A182" t="str">
        <f>IF('e2'!A182&gt;0,HYPERLINK("#"&amp;ADDRESS(182,'e2'!A182),""),IF('r2'!A182&gt;0,HYPERLINK("#"&amp;ADDRESS(182,'r2'!A182),""),""))</f>
        <v/>
      </c>
      <c r="C182" s="31"/>
      <c r="D182" s="32"/>
    </row>
    <row r="183" spans="1:4" ht="24" customHeight="1" x14ac:dyDescent="0.25">
      <c r="A183" t="str">
        <f>IF('e2'!A183&gt;0,HYPERLINK("#"&amp;ADDRESS(183,'e2'!A183),""),IF('r2'!A183&gt;0,HYPERLINK("#"&amp;ADDRESS(183,'r2'!A183),""),""))</f>
        <v/>
      </c>
      <c r="C183" s="31"/>
      <c r="D183" s="32"/>
    </row>
    <row r="184" spans="1:4" ht="24" customHeight="1" x14ac:dyDescent="0.25">
      <c r="A184" t="str">
        <f>IF('e2'!A184&gt;0,HYPERLINK("#"&amp;ADDRESS(184,'e2'!A184),""),IF('r2'!A184&gt;0,HYPERLINK("#"&amp;ADDRESS(184,'r2'!A184),""),""))</f>
        <v/>
      </c>
      <c r="C184" s="31"/>
      <c r="D184" s="32"/>
    </row>
    <row r="185" spans="1:4" ht="24" customHeight="1" x14ac:dyDescent="0.25">
      <c r="A185" t="str">
        <f>IF('e2'!A185&gt;0,HYPERLINK("#"&amp;ADDRESS(185,'e2'!A185),""),IF('r2'!A185&gt;0,HYPERLINK("#"&amp;ADDRESS(185,'r2'!A185),""),""))</f>
        <v/>
      </c>
      <c r="C185" s="31"/>
      <c r="D185" s="32"/>
    </row>
    <row r="186" spans="1:4" ht="24" customHeight="1" x14ac:dyDescent="0.25">
      <c r="A186" t="str">
        <f>IF('e2'!A186&gt;0,HYPERLINK("#"&amp;ADDRESS(186,'e2'!A186),""),IF('r2'!A186&gt;0,HYPERLINK("#"&amp;ADDRESS(186,'r2'!A186),""),""))</f>
        <v/>
      </c>
      <c r="C186" s="31"/>
      <c r="D186" s="32"/>
    </row>
    <row r="187" spans="1:4" ht="24" customHeight="1" x14ac:dyDescent="0.25">
      <c r="A187" t="str">
        <f>IF('e2'!A187&gt;0,HYPERLINK("#"&amp;ADDRESS(187,'e2'!A187),""),IF('r2'!A187&gt;0,HYPERLINK("#"&amp;ADDRESS(187,'r2'!A187),""),""))</f>
        <v/>
      </c>
      <c r="C187" s="31"/>
      <c r="D187" s="32"/>
    </row>
    <row r="188" spans="1:4" ht="24" customHeight="1" x14ac:dyDescent="0.25">
      <c r="A188" t="str">
        <f>IF('e2'!A188&gt;0,HYPERLINK("#"&amp;ADDRESS(188,'e2'!A188),""),IF('r2'!A188&gt;0,HYPERLINK("#"&amp;ADDRESS(188,'r2'!A188),""),""))</f>
        <v/>
      </c>
      <c r="C188" s="31"/>
      <c r="D188" s="32"/>
    </row>
    <row r="189" spans="1:4" ht="24" customHeight="1" x14ac:dyDescent="0.25">
      <c r="A189" t="str">
        <f>IF('e2'!A189&gt;0,HYPERLINK("#"&amp;ADDRESS(189,'e2'!A189),""),IF('r2'!A189&gt;0,HYPERLINK("#"&amp;ADDRESS(189,'r2'!A189),""),""))</f>
        <v/>
      </c>
      <c r="C189" s="31"/>
      <c r="D189" s="32"/>
    </row>
    <row r="190" spans="1:4" ht="24" customHeight="1" x14ac:dyDescent="0.25">
      <c r="A190" t="str">
        <f>IF('e2'!A190&gt;0,HYPERLINK("#"&amp;ADDRESS(190,'e2'!A190),""),IF('r2'!A190&gt;0,HYPERLINK("#"&amp;ADDRESS(190,'r2'!A190),""),""))</f>
        <v/>
      </c>
      <c r="C190" s="31"/>
      <c r="D190" s="32"/>
    </row>
    <row r="191" spans="1:4" ht="24" customHeight="1" x14ac:dyDescent="0.25">
      <c r="A191" t="str">
        <f>IF('e2'!A191&gt;0,HYPERLINK("#"&amp;ADDRESS(191,'e2'!A191),""),IF('r2'!A191&gt;0,HYPERLINK("#"&amp;ADDRESS(191,'r2'!A191),""),""))</f>
        <v/>
      </c>
      <c r="C191" s="31"/>
      <c r="D191" s="32"/>
    </row>
    <row r="192" spans="1:4" ht="24" customHeight="1" x14ac:dyDescent="0.25">
      <c r="A192" t="str">
        <f>IF('e2'!A192&gt;0,HYPERLINK("#"&amp;ADDRESS(192,'e2'!A192),""),IF('r2'!A192&gt;0,HYPERLINK("#"&amp;ADDRESS(192,'r2'!A192),""),""))</f>
        <v/>
      </c>
      <c r="C192" s="31"/>
      <c r="D192" s="32"/>
    </row>
    <row r="193" spans="1:4" ht="24" customHeight="1" x14ac:dyDescent="0.25">
      <c r="A193" t="str">
        <f>IF('e2'!A193&gt;0,HYPERLINK("#"&amp;ADDRESS(193,'e2'!A193),""),IF('r2'!A193&gt;0,HYPERLINK("#"&amp;ADDRESS(193,'r2'!A193),""),""))</f>
        <v/>
      </c>
      <c r="C193" s="31"/>
      <c r="D193" s="32"/>
    </row>
    <row r="194" spans="1:4" ht="24" customHeight="1" x14ac:dyDescent="0.25">
      <c r="A194" t="str">
        <f>IF('e2'!A194&gt;0,HYPERLINK("#"&amp;ADDRESS(194,'e2'!A194),""),IF('r2'!A194&gt;0,HYPERLINK("#"&amp;ADDRESS(194,'r2'!A194),""),""))</f>
        <v/>
      </c>
      <c r="C194" s="31"/>
      <c r="D194" s="32"/>
    </row>
    <row r="195" spans="1:4" ht="24" customHeight="1" x14ac:dyDescent="0.25">
      <c r="A195" t="str">
        <f>IF('e2'!A195&gt;0,HYPERLINK("#"&amp;ADDRESS(195,'e2'!A195),""),IF('r2'!A195&gt;0,HYPERLINK("#"&amp;ADDRESS(195,'r2'!A195),""),""))</f>
        <v/>
      </c>
      <c r="C195" s="31"/>
      <c r="D195" s="32"/>
    </row>
    <row r="196" spans="1:4" ht="24" customHeight="1" x14ac:dyDescent="0.25">
      <c r="A196" t="str">
        <f>IF('e2'!A196&gt;0,HYPERLINK("#"&amp;ADDRESS(196,'e2'!A196),""),IF('r2'!A196&gt;0,HYPERLINK("#"&amp;ADDRESS(196,'r2'!A196),""),""))</f>
        <v/>
      </c>
      <c r="C196" s="31"/>
      <c r="D196" s="32"/>
    </row>
    <row r="197" spans="1:4" ht="24" customHeight="1" x14ac:dyDescent="0.25">
      <c r="A197" t="str">
        <f>IF('e2'!A197&gt;0,HYPERLINK("#"&amp;ADDRESS(197,'e2'!A197),""),IF('r2'!A197&gt;0,HYPERLINK("#"&amp;ADDRESS(197,'r2'!A197),""),""))</f>
        <v/>
      </c>
      <c r="C197" s="31"/>
      <c r="D197" s="32"/>
    </row>
    <row r="198" spans="1:4" ht="24" customHeight="1" x14ac:dyDescent="0.25">
      <c r="A198" t="str">
        <f>IF('e2'!A198&gt;0,HYPERLINK("#"&amp;ADDRESS(198,'e2'!A198),""),IF('r2'!A198&gt;0,HYPERLINK("#"&amp;ADDRESS(198,'r2'!A198),""),""))</f>
        <v/>
      </c>
      <c r="C198" s="31"/>
      <c r="D198" s="32"/>
    </row>
    <row r="199" spans="1:4" ht="24" customHeight="1" x14ac:dyDescent="0.25">
      <c r="A199" t="str">
        <f>IF('e2'!A199&gt;0,HYPERLINK("#"&amp;ADDRESS(199,'e2'!A199),""),IF('r2'!A199&gt;0,HYPERLINK("#"&amp;ADDRESS(199,'r2'!A199),""),""))</f>
        <v/>
      </c>
      <c r="C199" s="31"/>
      <c r="D199" s="32"/>
    </row>
    <row r="200" spans="1:4" ht="24" customHeight="1" x14ac:dyDescent="0.25">
      <c r="A200" t="str">
        <f>IF('e2'!A200&gt;0,HYPERLINK("#"&amp;ADDRESS(200,'e2'!A200),""),IF('r2'!A200&gt;0,HYPERLINK("#"&amp;ADDRESS(200,'r2'!A200),""),""))</f>
        <v/>
      </c>
      <c r="C200" s="31"/>
      <c r="D200" s="32"/>
    </row>
    <row r="201" spans="1:4" ht="24" customHeight="1" x14ac:dyDescent="0.25">
      <c r="A201" t="str">
        <f>IF('e2'!A201&gt;0,HYPERLINK("#"&amp;ADDRESS(201,'e2'!A201),""),IF('r2'!A201&gt;0,HYPERLINK("#"&amp;ADDRESS(201,'r2'!A201),""),""))</f>
        <v/>
      </c>
      <c r="C201" s="31"/>
      <c r="D201" s="32"/>
    </row>
    <row r="202" spans="1:4" ht="24" customHeight="1" x14ac:dyDescent="0.25">
      <c r="A202" t="str">
        <f>IF('e2'!A202&gt;0,HYPERLINK("#"&amp;ADDRESS(202,'e2'!A202),""),IF('r2'!A202&gt;0,HYPERLINK("#"&amp;ADDRESS(202,'r2'!A202),""),""))</f>
        <v/>
      </c>
      <c r="C202" s="31"/>
      <c r="D202" s="32"/>
    </row>
    <row r="203" spans="1:4" ht="24" customHeight="1" x14ac:dyDescent="0.25">
      <c r="A203" t="str">
        <f>IF('e2'!A203&gt;0,HYPERLINK("#"&amp;ADDRESS(203,'e2'!A203),""),IF('r2'!A203&gt;0,HYPERLINK("#"&amp;ADDRESS(203,'r2'!A203),""),""))</f>
        <v/>
      </c>
      <c r="C203" s="31"/>
      <c r="D203" s="32"/>
    </row>
    <row r="204" spans="1:4" ht="24" customHeight="1" x14ac:dyDescent="0.25">
      <c r="A204" t="str">
        <f>IF('e2'!A204&gt;0,HYPERLINK("#"&amp;ADDRESS(204,'e2'!A204),""),IF('r2'!A204&gt;0,HYPERLINK("#"&amp;ADDRESS(204,'r2'!A204),""),""))</f>
        <v/>
      </c>
      <c r="C204" s="31"/>
      <c r="D204" s="32"/>
    </row>
    <row r="205" spans="1:4" ht="24" customHeight="1" x14ac:dyDescent="0.25">
      <c r="A205" t="str">
        <f>IF('e2'!A205&gt;0,HYPERLINK("#"&amp;ADDRESS(205,'e2'!A205),""),IF('r2'!A205&gt;0,HYPERLINK("#"&amp;ADDRESS(205,'r2'!A205),""),""))</f>
        <v/>
      </c>
      <c r="C205" s="31"/>
      <c r="D205" s="32"/>
    </row>
    <row r="206" spans="1:4" ht="24" customHeight="1" x14ac:dyDescent="0.25">
      <c r="A206" t="str">
        <f>IF('e2'!A206&gt;0,HYPERLINK("#"&amp;ADDRESS(206,'e2'!A206),""),IF('r2'!A206&gt;0,HYPERLINK("#"&amp;ADDRESS(206,'r2'!A206),""),""))</f>
        <v/>
      </c>
      <c r="C206" s="31"/>
      <c r="D206" s="32"/>
    </row>
    <row r="207" spans="1:4" ht="24" customHeight="1" x14ac:dyDescent="0.25">
      <c r="A207" t="str">
        <f>IF('e2'!A207&gt;0,HYPERLINK("#"&amp;ADDRESS(207,'e2'!A207),""),IF('r2'!A207&gt;0,HYPERLINK("#"&amp;ADDRESS(207,'r2'!A207),""),""))</f>
        <v/>
      </c>
      <c r="C207" s="31"/>
      <c r="D207" s="32"/>
    </row>
    <row r="208" spans="1:4" ht="24" customHeight="1" x14ac:dyDescent="0.25">
      <c r="A208" t="str">
        <f>IF('e2'!A208&gt;0,HYPERLINK("#"&amp;ADDRESS(208,'e2'!A208),""),IF('r2'!A208&gt;0,HYPERLINK("#"&amp;ADDRESS(208,'r2'!A208),""),""))</f>
        <v/>
      </c>
      <c r="C208" s="31"/>
      <c r="D208" s="32"/>
    </row>
    <row r="209" spans="1:4" ht="24" customHeight="1" x14ac:dyDescent="0.25">
      <c r="A209" t="str">
        <f>IF('e2'!A209&gt;0,HYPERLINK("#"&amp;ADDRESS(209,'e2'!A209),""),IF('r2'!A209&gt;0,HYPERLINK("#"&amp;ADDRESS(209,'r2'!A209),""),""))</f>
        <v/>
      </c>
      <c r="C209" s="31"/>
      <c r="D209" s="32"/>
    </row>
    <row r="210" spans="1:4" ht="24" customHeight="1" x14ac:dyDescent="0.25">
      <c r="A210" t="str">
        <f>IF('e2'!A210&gt;0,HYPERLINK("#"&amp;ADDRESS(210,'e2'!A210),""),IF('r2'!A210&gt;0,HYPERLINK("#"&amp;ADDRESS(210,'r2'!A210),""),""))</f>
        <v/>
      </c>
      <c r="C210" s="31"/>
      <c r="D210" s="32"/>
    </row>
    <row r="211" spans="1:4" ht="24" customHeight="1" x14ac:dyDescent="0.25">
      <c r="A211" t="str">
        <f>IF('e2'!A211&gt;0,HYPERLINK("#"&amp;ADDRESS(211,'e2'!A211),""),IF('r2'!A211&gt;0,HYPERLINK("#"&amp;ADDRESS(211,'r2'!A211),""),""))</f>
        <v/>
      </c>
      <c r="C211" s="31"/>
      <c r="D211" s="32"/>
    </row>
    <row r="212" spans="1:4" ht="24" customHeight="1" x14ac:dyDescent="0.25">
      <c r="A212" t="str">
        <f>IF('e2'!A212&gt;0,HYPERLINK("#"&amp;ADDRESS(212,'e2'!A212),""),IF('r2'!A212&gt;0,HYPERLINK("#"&amp;ADDRESS(212,'r2'!A212),""),""))</f>
        <v/>
      </c>
      <c r="C212" s="31"/>
      <c r="D212" s="32"/>
    </row>
    <row r="213" spans="1:4" ht="24" customHeight="1" x14ac:dyDescent="0.25">
      <c r="A213" t="str">
        <f>IF('e2'!A213&gt;0,HYPERLINK("#"&amp;ADDRESS(213,'e2'!A213),""),IF('r2'!A213&gt;0,HYPERLINK("#"&amp;ADDRESS(213,'r2'!A213),""),""))</f>
        <v/>
      </c>
      <c r="C213" s="31"/>
      <c r="D213" s="32"/>
    </row>
    <row r="214" spans="1:4" ht="24" customHeight="1" x14ac:dyDescent="0.25">
      <c r="A214" t="str">
        <f>IF('e2'!A214&gt;0,HYPERLINK("#"&amp;ADDRESS(214,'e2'!A214),""),IF('r2'!A214&gt;0,HYPERLINK("#"&amp;ADDRESS(214,'r2'!A214),""),""))</f>
        <v/>
      </c>
      <c r="C214" s="31"/>
      <c r="D214" s="32"/>
    </row>
    <row r="215" spans="1:4" ht="24" customHeight="1" x14ac:dyDescent="0.25">
      <c r="A215" t="str">
        <f>IF('e2'!A215&gt;0,HYPERLINK("#"&amp;ADDRESS(215,'e2'!A215),""),IF('r2'!A215&gt;0,HYPERLINK("#"&amp;ADDRESS(215,'r2'!A215),""),""))</f>
        <v/>
      </c>
      <c r="C215" s="31"/>
      <c r="D215" s="32"/>
    </row>
    <row r="216" spans="1:4" ht="24" customHeight="1" x14ac:dyDescent="0.25">
      <c r="A216" t="str">
        <f>IF('e2'!A216&gt;0,HYPERLINK("#"&amp;ADDRESS(216,'e2'!A216),""),IF('r2'!A216&gt;0,HYPERLINK("#"&amp;ADDRESS(216,'r2'!A216),""),""))</f>
        <v/>
      </c>
      <c r="C216" s="31"/>
      <c r="D216" s="32"/>
    </row>
    <row r="217" spans="1:4" ht="24" customHeight="1" x14ac:dyDescent="0.25">
      <c r="A217" t="str">
        <f>IF('e2'!A217&gt;0,HYPERLINK("#"&amp;ADDRESS(217,'e2'!A217),""),IF('r2'!A217&gt;0,HYPERLINK("#"&amp;ADDRESS(217,'r2'!A217),""),""))</f>
        <v/>
      </c>
      <c r="C217" s="31"/>
      <c r="D217" s="32"/>
    </row>
    <row r="218" spans="1:4" ht="24" customHeight="1" x14ac:dyDescent="0.25">
      <c r="A218" t="str">
        <f>IF('e2'!A218&gt;0,HYPERLINK("#"&amp;ADDRESS(218,'e2'!A218),""),IF('r2'!A218&gt;0,HYPERLINK("#"&amp;ADDRESS(218,'r2'!A218),""),""))</f>
        <v/>
      </c>
      <c r="C218" s="31"/>
      <c r="D218" s="32"/>
    </row>
    <row r="219" spans="1:4" ht="24" customHeight="1" x14ac:dyDescent="0.25">
      <c r="A219" t="str">
        <f>IF('e2'!A219&gt;0,HYPERLINK("#"&amp;ADDRESS(219,'e2'!A219),""),IF('r2'!A219&gt;0,HYPERLINK("#"&amp;ADDRESS(219,'r2'!A219),""),""))</f>
        <v/>
      </c>
      <c r="C219" s="31"/>
      <c r="D219" s="32"/>
    </row>
    <row r="220" spans="1:4" ht="24" customHeight="1" x14ac:dyDescent="0.25">
      <c r="A220" t="str">
        <f>IF('e2'!A220&gt;0,HYPERLINK("#"&amp;ADDRESS(220,'e2'!A220),""),IF('r2'!A220&gt;0,HYPERLINK("#"&amp;ADDRESS(220,'r2'!A220),""),""))</f>
        <v/>
      </c>
      <c r="C220" s="31"/>
      <c r="D220" s="32"/>
    </row>
    <row r="221" spans="1:4" ht="24" customHeight="1" x14ac:dyDescent="0.25">
      <c r="A221" t="str">
        <f>IF('e2'!A221&gt;0,HYPERLINK("#"&amp;ADDRESS(221,'e2'!A221),""),IF('r2'!A221&gt;0,HYPERLINK("#"&amp;ADDRESS(221,'r2'!A221),""),""))</f>
        <v/>
      </c>
      <c r="C221" s="31"/>
      <c r="D221" s="32"/>
    </row>
    <row r="222" spans="1:4" ht="24" customHeight="1" x14ac:dyDescent="0.25">
      <c r="A222" t="str">
        <f>IF('e2'!A222&gt;0,HYPERLINK("#"&amp;ADDRESS(222,'e2'!A222),""),IF('r2'!A222&gt;0,HYPERLINK("#"&amp;ADDRESS(222,'r2'!A222),""),""))</f>
        <v/>
      </c>
      <c r="C222" s="31"/>
      <c r="D222" s="32"/>
    </row>
    <row r="223" spans="1:4" ht="24" customHeight="1" x14ac:dyDescent="0.25">
      <c r="A223" t="str">
        <f>IF('e2'!A223&gt;0,HYPERLINK("#"&amp;ADDRESS(223,'e2'!A223),""),IF('r2'!A223&gt;0,HYPERLINK("#"&amp;ADDRESS(223,'r2'!A223),""),""))</f>
        <v/>
      </c>
      <c r="C223" s="31"/>
      <c r="D223" s="32"/>
    </row>
    <row r="224" spans="1:4" ht="24" customHeight="1" x14ac:dyDescent="0.25">
      <c r="A224" t="str">
        <f>IF('e2'!A224&gt;0,HYPERLINK("#"&amp;ADDRESS(224,'e2'!A224),""),IF('r2'!A224&gt;0,HYPERLINK("#"&amp;ADDRESS(224,'r2'!A224),""),""))</f>
        <v/>
      </c>
      <c r="C224" s="31"/>
      <c r="D224" s="32"/>
    </row>
    <row r="225" spans="1:4" ht="24" customHeight="1" x14ac:dyDescent="0.25">
      <c r="A225" t="str">
        <f>IF('e2'!A225&gt;0,HYPERLINK("#"&amp;ADDRESS(225,'e2'!A225),""),IF('r2'!A225&gt;0,HYPERLINK("#"&amp;ADDRESS(225,'r2'!A225),""),""))</f>
        <v/>
      </c>
      <c r="C225" s="31"/>
      <c r="D225" s="32"/>
    </row>
    <row r="226" spans="1:4" ht="24" customHeight="1" x14ac:dyDescent="0.25">
      <c r="A226" t="str">
        <f>IF('e2'!A226&gt;0,HYPERLINK("#"&amp;ADDRESS(226,'e2'!A226),""),IF('r2'!A226&gt;0,HYPERLINK("#"&amp;ADDRESS(226,'r2'!A226),""),""))</f>
        <v/>
      </c>
      <c r="C226" s="31"/>
      <c r="D226" s="32"/>
    </row>
    <row r="227" spans="1:4" ht="24" customHeight="1" x14ac:dyDescent="0.25">
      <c r="A227" t="str">
        <f>IF('e2'!A227&gt;0,HYPERLINK("#"&amp;ADDRESS(227,'e2'!A227),""),IF('r2'!A227&gt;0,HYPERLINK("#"&amp;ADDRESS(227,'r2'!A227),""),""))</f>
        <v/>
      </c>
      <c r="C227" s="31"/>
      <c r="D227" s="32"/>
    </row>
    <row r="228" spans="1:4" ht="24" customHeight="1" x14ac:dyDescent="0.25">
      <c r="A228" t="str">
        <f>IF('e2'!A228&gt;0,HYPERLINK("#"&amp;ADDRESS(228,'e2'!A228),""),IF('r2'!A228&gt;0,HYPERLINK("#"&amp;ADDRESS(228,'r2'!A228),""),""))</f>
        <v/>
      </c>
      <c r="C228" s="31"/>
      <c r="D228" s="32"/>
    </row>
    <row r="229" spans="1:4" ht="24" customHeight="1" x14ac:dyDescent="0.25">
      <c r="A229" t="str">
        <f>IF('e2'!A229&gt;0,HYPERLINK("#"&amp;ADDRESS(229,'e2'!A229),""),IF('r2'!A229&gt;0,HYPERLINK("#"&amp;ADDRESS(229,'r2'!A229),""),""))</f>
        <v/>
      </c>
      <c r="C229" s="31"/>
      <c r="D229" s="32"/>
    </row>
    <row r="230" spans="1:4" ht="24" customHeight="1" x14ac:dyDescent="0.25">
      <c r="A230" t="str">
        <f>IF('e2'!A230&gt;0,HYPERLINK("#"&amp;ADDRESS(230,'e2'!A230),""),IF('r2'!A230&gt;0,HYPERLINK("#"&amp;ADDRESS(230,'r2'!A230),""),""))</f>
        <v/>
      </c>
      <c r="C230" s="31"/>
      <c r="D230" s="32"/>
    </row>
    <row r="231" spans="1:4" ht="24" customHeight="1" x14ac:dyDescent="0.25">
      <c r="A231" t="str">
        <f>IF('e2'!A231&gt;0,HYPERLINK("#"&amp;ADDRESS(231,'e2'!A231),""),IF('r2'!A231&gt;0,HYPERLINK("#"&amp;ADDRESS(231,'r2'!A231),""),""))</f>
        <v/>
      </c>
      <c r="C231" s="31"/>
      <c r="D231" s="32"/>
    </row>
    <row r="232" spans="1:4" ht="24" customHeight="1" x14ac:dyDescent="0.25">
      <c r="A232" t="str">
        <f>IF('e2'!A232&gt;0,HYPERLINK("#"&amp;ADDRESS(232,'e2'!A232),""),IF('r2'!A232&gt;0,HYPERLINK("#"&amp;ADDRESS(232,'r2'!A232),""),""))</f>
        <v/>
      </c>
      <c r="C232" s="31"/>
      <c r="D232" s="32"/>
    </row>
    <row r="233" spans="1:4" ht="24" customHeight="1" x14ac:dyDescent="0.25">
      <c r="A233" t="str">
        <f>IF('e2'!A233&gt;0,HYPERLINK("#"&amp;ADDRESS(233,'e2'!A233),""),IF('r2'!A233&gt;0,HYPERLINK("#"&amp;ADDRESS(233,'r2'!A233),""),""))</f>
        <v/>
      </c>
      <c r="C233" s="31"/>
      <c r="D233" s="32"/>
    </row>
    <row r="234" spans="1:4" ht="24" customHeight="1" x14ac:dyDescent="0.25">
      <c r="A234" t="str">
        <f>IF('e2'!A234&gt;0,HYPERLINK("#"&amp;ADDRESS(234,'e2'!A234),""),IF('r2'!A234&gt;0,HYPERLINK("#"&amp;ADDRESS(234,'r2'!A234),""),""))</f>
        <v/>
      </c>
      <c r="C234" s="31"/>
      <c r="D234" s="32"/>
    </row>
    <row r="235" spans="1:4" ht="24" customHeight="1" x14ac:dyDescent="0.25">
      <c r="A235" t="str">
        <f>IF('e2'!A235&gt;0,HYPERLINK("#"&amp;ADDRESS(235,'e2'!A235),""),IF('r2'!A235&gt;0,HYPERLINK("#"&amp;ADDRESS(235,'r2'!A235),""),""))</f>
        <v/>
      </c>
      <c r="C235" s="31"/>
      <c r="D235" s="32"/>
    </row>
    <row r="236" spans="1:4" ht="24" customHeight="1" x14ac:dyDescent="0.25">
      <c r="A236" t="str">
        <f>IF('e2'!A236&gt;0,HYPERLINK("#"&amp;ADDRESS(236,'e2'!A236),""),IF('r2'!A236&gt;0,HYPERLINK("#"&amp;ADDRESS(236,'r2'!A236),""),""))</f>
        <v/>
      </c>
      <c r="C236" s="31"/>
      <c r="D236" s="32"/>
    </row>
    <row r="237" spans="1:4" ht="24" customHeight="1" x14ac:dyDescent="0.25">
      <c r="A237" t="str">
        <f>IF('e2'!A237&gt;0,HYPERLINK("#"&amp;ADDRESS(237,'e2'!A237),""),IF('r2'!A237&gt;0,HYPERLINK("#"&amp;ADDRESS(237,'r2'!A237),""),""))</f>
        <v/>
      </c>
      <c r="C237" s="31"/>
      <c r="D237" s="32"/>
    </row>
    <row r="238" spans="1:4" ht="24" customHeight="1" x14ac:dyDescent="0.25">
      <c r="A238" t="str">
        <f>IF('e2'!A238&gt;0,HYPERLINK("#"&amp;ADDRESS(238,'e2'!A238),""),IF('r2'!A238&gt;0,HYPERLINK("#"&amp;ADDRESS(238,'r2'!A238),""),""))</f>
        <v/>
      </c>
      <c r="C238" s="31"/>
      <c r="D238" s="32"/>
    </row>
    <row r="239" spans="1:4" ht="24" customHeight="1" x14ac:dyDescent="0.25">
      <c r="A239" t="str">
        <f>IF('e2'!A239&gt;0,HYPERLINK("#"&amp;ADDRESS(239,'e2'!A239),""),IF('r2'!A239&gt;0,HYPERLINK("#"&amp;ADDRESS(239,'r2'!A239),""),""))</f>
        <v/>
      </c>
      <c r="C239" s="31"/>
      <c r="D239" s="32"/>
    </row>
    <row r="240" spans="1:4" ht="24" customHeight="1" x14ac:dyDescent="0.25">
      <c r="A240" t="str">
        <f>IF('e2'!A240&gt;0,HYPERLINK("#"&amp;ADDRESS(240,'e2'!A240),""),IF('r2'!A240&gt;0,HYPERLINK("#"&amp;ADDRESS(240,'r2'!A240),""),""))</f>
        <v/>
      </c>
      <c r="C240" s="31"/>
      <c r="D240" s="32"/>
    </row>
    <row r="241" spans="1:4" ht="24" customHeight="1" x14ac:dyDescent="0.25">
      <c r="A241" t="str">
        <f>IF('e2'!A241&gt;0,HYPERLINK("#"&amp;ADDRESS(241,'e2'!A241),""),IF('r2'!A241&gt;0,HYPERLINK("#"&amp;ADDRESS(241,'r2'!A241),""),""))</f>
        <v/>
      </c>
      <c r="C241" s="31"/>
      <c r="D241" s="32"/>
    </row>
    <row r="242" spans="1:4" ht="24" customHeight="1" x14ac:dyDescent="0.25">
      <c r="A242" t="str">
        <f>IF('e2'!A242&gt;0,HYPERLINK("#"&amp;ADDRESS(242,'e2'!A242),""),IF('r2'!A242&gt;0,HYPERLINK("#"&amp;ADDRESS(242,'r2'!A242),""),""))</f>
        <v/>
      </c>
      <c r="C242" s="31"/>
      <c r="D242" s="32"/>
    </row>
    <row r="243" spans="1:4" ht="24" customHeight="1" x14ac:dyDescent="0.25">
      <c r="A243" t="str">
        <f>IF('e2'!A243&gt;0,HYPERLINK("#"&amp;ADDRESS(243,'e2'!A243),""),IF('r2'!A243&gt;0,HYPERLINK("#"&amp;ADDRESS(243,'r2'!A243),""),""))</f>
        <v/>
      </c>
      <c r="C243" s="31"/>
      <c r="D243" s="32"/>
    </row>
    <row r="244" spans="1:4" ht="24" customHeight="1" x14ac:dyDescent="0.25">
      <c r="A244" t="str">
        <f>IF('e2'!A244&gt;0,HYPERLINK("#"&amp;ADDRESS(244,'e2'!A244),""),IF('r2'!A244&gt;0,HYPERLINK("#"&amp;ADDRESS(244,'r2'!A244),""),""))</f>
        <v/>
      </c>
      <c r="C244" s="31"/>
      <c r="D244" s="32"/>
    </row>
    <row r="245" spans="1:4" ht="24" customHeight="1" x14ac:dyDescent="0.25">
      <c r="A245" t="str">
        <f>IF('e2'!A245&gt;0,HYPERLINK("#"&amp;ADDRESS(245,'e2'!A245),""),IF('r2'!A245&gt;0,HYPERLINK("#"&amp;ADDRESS(245,'r2'!A245),""),""))</f>
        <v/>
      </c>
      <c r="C245" s="31"/>
      <c r="D245" s="32"/>
    </row>
    <row r="246" spans="1:4" ht="24" customHeight="1" x14ac:dyDescent="0.25">
      <c r="A246" t="str">
        <f>IF('e2'!A246&gt;0,HYPERLINK("#"&amp;ADDRESS(246,'e2'!A246),""),IF('r2'!A246&gt;0,HYPERLINK("#"&amp;ADDRESS(246,'r2'!A246),""),""))</f>
        <v/>
      </c>
      <c r="C246" s="31"/>
      <c r="D246" s="32"/>
    </row>
    <row r="247" spans="1:4" ht="24" customHeight="1" x14ac:dyDescent="0.25">
      <c r="A247" t="str">
        <f>IF('e2'!A247&gt;0,HYPERLINK("#"&amp;ADDRESS(247,'e2'!A247),""),IF('r2'!A247&gt;0,HYPERLINK("#"&amp;ADDRESS(247,'r2'!A247),""),""))</f>
        <v/>
      </c>
      <c r="C247" s="31"/>
      <c r="D247" s="32"/>
    </row>
    <row r="248" spans="1:4" ht="24" customHeight="1" x14ac:dyDescent="0.25">
      <c r="A248" t="str">
        <f>IF('e2'!A248&gt;0,HYPERLINK("#"&amp;ADDRESS(248,'e2'!A248),""),IF('r2'!A248&gt;0,HYPERLINK("#"&amp;ADDRESS(248,'r2'!A248),""),""))</f>
        <v/>
      </c>
      <c r="C248" s="31"/>
      <c r="D248" s="32"/>
    </row>
    <row r="249" spans="1:4" ht="24" customHeight="1" x14ac:dyDescent="0.25">
      <c r="A249" t="str">
        <f>IF('e2'!A249&gt;0,HYPERLINK("#"&amp;ADDRESS(249,'e2'!A249),""),IF('r2'!A249&gt;0,HYPERLINK("#"&amp;ADDRESS(249,'r2'!A249),""),""))</f>
        <v/>
      </c>
      <c r="C249" s="31"/>
      <c r="D249" s="32"/>
    </row>
    <row r="250" spans="1:4" ht="24" customHeight="1" x14ac:dyDescent="0.25">
      <c r="A250" t="str">
        <f>IF('e2'!A250&gt;0,HYPERLINK("#"&amp;ADDRESS(250,'e2'!A250),""),IF('r2'!A250&gt;0,HYPERLINK("#"&amp;ADDRESS(250,'r2'!A250),""),""))</f>
        <v/>
      </c>
      <c r="C250" s="31"/>
      <c r="D250" s="32"/>
    </row>
    <row r="251" spans="1:4" ht="24" customHeight="1" x14ac:dyDescent="0.25">
      <c r="A251" t="str">
        <f>IF('e2'!A251&gt;0,HYPERLINK("#"&amp;ADDRESS(251,'e2'!A251),""),IF('r2'!A251&gt;0,HYPERLINK("#"&amp;ADDRESS(251,'r2'!A251),""),""))</f>
        <v/>
      </c>
      <c r="C251" s="31"/>
      <c r="D251" s="32"/>
    </row>
    <row r="252" spans="1:4" ht="24" customHeight="1" x14ac:dyDescent="0.25">
      <c r="A252" t="str">
        <f>IF('e2'!A252&gt;0,HYPERLINK("#"&amp;ADDRESS(252,'e2'!A252),""),IF('r2'!A252&gt;0,HYPERLINK("#"&amp;ADDRESS(252,'r2'!A252),""),""))</f>
        <v/>
      </c>
      <c r="C252" s="31"/>
      <c r="D252" s="32"/>
    </row>
    <row r="253" spans="1:4" ht="24" customHeight="1" x14ac:dyDescent="0.25">
      <c r="A253" t="str">
        <f>IF('e2'!A253&gt;0,HYPERLINK("#"&amp;ADDRESS(253,'e2'!A253),""),IF('r2'!A253&gt;0,HYPERLINK("#"&amp;ADDRESS(253,'r2'!A253),""),""))</f>
        <v/>
      </c>
      <c r="C253" s="31"/>
      <c r="D253" s="32"/>
    </row>
    <row r="254" spans="1:4" ht="24" customHeight="1" x14ac:dyDescent="0.25">
      <c r="A254" t="str">
        <f>IF('e2'!A254&gt;0,HYPERLINK("#"&amp;ADDRESS(254,'e2'!A254),""),IF('r2'!A254&gt;0,HYPERLINK("#"&amp;ADDRESS(254,'r2'!A254),""),""))</f>
        <v/>
      </c>
      <c r="C254" s="31"/>
      <c r="D254" s="32"/>
    </row>
    <row r="255" spans="1:4" ht="24" customHeight="1" x14ac:dyDescent="0.25">
      <c r="A255" t="str">
        <f>IF('e2'!A255&gt;0,HYPERLINK("#"&amp;ADDRESS(255,'e2'!A255),""),IF('r2'!A255&gt;0,HYPERLINK("#"&amp;ADDRESS(255,'r2'!A255),""),""))</f>
        <v/>
      </c>
      <c r="C255" s="31"/>
      <c r="D255" s="32"/>
    </row>
    <row r="256" spans="1:4" ht="24" customHeight="1" x14ac:dyDescent="0.25">
      <c r="A256" t="str">
        <f>IF('e2'!A256&gt;0,HYPERLINK("#"&amp;ADDRESS(256,'e2'!A256),""),IF('r2'!A256&gt;0,HYPERLINK("#"&amp;ADDRESS(256,'r2'!A256),""),""))</f>
        <v/>
      </c>
      <c r="C256" s="31"/>
      <c r="D256" s="32"/>
    </row>
    <row r="257" spans="1:4" ht="24" customHeight="1" x14ac:dyDescent="0.25">
      <c r="A257" t="str">
        <f>IF('e2'!A257&gt;0,HYPERLINK("#"&amp;ADDRESS(257,'e2'!A257),""),IF('r2'!A257&gt;0,HYPERLINK("#"&amp;ADDRESS(257,'r2'!A257),""),""))</f>
        <v/>
      </c>
      <c r="C257" s="31"/>
      <c r="D257" s="32"/>
    </row>
    <row r="258" spans="1:4" ht="24" customHeight="1" x14ac:dyDescent="0.25">
      <c r="A258" t="str">
        <f>IF('e2'!A258&gt;0,HYPERLINK("#"&amp;ADDRESS(258,'e2'!A258),""),IF('r2'!A258&gt;0,HYPERLINK("#"&amp;ADDRESS(258,'r2'!A258),""),""))</f>
        <v/>
      </c>
      <c r="C258" s="31"/>
      <c r="D258" s="32"/>
    </row>
    <row r="259" spans="1:4" ht="24" customHeight="1" x14ac:dyDescent="0.25">
      <c r="A259" t="str">
        <f>IF('e2'!A259&gt;0,HYPERLINK("#"&amp;ADDRESS(259,'e2'!A259),""),IF('r2'!A259&gt;0,HYPERLINK("#"&amp;ADDRESS(259,'r2'!A259),""),""))</f>
        <v/>
      </c>
      <c r="C259" s="31"/>
      <c r="D259" s="32"/>
    </row>
    <row r="260" spans="1:4" ht="24" customHeight="1" x14ac:dyDescent="0.25">
      <c r="A260" t="str">
        <f>IF('e2'!A260&gt;0,HYPERLINK("#"&amp;ADDRESS(260,'e2'!A260),""),IF('r2'!A260&gt;0,HYPERLINK("#"&amp;ADDRESS(260,'r2'!A260),""),""))</f>
        <v/>
      </c>
      <c r="C260" s="31"/>
      <c r="D260" s="32"/>
    </row>
    <row r="261" spans="1:4" ht="24" customHeight="1" x14ac:dyDescent="0.25">
      <c r="A261" t="str">
        <f>IF('e2'!A261&gt;0,HYPERLINK("#"&amp;ADDRESS(261,'e2'!A261),""),IF('r2'!A261&gt;0,HYPERLINK("#"&amp;ADDRESS(261,'r2'!A261),""),""))</f>
        <v/>
      </c>
      <c r="C261" s="31"/>
      <c r="D261" s="32"/>
    </row>
    <row r="262" spans="1:4" ht="24" customHeight="1" x14ac:dyDescent="0.25">
      <c r="A262" t="str">
        <f>IF('e2'!A262&gt;0,HYPERLINK("#"&amp;ADDRESS(262,'e2'!A262),""),IF('r2'!A262&gt;0,HYPERLINK("#"&amp;ADDRESS(262,'r2'!A262),""),""))</f>
        <v/>
      </c>
      <c r="C262" s="31"/>
      <c r="D262" s="32"/>
    </row>
    <row r="263" spans="1:4" ht="24" customHeight="1" x14ac:dyDescent="0.25">
      <c r="A263" t="str">
        <f>IF('e2'!A263&gt;0,HYPERLINK("#"&amp;ADDRESS(263,'e2'!A263),""),IF('r2'!A263&gt;0,HYPERLINK("#"&amp;ADDRESS(263,'r2'!A263),""),""))</f>
        <v/>
      </c>
      <c r="C263" s="31"/>
      <c r="D263" s="32"/>
    </row>
    <row r="264" spans="1:4" ht="24" customHeight="1" x14ac:dyDescent="0.25">
      <c r="A264" t="str">
        <f>IF('e2'!A264&gt;0,HYPERLINK("#"&amp;ADDRESS(264,'e2'!A264),""),IF('r2'!A264&gt;0,HYPERLINK("#"&amp;ADDRESS(264,'r2'!A264),""),""))</f>
        <v/>
      </c>
      <c r="C264" s="31"/>
      <c r="D264" s="32"/>
    </row>
    <row r="265" spans="1:4" ht="24" customHeight="1" x14ac:dyDescent="0.25">
      <c r="A265" t="str">
        <f>IF('e2'!A265&gt;0,HYPERLINK("#"&amp;ADDRESS(265,'e2'!A265),""),IF('r2'!A265&gt;0,HYPERLINK("#"&amp;ADDRESS(265,'r2'!A265),""),""))</f>
        <v/>
      </c>
      <c r="C265" s="31"/>
      <c r="D265" s="32"/>
    </row>
    <row r="266" spans="1:4" ht="24" customHeight="1" x14ac:dyDescent="0.25">
      <c r="A266" t="str">
        <f>IF('e2'!A266&gt;0,HYPERLINK("#"&amp;ADDRESS(266,'e2'!A266),""),IF('r2'!A266&gt;0,HYPERLINK("#"&amp;ADDRESS(266,'r2'!A266),""),""))</f>
        <v/>
      </c>
      <c r="C266" s="31"/>
      <c r="D266" s="32"/>
    </row>
    <row r="267" spans="1:4" ht="24" customHeight="1" x14ac:dyDescent="0.25">
      <c r="A267" t="str">
        <f>IF('e2'!A267&gt;0,HYPERLINK("#"&amp;ADDRESS(267,'e2'!A267),""),IF('r2'!A267&gt;0,HYPERLINK("#"&amp;ADDRESS(267,'r2'!A267),""),""))</f>
        <v/>
      </c>
      <c r="C267" s="31"/>
      <c r="D267" s="32"/>
    </row>
    <row r="268" spans="1:4" ht="24" customHeight="1" x14ac:dyDescent="0.25">
      <c r="A268" t="str">
        <f>IF('e2'!A268&gt;0,HYPERLINK("#"&amp;ADDRESS(268,'e2'!A268),""),IF('r2'!A268&gt;0,HYPERLINK("#"&amp;ADDRESS(268,'r2'!A268),""),""))</f>
        <v/>
      </c>
      <c r="C268" s="31"/>
      <c r="D268" s="32"/>
    </row>
    <row r="269" spans="1:4" ht="24" customHeight="1" x14ac:dyDescent="0.25">
      <c r="A269" t="str">
        <f>IF('e2'!A269&gt;0,HYPERLINK("#"&amp;ADDRESS(269,'e2'!A269),""),IF('r2'!A269&gt;0,HYPERLINK("#"&amp;ADDRESS(269,'r2'!A269),""),""))</f>
        <v/>
      </c>
      <c r="C269" s="31"/>
      <c r="D269" s="32"/>
    </row>
    <row r="270" spans="1:4" ht="24" customHeight="1" x14ac:dyDescent="0.25">
      <c r="A270" t="str">
        <f>IF('e2'!A270&gt;0,HYPERLINK("#"&amp;ADDRESS(270,'e2'!A270),""),IF('r2'!A270&gt;0,HYPERLINK("#"&amp;ADDRESS(270,'r2'!A270),""),""))</f>
        <v/>
      </c>
      <c r="C270" s="31"/>
      <c r="D270" s="32"/>
    </row>
    <row r="271" spans="1:4" ht="24" customHeight="1" x14ac:dyDescent="0.25">
      <c r="A271" t="str">
        <f>IF('e2'!A271&gt;0,HYPERLINK("#"&amp;ADDRESS(271,'e2'!A271),""),IF('r2'!A271&gt;0,HYPERLINK("#"&amp;ADDRESS(271,'r2'!A271),""),""))</f>
        <v/>
      </c>
      <c r="C271" s="31"/>
      <c r="D271" s="32"/>
    </row>
    <row r="272" spans="1:4" ht="24" customHeight="1" x14ac:dyDescent="0.25">
      <c r="A272" t="str">
        <f>IF('e2'!A272&gt;0,HYPERLINK("#"&amp;ADDRESS(272,'e2'!A272),""),IF('r2'!A272&gt;0,HYPERLINK("#"&amp;ADDRESS(272,'r2'!A272),""),""))</f>
        <v/>
      </c>
      <c r="C272" s="31"/>
      <c r="D272" s="32"/>
    </row>
    <row r="273" spans="1:4" ht="24" customHeight="1" x14ac:dyDescent="0.25">
      <c r="A273" t="str">
        <f>IF('e2'!A273&gt;0,HYPERLINK("#"&amp;ADDRESS(273,'e2'!A273),""),IF('r2'!A273&gt;0,HYPERLINK("#"&amp;ADDRESS(273,'r2'!A273),""),""))</f>
        <v/>
      </c>
      <c r="C273" s="31"/>
      <c r="D273" s="32"/>
    </row>
    <row r="274" spans="1:4" ht="24" customHeight="1" x14ac:dyDescent="0.25">
      <c r="A274" t="str">
        <f>IF('e2'!A274&gt;0,HYPERLINK("#"&amp;ADDRESS(274,'e2'!A274),""),IF('r2'!A274&gt;0,HYPERLINK("#"&amp;ADDRESS(274,'r2'!A274),""),""))</f>
        <v/>
      </c>
      <c r="C274" s="31"/>
      <c r="D274" s="32"/>
    </row>
    <row r="275" spans="1:4" ht="24" customHeight="1" x14ac:dyDescent="0.25">
      <c r="A275" t="str">
        <f>IF('e2'!A275&gt;0,HYPERLINK("#"&amp;ADDRESS(275,'e2'!A275),""),IF('r2'!A275&gt;0,HYPERLINK("#"&amp;ADDRESS(275,'r2'!A275),""),""))</f>
        <v/>
      </c>
      <c r="C275" s="31"/>
      <c r="D275" s="32"/>
    </row>
    <row r="276" spans="1:4" ht="24" customHeight="1" x14ac:dyDescent="0.25">
      <c r="A276" t="str">
        <f>IF('e2'!A276&gt;0,HYPERLINK("#"&amp;ADDRESS(276,'e2'!A276),""),IF('r2'!A276&gt;0,HYPERLINK("#"&amp;ADDRESS(276,'r2'!A276),""),""))</f>
        <v/>
      </c>
      <c r="C276" s="31"/>
      <c r="D276" s="32"/>
    </row>
    <row r="277" spans="1:4" ht="24" customHeight="1" x14ac:dyDescent="0.25">
      <c r="A277" t="str">
        <f>IF('e2'!A277&gt;0,HYPERLINK("#"&amp;ADDRESS(277,'e2'!A277),""),IF('r2'!A277&gt;0,HYPERLINK("#"&amp;ADDRESS(277,'r2'!A277),""),""))</f>
        <v/>
      </c>
      <c r="C277" s="31"/>
      <c r="D277" s="32"/>
    </row>
    <row r="278" spans="1:4" ht="24" customHeight="1" x14ac:dyDescent="0.25">
      <c r="A278" t="str">
        <f>IF('e2'!A278&gt;0,HYPERLINK("#"&amp;ADDRESS(278,'e2'!A278),""),IF('r2'!A278&gt;0,HYPERLINK("#"&amp;ADDRESS(278,'r2'!A278),""),""))</f>
        <v/>
      </c>
      <c r="C278" s="31"/>
      <c r="D278" s="32"/>
    </row>
    <row r="279" spans="1:4" ht="24" customHeight="1" x14ac:dyDescent="0.25">
      <c r="A279" t="str">
        <f>IF('e2'!A279&gt;0,HYPERLINK("#"&amp;ADDRESS(279,'e2'!A279),""),IF('r2'!A279&gt;0,HYPERLINK("#"&amp;ADDRESS(279,'r2'!A279),""),""))</f>
        <v/>
      </c>
      <c r="C279" s="31"/>
      <c r="D279" s="32"/>
    </row>
    <row r="280" spans="1:4" ht="24" customHeight="1" x14ac:dyDescent="0.25">
      <c r="A280" t="str">
        <f>IF('e2'!A280&gt;0,HYPERLINK("#"&amp;ADDRESS(280,'e2'!A280),""),IF('r2'!A280&gt;0,HYPERLINK("#"&amp;ADDRESS(280,'r2'!A280),""),""))</f>
        <v/>
      </c>
      <c r="C280" s="31"/>
      <c r="D280" s="32"/>
    </row>
    <row r="281" spans="1:4" ht="24" customHeight="1" x14ac:dyDescent="0.25">
      <c r="A281" t="str">
        <f>IF('e2'!A281&gt;0,HYPERLINK("#"&amp;ADDRESS(281,'e2'!A281),""),IF('r2'!A281&gt;0,HYPERLINK("#"&amp;ADDRESS(281,'r2'!A281),""),""))</f>
        <v/>
      </c>
      <c r="C281" s="31"/>
      <c r="D281" s="32"/>
    </row>
    <row r="282" spans="1:4" ht="24" customHeight="1" x14ac:dyDescent="0.25">
      <c r="A282" t="str">
        <f>IF('e2'!A282&gt;0,HYPERLINK("#"&amp;ADDRESS(282,'e2'!A282),""),IF('r2'!A282&gt;0,HYPERLINK("#"&amp;ADDRESS(282,'r2'!A282),""),""))</f>
        <v/>
      </c>
      <c r="C282" s="31"/>
      <c r="D282" s="32"/>
    </row>
    <row r="283" spans="1:4" ht="24" customHeight="1" x14ac:dyDescent="0.25">
      <c r="A283" t="str">
        <f>IF('e2'!A283&gt;0,HYPERLINK("#"&amp;ADDRESS(283,'e2'!A283),""),IF('r2'!A283&gt;0,HYPERLINK("#"&amp;ADDRESS(283,'r2'!A283),""),""))</f>
        <v/>
      </c>
      <c r="C283" s="31"/>
      <c r="D283" s="32"/>
    </row>
    <row r="284" spans="1:4" ht="24" customHeight="1" x14ac:dyDescent="0.25">
      <c r="A284" t="str">
        <f>IF('e2'!A284&gt;0,HYPERLINK("#"&amp;ADDRESS(284,'e2'!A284),""),IF('r2'!A284&gt;0,HYPERLINK("#"&amp;ADDRESS(284,'r2'!A284),""),""))</f>
        <v/>
      </c>
      <c r="C284" s="31"/>
      <c r="D284" s="32"/>
    </row>
    <row r="285" spans="1:4" ht="24" customHeight="1" x14ac:dyDescent="0.25">
      <c r="A285" t="str">
        <f>IF('e2'!A285&gt;0,HYPERLINK("#"&amp;ADDRESS(285,'e2'!A285),""),IF('r2'!A285&gt;0,HYPERLINK("#"&amp;ADDRESS(285,'r2'!A285),""),""))</f>
        <v/>
      </c>
      <c r="C285" s="31"/>
      <c r="D285" s="32"/>
    </row>
    <row r="286" spans="1:4" ht="24" customHeight="1" x14ac:dyDescent="0.25">
      <c r="A286" t="str">
        <f>IF('e2'!A286&gt;0,HYPERLINK("#"&amp;ADDRESS(286,'e2'!A286),""),IF('r2'!A286&gt;0,HYPERLINK("#"&amp;ADDRESS(286,'r2'!A286),""),""))</f>
        <v/>
      </c>
      <c r="C286" s="31"/>
      <c r="D286" s="32"/>
    </row>
    <row r="287" spans="1:4" ht="24" customHeight="1" x14ac:dyDescent="0.25">
      <c r="A287" t="str">
        <f>IF('e2'!A287&gt;0,HYPERLINK("#"&amp;ADDRESS(287,'e2'!A287),""),IF('r2'!A287&gt;0,HYPERLINK("#"&amp;ADDRESS(287,'r2'!A287),""),""))</f>
        <v/>
      </c>
      <c r="C287" s="31"/>
      <c r="D287" s="32"/>
    </row>
    <row r="288" spans="1:4" ht="24" customHeight="1" x14ac:dyDescent="0.25">
      <c r="A288" t="str">
        <f>IF('e2'!A288&gt;0,HYPERLINK("#"&amp;ADDRESS(288,'e2'!A288),""),IF('r2'!A288&gt;0,HYPERLINK("#"&amp;ADDRESS(288,'r2'!A288),""),""))</f>
        <v/>
      </c>
      <c r="C288" s="31"/>
      <c r="D288" s="32"/>
    </row>
    <row r="289" spans="1:4" ht="24" customHeight="1" x14ac:dyDescent="0.25">
      <c r="A289" t="str">
        <f>IF('e2'!A289&gt;0,HYPERLINK("#"&amp;ADDRESS(289,'e2'!A289),""),IF('r2'!A289&gt;0,HYPERLINK("#"&amp;ADDRESS(289,'r2'!A289),""),""))</f>
        <v/>
      </c>
      <c r="C289" s="31"/>
      <c r="D289" s="32"/>
    </row>
    <row r="290" spans="1:4" ht="24" customHeight="1" x14ac:dyDescent="0.25">
      <c r="A290" t="str">
        <f>IF('e2'!A290&gt;0,HYPERLINK("#"&amp;ADDRESS(290,'e2'!A290),""),IF('r2'!A290&gt;0,HYPERLINK("#"&amp;ADDRESS(290,'r2'!A290),""),""))</f>
        <v/>
      </c>
      <c r="C290" s="31"/>
      <c r="D290" s="32"/>
    </row>
    <row r="291" spans="1:4" ht="24" customHeight="1" x14ac:dyDescent="0.25">
      <c r="A291" t="str">
        <f>IF('e2'!A291&gt;0,HYPERLINK("#"&amp;ADDRESS(291,'e2'!A291),""),IF('r2'!A291&gt;0,HYPERLINK("#"&amp;ADDRESS(291,'r2'!A291),""),""))</f>
        <v/>
      </c>
      <c r="C291" s="31"/>
      <c r="D291" s="32"/>
    </row>
    <row r="292" spans="1:4" ht="24" customHeight="1" x14ac:dyDescent="0.25">
      <c r="A292" t="str">
        <f>IF('e2'!A292&gt;0,HYPERLINK("#"&amp;ADDRESS(292,'e2'!A292),""),IF('r2'!A292&gt;0,HYPERLINK("#"&amp;ADDRESS(292,'r2'!A292),""),""))</f>
        <v/>
      </c>
      <c r="C292" s="31"/>
      <c r="D292" s="32"/>
    </row>
    <row r="293" spans="1:4" ht="24" customHeight="1" x14ac:dyDescent="0.25">
      <c r="A293" t="str">
        <f>IF('e2'!A293&gt;0,HYPERLINK("#"&amp;ADDRESS(293,'e2'!A293),""),IF('r2'!A293&gt;0,HYPERLINK("#"&amp;ADDRESS(293,'r2'!A293),""),""))</f>
        <v/>
      </c>
      <c r="C293" s="31"/>
      <c r="D293" s="32"/>
    </row>
    <row r="294" spans="1:4" ht="24" customHeight="1" x14ac:dyDescent="0.25">
      <c r="A294" t="str">
        <f>IF('e2'!A294&gt;0,HYPERLINK("#"&amp;ADDRESS(294,'e2'!A294),""),IF('r2'!A294&gt;0,HYPERLINK("#"&amp;ADDRESS(294,'r2'!A294),""),""))</f>
        <v/>
      </c>
      <c r="C294" s="31"/>
      <c r="D294" s="32"/>
    </row>
    <row r="295" spans="1:4" ht="24" customHeight="1" x14ac:dyDescent="0.25">
      <c r="A295" t="str">
        <f>IF('e2'!A295&gt;0,HYPERLINK("#"&amp;ADDRESS(295,'e2'!A295),""),IF('r2'!A295&gt;0,HYPERLINK("#"&amp;ADDRESS(295,'r2'!A295),""),""))</f>
        <v/>
      </c>
      <c r="C295" s="31"/>
      <c r="D295" s="32"/>
    </row>
    <row r="296" spans="1:4" ht="24" customHeight="1" x14ac:dyDescent="0.25">
      <c r="A296" t="str">
        <f>IF('e2'!A296&gt;0,HYPERLINK("#"&amp;ADDRESS(296,'e2'!A296),""),IF('r2'!A296&gt;0,HYPERLINK("#"&amp;ADDRESS(296,'r2'!A296),""),""))</f>
        <v/>
      </c>
      <c r="C296" s="31"/>
      <c r="D296" s="32"/>
    </row>
    <row r="297" spans="1:4" ht="24" customHeight="1" x14ac:dyDescent="0.25">
      <c r="A297" t="str">
        <f>IF('e2'!A297&gt;0,HYPERLINK("#"&amp;ADDRESS(297,'e2'!A297),""),IF('r2'!A297&gt;0,HYPERLINK("#"&amp;ADDRESS(297,'r2'!A297),""),""))</f>
        <v/>
      </c>
      <c r="C297" s="31"/>
      <c r="D297" s="32"/>
    </row>
    <row r="298" spans="1:4" ht="24" customHeight="1" x14ac:dyDescent="0.25">
      <c r="A298" t="str">
        <f>IF('e2'!A298&gt;0,HYPERLINK("#"&amp;ADDRESS(298,'e2'!A298),""),IF('r2'!A298&gt;0,HYPERLINK("#"&amp;ADDRESS(298,'r2'!A298),""),""))</f>
        <v/>
      </c>
      <c r="C298" s="31"/>
      <c r="D298" s="32"/>
    </row>
    <row r="299" spans="1:4" ht="24" customHeight="1" x14ac:dyDescent="0.25">
      <c r="A299" t="str">
        <f>IF('e2'!A299&gt;0,HYPERLINK("#"&amp;ADDRESS(299,'e2'!A299),""),IF('r2'!A299&gt;0,HYPERLINK("#"&amp;ADDRESS(299,'r2'!A299),""),""))</f>
        <v/>
      </c>
      <c r="C299" s="31"/>
      <c r="D299" s="32"/>
    </row>
    <row r="300" spans="1:4" ht="24" customHeight="1" x14ac:dyDescent="0.25">
      <c r="A300" t="str">
        <f>IF('e2'!A300&gt;0,HYPERLINK("#"&amp;ADDRESS(300,'e2'!A300),""),IF('r2'!A300&gt;0,HYPERLINK("#"&amp;ADDRESS(300,'r2'!A300),""),""))</f>
        <v/>
      </c>
      <c r="C300" s="31"/>
      <c r="D300" s="32"/>
    </row>
    <row r="301" spans="1:4" ht="24" customHeight="1" x14ac:dyDescent="0.25">
      <c r="A301" t="str">
        <f>IF('e2'!A301&gt;0,HYPERLINK("#"&amp;ADDRESS(301,'e2'!A301),""),IF('r2'!A301&gt;0,HYPERLINK("#"&amp;ADDRESS(301,'r2'!A301),""),""))</f>
        <v/>
      </c>
      <c r="C301" s="31"/>
      <c r="D301" s="32"/>
    </row>
    <row r="302" spans="1:4" ht="24" customHeight="1" x14ac:dyDescent="0.25">
      <c r="A302" t="str">
        <f>IF('e2'!A302&gt;0,HYPERLINK("#"&amp;ADDRESS(302,'e2'!A302),""),IF('r2'!A302&gt;0,HYPERLINK("#"&amp;ADDRESS(302,'r2'!A302),""),""))</f>
        <v/>
      </c>
      <c r="C302" s="31"/>
      <c r="D302" s="32"/>
    </row>
    <row r="303" spans="1:4" ht="24" customHeight="1" x14ac:dyDescent="0.25">
      <c r="A303" t="str">
        <f>IF('e2'!A303&gt;0,HYPERLINK("#"&amp;ADDRESS(303,'e2'!A303),""),IF('r2'!A303&gt;0,HYPERLINK("#"&amp;ADDRESS(303,'r2'!A303),""),""))</f>
        <v/>
      </c>
      <c r="C303" s="31"/>
      <c r="D303" s="32"/>
    </row>
    <row r="304" spans="1:4" ht="24" customHeight="1" x14ac:dyDescent="0.25">
      <c r="A304" t="str">
        <f>IF('e2'!A304&gt;0,HYPERLINK("#"&amp;ADDRESS(304,'e2'!A304),""),IF('r2'!A304&gt;0,HYPERLINK("#"&amp;ADDRESS(304,'r2'!A304),""),""))</f>
        <v/>
      </c>
      <c r="C304" s="31"/>
      <c r="D304" s="32"/>
    </row>
    <row r="305" spans="1:4" ht="24" customHeight="1" x14ac:dyDescent="0.25">
      <c r="A305" t="str">
        <f>IF('e2'!A305&gt;0,HYPERLINK("#"&amp;ADDRESS(305,'e2'!A305),""),IF('r2'!A305&gt;0,HYPERLINK("#"&amp;ADDRESS(305,'r2'!A305),""),""))</f>
        <v/>
      </c>
      <c r="C305" s="31"/>
      <c r="D305" s="32"/>
    </row>
    <row r="306" spans="1:4" ht="24" customHeight="1" x14ac:dyDescent="0.25">
      <c r="A306" t="str">
        <f>IF('e2'!A306&gt;0,HYPERLINK("#"&amp;ADDRESS(306,'e2'!A306),""),IF('r2'!A306&gt;0,HYPERLINK("#"&amp;ADDRESS(306,'r2'!A306),""),""))</f>
        <v/>
      </c>
      <c r="C306" s="31"/>
      <c r="D306" s="32"/>
    </row>
    <row r="307" spans="1:4" ht="24" customHeight="1" x14ac:dyDescent="0.25">
      <c r="A307" t="str">
        <f>IF('e2'!A307&gt;0,HYPERLINK("#"&amp;ADDRESS(307,'e2'!A307),""),IF('r2'!A307&gt;0,HYPERLINK("#"&amp;ADDRESS(307,'r2'!A307),""),""))</f>
        <v/>
      </c>
      <c r="C307" s="31"/>
      <c r="D307" s="32"/>
    </row>
    <row r="308" spans="1:4" ht="24" customHeight="1" x14ac:dyDescent="0.25">
      <c r="A308" t="str">
        <f>IF('e2'!A308&gt;0,HYPERLINK("#"&amp;ADDRESS(308,'e2'!A308),""),IF('r2'!A308&gt;0,HYPERLINK("#"&amp;ADDRESS(308,'r2'!A308),""),""))</f>
        <v/>
      </c>
      <c r="C308" s="31"/>
      <c r="D308" s="32"/>
    </row>
    <row r="309" spans="1:4" ht="24" customHeight="1" x14ac:dyDescent="0.25">
      <c r="A309" t="str">
        <f>IF('e2'!A309&gt;0,HYPERLINK("#"&amp;ADDRESS(309,'e2'!A309),""),IF('r2'!A309&gt;0,HYPERLINK("#"&amp;ADDRESS(309,'r2'!A309),""),""))</f>
        <v/>
      </c>
      <c r="C309" s="31"/>
      <c r="D309" s="32"/>
    </row>
    <row r="310" spans="1:4" ht="24" customHeight="1" x14ac:dyDescent="0.25">
      <c r="A310" t="str">
        <f>IF('e2'!A310&gt;0,HYPERLINK("#"&amp;ADDRESS(310,'e2'!A310),""),IF('r2'!A310&gt;0,HYPERLINK("#"&amp;ADDRESS(310,'r2'!A310),""),""))</f>
        <v/>
      </c>
      <c r="C310" s="31"/>
      <c r="D310" s="32"/>
    </row>
    <row r="311" spans="1:4" ht="24" customHeight="1" x14ac:dyDescent="0.25">
      <c r="A311" t="str">
        <f>IF('e2'!A311&gt;0,HYPERLINK("#"&amp;ADDRESS(311,'e2'!A311),""),IF('r2'!A311&gt;0,HYPERLINK("#"&amp;ADDRESS(311,'r2'!A311),""),""))</f>
        <v/>
      </c>
      <c r="C311" s="31"/>
      <c r="D311" s="32"/>
    </row>
    <row r="312" spans="1:4" ht="24" customHeight="1" x14ac:dyDescent="0.25">
      <c r="A312" t="str">
        <f>IF('e2'!A312&gt;0,HYPERLINK("#"&amp;ADDRESS(312,'e2'!A312),""),IF('r2'!A312&gt;0,HYPERLINK("#"&amp;ADDRESS(312,'r2'!A312),""),""))</f>
        <v/>
      </c>
      <c r="C312" s="31"/>
      <c r="D312" s="32"/>
    </row>
    <row r="313" spans="1:4" ht="24" customHeight="1" x14ac:dyDescent="0.25">
      <c r="A313" t="str">
        <f>IF('e2'!A313&gt;0,HYPERLINK("#"&amp;ADDRESS(313,'e2'!A313),""),IF('r2'!A313&gt;0,HYPERLINK("#"&amp;ADDRESS(313,'r2'!A313),""),""))</f>
        <v/>
      </c>
      <c r="C313" s="31"/>
      <c r="D313" s="32"/>
    </row>
    <row r="314" spans="1:4" ht="24" customHeight="1" x14ac:dyDescent="0.25">
      <c r="A314" t="str">
        <f>IF('e2'!A314&gt;0,HYPERLINK("#"&amp;ADDRESS(314,'e2'!A314),""),IF('r2'!A314&gt;0,HYPERLINK("#"&amp;ADDRESS(314,'r2'!A314),""),""))</f>
        <v/>
      </c>
      <c r="C314" s="31"/>
      <c r="D314" s="32"/>
    </row>
    <row r="315" spans="1:4" ht="24" customHeight="1" x14ac:dyDescent="0.25">
      <c r="A315" t="str">
        <f>IF('e2'!A315&gt;0,HYPERLINK("#"&amp;ADDRESS(315,'e2'!A315),""),IF('r2'!A315&gt;0,HYPERLINK("#"&amp;ADDRESS(315,'r2'!A315),""),""))</f>
        <v/>
      </c>
      <c r="C315" s="31"/>
      <c r="D315" s="32"/>
    </row>
    <row r="316" spans="1:4" ht="24" customHeight="1" x14ac:dyDescent="0.25">
      <c r="A316" t="str">
        <f>IF('e2'!A316&gt;0,HYPERLINK("#"&amp;ADDRESS(316,'e2'!A316),""),IF('r2'!A316&gt;0,HYPERLINK("#"&amp;ADDRESS(316,'r2'!A316),""),""))</f>
        <v/>
      </c>
      <c r="C316" s="31"/>
      <c r="D316" s="32"/>
    </row>
    <row r="317" spans="1:4" ht="24" customHeight="1" x14ac:dyDescent="0.25">
      <c r="A317" t="str">
        <f>IF('e2'!A317&gt;0,HYPERLINK("#"&amp;ADDRESS(317,'e2'!A317),""),IF('r2'!A317&gt;0,HYPERLINK("#"&amp;ADDRESS(317,'r2'!A317),""),""))</f>
        <v/>
      </c>
      <c r="C317" s="31"/>
      <c r="D317" s="32"/>
    </row>
    <row r="318" spans="1:4" ht="24" customHeight="1" x14ac:dyDescent="0.25">
      <c r="A318" t="str">
        <f>IF('e2'!A318&gt;0,HYPERLINK("#"&amp;ADDRESS(318,'e2'!A318),""),IF('r2'!A318&gt;0,HYPERLINK("#"&amp;ADDRESS(318,'r2'!A318),""),""))</f>
        <v/>
      </c>
      <c r="C318" s="31"/>
      <c r="D318" s="32"/>
    </row>
    <row r="319" spans="1:4" ht="24" customHeight="1" x14ac:dyDescent="0.25">
      <c r="A319" t="str">
        <f>IF('e2'!A319&gt;0,HYPERLINK("#"&amp;ADDRESS(319,'e2'!A319),""),IF('r2'!A319&gt;0,HYPERLINK("#"&amp;ADDRESS(319,'r2'!A319),""),""))</f>
        <v/>
      </c>
      <c r="C319" s="31"/>
      <c r="D319" s="32"/>
    </row>
    <row r="320" spans="1:4" ht="24" customHeight="1" x14ac:dyDescent="0.25">
      <c r="A320" t="str">
        <f>IF('e2'!A320&gt;0,HYPERLINK("#"&amp;ADDRESS(320,'e2'!A320),""),IF('r2'!A320&gt;0,HYPERLINK("#"&amp;ADDRESS(320,'r2'!A320),""),""))</f>
        <v/>
      </c>
      <c r="C320" s="31"/>
      <c r="D320" s="32"/>
    </row>
    <row r="321" spans="1:4" ht="24" customHeight="1" x14ac:dyDescent="0.25">
      <c r="A321" t="str">
        <f>IF('e2'!A321&gt;0,HYPERLINK("#"&amp;ADDRESS(321,'e2'!A321),""),IF('r2'!A321&gt;0,HYPERLINK("#"&amp;ADDRESS(321,'r2'!A321),""),""))</f>
        <v/>
      </c>
      <c r="C321" s="31"/>
      <c r="D321" s="32"/>
    </row>
    <row r="322" spans="1:4" ht="24" customHeight="1" x14ac:dyDescent="0.25">
      <c r="A322" t="str">
        <f>IF('e2'!A322&gt;0,HYPERLINK("#"&amp;ADDRESS(322,'e2'!A322),""),IF('r2'!A322&gt;0,HYPERLINK("#"&amp;ADDRESS(322,'r2'!A322),""),""))</f>
        <v/>
      </c>
      <c r="C322" s="31"/>
      <c r="D322" s="32"/>
    </row>
    <row r="323" spans="1:4" ht="24" customHeight="1" x14ac:dyDescent="0.25">
      <c r="A323" t="str">
        <f>IF('e2'!A323&gt;0,HYPERLINK("#"&amp;ADDRESS(323,'e2'!A323),""),IF('r2'!A323&gt;0,HYPERLINK("#"&amp;ADDRESS(323,'r2'!A323),""),""))</f>
        <v/>
      </c>
      <c r="C323" s="31"/>
      <c r="D323" s="32"/>
    </row>
    <row r="324" spans="1:4" ht="24" customHeight="1" x14ac:dyDescent="0.25">
      <c r="A324" t="str">
        <f>IF('e2'!A324&gt;0,HYPERLINK("#"&amp;ADDRESS(324,'e2'!A324),""),IF('r2'!A324&gt;0,HYPERLINK("#"&amp;ADDRESS(324,'r2'!A324),""),""))</f>
        <v/>
      </c>
      <c r="C324" s="31"/>
      <c r="D324" s="32"/>
    </row>
    <row r="325" spans="1:4" ht="24" customHeight="1" x14ac:dyDescent="0.25">
      <c r="A325" t="str">
        <f>IF('e2'!A325&gt;0,HYPERLINK("#"&amp;ADDRESS(325,'e2'!A325),""),IF('r2'!A325&gt;0,HYPERLINK("#"&amp;ADDRESS(325,'r2'!A325),""),""))</f>
        <v/>
      </c>
      <c r="C325" s="31"/>
      <c r="D325" s="32"/>
    </row>
    <row r="326" spans="1:4" ht="24" customHeight="1" x14ac:dyDescent="0.25">
      <c r="A326" t="str">
        <f>IF('e2'!A326&gt;0,HYPERLINK("#"&amp;ADDRESS(326,'e2'!A326),""),IF('r2'!A326&gt;0,HYPERLINK("#"&amp;ADDRESS(326,'r2'!A326),""),""))</f>
        <v/>
      </c>
      <c r="C326" s="31"/>
      <c r="D326" s="32"/>
    </row>
    <row r="327" spans="1:4" ht="24" customHeight="1" x14ac:dyDescent="0.25">
      <c r="A327" t="str">
        <f>IF('e2'!A327&gt;0,HYPERLINK("#"&amp;ADDRESS(327,'e2'!A327),""),IF('r2'!A327&gt;0,HYPERLINK("#"&amp;ADDRESS(327,'r2'!A327),""),""))</f>
        <v/>
      </c>
      <c r="C327" s="31"/>
      <c r="D327" s="32"/>
    </row>
    <row r="328" spans="1:4" ht="24" customHeight="1" x14ac:dyDescent="0.25">
      <c r="A328" t="str">
        <f>IF('e2'!A328&gt;0,HYPERLINK("#"&amp;ADDRESS(328,'e2'!A328),""),IF('r2'!A328&gt;0,HYPERLINK("#"&amp;ADDRESS(328,'r2'!A328),""),""))</f>
        <v/>
      </c>
      <c r="C328" s="31"/>
      <c r="D328" s="32"/>
    </row>
    <row r="329" spans="1:4" ht="24" customHeight="1" x14ac:dyDescent="0.25">
      <c r="A329" t="str">
        <f>IF('e2'!A329&gt;0,HYPERLINK("#"&amp;ADDRESS(329,'e2'!A329),""),IF('r2'!A329&gt;0,HYPERLINK("#"&amp;ADDRESS(329,'r2'!A329),""),""))</f>
        <v/>
      </c>
      <c r="C329" s="31"/>
      <c r="D329" s="32"/>
    </row>
    <row r="330" spans="1:4" ht="24" customHeight="1" x14ac:dyDescent="0.25">
      <c r="A330" t="str">
        <f>IF('e2'!A330&gt;0,HYPERLINK("#"&amp;ADDRESS(330,'e2'!A330),""),IF('r2'!A330&gt;0,HYPERLINK("#"&amp;ADDRESS(330,'r2'!A330),""),""))</f>
        <v/>
      </c>
      <c r="C330" s="31"/>
      <c r="D330" s="32"/>
    </row>
    <row r="331" spans="1:4" ht="24" customHeight="1" x14ac:dyDescent="0.25">
      <c r="A331" t="str">
        <f>IF('e2'!A331&gt;0,HYPERLINK("#"&amp;ADDRESS(331,'e2'!A331),""),IF('r2'!A331&gt;0,HYPERLINK("#"&amp;ADDRESS(331,'r2'!A331),""),""))</f>
        <v/>
      </c>
      <c r="C331" s="31"/>
      <c r="D331" s="32"/>
    </row>
    <row r="332" spans="1:4" ht="24" customHeight="1" x14ac:dyDescent="0.25">
      <c r="A332" t="str">
        <f>IF('e2'!A332&gt;0,HYPERLINK("#"&amp;ADDRESS(332,'e2'!A332),""),IF('r2'!A332&gt;0,HYPERLINK("#"&amp;ADDRESS(332,'r2'!A332),""),""))</f>
        <v/>
      </c>
      <c r="C332" s="31"/>
      <c r="D332" s="32"/>
    </row>
    <row r="333" spans="1:4" ht="24" customHeight="1" x14ac:dyDescent="0.25">
      <c r="A333" t="str">
        <f>IF('e2'!A333&gt;0,HYPERLINK("#"&amp;ADDRESS(333,'e2'!A333),""),IF('r2'!A333&gt;0,HYPERLINK("#"&amp;ADDRESS(333,'r2'!A333),""),""))</f>
        <v/>
      </c>
      <c r="C333" s="31"/>
      <c r="D333" s="32"/>
    </row>
    <row r="334" spans="1:4" ht="24" customHeight="1" x14ac:dyDescent="0.25">
      <c r="A334" t="str">
        <f>IF('e2'!A334&gt;0,HYPERLINK("#"&amp;ADDRESS(334,'e2'!A334),""),IF('r2'!A334&gt;0,HYPERLINK("#"&amp;ADDRESS(334,'r2'!A334),""),""))</f>
        <v/>
      </c>
      <c r="C334" s="31"/>
      <c r="D334" s="32"/>
    </row>
    <row r="335" spans="1:4" ht="24" customHeight="1" x14ac:dyDescent="0.25">
      <c r="A335" t="str">
        <f>IF('e2'!A335&gt;0,HYPERLINK("#"&amp;ADDRESS(335,'e2'!A335),""),IF('r2'!A335&gt;0,HYPERLINK("#"&amp;ADDRESS(335,'r2'!A335),""),""))</f>
        <v/>
      </c>
      <c r="C335" s="31"/>
      <c r="D335" s="32"/>
    </row>
    <row r="336" spans="1:4" ht="24" customHeight="1" x14ac:dyDescent="0.25">
      <c r="A336" t="str">
        <f>IF('e2'!A336&gt;0,HYPERLINK("#"&amp;ADDRESS(336,'e2'!A336),""),IF('r2'!A336&gt;0,HYPERLINK("#"&amp;ADDRESS(336,'r2'!A336),""),""))</f>
        <v/>
      </c>
      <c r="C336" s="31"/>
      <c r="D336" s="32"/>
    </row>
    <row r="337" spans="1:4" ht="24" customHeight="1" x14ac:dyDescent="0.25">
      <c r="A337" t="str">
        <f>IF('e2'!A337&gt;0,HYPERLINK("#"&amp;ADDRESS(337,'e2'!A337),""),IF('r2'!A337&gt;0,HYPERLINK("#"&amp;ADDRESS(337,'r2'!A337),""),""))</f>
        <v/>
      </c>
      <c r="C337" s="31"/>
      <c r="D337" s="32"/>
    </row>
    <row r="338" spans="1:4" ht="24" customHeight="1" x14ac:dyDescent="0.25">
      <c r="A338" t="str">
        <f>IF('e2'!A338&gt;0,HYPERLINK("#"&amp;ADDRESS(338,'e2'!A338),""),IF('r2'!A338&gt;0,HYPERLINK("#"&amp;ADDRESS(338,'r2'!A338),""),""))</f>
        <v/>
      </c>
      <c r="C338" s="31"/>
      <c r="D338" s="32"/>
    </row>
    <row r="339" spans="1:4" ht="24" customHeight="1" x14ac:dyDescent="0.25">
      <c r="A339" t="str">
        <f>IF('e2'!A339&gt;0,HYPERLINK("#"&amp;ADDRESS(339,'e2'!A339),""),IF('r2'!A339&gt;0,HYPERLINK("#"&amp;ADDRESS(339,'r2'!A339),""),""))</f>
        <v/>
      </c>
      <c r="C339" s="31"/>
      <c r="D339" s="32"/>
    </row>
    <row r="340" spans="1:4" ht="24" customHeight="1" x14ac:dyDescent="0.25">
      <c r="A340" t="str">
        <f>IF('e2'!A340&gt;0,HYPERLINK("#"&amp;ADDRESS(340,'e2'!A340),""),IF('r2'!A340&gt;0,HYPERLINK("#"&amp;ADDRESS(340,'r2'!A340),""),""))</f>
        <v/>
      </c>
      <c r="C340" s="31"/>
      <c r="D340" s="32"/>
    </row>
    <row r="341" spans="1:4" ht="24" customHeight="1" x14ac:dyDescent="0.25">
      <c r="A341" t="str">
        <f>IF('e2'!A341&gt;0,HYPERLINK("#"&amp;ADDRESS(341,'e2'!A341),""),IF('r2'!A341&gt;0,HYPERLINK("#"&amp;ADDRESS(341,'r2'!A341),""),""))</f>
        <v/>
      </c>
      <c r="C341" s="31"/>
      <c r="D341" s="32"/>
    </row>
    <row r="342" spans="1:4" ht="24" customHeight="1" x14ac:dyDescent="0.25">
      <c r="A342" t="str">
        <f>IF('e2'!A342&gt;0,HYPERLINK("#"&amp;ADDRESS(342,'e2'!A342),""),IF('r2'!A342&gt;0,HYPERLINK("#"&amp;ADDRESS(342,'r2'!A342),""),""))</f>
        <v/>
      </c>
      <c r="C342" s="31"/>
      <c r="D342" s="32"/>
    </row>
    <row r="343" spans="1:4" ht="24" customHeight="1" x14ac:dyDescent="0.25">
      <c r="A343" t="str">
        <f>IF('e2'!A343&gt;0,HYPERLINK("#"&amp;ADDRESS(343,'e2'!A343),""),IF('r2'!A343&gt;0,HYPERLINK("#"&amp;ADDRESS(343,'r2'!A343),""),""))</f>
        <v/>
      </c>
      <c r="C343" s="31"/>
      <c r="D343" s="32"/>
    </row>
    <row r="344" spans="1:4" ht="24" customHeight="1" x14ac:dyDescent="0.25">
      <c r="A344" t="str">
        <f>IF('e2'!A344&gt;0,HYPERLINK("#"&amp;ADDRESS(344,'e2'!A344),""),IF('r2'!A344&gt;0,HYPERLINK("#"&amp;ADDRESS(344,'r2'!A344),""),""))</f>
        <v/>
      </c>
      <c r="C344" s="31"/>
      <c r="D344" s="32"/>
    </row>
    <row r="345" spans="1:4" ht="24" customHeight="1" x14ac:dyDescent="0.25">
      <c r="A345" t="str">
        <f>IF('e2'!A345&gt;0,HYPERLINK("#"&amp;ADDRESS(345,'e2'!A345),""),IF('r2'!A345&gt;0,HYPERLINK("#"&amp;ADDRESS(345,'r2'!A345),""),""))</f>
        <v/>
      </c>
      <c r="C345" s="31"/>
      <c r="D345" s="32"/>
    </row>
    <row r="346" spans="1:4" ht="24" customHeight="1" x14ac:dyDescent="0.25">
      <c r="A346" t="str">
        <f>IF('e2'!A346&gt;0,HYPERLINK("#"&amp;ADDRESS(346,'e2'!A346),""),IF('r2'!A346&gt;0,HYPERLINK("#"&amp;ADDRESS(346,'r2'!A346),""),""))</f>
        <v/>
      </c>
      <c r="C346" s="31"/>
      <c r="D346" s="32"/>
    </row>
    <row r="347" spans="1:4" ht="24" customHeight="1" x14ac:dyDescent="0.25">
      <c r="A347" t="str">
        <f>IF('e2'!A347&gt;0,HYPERLINK("#"&amp;ADDRESS(347,'e2'!A347),""),IF('r2'!A347&gt;0,HYPERLINK("#"&amp;ADDRESS(347,'r2'!A347),""),""))</f>
        <v/>
      </c>
      <c r="C347" s="31"/>
      <c r="D347" s="32"/>
    </row>
    <row r="348" spans="1:4" ht="24" customHeight="1" x14ac:dyDescent="0.25">
      <c r="A348" t="str">
        <f>IF('e2'!A348&gt;0,HYPERLINK("#"&amp;ADDRESS(348,'e2'!A348),""),IF('r2'!A348&gt;0,HYPERLINK("#"&amp;ADDRESS(348,'r2'!A348),""),""))</f>
        <v/>
      </c>
      <c r="C348" s="31"/>
      <c r="D348" s="32"/>
    </row>
    <row r="349" spans="1:4" ht="24" customHeight="1" x14ac:dyDescent="0.25">
      <c r="A349" t="str">
        <f>IF('e2'!A349&gt;0,HYPERLINK("#"&amp;ADDRESS(349,'e2'!A349),""),IF('r2'!A349&gt;0,HYPERLINK("#"&amp;ADDRESS(349,'r2'!A349),""),""))</f>
        <v/>
      </c>
      <c r="C349" s="31"/>
      <c r="D349" s="32"/>
    </row>
    <row r="350" spans="1:4" ht="24" customHeight="1" x14ac:dyDescent="0.25">
      <c r="A350" t="str">
        <f>IF('e2'!A350&gt;0,HYPERLINK("#"&amp;ADDRESS(350,'e2'!A350),""),IF('r2'!A350&gt;0,HYPERLINK("#"&amp;ADDRESS(350,'r2'!A350),""),""))</f>
        <v/>
      </c>
      <c r="C350" s="31"/>
      <c r="D350" s="32"/>
    </row>
    <row r="351" spans="1:4" ht="24" customHeight="1" x14ac:dyDescent="0.25">
      <c r="A351" t="str">
        <f>IF('e2'!A351&gt;0,HYPERLINK("#"&amp;ADDRESS(351,'e2'!A351),""),IF('r2'!A351&gt;0,HYPERLINK("#"&amp;ADDRESS(351,'r2'!A351),""),""))</f>
        <v/>
      </c>
      <c r="C351" s="31"/>
      <c r="D351" s="32"/>
    </row>
    <row r="352" spans="1:4" ht="24" customHeight="1" x14ac:dyDescent="0.25">
      <c r="A352" t="str">
        <f>IF('e2'!A352&gt;0,HYPERLINK("#"&amp;ADDRESS(352,'e2'!A352),""),IF('r2'!A352&gt;0,HYPERLINK("#"&amp;ADDRESS(352,'r2'!A352),""),""))</f>
        <v/>
      </c>
      <c r="C352" s="31"/>
      <c r="D352" s="32"/>
    </row>
    <row r="353" spans="1:4" ht="24" customHeight="1" x14ac:dyDescent="0.25">
      <c r="A353" t="str">
        <f>IF('e2'!A353&gt;0,HYPERLINK("#"&amp;ADDRESS(353,'e2'!A353),""),IF('r2'!A353&gt;0,HYPERLINK("#"&amp;ADDRESS(353,'r2'!A353),""),""))</f>
        <v/>
      </c>
      <c r="C353" s="31"/>
      <c r="D353" s="32"/>
    </row>
    <row r="354" spans="1:4" ht="24" customHeight="1" x14ac:dyDescent="0.25">
      <c r="A354" t="str">
        <f>IF('e2'!A354&gt;0,HYPERLINK("#"&amp;ADDRESS(354,'e2'!A354),""),IF('r2'!A354&gt;0,HYPERLINK("#"&amp;ADDRESS(354,'r2'!A354),""),""))</f>
        <v/>
      </c>
      <c r="C354" s="31"/>
      <c r="D354" s="32"/>
    </row>
    <row r="355" spans="1:4" ht="24" customHeight="1" x14ac:dyDescent="0.25">
      <c r="A355" t="str">
        <f>IF('e2'!A355&gt;0,HYPERLINK("#"&amp;ADDRESS(355,'e2'!A355),""),IF('r2'!A355&gt;0,HYPERLINK("#"&amp;ADDRESS(355,'r2'!A355),""),""))</f>
        <v/>
      </c>
      <c r="C355" s="31"/>
      <c r="D355" s="32"/>
    </row>
    <row r="356" spans="1:4" ht="24" customHeight="1" x14ac:dyDescent="0.25">
      <c r="A356" t="str">
        <f>IF('e2'!A356&gt;0,HYPERLINK("#"&amp;ADDRESS(356,'e2'!A356),""),IF('r2'!A356&gt;0,HYPERLINK("#"&amp;ADDRESS(356,'r2'!A356),""),""))</f>
        <v/>
      </c>
      <c r="C356" s="31"/>
      <c r="D356" s="32"/>
    </row>
    <row r="357" spans="1:4" ht="24" customHeight="1" x14ac:dyDescent="0.25">
      <c r="A357" t="str">
        <f>IF('e2'!A357&gt;0,HYPERLINK("#"&amp;ADDRESS(357,'e2'!A357),""),IF('r2'!A357&gt;0,HYPERLINK("#"&amp;ADDRESS(357,'r2'!A357),""),""))</f>
        <v/>
      </c>
      <c r="C357" s="31"/>
      <c r="D357" s="32"/>
    </row>
    <row r="358" spans="1:4" ht="24" customHeight="1" x14ac:dyDescent="0.25">
      <c r="A358" t="str">
        <f>IF('e2'!A358&gt;0,HYPERLINK("#"&amp;ADDRESS(358,'e2'!A358),""),IF('r2'!A358&gt;0,HYPERLINK("#"&amp;ADDRESS(358,'r2'!A358),""),""))</f>
        <v/>
      </c>
      <c r="C358" s="31"/>
      <c r="D358" s="32"/>
    </row>
    <row r="359" spans="1:4" ht="24" customHeight="1" x14ac:dyDescent="0.25">
      <c r="A359" t="str">
        <f>IF('e2'!A359&gt;0,HYPERLINK("#"&amp;ADDRESS(359,'e2'!A359),""),IF('r2'!A359&gt;0,HYPERLINK("#"&amp;ADDRESS(359,'r2'!A359),""),""))</f>
        <v/>
      </c>
      <c r="C359" s="31"/>
      <c r="D359" s="32"/>
    </row>
    <row r="360" spans="1:4" ht="24" customHeight="1" x14ac:dyDescent="0.25">
      <c r="A360" t="str">
        <f>IF('e2'!A360&gt;0,HYPERLINK("#"&amp;ADDRESS(360,'e2'!A360),""),IF('r2'!A360&gt;0,HYPERLINK("#"&amp;ADDRESS(360,'r2'!A360),""),""))</f>
        <v/>
      </c>
      <c r="C360" s="31"/>
      <c r="D360" s="32"/>
    </row>
    <row r="361" spans="1:4" ht="24" customHeight="1" x14ac:dyDescent="0.25">
      <c r="A361" t="str">
        <f>IF('e2'!A361&gt;0,HYPERLINK("#"&amp;ADDRESS(361,'e2'!A361),""),IF('r2'!A361&gt;0,HYPERLINK("#"&amp;ADDRESS(361,'r2'!A361),""),""))</f>
        <v/>
      </c>
      <c r="C361" s="31"/>
      <c r="D361" s="32"/>
    </row>
    <row r="362" spans="1:4" ht="24" customHeight="1" x14ac:dyDescent="0.25">
      <c r="A362" t="str">
        <f>IF('e2'!A362&gt;0,HYPERLINK("#"&amp;ADDRESS(362,'e2'!A362),""),IF('r2'!A362&gt;0,HYPERLINK("#"&amp;ADDRESS(362,'r2'!A362),""),""))</f>
        <v/>
      </c>
      <c r="C362" s="31"/>
      <c r="D362" s="32"/>
    </row>
    <row r="363" spans="1:4" ht="24" customHeight="1" x14ac:dyDescent="0.25">
      <c r="A363" t="str">
        <f>IF('e2'!A363&gt;0,HYPERLINK("#"&amp;ADDRESS(363,'e2'!A363),""),IF('r2'!A363&gt;0,HYPERLINK("#"&amp;ADDRESS(363,'r2'!A363),""),""))</f>
        <v/>
      </c>
      <c r="C363" s="31"/>
      <c r="D363" s="32"/>
    </row>
    <row r="364" spans="1:4" ht="24" customHeight="1" x14ac:dyDescent="0.25">
      <c r="A364" t="str">
        <f>IF('e2'!A364&gt;0,HYPERLINK("#"&amp;ADDRESS(364,'e2'!A364),""),IF('r2'!A364&gt;0,HYPERLINK("#"&amp;ADDRESS(364,'r2'!A364),""),""))</f>
        <v/>
      </c>
      <c r="C364" s="31"/>
      <c r="D364" s="32"/>
    </row>
    <row r="365" spans="1:4" ht="24" customHeight="1" x14ac:dyDescent="0.25">
      <c r="A365" t="str">
        <f>IF('e2'!A365&gt;0,HYPERLINK("#"&amp;ADDRESS(365,'e2'!A365),""),IF('r2'!A365&gt;0,HYPERLINK("#"&amp;ADDRESS(365,'r2'!A365),""),""))</f>
        <v/>
      </c>
      <c r="C365" s="31"/>
      <c r="D365" s="32"/>
    </row>
    <row r="366" spans="1:4" ht="24" customHeight="1" x14ac:dyDescent="0.25">
      <c r="A366" t="str">
        <f>IF('e2'!A366&gt;0,HYPERLINK("#"&amp;ADDRESS(366,'e2'!A366),""),IF('r2'!A366&gt;0,HYPERLINK("#"&amp;ADDRESS(366,'r2'!A366),""),""))</f>
        <v/>
      </c>
      <c r="C366" s="31"/>
      <c r="D366" s="32"/>
    </row>
    <row r="367" spans="1:4" ht="24" customHeight="1" x14ac:dyDescent="0.25">
      <c r="A367" t="str">
        <f>IF('e2'!A367&gt;0,HYPERLINK("#"&amp;ADDRESS(367,'e2'!A367),""),IF('r2'!A367&gt;0,HYPERLINK("#"&amp;ADDRESS(367,'r2'!A367),""),""))</f>
        <v/>
      </c>
      <c r="C367" s="31"/>
      <c r="D367" s="32"/>
    </row>
    <row r="368" spans="1:4" ht="24" customHeight="1" x14ac:dyDescent="0.25">
      <c r="A368" t="str">
        <f>IF('e2'!A368&gt;0,HYPERLINK("#"&amp;ADDRESS(368,'e2'!A368),""),IF('r2'!A368&gt;0,HYPERLINK("#"&amp;ADDRESS(368,'r2'!A368),""),""))</f>
        <v/>
      </c>
      <c r="C368" s="31"/>
      <c r="D368" s="32"/>
    </row>
    <row r="369" spans="1:4" ht="24" customHeight="1" x14ac:dyDescent="0.25">
      <c r="A369" t="str">
        <f>IF('e2'!A369&gt;0,HYPERLINK("#"&amp;ADDRESS(369,'e2'!A369),""),IF('r2'!A369&gt;0,HYPERLINK("#"&amp;ADDRESS(369,'r2'!A369),""),""))</f>
        <v/>
      </c>
      <c r="C369" s="31"/>
      <c r="D369" s="32"/>
    </row>
    <row r="370" spans="1:4" ht="24" customHeight="1" x14ac:dyDescent="0.25">
      <c r="A370" t="str">
        <f>IF('e2'!A370&gt;0,HYPERLINK("#"&amp;ADDRESS(370,'e2'!A370),""),IF('r2'!A370&gt;0,HYPERLINK("#"&amp;ADDRESS(370,'r2'!A370),""),""))</f>
        <v/>
      </c>
      <c r="C370" s="31"/>
      <c r="D370" s="32"/>
    </row>
    <row r="371" spans="1:4" ht="24" customHeight="1" x14ac:dyDescent="0.25">
      <c r="A371" t="str">
        <f>IF('e2'!A371&gt;0,HYPERLINK("#"&amp;ADDRESS(371,'e2'!A371),""),IF('r2'!A371&gt;0,HYPERLINK("#"&amp;ADDRESS(371,'r2'!A371),""),""))</f>
        <v/>
      </c>
      <c r="C371" s="31"/>
      <c r="D371" s="32"/>
    </row>
    <row r="372" spans="1:4" ht="24" customHeight="1" x14ac:dyDescent="0.25">
      <c r="A372" t="str">
        <f>IF('e2'!A372&gt;0,HYPERLINK("#"&amp;ADDRESS(372,'e2'!A372),""),IF('r2'!A372&gt;0,HYPERLINK("#"&amp;ADDRESS(372,'r2'!A372),""),""))</f>
        <v/>
      </c>
      <c r="C372" s="31"/>
      <c r="D372" s="32"/>
    </row>
    <row r="373" spans="1:4" ht="24" customHeight="1" x14ac:dyDescent="0.25">
      <c r="A373" t="str">
        <f>IF('e2'!A373&gt;0,HYPERLINK("#"&amp;ADDRESS(373,'e2'!A373),""),IF('r2'!A373&gt;0,HYPERLINK("#"&amp;ADDRESS(373,'r2'!A373),""),""))</f>
        <v/>
      </c>
      <c r="C373" s="31"/>
      <c r="D373" s="32"/>
    </row>
    <row r="374" spans="1:4" ht="24" customHeight="1" x14ac:dyDescent="0.25">
      <c r="A374" t="str">
        <f>IF('e2'!A374&gt;0,HYPERLINK("#"&amp;ADDRESS(374,'e2'!A374),""),IF('r2'!A374&gt;0,HYPERLINK("#"&amp;ADDRESS(374,'r2'!A374),""),""))</f>
        <v/>
      </c>
      <c r="C374" s="31"/>
      <c r="D374" s="32"/>
    </row>
    <row r="375" spans="1:4" ht="24" customHeight="1" x14ac:dyDescent="0.25">
      <c r="A375" t="str">
        <f>IF('e2'!A375&gt;0,HYPERLINK("#"&amp;ADDRESS(375,'e2'!A375),""),IF('r2'!A375&gt;0,HYPERLINK("#"&amp;ADDRESS(375,'r2'!A375),""),""))</f>
        <v/>
      </c>
      <c r="C375" s="31"/>
      <c r="D375" s="32"/>
    </row>
    <row r="376" spans="1:4" ht="24" customHeight="1" x14ac:dyDescent="0.25">
      <c r="A376" t="str">
        <f>IF('e2'!A376&gt;0,HYPERLINK("#"&amp;ADDRESS(376,'e2'!A376),""),IF('r2'!A376&gt;0,HYPERLINK("#"&amp;ADDRESS(376,'r2'!A376),""),""))</f>
        <v/>
      </c>
      <c r="C376" s="31"/>
      <c r="D376" s="32"/>
    </row>
    <row r="377" spans="1:4" ht="24" customHeight="1" x14ac:dyDescent="0.25">
      <c r="A377" t="str">
        <f>IF('e2'!A377&gt;0,HYPERLINK("#"&amp;ADDRESS(377,'e2'!A377),""),IF('r2'!A377&gt;0,HYPERLINK("#"&amp;ADDRESS(377,'r2'!A377),""),""))</f>
        <v/>
      </c>
      <c r="C377" s="31"/>
      <c r="D377" s="32"/>
    </row>
    <row r="378" spans="1:4" ht="24" customHeight="1" x14ac:dyDescent="0.25">
      <c r="A378" t="str">
        <f>IF('e2'!A378&gt;0,HYPERLINK("#"&amp;ADDRESS(378,'e2'!A378),""),IF('r2'!A378&gt;0,HYPERLINK("#"&amp;ADDRESS(378,'r2'!A378),""),""))</f>
        <v/>
      </c>
      <c r="C378" s="31"/>
      <c r="D378" s="32"/>
    </row>
    <row r="379" spans="1:4" ht="24" customHeight="1" x14ac:dyDescent="0.25">
      <c r="A379" t="str">
        <f>IF('e2'!A379&gt;0,HYPERLINK("#"&amp;ADDRESS(379,'e2'!A379),""),IF('r2'!A379&gt;0,HYPERLINK("#"&amp;ADDRESS(379,'r2'!A379),""),""))</f>
        <v/>
      </c>
      <c r="C379" s="31"/>
      <c r="D379" s="32"/>
    </row>
    <row r="380" spans="1:4" ht="24" customHeight="1" x14ac:dyDescent="0.25">
      <c r="A380" t="str">
        <f>IF('e2'!A380&gt;0,HYPERLINK("#"&amp;ADDRESS(380,'e2'!A380),""),IF('r2'!A380&gt;0,HYPERLINK("#"&amp;ADDRESS(380,'r2'!A380),""),""))</f>
        <v/>
      </c>
      <c r="C380" s="31"/>
      <c r="D380" s="32"/>
    </row>
    <row r="381" spans="1:4" ht="24" customHeight="1" x14ac:dyDescent="0.25">
      <c r="A381" t="str">
        <f>IF('e2'!A381&gt;0,HYPERLINK("#"&amp;ADDRESS(381,'e2'!A381),""),IF('r2'!A381&gt;0,HYPERLINK("#"&amp;ADDRESS(381,'r2'!A381),""),""))</f>
        <v/>
      </c>
      <c r="C381" s="31"/>
      <c r="D381" s="32"/>
    </row>
    <row r="382" spans="1:4" ht="24" customHeight="1" x14ac:dyDescent="0.25">
      <c r="A382" t="str">
        <f>IF('e2'!A382&gt;0,HYPERLINK("#"&amp;ADDRESS(382,'e2'!A382),""),IF('r2'!A382&gt;0,HYPERLINK("#"&amp;ADDRESS(382,'r2'!A382),""),""))</f>
        <v/>
      </c>
      <c r="C382" s="31"/>
      <c r="D382" s="32"/>
    </row>
    <row r="383" spans="1:4" ht="24" customHeight="1" x14ac:dyDescent="0.25">
      <c r="A383" t="str">
        <f>IF('e2'!A383&gt;0,HYPERLINK("#"&amp;ADDRESS(383,'e2'!A383),""),IF('r2'!A383&gt;0,HYPERLINK("#"&amp;ADDRESS(383,'r2'!A383),""),""))</f>
        <v/>
      </c>
      <c r="C383" s="31"/>
      <c r="D383" s="32"/>
    </row>
    <row r="384" spans="1:4" ht="24" customHeight="1" x14ac:dyDescent="0.25">
      <c r="A384" t="str">
        <f>IF('e2'!A384&gt;0,HYPERLINK("#"&amp;ADDRESS(384,'e2'!A384),""),IF('r2'!A384&gt;0,HYPERLINK("#"&amp;ADDRESS(384,'r2'!A384),""),""))</f>
        <v/>
      </c>
      <c r="C384" s="31"/>
      <c r="D384" s="32"/>
    </row>
    <row r="385" spans="1:4" ht="24" customHeight="1" x14ac:dyDescent="0.25">
      <c r="A385" t="str">
        <f>IF('e2'!A385&gt;0,HYPERLINK("#"&amp;ADDRESS(385,'e2'!A385),""),IF('r2'!A385&gt;0,HYPERLINK("#"&amp;ADDRESS(385,'r2'!A385),""),""))</f>
        <v/>
      </c>
      <c r="C385" s="31"/>
      <c r="D385" s="32"/>
    </row>
    <row r="386" spans="1:4" ht="24" customHeight="1" x14ac:dyDescent="0.25">
      <c r="A386" t="str">
        <f>IF('e2'!A386&gt;0,HYPERLINK("#"&amp;ADDRESS(386,'e2'!A386),""),IF('r2'!A386&gt;0,HYPERLINK("#"&amp;ADDRESS(386,'r2'!A386),""),""))</f>
        <v/>
      </c>
      <c r="C386" s="31"/>
      <c r="D386" s="32"/>
    </row>
    <row r="387" spans="1:4" ht="24" customHeight="1" x14ac:dyDescent="0.25">
      <c r="A387" t="str">
        <f>IF('e2'!A387&gt;0,HYPERLINK("#"&amp;ADDRESS(387,'e2'!A387),""),IF('r2'!A387&gt;0,HYPERLINK("#"&amp;ADDRESS(387,'r2'!A387),""),""))</f>
        <v/>
      </c>
      <c r="C387" s="31"/>
      <c r="D387" s="32"/>
    </row>
    <row r="388" spans="1:4" ht="24" customHeight="1" x14ac:dyDescent="0.25">
      <c r="A388" t="str">
        <f>IF('e2'!A388&gt;0,HYPERLINK("#"&amp;ADDRESS(388,'e2'!A388),""),IF('r2'!A388&gt;0,HYPERLINK("#"&amp;ADDRESS(388,'r2'!A388),""),""))</f>
        <v/>
      </c>
      <c r="C388" s="31"/>
      <c r="D388" s="32"/>
    </row>
    <row r="389" spans="1:4" ht="24" customHeight="1" x14ac:dyDescent="0.25">
      <c r="A389" t="str">
        <f>IF('e2'!A389&gt;0,HYPERLINK("#"&amp;ADDRESS(389,'e2'!A389),""),IF('r2'!A389&gt;0,HYPERLINK("#"&amp;ADDRESS(389,'r2'!A389),""),""))</f>
        <v/>
      </c>
      <c r="C389" s="31"/>
      <c r="D389" s="32"/>
    </row>
    <row r="390" spans="1:4" ht="24" customHeight="1" x14ac:dyDescent="0.25">
      <c r="A390" t="str">
        <f>IF('e2'!A390&gt;0,HYPERLINK("#"&amp;ADDRESS(390,'e2'!A390),""),IF('r2'!A390&gt;0,HYPERLINK("#"&amp;ADDRESS(390,'r2'!A390),""),""))</f>
        <v/>
      </c>
      <c r="C390" s="31"/>
      <c r="D390" s="32"/>
    </row>
    <row r="391" spans="1:4" ht="24" customHeight="1" x14ac:dyDescent="0.25">
      <c r="A391" t="str">
        <f>IF('e2'!A391&gt;0,HYPERLINK("#"&amp;ADDRESS(391,'e2'!A391),""),IF('r2'!A391&gt;0,HYPERLINK("#"&amp;ADDRESS(391,'r2'!A391),""),""))</f>
        <v/>
      </c>
      <c r="C391" s="31"/>
      <c r="D391" s="32"/>
    </row>
    <row r="392" spans="1:4" ht="24" customHeight="1" x14ac:dyDescent="0.25">
      <c r="A392" t="str">
        <f>IF('e2'!A392&gt;0,HYPERLINK("#"&amp;ADDRESS(392,'e2'!A392),""),IF('r2'!A392&gt;0,HYPERLINK("#"&amp;ADDRESS(392,'r2'!A392),""),""))</f>
        <v/>
      </c>
      <c r="C392" s="31"/>
      <c r="D392" s="32"/>
    </row>
    <row r="393" spans="1:4" ht="24" customHeight="1" x14ac:dyDescent="0.25">
      <c r="A393" t="str">
        <f>IF('e2'!A393&gt;0,HYPERLINK("#"&amp;ADDRESS(393,'e2'!A393),""),IF('r2'!A393&gt;0,HYPERLINK("#"&amp;ADDRESS(393,'r2'!A393),""),""))</f>
        <v/>
      </c>
      <c r="C393" s="31"/>
      <c r="D393" s="32"/>
    </row>
    <row r="394" spans="1:4" ht="24" customHeight="1" x14ac:dyDescent="0.25">
      <c r="A394" t="str">
        <f>IF('e2'!A394&gt;0,HYPERLINK("#"&amp;ADDRESS(394,'e2'!A394),""),IF('r2'!A394&gt;0,HYPERLINK("#"&amp;ADDRESS(394,'r2'!A394),""),""))</f>
        <v/>
      </c>
      <c r="C394" s="31"/>
      <c r="D394" s="32"/>
    </row>
    <row r="395" spans="1:4" ht="24" customHeight="1" x14ac:dyDescent="0.25">
      <c r="A395" t="str">
        <f>IF('e2'!A395&gt;0,HYPERLINK("#"&amp;ADDRESS(395,'e2'!A395),""),IF('r2'!A395&gt;0,HYPERLINK("#"&amp;ADDRESS(395,'r2'!A395),""),""))</f>
        <v/>
      </c>
      <c r="C395" s="31"/>
      <c r="D395" s="32"/>
    </row>
    <row r="396" spans="1:4" ht="24" customHeight="1" x14ac:dyDescent="0.25">
      <c r="A396" t="str">
        <f>IF('e2'!A396&gt;0,HYPERLINK("#"&amp;ADDRESS(396,'e2'!A396),""),IF('r2'!A396&gt;0,HYPERLINK("#"&amp;ADDRESS(396,'r2'!A396),""),""))</f>
        <v/>
      </c>
      <c r="C396" s="31"/>
      <c r="D396" s="32"/>
    </row>
    <row r="397" spans="1:4" ht="24" customHeight="1" x14ac:dyDescent="0.25">
      <c r="A397" t="str">
        <f>IF('e2'!A397&gt;0,HYPERLINK("#"&amp;ADDRESS(397,'e2'!A397),""),IF('r2'!A397&gt;0,HYPERLINK("#"&amp;ADDRESS(397,'r2'!A397),""),""))</f>
        <v/>
      </c>
      <c r="C397" s="31"/>
      <c r="D397" s="32"/>
    </row>
    <row r="398" spans="1:4" ht="24" customHeight="1" x14ac:dyDescent="0.25">
      <c r="A398" t="str">
        <f>IF('e2'!A398&gt;0,HYPERLINK("#"&amp;ADDRESS(398,'e2'!A398),""),IF('r2'!A398&gt;0,HYPERLINK("#"&amp;ADDRESS(398,'r2'!A398),""),""))</f>
        <v/>
      </c>
      <c r="C398" s="31"/>
      <c r="D398" s="32"/>
    </row>
    <row r="399" spans="1:4" ht="24" customHeight="1" x14ac:dyDescent="0.25">
      <c r="A399" t="str">
        <f>IF('e2'!A399&gt;0,HYPERLINK("#"&amp;ADDRESS(399,'e2'!A399),""),IF('r2'!A399&gt;0,HYPERLINK("#"&amp;ADDRESS(399,'r2'!A399),""),""))</f>
        <v/>
      </c>
      <c r="C399" s="31"/>
      <c r="D399" s="32"/>
    </row>
    <row r="400" spans="1:4" ht="24" customHeight="1" x14ac:dyDescent="0.25">
      <c r="A400" t="str">
        <f>IF('e2'!A400&gt;0,HYPERLINK("#"&amp;ADDRESS(400,'e2'!A400),""),IF('r2'!A400&gt;0,HYPERLINK("#"&amp;ADDRESS(400,'r2'!A400),""),""))</f>
        <v/>
      </c>
      <c r="C400" s="31"/>
      <c r="D400" s="32"/>
    </row>
    <row r="401" spans="1:4" ht="24" customHeight="1" x14ac:dyDescent="0.25">
      <c r="A401" t="str">
        <f>IF('e2'!A401&gt;0,HYPERLINK("#"&amp;ADDRESS(401,'e2'!A401),""),IF('r2'!A401&gt;0,HYPERLINK("#"&amp;ADDRESS(401,'r2'!A401),""),""))</f>
        <v/>
      </c>
      <c r="C401" s="31"/>
      <c r="D401" s="32"/>
    </row>
    <row r="402" spans="1:4" ht="24" customHeight="1" x14ac:dyDescent="0.25">
      <c r="A402" t="str">
        <f>IF('e2'!A402&gt;0,HYPERLINK("#"&amp;ADDRESS(402,'e2'!A402),""),IF('r2'!A402&gt;0,HYPERLINK("#"&amp;ADDRESS(402,'r2'!A402),""),""))</f>
        <v/>
      </c>
      <c r="C402" s="31"/>
      <c r="D402" s="32"/>
    </row>
    <row r="403" spans="1:4" ht="24" customHeight="1" x14ac:dyDescent="0.25">
      <c r="A403" t="str">
        <f>IF('e2'!A403&gt;0,HYPERLINK("#"&amp;ADDRESS(403,'e2'!A403),""),IF('r2'!A403&gt;0,HYPERLINK("#"&amp;ADDRESS(403,'r2'!A403),""),""))</f>
        <v/>
      </c>
      <c r="C403" s="31"/>
      <c r="D403" s="32"/>
    </row>
    <row r="404" spans="1:4" ht="24" customHeight="1" x14ac:dyDescent="0.25">
      <c r="A404" t="str">
        <f>IF('e2'!A404&gt;0,HYPERLINK("#"&amp;ADDRESS(404,'e2'!A404),""),IF('r2'!A404&gt;0,HYPERLINK("#"&amp;ADDRESS(404,'r2'!A404),""),""))</f>
        <v/>
      </c>
      <c r="C404" s="31"/>
      <c r="D404" s="32"/>
    </row>
    <row r="405" spans="1:4" ht="24" customHeight="1" x14ac:dyDescent="0.25">
      <c r="A405" t="str">
        <f>IF('e2'!A405&gt;0,HYPERLINK("#"&amp;ADDRESS(405,'e2'!A405),""),IF('r2'!A405&gt;0,HYPERLINK("#"&amp;ADDRESS(405,'r2'!A405),""),""))</f>
        <v/>
      </c>
      <c r="C405" s="31"/>
      <c r="D405" s="32"/>
    </row>
    <row r="406" spans="1:4" ht="24" customHeight="1" x14ac:dyDescent="0.25">
      <c r="A406" t="str">
        <f>IF('e2'!A406&gt;0,HYPERLINK("#"&amp;ADDRESS(406,'e2'!A406),""),IF('r2'!A406&gt;0,HYPERLINK("#"&amp;ADDRESS(406,'r2'!A406),""),""))</f>
        <v/>
      </c>
      <c r="C406" s="31"/>
      <c r="D406" s="32"/>
    </row>
    <row r="407" spans="1:4" ht="24" customHeight="1" x14ac:dyDescent="0.25">
      <c r="A407" t="str">
        <f>IF('e2'!A407&gt;0,HYPERLINK("#"&amp;ADDRESS(407,'e2'!A407),""),IF('r2'!A407&gt;0,HYPERLINK("#"&amp;ADDRESS(407,'r2'!A407),""),""))</f>
        <v/>
      </c>
      <c r="C407" s="31"/>
      <c r="D407" s="32"/>
    </row>
    <row r="408" spans="1:4" ht="24" customHeight="1" x14ac:dyDescent="0.25">
      <c r="A408" t="str">
        <f>IF('e2'!A408&gt;0,HYPERLINK("#"&amp;ADDRESS(408,'e2'!A408),""),IF('r2'!A408&gt;0,HYPERLINK("#"&amp;ADDRESS(408,'r2'!A408),""),""))</f>
        <v/>
      </c>
      <c r="C408" s="31"/>
      <c r="D408" s="32"/>
    </row>
    <row r="409" spans="1:4" ht="24" customHeight="1" x14ac:dyDescent="0.25">
      <c r="A409" t="str">
        <f>IF('e2'!A409&gt;0,HYPERLINK("#"&amp;ADDRESS(409,'e2'!A409),""),IF('r2'!A409&gt;0,HYPERLINK("#"&amp;ADDRESS(409,'r2'!A409),""),""))</f>
        <v/>
      </c>
      <c r="C409" s="31"/>
      <c r="D409" s="32"/>
    </row>
    <row r="410" spans="1:4" ht="24" customHeight="1" x14ac:dyDescent="0.25">
      <c r="A410" t="str">
        <f>IF('e2'!A410&gt;0,HYPERLINK("#"&amp;ADDRESS(410,'e2'!A410),""),IF('r2'!A410&gt;0,HYPERLINK("#"&amp;ADDRESS(410,'r2'!A410),""),""))</f>
        <v/>
      </c>
      <c r="C410" s="31"/>
      <c r="D410" s="32"/>
    </row>
    <row r="411" spans="1:4" ht="24" customHeight="1" x14ac:dyDescent="0.25">
      <c r="A411" t="str">
        <f>IF('e2'!A411&gt;0,HYPERLINK("#"&amp;ADDRESS(411,'e2'!A411),""),IF('r2'!A411&gt;0,HYPERLINK("#"&amp;ADDRESS(411,'r2'!A411),""),""))</f>
        <v/>
      </c>
      <c r="C411" s="31"/>
      <c r="D411" s="32"/>
    </row>
    <row r="412" spans="1:4" ht="24" customHeight="1" x14ac:dyDescent="0.25">
      <c r="A412" t="str">
        <f>IF('e2'!A412&gt;0,HYPERLINK("#"&amp;ADDRESS(412,'e2'!A412),""),IF('r2'!A412&gt;0,HYPERLINK("#"&amp;ADDRESS(412,'r2'!A412),""),""))</f>
        <v/>
      </c>
      <c r="C412" s="31"/>
      <c r="D412" s="32"/>
    </row>
    <row r="413" spans="1:4" ht="24" customHeight="1" x14ac:dyDescent="0.25">
      <c r="A413" t="str">
        <f>IF('e2'!A413&gt;0,HYPERLINK("#"&amp;ADDRESS(413,'e2'!A413),""),IF('r2'!A413&gt;0,HYPERLINK("#"&amp;ADDRESS(413,'r2'!A413),""),""))</f>
        <v/>
      </c>
      <c r="C413" s="31"/>
      <c r="D413" s="32"/>
    </row>
    <row r="414" spans="1:4" ht="24" customHeight="1" x14ac:dyDescent="0.25">
      <c r="A414" t="str">
        <f>IF('e2'!A414&gt;0,HYPERLINK("#"&amp;ADDRESS(414,'e2'!A414),""),IF('r2'!A414&gt;0,HYPERLINK("#"&amp;ADDRESS(414,'r2'!A414),""),""))</f>
        <v/>
      </c>
      <c r="C414" s="31"/>
      <c r="D414" s="32"/>
    </row>
    <row r="415" spans="1:4" ht="24" customHeight="1" x14ac:dyDescent="0.25">
      <c r="A415" t="str">
        <f>IF('e2'!A415&gt;0,HYPERLINK("#"&amp;ADDRESS(415,'e2'!A415),""),IF('r2'!A415&gt;0,HYPERLINK("#"&amp;ADDRESS(415,'r2'!A415),""),""))</f>
        <v/>
      </c>
      <c r="C415" s="31"/>
      <c r="D415" s="32"/>
    </row>
    <row r="416" spans="1:4" ht="24" customHeight="1" x14ac:dyDescent="0.25">
      <c r="A416" t="str">
        <f>IF('e2'!A416&gt;0,HYPERLINK("#"&amp;ADDRESS(416,'e2'!A416),""),IF('r2'!A416&gt;0,HYPERLINK("#"&amp;ADDRESS(416,'r2'!A416),""),""))</f>
        <v/>
      </c>
      <c r="C416" s="31"/>
      <c r="D416" s="32"/>
    </row>
    <row r="417" spans="1:4" ht="24" customHeight="1" x14ac:dyDescent="0.25">
      <c r="A417" t="str">
        <f>IF('e2'!A417&gt;0,HYPERLINK("#"&amp;ADDRESS(417,'e2'!A417),""),IF('r2'!A417&gt;0,HYPERLINK("#"&amp;ADDRESS(417,'r2'!A417),""),""))</f>
        <v/>
      </c>
      <c r="C417" s="31"/>
      <c r="D417" s="32"/>
    </row>
    <row r="418" spans="1:4" ht="24" customHeight="1" x14ac:dyDescent="0.25">
      <c r="A418" t="str">
        <f>IF('e2'!A418&gt;0,HYPERLINK("#"&amp;ADDRESS(418,'e2'!A418),""),IF('r2'!A418&gt;0,HYPERLINK("#"&amp;ADDRESS(418,'r2'!A418),""),""))</f>
        <v/>
      </c>
      <c r="C418" s="31"/>
      <c r="D418" s="32"/>
    </row>
    <row r="419" spans="1:4" ht="24" customHeight="1" x14ac:dyDescent="0.25">
      <c r="A419" t="str">
        <f>IF('e2'!A419&gt;0,HYPERLINK("#"&amp;ADDRESS(419,'e2'!A419),""),IF('r2'!A419&gt;0,HYPERLINK("#"&amp;ADDRESS(419,'r2'!A419),""),""))</f>
        <v/>
      </c>
      <c r="C419" s="31"/>
      <c r="D419" s="32"/>
    </row>
    <row r="420" spans="1:4" ht="24" customHeight="1" x14ac:dyDescent="0.25">
      <c r="A420" t="str">
        <f>IF('e2'!A420&gt;0,HYPERLINK("#"&amp;ADDRESS(420,'e2'!A420),""),IF('r2'!A420&gt;0,HYPERLINK("#"&amp;ADDRESS(420,'r2'!A420),""),""))</f>
        <v/>
      </c>
      <c r="C420" s="31"/>
      <c r="D420" s="32"/>
    </row>
    <row r="421" spans="1:4" ht="24" customHeight="1" x14ac:dyDescent="0.25">
      <c r="A421" t="str">
        <f>IF('e2'!A421&gt;0,HYPERLINK("#"&amp;ADDRESS(421,'e2'!A421),""),IF('r2'!A421&gt;0,HYPERLINK("#"&amp;ADDRESS(421,'r2'!A421),""),""))</f>
        <v/>
      </c>
      <c r="C421" s="31"/>
      <c r="D421" s="32"/>
    </row>
    <row r="422" spans="1:4" ht="24" customHeight="1" x14ac:dyDescent="0.25">
      <c r="A422" t="str">
        <f>IF('e2'!A422&gt;0,HYPERLINK("#"&amp;ADDRESS(422,'e2'!A422),""),IF('r2'!A422&gt;0,HYPERLINK("#"&amp;ADDRESS(422,'r2'!A422),""),""))</f>
        <v/>
      </c>
      <c r="C422" s="31"/>
      <c r="D422" s="32"/>
    </row>
    <row r="423" spans="1:4" ht="24" customHeight="1" x14ac:dyDescent="0.25">
      <c r="A423" t="str">
        <f>IF('e2'!A423&gt;0,HYPERLINK("#"&amp;ADDRESS(423,'e2'!A423),""),IF('r2'!A423&gt;0,HYPERLINK("#"&amp;ADDRESS(423,'r2'!A423),""),""))</f>
        <v/>
      </c>
      <c r="C423" s="31"/>
      <c r="D423" s="32"/>
    </row>
    <row r="424" spans="1:4" ht="24" customHeight="1" x14ac:dyDescent="0.25">
      <c r="A424" t="str">
        <f>IF('e2'!A424&gt;0,HYPERLINK("#"&amp;ADDRESS(424,'e2'!A424),""),IF('r2'!A424&gt;0,HYPERLINK("#"&amp;ADDRESS(424,'r2'!A424),""),""))</f>
        <v/>
      </c>
      <c r="C424" s="31"/>
      <c r="D424" s="32"/>
    </row>
    <row r="425" spans="1:4" ht="24" customHeight="1" x14ac:dyDescent="0.25">
      <c r="A425" t="str">
        <f>IF('e2'!A425&gt;0,HYPERLINK("#"&amp;ADDRESS(425,'e2'!A425),""),IF('r2'!A425&gt;0,HYPERLINK("#"&amp;ADDRESS(425,'r2'!A425),""),""))</f>
        <v/>
      </c>
      <c r="C425" s="31"/>
      <c r="D425" s="32"/>
    </row>
    <row r="426" spans="1:4" ht="24" customHeight="1" x14ac:dyDescent="0.25">
      <c r="A426" t="str">
        <f>IF('e2'!A426&gt;0,HYPERLINK("#"&amp;ADDRESS(426,'e2'!A426),""),IF('r2'!A426&gt;0,HYPERLINK("#"&amp;ADDRESS(426,'r2'!A426),""),""))</f>
        <v/>
      </c>
      <c r="C426" s="31"/>
      <c r="D426" s="32"/>
    </row>
    <row r="427" spans="1:4" ht="24" customHeight="1" x14ac:dyDescent="0.25">
      <c r="A427" t="str">
        <f>IF('e2'!A427&gt;0,HYPERLINK("#"&amp;ADDRESS(427,'e2'!A427),""),IF('r2'!A427&gt;0,HYPERLINK("#"&amp;ADDRESS(427,'r2'!A427),""),""))</f>
        <v/>
      </c>
      <c r="C427" s="31"/>
      <c r="D427" s="32"/>
    </row>
    <row r="428" spans="1:4" ht="24" customHeight="1" x14ac:dyDescent="0.25">
      <c r="A428" t="str">
        <f>IF('e2'!A428&gt;0,HYPERLINK("#"&amp;ADDRESS(428,'e2'!A428),""),IF('r2'!A428&gt;0,HYPERLINK("#"&amp;ADDRESS(428,'r2'!A428),""),""))</f>
        <v/>
      </c>
      <c r="C428" s="31"/>
      <c r="D428" s="32"/>
    </row>
    <row r="429" spans="1:4" ht="24" customHeight="1" x14ac:dyDescent="0.25">
      <c r="A429" t="str">
        <f>IF('e2'!A429&gt;0,HYPERLINK("#"&amp;ADDRESS(429,'e2'!A429),""),IF('r2'!A429&gt;0,HYPERLINK("#"&amp;ADDRESS(429,'r2'!A429),""),""))</f>
        <v/>
      </c>
      <c r="C429" s="31"/>
      <c r="D429" s="32"/>
    </row>
    <row r="430" spans="1:4" ht="24" customHeight="1" x14ac:dyDescent="0.25">
      <c r="A430" t="str">
        <f>IF('e2'!A430&gt;0,HYPERLINK("#"&amp;ADDRESS(430,'e2'!A430),""),IF('r2'!A430&gt;0,HYPERLINK("#"&amp;ADDRESS(430,'r2'!A430),""),""))</f>
        <v/>
      </c>
      <c r="C430" s="31"/>
      <c r="D430" s="32"/>
    </row>
    <row r="431" spans="1:4" ht="24" customHeight="1" x14ac:dyDescent="0.25">
      <c r="A431" t="str">
        <f>IF('e2'!A431&gt;0,HYPERLINK("#"&amp;ADDRESS(431,'e2'!A431),""),IF('r2'!A431&gt;0,HYPERLINK("#"&amp;ADDRESS(431,'r2'!A431),""),""))</f>
        <v/>
      </c>
      <c r="C431" s="31"/>
      <c r="D431" s="32"/>
    </row>
    <row r="432" spans="1:4" ht="24" customHeight="1" x14ac:dyDescent="0.25">
      <c r="A432" t="str">
        <f>IF('e2'!A432&gt;0,HYPERLINK("#"&amp;ADDRESS(432,'e2'!A432),""),IF('r2'!A432&gt;0,HYPERLINK("#"&amp;ADDRESS(432,'r2'!A432),""),""))</f>
        <v/>
      </c>
      <c r="C432" s="31"/>
      <c r="D432" s="32"/>
    </row>
    <row r="433" spans="1:4" ht="24" customHeight="1" x14ac:dyDescent="0.25">
      <c r="A433" t="str">
        <f>IF('e2'!A433&gt;0,HYPERLINK("#"&amp;ADDRESS(433,'e2'!A433),""),IF('r2'!A433&gt;0,HYPERLINK("#"&amp;ADDRESS(433,'r2'!A433),""),""))</f>
        <v/>
      </c>
      <c r="C433" s="31"/>
      <c r="D433" s="32"/>
    </row>
    <row r="434" spans="1:4" ht="24" customHeight="1" x14ac:dyDescent="0.25">
      <c r="A434" t="str">
        <f>IF('e2'!A434&gt;0,HYPERLINK("#"&amp;ADDRESS(434,'e2'!A434),""),IF('r2'!A434&gt;0,HYPERLINK("#"&amp;ADDRESS(434,'r2'!A434),""),""))</f>
        <v/>
      </c>
      <c r="C434" s="31"/>
      <c r="D434" s="32"/>
    </row>
    <row r="435" spans="1:4" ht="24" customHeight="1" x14ac:dyDescent="0.25">
      <c r="A435" t="str">
        <f>IF('e2'!A435&gt;0,HYPERLINK("#"&amp;ADDRESS(435,'e2'!A435),""),IF('r2'!A435&gt;0,HYPERLINK("#"&amp;ADDRESS(435,'r2'!A435),""),""))</f>
        <v/>
      </c>
      <c r="C435" s="31"/>
      <c r="D435" s="32"/>
    </row>
    <row r="436" spans="1:4" ht="24" customHeight="1" x14ac:dyDescent="0.25">
      <c r="A436" t="str">
        <f>IF('e2'!A436&gt;0,HYPERLINK("#"&amp;ADDRESS(436,'e2'!A436),""),IF('r2'!A436&gt;0,HYPERLINK("#"&amp;ADDRESS(436,'r2'!A436),""),""))</f>
        <v/>
      </c>
      <c r="C436" s="31"/>
      <c r="D436" s="32"/>
    </row>
    <row r="437" spans="1:4" ht="24" customHeight="1" x14ac:dyDescent="0.25">
      <c r="A437" t="str">
        <f>IF('e2'!A437&gt;0,HYPERLINK("#"&amp;ADDRESS(437,'e2'!A437),""),IF('r2'!A437&gt;0,HYPERLINK("#"&amp;ADDRESS(437,'r2'!A437),""),""))</f>
        <v/>
      </c>
      <c r="C437" s="31"/>
      <c r="D437" s="32"/>
    </row>
    <row r="438" spans="1:4" ht="24" customHeight="1" x14ac:dyDescent="0.25">
      <c r="A438" t="str">
        <f>IF('e2'!A438&gt;0,HYPERLINK("#"&amp;ADDRESS(438,'e2'!A438),""),IF('r2'!A438&gt;0,HYPERLINK("#"&amp;ADDRESS(438,'r2'!A438),""),""))</f>
        <v/>
      </c>
      <c r="C438" s="31"/>
      <c r="D438" s="32"/>
    </row>
    <row r="439" spans="1:4" ht="24" customHeight="1" x14ac:dyDescent="0.25">
      <c r="A439" t="str">
        <f>IF('e2'!A439&gt;0,HYPERLINK("#"&amp;ADDRESS(439,'e2'!A439),""),IF('r2'!A439&gt;0,HYPERLINK("#"&amp;ADDRESS(439,'r2'!A439),""),""))</f>
        <v/>
      </c>
      <c r="C439" s="31"/>
      <c r="D439" s="32"/>
    </row>
    <row r="440" spans="1:4" ht="24" customHeight="1" x14ac:dyDescent="0.25">
      <c r="A440" t="str">
        <f>IF('e2'!A440&gt;0,HYPERLINK("#"&amp;ADDRESS(440,'e2'!A440),""),IF('r2'!A440&gt;0,HYPERLINK("#"&amp;ADDRESS(440,'r2'!A440),""),""))</f>
        <v/>
      </c>
      <c r="C440" s="31"/>
      <c r="D440" s="32"/>
    </row>
    <row r="441" spans="1:4" ht="24" customHeight="1" x14ac:dyDescent="0.25">
      <c r="A441" t="str">
        <f>IF('e2'!A441&gt;0,HYPERLINK("#"&amp;ADDRESS(441,'e2'!A441),""),IF('r2'!A441&gt;0,HYPERLINK("#"&amp;ADDRESS(441,'r2'!A441),""),""))</f>
        <v/>
      </c>
      <c r="C441" s="31"/>
      <c r="D441" s="32"/>
    </row>
    <row r="442" spans="1:4" ht="24" customHeight="1" x14ac:dyDescent="0.25">
      <c r="A442" t="str">
        <f>IF('e2'!A442&gt;0,HYPERLINK("#"&amp;ADDRESS(442,'e2'!A442),""),IF('r2'!A442&gt;0,HYPERLINK("#"&amp;ADDRESS(442,'r2'!A442),""),""))</f>
        <v/>
      </c>
      <c r="C442" s="31"/>
      <c r="D442" s="32"/>
    </row>
    <row r="443" spans="1:4" ht="24" customHeight="1" x14ac:dyDescent="0.25">
      <c r="A443" t="str">
        <f>IF('e2'!A443&gt;0,HYPERLINK("#"&amp;ADDRESS(443,'e2'!A443),""),IF('r2'!A443&gt;0,HYPERLINK("#"&amp;ADDRESS(443,'r2'!A443),""),""))</f>
        <v/>
      </c>
      <c r="C443" s="31"/>
      <c r="D443" s="32"/>
    </row>
    <row r="444" spans="1:4" ht="24" customHeight="1" x14ac:dyDescent="0.25">
      <c r="A444" t="str">
        <f>IF('e2'!A444&gt;0,HYPERLINK("#"&amp;ADDRESS(444,'e2'!A444),""),IF('r2'!A444&gt;0,HYPERLINK("#"&amp;ADDRESS(444,'r2'!A444),""),""))</f>
        <v/>
      </c>
      <c r="C444" s="31"/>
      <c r="D444" s="32"/>
    </row>
    <row r="445" spans="1:4" ht="24" customHeight="1" x14ac:dyDescent="0.25">
      <c r="A445" t="str">
        <f>IF('e2'!A445&gt;0,HYPERLINK("#"&amp;ADDRESS(445,'e2'!A445),""),IF('r2'!A445&gt;0,HYPERLINK("#"&amp;ADDRESS(445,'r2'!A445),""),""))</f>
        <v/>
      </c>
      <c r="C445" s="31"/>
      <c r="D445" s="32"/>
    </row>
    <row r="446" spans="1:4" ht="24" customHeight="1" x14ac:dyDescent="0.25">
      <c r="A446" t="str">
        <f>IF('e2'!A446&gt;0,HYPERLINK("#"&amp;ADDRESS(446,'e2'!A446),""),IF('r2'!A446&gt;0,HYPERLINK("#"&amp;ADDRESS(446,'r2'!A446),""),""))</f>
        <v/>
      </c>
      <c r="C446" s="31"/>
      <c r="D446" s="32"/>
    </row>
    <row r="447" spans="1:4" ht="24" customHeight="1" x14ac:dyDescent="0.25">
      <c r="A447" t="str">
        <f>IF('e2'!A447&gt;0,HYPERLINK("#"&amp;ADDRESS(447,'e2'!A447),""),IF('r2'!A447&gt;0,HYPERLINK("#"&amp;ADDRESS(447,'r2'!A447),""),""))</f>
        <v/>
      </c>
      <c r="C447" s="31"/>
      <c r="D447" s="32"/>
    </row>
    <row r="448" spans="1:4" ht="24" customHeight="1" x14ac:dyDescent="0.25">
      <c r="A448" t="str">
        <f>IF('e2'!A448&gt;0,HYPERLINK("#"&amp;ADDRESS(448,'e2'!A448),""),IF('r2'!A448&gt;0,HYPERLINK("#"&amp;ADDRESS(448,'r2'!A448),""),""))</f>
        <v/>
      </c>
      <c r="C448" s="31"/>
      <c r="D448" s="32"/>
    </row>
    <row r="449" spans="1:4" ht="24" customHeight="1" x14ac:dyDescent="0.25">
      <c r="A449" t="str">
        <f>IF('e2'!A449&gt;0,HYPERLINK("#"&amp;ADDRESS(449,'e2'!A449),""),IF('r2'!A449&gt;0,HYPERLINK("#"&amp;ADDRESS(449,'r2'!A449),""),""))</f>
        <v/>
      </c>
      <c r="C449" s="31"/>
      <c r="D449" s="32"/>
    </row>
    <row r="450" spans="1:4" ht="24" customHeight="1" x14ac:dyDescent="0.25">
      <c r="A450" t="str">
        <f>IF('e2'!A450&gt;0,HYPERLINK("#"&amp;ADDRESS(450,'e2'!A450),""),IF('r2'!A450&gt;0,HYPERLINK("#"&amp;ADDRESS(450,'r2'!A450),""),""))</f>
        <v/>
      </c>
      <c r="C450" s="31"/>
      <c r="D450" s="32"/>
    </row>
    <row r="451" spans="1:4" ht="24" customHeight="1" x14ac:dyDescent="0.25">
      <c r="A451" t="str">
        <f>IF('e2'!A451&gt;0,HYPERLINK("#"&amp;ADDRESS(451,'e2'!A451),""),IF('r2'!A451&gt;0,HYPERLINK("#"&amp;ADDRESS(451,'r2'!A451),""),""))</f>
        <v/>
      </c>
      <c r="C451" s="31"/>
      <c r="D451" s="32"/>
    </row>
    <row r="452" spans="1:4" ht="24" customHeight="1" x14ac:dyDescent="0.25">
      <c r="A452" t="str">
        <f>IF('e2'!A452&gt;0,HYPERLINK("#"&amp;ADDRESS(452,'e2'!A452),""),IF('r2'!A452&gt;0,HYPERLINK("#"&amp;ADDRESS(452,'r2'!A452),""),""))</f>
        <v/>
      </c>
      <c r="C452" s="31"/>
      <c r="D452" s="32"/>
    </row>
    <row r="453" spans="1:4" ht="24" customHeight="1" x14ac:dyDescent="0.25">
      <c r="A453" t="str">
        <f>IF('e2'!A453&gt;0,HYPERLINK("#"&amp;ADDRESS(453,'e2'!A453),""),IF('r2'!A453&gt;0,HYPERLINK("#"&amp;ADDRESS(453,'r2'!A453),""),""))</f>
        <v/>
      </c>
      <c r="C453" s="31"/>
      <c r="D453" s="32"/>
    </row>
    <row r="454" spans="1:4" ht="24" customHeight="1" x14ac:dyDescent="0.25">
      <c r="A454" t="str">
        <f>IF('e2'!A454&gt;0,HYPERLINK("#"&amp;ADDRESS(454,'e2'!A454),""),IF('r2'!A454&gt;0,HYPERLINK("#"&amp;ADDRESS(454,'r2'!A454),""),""))</f>
        <v/>
      </c>
      <c r="C454" s="31"/>
      <c r="D454" s="32"/>
    </row>
    <row r="455" spans="1:4" ht="24" customHeight="1" x14ac:dyDescent="0.25">
      <c r="A455" t="str">
        <f>IF('e2'!A455&gt;0,HYPERLINK("#"&amp;ADDRESS(455,'e2'!A455),""),IF('r2'!A455&gt;0,HYPERLINK("#"&amp;ADDRESS(455,'r2'!A455),""),""))</f>
        <v/>
      </c>
      <c r="C455" s="31"/>
      <c r="D455" s="32"/>
    </row>
    <row r="456" spans="1:4" ht="24" customHeight="1" x14ac:dyDescent="0.25">
      <c r="A456" t="str">
        <f>IF('e2'!A456&gt;0,HYPERLINK("#"&amp;ADDRESS(456,'e2'!A456),""),IF('r2'!A456&gt;0,HYPERLINK("#"&amp;ADDRESS(456,'r2'!A456),""),""))</f>
        <v/>
      </c>
      <c r="C456" s="31"/>
      <c r="D456" s="32"/>
    </row>
    <row r="457" spans="1:4" ht="24" customHeight="1" x14ac:dyDescent="0.25">
      <c r="A457" t="str">
        <f>IF('e2'!A457&gt;0,HYPERLINK("#"&amp;ADDRESS(457,'e2'!A457),""),IF('r2'!A457&gt;0,HYPERLINK("#"&amp;ADDRESS(457,'r2'!A457),""),""))</f>
        <v/>
      </c>
      <c r="C457" s="31"/>
      <c r="D457" s="32"/>
    </row>
    <row r="458" spans="1:4" ht="24" customHeight="1" x14ac:dyDescent="0.25">
      <c r="A458" t="str">
        <f>IF('e2'!A458&gt;0,HYPERLINK("#"&amp;ADDRESS(458,'e2'!A458),""),IF('r2'!A458&gt;0,HYPERLINK("#"&amp;ADDRESS(458,'r2'!A458),""),""))</f>
        <v/>
      </c>
      <c r="C458" s="31"/>
      <c r="D458" s="32"/>
    </row>
    <row r="459" spans="1:4" ht="24" customHeight="1" x14ac:dyDescent="0.25">
      <c r="A459" t="str">
        <f>IF('e2'!A459&gt;0,HYPERLINK("#"&amp;ADDRESS(459,'e2'!A459),""),IF('r2'!A459&gt;0,HYPERLINK("#"&amp;ADDRESS(459,'r2'!A459),""),""))</f>
        <v/>
      </c>
      <c r="C459" s="31"/>
      <c r="D459" s="32"/>
    </row>
    <row r="460" spans="1:4" ht="24" customHeight="1" x14ac:dyDescent="0.25">
      <c r="A460" t="str">
        <f>IF('e2'!A460&gt;0,HYPERLINK("#"&amp;ADDRESS(460,'e2'!A460),""),IF('r2'!A460&gt;0,HYPERLINK("#"&amp;ADDRESS(460,'r2'!A460),""),""))</f>
        <v/>
      </c>
      <c r="C460" s="31"/>
      <c r="D460" s="32"/>
    </row>
    <row r="461" spans="1:4" ht="24" customHeight="1" x14ac:dyDescent="0.25">
      <c r="A461" t="str">
        <f>IF('e2'!A461&gt;0,HYPERLINK("#"&amp;ADDRESS(461,'e2'!A461),""),IF('r2'!A461&gt;0,HYPERLINK("#"&amp;ADDRESS(461,'r2'!A461),""),""))</f>
        <v/>
      </c>
      <c r="C461" s="31"/>
      <c r="D461" s="32"/>
    </row>
    <row r="462" spans="1:4" ht="24" customHeight="1" x14ac:dyDescent="0.25">
      <c r="A462" t="str">
        <f>IF('e2'!A462&gt;0,HYPERLINK("#"&amp;ADDRESS(462,'e2'!A462),""),IF('r2'!A462&gt;0,HYPERLINK("#"&amp;ADDRESS(462,'r2'!A462),""),""))</f>
        <v/>
      </c>
      <c r="C462" s="31"/>
      <c r="D462" s="32"/>
    </row>
    <row r="463" spans="1:4" ht="24" customHeight="1" x14ac:dyDescent="0.25">
      <c r="A463" t="str">
        <f>IF('e2'!A463&gt;0,HYPERLINK("#"&amp;ADDRESS(463,'e2'!A463),""),IF('r2'!A463&gt;0,HYPERLINK("#"&amp;ADDRESS(463,'r2'!A463),""),""))</f>
        <v/>
      </c>
      <c r="C463" s="31"/>
      <c r="D463" s="32"/>
    </row>
    <row r="464" spans="1:4" ht="24" customHeight="1" x14ac:dyDescent="0.25">
      <c r="A464" t="str">
        <f>IF('e2'!A464&gt;0,HYPERLINK("#"&amp;ADDRESS(464,'e2'!A464),""),IF('r2'!A464&gt;0,HYPERLINK("#"&amp;ADDRESS(464,'r2'!A464),""),""))</f>
        <v/>
      </c>
      <c r="C464" s="31"/>
      <c r="D464" s="32"/>
    </row>
    <row r="465" spans="1:4" ht="24" customHeight="1" x14ac:dyDescent="0.25">
      <c r="A465" t="str">
        <f>IF('e2'!A465&gt;0,HYPERLINK("#"&amp;ADDRESS(465,'e2'!A465),""),IF('r2'!A465&gt;0,HYPERLINK("#"&amp;ADDRESS(465,'r2'!A465),""),""))</f>
        <v/>
      </c>
      <c r="C465" s="31"/>
      <c r="D465" s="32"/>
    </row>
    <row r="466" spans="1:4" ht="24" customHeight="1" x14ac:dyDescent="0.25">
      <c r="A466" t="str">
        <f>IF('e2'!A466&gt;0,HYPERLINK("#"&amp;ADDRESS(466,'e2'!A466),""),IF('r2'!A466&gt;0,HYPERLINK("#"&amp;ADDRESS(466,'r2'!A466),""),""))</f>
        <v/>
      </c>
      <c r="C466" s="31"/>
      <c r="D466" s="32"/>
    </row>
    <row r="467" spans="1:4" ht="24" customHeight="1" x14ac:dyDescent="0.25">
      <c r="A467" t="str">
        <f>IF('e2'!A467&gt;0,HYPERLINK("#"&amp;ADDRESS(467,'e2'!A467),""),IF('r2'!A467&gt;0,HYPERLINK("#"&amp;ADDRESS(467,'r2'!A467),""),""))</f>
        <v/>
      </c>
      <c r="C467" s="31"/>
      <c r="D467" s="32"/>
    </row>
    <row r="468" spans="1:4" ht="24" customHeight="1" x14ac:dyDescent="0.25">
      <c r="A468" t="str">
        <f>IF('e2'!A468&gt;0,HYPERLINK("#"&amp;ADDRESS(468,'e2'!A468),""),IF('r2'!A468&gt;0,HYPERLINK("#"&amp;ADDRESS(468,'r2'!A468),""),""))</f>
        <v/>
      </c>
      <c r="C468" s="31"/>
      <c r="D468" s="32"/>
    </row>
    <row r="469" spans="1:4" ht="24" customHeight="1" x14ac:dyDescent="0.25">
      <c r="A469" t="str">
        <f>IF('e2'!A469&gt;0,HYPERLINK("#"&amp;ADDRESS(469,'e2'!A469),""),IF('r2'!A469&gt;0,HYPERLINK("#"&amp;ADDRESS(469,'r2'!A469),""),""))</f>
        <v/>
      </c>
      <c r="C469" s="31"/>
      <c r="D469" s="32"/>
    </row>
    <row r="470" spans="1:4" ht="24" customHeight="1" x14ac:dyDescent="0.25">
      <c r="A470" t="str">
        <f>IF('e2'!A470&gt;0,HYPERLINK("#"&amp;ADDRESS(470,'e2'!A470),""),IF('r2'!A470&gt;0,HYPERLINK("#"&amp;ADDRESS(470,'r2'!A470),""),""))</f>
        <v/>
      </c>
      <c r="C470" s="31"/>
      <c r="D470" s="32"/>
    </row>
    <row r="471" spans="1:4" ht="24" customHeight="1" x14ac:dyDescent="0.25">
      <c r="A471" t="str">
        <f>IF('e2'!A471&gt;0,HYPERLINK("#"&amp;ADDRESS(471,'e2'!A471),""),IF('r2'!A471&gt;0,HYPERLINK("#"&amp;ADDRESS(471,'r2'!A471),""),""))</f>
        <v/>
      </c>
      <c r="C471" s="31"/>
      <c r="D471" s="32"/>
    </row>
    <row r="472" spans="1:4" ht="24" customHeight="1" x14ac:dyDescent="0.25">
      <c r="A472" t="str">
        <f>IF('e2'!A472&gt;0,HYPERLINK("#"&amp;ADDRESS(472,'e2'!A472),""),IF('r2'!A472&gt;0,HYPERLINK("#"&amp;ADDRESS(472,'r2'!A472),""),""))</f>
        <v/>
      </c>
      <c r="C472" s="31"/>
      <c r="D472" s="32"/>
    </row>
    <row r="473" spans="1:4" ht="24" customHeight="1" x14ac:dyDescent="0.25">
      <c r="A473" t="str">
        <f>IF('e2'!A473&gt;0,HYPERLINK("#"&amp;ADDRESS(473,'e2'!A473),""),IF('r2'!A473&gt;0,HYPERLINK("#"&amp;ADDRESS(473,'r2'!A473),""),""))</f>
        <v/>
      </c>
      <c r="C473" s="31"/>
      <c r="D473" s="32"/>
    </row>
    <row r="474" spans="1:4" ht="24" customHeight="1" x14ac:dyDescent="0.25">
      <c r="A474" t="str">
        <f>IF('e2'!A474&gt;0,HYPERLINK("#"&amp;ADDRESS(474,'e2'!A474),""),IF('r2'!A474&gt;0,HYPERLINK("#"&amp;ADDRESS(474,'r2'!A474),""),""))</f>
        <v/>
      </c>
      <c r="C474" s="31"/>
      <c r="D474" s="32"/>
    </row>
    <row r="475" spans="1:4" ht="24" customHeight="1" x14ac:dyDescent="0.25">
      <c r="A475" t="str">
        <f>IF('e2'!A475&gt;0,HYPERLINK("#"&amp;ADDRESS(475,'e2'!A475),""),IF('r2'!A475&gt;0,HYPERLINK("#"&amp;ADDRESS(475,'r2'!A475),""),""))</f>
        <v/>
      </c>
      <c r="C475" s="31"/>
      <c r="D475" s="32"/>
    </row>
    <row r="476" spans="1:4" ht="24" customHeight="1" x14ac:dyDescent="0.25">
      <c r="A476" t="str">
        <f>IF('e2'!A476&gt;0,HYPERLINK("#"&amp;ADDRESS(476,'e2'!A476),""),IF('r2'!A476&gt;0,HYPERLINK("#"&amp;ADDRESS(476,'r2'!A476),""),""))</f>
        <v/>
      </c>
      <c r="C476" s="31"/>
      <c r="D476" s="32"/>
    </row>
    <row r="477" spans="1:4" ht="24" customHeight="1" x14ac:dyDescent="0.25">
      <c r="A477" t="str">
        <f>IF('e2'!A477&gt;0,HYPERLINK("#"&amp;ADDRESS(477,'e2'!A477),""),IF('r2'!A477&gt;0,HYPERLINK("#"&amp;ADDRESS(477,'r2'!A477),""),""))</f>
        <v/>
      </c>
      <c r="C477" s="31"/>
      <c r="D477" s="32"/>
    </row>
    <row r="478" spans="1:4" ht="24" customHeight="1" x14ac:dyDescent="0.25">
      <c r="A478" t="str">
        <f>IF('e2'!A478&gt;0,HYPERLINK("#"&amp;ADDRESS(478,'e2'!A478),""),IF('r2'!A478&gt;0,HYPERLINK("#"&amp;ADDRESS(478,'r2'!A478),""),""))</f>
        <v/>
      </c>
      <c r="C478" s="31"/>
      <c r="D478" s="32"/>
    </row>
    <row r="479" spans="1:4" ht="24" customHeight="1" x14ac:dyDescent="0.25">
      <c r="A479" t="str">
        <f>IF('e2'!A479&gt;0,HYPERLINK("#"&amp;ADDRESS(479,'e2'!A479),""),IF('r2'!A479&gt;0,HYPERLINK("#"&amp;ADDRESS(479,'r2'!A479),""),""))</f>
        <v/>
      </c>
      <c r="C479" s="31"/>
      <c r="D479" s="32"/>
    </row>
    <row r="480" spans="1:4" ht="24" customHeight="1" x14ac:dyDescent="0.25">
      <c r="A480" t="str">
        <f>IF('e2'!A480&gt;0,HYPERLINK("#"&amp;ADDRESS(480,'e2'!A480),""),IF('r2'!A480&gt;0,HYPERLINK("#"&amp;ADDRESS(480,'r2'!A480),""),""))</f>
        <v/>
      </c>
      <c r="C480" s="31"/>
      <c r="D480" s="32"/>
    </row>
    <row r="481" spans="1:4" ht="24" customHeight="1" x14ac:dyDescent="0.25">
      <c r="A481" t="str">
        <f>IF('e2'!A481&gt;0,HYPERLINK("#"&amp;ADDRESS(481,'e2'!A481),""),IF('r2'!A481&gt;0,HYPERLINK("#"&amp;ADDRESS(481,'r2'!A481),""),""))</f>
        <v/>
      </c>
      <c r="C481" s="31"/>
      <c r="D481" s="32"/>
    </row>
    <row r="482" spans="1:4" ht="24" customHeight="1" x14ac:dyDescent="0.25">
      <c r="A482" t="str">
        <f>IF('e2'!A482&gt;0,HYPERLINK("#"&amp;ADDRESS(482,'e2'!A482),""),IF('r2'!A482&gt;0,HYPERLINK("#"&amp;ADDRESS(482,'r2'!A482),""),""))</f>
        <v/>
      </c>
      <c r="C482" s="31"/>
      <c r="D482" s="32"/>
    </row>
    <row r="483" spans="1:4" ht="24" customHeight="1" x14ac:dyDescent="0.25">
      <c r="A483" t="str">
        <f>IF('e2'!A483&gt;0,HYPERLINK("#"&amp;ADDRESS(483,'e2'!A483),""),IF('r2'!A483&gt;0,HYPERLINK("#"&amp;ADDRESS(483,'r2'!A483),""),""))</f>
        <v/>
      </c>
      <c r="C483" s="31"/>
      <c r="D483" s="32"/>
    </row>
    <row r="484" spans="1:4" ht="24" customHeight="1" x14ac:dyDescent="0.25">
      <c r="A484" t="str">
        <f>IF('e2'!A484&gt;0,HYPERLINK("#"&amp;ADDRESS(484,'e2'!A484),""),IF('r2'!A484&gt;0,HYPERLINK("#"&amp;ADDRESS(484,'r2'!A484),""),""))</f>
        <v/>
      </c>
      <c r="C484" s="31"/>
      <c r="D484" s="32"/>
    </row>
    <row r="485" spans="1:4" ht="24" customHeight="1" x14ac:dyDescent="0.25">
      <c r="A485" t="str">
        <f>IF('e2'!A485&gt;0,HYPERLINK("#"&amp;ADDRESS(485,'e2'!A485),""),IF('r2'!A485&gt;0,HYPERLINK("#"&amp;ADDRESS(485,'r2'!A485),""),""))</f>
        <v/>
      </c>
      <c r="C485" s="31"/>
      <c r="D485" s="32"/>
    </row>
    <row r="486" spans="1:4" ht="24" customHeight="1" x14ac:dyDescent="0.25">
      <c r="A486" t="str">
        <f>IF('e2'!A486&gt;0,HYPERLINK("#"&amp;ADDRESS(486,'e2'!A486),""),IF('r2'!A486&gt;0,HYPERLINK("#"&amp;ADDRESS(486,'r2'!A486),""),""))</f>
        <v/>
      </c>
      <c r="C486" s="31"/>
      <c r="D486" s="32"/>
    </row>
    <row r="487" spans="1:4" ht="24" customHeight="1" x14ac:dyDescent="0.25">
      <c r="A487" t="str">
        <f>IF('e2'!A487&gt;0,HYPERLINK("#"&amp;ADDRESS(487,'e2'!A487),""),IF('r2'!A487&gt;0,HYPERLINK("#"&amp;ADDRESS(487,'r2'!A487),""),""))</f>
        <v/>
      </c>
      <c r="C487" s="31"/>
      <c r="D487" s="32"/>
    </row>
    <row r="488" spans="1:4" ht="24" customHeight="1" x14ac:dyDescent="0.25">
      <c r="A488" t="str">
        <f>IF('e2'!A488&gt;0,HYPERLINK("#"&amp;ADDRESS(488,'e2'!A488),""),IF('r2'!A488&gt;0,HYPERLINK("#"&amp;ADDRESS(488,'r2'!A488),""),""))</f>
        <v/>
      </c>
      <c r="C488" s="31"/>
      <c r="D488" s="32"/>
    </row>
    <row r="489" spans="1:4" ht="24" customHeight="1" x14ac:dyDescent="0.25">
      <c r="A489" t="str">
        <f>IF('e2'!A489&gt;0,HYPERLINK("#"&amp;ADDRESS(489,'e2'!A489),""),IF('r2'!A489&gt;0,HYPERLINK("#"&amp;ADDRESS(489,'r2'!A489),""),""))</f>
        <v/>
      </c>
      <c r="C489" s="31"/>
      <c r="D489" s="32"/>
    </row>
    <row r="490" spans="1:4" ht="24" customHeight="1" x14ac:dyDescent="0.25">
      <c r="A490" t="str">
        <f>IF('e2'!A490&gt;0,HYPERLINK("#"&amp;ADDRESS(490,'e2'!A490),""),IF('r2'!A490&gt;0,HYPERLINK("#"&amp;ADDRESS(490,'r2'!A490),""),""))</f>
        <v/>
      </c>
      <c r="C490" s="31"/>
      <c r="D490" s="32"/>
    </row>
    <row r="491" spans="1:4" ht="24" customHeight="1" x14ac:dyDescent="0.25">
      <c r="A491" t="str">
        <f>IF('e2'!A491&gt;0,HYPERLINK("#"&amp;ADDRESS(491,'e2'!A491),""),IF('r2'!A491&gt;0,HYPERLINK("#"&amp;ADDRESS(491,'r2'!A491),""),""))</f>
        <v/>
      </c>
      <c r="C491" s="31"/>
      <c r="D491" s="32"/>
    </row>
    <row r="492" spans="1:4" ht="24" customHeight="1" x14ac:dyDescent="0.25">
      <c r="A492" t="str">
        <f>IF('e2'!A492&gt;0,HYPERLINK("#"&amp;ADDRESS(492,'e2'!A492),""),IF('r2'!A492&gt;0,HYPERLINK("#"&amp;ADDRESS(492,'r2'!A492),""),""))</f>
        <v/>
      </c>
      <c r="C492" s="31"/>
      <c r="D492" s="32"/>
    </row>
    <row r="493" spans="1:4" ht="24" customHeight="1" x14ac:dyDescent="0.25">
      <c r="A493" t="str">
        <f>IF('e2'!A493&gt;0,HYPERLINK("#"&amp;ADDRESS(493,'e2'!A493),""),IF('r2'!A493&gt;0,HYPERLINK("#"&amp;ADDRESS(493,'r2'!A493),""),""))</f>
        <v/>
      </c>
      <c r="C493" s="31"/>
      <c r="D493" s="32"/>
    </row>
    <row r="494" spans="1:4" ht="24" customHeight="1" x14ac:dyDescent="0.25">
      <c r="A494" t="str">
        <f>IF('e2'!A494&gt;0,HYPERLINK("#"&amp;ADDRESS(494,'e2'!A494),""),IF('r2'!A494&gt;0,HYPERLINK("#"&amp;ADDRESS(494,'r2'!A494),""),""))</f>
        <v/>
      </c>
      <c r="C494" s="31"/>
      <c r="D494" s="32"/>
    </row>
    <row r="495" spans="1:4" ht="24" customHeight="1" x14ac:dyDescent="0.25">
      <c r="A495" t="str">
        <f>IF('e2'!A495&gt;0,HYPERLINK("#"&amp;ADDRESS(495,'e2'!A495),""),IF('r2'!A495&gt;0,HYPERLINK("#"&amp;ADDRESS(495,'r2'!A495),""),""))</f>
        <v/>
      </c>
      <c r="C495" s="31"/>
      <c r="D495" s="32"/>
    </row>
    <row r="496" spans="1:4" ht="24" customHeight="1" x14ac:dyDescent="0.25">
      <c r="A496" t="str">
        <f>IF('e2'!A496&gt;0,HYPERLINK("#"&amp;ADDRESS(496,'e2'!A496),""),IF('r2'!A496&gt;0,HYPERLINK("#"&amp;ADDRESS(496,'r2'!A496),""),""))</f>
        <v/>
      </c>
      <c r="C496" s="31"/>
      <c r="D496" s="32"/>
    </row>
    <row r="497" spans="1:4" ht="24" customHeight="1" x14ac:dyDescent="0.25">
      <c r="A497" t="str">
        <f>IF('e2'!A497&gt;0,HYPERLINK("#"&amp;ADDRESS(497,'e2'!A497),""),IF('r2'!A497&gt;0,HYPERLINK("#"&amp;ADDRESS(497,'r2'!A497),""),""))</f>
        <v/>
      </c>
      <c r="C497" s="31"/>
      <c r="D497" s="32"/>
    </row>
    <row r="498" spans="1:4" ht="24" customHeight="1" x14ac:dyDescent="0.25">
      <c r="A498" t="str">
        <f>IF('e2'!A498&gt;0,HYPERLINK("#"&amp;ADDRESS(498,'e2'!A498),""),IF('r2'!A498&gt;0,HYPERLINK("#"&amp;ADDRESS(498,'r2'!A498),""),""))</f>
        <v/>
      </c>
      <c r="C498" s="31"/>
      <c r="D498" s="32"/>
    </row>
    <row r="499" spans="1:4" ht="24" customHeight="1" x14ac:dyDescent="0.25">
      <c r="A499" t="str">
        <f>IF('e2'!A499&gt;0,HYPERLINK("#"&amp;ADDRESS(499,'e2'!A499),""),IF('r2'!A499&gt;0,HYPERLINK("#"&amp;ADDRESS(499,'r2'!A499),""),""))</f>
        <v/>
      </c>
      <c r="C499" s="31"/>
      <c r="D499" s="32"/>
    </row>
    <row r="500" spans="1:4" ht="24" customHeight="1" x14ac:dyDescent="0.25">
      <c r="A500" t="str">
        <f>IF('e2'!A500&gt;0,HYPERLINK("#"&amp;ADDRESS(500,'e2'!A500),""),IF('r2'!A500&gt;0,HYPERLINK("#"&amp;ADDRESS(500,'r2'!A500),""),""))</f>
        <v/>
      </c>
      <c r="C500" s="31"/>
      <c r="D500" s="32"/>
    </row>
    <row r="501" spans="1:4" ht="24" customHeight="1" x14ac:dyDescent="0.25">
      <c r="A501" t="str">
        <f>IF('e2'!A501&gt;0,HYPERLINK("#"&amp;ADDRESS(501,'e2'!A501),""),IF('r2'!A501&gt;0,HYPERLINK("#"&amp;ADDRESS(501,'r2'!A501),""),""))</f>
        <v/>
      </c>
      <c r="C501" s="31"/>
      <c r="D501" s="32"/>
    </row>
    <row r="502" spans="1:4" ht="24" customHeight="1" x14ac:dyDescent="0.25">
      <c r="A502" t="str">
        <f>IF('e2'!A502&gt;0,HYPERLINK("#"&amp;ADDRESS(502,'e2'!A502),""),IF('r2'!A502&gt;0,HYPERLINK("#"&amp;ADDRESS(502,'r2'!A502),""),""))</f>
        <v/>
      </c>
      <c r="C502" s="31"/>
      <c r="D502" s="32"/>
    </row>
    <row r="503" spans="1:4" ht="24" customHeight="1" x14ac:dyDescent="0.25">
      <c r="A503" t="str">
        <f>IF('e2'!A503&gt;0,HYPERLINK("#"&amp;ADDRESS(503,'e2'!A503),""),IF('r2'!A503&gt;0,HYPERLINK("#"&amp;ADDRESS(503,'r2'!A503),""),""))</f>
        <v/>
      </c>
      <c r="C503" s="31"/>
      <c r="D503" s="32"/>
    </row>
    <row r="504" spans="1:4" ht="24" customHeight="1" x14ac:dyDescent="0.25">
      <c r="A504" t="str">
        <f>IF('e2'!A504&gt;0,HYPERLINK("#"&amp;ADDRESS(504,'e2'!A504),""),IF('r2'!A504&gt;0,HYPERLINK("#"&amp;ADDRESS(504,'r2'!A504),""),""))</f>
        <v/>
      </c>
      <c r="C504" s="31"/>
      <c r="D504" s="32"/>
    </row>
    <row r="505" spans="1:4" ht="24" customHeight="1" x14ac:dyDescent="0.25">
      <c r="A505" t="str">
        <f>IF('e2'!A505&gt;0,HYPERLINK("#"&amp;ADDRESS(505,'e2'!A505),""),IF('r2'!A505&gt;0,HYPERLINK("#"&amp;ADDRESS(505,'r2'!A505),""),""))</f>
        <v/>
      </c>
      <c r="C505" s="31"/>
      <c r="D505" s="32"/>
    </row>
    <row r="506" spans="1:4" ht="24" customHeight="1" x14ac:dyDescent="0.25">
      <c r="A506" t="str">
        <f>IF('e2'!A506&gt;0,HYPERLINK("#"&amp;ADDRESS(506,'e2'!A506),""),IF('r2'!A506&gt;0,HYPERLINK("#"&amp;ADDRESS(506,'r2'!A506),""),""))</f>
        <v/>
      </c>
      <c r="C506" s="31"/>
      <c r="D506" s="32"/>
    </row>
    <row r="507" spans="1:4" ht="24" customHeight="1" x14ac:dyDescent="0.25">
      <c r="A507" t="str">
        <f>IF('e2'!A507&gt;0,HYPERLINK("#"&amp;ADDRESS(507,'e2'!A507),""),IF('r2'!A507&gt;0,HYPERLINK("#"&amp;ADDRESS(507,'r2'!A507),""),""))</f>
        <v/>
      </c>
      <c r="C507" s="31"/>
      <c r="D507" s="32"/>
    </row>
    <row r="508" spans="1:4" ht="24" customHeight="1" x14ac:dyDescent="0.25">
      <c r="A508" t="str">
        <f>IF('e2'!A508&gt;0,HYPERLINK("#"&amp;ADDRESS(508,'e2'!A508),""),IF('r2'!A508&gt;0,HYPERLINK("#"&amp;ADDRESS(508,'r2'!A508),""),""))</f>
        <v/>
      </c>
      <c r="C508" s="31"/>
      <c r="D508" s="32"/>
    </row>
    <row r="509" spans="1:4" ht="24" customHeight="1" x14ac:dyDescent="0.25">
      <c r="A509" t="str">
        <f>IF('e2'!A509&gt;0,HYPERLINK("#"&amp;ADDRESS(509,'e2'!A509),""),IF('r2'!A509&gt;0,HYPERLINK("#"&amp;ADDRESS(509,'r2'!A509),""),""))</f>
        <v/>
      </c>
      <c r="C509" s="31"/>
      <c r="D509" s="32"/>
    </row>
    <row r="510" spans="1:4" ht="24" customHeight="1" x14ac:dyDescent="0.25">
      <c r="A510" t="str">
        <f>IF('e2'!A510&gt;0,HYPERLINK("#"&amp;ADDRESS(510,'e2'!A510),""),IF('r2'!A510&gt;0,HYPERLINK("#"&amp;ADDRESS(510,'r2'!A510),""),""))</f>
        <v/>
      </c>
      <c r="C510" s="31"/>
      <c r="D510" s="32"/>
    </row>
    <row r="511" spans="1:4" ht="24" customHeight="1" x14ac:dyDescent="0.25">
      <c r="A511" t="str">
        <f>IF('e2'!A511&gt;0,HYPERLINK("#"&amp;ADDRESS(511,'e2'!A511),""),IF('r2'!A511&gt;0,HYPERLINK("#"&amp;ADDRESS(511,'r2'!A511),""),""))</f>
        <v/>
      </c>
      <c r="C511" s="31"/>
      <c r="D511" s="32"/>
    </row>
    <row r="512" spans="1:4" ht="24" customHeight="1" x14ac:dyDescent="0.25">
      <c r="A512" t="str">
        <f>IF('e2'!A512&gt;0,HYPERLINK("#"&amp;ADDRESS(512,'e2'!A512),""),IF('r2'!A512&gt;0,HYPERLINK("#"&amp;ADDRESS(512,'r2'!A512),""),""))</f>
        <v/>
      </c>
      <c r="C512" s="31"/>
      <c r="D512" s="32"/>
    </row>
    <row r="513" spans="1:4" ht="24" customHeight="1" x14ac:dyDescent="0.25">
      <c r="A513" t="str">
        <f>IF('e2'!A513&gt;0,HYPERLINK("#"&amp;ADDRESS(513,'e2'!A513),""),IF('r2'!A513&gt;0,HYPERLINK("#"&amp;ADDRESS(513,'r2'!A513),""),""))</f>
        <v/>
      </c>
      <c r="C513" s="31"/>
      <c r="D513" s="32"/>
    </row>
    <row r="514" spans="1:4" ht="24" customHeight="1" x14ac:dyDescent="0.25">
      <c r="A514" t="str">
        <f>IF('e2'!A514&gt;0,HYPERLINK("#"&amp;ADDRESS(514,'e2'!A514),""),IF('r2'!A514&gt;0,HYPERLINK("#"&amp;ADDRESS(514,'r2'!A514),""),""))</f>
        <v/>
      </c>
      <c r="C514" s="31"/>
      <c r="D514" s="32"/>
    </row>
    <row r="515" spans="1:4" ht="24" customHeight="1" x14ac:dyDescent="0.25">
      <c r="A515" t="str">
        <f>IF('e2'!A515&gt;0,HYPERLINK("#"&amp;ADDRESS(515,'e2'!A515),""),IF('r2'!A515&gt;0,HYPERLINK("#"&amp;ADDRESS(515,'r2'!A515),""),""))</f>
        <v/>
      </c>
      <c r="C515" s="31"/>
      <c r="D515" s="32"/>
    </row>
    <row r="516" spans="1:4" ht="24" customHeight="1" x14ac:dyDescent="0.25">
      <c r="A516" t="str">
        <f>IF('e2'!A516&gt;0,HYPERLINK("#"&amp;ADDRESS(516,'e2'!A516),""),IF('r2'!A516&gt;0,HYPERLINK("#"&amp;ADDRESS(516,'r2'!A516),""),""))</f>
        <v/>
      </c>
      <c r="C516" s="31"/>
      <c r="D516" s="32"/>
    </row>
    <row r="517" spans="1:4" ht="24" customHeight="1" x14ac:dyDescent="0.25">
      <c r="A517" t="str">
        <f>IF('e2'!A517&gt;0,HYPERLINK("#"&amp;ADDRESS(517,'e2'!A517),""),IF('r2'!A517&gt;0,HYPERLINK("#"&amp;ADDRESS(517,'r2'!A517),""),""))</f>
        <v/>
      </c>
      <c r="C517" s="31"/>
      <c r="D517" s="32"/>
    </row>
    <row r="518" spans="1:4" ht="24" customHeight="1" x14ac:dyDescent="0.25">
      <c r="A518" t="str">
        <f>IF('e2'!A518&gt;0,HYPERLINK("#"&amp;ADDRESS(518,'e2'!A518),""),IF('r2'!A518&gt;0,HYPERLINK("#"&amp;ADDRESS(518,'r2'!A518),""),""))</f>
        <v/>
      </c>
      <c r="C518" s="31"/>
      <c r="D518" s="32"/>
    </row>
    <row r="519" spans="1:4" ht="24" customHeight="1" x14ac:dyDescent="0.25">
      <c r="A519" t="str">
        <f>IF('e2'!A519&gt;0,HYPERLINK("#"&amp;ADDRESS(519,'e2'!A519),""),IF('r2'!A519&gt;0,HYPERLINK("#"&amp;ADDRESS(519,'r2'!A519),""),""))</f>
        <v/>
      </c>
      <c r="C519" s="31"/>
      <c r="D519" s="32"/>
    </row>
    <row r="520" spans="1:4" ht="24" customHeight="1" x14ac:dyDescent="0.25">
      <c r="A520" t="str">
        <f>IF('e2'!A520&gt;0,HYPERLINK("#"&amp;ADDRESS(520,'e2'!A520),""),IF('r2'!A520&gt;0,HYPERLINK("#"&amp;ADDRESS(520,'r2'!A520),""),""))</f>
        <v/>
      </c>
      <c r="C520" s="31"/>
      <c r="D520" s="32"/>
    </row>
    <row r="521" spans="1:4" ht="24" customHeight="1" x14ac:dyDescent="0.25">
      <c r="A521" t="str">
        <f>IF('e2'!A521&gt;0,HYPERLINK("#"&amp;ADDRESS(521,'e2'!A521),""),IF('r2'!A521&gt;0,HYPERLINK("#"&amp;ADDRESS(521,'r2'!A521),""),""))</f>
        <v/>
      </c>
      <c r="C521" s="31"/>
      <c r="D521" s="32"/>
    </row>
    <row r="522" spans="1:4" ht="24" customHeight="1" x14ac:dyDescent="0.25">
      <c r="A522" t="str">
        <f>IF('e2'!A522&gt;0,HYPERLINK("#"&amp;ADDRESS(522,'e2'!A522),""),IF('r2'!A522&gt;0,HYPERLINK("#"&amp;ADDRESS(522,'r2'!A522),""),""))</f>
        <v/>
      </c>
      <c r="C522" s="31"/>
      <c r="D522" s="32"/>
    </row>
    <row r="523" spans="1:4" ht="24" customHeight="1" x14ac:dyDescent="0.25">
      <c r="A523" t="str">
        <f>IF('e2'!A523&gt;0,HYPERLINK("#"&amp;ADDRESS(523,'e2'!A523),""),IF('r2'!A523&gt;0,HYPERLINK("#"&amp;ADDRESS(523,'r2'!A523),""),""))</f>
        <v/>
      </c>
      <c r="C523" s="31"/>
      <c r="D523" s="32"/>
    </row>
    <row r="524" spans="1:4" ht="24" customHeight="1" x14ac:dyDescent="0.25">
      <c r="A524" t="str">
        <f>IF('e2'!A524&gt;0,HYPERLINK("#"&amp;ADDRESS(524,'e2'!A524),""),IF('r2'!A524&gt;0,HYPERLINK("#"&amp;ADDRESS(524,'r2'!A524),""),""))</f>
        <v/>
      </c>
      <c r="C524" s="31"/>
      <c r="D524" s="32"/>
    </row>
    <row r="525" spans="1:4" ht="24" customHeight="1" x14ac:dyDescent="0.25">
      <c r="A525" t="str">
        <f>IF('e2'!A525&gt;0,HYPERLINK("#"&amp;ADDRESS(525,'e2'!A525),""),IF('r2'!A525&gt;0,HYPERLINK("#"&amp;ADDRESS(525,'r2'!A525),""),""))</f>
        <v/>
      </c>
      <c r="C525" s="31"/>
      <c r="D525" s="32"/>
    </row>
    <row r="526" spans="1:4" ht="24" customHeight="1" x14ac:dyDescent="0.25">
      <c r="A526" t="str">
        <f>IF('e2'!A526&gt;0,HYPERLINK("#"&amp;ADDRESS(526,'e2'!A526),""),IF('r2'!A526&gt;0,HYPERLINK("#"&amp;ADDRESS(526,'r2'!A526),""),""))</f>
        <v/>
      </c>
      <c r="C526" s="31"/>
      <c r="D526" s="32"/>
    </row>
    <row r="527" spans="1:4" ht="24" customHeight="1" x14ac:dyDescent="0.25">
      <c r="A527" t="str">
        <f>IF('e2'!A527&gt;0,HYPERLINK("#"&amp;ADDRESS(527,'e2'!A527),""),IF('r2'!A527&gt;0,HYPERLINK("#"&amp;ADDRESS(527,'r2'!A527),""),""))</f>
        <v/>
      </c>
      <c r="C527" s="31"/>
      <c r="D527" s="32"/>
    </row>
    <row r="528" spans="1:4" ht="24" customHeight="1" x14ac:dyDescent="0.25">
      <c r="A528" t="str">
        <f>IF('e2'!A528&gt;0,HYPERLINK("#"&amp;ADDRESS(528,'e2'!A528),""),IF('r2'!A528&gt;0,HYPERLINK("#"&amp;ADDRESS(528,'r2'!A528),""),""))</f>
        <v/>
      </c>
      <c r="C528" s="31"/>
      <c r="D528" s="32"/>
    </row>
    <row r="529" spans="1:4" ht="24" customHeight="1" x14ac:dyDescent="0.25">
      <c r="A529" t="str">
        <f>IF('e2'!A529&gt;0,HYPERLINK("#"&amp;ADDRESS(529,'e2'!A529),""),IF('r2'!A529&gt;0,HYPERLINK("#"&amp;ADDRESS(529,'r2'!A529),""),""))</f>
        <v/>
      </c>
      <c r="C529" s="31"/>
      <c r="D529" s="32"/>
    </row>
    <row r="530" spans="1:4" ht="24" customHeight="1" x14ac:dyDescent="0.25">
      <c r="A530" t="str">
        <f>IF('e2'!A530&gt;0,HYPERLINK("#"&amp;ADDRESS(530,'e2'!A530),""),IF('r2'!A530&gt;0,HYPERLINK("#"&amp;ADDRESS(530,'r2'!A530),""),""))</f>
        <v/>
      </c>
      <c r="C530" s="31"/>
      <c r="D530" s="32"/>
    </row>
    <row r="531" spans="1:4" ht="24" customHeight="1" x14ac:dyDescent="0.25">
      <c r="A531" t="str">
        <f>IF('e2'!A531&gt;0,HYPERLINK("#"&amp;ADDRESS(531,'e2'!A531),""),IF('r2'!A531&gt;0,HYPERLINK("#"&amp;ADDRESS(531,'r2'!A531),""),""))</f>
        <v/>
      </c>
      <c r="C531" s="31"/>
      <c r="D531" s="32"/>
    </row>
    <row r="532" spans="1:4" ht="24" customHeight="1" x14ac:dyDescent="0.25">
      <c r="A532" t="str">
        <f>IF('e2'!A532&gt;0,HYPERLINK("#"&amp;ADDRESS(532,'e2'!A532),""),IF('r2'!A532&gt;0,HYPERLINK("#"&amp;ADDRESS(532,'r2'!A532),""),""))</f>
        <v/>
      </c>
      <c r="C532" s="31"/>
      <c r="D532" s="32"/>
    </row>
    <row r="533" spans="1:4" ht="24" customHeight="1" x14ac:dyDescent="0.25">
      <c r="A533" t="str">
        <f>IF('e2'!A533&gt;0,HYPERLINK("#"&amp;ADDRESS(533,'e2'!A533),""),IF('r2'!A533&gt;0,HYPERLINK("#"&amp;ADDRESS(533,'r2'!A533),""),""))</f>
        <v/>
      </c>
      <c r="C533" s="31"/>
      <c r="D533" s="32"/>
    </row>
    <row r="534" spans="1:4" ht="24" customHeight="1" x14ac:dyDescent="0.25">
      <c r="A534" t="str">
        <f>IF('e2'!A534&gt;0,HYPERLINK("#"&amp;ADDRESS(534,'e2'!A534),""),IF('r2'!A534&gt;0,HYPERLINK("#"&amp;ADDRESS(534,'r2'!A534),""),""))</f>
        <v/>
      </c>
      <c r="C534" s="31"/>
      <c r="D534" s="32"/>
    </row>
    <row r="535" spans="1:4" ht="24" customHeight="1" x14ac:dyDescent="0.25">
      <c r="A535" t="str">
        <f>IF('e2'!A535&gt;0,HYPERLINK("#"&amp;ADDRESS(535,'e2'!A535),""),IF('r2'!A535&gt;0,HYPERLINK("#"&amp;ADDRESS(535,'r2'!A535),""),""))</f>
        <v/>
      </c>
      <c r="C535" s="31"/>
      <c r="D535" s="32"/>
    </row>
    <row r="536" spans="1:4" ht="24" customHeight="1" x14ac:dyDescent="0.25">
      <c r="A536" t="str">
        <f>IF('e2'!A536&gt;0,HYPERLINK("#"&amp;ADDRESS(536,'e2'!A536),""),IF('r2'!A536&gt;0,HYPERLINK("#"&amp;ADDRESS(536,'r2'!A536),""),""))</f>
        <v/>
      </c>
      <c r="C536" s="31"/>
      <c r="D536" s="32"/>
    </row>
    <row r="537" spans="1:4" ht="24" customHeight="1" x14ac:dyDescent="0.25">
      <c r="A537" t="str">
        <f>IF('e2'!A537&gt;0,HYPERLINK("#"&amp;ADDRESS(537,'e2'!A537),""),IF('r2'!A537&gt;0,HYPERLINK("#"&amp;ADDRESS(537,'r2'!A537),""),""))</f>
        <v/>
      </c>
      <c r="C537" s="31"/>
      <c r="D537" s="32"/>
    </row>
    <row r="538" spans="1:4" ht="24" customHeight="1" x14ac:dyDescent="0.25">
      <c r="A538" t="str">
        <f>IF('e2'!A538&gt;0,HYPERLINK("#"&amp;ADDRESS(538,'e2'!A538),""),IF('r2'!A538&gt;0,HYPERLINK("#"&amp;ADDRESS(538,'r2'!A538),""),""))</f>
        <v/>
      </c>
      <c r="C538" s="31"/>
      <c r="D538" s="32"/>
    </row>
    <row r="539" spans="1:4" ht="24" customHeight="1" x14ac:dyDescent="0.25">
      <c r="A539" t="str">
        <f>IF('e2'!A539&gt;0,HYPERLINK("#"&amp;ADDRESS(539,'e2'!A539),""),IF('r2'!A539&gt;0,HYPERLINK("#"&amp;ADDRESS(539,'r2'!A539),""),""))</f>
        <v/>
      </c>
      <c r="C539" s="31"/>
      <c r="D539" s="32"/>
    </row>
    <row r="540" spans="1:4" ht="24" customHeight="1" x14ac:dyDescent="0.25">
      <c r="A540" t="str">
        <f>IF('e2'!A540&gt;0,HYPERLINK("#"&amp;ADDRESS(540,'e2'!A540),""),IF('r2'!A540&gt;0,HYPERLINK("#"&amp;ADDRESS(540,'r2'!A540),""),""))</f>
        <v/>
      </c>
      <c r="C540" s="31"/>
      <c r="D540" s="32"/>
    </row>
    <row r="541" spans="1:4" ht="24" customHeight="1" x14ac:dyDescent="0.25">
      <c r="A541" t="str">
        <f>IF('e2'!A541&gt;0,HYPERLINK("#"&amp;ADDRESS(541,'e2'!A541),""),IF('r2'!A541&gt;0,HYPERLINK("#"&amp;ADDRESS(541,'r2'!A541),""),""))</f>
        <v/>
      </c>
      <c r="C541" s="31"/>
      <c r="D541" s="32"/>
    </row>
    <row r="542" spans="1:4" ht="24" customHeight="1" x14ac:dyDescent="0.25">
      <c r="A542" t="str">
        <f>IF('e2'!A542&gt;0,HYPERLINK("#"&amp;ADDRESS(542,'e2'!A542),""),IF('r2'!A542&gt;0,HYPERLINK("#"&amp;ADDRESS(542,'r2'!A542),""),""))</f>
        <v/>
      </c>
      <c r="C542" s="31"/>
      <c r="D542" s="32"/>
    </row>
    <row r="543" spans="1:4" ht="24" customHeight="1" x14ac:dyDescent="0.25">
      <c r="A543" t="str">
        <f>IF('e2'!A543&gt;0,HYPERLINK("#"&amp;ADDRESS(543,'e2'!A543),""),IF('r2'!A543&gt;0,HYPERLINK("#"&amp;ADDRESS(543,'r2'!A543),""),""))</f>
        <v/>
      </c>
      <c r="C543" s="31"/>
      <c r="D543" s="32"/>
    </row>
    <row r="544" spans="1:4" ht="24" customHeight="1" x14ac:dyDescent="0.25">
      <c r="A544" t="str">
        <f>IF('e2'!A544&gt;0,HYPERLINK("#"&amp;ADDRESS(544,'e2'!A544),""),IF('r2'!A544&gt;0,HYPERLINK("#"&amp;ADDRESS(544,'r2'!A544),""),""))</f>
        <v/>
      </c>
      <c r="C544" s="31"/>
      <c r="D544" s="32"/>
    </row>
    <row r="545" spans="1:4" ht="24" customHeight="1" x14ac:dyDescent="0.25">
      <c r="A545" t="str">
        <f>IF('e2'!A545&gt;0,HYPERLINK("#"&amp;ADDRESS(545,'e2'!A545),""),IF('r2'!A545&gt;0,HYPERLINK("#"&amp;ADDRESS(545,'r2'!A545),""),""))</f>
        <v/>
      </c>
      <c r="C545" s="31"/>
      <c r="D545" s="32"/>
    </row>
    <row r="546" spans="1:4" ht="24" customHeight="1" x14ac:dyDescent="0.25">
      <c r="A546" t="str">
        <f>IF('e2'!A546&gt;0,HYPERLINK("#"&amp;ADDRESS(546,'e2'!A546),""),IF('r2'!A546&gt;0,HYPERLINK("#"&amp;ADDRESS(546,'r2'!A546),""),""))</f>
        <v/>
      </c>
      <c r="C546" s="31"/>
      <c r="D546" s="32"/>
    </row>
    <row r="547" spans="1:4" ht="24" customHeight="1" x14ac:dyDescent="0.25">
      <c r="A547" t="str">
        <f>IF('e2'!A547&gt;0,HYPERLINK("#"&amp;ADDRESS(547,'e2'!A547),""),IF('r2'!A547&gt;0,HYPERLINK("#"&amp;ADDRESS(547,'r2'!A547),""),""))</f>
        <v/>
      </c>
      <c r="C547" s="31"/>
      <c r="D547" s="32"/>
    </row>
    <row r="548" spans="1:4" ht="24" customHeight="1" x14ac:dyDescent="0.25">
      <c r="A548" t="str">
        <f>IF('e2'!A548&gt;0,HYPERLINK("#"&amp;ADDRESS(548,'e2'!A548),""),IF('r2'!A548&gt;0,HYPERLINK("#"&amp;ADDRESS(548,'r2'!A548),""),""))</f>
        <v/>
      </c>
      <c r="C548" s="31"/>
      <c r="D548" s="32"/>
    </row>
    <row r="549" spans="1:4" ht="24" customHeight="1" x14ac:dyDescent="0.25">
      <c r="A549" t="str">
        <f>IF('e2'!A549&gt;0,HYPERLINK("#"&amp;ADDRESS(549,'e2'!A549),""),IF('r2'!A549&gt;0,HYPERLINK("#"&amp;ADDRESS(549,'r2'!A549),""),""))</f>
        <v/>
      </c>
      <c r="C549" s="31"/>
      <c r="D549" s="32"/>
    </row>
    <row r="550" spans="1:4" ht="24" customHeight="1" x14ac:dyDescent="0.25">
      <c r="A550" t="str">
        <f>IF('e2'!A550&gt;0,HYPERLINK("#"&amp;ADDRESS(550,'e2'!A550),""),IF('r2'!A550&gt;0,HYPERLINK("#"&amp;ADDRESS(550,'r2'!A550),""),""))</f>
        <v/>
      </c>
      <c r="C550" s="31"/>
      <c r="D550" s="32"/>
    </row>
    <row r="551" spans="1:4" ht="24" customHeight="1" x14ac:dyDescent="0.25">
      <c r="A551" t="str">
        <f>IF('e2'!A551&gt;0,HYPERLINK("#"&amp;ADDRESS(551,'e2'!A551),""),IF('r2'!A551&gt;0,HYPERLINK("#"&amp;ADDRESS(551,'r2'!A551),""),""))</f>
        <v/>
      </c>
      <c r="C551" s="31"/>
      <c r="D551" s="32"/>
    </row>
    <row r="552" spans="1:4" ht="24" customHeight="1" x14ac:dyDescent="0.25">
      <c r="A552" t="str">
        <f>IF('e2'!A552&gt;0,HYPERLINK("#"&amp;ADDRESS(552,'e2'!A552),""),IF('r2'!A552&gt;0,HYPERLINK("#"&amp;ADDRESS(552,'r2'!A552),""),""))</f>
        <v/>
      </c>
      <c r="C552" s="31"/>
      <c r="D552" s="32"/>
    </row>
    <row r="553" spans="1:4" ht="24" customHeight="1" x14ac:dyDescent="0.25">
      <c r="A553" t="str">
        <f>IF('e2'!A553&gt;0,HYPERLINK("#"&amp;ADDRESS(553,'e2'!A553),""),IF('r2'!A553&gt;0,HYPERLINK("#"&amp;ADDRESS(553,'r2'!A553),""),""))</f>
        <v/>
      </c>
      <c r="C553" s="31"/>
      <c r="D553" s="32"/>
    </row>
    <row r="554" spans="1:4" ht="24" customHeight="1" x14ac:dyDescent="0.25">
      <c r="A554" t="str">
        <f>IF('e2'!A554&gt;0,HYPERLINK("#"&amp;ADDRESS(554,'e2'!A554),""),IF('r2'!A554&gt;0,HYPERLINK("#"&amp;ADDRESS(554,'r2'!A554),""),""))</f>
        <v/>
      </c>
      <c r="C554" s="31"/>
      <c r="D554" s="32"/>
    </row>
    <row r="555" spans="1:4" ht="24" customHeight="1" x14ac:dyDescent="0.25">
      <c r="A555" t="str">
        <f>IF('e2'!A555&gt;0,HYPERLINK("#"&amp;ADDRESS(555,'e2'!A555),""),IF('r2'!A555&gt;0,HYPERLINK("#"&amp;ADDRESS(555,'r2'!A555),""),""))</f>
        <v/>
      </c>
      <c r="C555" s="31"/>
      <c r="D555" s="32"/>
    </row>
    <row r="556" spans="1:4" ht="24" customHeight="1" x14ac:dyDescent="0.25">
      <c r="A556" t="str">
        <f>IF('e2'!A556&gt;0,HYPERLINK("#"&amp;ADDRESS(556,'e2'!A556),""),IF('r2'!A556&gt;0,HYPERLINK("#"&amp;ADDRESS(556,'r2'!A556),""),""))</f>
        <v/>
      </c>
      <c r="C556" s="31"/>
      <c r="D556" s="32"/>
    </row>
    <row r="557" spans="1:4" ht="24" customHeight="1" x14ac:dyDescent="0.25">
      <c r="A557" t="str">
        <f>IF('e2'!A557&gt;0,HYPERLINK("#"&amp;ADDRESS(557,'e2'!A557),""),IF('r2'!A557&gt;0,HYPERLINK("#"&amp;ADDRESS(557,'r2'!A557),""),""))</f>
        <v/>
      </c>
      <c r="C557" s="31"/>
      <c r="D557" s="32"/>
    </row>
    <row r="558" spans="1:4" ht="24" customHeight="1" x14ac:dyDescent="0.25">
      <c r="A558" t="str">
        <f>IF('e2'!A558&gt;0,HYPERLINK("#"&amp;ADDRESS(558,'e2'!A558),""),IF('r2'!A558&gt;0,HYPERLINK("#"&amp;ADDRESS(558,'r2'!A558),""),""))</f>
        <v/>
      </c>
      <c r="C558" s="31"/>
      <c r="D558" s="32"/>
    </row>
    <row r="559" spans="1:4" ht="24" customHeight="1" x14ac:dyDescent="0.25">
      <c r="A559" t="str">
        <f>IF('e2'!A559&gt;0,HYPERLINK("#"&amp;ADDRESS(559,'e2'!A559),""),IF('r2'!A559&gt;0,HYPERLINK("#"&amp;ADDRESS(559,'r2'!A559),""),""))</f>
        <v/>
      </c>
      <c r="C559" s="31"/>
      <c r="D559" s="32"/>
    </row>
    <row r="560" spans="1:4" ht="24" customHeight="1" x14ac:dyDescent="0.25">
      <c r="A560" t="str">
        <f>IF('e2'!A560&gt;0,HYPERLINK("#"&amp;ADDRESS(560,'e2'!A560),""),IF('r2'!A560&gt;0,HYPERLINK("#"&amp;ADDRESS(560,'r2'!A560),""),""))</f>
        <v/>
      </c>
      <c r="C560" s="31"/>
      <c r="D560" s="32"/>
    </row>
    <row r="561" spans="1:4" ht="24" customHeight="1" x14ac:dyDescent="0.25">
      <c r="A561" t="str">
        <f>IF('e2'!A561&gt;0,HYPERLINK("#"&amp;ADDRESS(561,'e2'!A561),""),IF('r2'!A561&gt;0,HYPERLINK("#"&amp;ADDRESS(561,'r2'!A561),""),""))</f>
        <v/>
      </c>
      <c r="C561" s="31"/>
      <c r="D561" s="32"/>
    </row>
    <row r="562" spans="1:4" ht="24" customHeight="1" x14ac:dyDescent="0.25">
      <c r="A562" t="str">
        <f>IF('e2'!A562&gt;0,HYPERLINK("#"&amp;ADDRESS(562,'e2'!A562),""),IF('r2'!A562&gt;0,HYPERLINK("#"&amp;ADDRESS(562,'r2'!A562),""),""))</f>
        <v/>
      </c>
      <c r="C562" s="31"/>
      <c r="D562" s="32"/>
    </row>
    <row r="563" spans="1:4" ht="24" customHeight="1" x14ac:dyDescent="0.25">
      <c r="A563" t="str">
        <f>IF('e2'!A563&gt;0,HYPERLINK("#"&amp;ADDRESS(563,'e2'!A563),""),IF('r2'!A563&gt;0,HYPERLINK("#"&amp;ADDRESS(563,'r2'!A563),""),""))</f>
        <v/>
      </c>
      <c r="C563" s="31"/>
      <c r="D563" s="32"/>
    </row>
    <row r="564" spans="1:4" ht="24" customHeight="1" x14ac:dyDescent="0.25">
      <c r="A564" t="str">
        <f>IF('e2'!A564&gt;0,HYPERLINK("#"&amp;ADDRESS(564,'e2'!A564),""),IF('r2'!A564&gt;0,HYPERLINK("#"&amp;ADDRESS(564,'r2'!A564),""),""))</f>
        <v/>
      </c>
      <c r="C564" s="31"/>
      <c r="D564" s="32"/>
    </row>
    <row r="565" spans="1:4" ht="24" customHeight="1" x14ac:dyDescent="0.25">
      <c r="A565" t="str">
        <f>IF('e2'!A565&gt;0,HYPERLINK("#"&amp;ADDRESS(565,'e2'!A565),""),IF('r2'!A565&gt;0,HYPERLINK("#"&amp;ADDRESS(565,'r2'!A565),""),""))</f>
        <v/>
      </c>
      <c r="C565" s="31"/>
      <c r="D565" s="32"/>
    </row>
    <row r="566" spans="1:4" ht="24" customHeight="1" x14ac:dyDescent="0.25">
      <c r="A566" t="str">
        <f>IF('e2'!A566&gt;0,HYPERLINK("#"&amp;ADDRESS(566,'e2'!A566),""),IF('r2'!A566&gt;0,HYPERLINK("#"&amp;ADDRESS(566,'r2'!A566),""),""))</f>
        <v/>
      </c>
      <c r="C566" s="31"/>
      <c r="D566" s="32"/>
    </row>
    <row r="567" spans="1:4" ht="24" customHeight="1" x14ac:dyDescent="0.25">
      <c r="A567" t="str">
        <f>IF('e2'!A567&gt;0,HYPERLINK("#"&amp;ADDRESS(567,'e2'!A567),""),IF('r2'!A567&gt;0,HYPERLINK("#"&amp;ADDRESS(567,'r2'!A567),""),""))</f>
        <v/>
      </c>
      <c r="C567" s="31"/>
      <c r="D567" s="32"/>
    </row>
    <row r="568" spans="1:4" ht="24" customHeight="1" x14ac:dyDescent="0.25">
      <c r="A568" t="str">
        <f>IF('e2'!A568&gt;0,HYPERLINK("#"&amp;ADDRESS(568,'e2'!A568),""),IF('r2'!A568&gt;0,HYPERLINK("#"&amp;ADDRESS(568,'r2'!A568),""),""))</f>
        <v/>
      </c>
      <c r="C568" s="31"/>
      <c r="D568" s="32"/>
    </row>
    <row r="569" spans="1:4" ht="24" customHeight="1" x14ac:dyDescent="0.25">
      <c r="A569" t="str">
        <f>IF('e2'!A569&gt;0,HYPERLINK("#"&amp;ADDRESS(569,'e2'!A569),""),IF('r2'!A569&gt;0,HYPERLINK("#"&amp;ADDRESS(569,'r2'!A569),""),""))</f>
        <v/>
      </c>
      <c r="C569" s="31"/>
      <c r="D569" s="32"/>
    </row>
    <row r="570" spans="1:4" ht="24" customHeight="1" x14ac:dyDescent="0.25">
      <c r="A570" t="str">
        <f>IF('e2'!A570&gt;0,HYPERLINK("#"&amp;ADDRESS(570,'e2'!A570),""),IF('r2'!A570&gt;0,HYPERLINK("#"&amp;ADDRESS(570,'r2'!A570),""),""))</f>
        <v/>
      </c>
      <c r="C570" s="31"/>
      <c r="D570" s="32"/>
    </row>
    <row r="571" spans="1:4" ht="24" customHeight="1" x14ac:dyDescent="0.25">
      <c r="A571" t="str">
        <f>IF('e2'!A571&gt;0,HYPERLINK("#"&amp;ADDRESS(571,'e2'!A571),""),IF('r2'!A571&gt;0,HYPERLINK("#"&amp;ADDRESS(571,'r2'!A571),""),""))</f>
        <v/>
      </c>
      <c r="C571" s="31"/>
      <c r="D571" s="32"/>
    </row>
    <row r="572" spans="1:4" ht="24" customHeight="1" x14ac:dyDescent="0.25">
      <c r="A572" t="str">
        <f>IF('e2'!A572&gt;0,HYPERLINK("#"&amp;ADDRESS(572,'e2'!A572),""),IF('r2'!A572&gt;0,HYPERLINK("#"&amp;ADDRESS(572,'r2'!A572),""),""))</f>
        <v/>
      </c>
      <c r="C572" s="31"/>
      <c r="D572" s="32"/>
    </row>
    <row r="573" spans="1:4" ht="24" customHeight="1" x14ac:dyDescent="0.25">
      <c r="A573" t="str">
        <f>IF('e2'!A573&gt;0,HYPERLINK("#"&amp;ADDRESS(573,'e2'!A573),""),IF('r2'!A573&gt;0,HYPERLINK("#"&amp;ADDRESS(573,'r2'!A573),""),""))</f>
        <v/>
      </c>
      <c r="C573" s="31"/>
      <c r="D573" s="32"/>
    </row>
    <row r="574" spans="1:4" ht="24" customHeight="1" x14ac:dyDescent="0.25">
      <c r="A574" t="str">
        <f>IF('e2'!A574&gt;0,HYPERLINK("#"&amp;ADDRESS(574,'e2'!A574),""),IF('r2'!A574&gt;0,HYPERLINK("#"&amp;ADDRESS(574,'r2'!A574),""),""))</f>
        <v/>
      </c>
      <c r="C574" s="31"/>
      <c r="D574" s="32"/>
    </row>
    <row r="575" spans="1:4" ht="24" customHeight="1" x14ac:dyDescent="0.25">
      <c r="A575" t="str">
        <f>IF('e2'!A575&gt;0,HYPERLINK("#"&amp;ADDRESS(575,'e2'!A575),""),IF('r2'!A575&gt;0,HYPERLINK("#"&amp;ADDRESS(575,'r2'!A575),""),""))</f>
        <v/>
      </c>
      <c r="C575" s="31"/>
      <c r="D575" s="32"/>
    </row>
    <row r="576" spans="1:4" ht="24" customHeight="1" x14ac:dyDescent="0.25">
      <c r="A576" t="str">
        <f>IF('e2'!A576&gt;0,HYPERLINK("#"&amp;ADDRESS(576,'e2'!A576),""),IF('r2'!A576&gt;0,HYPERLINK("#"&amp;ADDRESS(576,'r2'!A576),""),""))</f>
        <v/>
      </c>
      <c r="C576" s="31"/>
      <c r="D576" s="32"/>
    </row>
    <row r="577" spans="1:4" ht="24" customHeight="1" x14ac:dyDescent="0.25">
      <c r="A577" t="str">
        <f>IF('e2'!A577&gt;0,HYPERLINK("#"&amp;ADDRESS(577,'e2'!A577),""),IF('r2'!A577&gt;0,HYPERLINK("#"&amp;ADDRESS(577,'r2'!A577),""),""))</f>
        <v/>
      </c>
      <c r="C577" s="31"/>
      <c r="D577" s="32"/>
    </row>
    <row r="578" spans="1:4" ht="24" customHeight="1" x14ac:dyDescent="0.25">
      <c r="A578" t="str">
        <f>IF('e2'!A578&gt;0,HYPERLINK("#"&amp;ADDRESS(578,'e2'!A578),""),IF('r2'!A578&gt;0,HYPERLINK("#"&amp;ADDRESS(578,'r2'!A578),""),""))</f>
        <v/>
      </c>
      <c r="C578" s="31"/>
      <c r="D578" s="32"/>
    </row>
    <row r="579" spans="1:4" ht="24" customHeight="1" x14ac:dyDescent="0.25">
      <c r="A579" t="str">
        <f>IF('e2'!A579&gt;0,HYPERLINK("#"&amp;ADDRESS(579,'e2'!A579),""),IF('r2'!A579&gt;0,HYPERLINK("#"&amp;ADDRESS(579,'r2'!A579),""),""))</f>
        <v/>
      </c>
      <c r="C579" s="31"/>
      <c r="D579" s="32"/>
    </row>
    <row r="580" spans="1:4" ht="24" customHeight="1" x14ac:dyDescent="0.25">
      <c r="A580" t="str">
        <f>IF('e2'!A580&gt;0,HYPERLINK("#"&amp;ADDRESS(580,'e2'!A580),""),IF('r2'!A580&gt;0,HYPERLINK("#"&amp;ADDRESS(580,'r2'!A580),""),""))</f>
        <v/>
      </c>
      <c r="C580" s="31"/>
      <c r="D580" s="32"/>
    </row>
    <row r="581" spans="1:4" ht="24" customHeight="1" x14ac:dyDescent="0.25">
      <c r="A581" t="str">
        <f>IF('e2'!A581&gt;0,HYPERLINK("#"&amp;ADDRESS(581,'e2'!A581),""),IF('r2'!A581&gt;0,HYPERLINK("#"&amp;ADDRESS(581,'r2'!A581),""),""))</f>
        <v/>
      </c>
      <c r="C581" s="31"/>
      <c r="D581" s="32"/>
    </row>
    <row r="582" spans="1:4" ht="24" customHeight="1" x14ac:dyDescent="0.25">
      <c r="A582" t="str">
        <f>IF('e2'!A582&gt;0,HYPERLINK("#"&amp;ADDRESS(582,'e2'!A582),""),IF('r2'!A582&gt;0,HYPERLINK("#"&amp;ADDRESS(582,'r2'!A582),""),""))</f>
        <v/>
      </c>
      <c r="C582" s="31"/>
      <c r="D582" s="32"/>
    </row>
    <row r="583" spans="1:4" ht="24" customHeight="1" x14ac:dyDescent="0.25">
      <c r="A583" t="str">
        <f>IF('e2'!A583&gt;0,HYPERLINK("#"&amp;ADDRESS(583,'e2'!A583),""),IF('r2'!A583&gt;0,HYPERLINK("#"&amp;ADDRESS(583,'r2'!A583),""),""))</f>
        <v/>
      </c>
      <c r="C583" s="31"/>
      <c r="D583" s="32"/>
    </row>
    <row r="584" spans="1:4" ht="24" customHeight="1" x14ac:dyDescent="0.25">
      <c r="A584" t="str">
        <f>IF('e2'!A584&gt;0,HYPERLINK("#"&amp;ADDRESS(584,'e2'!A584),""),IF('r2'!A584&gt;0,HYPERLINK("#"&amp;ADDRESS(584,'r2'!A584),""),""))</f>
        <v/>
      </c>
      <c r="C584" s="31"/>
      <c r="D584" s="32"/>
    </row>
    <row r="585" spans="1:4" ht="24" customHeight="1" x14ac:dyDescent="0.25">
      <c r="A585" t="str">
        <f>IF('e2'!A585&gt;0,HYPERLINK("#"&amp;ADDRESS(585,'e2'!A585),""),IF('r2'!A585&gt;0,HYPERLINK("#"&amp;ADDRESS(585,'r2'!A585),""),""))</f>
        <v/>
      </c>
      <c r="C585" s="31"/>
      <c r="D585" s="32"/>
    </row>
    <row r="586" spans="1:4" ht="24" customHeight="1" x14ac:dyDescent="0.25">
      <c r="A586" t="str">
        <f>IF('e2'!A586&gt;0,HYPERLINK("#"&amp;ADDRESS(586,'e2'!A586),""),IF('r2'!A586&gt;0,HYPERLINK("#"&amp;ADDRESS(586,'r2'!A586),""),""))</f>
        <v/>
      </c>
      <c r="C586" s="31"/>
      <c r="D586" s="32"/>
    </row>
    <row r="587" spans="1:4" ht="24" customHeight="1" x14ac:dyDescent="0.25">
      <c r="A587" t="str">
        <f>IF('e2'!A587&gt;0,HYPERLINK("#"&amp;ADDRESS(587,'e2'!A587),""),IF('r2'!A587&gt;0,HYPERLINK("#"&amp;ADDRESS(587,'r2'!A587),""),""))</f>
        <v/>
      </c>
      <c r="C587" s="31"/>
      <c r="D587" s="32"/>
    </row>
    <row r="588" spans="1:4" ht="24" customHeight="1" x14ac:dyDescent="0.25">
      <c r="A588" t="str">
        <f>IF('e2'!A588&gt;0,HYPERLINK("#"&amp;ADDRESS(588,'e2'!A588),""),IF('r2'!A588&gt;0,HYPERLINK("#"&amp;ADDRESS(588,'r2'!A588),""),""))</f>
        <v/>
      </c>
      <c r="C588" s="31"/>
      <c r="D588" s="32"/>
    </row>
    <row r="589" spans="1:4" ht="24" customHeight="1" x14ac:dyDescent="0.25">
      <c r="A589" t="str">
        <f>IF('e2'!A589&gt;0,HYPERLINK("#"&amp;ADDRESS(589,'e2'!A589),""),IF('r2'!A589&gt;0,HYPERLINK("#"&amp;ADDRESS(589,'r2'!A589),""),""))</f>
        <v/>
      </c>
      <c r="C589" s="31"/>
      <c r="D589" s="32"/>
    </row>
    <row r="590" spans="1:4" ht="24" customHeight="1" x14ac:dyDescent="0.25">
      <c r="A590" t="str">
        <f>IF('e2'!A590&gt;0,HYPERLINK("#"&amp;ADDRESS(590,'e2'!A590),""),IF('r2'!A590&gt;0,HYPERLINK("#"&amp;ADDRESS(590,'r2'!A590),""),""))</f>
        <v/>
      </c>
      <c r="C590" s="31"/>
      <c r="D590" s="32"/>
    </row>
    <row r="591" spans="1:4" ht="24" customHeight="1" x14ac:dyDescent="0.25">
      <c r="A591" t="str">
        <f>IF('e2'!A591&gt;0,HYPERLINK("#"&amp;ADDRESS(591,'e2'!A591),""),IF('r2'!A591&gt;0,HYPERLINK("#"&amp;ADDRESS(591,'r2'!A591),""),""))</f>
        <v/>
      </c>
      <c r="C591" s="31"/>
      <c r="D591" s="32"/>
    </row>
    <row r="592" spans="1:4" ht="24" customHeight="1" x14ac:dyDescent="0.25">
      <c r="A592" t="str">
        <f>IF('e2'!A592&gt;0,HYPERLINK("#"&amp;ADDRESS(592,'e2'!A592),""),IF('r2'!A592&gt;0,HYPERLINK("#"&amp;ADDRESS(592,'r2'!A592),""),""))</f>
        <v/>
      </c>
      <c r="C592" s="31"/>
      <c r="D592" s="32"/>
    </row>
    <row r="593" spans="1:4" ht="24" customHeight="1" x14ac:dyDescent="0.25">
      <c r="A593" t="str">
        <f>IF('e2'!A593&gt;0,HYPERLINK("#"&amp;ADDRESS(593,'e2'!A593),""),IF('r2'!A593&gt;0,HYPERLINK("#"&amp;ADDRESS(593,'r2'!A593),""),""))</f>
        <v/>
      </c>
      <c r="C593" s="31"/>
      <c r="D593" s="32"/>
    </row>
    <row r="594" spans="1:4" ht="24" customHeight="1" x14ac:dyDescent="0.25">
      <c r="A594" t="str">
        <f>IF('e2'!A594&gt;0,HYPERLINK("#"&amp;ADDRESS(594,'e2'!A594),""),IF('r2'!A594&gt;0,HYPERLINK("#"&amp;ADDRESS(594,'r2'!A594),""),""))</f>
        <v/>
      </c>
      <c r="C594" s="31"/>
      <c r="D594" s="32"/>
    </row>
    <row r="595" spans="1:4" ht="24" customHeight="1" x14ac:dyDescent="0.25">
      <c r="A595" t="str">
        <f>IF('e2'!A595&gt;0,HYPERLINK("#"&amp;ADDRESS(595,'e2'!A595),""),IF('r2'!A595&gt;0,HYPERLINK("#"&amp;ADDRESS(595,'r2'!A595),""),""))</f>
        <v/>
      </c>
      <c r="C595" s="31"/>
      <c r="D595" s="32"/>
    </row>
    <row r="596" spans="1:4" ht="24" customHeight="1" x14ac:dyDescent="0.25">
      <c r="A596" t="str">
        <f>IF('e2'!A596&gt;0,HYPERLINK("#"&amp;ADDRESS(596,'e2'!A596),""),IF('r2'!A596&gt;0,HYPERLINK("#"&amp;ADDRESS(596,'r2'!A596),""),""))</f>
        <v/>
      </c>
      <c r="C596" s="31"/>
      <c r="D596" s="32"/>
    </row>
    <row r="597" spans="1:4" ht="24" customHeight="1" x14ac:dyDescent="0.25">
      <c r="A597" t="str">
        <f>IF('e2'!A597&gt;0,HYPERLINK("#"&amp;ADDRESS(597,'e2'!A597),""),IF('r2'!A597&gt;0,HYPERLINK("#"&amp;ADDRESS(597,'r2'!A597),""),""))</f>
        <v/>
      </c>
      <c r="C597" s="31"/>
      <c r="D597" s="32"/>
    </row>
    <row r="598" spans="1:4" ht="24" customHeight="1" x14ac:dyDescent="0.25">
      <c r="A598" t="str">
        <f>IF('e2'!A598&gt;0,HYPERLINK("#"&amp;ADDRESS(598,'e2'!A598),""),IF('r2'!A598&gt;0,HYPERLINK("#"&amp;ADDRESS(598,'r2'!A598),""),""))</f>
        <v/>
      </c>
      <c r="C598" s="31"/>
      <c r="D598" s="32"/>
    </row>
    <row r="599" spans="1:4" ht="24" customHeight="1" x14ac:dyDescent="0.25">
      <c r="A599" t="str">
        <f>IF('e2'!A599&gt;0,HYPERLINK("#"&amp;ADDRESS(599,'e2'!A599),""),IF('r2'!A599&gt;0,HYPERLINK("#"&amp;ADDRESS(599,'r2'!A599),""),""))</f>
        <v/>
      </c>
      <c r="C599" s="31"/>
      <c r="D599" s="32"/>
    </row>
    <row r="600" spans="1:4" ht="24" customHeight="1" x14ac:dyDescent="0.25">
      <c r="A600" t="str">
        <f>IF('e2'!A600&gt;0,HYPERLINK("#"&amp;ADDRESS(600,'e2'!A600),""),IF('r2'!A600&gt;0,HYPERLINK("#"&amp;ADDRESS(600,'r2'!A600),""),""))</f>
        <v/>
      </c>
      <c r="C600" s="31"/>
      <c r="D600" s="32"/>
    </row>
    <row r="601" spans="1:4" ht="24" customHeight="1" x14ac:dyDescent="0.25">
      <c r="A601" t="str">
        <f>IF('e2'!A601&gt;0,HYPERLINK("#"&amp;ADDRESS(601,'e2'!A601),""),IF('r2'!A601&gt;0,HYPERLINK("#"&amp;ADDRESS(601,'r2'!A601),""),""))</f>
        <v/>
      </c>
      <c r="C601" s="31"/>
      <c r="D601" s="32"/>
    </row>
    <row r="602" spans="1:4" ht="24" customHeight="1" x14ac:dyDescent="0.25">
      <c r="A602" t="str">
        <f>IF('e2'!A602&gt;0,HYPERLINK("#"&amp;ADDRESS(602,'e2'!A602),""),IF('r2'!A602&gt;0,HYPERLINK("#"&amp;ADDRESS(602,'r2'!A602),""),""))</f>
        <v/>
      </c>
      <c r="C602" s="31"/>
      <c r="D602" s="32"/>
    </row>
    <row r="603" spans="1:4" ht="24" customHeight="1" x14ac:dyDescent="0.25">
      <c r="A603" t="str">
        <f>IF('e2'!A603&gt;0,HYPERLINK("#"&amp;ADDRESS(603,'e2'!A603),""),IF('r2'!A603&gt;0,HYPERLINK("#"&amp;ADDRESS(603,'r2'!A603),""),""))</f>
        <v/>
      </c>
      <c r="C603" s="31"/>
      <c r="D603" s="32"/>
    </row>
    <row r="604" spans="1:4" ht="24" customHeight="1" x14ac:dyDescent="0.25">
      <c r="A604" t="str">
        <f>IF('e2'!A604&gt;0,HYPERLINK("#"&amp;ADDRESS(604,'e2'!A604),""),IF('r2'!A604&gt;0,HYPERLINK("#"&amp;ADDRESS(604,'r2'!A604),""),""))</f>
        <v/>
      </c>
      <c r="C604" s="31"/>
      <c r="D604" s="32"/>
    </row>
    <row r="605" spans="1:4" ht="24" customHeight="1" x14ac:dyDescent="0.25">
      <c r="A605" t="str">
        <f>IF('e2'!A605&gt;0,HYPERLINK("#"&amp;ADDRESS(605,'e2'!A605),""),IF('r2'!A605&gt;0,HYPERLINK("#"&amp;ADDRESS(605,'r2'!A605),""),""))</f>
        <v/>
      </c>
      <c r="C605" s="31"/>
      <c r="D605" s="32"/>
    </row>
    <row r="606" spans="1:4" ht="24" customHeight="1" x14ac:dyDescent="0.25">
      <c r="A606" t="str">
        <f>IF('e2'!A606&gt;0,HYPERLINK("#"&amp;ADDRESS(606,'e2'!A606),""),IF('r2'!A606&gt;0,HYPERLINK("#"&amp;ADDRESS(606,'r2'!A606),""),""))</f>
        <v/>
      </c>
      <c r="C606" s="31"/>
      <c r="D606" s="32"/>
    </row>
    <row r="607" spans="1:4" ht="24" customHeight="1" x14ac:dyDescent="0.25">
      <c r="A607" t="str">
        <f>IF('e2'!A607&gt;0,HYPERLINK("#"&amp;ADDRESS(607,'e2'!A607),""),IF('r2'!A607&gt;0,HYPERLINK("#"&amp;ADDRESS(607,'r2'!A607),""),""))</f>
        <v/>
      </c>
      <c r="C607" s="31"/>
      <c r="D607" s="32"/>
    </row>
    <row r="608" spans="1:4" ht="24" customHeight="1" x14ac:dyDescent="0.25">
      <c r="A608" t="str">
        <f>IF('e2'!A608&gt;0,HYPERLINK("#"&amp;ADDRESS(608,'e2'!A608),""),IF('r2'!A608&gt;0,HYPERLINK("#"&amp;ADDRESS(608,'r2'!A608),""),""))</f>
        <v/>
      </c>
      <c r="C608" s="31"/>
      <c r="D608" s="32"/>
    </row>
    <row r="609" spans="1:4" ht="24" customHeight="1" x14ac:dyDescent="0.25">
      <c r="A609" t="str">
        <f>IF('e2'!A609&gt;0,HYPERLINK("#"&amp;ADDRESS(609,'e2'!A609),""),IF('r2'!A609&gt;0,HYPERLINK("#"&amp;ADDRESS(609,'r2'!A609),""),""))</f>
        <v/>
      </c>
      <c r="C609" s="31"/>
      <c r="D609" s="32"/>
    </row>
    <row r="610" spans="1:4" ht="24" customHeight="1" x14ac:dyDescent="0.25">
      <c r="A610" t="str">
        <f>IF('e2'!A610&gt;0,HYPERLINK("#"&amp;ADDRESS(610,'e2'!A610),""),IF('r2'!A610&gt;0,HYPERLINK("#"&amp;ADDRESS(610,'r2'!A610),""),""))</f>
        <v/>
      </c>
      <c r="C610" s="31"/>
      <c r="D610" s="32"/>
    </row>
    <row r="611" spans="1:4" ht="24" customHeight="1" x14ac:dyDescent="0.25">
      <c r="A611" t="str">
        <f>IF('e2'!A611&gt;0,HYPERLINK("#"&amp;ADDRESS(611,'e2'!A611),""),IF('r2'!A611&gt;0,HYPERLINK("#"&amp;ADDRESS(611,'r2'!A611),""),""))</f>
        <v/>
      </c>
      <c r="C611" s="31"/>
      <c r="D611" s="32"/>
    </row>
    <row r="612" spans="1:4" ht="24" customHeight="1" x14ac:dyDescent="0.25">
      <c r="A612" t="str">
        <f>IF('e2'!A612&gt;0,HYPERLINK("#"&amp;ADDRESS(612,'e2'!A612),""),IF('r2'!A612&gt;0,HYPERLINK("#"&amp;ADDRESS(612,'r2'!A612),""),""))</f>
        <v/>
      </c>
      <c r="C612" s="31"/>
      <c r="D612" s="32"/>
    </row>
    <row r="613" spans="1:4" ht="24" customHeight="1" x14ac:dyDescent="0.25">
      <c r="A613" t="str">
        <f>IF('e2'!A613&gt;0,HYPERLINK("#"&amp;ADDRESS(613,'e2'!A613),""),IF('r2'!A613&gt;0,HYPERLINK("#"&amp;ADDRESS(613,'r2'!A613),""),""))</f>
        <v/>
      </c>
      <c r="C613" s="31"/>
      <c r="D613" s="32"/>
    </row>
    <row r="614" spans="1:4" ht="24" customHeight="1" x14ac:dyDescent="0.25">
      <c r="A614" t="str">
        <f>IF('e2'!A614&gt;0,HYPERLINK("#"&amp;ADDRESS(614,'e2'!A614),""),IF('r2'!A614&gt;0,HYPERLINK("#"&amp;ADDRESS(614,'r2'!A614),""),""))</f>
        <v/>
      </c>
      <c r="C614" s="31"/>
      <c r="D614" s="32"/>
    </row>
    <row r="615" spans="1:4" ht="24" customHeight="1" x14ac:dyDescent="0.25">
      <c r="A615" t="str">
        <f>IF('e2'!A615&gt;0,HYPERLINK("#"&amp;ADDRESS(615,'e2'!A615),""),IF('r2'!A615&gt;0,HYPERLINK("#"&amp;ADDRESS(615,'r2'!A615),""),""))</f>
        <v/>
      </c>
      <c r="C615" s="31"/>
      <c r="D615" s="32"/>
    </row>
    <row r="616" spans="1:4" ht="24" customHeight="1" x14ac:dyDescent="0.25">
      <c r="A616" t="str">
        <f>IF('e2'!A616&gt;0,HYPERLINK("#"&amp;ADDRESS(616,'e2'!A616),""),IF('r2'!A616&gt;0,HYPERLINK("#"&amp;ADDRESS(616,'r2'!A616),""),""))</f>
        <v/>
      </c>
      <c r="C616" s="31"/>
      <c r="D616" s="32"/>
    </row>
    <row r="617" spans="1:4" ht="24" customHeight="1" x14ac:dyDescent="0.25">
      <c r="A617" t="str">
        <f>IF('e2'!A617&gt;0,HYPERLINK("#"&amp;ADDRESS(617,'e2'!A617),""),IF('r2'!A617&gt;0,HYPERLINK("#"&amp;ADDRESS(617,'r2'!A617),""),""))</f>
        <v/>
      </c>
      <c r="C617" s="31"/>
      <c r="D617" s="32"/>
    </row>
    <row r="618" spans="1:4" ht="24" customHeight="1" x14ac:dyDescent="0.25">
      <c r="A618" t="str">
        <f>IF('e2'!A618&gt;0,HYPERLINK("#"&amp;ADDRESS(618,'e2'!A618),""),IF('r2'!A618&gt;0,HYPERLINK("#"&amp;ADDRESS(618,'r2'!A618),""),""))</f>
        <v/>
      </c>
      <c r="C618" s="31"/>
      <c r="D618" s="32"/>
    </row>
    <row r="619" spans="1:4" ht="24" customHeight="1" x14ac:dyDescent="0.25">
      <c r="A619" t="str">
        <f>IF('e2'!A619&gt;0,HYPERLINK("#"&amp;ADDRESS(619,'e2'!A619),""),IF('r2'!A619&gt;0,HYPERLINK("#"&amp;ADDRESS(619,'r2'!A619),""),""))</f>
        <v/>
      </c>
      <c r="C619" s="31"/>
      <c r="D619" s="32"/>
    </row>
    <row r="620" spans="1:4" ht="24" customHeight="1" x14ac:dyDescent="0.25">
      <c r="A620" t="str">
        <f>IF('e2'!A620&gt;0,HYPERLINK("#"&amp;ADDRESS(620,'e2'!A620),""),IF('r2'!A620&gt;0,HYPERLINK("#"&amp;ADDRESS(620,'r2'!A620),""),""))</f>
        <v/>
      </c>
      <c r="C620" s="31"/>
      <c r="D620" s="32"/>
    </row>
    <row r="621" spans="1:4" ht="24" customHeight="1" x14ac:dyDescent="0.25">
      <c r="A621" t="str">
        <f>IF('e2'!A621&gt;0,HYPERLINK("#"&amp;ADDRESS(621,'e2'!A621),""),IF('r2'!A621&gt;0,HYPERLINK("#"&amp;ADDRESS(621,'r2'!A621),""),""))</f>
        <v/>
      </c>
      <c r="C621" s="31"/>
      <c r="D621" s="32"/>
    </row>
    <row r="622" spans="1:4" ht="24" customHeight="1" x14ac:dyDescent="0.25">
      <c r="A622" t="str">
        <f>IF('e2'!A622&gt;0,HYPERLINK("#"&amp;ADDRESS(622,'e2'!A622),""),IF('r2'!A622&gt;0,HYPERLINK("#"&amp;ADDRESS(622,'r2'!A622),""),""))</f>
        <v/>
      </c>
      <c r="C622" s="31"/>
      <c r="D622" s="32"/>
    </row>
    <row r="623" spans="1:4" ht="24" customHeight="1" x14ac:dyDescent="0.25">
      <c r="A623" t="str">
        <f>IF('e2'!A623&gt;0,HYPERLINK("#"&amp;ADDRESS(623,'e2'!A623),""),IF('r2'!A623&gt;0,HYPERLINK("#"&amp;ADDRESS(623,'r2'!A623),""),""))</f>
        <v/>
      </c>
      <c r="C623" s="31"/>
      <c r="D623" s="32"/>
    </row>
    <row r="624" spans="1:4" ht="24" customHeight="1" x14ac:dyDescent="0.25">
      <c r="A624" t="str">
        <f>IF('e2'!A624&gt;0,HYPERLINK("#"&amp;ADDRESS(624,'e2'!A624),""),IF('r2'!A624&gt;0,HYPERLINK("#"&amp;ADDRESS(624,'r2'!A624),""),""))</f>
        <v/>
      </c>
      <c r="C624" s="31"/>
      <c r="D624" s="32"/>
    </row>
    <row r="625" spans="1:4" ht="24" customHeight="1" x14ac:dyDescent="0.25">
      <c r="A625" t="str">
        <f>IF('e2'!A625&gt;0,HYPERLINK("#"&amp;ADDRESS(625,'e2'!A625),""),IF('r2'!A625&gt;0,HYPERLINK("#"&amp;ADDRESS(625,'r2'!A625),""),""))</f>
        <v/>
      </c>
      <c r="C625" s="31"/>
      <c r="D625" s="32"/>
    </row>
    <row r="626" spans="1:4" ht="24" customHeight="1" x14ac:dyDescent="0.25">
      <c r="A626" t="str">
        <f>IF('e2'!A626&gt;0,HYPERLINK("#"&amp;ADDRESS(626,'e2'!A626),""),IF('r2'!A626&gt;0,HYPERLINK("#"&amp;ADDRESS(626,'r2'!A626),""),""))</f>
        <v/>
      </c>
      <c r="C626" s="31"/>
      <c r="D626" s="32"/>
    </row>
    <row r="627" spans="1:4" ht="24" customHeight="1" x14ac:dyDescent="0.25">
      <c r="A627" t="str">
        <f>IF('e2'!A627&gt;0,HYPERLINK("#"&amp;ADDRESS(627,'e2'!A627),""),IF('r2'!A627&gt;0,HYPERLINK("#"&amp;ADDRESS(627,'r2'!A627),""),""))</f>
        <v/>
      </c>
      <c r="C627" s="31"/>
      <c r="D627" s="32"/>
    </row>
    <row r="628" spans="1:4" ht="24" customHeight="1" x14ac:dyDescent="0.25">
      <c r="A628" t="str">
        <f>IF('e2'!A628&gt;0,HYPERLINK("#"&amp;ADDRESS(628,'e2'!A628),""),IF('r2'!A628&gt;0,HYPERLINK("#"&amp;ADDRESS(628,'r2'!A628),""),""))</f>
        <v/>
      </c>
      <c r="C628" s="31"/>
      <c r="D628" s="32"/>
    </row>
    <row r="629" spans="1:4" ht="24" customHeight="1" x14ac:dyDescent="0.25">
      <c r="A629" t="str">
        <f>IF('e2'!A629&gt;0,HYPERLINK("#"&amp;ADDRESS(629,'e2'!A629),""),IF('r2'!A629&gt;0,HYPERLINK("#"&amp;ADDRESS(629,'r2'!A629),""),""))</f>
        <v/>
      </c>
      <c r="C629" s="31"/>
      <c r="D629" s="32"/>
    </row>
    <row r="630" spans="1:4" ht="24" customHeight="1" x14ac:dyDescent="0.25">
      <c r="A630" t="str">
        <f>IF('e2'!A630&gt;0,HYPERLINK("#"&amp;ADDRESS(630,'e2'!A630),""),IF('r2'!A630&gt;0,HYPERLINK("#"&amp;ADDRESS(630,'r2'!A630),""),""))</f>
        <v/>
      </c>
      <c r="C630" s="31"/>
      <c r="D630" s="32"/>
    </row>
    <row r="631" spans="1:4" ht="24" customHeight="1" x14ac:dyDescent="0.25">
      <c r="A631" t="str">
        <f>IF('e2'!A631&gt;0,HYPERLINK("#"&amp;ADDRESS(631,'e2'!A631),""),IF('r2'!A631&gt;0,HYPERLINK("#"&amp;ADDRESS(631,'r2'!A631),""),""))</f>
        <v/>
      </c>
      <c r="C631" s="31"/>
      <c r="D631" s="32"/>
    </row>
    <row r="632" spans="1:4" ht="24" customHeight="1" x14ac:dyDescent="0.25">
      <c r="A632" t="str">
        <f>IF('e2'!A632&gt;0,HYPERLINK("#"&amp;ADDRESS(632,'e2'!A632),""),IF('r2'!A632&gt;0,HYPERLINK("#"&amp;ADDRESS(632,'r2'!A632),""),""))</f>
        <v/>
      </c>
      <c r="C632" s="31"/>
      <c r="D632" s="32"/>
    </row>
    <row r="633" spans="1:4" ht="24" customHeight="1" x14ac:dyDescent="0.25">
      <c r="A633" t="str">
        <f>IF('e2'!A633&gt;0,HYPERLINK("#"&amp;ADDRESS(633,'e2'!A633),""),IF('r2'!A633&gt;0,HYPERLINK("#"&amp;ADDRESS(633,'r2'!A633),""),""))</f>
        <v/>
      </c>
      <c r="C633" s="31"/>
      <c r="D633" s="32"/>
    </row>
    <row r="634" spans="1:4" ht="24" customHeight="1" x14ac:dyDescent="0.25">
      <c r="A634" t="str">
        <f>IF('e2'!A634&gt;0,HYPERLINK("#"&amp;ADDRESS(634,'e2'!A634),""),IF('r2'!A634&gt;0,HYPERLINK("#"&amp;ADDRESS(634,'r2'!A634),""),""))</f>
        <v/>
      </c>
      <c r="C634" s="31"/>
      <c r="D634" s="32"/>
    </row>
    <row r="635" spans="1:4" ht="24" customHeight="1" x14ac:dyDescent="0.25">
      <c r="A635" t="str">
        <f>IF('e2'!A635&gt;0,HYPERLINK("#"&amp;ADDRESS(635,'e2'!A635),""),IF('r2'!A635&gt;0,HYPERLINK("#"&amp;ADDRESS(635,'r2'!A635),""),""))</f>
        <v/>
      </c>
      <c r="C635" s="31"/>
      <c r="D635" s="32"/>
    </row>
    <row r="636" spans="1:4" ht="24" customHeight="1" x14ac:dyDescent="0.25">
      <c r="A636" t="str">
        <f>IF('e2'!A636&gt;0,HYPERLINK("#"&amp;ADDRESS(636,'e2'!A636),""),IF('r2'!A636&gt;0,HYPERLINK("#"&amp;ADDRESS(636,'r2'!A636),""),""))</f>
        <v/>
      </c>
      <c r="C636" s="31"/>
      <c r="D636" s="32"/>
    </row>
    <row r="637" spans="1:4" ht="24" customHeight="1" x14ac:dyDescent="0.25">
      <c r="A637" t="str">
        <f>IF('e2'!A637&gt;0,HYPERLINK("#"&amp;ADDRESS(637,'e2'!A637),""),IF('r2'!A637&gt;0,HYPERLINK("#"&amp;ADDRESS(637,'r2'!A637),""),""))</f>
        <v/>
      </c>
      <c r="C637" s="31"/>
      <c r="D637" s="32"/>
    </row>
    <row r="638" spans="1:4" ht="24" customHeight="1" x14ac:dyDescent="0.25">
      <c r="A638" t="str">
        <f>IF('e2'!A638&gt;0,HYPERLINK("#"&amp;ADDRESS(638,'e2'!A638),""),IF('r2'!A638&gt;0,HYPERLINK("#"&amp;ADDRESS(638,'r2'!A638),""),""))</f>
        <v/>
      </c>
      <c r="C638" s="31"/>
      <c r="D638" s="32"/>
    </row>
    <row r="639" spans="1:4" ht="24" customHeight="1" x14ac:dyDescent="0.25">
      <c r="A639" t="str">
        <f>IF('e2'!A639&gt;0,HYPERLINK("#"&amp;ADDRESS(639,'e2'!A639),""),IF('r2'!A639&gt;0,HYPERLINK("#"&amp;ADDRESS(639,'r2'!A639),""),""))</f>
        <v/>
      </c>
      <c r="C639" s="31"/>
      <c r="D639" s="32"/>
    </row>
    <row r="640" spans="1:4" ht="24" customHeight="1" x14ac:dyDescent="0.25">
      <c r="A640" t="str">
        <f>IF('e2'!A640&gt;0,HYPERLINK("#"&amp;ADDRESS(640,'e2'!A640),""),IF('r2'!A640&gt;0,HYPERLINK("#"&amp;ADDRESS(640,'r2'!A640),""),""))</f>
        <v/>
      </c>
      <c r="C640" s="31"/>
      <c r="D640" s="32"/>
    </row>
    <row r="641" spans="1:4" ht="24" customHeight="1" x14ac:dyDescent="0.25">
      <c r="A641" t="str">
        <f>IF('e2'!A641&gt;0,HYPERLINK("#"&amp;ADDRESS(641,'e2'!A641),""),IF('r2'!A641&gt;0,HYPERLINK("#"&amp;ADDRESS(641,'r2'!A641),""),""))</f>
        <v/>
      </c>
      <c r="C641" s="31"/>
      <c r="D641" s="32"/>
    </row>
    <row r="642" spans="1:4" ht="24" customHeight="1" x14ac:dyDescent="0.25">
      <c r="A642" t="str">
        <f>IF('e2'!A642&gt;0,HYPERLINK("#"&amp;ADDRESS(642,'e2'!A642),""),IF('r2'!A642&gt;0,HYPERLINK("#"&amp;ADDRESS(642,'r2'!A642),""),""))</f>
        <v/>
      </c>
      <c r="C642" s="31"/>
      <c r="D642" s="32"/>
    </row>
    <row r="643" spans="1:4" ht="24" customHeight="1" x14ac:dyDescent="0.25">
      <c r="A643" t="str">
        <f>IF('e2'!A643&gt;0,HYPERLINK("#"&amp;ADDRESS(643,'e2'!A643),""),IF('r2'!A643&gt;0,HYPERLINK("#"&amp;ADDRESS(643,'r2'!A643),""),""))</f>
        <v/>
      </c>
      <c r="C643" s="31"/>
      <c r="D643" s="32"/>
    </row>
    <row r="644" spans="1:4" ht="24" customHeight="1" x14ac:dyDescent="0.25">
      <c r="A644" t="str">
        <f>IF('e2'!A644&gt;0,HYPERLINK("#"&amp;ADDRESS(644,'e2'!A644),""),IF('r2'!A644&gt;0,HYPERLINK("#"&amp;ADDRESS(644,'r2'!A644),""),""))</f>
        <v/>
      </c>
      <c r="C644" s="31"/>
      <c r="D644" s="32"/>
    </row>
    <row r="645" spans="1:4" ht="24" customHeight="1" x14ac:dyDescent="0.25">
      <c r="A645" t="str">
        <f>IF('e2'!A645&gt;0,HYPERLINK("#"&amp;ADDRESS(645,'e2'!A645),""),IF('r2'!A645&gt;0,HYPERLINK("#"&amp;ADDRESS(645,'r2'!A645),""),""))</f>
        <v/>
      </c>
      <c r="C645" s="31"/>
      <c r="D645" s="32"/>
    </row>
    <row r="646" spans="1:4" ht="24" customHeight="1" x14ac:dyDescent="0.25">
      <c r="A646" t="str">
        <f>IF('e2'!A646&gt;0,HYPERLINK("#"&amp;ADDRESS(646,'e2'!A646),""),IF('r2'!A646&gt;0,HYPERLINK("#"&amp;ADDRESS(646,'r2'!A646),""),""))</f>
        <v/>
      </c>
      <c r="C646" s="31"/>
      <c r="D646" s="32"/>
    </row>
    <row r="647" spans="1:4" ht="24" customHeight="1" x14ac:dyDescent="0.25">
      <c r="A647" t="str">
        <f>IF('e2'!A647&gt;0,HYPERLINK("#"&amp;ADDRESS(647,'e2'!A647),""),IF('r2'!A647&gt;0,HYPERLINK("#"&amp;ADDRESS(647,'r2'!A647),""),""))</f>
        <v/>
      </c>
      <c r="C647" s="31"/>
      <c r="D647" s="32"/>
    </row>
    <row r="648" spans="1:4" ht="24" customHeight="1" x14ac:dyDescent="0.25">
      <c r="A648" t="str">
        <f>IF('e2'!A648&gt;0,HYPERLINK("#"&amp;ADDRESS(648,'e2'!A648),""),IF('r2'!A648&gt;0,HYPERLINK("#"&amp;ADDRESS(648,'r2'!A648),""),""))</f>
        <v/>
      </c>
      <c r="C648" s="31"/>
      <c r="D648" s="32"/>
    </row>
    <row r="649" spans="1:4" ht="24" customHeight="1" x14ac:dyDescent="0.25">
      <c r="A649" t="str">
        <f>IF('e2'!A649&gt;0,HYPERLINK("#"&amp;ADDRESS(649,'e2'!A649),""),IF('r2'!A649&gt;0,HYPERLINK("#"&amp;ADDRESS(649,'r2'!A649),""),""))</f>
        <v/>
      </c>
      <c r="C649" s="31"/>
      <c r="D649" s="32"/>
    </row>
    <row r="650" spans="1:4" ht="24" customHeight="1" x14ac:dyDescent="0.25">
      <c r="A650" t="str">
        <f>IF('e2'!A650&gt;0,HYPERLINK("#"&amp;ADDRESS(650,'e2'!A650),""),IF('r2'!A650&gt;0,HYPERLINK("#"&amp;ADDRESS(650,'r2'!A650),""),""))</f>
        <v/>
      </c>
      <c r="C650" s="31"/>
      <c r="D650" s="32"/>
    </row>
    <row r="651" spans="1:4" ht="24" customHeight="1" x14ac:dyDescent="0.25">
      <c r="A651" t="str">
        <f>IF('e2'!A651&gt;0,HYPERLINK("#"&amp;ADDRESS(651,'e2'!A651),""),IF('r2'!A651&gt;0,HYPERLINK("#"&amp;ADDRESS(651,'r2'!A651),""),""))</f>
        <v/>
      </c>
      <c r="C651" s="31"/>
      <c r="D651" s="32"/>
    </row>
    <row r="652" spans="1:4" ht="24" customHeight="1" x14ac:dyDescent="0.25">
      <c r="A652" t="str">
        <f>IF('e2'!A652&gt;0,HYPERLINK("#"&amp;ADDRESS(652,'e2'!A652),""),IF('r2'!A652&gt;0,HYPERLINK("#"&amp;ADDRESS(652,'r2'!A652),""),""))</f>
        <v/>
      </c>
      <c r="C652" s="31"/>
      <c r="D652" s="32"/>
    </row>
    <row r="653" spans="1:4" ht="24" customHeight="1" x14ac:dyDescent="0.25">
      <c r="A653" t="str">
        <f>IF('e2'!A653&gt;0,HYPERLINK("#"&amp;ADDRESS(653,'e2'!A653),""),IF('r2'!A653&gt;0,HYPERLINK("#"&amp;ADDRESS(653,'r2'!A653),""),""))</f>
        <v/>
      </c>
      <c r="C653" s="31"/>
      <c r="D653" s="32"/>
    </row>
    <row r="654" spans="1:4" ht="24" customHeight="1" x14ac:dyDescent="0.25">
      <c r="A654" t="str">
        <f>IF('e2'!A654&gt;0,HYPERLINK("#"&amp;ADDRESS(654,'e2'!A654),""),IF('r2'!A654&gt;0,HYPERLINK("#"&amp;ADDRESS(654,'r2'!A654),""),""))</f>
        <v/>
      </c>
      <c r="C654" s="31"/>
      <c r="D654" s="32"/>
    </row>
    <row r="655" spans="1:4" ht="24" customHeight="1" x14ac:dyDescent="0.25">
      <c r="A655" t="str">
        <f>IF('e2'!A655&gt;0,HYPERLINK("#"&amp;ADDRESS(655,'e2'!A655),""),IF('r2'!A655&gt;0,HYPERLINK("#"&amp;ADDRESS(655,'r2'!A655),""),""))</f>
        <v/>
      </c>
      <c r="C655" s="31"/>
      <c r="D655" s="32"/>
    </row>
    <row r="656" spans="1:4" ht="24" customHeight="1" x14ac:dyDescent="0.25">
      <c r="A656" t="str">
        <f>IF('e2'!A656&gt;0,HYPERLINK("#"&amp;ADDRESS(656,'e2'!A656),""),IF('r2'!A656&gt;0,HYPERLINK("#"&amp;ADDRESS(656,'r2'!A656),""),""))</f>
        <v/>
      </c>
      <c r="C656" s="31"/>
      <c r="D656" s="32"/>
    </row>
    <row r="657" spans="1:4" ht="24" customHeight="1" x14ac:dyDescent="0.25">
      <c r="A657" t="str">
        <f>IF('e2'!A657&gt;0,HYPERLINK("#"&amp;ADDRESS(657,'e2'!A657),""),IF('r2'!A657&gt;0,HYPERLINK("#"&amp;ADDRESS(657,'r2'!A657),""),""))</f>
        <v/>
      </c>
      <c r="C657" s="31"/>
      <c r="D657" s="32"/>
    </row>
    <row r="658" spans="1:4" ht="24" customHeight="1" x14ac:dyDescent="0.25">
      <c r="A658" t="str">
        <f>IF('e2'!A658&gt;0,HYPERLINK("#"&amp;ADDRESS(658,'e2'!A658),""),IF('r2'!A658&gt;0,HYPERLINK("#"&amp;ADDRESS(658,'r2'!A658),""),""))</f>
        <v/>
      </c>
      <c r="C658" s="31"/>
      <c r="D658" s="32"/>
    </row>
    <row r="659" spans="1:4" ht="24" customHeight="1" x14ac:dyDescent="0.25">
      <c r="A659" t="str">
        <f>IF('e2'!A659&gt;0,HYPERLINK("#"&amp;ADDRESS(659,'e2'!A659),""),IF('r2'!A659&gt;0,HYPERLINK("#"&amp;ADDRESS(659,'r2'!A659),""),""))</f>
        <v/>
      </c>
      <c r="C659" s="31"/>
      <c r="D659" s="32"/>
    </row>
    <row r="660" spans="1:4" ht="24" customHeight="1" x14ac:dyDescent="0.25">
      <c r="A660" t="str">
        <f>IF('e2'!A660&gt;0,HYPERLINK("#"&amp;ADDRESS(660,'e2'!A660),""),IF('r2'!A660&gt;0,HYPERLINK("#"&amp;ADDRESS(660,'r2'!A660),""),""))</f>
        <v/>
      </c>
      <c r="C660" s="31"/>
      <c r="D660" s="32"/>
    </row>
    <row r="661" spans="1:4" ht="24" customHeight="1" x14ac:dyDescent="0.25">
      <c r="A661" t="str">
        <f>IF('e2'!A661&gt;0,HYPERLINK("#"&amp;ADDRESS(661,'e2'!A661),""),IF('r2'!A661&gt;0,HYPERLINK("#"&amp;ADDRESS(661,'r2'!A661),""),""))</f>
        <v/>
      </c>
      <c r="C661" s="31"/>
      <c r="D661" s="32"/>
    </row>
    <row r="662" spans="1:4" ht="24" customHeight="1" x14ac:dyDescent="0.25">
      <c r="A662" t="str">
        <f>IF('e2'!A662&gt;0,HYPERLINK("#"&amp;ADDRESS(662,'e2'!A662),""),IF('r2'!A662&gt;0,HYPERLINK("#"&amp;ADDRESS(662,'r2'!A662),""),""))</f>
        <v/>
      </c>
      <c r="C662" s="31"/>
      <c r="D662" s="32"/>
    </row>
    <row r="663" spans="1:4" ht="24" customHeight="1" x14ac:dyDescent="0.25">
      <c r="A663" t="str">
        <f>IF('e2'!A663&gt;0,HYPERLINK("#"&amp;ADDRESS(663,'e2'!A663),""),IF('r2'!A663&gt;0,HYPERLINK("#"&amp;ADDRESS(663,'r2'!A663),""),""))</f>
        <v/>
      </c>
      <c r="C663" s="31"/>
      <c r="D663" s="32"/>
    </row>
    <row r="664" spans="1:4" ht="24" customHeight="1" x14ac:dyDescent="0.25">
      <c r="A664" t="str">
        <f>IF('e2'!A664&gt;0,HYPERLINK("#"&amp;ADDRESS(664,'e2'!A664),""),IF('r2'!A664&gt;0,HYPERLINK("#"&amp;ADDRESS(664,'r2'!A664),""),""))</f>
        <v/>
      </c>
      <c r="C664" s="31"/>
      <c r="D664" s="32"/>
    </row>
    <row r="665" spans="1:4" ht="24" customHeight="1" x14ac:dyDescent="0.25">
      <c r="A665" t="str">
        <f>IF('e2'!A665&gt;0,HYPERLINK("#"&amp;ADDRESS(665,'e2'!A665),""),IF('r2'!A665&gt;0,HYPERLINK("#"&amp;ADDRESS(665,'r2'!A665),""),""))</f>
        <v/>
      </c>
      <c r="C665" s="31"/>
      <c r="D665" s="32"/>
    </row>
    <row r="666" spans="1:4" ht="24" customHeight="1" x14ac:dyDescent="0.25">
      <c r="A666" t="str">
        <f>IF('e2'!A666&gt;0,HYPERLINK("#"&amp;ADDRESS(666,'e2'!A666),""),IF('r2'!A666&gt;0,HYPERLINK("#"&amp;ADDRESS(666,'r2'!A666),""),""))</f>
        <v/>
      </c>
      <c r="C666" s="31"/>
      <c r="D666" s="32"/>
    </row>
    <row r="667" spans="1:4" ht="24" customHeight="1" x14ac:dyDescent="0.25">
      <c r="A667" t="str">
        <f>IF('e2'!A667&gt;0,HYPERLINK("#"&amp;ADDRESS(667,'e2'!A667),""),IF('r2'!A667&gt;0,HYPERLINK("#"&amp;ADDRESS(667,'r2'!A667),""),""))</f>
        <v/>
      </c>
      <c r="C667" s="31"/>
      <c r="D667" s="32"/>
    </row>
    <row r="668" spans="1:4" ht="24" customHeight="1" x14ac:dyDescent="0.25">
      <c r="A668" t="str">
        <f>IF('e2'!A668&gt;0,HYPERLINK("#"&amp;ADDRESS(668,'e2'!A668),""),IF('r2'!A668&gt;0,HYPERLINK("#"&amp;ADDRESS(668,'r2'!A668),""),""))</f>
        <v/>
      </c>
      <c r="C668" s="31"/>
      <c r="D668" s="32"/>
    </row>
    <row r="669" spans="1:4" ht="24" customHeight="1" x14ac:dyDescent="0.25">
      <c r="A669" t="str">
        <f>IF('e2'!A669&gt;0,HYPERLINK("#"&amp;ADDRESS(669,'e2'!A669),""),IF('r2'!A669&gt;0,HYPERLINK("#"&amp;ADDRESS(669,'r2'!A669),""),""))</f>
        <v/>
      </c>
      <c r="C669" s="31"/>
      <c r="D669" s="32"/>
    </row>
    <row r="670" spans="1:4" ht="24" customHeight="1" x14ac:dyDescent="0.25">
      <c r="A670" t="str">
        <f>IF('e2'!A670&gt;0,HYPERLINK("#"&amp;ADDRESS(670,'e2'!A670),""),IF('r2'!A670&gt;0,HYPERLINK("#"&amp;ADDRESS(670,'r2'!A670),""),""))</f>
        <v/>
      </c>
      <c r="C670" s="31"/>
      <c r="D670" s="32"/>
    </row>
    <row r="671" spans="1:4" ht="24" customHeight="1" x14ac:dyDescent="0.25">
      <c r="A671" t="str">
        <f>IF('e2'!A671&gt;0,HYPERLINK("#"&amp;ADDRESS(671,'e2'!A671),""),IF('r2'!A671&gt;0,HYPERLINK("#"&amp;ADDRESS(671,'r2'!A671),""),""))</f>
        <v/>
      </c>
      <c r="C671" s="31"/>
      <c r="D671" s="32"/>
    </row>
    <row r="672" spans="1:4" ht="24" customHeight="1" x14ac:dyDescent="0.25">
      <c r="A672" t="str">
        <f>IF('e2'!A672&gt;0,HYPERLINK("#"&amp;ADDRESS(672,'e2'!A672),""),IF('r2'!A672&gt;0,HYPERLINK("#"&amp;ADDRESS(672,'r2'!A672),""),""))</f>
        <v/>
      </c>
      <c r="C672" s="31"/>
      <c r="D672" s="32"/>
    </row>
    <row r="673" spans="1:4" ht="24" customHeight="1" x14ac:dyDescent="0.25">
      <c r="A673" t="str">
        <f>IF('e2'!A673&gt;0,HYPERLINK("#"&amp;ADDRESS(673,'e2'!A673),""),IF('r2'!A673&gt;0,HYPERLINK("#"&amp;ADDRESS(673,'r2'!A673),""),""))</f>
        <v/>
      </c>
      <c r="C673" s="31"/>
      <c r="D673" s="32"/>
    </row>
    <row r="674" spans="1:4" ht="24" customHeight="1" x14ac:dyDescent="0.25">
      <c r="A674" t="str">
        <f>IF('e2'!A674&gt;0,HYPERLINK("#"&amp;ADDRESS(674,'e2'!A674),""),IF('r2'!A674&gt;0,HYPERLINK("#"&amp;ADDRESS(674,'r2'!A674),""),""))</f>
        <v/>
      </c>
      <c r="C674" s="31"/>
      <c r="D674" s="32"/>
    </row>
    <row r="675" spans="1:4" ht="24" customHeight="1" x14ac:dyDescent="0.25">
      <c r="A675" t="str">
        <f>IF('e2'!A675&gt;0,HYPERLINK("#"&amp;ADDRESS(675,'e2'!A675),""),IF('r2'!A675&gt;0,HYPERLINK("#"&amp;ADDRESS(675,'r2'!A675),""),""))</f>
        <v/>
      </c>
      <c r="C675" s="31"/>
      <c r="D675" s="32"/>
    </row>
    <row r="676" spans="1:4" ht="24" customHeight="1" x14ac:dyDescent="0.25">
      <c r="A676" t="str">
        <f>IF('e2'!A676&gt;0,HYPERLINK("#"&amp;ADDRESS(676,'e2'!A676),""),IF('r2'!A676&gt;0,HYPERLINK("#"&amp;ADDRESS(676,'r2'!A676),""),""))</f>
        <v/>
      </c>
      <c r="C676" s="31"/>
      <c r="D676" s="32"/>
    </row>
    <row r="677" spans="1:4" ht="24" customHeight="1" x14ac:dyDescent="0.25">
      <c r="A677" t="str">
        <f>IF('e2'!A677&gt;0,HYPERLINK("#"&amp;ADDRESS(677,'e2'!A677),""),IF('r2'!A677&gt;0,HYPERLINK("#"&amp;ADDRESS(677,'r2'!A677),""),""))</f>
        <v/>
      </c>
      <c r="C677" s="31"/>
      <c r="D677" s="32"/>
    </row>
    <row r="678" spans="1:4" ht="24" customHeight="1" x14ac:dyDescent="0.25">
      <c r="A678" t="str">
        <f>IF('e2'!A678&gt;0,HYPERLINK("#"&amp;ADDRESS(678,'e2'!A678),""),IF('r2'!A678&gt;0,HYPERLINK("#"&amp;ADDRESS(678,'r2'!A678),""),""))</f>
        <v/>
      </c>
      <c r="C678" s="31"/>
      <c r="D678" s="32"/>
    </row>
    <row r="679" spans="1:4" ht="24" customHeight="1" x14ac:dyDescent="0.25">
      <c r="A679" t="str">
        <f>IF('e2'!A679&gt;0,HYPERLINK("#"&amp;ADDRESS(679,'e2'!A679),""),IF('r2'!A679&gt;0,HYPERLINK("#"&amp;ADDRESS(679,'r2'!A679),""),""))</f>
        <v/>
      </c>
      <c r="C679" s="31"/>
      <c r="D679" s="32"/>
    </row>
    <row r="680" spans="1:4" ht="24" customHeight="1" x14ac:dyDescent="0.25">
      <c r="A680" t="str">
        <f>IF('e2'!A680&gt;0,HYPERLINK("#"&amp;ADDRESS(680,'e2'!A680),""),IF('r2'!A680&gt;0,HYPERLINK("#"&amp;ADDRESS(680,'r2'!A680),""),""))</f>
        <v/>
      </c>
      <c r="C680" s="31"/>
      <c r="D680" s="32"/>
    </row>
    <row r="681" spans="1:4" ht="24" customHeight="1" x14ac:dyDescent="0.25">
      <c r="A681" t="str">
        <f>IF('e2'!A681&gt;0,HYPERLINK("#"&amp;ADDRESS(681,'e2'!A681),""),IF('r2'!A681&gt;0,HYPERLINK("#"&amp;ADDRESS(681,'r2'!A681),""),""))</f>
        <v/>
      </c>
      <c r="C681" s="31"/>
      <c r="D681" s="32"/>
    </row>
    <row r="682" spans="1:4" ht="24" customHeight="1" x14ac:dyDescent="0.25">
      <c r="A682" t="str">
        <f>IF('e2'!A682&gt;0,HYPERLINK("#"&amp;ADDRESS(682,'e2'!A682),""),IF('r2'!A682&gt;0,HYPERLINK("#"&amp;ADDRESS(682,'r2'!A682),""),""))</f>
        <v/>
      </c>
      <c r="C682" s="31"/>
      <c r="D682" s="32"/>
    </row>
    <row r="683" spans="1:4" ht="24" customHeight="1" x14ac:dyDescent="0.25">
      <c r="A683" t="str">
        <f>IF('e2'!A683&gt;0,HYPERLINK("#"&amp;ADDRESS(683,'e2'!A683),""),IF('r2'!A683&gt;0,HYPERLINK("#"&amp;ADDRESS(683,'r2'!A683),""),""))</f>
        <v/>
      </c>
      <c r="C683" s="31"/>
      <c r="D683" s="32"/>
    </row>
    <row r="684" spans="1:4" ht="24" customHeight="1" x14ac:dyDescent="0.25">
      <c r="A684" t="str">
        <f>IF('e2'!A684&gt;0,HYPERLINK("#"&amp;ADDRESS(684,'e2'!A684),""),IF('r2'!A684&gt;0,HYPERLINK("#"&amp;ADDRESS(684,'r2'!A684),""),""))</f>
        <v/>
      </c>
      <c r="C684" s="31"/>
      <c r="D684" s="32"/>
    </row>
    <row r="685" spans="1:4" ht="24" customHeight="1" x14ac:dyDescent="0.25">
      <c r="A685" t="str">
        <f>IF('e2'!A685&gt;0,HYPERLINK("#"&amp;ADDRESS(685,'e2'!A685),""),IF('r2'!A685&gt;0,HYPERLINK("#"&amp;ADDRESS(685,'r2'!A685),""),""))</f>
        <v/>
      </c>
      <c r="C685" s="31"/>
      <c r="D685" s="32"/>
    </row>
    <row r="686" spans="1:4" ht="24" customHeight="1" x14ac:dyDescent="0.25">
      <c r="A686" t="str">
        <f>IF('e2'!A686&gt;0,HYPERLINK("#"&amp;ADDRESS(686,'e2'!A686),""),IF('r2'!A686&gt;0,HYPERLINK("#"&amp;ADDRESS(686,'r2'!A686),""),""))</f>
        <v/>
      </c>
      <c r="C686" s="31"/>
      <c r="D686" s="32"/>
    </row>
    <row r="687" spans="1:4" ht="24" customHeight="1" x14ac:dyDescent="0.25">
      <c r="A687" t="str">
        <f>IF('e2'!A687&gt;0,HYPERLINK("#"&amp;ADDRESS(687,'e2'!A687),""),IF('r2'!A687&gt;0,HYPERLINK("#"&amp;ADDRESS(687,'r2'!A687),""),""))</f>
        <v/>
      </c>
      <c r="C687" s="31"/>
      <c r="D687" s="32"/>
    </row>
    <row r="688" spans="1:4" ht="24" customHeight="1" x14ac:dyDescent="0.25">
      <c r="A688" t="str">
        <f>IF('e2'!A688&gt;0,HYPERLINK("#"&amp;ADDRESS(688,'e2'!A688),""),IF('r2'!A688&gt;0,HYPERLINK("#"&amp;ADDRESS(688,'r2'!A688),""),""))</f>
        <v/>
      </c>
      <c r="C688" s="31"/>
      <c r="D688" s="32"/>
    </row>
    <row r="689" spans="1:4" ht="24" customHeight="1" x14ac:dyDescent="0.25">
      <c r="A689" t="str">
        <f>IF('e2'!A689&gt;0,HYPERLINK("#"&amp;ADDRESS(689,'e2'!A689),""),IF('r2'!A689&gt;0,HYPERLINK("#"&amp;ADDRESS(689,'r2'!A689),""),""))</f>
        <v/>
      </c>
      <c r="C689" s="31"/>
      <c r="D689" s="32"/>
    </row>
    <row r="690" spans="1:4" ht="24" customHeight="1" x14ac:dyDescent="0.25">
      <c r="A690" t="str">
        <f>IF('e2'!A690&gt;0,HYPERLINK("#"&amp;ADDRESS(690,'e2'!A690),""),IF('r2'!A690&gt;0,HYPERLINK("#"&amp;ADDRESS(690,'r2'!A690),""),""))</f>
        <v/>
      </c>
      <c r="C690" s="31"/>
      <c r="D690" s="32"/>
    </row>
    <row r="691" spans="1:4" ht="24" customHeight="1" x14ac:dyDescent="0.25">
      <c r="A691" t="str">
        <f>IF('e2'!A691&gt;0,HYPERLINK("#"&amp;ADDRESS(691,'e2'!A691),""),IF('r2'!A691&gt;0,HYPERLINK("#"&amp;ADDRESS(691,'r2'!A691),""),""))</f>
        <v/>
      </c>
      <c r="C691" s="31"/>
      <c r="D691" s="32"/>
    </row>
    <row r="692" spans="1:4" ht="24" customHeight="1" x14ac:dyDescent="0.25">
      <c r="A692" t="str">
        <f>IF('e2'!A692&gt;0,HYPERLINK("#"&amp;ADDRESS(692,'e2'!A692),""),IF('r2'!A692&gt;0,HYPERLINK("#"&amp;ADDRESS(692,'r2'!A692),""),""))</f>
        <v/>
      </c>
      <c r="C692" s="31"/>
      <c r="D692" s="32"/>
    </row>
    <row r="693" spans="1:4" ht="24" customHeight="1" x14ac:dyDescent="0.25">
      <c r="A693" t="str">
        <f>IF('e2'!A693&gt;0,HYPERLINK("#"&amp;ADDRESS(693,'e2'!A693),""),IF('r2'!A693&gt;0,HYPERLINK("#"&amp;ADDRESS(693,'r2'!A693),""),""))</f>
        <v/>
      </c>
      <c r="C693" s="31"/>
      <c r="D693" s="32"/>
    </row>
    <row r="694" spans="1:4" ht="24" customHeight="1" x14ac:dyDescent="0.25">
      <c r="A694" t="str">
        <f>IF('e2'!A694&gt;0,HYPERLINK("#"&amp;ADDRESS(694,'e2'!A694),""),IF('r2'!A694&gt;0,HYPERLINK("#"&amp;ADDRESS(694,'r2'!A694),""),""))</f>
        <v/>
      </c>
      <c r="C694" s="31"/>
      <c r="D694" s="32"/>
    </row>
    <row r="695" spans="1:4" ht="24" customHeight="1" x14ac:dyDescent="0.25">
      <c r="A695" t="str">
        <f>IF('e2'!A695&gt;0,HYPERLINK("#"&amp;ADDRESS(695,'e2'!A695),""),IF('r2'!A695&gt;0,HYPERLINK("#"&amp;ADDRESS(695,'r2'!A695),""),""))</f>
        <v/>
      </c>
      <c r="C695" s="31"/>
      <c r="D695" s="32"/>
    </row>
    <row r="696" spans="1:4" ht="24" customHeight="1" x14ac:dyDescent="0.25">
      <c r="A696" t="str">
        <f>IF('e2'!A696&gt;0,HYPERLINK("#"&amp;ADDRESS(696,'e2'!A696),""),IF('r2'!A696&gt;0,HYPERLINK("#"&amp;ADDRESS(696,'r2'!A696),""),""))</f>
        <v/>
      </c>
      <c r="C696" s="31"/>
      <c r="D696" s="32"/>
    </row>
    <row r="697" spans="1:4" ht="24" customHeight="1" x14ac:dyDescent="0.25">
      <c r="A697" t="str">
        <f>IF('e2'!A697&gt;0,HYPERLINK("#"&amp;ADDRESS(697,'e2'!A697),""),IF('r2'!A697&gt;0,HYPERLINK("#"&amp;ADDRESS(697,'r2'!A697),""),""))</f>
        <v/>
      </c>
      <c r="C697" s="31"/>
      <c r="D697" s="32"/>
    </row>
    <row r="698" spans="1:4" ht="24" customHeight="1" x14ac:dyDescent="0.25">
      <c r="A698" t="str">
        <f>IF('e2'!A698&gt;0,HYPERLINK("#"&amp;ADDRESS(698,'e2'!A698),""),IF('r2'!A698&gt;0,HYPERLINK("#"&amp;ADDRESS(698,'r2'!A698),""),""))</f>
        <v/>
      </c>
      <c r="C698" s="31"/>
      <c r="D698" s="32"/>
    </row>
    <row r="699" spans="1:4" ht="24" customHeight="1" x14ac:dyDescent="0.25">
      <c r="A699" t="str">
        <f>IF('e2'!A699&gt;0,HYPERLINK("#"&amp;ADDRESS(699,'e2'!A699),""),IF('r2'!A699&gt;0,HYPERLINK("#"&amp;ADDRESS(699,'r2'!A699),""),""))</f>
        <v/>
      </c>
      <c r="C699" s="31"/>
      <c r="D699" s="32"/>
    </row>
    <row r="700" spans="1:4" ht="24" customHeight="1" x14ac:dyDescent="0.25">
      <c r="A700" t="str">
        <f>IF('e2'!A700&gt;0,HYPERLINK("#"&amp;ADDRESS(700,'e2'!A700),""),IF('r2'!A700&gt;0,HYPERLINK("#"&amp;ADDRESS(700,'r2'!A700),""),""))</f>
        <v/>
      </c>
      <c r="C700" s="31"/>
      <c r="D700" s="32"/>
    </row>
    <row r="701" spans="1:4" ht="24" customHeight="1" x14ac:dyDescent="0.25">
      <c r="A701" t="str">
        <f>IF('e2'!A701&gt;0,HYPERLINK("#"&amp;ADDRESS(701,'e2'!A701),""),IF('r2'!A701&gt;0,HYPERLINK("#"&amp;ADDRESS(701,'r2'!A701),""),""))</f>
        <v/>
      </c>
      <c r="C701" s="31"/>
      <c r="D701" s="32"/>
    </row>
    <row r="702" spans="1:4" ht="24" customHeight="1" x14ac:dyDescent="0.25">
      <c r="A702" t="str">
        <f>IF('e2'!A702&gt;0,HYPERLINK("#"&amp;ADDRESS(702,'e2'!A702),""),IF('r2'!A702&gt;0,HYPERLINK("#"&amp;ADDRESS(702,'r2'!A702),""),""))</f>
        <v/>
      </c>
      <c r="C702" s="31"/>
      <c r="D702" s="32"/>
    </row>
    <row r="703" spans="1:4" ht="24" customHeight="1" x14ac:dyDescent="0.25">
      <c r="A703" t="str">
        <f>IF('e2'!A703&gt;0,HYPERLINK("#"&amp;ADDRESS(703,'e2'!A703),""),IF('r2'!A703&gt;0,HYPERLINK("#"&amp;ADDRESS(703,'r2'!A703),""),""))</f>
        <v/>
      </c>
      <c r="C703" s="31"/>
      <c r="D703" s="32"/>
    </row>
    <row r="704" spans="1:4" ht="24" customHeight="1" x14ac:dyDescent="0.25">
      <c r="A704" t="str">
        <f>IF('e2'!A704&gt;0,HYPERLINK("#"&amp;ADDRESS(704,'e2'!A704),""),IF('r2'!A704&gt;0,HYPERLINK("#"&amp;ADDRESS(704,'r2'!A704),""),""))</f>
        <v/>
      </c>
      <c r="C704" s="31"/>
      <c r="D704" s="32"/>
    </row>
    <row r="705" spans="1:4" ht="24" customHeight="1" x14ac:dyDescent="0.25">
      <c r="A705" t="str">
        <f>IF('e2'!A705&gt;0,HYPERLINK("#"&amp;ADDRESS(705,'e2'!A705),""),IF('r2'!A705&gt;0,HYPERLINK("#"&amp;ADDRESS(705,'r2'!A705),""),""))</f>
        <v/>
      </c>
      <c r="C705" s="31"/>
      <c r="D705" s="32"/>
    </row>
    <row r="706" spans="1:4" ht="24" customHeight="1" x14ac:dyDescent="0.25">
      <c r="A706" t="str">
        <f>IF('e2'!A706&gt;0,HYPERLINK("#"&amp;ADDRESS(706,'e2'!A706),""),IF('r2'!A706&gt;0,HYPERLINK("#"&amp;ADDRESS(706,'r2'!A706),""),""))</f>
        <v/>
      </c>
      <c r="C706" s="31"/>
      <c r="D706" s="32"/>
    </row>
    <row r="707" spans="1:4" ht="24" customHeight="1" x14ac:dyDescent="0.25">
      <c r="A707" t="str">
        <f>IF('e2'!A707&gt;0,HYPERLINK("#"&amp;ADDRESS(707,'e2'!A707),""),IF('r2'!A707&gt;0,HYPERLINK("#"&amp;ADDRESS(707,'r2'!A707),""),""))</f>
        <v/>
      </c>
      <c r="C707" s="31"/>
      <c r="D707" s="32"/>
    </row>
    <row r="708" spans="1:4" ht="24" customHeight="1" x14ac:dyDescent="0.25">
      <c r="A708" t="str">
        <f>IF('e2'!A708&gt;0,HYPERLINK("#"&amp;ADDRESS(708,'e2'!A708),""),IF('r2'!A708&gt;0,HYPERLINK("#"&amp;ADDRESS(708,'r2'!A708),""),""))</f>
        <v/>
      </c>
      <c r="C708" s="31"/>
      <c r="D708" s="32"/>
    </row>
    <row r="709" spans="1:4" ht="24" customHeight="1" x14ac:dyDescent="0.25">
      <c r="A709" t="str">
        <f>IF('e2'!A709&gt;0,HYPERLINK("#"&amp;ADDRESS(709,'e2'!A709),""),IF('r2'!A709&gt;0,HYPERLINK("#"&amp;ADDRESS(709,'r2'!A709),""),""))</f>
        <v/>
      </c>
      <c r="C709" s="31"/>
      <c r="D709" s="32"/>
    </row>
    <row r="710" spans="1:4" ht="24" customHeight="1" x14ac:dyDescent="0.25">
      <c r="A710" t="str">
        <f>IF('e2'!A710&gt;0,HYPERLINK("#"&amp;ADDRESS(710,'e2'!A710),""),IF('r2'!A710&gt;0,HYPERLINK("#"&amp;ADDRESS(710,'r2'!A710),""),""))</f>
        <v/>
      </c>
      <c r="C710" s="31"/>
      <c r="D710" s="32"/>
    </row>
    <row r="711" spans="1:4" ht="24" customHeight="1" x14ac:dyDescent="0.25">
      <c r="A711" t="str">
        <f>IF('e2'!A711&gt;0,HYPERLINK("#"&amp;ADDRESS(711,'e2'!A711),""),IF('r2'!A711&gt;0,HYPERLINK("#"&amp;ADDRESS(711,'r2'!A711),""),""))</f>
        <v/>
      </c>
      <c r="C711" s="31"/>
      <c r="D711" s="32"/>
    </row>
    <row r="712" spans="1:4" ht="24" customHeight="1" x14ac:dyDescent="0.25">
      <c r="A712" t="str">
        <f>IF('e2'!A712&gt;0,HYPERLINK("#"&amp;ADDRESS(712,'e2'!A712),""),IF('r2'!A712&gt;0,HYPERLINK("#"&amp;ADDRESS(712,'r2'!A712),""),""))</f>
        <v/>
      </c>
      <c r="C712" s="31"/>
      <c r="D712" s="32"/>
    </row>
    <row r="713" spans="1:4" ht="24" customHeight="1" x14ac:dyDescent="0.25">
      <c r="A713" t="str">
        <f>IF('e2'!A713&gt;0,HYPERLINK("#"&amp;ADDRESS(713,'e2'!A713),""),IF('r2'!A713&gt;0,HYPERLINK("#"&amp;ADDRESS(713,'r2'!A713),""),""))</f>
        <v/>
      </c>
      <c r="C713" s="31"/>
      <c r="D713" s="32"/>
    </row>
    <row r="714" spans="1:4" ht="24" customHeight="1" x14ac:dyDescent="0.25">
      <c r="A714" t="str">
        <f>IF('e2'!A714&gt;0,HYPERLINK("#"&amp;ADDRESS(714,'e2'!A714),""),IF('r2'!A714&gt;0,HYPERLINK("#"&amp;ADDRESS(714,'r2'!A714),""),""))</f>
        <v/>
      </c>
      <c r="C714" s="31"/>
      <c r="D714" s="32"/>
    </row>
    <row r="715" spans="1:4" ht="24" customHeight="1" x14ac:dyDescent="0.25">
      <c r="A715" t="str">
        <f>IF('e2'!A715&gt;0,HYPERLINK("#"&amp;ADDRESS(715,'e2'!A715),""),IF('r2'!A715&gt;0,HYPERLINK("#"&amp;ADDRESS(715,'r2'!A715),""),""))</f>
        <v/>
      </c>
      <c r="C715" s="31"/>
      <c r="D715" s="32"/>
    </row>
    <row r="716" spans="1:4" ht="24" customHeight="1" x14ac:dyDescent="0.25">
      <c r="A716" t="str">
        <f>IF('e2'!A716&gt;0,HYPERLINK("#"&amp;ADDRESS(716,'e2'!A716),""),IF('r2'!A716&gt;0,HYPERLINK("#"&amp;ADDRESS(716,'r2'!A716),""),""))</f>
        <v/>
      </c>
      <c r="C716" s="31"/>
      <c r="D716" s="32"/>
    </row>
    <row r="717" spans="1:4" ht="24" customHeight="1" x14ac:dyDescent="0.25">
      <c r="A717" t="str">
        <f>IF('e2'!A717&gt;0,HYPERLINK("#"&amp;ADDRESS(717,'e2'!A717),""),IF('r2'!A717&gt;0,HYPERLINK("#"&amp;ADDRESS(717,'r2'!A717),""),""))</f>
        <v/>
      </c>
      <c r="C717" s="31"/>
      <c r="D717" s="32"/>
    </row>
    <row r="718" spans="1:4" ht="24" customHeight="1" x14ac:dyDescent="0.25">
      <c r="A718" t="str">
        <f>IF('e2'!A718&gt;0,HYPERLINK("#"&amp;ADDRESS(718,'e2'!A718),""),IF('r2'!A718&gt;0,HYPERLINK("#"&amp;ADDRESS(718,'r2'!A718),""),""))</f>
        <v/>
      </c>
      <c r="C718" s="31"/>
      <c r="D718" s="32"/>
    </row>
    <row r="719" spans="1:4" ht="24" customHeight="1" x14ac:dyDescent="0.25">
      <c r="A719" t="str">
        <f>IF('e2'!A719&gt;0,HYPERLINK("#"&amp;ADDRESS(719,'e2'!A719),""),IF('r2'!A719&gt;0,HYPERLINK("#"&amp;ADDRESS(719,'r2'!A719),""),""))</f>
        <v/>
      </c>
      <c r="C719" s="31"/>
      <c r="D719" s="32"/>
    </row>
    <row r="720" spans="1:4" ht="24" customHeight="1" x14ac:dyDescent="0.25">
      <c r="A720" t="str">
        <f>IF('e2'!A720&gt;0,HYPERLINK("#"&amp;ADDRESS(720,'e2'!A720),""),IF('r2'!A720&gt;0,HYPERLINK("#"&amp;ADDRESS(720,'r2'!A720),""),""))</f>
        <v/>
      </c>
      <c r="C720" s="31"/>
      <c r="D720" s="32"/>
    </row>
    <row r="721" spans="1:4" ht="24" customHeight="1" x14ac:dyDescent="0.25">
      <c r="A721" t="str">
        <f>IF('e2'!A721&gt;0,HYPERLINK("#"&amp;ADDRESS(721,'e2'!A721),""),IF('r2'!A721&gt;0,HYPERLINK("#"&amp;ADDRESS(721,'r2'!A721),""),""))</f>
        <v/>
      </c>
      <c r="C721" s="31"/>
      <c r="D721" s="32"/>
    </row>
    <row r="722" spans="1:4" ht="24" customHeight="1" x14ac:dyDescent="0.25">
      <c r="A722" t="str">
        <f>IF('e2'!A722&gt;0,HYPERLINK("#"&amp;ADDRESS(722,'e2'!A722),""),IF('r2'!A722&gt;0,HYPERLINK("#"&amp;ADDRESS(722,'r2'!A722),""),""))</f>
        <v/>
      </c>
      <c r="C722" s="31"/>
      <c r="D722" s="32"/>
    </row>
    <row r="723" spans="1:4" ht="24" customHeight="1" x14ac:dyDescent="0.25">
      <c r="A723" t="str">
        <f>IF('e2'!A723&gt;0,HYPERLINK("#"&amp;ADDRESS(723,'e2'!A723),""),IF('r2'!A723&gt;0,HYPERLINK("#"&amp;ADDRESS(723,'r2'!A723),""),""))</f>
        <v/>
      </c>
      <c r="C723" s="31"/>
      <c r="D723" s="32"/>
    </row>
    <row r="724" spans="1:4" ht="24" customHeight="1" x14ac:dyDescent="0.25">
      <c r="A724" t="str">
        <f>IF('e2'!A724&gt;0,HYPERLINK("#"&amp;ADDRESS(724,'e2'!A724),""),IF('r2'!A724&gt;0,HYPERLINK("#"&amp;ADDRESS(724,'r2'!A724),""),""))</f>
        <v/>
      </c>
      <c r="C724" s="31"/>
      <c r="D724" s="32"/>
    </row>
    <row r="725" spans="1:4" ht="24" customHeight="1" x14ac:dyDescent="0.25">
      <c r="A725" t="str">
        <f>IF('e2'!A725&gt;0,HYPERLINK("#"&amp;ADDRESS(725,'e2'!A725),""),IF('r2'!A725&gt;0,HYPERLINK("#"&amp;ADDRESS(725,'r2'!A725),""),""))</f>
        <v/>
      </c>
      <c r="C725" s="31"/>
      <c r="D725" s="32"/>
    </row>
    <row r="726" spans="1:4" ht="24" customHeight="1" x14ac:dyDescent="0.25">
      <c r="A726" t="str">
        <f>IF('e2'!A726&gt;0,HYPERLINK("#"&amp;ADDRESS(726,'e2'!A726),""),IF('r2'!A726&gt;0,HYPERLINK("#"&amp;ADDRESS(726,'r2'!A726),""),""))</f>
        <v/>
      </c>
      <c r="C726" s="31"/>
      <c r="D726" s="32"/>
    </row>
    <row r="727" spans="1:4" ht="24" customHeight="1" x14ac:dyDescent="0.25">
      <c r="A727" t="str">
        <f>IF('e2'!A727&gt;0,HYPERLINK("#"&amp;ADDRESS(727,'e2'!A727),""),IF('r2'!A727&gt;0,HYPERLINK("#"&amp;ADDRESS(727,'r2'!A727),""),""))</f>
        <v/>
      </c>
      <c r="C727" s="31"/>
      <c r="D727" s="32"/>
    </row>
    <row r="728" spans="1:4" ht="24" customHeight="1" x14ac:dyDescent="0.25">
      <c r="A728" t="str">
        <f>IF('e2'!A728&gt;0,HYPERLINK("#"&amp;ADDRESS(728,'e2'!A728),""),IF('r2'!A728&gt;0,HYPERLINK("#"&amp;ADDRESS(728,'r2'!A728),""),""))</f>
        <v/>
      </c>
      <c r="C728" s="31"/>
      <c r="D728" s="32"/>
    </row>
    <row r="729" spans="1:4" ht="24" customHeight="1" x14ac:dyDescent="0.25">
      <c r="A729" t="str">
        <f>IF('e2'!A729&gt;0,HYPERLINK("#"&amp;ADDRESS(729,'e2'!A729),""),IF('r2'!A729&gt;0,HYPERLINK("#"&amp;ADDRESS(729,'r2'!A729),""),""))</f>
        <v/>
      </c>
      <c r="C729" s="31"/>
      <c r="D729" s="32"/>
    </row>
    <row r="730" spans="1:4" ht="24" customHeight="1" x14ac:dyDescent="0.25">
      <c r="A730" t="str">
        <f>IF('e2'!A730&gt;0,HYPERLINK("#"&amp;ADDRESS(730,'e2'!A730),""),IF('r2'!A730&gt;0,HYPERLINK("#"&amp;ADDRESS(730,'r2'!A730),""),""))</f>
        <v/>
      </c>
      <c r="C730" s="31"/>
      <c r="D730" s="32"/>
    </row>
    <row r="731" spans="1:4" ht="24" customHeight="1" x14ac:dyDescent="0.25">
      <c r="A731" t="str">
        <f>IF('e2'!A731&gt;0,HYPERLINK("#"&amp;ADDRESS(731,'e2'!A731),""),IF('r2'!A731&gt;0,HYPERLINK("#"&amp;ADDRESS(731,'r2'!A731),""),""))</f>
        <v/>
      </c>
      <c r="C731" s="31"/>
      <c r="D731" s="32"/>
    </row>
    <row r="732" spans="1:4" ht="24" customHeight="1" x14ac:dyDescent="0.25">
      <c r="A732" t="str">
        <f>IF('e2'!A732&gt;0,HYPERLINK("#"&amp;ADDRESS(732,'e2'!A732),""),IF('r2'!A732&gt;0,HYPERLINK("#"&amp;ADDRESS(732,'r2'!A732),""),""))</f>
        <v/>
      </c>
      <c r="C732" s="31"/>
      <c r="D732" s="32"/>
    </row>
    <row r="733" spans="1:4" ht="24" customHeight="1" x14ac:dyDescent="0.25">
      <c r="A733" t="str">
        <f>IF('e2'!A733&gt;0,HYPERLINK("#"&amp;ADDRESS(733,'e2'!A733),""),IF('r2'!A733&gt;0,HYPERLINK("#"&amp;ADDRESS(733,'r2'!A733),""),""))</f>
        <v/>
      </c>
      <c r="C733" s="31"/>
      <c r="D733" s="32"/>
    </row>
    <row r="734" spans="1:4" ht="24" customHeight="1" x14ac:dyDescent="0.25">
      <c r="A734" t="str">
        <f>IF('e2'!A734&gt;0,HYPERLINK("#"&amp;ADDRESS(734,'e2'!A734),""),IF('r2'!A734&gt;0,HYPERLINK("#"&amp;ADDRESS(734,'r2'!A734),""),""))</f>
        <v/>
      </c>
      <c r="C734" s="31"/>
      <c r="D734" s="32"/>
    </row>
    <row r="735" spans="1:4" ht="24" customHeight="1" x14ac:dyDescent="0.25">
      <c r="A735" t="str">
        <f>IF('e2'!A735&gt;0,HYPERLINK("#"&amp;ADDRESS(735,'e2'!A735),""),IF('r2'!A735&gt;0,HYPERLINK("#"&amp;ADDRESS(735,'r2'!A735),""),""))</f>
        <v/>
      </c>
      <c r="C735" s="31"/>
      <c r="D735" s="32"/>
    </row>
    <row r="736" spans="1:4" ht="24" customHeight="1" x14ac:dyDescent="0.25">
      <c r="A736" t="str">
        <f>IF('e2'!A736&gt;0,HYPERLINK("#"&amp;ADDRESS(736,'e2'!A736),""),IF('r2'!A736&gt;0,HYPERLINK("#"&amp;ADDRESS(736,'r2'!A736),""),""))</f>
        <v/>
      </c>
      <c r="C736" s="31"/>
      <c r="D736" s="32"/>
    </row>
    <row r="737" spans="1:4" ht="24" customHeight="1" x14ac:dyDescent="0.25">
      <c r="A737" t="str">
        <f>IF('e2'!A737&gt;0,HYPERLINK("#"&amp;ADDRESS(737,'e2'!A737),""),IF('r2'!A737&gt;0,HYPERLINK("#"&amp;ADDRESS(737,'r2'!A737),""),""))</f>
        <v/>
      </c>
      <c r="C737" s="31"/>
      <c r="D737" s="32"/>
    </row>
    <row r="738" spans="1:4" ht="24" customHeight="1" x14ac:dyDescent="0.25">
      <c r="A738" t="str">
        <f>IF('e2'!A738&gt;0,HYPERLINK("#"&amp;ADDRESS(738,'e2'!A738),""),IF('r2'!A738&gt;0,HYPERLINK("#"&amp;ADDRESS(738,'r2'!A738),""),""))</f>
        <v/>
      </c>
      <c r="C738" s="31"/>
      <c r="D738" s="32"/>
    </row>
    <row r="739" spans="1:4" ht="24" customHeight="1" x14ac:dyDescent="0.25">
      <c r="A739" t="str">
        <f>IF('e2'!A739&gt;0,HYPERLINK("#"&amp;ADDRESS(739,'e2'!A739),""),IF('r2'!A739&gt;0,HYPERLINK("#"&amp;ADDRESS(739,'r2'!A739),""),""))</f>
        <v/>
      </c>
      <c r="C739" s="31"/>
      <c r="D739" s="32"/>
    </row>
    <row r="740" spans="1:4" ht="24" customHeight="1" x14ac:dyDescent="0.25">
      <c r="A740" t="str">
        <f>IF('e2'!A740&gt;0,HYPERLINK("#"&amp;ADDRESS(740,'e2'!A740),""),IF('r2'!A740&gt;0,HYPERLINK("#"&amp;ADDRESS(740,'r2'!A740),""),""))</f>
        <v/>
      </c>
      <c r="C740" s="31"/>
      <c r="D740" s="32"/>
    </row>
    <row r="741" spans="1:4" ht="24" customHeight="1" x14ac:dyDescent="0.25">
      <c r="A741" t="str">
        <f>IF('e2'!A741&gt;0,HYPERLINK("#"&amp;ADDRESS(741,'e2'!A741),""),IF('r2'!A741&gt;0,HYPERLINK("#"&amp;ADDRESS(741,'r2'!A741),""),""))</f>
        <v/>
      </c>
      <c r="C741" s="31"/>
      <c r="D741" s="32"/>
    </row>
    <row r="742" spans="1:4" ht="24" customHeight="1" x14ac:dyDescent="0.25">
      <c r="A742" t="str">
        <f>IF('e2'!A742&gt;0,HYPERLINK("#"&amp;ADDRESS(742,'e2'!A742),""),IF('r2'!A742&gt;0,HYPERLINK("#"&amp;ADDRESS(742,'r2'!A742),""),""))</f>
        <v/>
      </c>
      <c r="C742" s="31"/>
      <c r="D742" s="32"/>
    </row>
    <row r="743" spans="1:4" ht="24" customHeight="1" x14ac:dyDescent="0.25">
      <c r="A743" t="str">
        <f>IF('e2'!A743&gt;0,HYPERLINK("#"&amp;ADDRESS(743,'e2'!A743),""),IF('r2'!A743&gt;0,HYPERLINK("#"&amp;ADDRESS(743,'r2'!A743),""),""))</f>
        <v/>
      </c>
      <c r="C743" s="31"/>
      <c r="D743" s="32"/>
    </row>
    <row r="744" spans="1:4" ht="24" customHeight="1" x14ac:dyDescent="0.25">
      <c r="A744" t="str">
        <f>IF('e2'!A744&gt;0,HYPERLINK("#"&amp;ADDRESS(744,'e2'!A744),""),IF('r2'!A744&gt;0,HYPERLINK("#"&amp;ADDRESS(744,'r2'!A744),""),""))</f>
        <v/>
      </c>
      <c r="C744" s="31"/>
      <c r="D744" s="32"/>
    </row>
    <row r="745" spans="1:4" ht="24" customHeight="1" x14ac:dyDescent="0.25">
      <c r="A745" t="str">
        <f>IF('e2'!A745&gt;0,HYPERLINK("#"&amp;ADDRESS(745,'e2'!A745),""),IF('r2'!A745&gt;0,HYPERLINK("#"&amp;ADDRESS(745,'r2'!A745),""),""))</f>
        <v/>
      </c>
      <c r="C745" s="31"/>
      <c r="D745" s="32"/>
    </row>
    <row r="746" spans="1:4" ht="24" customHeight="1" x14ac:dyDescent="0.25">
      <c r="A746" t="str">
        <f>IF('e2'!A746&gt;0,HYPERLINK("#"&amp;ADDRESS(746,'e2'!A746),""),IF('r2'!A746&gt;0,HYPERLINK("#"&amp;ADDRESS(746,'r2'!A746),""),""))</f>
        <v/>
      </c>
      <c r="C746" s="31"/>
      <c r="D746" s="32"/>
    </row>
    <row r="747" spans="1:4" ht="24" customHeight="1" x14ac:dyDescent="0.25">
      <c r="A747" t="str">
        <f>IF('e2'!A747&gt;0,HYPERLINK("#"&amp;ADDRESS(747,'e2'!A747),""),IF('r2'!A747&gt;0,HYPERLINK("#"&amp;ADDRESS(747,'r2'!A747),""),""))</f>
        <v/>
      </c>
      <c r="C747" s="31"/>
      <c r="D747" s="32"/>
    </row>
    <row r="748" spans="1:4" ht="24" customHeight="1" x14ac:dyDescent="0.25">
      <c r="A748" t="str">
        <f>IF('e2'!A748&gt;0,HYPERLINK("#"&amp;ADDRESS(748,'e2'!A748),""),IF('r2'!A748&gt;0,HYPERLINK("#"&amp;ADDRESS(748,'r2'!A748),""),""))</f>
        <v/>
      </c>
      <c r="C748" s="31"/>
      <c r="D748" s="32"/>
    </row>
    <row r="749" spans="1:4" ht="24" customHeight="1" x14ac:dyDescent="0.25">
      <c r="A749" t="str">
        <f>IF('e2'!A749&gt;0,HYPERLINK("#"&amp;ADDRESS(749,'e2'!A749),""),IF('r2'!A749&gt;0,HYPERLINK("#"&amp;ADDRESS(749,'r2'!A749),""),""))</f>
        <v/>
      </c>
      <c r="C749" s="31"/>
      <c r="D749" s="32"/>
    </row>
    <row r="750" spans="1:4" ht="24" customHeight="1" x14ac:dyDescent="0.25">
      <c r="A750" t="str">
        <f>IF('e2'!A750&gt;0,HYPERLINK("#"&amp;ADDRESS(750,'e2'!A750),""),IF('r2'!A750&gt;0,HYPERLINK("#"&amp;ADDRESS(750,'r2'!A750),""),""))</f>
        <v/>
      </c>
      <c r="C750" s="31"/>
      <c r="D750" s="32"/>
    </row>
    <row r="751" spans="1:4" ht="24" customHeight="1" x14ac:dyDescent="0.25">
      <c r="A751" t="str">
        <f>IF('e2'!A751&gt;0,HYPERLINK("#"&amp;ADDRESS(751,'e2'!A751),""),IF('r2'!A751&gt;0,HYPERLINK("#"&amp;ADDRESS(751,'r2'!A751),""),""))</f>
        <v/>
      </c>
      <c r="C751" s="31"/>
      <c r="D751" s="32"/>
    </row>
    <row r="752" spans="1:4" ht="24" customHeight="1" x14ac:dyDescent="0.25">
      <c r="A752" t="str">
        <f>IF('e2'!A752&gt;0,HYPERLINK("#"&amp;ADDRESS(752,'e2'!A752),""),IF('r2'!A752&gt;0,HYPERLINK("#"&amp;ADDRESS(752,'r2'!A752),""),""))</f>
        <v/>
      </c>
      <c r="C752" s="31"/>
      <c r="D752" s="32"/>
    </row>
    <row r="753" spans="1:4" ht="24" customHeight="1" x14ac:dyDescent="0.25">
      <c r="A753" t="str">
        <f>IF('e2'!A753&gt;0,HYPERLINK("#"&amp;ADDRESS(753,'e2'!A753),""),IF('r2'!A753&gt;0,HYPERLINK("#"&amp;ADDRESS(753,'r2'!A753),""),""))</f>
        <v/>
      </c>
      <c r="C753" s="31"/>
      <c r="D753" s="32"/>
    </row>
    <row r="754" spans="1:4" ht="24" customHeight="1" x14ac:dyDescent="0.25">
      <c r="A754" t="str">
        <f>IF('e2'!A754&gt;0,HYPERLINK("#"&amp;ADDRESS(754,'e2'!A754),""),IF('r2'!A754&gt;0,HYPERLINK("#"&amp;ADDRESS(754,'r2'!A754),""),""))</f>
        <v/>
      </c>
      <c r="C754" s="31"/>
      <c r="D754" s="32"/>
    </row>
    <row r="755" spans="1:4" ht="24" customHeight="1" x14ac:dyDescent="0.25">
      <c r="A755" t="str">
        <f>IF('e2'!A755&gt;0,HYPERLINK("#"&amp;ADDRESS(755,'e2'!A755),""),IF('r2'!A755&gt;0,HYPERLINK("#"&amp;ADDRESS(755,'r2'!A755),""),""))</f>
        <v/>
      </c>
      <c r="C755" s="31"/>
      <c r="D755" s="32"/>
    </row>
    <row r="756" spans="1:4" ht="24" customHeight="1" x14ac:dyDescent="0.25">
      <c r="A756" t="str">
        <f>IF('e2'!A756&gt;0,HYPERLINK("#"&amp;ADDRESS(756,'e2'!A756),""),IF('r2'!A756&gt;0,HYPERLINK("#"&amp;ADDRESS(756,'r2'!A756),""),""))</f>
        <v/>
      </c>
      <c r="C756" s="31"/>
      <c r="D756" s="32"/>
    </row>
    <row r="757" spans="1:4" ht="24" customHeight="1" x14ac:dyDescent="0.25">
      <c r="A757" t="str">
        <f>IF('e2'!A757&gt;0,HYPERLINK("#"&amp;ADDRESS(757,'e2'!A757),""),IF('r2'!A757&gt;0,HYPERLINK("#"&amp;ADDRESS(757,'r2'!A757),""),""))</f>
        <v/>
      </c>
      <c r="C757" s="31"/>
      <c r="D757" s="32"/>
    </row>
    <row r="758" spans="1:4" ht="24" customHeight="1" x14ac:dyDescent="0.25">
      <c r="A758" t="str">
        <f>IF('e2'!A758&gt;0,HYPERLINK("#"&amp;ADDRESS(758,'e2'!A758),""),IF('r2'!A758&gt;0,HYPERLINK("#"&amp;ADDRESS(758,'r2'!A758),""),""))</f>
        <v/>
      </c>
      <c r="C758" s="31"/>
      <c r="D758" s="32"/>
    </row>
    <row r="759" spans="1:4" ht="24" customHeight="1" x14ac:dyDescent="0.25">
      <c r="A759" t="str">
        <f>IF('e2'!A759&gt;0,HYPERLINK("#"&amp;ADDRESS(759,'e2'!A759),""),IF('r2'!A759&gt;0,HYPERLINK("#"&amp;ADDRESS(759,'r2'!A759),""),""))</f>
        <v/>
      </c>
      <c r="C759" s="31"/>
      <c r="D759" s="32"/>
    </row>
    <row r="760" spans="1:4" ht="24" customHeight="1" x14ac:dyDescent="0.25">
      <c r="A760" t="str">
        <f>IF('e2'!A760&gt;0,HYPERLINK("#"&amp;ADDRESS(760,'e2'!A760),""),IF('r2'!A760&gt;0,HYPERLINK("#"&amp;ADDRESS(760,'r2'!A760),""),""))</f>
        <v/>
      </c>
      <c r="C760" s="31"/>
      <c r="D760" s="32"/>
    </row>
    <row r="761" spans="1:4" ht="24" customHeight="1" x14ac:dyDescent="0.25">
      <c r="A761" t="str">
        <f>IF('e2'!A761&gt;0,HYPERLINK("#"&amp;ADDRESS(761,'e2'!A761),""),IF('r2'!A761&gt;0,HYPERLINK("#"&amp;ADDRESS(761,'r2'!A761),""),""))</f>
        <v/>
      </c>
      <c r="C761" s="31"/>
      <c r="D761" s="32"/>
    </row>
    <row r="762" spans="1:4" ht="24" customHeight="1" x14ac:dyDescent="0.25">
      <c r="A762" t="str">
        <f>IF('e2'!A762&gt;0,HYPERLINK("#"&amp;ADDRESS(762,'e2'!A762),""),IF('r2'!A762&gt;0,HYPERLINK("#"&amp;ADDRESS(762,'r2'!A762),""),""))</f>
        <v/>
      </c>
      <c r="C762" s="31"/>
      <c r="D762" s="32"/>
    </row>
    <row r="763" spans="1:4" ht="24" customHeight="1" x14ac:dyDescent="0.25">
      <c r="A763" t="str">
        <f>IF('e2'!A763&gt;0,HYPERLINK("#"&amp;ADDRESS(763,'e2'!A763),""),IF('r2'!A763&gt;0,HYPERLINK("#"&amp;ADDRESS(763,'r2'!A763),""),""))</f>
        <v/>
      </c>
      <c r="C763" s="31"/>
      <c r="D763" s="32"/>
    </row>
    <row r="764" spans="1:4" ht="24" customHeight="1" x14ac:dyDescent="0.25">
      <c r="A764" t="str">
        <f>IF('e2'!A764&gt;0,HYPERLINK("#"&amp;ADDRESS(764,'e2'!A764),""),IF('r2'!A764&gt;0,HYPERLINK("#"&amp;ADDRESS(764,'r2'!A764),""),""))</f>
        <v/>
      </c>
      <c r="C764" s="31"/>
      <c r="D764" s="32"/>
    </row>
    <row r="765" spans="1:4" ht="24" customHeight="1" x14ac:dyDescent="0.25">
      <c r="A765" t="str">
        <f>IF('e2'!A765&gt;0,HYPERLINK("#"&amp;ADDRESS(765,'e2'!A765),""),IF('r2'!A765&gt;0,HYPERLINK("#"&amp;ADDRESS(765,'r2'!A765),""),""))</f>
        <v/>
      </c>
      <c r="C765" s="31"/>
      <c r="D765" s="32"/>
    </row>
    <row r="766" spans="1:4" ht="24" customHeight="1" x14ac:dyDescent="0.25">
      <c r="A766" t="str">
        <f>IF('e2'!A766&gt;0,HYPERLINK("#"&amp;ADDRESS(766,'e2'!A766),""),IF('r2'!A766&gt;0,HYPERLINK("#"&amp;ADDRESS(766,'r2'!A766),""),""))</f>
        <v/>
      </c>
      <c r="C766" s="31"/>
      <c r="D766" s="32"/>
    </row>
    <row r="767" spans="1:4" ht="24" customHeight="1" x14ac:dyDescent="0.25">
      <c r="A767" t="str">
        <f>IF('e2'!A767&gt;0,HYPERLINK("#"&amp;ADDRESS(767,'e2'!A767),""),IF('r2'!A767&gt;0,HYPERLINK("#"&amp;ADDRESS(767,'r2'!A767),""),""))</f>
        <v/>
      </c>
      <c r="C767" s="31"/>
      <c r="D767" s="32"/>
    </row>
    <row r="768" spans="1:4" ht="24" customHeight="1" x14ac:dyDescent="0.25">
      <c r="A768" t="str">
        <f>IF('e2'!A768&gt;0,HYPERLINK("#"&amp;ADDRESS(768,'e2'!A768),""),IF('r2'!A768&gt;0,HYPERLINK("#"&amp;ADDRESS(768,'r2'!A768),""),""))</f>
        <v/>
      </c>
      <c r="C768" s="31"/>
      <c r="D768" s="32"/>
    </row>
    <row r="769" spans="1:4" ht="24" customHeight="1" x14ac:dyDescent="0.25">
      <c r="A769" t="str">
        <f>IF('e2'!A769&gt;0,HYPERLINK("#"&amp;ADDRESS(769,'e2'!A769),""),IF('r2'!A769&gt;0,HYPERLINK("#"&amp;ADDRESS(769,'r2'!A769),""),""))</f>
        <v/>
      </c>
      <c r="C769" s="31"/>
      <c r="D769" s="32"/>
    </row>
    <row r="770" spans="1:4" ht="24" customHeight="1" x14ac:dyDescent="0.25">
      <c r="A770" t="str">
        <f>IF('e2'!A770&gt;0,HYPERLINK("#"&amp;ADDRESS(770,'e2'!A770),""),IF('r2'!A770&gt;0,HYPERLINK("#"&amp;ADDRESS(770,'r2'!A770),""),""))</f>
        <v/>
      </c>
      <c r="C770" s="31"/>
      <c r="D770" s="32"/>
    </row>
    <row r="771" spans="1:4" ht="24" customHeight="1" x14ac:dyDescent="0.25">
      <c r="A771" t="str">
        <f>IF('e2'!A771&gt;0,HYPERLINK("#"&amp;ADDRESS(771,'e2'!A771),""),IF('r2'!A771&gt;0,HYPERLINK("#"&amp;ADDRESS(771,'r2'!A771),""),""))</f>
        <v/>
      </c>
      <c r="C771" s="31"/>
      <c r="D771" s="32"/>
    </row>
    <row r="772" spans="1:4" ht="24" customHeight="1" x14ac:dyDescent="0.25">
      <c r="A772" t="str">
        <f>IF('e2'!A772&gt;0,HYPERLINK("#"&amp;ADDRESS(772,'e2'!A772),""),IF('r2'!A772&gt;0,HYPERLINK("#"&amp;ADDRESS(772,'r2'!A772),""),""))</f>
        <v/>
      </c>
      <c r="C772" s="31"/>
      <c r="D772" s="32"/>
    </row>
    <row r="773" spans="1:4" ht="24" customHeight="1" x14ac:dyDescent="0.25">
      <c r="A773" t="str">
        <f>IF('e2'!A773&gt;0,HYPERLINK("#"&amp;ADDRESS(773,'e2'!A773),""),IF('r2'!A773&gt;0,HYPERLINK("#"&amp;ADDRESS(773,'r2'!A773),""),""))</f>
        <v/>
      </c>
      <c r="C773" s="31"/>
      <c r="D773" s="32"/>
    </row>
    <row r="774" spans="1:4" ht="24" customHeight="1" x14ac:dyDescent="0.25">
      <c r="A774" t="str">
        <f>IF('e2'!A774&gt;0,HYPERLINK("#"&amp;ADDRESS(774,'e2'!A774),""),IF('r2'!A774&gt;0,HYPERLINK("#"&amp;ADDRESS(774,'r2'!A774),""),""))</f>
        <v/>
      </c>
      <c r="C774" s="31"/>
      <c r="D774" s="32"/>
    </row>
    <row r="775" spans="1:4" ht="24" customHeight="1" x14ac:dyDescent="0.25">
      <c r="A775" t="str">
        <f>IF('e2'!A775&gt;0,HYPERLINK("#"&amp;ADDRESS(775,'e2'!A775),""),IF('r2'!A775&gt;0,HYPERLINK("#"&amp;ADDRESS(775,'r2'!A775),""),""))</f>
        <v/>
      </c>
      <c r="C775" s="31"/>
      <c r="D775" s="32"/>
    </row>
    <row r="776" spans="1:4" ht="24" customHeight="1" x14ac:dyDescent="0.25">
      <c r="A776" t="str">
        <f>IF('e2'!A776&gt;0,HYPERLINK("#"&amp;ADDRESS(776,'e2'!A776),""),IF('r2'!A776&gt;0,HYPERLINK("#"&amp;ADDRESS(776,'r2'!A776),""),""))</f>
        <v/>
      </c>
      <c r="C776" s="31"/>
      <c r="D776" s="32"/>
    </row>
    <row r="777" spans="1:4" ht="24" customHeight="1" x14ac:dyDescent="0.25">
      <c r="A777" t="str">
        <f>IF('e2'!A777&gt;0,HYPERLINK("#"&amp;ADDRESS(777,'e2'!A777),""),IF('r2'!A777&gt;0,HYPERLINK("#"&amp;ADDRESS(777,'r2'!A777),""),""))</f>
        <v/>
      </c>
      <c r="C777" s="31"/>
      <c r="D777" s="32"/>
    </row>
    <row r="778" spans="1:4" ht="24" customHeight="1" x14ac:dyDescent="0.25">
      <c r="A778" t="str">
        <f>IF('e2'!A778&gt;0,HYPERLINK("#"&amp;ADDRESS(778,'e2'!A778),""),IF('r2'!A778&gt;0,HYPERLINK("#"&amp;ADDRESS(778,'r2'!A778),""),""))</f>
        <v/>
      </c>
      <c r="C778" s="31"/>
      <c r="D778" s="32"/>
    </row>
    <row r="779" spans="1:4" ht="24" customHeight="1" x14ac:dyDescent="0.25">
      <c r="A779" t="str">
        <f>IF('e2'!A779&gt;0,HYPERLINK("#"&amp;ADDRESS(779,'e2'!A779),""),IF('r2'!A779&gt;0,HYPERLINK("#"&amp;ADDRESS(779,'r2'!A779),""),""))</f>
        <v/>
      </c>
      <c r="C779" s="31"/>
      <c r="D779" s="32"/>
    </row>
    <row r="780" spans="1:4" ht="24" customHeight="1" x14ac:dyDescent="0.25">
      <c r="A780" t="str">
        <f>IF('e2'!A780&gt;0,HYPERLINK("#"&amp;ADDRESS(780,'e2'!A780),""),IF('r2'!A780&gt;0,HYPERLINK("#"&amp;ADDRESS(780,'r2'!A780),""),""))</f>
        <v/>
      </c>
      <c r="C780" s="31"/>
      <c r="D780" s="32"/>
    </row>
    <row r="781" spans="1:4" ht="24" customHeight="1" x14ac:dyDescent="0.25">
      <c r="A781" t="str">
        <f>IF('e2'!A781&gt;0,HYPERLINK("#"&amp;ADDRESS(781,'e2'!A781),""),IF('r2'!A781&gt;0,HYPERLINK("#"&amp;ADDRESS(781,'r2'!A781),""),""))</f>
        <v/>
      </c>
      <c r="C781" s="31"/>
      <c r="D781" s="32"/>
    </row>
    <row r="782" spans="1:4" ht="24" customHeight="1" x14ac:dyDescent="0.25">
      <c r="A782" t="str">
        <f>IF('e2'!A782&gt;0,HYPERLINK("#"&amp;ADDRESS(782,'e2'!A782),""),IF('r2'!A782&gt;0,HYPERLINK("#"&amp;ADDRESS(782,'r2'!A782),""),""))</f>
        <v/>
      </c>
      <c r="C782" s="31"/>
      <c r="D782" s="32"/>
    </row>
    <row r="783" spans="1:4" ht="24" customHeight="1" x14ac:dyDescent="0.25">
      <c r="A783" t="str">
        <f>IF('e2'!A783&gt;0,HYPERLINK("#"&amp;ADDRESS(783,'e2'!A783),""),IF('r2'!A783&gt;0,HYPERLINK("#"&amp;ADDRESS(783,'r2'!A783),""),""))</f>
        <v/>
      </c>
      <c r="C783" s="31"/>
      <c r="D783" s="32"/>
    </row>
    <row r="784" spans="1:4" ht="24" customHeight="1" x14ac:dyDescent="0.25">
      <c r="A784" t="str">
        <f>IF('e2'!A784&gt;0,HYPERLINK("#"&amp;ADDRESS(784,'e2'!A784),""),IF('r2'!A784&gt;0,HYPERLINK("#"&amp;ADDRESS(784,'r2'!A784),""),""))</f>
        <v/>
      </c>
      <c r="C784" s="31"/>
      <c r="D784" s="32"/>
    </row>
    <row r="785" spans="1:4" ht="24" customHeight="1" x14ac:dyDescent="0.25">
      <c r="A785" t="str">
        <f>IF('e2'!A785&gt;0,HYPERLINK("#"&amp;ADDRESS(785,'e2'!A785),""),IF('r2'!A785&gt;0,HYPERLINK("#"&amp;ADDRESS(785,'r2'!A785),""),""))</f>
        <v/>
      </c>
      <c r="C785" s="31"/>
      <c r="D785" s="32"/>
    </row>
    <row r="786" spans="1:4" ht="24" customHeight="1" x14ac:dyDescent="0.25">
      <c r="A786" t="str">
        <f>IF('e2'!A786&gt;0,HYPERLINK("#"&amp;ADDRESS(786,'e2'!A786),""),IF('r2'!A786&gt;0,HYPERLINK("#"&amp;ADDRESS(786,'r2'!A786),""),""))</f>
        <v/>
      </c>
      <c r="C786" s="31"/>
      <c r="D786" s="32"/>
    </row>
    <row r="787" spans="1:4" ht="24" customHeight="1" x14ac:dyDescent="0.25">
      <c r="A787" t="str">
        <f>IF('e2'!A787&gt;0,HYPERLINK("#"&amp;ADDRESS(787,'e2'!A787),""),IF('r2'!A787&gt;0,HYPERLINK("#"&amp;ADDRESS(787,'r2'!A787),""),""))</f>
        <v/>
      </c>
      <c r="C787" s="31"/>
      <c r="D787" s="32"/>
    </row>
    <row r="788" spans="1:4" ht="24" customHeight="1" x14ac:dyDescent="0.25">
      <c r="A788" t="str">
        <f>IF('e2'!A788&gt;0,HYPERLINK("#"&amp;ADDRESS(788,'e2'!A788),""),IF('r2'!A788&gt;0,HYPERLINK("#"&amp;ADDRESS(788,'r2'!A788),""),""))</f>
        <v/>
      </c>
      <c r="C788" s="31"/>
      <c r="D788" s="32"/>
    </row>
    <row r="789" spans="1:4" ht="24" customHeight="1" x14ac:dyDescent="0.25">
      <c r="A789" t="str">
        <f>IF('e2'!A789&gt;0,HYPERLINK("#"&amp;ADDRESS(789,'e2'!A789),""),IF('r2'!A789&gt;0,HYPERLINK("#"&amp;ADDRESS(789,'r2'!A789),""),""))</f>
        <v/>
      </c>
      <c r="C789" s="31"/>
      <c r="D789" s="32"/>
    </row>
    <row r="790" spans="1:4" ht="24" customHeight="1" x14ac:dyDescent="0.25">
      <c r="A790" t="str">
        <f>IF('e2'!A790&gt;0,HYPERLINK("#"&amp;ADDRESS(790,'e2'!A790),""),IF('r2'!A790&gt;0,HYPERLINK("#"&amp;ADDRESS(790,'r2'!A790),""),""))</f>
        <v/>
      </c>
      <c r="C790" s="31"/>
      <c r="D790" s="32"/>
    </row>
    <row r="791" spans="1:4" ht="24" customHeight="1" x14ac:dyDescent="0.25">
      <c r="A791" t="str">
        <f>IF('e2'!A791&gt;0,HYPERLINK("#"&amp;ADDRESS(791,'e2'!A791),""),IF('r2'!A791&gt;0,HYPERLINK("#"&amp;ADDRESS(791,'r2'!A791),""),""))</f>
        <v/>
      </c>
      <c r="C791" s="31"/>
      <c r="D791" s="32"/>
    </row>
    <row r="792" spans="1:4" ht="24" customHeight="1" x14ac:dyDescent="0.25">
      <c r="A792" t="str">
        <f>IF('e2'!A792&gt;0,HYPERLINK("#"&amp;ADDRESS(792,'e2'!A792),""),IF('r2'!A792&gt;0,HYPERLINK("#"&amp;ADDRESS(792,'r2'!A792),""),""))</f>
        <v/>
      </c>
      <c r="C792" s="31"/>
      <c r="D792" s="32"/>
    </row>
    <row r="793" spans="1:4" ht="24" customHeight="1" x14ac:dyDescent="0.25">
      <c r="A793" t="str">
        <f>IF('e2'!A793&gt;0,HYPERLINK("#"&amp;ADDRESS(793,'e2'!A793),""),IF('r2'!A793&gt;0,HYPERLINK("#"&amp;ADDRESS(793,'r2'!A793),""),""))</f>
        <v/>
      </c>
      <c r="C793" s="31"/>
      <c r="D793" s="32"/>
    </row>
    <row r="794" spans="1:4" ht="24" customHeight="1" x14ac:dyDescent="0.25">
      <c r="A794" t="str">
        <f>IF('e2'!A794&gt;0,HYPERLINK("#"&amp;ADDRESS(794,'e2'!A794),""),IF('r2'!A794&gt;0,HYPERLINK("#"&amp;ADDRESS(794,'r2'!A794),""),""))</f>
        <v/>
      </c>
      <c r="C794" s="31"/>
      <c r="D794" s="32"/>
    </row>
    <row r="795" spans="1:4" ht="24" customHeight="1" x14ac:dyDescent="0.25">
      <c r="A795" t="str">
        <f>IF('e2'!A795&gt;0,HYPERLINK("#"&amp;ADDRESS(795,'e2'!A795),""),IF('r2'!A795&gt;0,HYPERLINK("#"&amp;ADDRESS(795,'r2'!A795),""),""))</f>
        <v/>
      </c>
      <c r="C795" s="31"/>
      <c r="D795" s="32"/>
    </row>
    <row r="796" spans="1:4" ht="24" customHeight="1" x14ac:dyDescent="0.25">
      <c r="A796" t="str">
        <f>IF('e2'!A796&gt;0,HYPERLINK("#"&amp;ADDRESS(796,'e2'!A796),""),IF('r2'!A796&gt;0,HYPERLINK("#"&amp;ADDRESS(796,'r2'!A796),""),""))</f>
        <v/>
      </c>
      <c r="C796" s="31"/>
      <c r="D796" s="32"/>
    </row>
    <row r="797" spans="1:4" ht="24" customHeight="1" x14ac:dyDescent="0.25">
      <c r="A797" t="str">
        <f>IF('e2'!A797&gt;0,HYPERLINK("#"&amp;ADDRESS(797,'e2'!A797),""),IF('r2'!A797&gt;0,HYPERLINK("#"&amp;ADDRESS(797,'r2'!A797),""),""))</f>
        <v/>
      </c>
      <c r="C797" s="31"/>
      <c r="D797" s="32"/>
    </row>
    <row r="798" spans="1:4" ht="24" customHeight="1" x14ac:dyDescent="0.25">
      <c r="A798" t="str">
        <f>IF('e2'!A798&gt;0,HYPERLINK("#"&amp;ADDRESS(798,'e2'!A798),""),IF('r2'!A798&gt;0,HYPERLINK("#"&amp;ADDRESS(798,'r2'!A798),""),""))</f>
        <v/>
      </c>
      <c r="C798" s="31"/>
      <c r="D798" s="32"/>
    </row>
    <row r="799" spans="1:4" ht="24" customHeight="1" x14ac:dyDescent="0.25">
      <c r="A799" t="str">
        <f>IF('e2'!A799&gt;0,HYPERLINK("#"&amp;ADDRESS(799,'e2'!A799),""),IF('r2'!A799&gt;0,HYPERLINK("#"&amp;ADDRESS(799,'r2'!A799),""),""))</f>
        <v/>
      </c>
      <c r="C799" s="31"/>
      <c r="D799" s="32"/>
    </row>
    <row r="800" spans="1:4" ht="24" customHeight="1" x14ac:dyDescent="0.25">
      <c r="A800" t="str">
        <f>IF('e2'!A800&gt;0,HYPERLINK("#"&amp;ADDRESS(800,'e2'!A800),""),IF('r2'!A800&gt;0,HYPERLINK("#"&amp;ADDRESS(800,'r2'!A800),""),""))</f>
        <v/>
      </c>
      <c r="C800" s="31"/>
      <c r="D800" s="32"/>
    </row>
    <row r="801" spans="1:4" ht="24" customHeight="1" x14ac:dyDescent="0.25">
      <c r="A801" t="str">
        <f>IF('e2'!A801&gt;0,HYPERLINK("#"&amp;ADDRESS(801,'e2'!A801),""),IF('r2'!A801&gt;0,HYPERLINK("#"&amp;ADDRESS(801,'r2'!A801),""),""))</f>
        <v/>
      </c>
      <c r="C801" s="31"/>
      <c r="D801" s="32"/>
    </row>
    <row r="802" spans="1:4" ht="24" customHeight="1" x14ac:dyDescent="0.25">
      <c r="A802" t="str">
        <f>IF('e2'!A802&gt;0,HYPERLINK("#"&amp;ADDRESS(802,'e2'!A802),""),IF('r2'!A802&gt;0,HYPERLINK("#"&amp;ADDRESS(802,'r2'!A802),""),""))</f>
        <v/>
      </c>
      <c r="C802" s="31"/>
      <c r="D802" s="32"/>
    </row>
    <row r="803" spans="1:4" ht="24" customHeight="1" x14ac:dyDescent="0.25">
      <c r="A803" t="str">
        <f>IF('e2'!A803&gt;0,HYPERLINK("#"&amp;ADDRESS(803,'e2'!A803),""),IF('r2'!A803&gt;0,HYPERLINK("#"&amp;ADDRESS(803,'r2'!A803),""),""))</f>
        <v/>
      </c>
      <c r="C803" s="31"/>
      <c r="D803" s="32"/>
    </row>
    <row r="804" spans="1:4" ht="24" customHeight="1" x14ac:dyDescent="0.25">
      <c r="A804" t="str">
        <f>IF('e2'!A804&gt;0,HYPERLINK("#"&amp;ADDRESS(804,'e2'!A804),""),IF('r2'!A804&gt;0,HYPERLINK("#"&amp;ADDRESS(804,'r2'!A804),""),""))</f>
        <v/>
      </c>
      <c r="C804" s="31"/>
      <c r="D804" s="32"/>
    </row>
    <row r="805" spans="1:4" ht="24" customHeight="1" x14ac:dyDescent="0.25">
      <c r="A805" t="str">
        <f>IF('e2'!A805&gt;0,HYPERLINK("#"&amp;ADDRESS(805,'e2'!A805),""),IF('r2'!A805&gt;0,HYPERLINK("#"&amp;ADDRESS(805,'r2'!A805),""),""))</f>
        <v/>
      </c>
      <c r="C805" s="31"/>
      <c r="D805" s="32"/>
    </row>
    <row r="806" spans="1:4" ht="24" customHeight="1" x14ac:dyDescent="0.25">
      <c r="A806" t="str">
        <f>IF('e2'!A806&gt;0,HYPERLINK("#"&amp;ADDRESS(806,'e2'!A806),""),IF('r2'!A806&gt;0,HYPERLINK("#"&amp;ADDRESS(806,'r2'!A806),""),""))</f>
        <v/>
      </c>
      <c r="C806" s="31"/>
      <c r="D806" s="32"/>
    </row>
    <row r="807" spans="1:4" ht="24" customHeight="1" x14ac:dyDescent="0.25">
      <c r="A807" t="str">
        <f>IF('e2'!A807&gt;0,HYPERLINK("#"&amp;ADDRESS(807,'e2'!A807),""),IF('r2'!A807&gt;0,HYPERLINK("#"&amp;ADDRESS(807,'r2'!A807),""),""))</f>
        <v/>
      </c>
      <c r="C807" s="31"/>
      <c r="D807" s="32"/>
    </row>
    <row r="808" spans="1:4" ht="24" customHeight="1" x14ac:dyDescent="0.25">
      <c r="A808" t="str">
        <f>IF('e2'!A808&gt;0,HYPERLINK("#"&amp;ADDRESS(808,'e2'!A808),""),IF('r2'!A808&gt;0,HYPERLINK("#"&amp;ADDRESS(808,'r2'!A808),""),""))</f>
        <v/>
      </c>
      <c r="C808" s="31"/>
      <c r="D808" s="32"/>
    </row>
    <row r="809" spans="1:4" ht="24" customHeight="1" x14ac:dyDescent="0.25">
      <c r="A809" t="str">
        <f>IF('e2'!A809&gt;0,HYPERLINK("#"&amp;ADDRESS(809,'e2'!A809),""),IF('r2'!A809&gt;0,HYPERLINK("#"&amp;ADDRESS(809,'r2'!A809),""),""))</f>
        <v/>
      </c>
      <c r="C809" s="31"/>
      <c r="D809" s="32"/>
    </row>
    <row r="810" spans="1:4" ht="24" customHeight="1" x14ac:dyDescent="0.25">
      <c r="A810" t="str">
        <f>IF('e2'!A810&gt;0,HYPERLINK("#"&amp;ADDRESS(810,'e2'!A810),""),IF('r2'!A810&gt;0,HYPERLINK("#"&amp;ADDRESS(810,'r2'!A810),""),""))</f>
        <v/>
      </c>
      <c r="C810" s="31"/>
      <c r="D810" s="32"/>
    </row>
    <row r="811" spans="1:4" ht="24" customHeight="1" x14ac:dyDescent="0.25">
      <c r="A811" t="str">
        <f>IF('e2'!A811&gt;0,HYPERLINK("#"&amp;ADDRESS(811,'e2'!A811),""),IF('r2'!A811&gt;0,HYPERLINK("#"&amp;ADDRESS(811,'r2'!A811),""),""))</f>
        <v/>
      </c>
      <c r="C811" s="31"/>
      <c r="D811" s="32"/>
    </row>
    <row r="812" spans="1:4" ht="24" customHeight="1" x14ac:dyDescent="0.25">
      <c r="A812" t="str">
        <f>IF('e2'!A812&gt;0,HYPERLINK("#"&amp;ADDRESS(812,'e2'!A812),""),IF('r2'!A812&gt;0,HYPERLINK("#"&amp;ADDRESS(812,'r2'!A812),""),""))</f>
        <v/>
      </c>
      <c r="C812" s="31"/>
      <c r="D812" s="32"/>
    </row>
    <row r="813" spans="1:4" ht="24" customHeight="1" x14ac:dyDescent="0.25">
      <c r="A813" t="str">
        <f>IF('e2'!A813&gt;0,HYPERLINK("#"&amp;ADDRESS(813,'e2'!A813),""),IF('r2'!A813&gt;0,HYPERLINK("#"&amp;ADDRESS(813,'r2'!A813),""),""))</f>
        <v/>
      </c>
      <c r="C813" s="31"/>
      <c r="D813" s="32"/>
    </row>
    <row r="814" spans="1:4" ht="24" customHeight="1" x14ac:dyDescent="0.25">
      <c r="A814" t="str">
        <f>IF('e2'!A814&gt;0,HYPERLINK("#"&amp;ADDRESS(814,'e2'!A814),""),IF('r2'!A814&gt;0,HYPERLINK("#"&amp;ADDRESS(814,'r2'!A814),""),""))</f>
        <v/>
      </c>
      <c r="C814" s="31"/>
      <c r="D814" s="32"/>
    </row>
    <row r="815" spans="1:4" ht="24" customHeight="1" x14ac:dyDescent="0.25">
      <c r="A815" t="str">
        <f>IF('e2'!A815&gt;0,HYPERLINK("#"&amp;ADDRESS(815,'e2'!A815),""),IF('r2'!A815&gt;0,HYPERLINK("#"&amp;ADDRESS(815,'r2'!A815),""),""))</f>
        <v/>
      </c>
      <c r="C815" s="31"/>
      <c r="D815" s="32"/>
    </row>
    <row r="816" spans="1:4" ht="24" customHeight="1" x14ac:dyDescent="0.25">
      <c r="A816" t="str">
        <f>IF('e2'!A816&gt;0,HYPERLINK("#"&amp;ADDRESS(816,'e2'!A816),""),IF('r2'!A816&gt;0,HYPERLINK("#"&amp;ADDRESS(816,'r2'!A816),""),""))</f>
        <v/>
      </c>
      <c r="C816" s="31"/>
      <c r="D816" s="32"/>
    </row>
    <row r="817" spans="1:4" ht="24" customHeight="1" x14ac:dyDescent="0.25">
      <c r="A817" t="str">
        <f>IF('e2'!A817&gt;0,HYPERLINK("#"&amp;ADDRESS(817,'e2'!A817),""),IF('r2'!A817&gt;0,HYPERLINK("#"&amp;ADDRESS(817,'r2'!A817),""),""))</f>
        <v/>
      </c>
      <c r="C817" s="31"/>
      <c r="D817" s="32"/>
    </row>
    <row r="818" spans="1:4" ht="24" customHeight="1" x14ac:dyDescent="0.25">
      <c r="A818" t="str">
        <f>IF('e2'!A818&gt;0,HYPERLINK("#"&amp;ADDRESS(818,'e2'!A818),""),IF('r2'!A818&gt;0,HYPERLINK("#"&amp;ADDRESS(818,'r2'!A818),""),""))</f>
        <v/>
      </c>
      <c r="C818" s="31"/>
      <c r="D818" s="32"/>
    </row>
    <row r="819" spans="1:4" ht="24" customHeight="1" x14ac:dyDescent="0.25">
      <c r="A819" t="str">
        <f>IF('e2'!A819&gt;0,HYPERLINK("#"&amp;ADDRESS(819,'e2'!A819),""),IF('r2'!A819&gt;0,HYPERLINK("#"&amp;ADDRESS(819,'r2'!A819),""),""))</f>
        <v/>
      </c>
      <c r="C819" s="31"/>
      <c r="D819" s="32"/>
    </row>
    <row r="820" spans="1:4" ht="24" customHeight="1" x14ac:dyDescent="0.25">
      <c r="A820" t="str">
        <f>IF('e2'!A820&gt;0,HYPERLINK("#"&amp;ADDRESS(820,'e2'!A820),""),IF('r2'!A820&gt;0,HYPERLINK("#"&amp;ADDRESS(820,'r2'!A820),""),""))</f>
        <v/>
      </c>
      <c r="C820" s="31"/>
      <c r="D820" s="32"/>
    </row>
    <row r="821" spans="1:4" ht="24" customHeight="1" x14ac:dyDescent="0.25">
      <c r="A821" t="str">
        <f>IF('e2'!A821&gt;0,HYPERLINK("#"&amp;ADDRESS(821,'e2'!A821),""),IF('r2'!A821&gt;0,HYPERLINK("#"&amp;ADDRESS(821,'r2'!A821),""),""))</f>
        <v/>
      </c>
      <c r="C821" s="31"/>
      <c r="D821" s="32"/>
    </row>
    <row r="822" spans="1:4" ht="24" customHeight="1" x14ac:dyDescent="0.25">
      <c r="A822" t="str">
        <f>IF('e2'!A822&gt;0,HYPERLINK("#"&amp;ADDRESS(822,'e2'!A822),""),IF('r2'!A822&gt;0,HYPERLINK("#"&amp;ADDRESS(822,'r2'!A822),""),""))</f>
        <v/>
      </c>
      <c r="C822" s="31"/>
      <c r="D822" s="32"/>
    </row>
    <row r="823" spans="1:4" ht="24" customHeight="1" x14ac:dyDescent="0.25">
      <c r="A823" t="str">
        <f>IF('e2'!A823&gt;0,HYPERLINK("#"&amp;ADDRESS(823,'e2'!A823),""),IF('r2'!A823&gt;0,HYPERLINK("#"&amp;ADDRESS(823,'r2'!A823),""),""))</f>
        <v/>
      </c>
      <c r="C823" s="31"/>
      <c r="D823" s="32"/>
    </row>
    <row r="824" spans="1:4" ht="24" customHeight="1" x14ac:dyDescent="0.25">
      <c r="A824" t="str">
        <f>IF('e2'!A824&gt;0,HYPERLINK("#"&amp;ADDRESS(824,'e2'!A824),""),IF('r2'!A824&gt;0,HYPERLINK("#"&amp;ADDRESS(824,'r2'!A824),""),""))</f>
        <v/>
      </c>
      <c r="C824" s="31"/>
      <c r="D824" s="32"/>
    </row>
    <row r="825" spans="1:4" ht="24" customHeight="1" x14ac:dyDescent="0.25">
      <c r="A825" t="str">
        <f>IF('e2'!A825&gt;0,HYPERLINK("#"&amp;ADDRESS(825,'e2'!A825),""),IF('r2'!A825&gt;0,HYPERLINK("#"&amp;ADDRESS(825,'r2'!A825),""),""))</f>
        <v/>
      </c>
      <c r="C825" s="31"/>
      <c r="D825" s="32"/>
    </row>
    <row r="826" spans="1:4" ht="24" customHeight="1" x14ac:dyDescent="0.25">
      <c r="A826" t="str">
        <f>IF('e2'!A826&gt;0,HYPERLINK("#"&amp;ADDRESS(826,'e2'!A826),""),IF('r2'!A826&gt;0,HYPERLINK("#"&amp;ADDRESS(826,'r2'!A826),""),""))</f>
        <v/>
      </c>
      <c r="C826" s="31"/>
      <c r="D826" s="32"/>
    </row>
    <row r="827" spans="1:4" ht="24" customHeight="1" x14ac:dyDescent="0.25">
      <c r="A827" t="str">
        <f>IF('e2'!A827&gt;0,HYPERLINK("#"&amp;ADDRESS(827,'e2'!A827),""),IF('r2'!A827&gt;0,HYPERLINK("#"&amp;ADDRESS(827,'r2'!A827),""),""))</f>
        <v/>
      </c>
      <c r="C827" s="31"/>
      <c r="D827" s="32"/>
    </row>
    <row r="828" spans="1:4" ht="24" customHeight="1" x14ac:dyDescent="0.25">
      <c r="A828" t="str">
        <f>IF('e2'!A828&gt;0,HYPERLINK("#"&amp;ADDRESS(828,'e2'!A828),""),IF('r2'!A828&gt;0,HYPERLINK("#"&amp;ADDRESS(828,'r2'!A828),""),""))</f>
        <v/>
      </c>
      <c r="C828" s="31"/>
      <c r="D828" s="32"/>
    </row>
    <row r="829" spans="1:4" ht="24" customHeight="1" x14ac:dyDescent="0.25">
      <c r="A829" t="str">
        <f>IF('e2'!A829&gt;0,HYPERLINK("#"&amp;ADDRESS(829,'e2'!A829),""),IF('r2'!A829&gt;0,HYPERLINK("#"&amp;ADDRESS(829,'r2'!A829),""),""))</f>
        <v/>
      </c>
      <c r="C829" s="31"/>
      <c r="D829" s="32"/>
    </row>
    <row r="830" spans="1:4" ht="24" customHeight="1" x14ac:dyDescent="0.25">
      <c r="A830" t="str">
        <f>IF('e2'!A830&gt;0,HYPERLINK("#"&amp;ADDRESS(830,'e2'!A830),""),IF('r2'!A830&gt;0,HYPERLINK("#"&amp;ADDRESS(830,'r2'!A830),""),""))</f>
        <v/>
      </c>
      <c r="C830" s="31"/>
      <c r="D830" s="32"/>
    </row>
    <row r="831" spans="1:4" ht="24" customHeight="1" x14ac:dyDescent="0.25">
      <c r="A831" t="str">
        <f>IF('e2'!A831&gt;0,HYPERLINK("#"&amp;ADDRESS(831,'e2'!A831),""),IF('r2'!A831&gt;0,HYPERLINK("#"&amp;ADDRESS(831,'r2'!A831),""),""))</f>
        <v/>
      </c>
      <c r="C831" s="31"/>
      <c r="D831" s="32"/>
    </row>
    <row r="832" spans="1:4" ht="24" customHeight="1" x14ac:dyDescent="0.25">
      <c r="A832" t="str">
        <f>IF('e2'!A832&gt;0,HYPERLINK("#"&amp;ADDRESS(832,'e2'!A832),""),IF('r2'!A832&gt;0,HYPERLINK("#"&amp;ADDRESS(832,'r2'!A832),""),""))</f>
        <v/>
      </c>
      <c r="C832" s="31"/>
      <c r="D832" s="32"/>
    </row>
    <row r="833" spans="1:4" ht="24" customHeight="1" x14ac:dyDescent="0.25">
      <c r="A833" t="str">
        <f>IF('e2'!A833&gt;0,HYPERLINK("#"&amp;ADDRESS(833,'e2'!A833),""),IF('r2'!A833&gt;0,HYPERLINK("#"&amp;ADDRESS(833,'r2'!A833),""),""))</f>
        <v/>
      </c>
      <c r="C833" s="31"/>
      <c r="D833" s="32"/>
    </row>
    <row r="834" spans="1:4" ht="24" customHeight="1" x14ac:dyDescent="0.25">
      <c r="A834" t="str">
        <f>IF('e2'!A834&gt;0,HYPERLINK("#"&amp;ADDRESS(834,'e2'!A834),""),IF('r2'!A834&gt;0,HYPERLINK("#"&amp;ADDRESS(834,'r2'!A834),""),""))</f>
        <v/>
      </c>
      <c r="C834" s="31"/>
      <c r="D834" s="32"/>
    </row>
    <row r="835" spans="1:4" ht="24" customHeight="1" x14ac:dyDescent="0.25">
      <c r="A835" t="str">
        <f>IF('e2'!A835&gt;0,HYPERLINK("#"&amp;ADDRESS(835,'e2'!A835),""),IF('r2'!A835&gt;0,HYPERLINK("#"&amp;ADDRESS(835,'r2'!A835),""),""))</f>
        <v/>
      </c>
      <c r="C835" s="31"/>
      <c r="D835" s="32"/>
    </row>
    <row r="836" spans="1:4" ht="24" customHeight="1" x14ac:dyDescent="0.25">
      <c r="A836" t="str">
        <f>IF('e2'!A836&gt;0,HYPERLINK("#"&amp;ADDRESS(836,'e2'!A836),""),IF('r2'!A836&gt;0,HYPERLINK("#"&amp;ADDRESS(836,'r2'!A836),""),""))</f>
        <v/>
      </c>
      <c r="C836" s="31"/>
      <c r="D836" s="32"/>
    </row>
    <row r="837" spans="1:4" ht="24" customHeight="1" x14ac:dyDescent="0.25">
      <c r="A837" t="str">
        <f>IF('e2'!A837&gt;0,HYPERLINK("#"&amp;ADDRESS(837,'e2'!A837),""),IF('r2'!A837&gt;0,HYPERLINK("#"&amp;ADDRESS(837,'r2'!A837),""),""))</f>
        <v/>
      </c>
      <c r="C837" s="31"/>
      <c r="D837" s="32"/>
    </row>
    <row r="838" spans="1:4" ht="24" customHeight="1" x14ac:dyDescent="0.25">
      <c r="A838" t="str">
        <f>IF('e2'!A838&gt;0,HYPERLINK("#"&amp;ADDRESS(838,'e2'!A838),""),IF('r2'!A838&gt;0,HYPERLINK("#"&amp;ADDRESS(838,'r2'!A838),""),""))</f>
        <v/>
      </c>
      <c r="C838" s="31"/>
      <c r="D838" s="32"/>
    </row>
    <row r="839" spans="1:4" ht="24" customHeight="1" x14ac:dyDescent="0.25">
      <c r="A839" t="str">
        <f>IF('e2'!A839&gt;0,HYPERLINK("#"&amp;ADDRESS(839,'e2'!A839),""),IF('r2'!A839&gt;0,HYPERLINK("#"&amp;ADDRESS(839,'r2'!A839),""),""))</f>
        <v/>
      </c>
      <c r="C839" s="31"/>
      <c r="D839" s="32"/>
    </row>
    <row r="840" spans="1:4" ht="24" customHeight="1" x14ac:dyDescent="0.25">
      <c r="A840" t="str">
        <f>IF('e2'!A840&gt;0,HYPERLINK("#"&amp;ADDRESS(840,'e2'!A840),""),IF('r2'!A840&gt;0,HYPERLINK("#"&amp;ADDRESS(840,'r2'!A840),""),""))</f>
        <v/>
      </c>
      <c r="C840" s="31"/>
      <c r="D840" s="32"/>
    </row>
    <row r="841" spans="1:4" ht="24" customHeight="1" x14ac:dyDescent="0.25">
      <c r="A841" t="str">
        <f>IF('e2'!A841&gt;0,HYPERLINK("#"&amp;ADDRESS(841,'e2'!A841),""),IF('r2'!A841&gt;0,HYPERLINK("#"&amp;ADDRESS(841,'r2'!A841),""),""))</f>
        <v/>
      </c>
      <c r="C841" s="31"/>
      <c r="D841" s="32"/>
    </row>
    <row r="842" spans="1:4" ht="24" customHeight="1" x14ac:dyDescent="0.25">
      <c r="A842" t="str">
        <f>IF('e2'!A842&gt;0,HYPERLINK("#"&amp;ADDRESS(842,'e2'!A842),""),IF('r2'!A842&gt;0,HYPERLINK("#"&amp;ADDRESS(842,'r2'!A842),""),""))</f>
        <v/>
      </c>
      <c r="C842" s="31"/>
      <c r="D842" s="32"/>
    </row>
    <row r="843" spans="1:4" ht="24" customHeight="1" x14ac:dyDescent="0.25">
      <c r="A843" t="str">
        <f>IF('e2'!A843&gt;0,HYPERLINK("#"&amp;ADDRESS(843,'e2'!A843),""),IF('r2'!A843&gt;0,HYPERLINK("#"&amp;ADDRESS(843,'r2'!A843),""),""))</f>
        <v/>
      </c>
      <c r="C843" s="31"/>
      <c r="D843" s="32"/>
    </row>
    <row r="844" spans="1:4" ht="24" customHeight="1" x14ac:dyDescent="0.25">
      <c r="A844" t="str">
        <f>IF('e2'!A844&gt;0,HYPERLINK("#"&amp;ADDRESS(844,'e2'!A844),""),IF('r2'!A844&gt;0,HYPERLINK("#"&amp;ADDRESS(844,'r2'!A844),""),""))</f>
        <v/>
      </c>
      <c r="C844" s="31"/>
      <c r="D844" s="32"/>
    </row>
    <row r="845" spans="1:4" ht="24" customHeight="1" x14ac:dyDescent="0.25">
      <c r="A845" t="str">
        <f>IF('e2'!A845&gt;0,HYPERLINK("#"&amp;ADDRESS(845,'e2'!A845),""),IF('r2'!A845&gt;0,HYPERLINK("#"&amp;ADDRESS(845,'r2'!A845),""),""))</f>
        <v/>
      </c>
      <c r="C845" s="31"/>
      <c r="D845" s="32"/>
    </row>
    <row r="846" spans="1:4" ht="24" customHeight="1" x14ac:dyDescent="0.25">
      <c r="A846" t="str">
        <f>IF('e2'!A846&gt;0,HYPERLINK("#"&amp;ADDRESS(846,'e2'!A846),""),IF('r2'!A846&gt;0,HYPERLINK("#"&amp;ADDRESS(846,'r2'!A846),""),""))</f>
        <v/>
      </c>
      <c r="C846" s="31"/>
      <c r="D846" s="32"/>
    </row>
    <row r="847" spans="1:4" ht="24" customHeight="1" x14ac:dyDescent="0.25">
      <c r="A847" t="str">
        <f>IF('e2'!A847&gt;0,HYPERLINK("#"&amp;ADDRESS(847,'e2'!A847),""),IF('r2'!A847&gt;0,HYPERLINK("#"&amp;ADDRESS(847,'r2'!A847),""),""))</f>
        <v/>
      </c>
      <c r="C847" s="31"/>
      <c r="D847" s="32"/>
    </row>
    <row r="848" spans="1:4" ht="24" customHeight="1" x14ac:dyDescent="0.25">
      <c r="A848" t="str">
        <f>IF('e2'!A848&gt;0,HYPERLINK("#"&amp;ADDRESS(848,'e2'!A848),""),IF('r2'!A848&gt;0,HYPERLINK("#"&amp;ADDRESS(848,'r2'!A848),""),""))</f>
        <v/>
      </c>
      <c r="C848" s="31"/>
      <c r="D848" s="32"/>
    </row>
    <row r="849" spans="1:4" ht="24" customHeight="1" x14ac:dyDescent="0.25">
      <c r="A849" t="str">
        <f>IF('e2'!A849&gt;0,HYPERLINK("#"&amp;ADDRESS(849,'e2'!A849),""),IF('r2'!A849&gt;0,HYPERLINK("#"&amp;ADDRESS(849,'r2'!A849),""),""))</f>
        <v/>
      </c>
      <c r="C849" s="31"/>
      <c r="D849" s="32"/>
    </row>
    <row r="850" spans="1:4" ht="24" customHeight="1" x14ac:dyDescent="0.25">
      <c r="A850" t="str">
        <f>IF('e2'!A850&gt;0,HYPERLINK("#"&amp;ADDRESS(850,'e2'!A850),""),IF('r2'!A850&gt;0,HYPERLINK("#"&amp;ADDRESS(850,'r2'!A850),""),""))</f>
        <v/>
      </c>
      <c r="C850" s="31"/>
      <c r="D850" s="32"/>
    </row>
    <row r="851" spans="1:4" ht="24" customHeight="1" x14ac:dyDescent="0.25">
      <c r="A851" t="str">
        <f>IF('e2'!A851&gt;0,HYPERLINK("#"&amp;ADDRESS(851,'e2'!A851),""),IF('r2'!A851&gt;0,HYPERLINK("#"&amp;ADDRESS(851,'r2'!A851),""),""))</f>
        <v/>
      </c>
      <c r="C851" s="31"/>
      <c r="D851" s="32"/>
    </row>
    <row r="852" spans="1:4" ht="24" customHeight="1" x14ac:dyDescent="0.25">
      <c r="A852" t="str">
        <f>IF('e2'!A852&gt;0,HYPERLINK("#"&amp;ADDRESS(852,'e2'!A852),""),IF('r2'!A852&gt;0,HYPERLINK("#"&amp;ADDRESS(852,'r2'!A852),""),""))</f>
        <v/>
      </c>
      <c r="C852" s="31"/>
      <c r="D852" s="32"/>
    </row>
    <row r="853" spans="1:4" ht="24" customHeight="1" x14ac:dyDescent="0.25">
      <c r="A853" t="str">
        <f>IF('e2'!A853&gt;0,HYPERLINK("#"&amp;ADDRESS(853,'e2'!A853),""),IF('r2'!A853&gt;0,HYPERLINK("#"&amp;ADDRESS(853,'r2'!A853),""),""))</f>
        <v/>
      </c>
      <c r="C853" s="31"/>
      <c r="D853" s="32"/>
    </row>
    <row r="854" spans="1:4" ht="24" customHeight="1" x14ac:dyDescent="0.25">
      <c r="A854" t="str">
        <f>IF('e2'!A854&gt;0,HYPERLINK("#"&amp;ADDRESS(854,'e2'!A854),""),IF('r2'!A854&gt;0,HYPERLINK("#"&amp;ADDRESS(854,'r2'!A854),""),""))</f>
        <v/>
      </c>
      <c r="C854" s="31"/>
      <c r="D854" s="32"/>
    </row>
    <row r="855" spans="1:4" ht="24" customHeight="1" x14ac:dyDescent="0.25">
      <c r="A855" t="str">
        <f>IF('e2'!A855&gt;0,HYPERLINK("#"&amp;ADDRESS(855,'e2'!A855),""),IF('r2'!A855&gt;0,HYPERLINK("#"&amp;ADDRESS(855,'r2'!A855),""),""))</f>
        <v/>
      </c>
      <c r="C855" s="31"/>
      <c r="D855" s="32"/>
    </row>
    <row r="856" spans="1:4" ht="24" customHeight="1" x14ac:dyDescent="0.25">
      <c r="A856" t="str">
        <f>IF('e2'!A856&gt;0,HYPERLINK("#"&amp;ADDRESS(856,'e2'!A856),""),IF('r2'!A856&gt;0,HYPERLINK("#"&amp;ADDRESS(856,'r2'!A856),""),""))</f>
        <v/>
      </c>
      <c r="C856" s="31"/>
      <c r="D856" s="32"/>
    </row>
    <row r="857" spans="1:4" ht="24" customHeight="1" x14ac:dyDescent="0.25">
      <c r="A857" t="str">
        <f>IF('e2'!A857&gt;0,HYPERLINK("#"&amp;ADDRESS(857,'e2'!A857),""),IF('r2'!A857&gt;0,HYPERLINK("#"&amp;ADDRESS(857,'r2'!A857),""),""))</f>
        <v/>
      </c>
      <c r="C857" s="31"/>
      <c r="D857" s="32"/>
    </row>
    <row r="858" spans="1:4" ht="24" customHeight="1" x14ac:dyDescent="0.25">
      <c r="A858" t="str">
        <f>IF('e2'!A858&gt;0,HYPERLINK("#"&amp;ADDRESS(858,'e2'!A858),""),IF('r2'!A858&gt;0,HYPERLINK("#"&amp;ADDRESS(858,'r2'!A858),""),""))</f>
        <v/>
      </c>
      <c r="C858" s="31"/>
      <c r="D858" s="32"/>
    </row>
    <row r="859" spans="1:4" ht="24" customHeight="1" x14ac:dyDescent="0.25">
      <c r="A859" t="str">
        <f>IF('e2'!A859&gt;0,HYPERLINK("#"&amp;ADDRESS(859,'e2'!A859),""),IF('r2'!A859&gt;0,HYPERLINK("#"&amp;ADDRESS(859,'r2'!A859),""),""))</f>
        <v/>
      </c>
      <c r="C859" s="31"/>
      <c r="D859" s="32"/>
    </row>
    <row r="860" spans="1:4" ht="24" customHeight="1" x14ac:dyDescent="0.25">
      <c r="A860" t="str">
        <f>IF('e2'!A860&gt;0,HYPERLINK("#"&amp;ADDRESS(860,'e2'!A860),""),IF('r2'!A860&gt;0,HYPERLINK("#"&amp;ADDRESS(860,'r2'!A860),""),""))</f>
        <v/>
      </c>
      <c r="C860" s="31"/>
      <c r="D860" s="32"/>
    </row>
    <row r="861" spans="1:4" ht="24" customHeight="1" x14ac:dyDescent="0.25">
      <c r="A861" t="str">
        <f>IF('e2'!A861&gt;0,HYPERLINK("#"&amp;ADDRESS(861,'e2'!A861),""),IF('r2'!A861&gt;0,HYPERLINK("#"&amp;ADDRESS(861,'r2'!A861),""),""))</f>
        <v/>
      </c>
      <c r="C861" s="31"/>
      <c r="D861" s="32"/>
    </row>
    <row r="862" spans="1:4" ht="24" customHeight="1" x14ac:dyDescent="0.25">
      <c r="A862" t="str">
        <f>IF('e2'!A862&gt;0,HYPERLINK("#"&amp;ADDRESS(862,'e2'!A862),""),IF('r2'!A862&gt;0,HYPERLINK("#"&amp;ADDRESS(862,'r2'!A862),""),""))</f>
        <v/>
      </c>
      <c r="C862" s="31"/>
      <c r="D862" s="32"/>
    </row>
    <row r="863" spans="1:4" ht="24" customHeight="1" x14ac:dyDescent="0.25">
      <c r="A863" t="str">
        <f>IF('e2'!A863&gt;0,HYPERLINK("#"&amp;ADDRESS(863,'e2'!A863),""),IF('r2'!A863&gt;0,HYPERLINK("#"&amp;ADDRESS(863,'r2'!A863),""),""))</f>
        <v/>
      </c>
      <c r="C863" s="31"/>
      <c r="D863" s="32"/>
    </row>
    <row r="864" spans="1:4" ht="24" customHeight="1" x14ac:dyDescent="0.25">
      <c r="A864" t="str">
        <f>IF('e2'!A864&gt;0,HYPERLINK("#"&amp;ADDRESS(864,'e2'!A864),""),IF('r2'!A864&gt;0,HYPERLINK("#"&amp;ADDRESS(864,'r2'!A864),""),""))</f>
        <v/>
      </c>
      <c r="C864" s="31"/>
      <c r="D864" s="32"/>
    </row>
    <row r="865" spans="1:4" ht="24" customHeight="1" x14ac:dyDescent="0.25">
      <c r="A865" t="str">
        <f>IF('e2'!A865&gt;0,HYPERLINK("#"&amp;ADDRESS(865,'e2'!A865),""),IF('r2'!A865&gt;0,HYPERLINK("#"&amp;ADDRESS(865,'r2'!A865),""),""))</f>
        <v/>
      </c>
      <c r="C865" s="31"/>
      <c r="D865" s="32"/>
    </row>
    <row r="866" spans="1:4" ht="24" customHeight="1" x14ac:dyDescent="0.25">
      <c r="A866" t="str">
        <f>IF('e2'!A866&gt;0,HYPERLINK("#"&amp;ADDRESS(866,'e2'!A866),""),IF('r2'!A866&gt;0,HYPERLINK("#"&amp;ADDRESS(866,'r2'!A866),""),""))</f>
        <v/>
      </c>
      <c r="C866" s="31"/>
      <c r="D866" s="32"/>
    </row>
    <row r="867" spans="1:4" ht="24" customHeight="1" x14ac:dyDescent="0.25">
      <c r="A867" t="str">
        <f>IF('e2'!A867&gt;0,HYPERLINK("#"&amp;ADDRESS(867,'e2'!A867),""),IF('r2'!A867&gt;0,HYPERLINK("#"&amp;ADDRESS(867,'r2'!A867),""),""))</f>
        <v/>
      </c>
      <c r="C867" s="31"/>
      <c r="D867" s="32"/>
    </row>
    <row r="868" spans="1:4" ht="24" customHeight="1" x14ac:dyDescent="0.25">
      <c r="A868" t="str">
        <f>IF('e2'!A868&gt;0,HYPERLINK("#"&amp;ADDRESS(868,'e2'!A868),""),IF('r2'!A868&gt;0,HYPERLINK("#"&amp;ADDRESS(868,'r2'!A868),""),""))</f>
        <v/>
      </c>
      <c r="C868" s="31"/>
      <c r="D868" s="32"/>
    </row>
    <row r="869" spans="1:4" ht="24" customHeight="1" x14ac:dyDescent="0.25">
      <c r="A869" t="str">
        <f>IF('e2'!A869&gt;0,HYPERLINK("#"&amp;ADDRESS(869,'e2'!A869),""),IF('r2'!A869&gt;0,HYPERLINK("#"&amp;ADDRESS(869,'r2'!A869),""),""))</f>
        <v/>
      </c>
      <c r="C869" s="31"/>
      <c r="D869" s="32"/>
    </row>
    <row r="870" spans="1:4" ht="24" customHeight="1" x14ac:dyDescent="0.25">
      <c r="A870" t="str">
        <f>IF('e2'!A870&gt;0,HYPERLINK("#"&amp;ADDRESS(870,'e2'!A870),""),IF('r2'!A870&gt;0,HYPERLINK("#"&amp;ADDRESS(870,'r2'!A870),""),""))</f>
        <v/>
      </c>
      <c r="C870" s="31"/>
      <c r="D870" s="32"/>
    </row>
    <row r="871" spans="1:4" ht="24" customHeight="1" x14ac:dyDescent="0.25">
      <c r="A871" t="str">
        <f>IF('e2'!A871&gt;0,HYPERLINK("#"&amp;ADDRESS(871,'e2'!A871),""),IF('r2'!A871&gt;0,HYPERLINK("#"&amp;ADDRESS(871,'r2'!A871),""),""))</f>
        <v/>
      </c>
      <c r="C871" s="31"/>
      <c r="D871" s="32"/>
    </row>
    <row r="872" spans="1:4" ht="24" customHeight="1" x14ac:dyDescent="0.25">
      <c r="A872" t="str">
        <f>IF('e2'!A872&gt;0,HYPERLINK("#"&amp;ADDRESS(872,'e2'!A872),""),IF('r2'!A872&gt;0,HYPERLINK("#"&amp;ADDRESS(872,'r2'!A872),""),""))</f>
        <v/>
      </c>
      <c r="C872" s="31"/>
      <c r="D872" s="32"/>
    </row>
    <row r="873" spans="1:4" ht="24" customHeight="1" x14ac:dyDescent="0.25">
      <c r="A873" t="str">
        <f>IF('e2'!A873&gt;0,HYPERLINK("#"&amp;ADDRESS(873,'e2'!A873),""),IF('r2'!A873&gt;0,HYPERLINK("#"&amp;ADDRESS(873,'r2'!A873),""),""))</f>
        <v/>
      </c>
      <c r="C873" s="31"/>
      <c r="D873" s="32"/>
    </row>
    <row r="874" spans="1:4" ht="24" customHeight="1" x14ac:dyDescent="0.25">
      <c r="A874" t="str">
        <f>IF('e2'!A874&gt;0,HYPERLINK("#"&amp;ADDRESS(874,'e2'!A874),""),IF('r2'!A874&gt;0,HYPERLINK("#"&amp;ADDRESS(874,'r2'!A874),""),""))</f>
        <v/>
      </c>
      <c r="C874" s="31"/>
      <c r="D874" s="32"/>
    </row>
    <row r="875" spans="1:4" ht="24" customHeight="1" x14ac:dyDescent="0.25">
      <c r="A875" t="str">
        <f>IF('e2'!A875&gt;0,HYPERLINK("#"&amp;ADDRESS(875,'e2'!A875),""),IF('r2'!A875&gt;0,HYPERLINK("#"&amp;ADDRESS(875,'r2'!A875),""),""))</f>
        <v/>
      </c>
      <c r="C875" s="31"/>
      <c r="D875" s="32"/>
    </row>
    <row r="876" spans="1:4" ht="24" customHeight="1" x14ac:dyDescent="0.25">
      <c r="A876" t="str">
        <f>IF('e2'!A876&gt;0,HYPERLINK("#"&amp;ADDRESS(876,'e2'!A876),""),IF('r2'!A876&gt;0,HYPERLINK("#"&amp;ADDRESS(876,'r2'!A876),""),""))</f>
        <v/>
      </c>
      <c r="C876" s="31"/>
      <c r="D876" s="32"/>
    </row>
    <row r="877" spans="1:4" ht="24" customHeight="1" x14ac:dyDescent="0.25">
      <c r="A877" t="str">
        <f>IF('e2'!A877&gt;0,HYPERLINK("#"&amp;ADDRESS(877,'e2'!A877),""),IF('r2'!A877&gt;0,HYPERLINK("#"&amp;ADDRESS(877,'r2'!A877),""),""))</f>
        <v/>
      </c>
      <c r="C877" s="31"/>
      <c r="D877" s="32"/>
    </row>
    <row r="878" spans="1:4" ht="24" customHeight="1" x14ac:dyDescent="0.25">
      <c r="A878" t="str">
        <f>IF('e2'!A878&gt;0,HYPERLINK("#"&amp;ADDRESS(878,'e2'!A878),""),IF('r2'!A878&gt;0,HYPERLINK("#"&amp;ADDRESS(878,'r2'!A878),""),""))</f>
        <v/>
      </c>
      <c r="C878" s="31"/>
      <c r="D878" s="32"/>
    </row>
    <row r="879" spans="1:4" ht="24" customHeight="1" x14ac:dyDescent="0.25">
      <c r="A879" t="str">
        <f>IF('e2'!A879&gt;0,HYPERLINK("#"&amp;ADDRESS(879,'e2'!A879),""),IF('r2'!A879&gt;0,HYPERLINK("#"&amp;ADDRESS(879,'r2'!A879),""),""))</f>
        <v/>
      </c>
      <c r="C879" s="31"/>
      <c r="D879" s="32"/>
    </row>
    <row r="880" spans="1:4" ht="24" customHeight="1" x14ac:dyDescent="0.25">
      <c r="A880" t="str">
        <f>IF('e2'!A880&gt;0,HYPERLINK("#"&amp;ADDRESS(880,'e2'!A880),""),IF('r2'!A880&gt;0,HYPERLINK("#"&amp;ADDRESS(880,'r2'!A880),""),""))</f>
        <v/>
      </c>
      <c r="C880" s="31"/>
      <c r="D880" s="32"/>
    </row>
    <row r="881" spans="1:4" ht="24" customHeight="1" x14ac:dyDescent="0.25">
      <c r="A881" t="str">
        <f>IF('e2'!A881&gt;0,HYPERLINK("#"&amp;ADDRESS(881,'e2'!A881),""),IF('r2'!A881&gt;0,HYPERLINK("#"&amp;ADDRESS(881,'r2'!A881),""),""))</f>
        <v/>
      </c>
      <c r="C881" s="31"/>
      <c r="D881" s="32"/>
    </row>
    <row r="882" spans="1:4" ht="24" customHeight="1" x14ac:dyDescent="0.25">
      <c r="A882" t="str">
        <f>IF('e2'!A882&gt;0,HYPERLINK("#"&amp;ADDRESS(882,'e2'!A882),""),IF('r2'!A882&gt;0,HYPERLINK("#"&amp;ADDRESS(882,'r2'!A882),""),""))</f>
        <v/>
      </c>
      <c r="C882" s="31"/>
      <c r="D882" s="32"/>
    </row>
    <row r="883" spans="1:4" ht="24" customHeight="1" x14ac:dyDescent="0.25">
      <c r="A883" t="str">
        <f>IF('e2'!A883&gt;0,HYPERLINK("#"&amp;ADDRESS(883,'e2'!A883),""),IF('r2'!A883&gt;0,HYPERLINK("#"&amp;ADDRESS(883,'r2'!A883),""),""))</f>
        <v/>
      </c>
      <c r="C883" s="31"/>
      <c r="D883" s="32"/>
    </row>
    <row r="884" spans="1:4" ht="24" customHeight="1" x14ac:dyDescent="0.25">
      <c r="A884" t="str">
        <f>IF('e2'!A884&gt;0,HYPERLINK("#"&amp;ADDRESS(884,'e2'!A884),""),IF('r2'!A884&gt;0,HYPERLINK("#"&amp;ADDRESS(884,'r2'!A884),""),""))</f>
        <v/>
      </c>
      <c r="C884" s="31"/>
      <c r="D884" s="32"/>
    </row>
    <row r="885" spans="1:4" ht="24" customHeight="1" x14ac:dyDescent="0.25">
      <c r="A885" t="str">
        <f>IF('e2'!A885&gt;0,HYPERLINK("#"&amp;ADDRESS(885,'e2'!A885),""),IF('r2'!A885&gt;0,HYPERLINK("#"&amp;ADDRESS(885,'r2'!A885),""),""))</f>
        <v/>
      </c>
      <c r="C885" s="31"/>
      <c r="D885" s="32"/>
    </row>
    <row r="886" spans="1:4" ht="24" customHeight="1" x14ac:dyDescent="0.25">
      <c r="A886" t="str">
        <f>IF('e2'!A886&gt;0,HYPERLINK("#"&amp;ADDRESS(886,'e2'!A886),""),IF('r2'!A886&gt;0,HYPERLINK("#"&amp;ADDRESS(886,'r2'!A886),""),""))</f>
        <v/>
      </c>
      <c r="C886" s="31"/>
      <c r="D886" s="32"/>
    </row>
    <row r="887" spans="1:4" ht="24" customHeight="1" x14ac:dyDescent="0.25">
      <c r="A887" t="str">
        <f>IF('e2'!A887&gt;0,HYPERLINK("#"&amp;ADDRESS(887,'e2'!A887),""),IF('r2'!A887&gt;0,HYPERLINK("#"&amp;ADDRESS(887,'r2'!A887),""),""))</f>
        <v/>
      </c>
      <c r="C887" s="31"/>
      <c r="D887" s="32"/>
    </row>
    <row r="888" spans="1:4" ht="24" customHeight="1" x14ac:dyDescent="0.25">
      <c r="A888" t="str">
        <f>IF('e2'!A888&gt;0,HYPERLINK("#"&amp;ADDRESS(888,'e2'!A888),""),IF('r2'!A888&gt;0,HYPERLINK("#"&amp;ADDRESS(888,'r2'!A888),""),""))</f>
        <v/>
      </c>
      <c r="C888" s="31"/>
      <c r="D888" s="32"/>
    </row>
    <row r="889" spans="1:4" ht="24" customHeight="1" x14ac:dyDescent="0.25">
      <c r="A889" t="str">
        <f>IF('e2'!A889&gt;0,HYPERLINK("#"&amp;ADDRESS(889,'e2'!A889),""),IF('r2'!A889&gt;0,HYPERLINK("#"&amp;ADDRESS(889,'r2'!A889),""),""))</f>
        <v/>
      </c>
      <c r="C889" s="31"/>
      <c r="D889" s="32"/>
    </row>
    <row r="890" spans="1:4" ht="24" customHeight="1" x14ac:dyDescent="0.25">
      <c r="A890" t="str">
        <f>IF('e2'!A890&gt;0,HYPERLINK("#"&amp;ADDRESS(890,'e2'!A890),""),IF('r2'!A890&gt;0,HYPERLINK("#"&amp;ADDRESS(890,'r2'!A890),""),""))</f>
        <v/>
      </c>
      <c r="C890" s="31"/>
      <c r="D890" s="32"/>
    </row>
    <row r="891" spans="1:4" ht="24" customHeight="1" x14ac:dyDescent="0.25">
      <c r="A891" t="str">
        <f>IF('e2'!A891&gt;0,HYPERLINK("#"&amp;ADDRESS(891,'e2'!A891),""),IF('r2'!A891&gt;0,HYPERLINK("#"&amp;ADDRESS(891,'r2'!A891),""),""))</f>
        <v/>
      </c>
      <c r="C891" s="31"/>
      <c r="D891" s="32"/>
    </row>
    <row r="892" spans="1:4" ht="24" customHeight="1" x14ac:dyDescent="0.25">
      <c r="A892" t="str">
        <f>IF('e2'!A892&gt;0,HYPERLINK("#"&amp;ADDRESS(892,'e2'!A892),""),IF('r2'!A892&gt;0,HYPERLINK("#"&amp;ADDRESS(892,'r2'!A892),""),""))</f>
        <v/>
      </c>
      <c r="C892" s="31"/>
      <c r="D892" s="32"/>
    </row>
    <row r="893" spans="1:4" ht="24" customHeight="1" x14ac:dyDescent="0.25">
      <c r="A893" t="str">
        <f>IF('e2'!A893&gt;0,HYPERLINK("#"&amp;ADDRESS(893,'e2'!A893),""),IF('r2'!A893&gt;0,HYPERLINK("#"&amp;ADDRESS(893,'r2'!A893),""),""))</f>
        <v/>
      </c>
      <c r="C893" s="31"/>
      <c r="D893" s="32"/>
    </row>
    <row r="894" spans="1:4" ht="24" customHeight="1" x14ac:dyDescent="0.25">
      <c r="A894" t="str">
        <f>IF('e2'!A894&gt;0,HYPERLINK("#"&amp;ADDRESS(894,'e2'!A894),""),IF('r2'!A894&gt;0,HYPERLINK("#"&amp;ADDRESS(894,'r2'!A894),""),""))</f>
        <v/>
      </c>
      <c r="C894" s="31"/>
      <c r="D894" s="32"/>
    </row>
    <row r="895" spans="1:4" ht="24" customHeight="1" x14ac:dyDescent="0.25">
      <c r="A895" t="str">
        <f>IF('e2'!A895&gt;0,HYPERLINK("#"&amp;ADDRESS(895,'e2'!A895),""),IF('r2'!A895&gt;0,HYPERLINK("#"&amp;ADDRESS(895,'r2'!A895),""),""))</f>
        <v/>
      </c>
      <c r="C895" s="31"/>
      <c r="D895" s="32"/>
    </row>
    <row r="896" spans="1:4" ht="24" customHeight="1" x14ac:dyDescent="0.25">
      <c r="A896" t="str">
        <f>IF('e2'!A896&gt;0,HYPERLINK("#"&amp;ADDRESS(896,'e2'!A896),""),IF('r2'!A896&gt;0,HYPERLINK("#"&amp;ADDRESS(896,'r2'!A896),""),""))</f>
        <v/>
      </c>
      <c r="C896" s="31"/>
      <c r="D896" s="32"/>
    </row>
    <row r="897" spans="1:4" ht="24" customHeight="1" x14ac:dyDescent="0.25">
      <c r="A897" t="str">
        <f>IF('e2'!A897&gt;0,HYPERLINK("#"&amp;ADDRESS(897,'e2'!A897),""),IF('r2'!A897&gt;0,HYPERLINK("#"&amp;ADDRESS(897,'r2'!A897),""),""))</f>
        <v/>
      </c>
      <c r="C897" s="31"/>
      <c r="D897" s="32"/>
    </row>
    <row r="898" spans="1:4" ht="24" customHeight="1" x14ac:dyDescent="0.25">
      <c r="A898" t="str">
        <f>IF('e2'!A898&gt;0,HYPERLINK("#"&amp;ADDRESS(898,'e2'!A898),""),IF('r2'!A898&gt;0,HYPERLINK("#"&amp;ADDRESS(898,'r2'!A898),""),""))</f>
        <v/>
      </c>
      <c r="C898" s="31"/>
      <c r="D898" s="32"/>
    </row>
    <row r="899" spans="1:4" ht="24" customHeight="1" x14ac:dyDescent="0.25">
      <c r="A899" t="str">
        <f>IF('e2'!A899&gt;0,HYPERLINK("#"&amp;ADDRESS(899,'e2'!A899),""),IF('r2'!A899&gt;0,HYPERLINK("#"&amp;ADDRESS(899,'r2'!A899),""),""))</f>
        <v/>
      </c>
      <c r="C899" s="31"/>
      <c r="D899" s="32"/>
    </row>
    <row r="900" spans="1:4" ht="24" customHeight="1" x14ac:dyDescent="0.25">
      <c r="A900" t="str">
        <f>IF('e2'!A900&gt;0,HYPERLINK("#"&amp;ADDRESS(900,'e2'!A900),""),IF('r2'!A900&gt;0,HYPERLINK("#"&amp;ADDRESS(900,'r2'!A900),""),""))</f>
        <v/>
      </c>
      <c r="C900" s="31"/>
      <c r="D900" s="32"/>
    </row>
    <row r="901" spans="1:4" ht="24" customHeight="1" x14ac:dyDescent="0.25">
      <c r="A901" t="str">
        <f>IF('e2'!A901&gt;0,HYPERLINK("#"&amp;ADDRESS(901,'e2'!A901),""),IF('r2'!A901&gt;0,HYPERLINK("#"&amp;ADDRESS(901,'r2'!A901),""),""))</f>
        <v/>
      </c>
      <c r="C901" s="31"/>
      <c r="D901" s="32"/>
    </row>
    <row r="902" spans="1:4" ht="24" customHeight="1" x14ac:dyDescent="0.25">
      <c r="A902" t="str">
        <f>IF('e2'!A902&gt;0,HYPERLINK("#"&amp;ADDRESS(902,'e2'!A902),""),IF('r2'!A902&gt;0,HYPERLINK("#"&amp;ADDRESS(902,'r2'!A902),""),""))</f>
        <v/>
      </c>
      <c r="C902" s="31"/>
      <c r="D902" s="32"/>
    </row>
    <row r="903" spans="1:4" ht="24" customHeight="1" x14ac:dyDescent="0.25">
      <c r="A903" t="str">
        <f>IF('e2'!A903&gt;0,HYPERLINK("#"&amp;ADDRESS(903,'e2'!A903),""),IF('r2'!A903&gt;0,HYPERLINK("#"&amp;ADDRESS(903,'r2'!A903),""),""))</f>
        <v/>
      </c>
      <c r="C903" s="31"/>
      <c r="D903" s="32"/>
    </row>
    <row r="904" spans="1:4" ht="24" customHeight="1" x14ac:dyDescent="0.25">
      <c r="A904" t="str">
        <f>IF('e2'!A904&gt;0,HYPERLINK("#"&amp;ADDRESS(904,'e2'!A904),""),IF('r2'!A904&gt;0,HYPERLINK("#"&amp;ADDRESS(904,'r2'!A904),""),""))</f>
        <v/>
      </c>
      <c r="C904" s="31"/>
      <c r="D904" s="32"/>
    </row>
    <row r="905" spans="1:4" ht="24" customHeight="1" x14ac:dyDescent="0.25">
      <c r="A905" t="str">
        <f>IF('e2'!A905&gt;0,HYPERLINK("#"&amp;ADDRESS(905,'e2'!A905),""),IF('r2'!A905&gt;0,HYPERLINK("#"&amp;ADDRESS(905,'r2'!A905),""),""))</f>
        <v/>
      </c>
      <c r="C905" s="31"/>
      <c r="D905" s="32"/>
    </row>
    <row r="906" spans="1:4" ht="24" customHeight="1" x14ac:dyDescent="0.25">
      <c r="A906" t="str">
        <f>IF('e2'!A906&gt;0,HYPERLINK("#"&amp;ADDRESS(906,'e2'!A906),""),IF('r2'!A906&gt;0,HYPERLINK("#"&amp;ADDRESS(906,'r2'!A906),""),""))</f>
        <v/>
      </c>
      <c r="C906" s="31"/>
      <c r="D906" s="32"/>
    </row>
    <row r="907" spans="1:4" ht="24" customHeight="1" x14ac:dyDescent="0.25">
      <c r="A907" t="str">
        <f>IF('e2'!A907&gt;0,HYPERLINK("#"&amp;ADDRESS(907,'e2'!A907),""),IF('r2'!A907&gt;0,HYPERLINK("#"&amp;ADDRESS(907,'r2'!A907),""),""))</f>
        <v/>
      </c>
      <c r="C907" s="31"/>
      <c r="D907" s="32"/>
    </row>
    <row r="908" spans="1:4" ht="24" customHeight="1" x14ac:dyDescent="0.25">
      <c r="A908" t="str">
        <f>IF('e2'!A908&gt;0,HYPERLINK("#"&amp;ADDRESS(908,'e2'!A908),""),IF('r2'!A908&gt;0,HYPERLINK("#"&amp;ADDRESS(908,'r2'!A908),""),""))</f>
        <v/>
      </c>
      <c r="C908" s="31"/>
      <c r="D908" s="32"/>
    </row>
    <row r="909" spans="1:4" ht="24" customHeight="1" x14ac:dyDescent="0.25">
      <c r="A909" t="str">
        <f>IF('e2'!A909&gt;0,HYPERLINK("#"&amp;ADDRESS(909,'e2'!A909),""),IF('r2'!A909&gt;0,HYPERLINK("#"&amp;ADDRESS(909,'r2'!A909),""),""))</f>
        <v/>
      </c>
      <c r="C909" s="31"/>
      <c r="D909" s="32"/>
    </row>
    <row r="910" spans="1:4" ht="24" customHeight="1" x14ac:dyDescent="0.25">
      <c r="A910" t="str">
        <f>IF('e2'!A910&gt;0,HYPERLINK("#"&amp;ADDRESS(910,'e2'!A910),""),IF('r2'!A910&gt;0,HYPERLINK("#"&amp;ADDRESS(910,'r2'!A910),""),""))</f>
        <v/>
      </c>
      <c r="C910" s="31"/>
      <c r="D910" s="32"/>
    </row>
    <row r="911" spans="1:4" ht="24" customHeight="1" x14ac:dyDescent="0.25">
      <c r="A911" t="str">
        <f>IF('e2'!A911&gt;0,HYPERLINK("#"&amp;ADDRESS(911,'e2'!A911),""),IF('r2'!A911&gt;0,HYPERLINK("#"&amp;ADDRESS(911,'r2'!A911),""),""))</f>
        <v/>
      </c>
      <c r="C911" s="31"/>
      <c r="D911" s="32"/>
    </row>
    <row r="912" spans="1:4" ht="24" customHeight="1" x14ac:dyDescent="0.25">
      <c r="A912" t="str">
        <f>IF('e2'!A912&gt;0,HYPERLINK("#"&amp;ADDRESS(912,'e2'!A912),""),IF('r2'!A912&gt;0,HYPERLINK("#"&amp;ADDRESS(912,'r2'!A912),""),""))</f>
        <v/>
      </c>
      <c r="C912" s="31"/>
      <c r="D912" s="32"/>
    </row>
    <row r="913" spans="1:4" ht="24" customHeight="1" x14ac:dyDescent="0.25">
      <c r="A913" t="str">
        <f>IF('e2'!A913&gt;0,HYPERLINK("#"&amp;ADDRESS(913,'e2'!A913),""),IF('r2'!A913&gt;0,HYPERLINK("#"&amp;ADDRESS(913,'r2'!A913),""),""))</f>
        <v/>
      </c>
      <c r="C913" s="31"/>
      <c r="D913" s="32"/>
    </row>
    <row r="914" spans="1:4" ht="24" customHeight="1" x14ac:dyDescent="0.25">
      <c r="A914" t="str">
        <f>IF('e2'!A914&gt;0,HYPERLINK("#"&amp;ADDRESS(914,'e2'!A914),""),IF('r2'!A914&gt;0,HYPERLINK("#"&amp;ADDRESS(914,'r2'!A914),""),""))</f>
        <v/>
      </c>
      <c r="C914" s="31"/>
      <c r="D914" s="32"/>
    </row>
    <row r="915" spans="1:4" ht="24" customHeight="1" x14ac:dyDescent="0.25">
      <c r="A915" t="str">
        <f>IF('e2'!A915&gt;0,HYPERLINK("#"&amp;ADDRESS(915,'e2'!A915),""),IF('r2'!A915&gt;0,HYPERLINK("#"&amp;ADDRESS(915,'r2'!A915),""),""))</f>
        <v/>
      </c>
      <c r="C915" s="31"/>
      <c r="D915" s="32"/>
    </row>
    <row r="916" spans="1:4" ht="24" customHeight="1" x14ac:dyDescent="0.25">
      <c r="A916" t="str">
        <f>IF('e2'!A916&gt;0,HYPERLINK("#"&amp;ADDRESS(916,'e2'!A916),""),IF('r2'!A916&gt;0,HYPERLINK("#"&amp;ADDRESS(916,'r2'!A916),""),""))</f>
        <v/>
      </c>
      <c r="C916" s="31"/>
      <c r="D916" s="32"/>
    </row>
    <row r="917" spans="1:4" ht="24" customHeight="1" x14ac:dyDescent="0.25">
      <c r="A917" t="str">
        <f>IF('e2'!A917&gt;0,HYPERLINK("#"&amp;ADDRESS(917,'e2'!A917),""),IF('r2'!A917&gt;0,HYPERLINK("#"&amp;ADDRESS(917,'r2'!A917),""),""))</f>
        <v/>
      </c>
      <c r="C917" s="31"/>
      <c r="D917" s="32"/>
    </row>
    <row r="918" spans="1:4" ht="24" customHeight="1" x14ac:dyDescent="0.25">
      <c r="A918" t="str">
        <f>IF('e2'!A918&gt;0,HYPERLINK("#"&amp;ADDRESS(918,'e2'!A918),""),IF('r2'!A918&gt;0,HYPERLINK("#"&amp;ADDRESS(918,'r2'!A918),""),""))</f>
        <v/>
      </c>
      <c r="C918" s="31"/>
      <c r="D918" s="32"/>
    </row>
    <row r="919" spans="1:4" ht="24" customHeight="1" x14ac:dyDescent="0.25">
      <c r="A919" t="str">
        <f>IF('e2'!A919&gt;0,HYPERLINK("#"&amp;ADDRESS(919,'e2'!A919),""),IF('r2'!A919&gt;0,HYPERLINK("#"&amp;ADDRESS(919,'r2'!A919),""),""))</f>
        <v/>
      </c>
      <c r="C919" s="31"/>
      <c r="D919" s="32"/>
    </row>
    <row r="920" spans="1:4" ht="24" customHeight="1" x14ac:dyDescent="0.25">
      <c r="A920" t="str">
        <f>IF('e2'!A920&gt;0,HYPERLINK("#"&amp;ADDRESS(920,'e2'!A920),""),IF('r2'!A920&gt;0,HYPERLINK("#"&amp;ADDRESS(920,'r2'!A920),""),""))</f>
        <v/>
      </c>
      <c r="C920" s="31"/>
      <c r="D920" s="32"/>
    </row>
    <row r="921" spans="1:4" ht="24" customHeight="1" x14ac:dyDescent="0.25">
      <c r="A921" t="str">
        <f>IF('e2'!A921&gt;0,HYPERLINK("#"&amp;ADDRESS(921,'e2'!A921),""),IF('r2'!A921&gt;0,HYPERLINK("#"&amp;ADDRESS(921,'r2'!A921),""),""))</f>
        <v/>
      </c>
      <c r="C921" s="31"/>
      <c r="D921" s="32"/>
    </row>
    <row r="922" spans="1:4" ht="24" customHeight="1" x14ac:dyDescent="0.25">
      <c r="A922" t="str">
        <f>IF('e2'!A922&gt;0,HYPERLINK("#"&amp;ADDRESS(922,'e2'!A922),""),IF('r2'!A922&gt;0,HYPERLINK("#"&amp;ADDRESS(922,'r2'!A922),""),""))</f>
        <v/>
      </c>
      <c r="C922" s="31"/>
      <c r="D922" s="32"/>
    </row>
    <row r="923" spans="1:4" ht="24" customHeight="1" x14ac:dyDescent="0.25">
      <c r="A923" t="str">
        <f>IF('e2'!A923&gt;0,HYPERLINK("#"&amp;ADDRESS(923,'e2'!A923),""),IF('r2'!A923&gt;0,HYPERLINK("#"&amp;ADDRESS(923,'r2'!A923),""),""))</f>
        <v/>
      </c>
      <c r="C923" s="31"/>
      <c r="D923" s="32"/>
    </row>
    <row r="924" spans="1:4" ht="24" customHeight="1" x14ac:dyDescent="0.25">
      <c r="A924" t="str">
        <f>IF('e2'!A924&gt;0,HYPERLINK("#"&amp;ADDRESS(924,'e2'!A924),""),IF('r2'!A924&gt;0,HYPERLINK("#"&amp;ADDRESS(924,'r2'!A924),""),""))</f>
        <v/>
      </c>
      <c r="C924" s="31"/>
      <c r="D924" s="32"/>
    </row>
    <row r="925" spans="1:4" ht="24" customHeight="1" x14ac:dyDescent="0.25">
      <c r="A925" t="str">
        <f>IF('e2'!A925&gt;0,HYPERLINK("#"&amp;ADDRESS(925,'e2'!A925),""),IF('r2'!A925&gt;0,HYPERLINK("#"&amp;ADDRESS(925,'r2'!A925),""),""))</f>
        <v/>
      </c>
      <c r="C925" s="31"/>
      <c r="D925" s="32"/>
    </row>
    <row r="926" spans="1:4" ht="24" customHeight="1" x14ac:dyDescent="0.25">
      <c r="A926" t="str">
        <f>IF('e2'!A926&gt;0,HYPERLINK("#"&amp;ADDRESS(926,'e2'!A926),""),IF('r2'!A926&gt;0,HYPERLINK("#"&amp;ADDRESS(926,'r2'!A926),""),""))</f>
        <v/>
      </c>
      <c r="C926" s="31"/>
      <c r="D926" s="32"/>
    </row>
    <row r="927" spans="1:4" ht="24" customHeight="1" x14ac:dyDescent="0.25">
      <c r="A927" t="str">
        <f>IF('e2'!A927&gt;0,HYPERLINK("#"&amp;ADDRESS(927,'e2'!A927),""),IF('r2'!A927&gt;0,HYPERLINK("#"&amp;ADDRESS(927,'r2'!A927),""),""))</f>
        <v/>
      </c>
      <c r="C927" s="31"/>
      <c r="D927" s="32"/>
    </row>
    <row r="928" spans="1:4" ht="24" customHeight="1" x14ac:dyDescent="0.25">
      <c r="A928" t="str">
        <f>IF('e2'!A928&gt;0,HYPERLINK("#"&amp;ADDRESS(928,'e2'!A928),""),IF('r2'!A928&gt;0,HYPERLINK("#"&amp;ADDRESS(928,'r2'!A928),""),""))</f>
        <v/>
      </c>
      <c r="C928" s="31"/>
      <c r="D928" s="32"/>
    </row>
    <row r="929" spans="1:4" ht="24" customHeight="1" x14ac:dyDescent="0.25">
      <c r="A929" t="str">
        <f>IF('e2'!A929&gt;0,HYPERLINK("#"&amp;ADDRESS(929,'e2'!A929),""),IF('r2'!A929&gt;0,HYPERLINK("#"&amp;ADDRESS(929,'r2'!A929),""),""))</f>
        <v/>
      </c>
      <c r="C929" s="31"/>
      <c r="D929" s="32"/>
    </row>
    <row r="930" spans="1:4" ht="24" customHeight="1" x14ac:dyDescent="0.25">
      <c r="A930" t="str">
        <f>IF('e2'!A930&gt;0,HYPERLINK("#"&amp;ADDRESS(930,'e2'!A930),""),IF('r2'!A930&gt;0,HYPERLINK("#"&amp;ADDRESS(930,'r2'!A930),""),""))</f>
        <v/>
      </c>
      <c r="C930" s="31"/>
      <c r="D930" s="32"/>
    </row>
    <row r="931" spans="1:4" ht="24" customHeight="1" x14ac:dyDescent="0.25">
      <c r="A931" t="str">
        <f>IF('e2'!A931&gt;0,HYPERLINK("#"&amp;ADDRESS(931,'e2'!A931),""),IF('r2'!A931&gt;0,HYPERLINK("#"&amp;ADDRESS(931,'r2'!A931),""),""))</f>
        <v/>
      </c>
      <c r="C931" s="31"/>
      <c r="D931" s="32"/>
    </row>
    <row r="932" spans="1:4" ht="24" customHeight="1" x14ac:dyDescent="0.25">
      <c r="A932" t="str">
        <f>IF('e2'!A932&gt;0,HYPERLINK("#"&amp;ADDRESS(932,'e2'!A932),""),IF('r2'!A932&gt;0,HYPERLINK("#"&amp;ADDRESS(932,'r2'!A932),""),""))</f>
        <v/>
      </c>
      <c r="C932" s="31"/>
      <c r="D932" s="32"/>
    </row>
    <row r="933" spans="1:4" ht="24" customHeight="1" x14ac:dyDescent="0.25">
      <c r="A933" t="str">
        <f>IF('e2'!A933&gt;0,HYPERLINK("#"&amp;ADDRESS(933,'e2'!A933),""),IF('r2'!A933&gt;0,HYPERLINK("#"&amp;ADDRESS(933,'r2'!A933),""),""))</f>
        <v/>
      </c>
      <c r="C933" s="31"/>
      <c r="D933" s="32"/>
    </row>
    <row r="934" spans="1:4" ht="24" customHeight="1" x14ac:dyDescent="0.25">
      <c r="A934" t="str">
        <f>IF('e2'!A934&gt;0,HYPERLINK("#"&amp;ADDRESS(934,'e2'!A934),""),IF('r2'!A934&gt;0,HYPERLINK("#"&amp;ADDRESS(934,'r2'!A934),""),""))</f>
        <v/>
      </c>
      <c r="C934" s="31"/>
      <c r="D934" s="32"/>
    </row>
    <row r="935" spans="1:4" ht="24" customHeight="1" x14ac:dyDescent="0.25">
      <c r="A935" t="str">
        <f>IF('e2'!A935&gt;0,HYPERLINK("#"&amp;ADDRESS(935,'e2'!A935),""),IF('r2'!A935&gt;0,HYPERLINK("#"&amp;ADDRESS(935,'r2'!A935),""),""))</f>
        <v/>
      </c>
      <c r="C935" s="31"/>
      <c r="D935" s="32"/>
    </row>
    <row r="936" spans="1:4" ht="24" customHeight="1" x14ac:dyDescent="0.25">
      <c r="A936" t="str">
        <f>IF('e2'!A936&gt;0,HYPERLINK("#"&amp;ADDRESS(936,'e2'!A936),""),IF('r2'!A936&gt;0,HYPERLINK("#"&amp;ADDRESS(936,'r2'!A936),""),""))</f>
        <v/>
      </c>
      <c r="C936" s="31"/>
      <c r="D936" s="32"/>
    </row>
    <row r="937" spans="1:4" ht="24" customHeight="1" x14ac:dyDescent="0.25">
      <c r="A937" t="str">
        <f>IF('e2'!A937&gt;0,HYPERLINK("#"&amp;ADDRESS(937,'e2'!A937),""),IF('r2'!A937&gt;0,HYPERLINK("#"&amp;ADDRESS(937,'r2'!A937),""),""))</f>
        <v/>
      </c>
      <c r="C937" s="31"/>
      <c r="D937" s="32"/>
    </row>
    <row r="938" spans="1:4" ht="24" customHeight="1" x14ac:dyDescent="0.25">
      <c r="A938" t="str">
        <f>IF('e2'!A938&gt;0,HYPERLINK("#"&amp;ADDRESS(938,'e2'!A938),""),IF('r2'!A938&gt;0,HYPERLINK("#"&amp;ADDRESS(938,'r2'!A938),""),""))</f>
        <v/>
      </c>
      <c r="C938" s="31"/>
      <c r="D938" s="32"/>
    </row>
    <row r="939" spans="1:4" ht="24" customHeight="1" x14ac:dyDescent="0.25">
      <c r="A939" t="str">
        <f>IF('e2'!A939&gt;0,HYPERLINK("#"&amp;ADDRESS(939,'e2'!A939),""),IF('r2'!A939&gt;0,HYPERLINK("#"&amp;ADDRESS(939,'r2'!A939),""),""))</f>
        <v/>
      </c>
      <c r="C939" s="31"/>
      <c r="D939" s="32"/>
    </row>
    <row r="940" spans="1:4" ht="24" customHeight="1" x14ac:dyDescent="0.25">
      <c r="A940" t="str">
        <f>IF('e2'!A940&gt;0,HYPERLINK("#"&amp;ADDRESS(940,'e2'!A940),""),IF('r2'!A940&gt;0,HYPERLINK("#"&amp;ADDRESS(940,'r2'!A940),""),""))</f>
        <v/>
      </c>
      <c r="C940" s="31"/>
      <c r="D940" s="32"/>
    </row>
    <row r="941" spans="1:4" ht="24" customHeight="1" x14ac:dyDescent="0.25">
      <c r="A941" t="str">
        <f>IF('e2'!A941&gt;0,HYPERLINK("#"&amp;ADDRESS(941,'e2'!A941),""),IF('r2'!A941&gt;0,HYPERLINK("#"&amp;ADDRESS(941,'r2'!A941),""),""))</f>
        <v/>
      </c>
      <c r="C941" s="31"/>
      <c r="D941" s="32"/>
    </row>
    <row r="942" spans="1:4" ht="24" customHeight="1" x14ac:dyDescent="0.25">
      <c r="A942" t="str">
        <f>IF('e2'!A942&gt;0,HYPERLINK("#"&amp;ADDRESS(942,'e2'!A942),""),IF('r2'!A942&gt;0,HYPERLINK("#"&amp;ADDRESS(942,'r2'!A942),""),""))</f>
        <v/>
      </c>
      <c r="C942" s="31"/>
      <c r="D942" s="32"/>
    </row>
    <row r="943" spans="1:4" ht="24" customHeight="1" x14ac:dyDescent="0.25">
      <c r="A943" t="str">
        <f>IF('e2'!A943&gt;0,HYPERLINK("#"&amp;ADDRESS(943,'e2'!A943),""),IF('r2'!A943&gt;0,HYPERLINK("#"&amp;ADDRESS(943,'r2'!A943),""),""))</f>
        <v/>
      </c>
      <c r="C943" s="31"/>
      <c r="D943" s="32"/>
    </row>
    <row r="944" spans="1:4" ht="24" customHeight="1" x14ac:dyDescent="0.25">
      <c r="A944" t="str">
        <f>IF('e2'!A944&gt;0,HYPERLINK("#"&amp;ADDRESS(944,'e2'!A944),""),IF('r2'!A944&gt;0,HYPERLINK("#"&amp;ADDRESS(944,'r2'!A944),""),""))</f>
        <v/>
      </c>
      <c r="C944" s="31"/>
      <c r="D944" s="32"/>
    </row>
    <row r="945" spans="1:4" ht="24" customHeight="1" x14ac:dyDescent="0.25">
      <c r="A945" t="str">
        <f>IF('e2'!A945&gt;0,HYPERLINK("#"&amp;ADDRESS(945,'e2'!A945),""),IF('r2'!A945&gt;0,HYPERLINK("#"&amp;ADDRESS(945,'r2'!A945),""),""))</f>
        <v/>
      </c>
      <c r="C945" s="31"/>
      <c r="D945" s="32"/>
    </row>
    <row r="946" spans="1:4" ht="24" customHeight="1" x14ac:dyDescent="0.25">
      <c r="A946" t="str">
        <f>IF('e2'!A946&gt;0,HYPERLINK("#"&amp;ADDRESS(946,'e2'!A946),""),IF('r2'!A946&gt;0,HYPERLINK("#"&amp;ADDRESS(946,'r2'!A946),""),""))</f>
        <v/>
      </c>
      <c r="C946" s="31"/>
      <c r="D946" s="32"/>
    </row>
    <row r="947" spans="1:4" ht="24" customHeight="1" x14ac:dyDescent="0.25">
      <c r="A947" t="str">
        <f>IF('e2'!A947&gt;0,HYPERLINK("#"&amp;ADDRESS(947,'e2'!A947),""),IF('r2'!A947&gt;0,HYPERLINK("#"&amp;ADDRESS(947,'r2'!A947),""),""))</f>
        <v/>
      </c>
      <c r="C947" s="31"/>
      <c r="D947" s="32"/>
    </row>
    <row r="948" spans="1:4" ht="24" customHeight="1" x14ac:dyDescent="0.25">
      <c r="A948" t="str">
        <f>IF('e2'!A948&gt;0,HYPERLINK("#"&amp;ADDRESS(948,'e2'!A948),""),IF('r2'!A948&gt;0,HYPERLINK("#"&amp;ADDRESS(948,'r2'!A948),""),""))</f>
        <v/>
      </c>
      <c r="C948" s="31"/>
      <c r="D948" s="32"/>
    </row>
    <row r="949" spans="1:4" ht="24" customHeight="1" x14ac:dyDescent="0.25">
      <c r="A949" t="str">
        <f>IF('e2'!A949&gt;0,HYPERLINK("#"&amp;ADDRESS(949,'e2'!A949),""),IF('r2'!A949&gt;0,HYPERLINK("#"&amp;ADDRESS(949,'r2'!A949),""),""))</f>
        <v/>
      </c>
      <c r="C949" s="31"/>
      <c r="D949" s="32"/>
    </row>
    <row r="950" spans="1:4" ht="24" customHeight="1" x14ac:dyDescent="0.25">
      <c r="A950" t="str">
        <f>IF('e2'!A950&gt;0,HYPERLINK("#"&amp;ADDRESS(950,'e2'!A950),""),IF('r2'!A950&gt;0,HYPERLINK("#"&amp;ADDRESS(950,'r2'!A950),""),""))</f>
        <v/>
      </c>
      <c r="C950" s="31"/>
      <c r="D950" s="32"/>
    </row>
    <row r="951" spans="1:4" ht="24" customHeight="1" x14ac:dyDescent="0.25">
      <c r="A951" t="str">
        <f>IF('e2'!A951&gt;0,HYPERLINK("#"&amp;ADDRESS(951,'e2'!A951),""),IF('r2'!A951&gt;0,HYPERLINK("#"&amp;ADDRESS(951,'r2'!A951),""),""))</f>
        <v/>
      </c>
      <c r="C951" s="31"/>
      <c r="D951" s="32"/>
    </row>
    <row r="952" spans="1:4" ht="24" customHeight="1" x14ac:dyDescent="0.25">
      <c r="A952" t="str">
        <f>IF('e2'!A952&gt;0,HYPERLINK("#"&amp;ADDRESS(952,'e2'!A952),""),IF('r2'!A952&gt;0,HYPERLINK("#"&amp;ADDRESS(952,'r2'!A952),""),""))</f>
        <v/>
      </c>
      <c r="C952" s="31"/>
      <c r="D952" s="32"/>
    </row>
    <row r="953" spans="1:4" ht="24" customHeight="1" x14ac:dyDescent="0.25">
      <c r="A953" t="str">
        <f>IF('e2'!A953&gt;0,HYPERLINK("#"&amp;ADDRESS(953,'e2'!A953),""),IF('r2'!A953&gt;0,HYPERLINK("#"&amp;ADDRESS(953,'r2'!A953),""),""))</f>
        <v/>
      </c>
      <c r="C953" s="31"/>
      <c r="D953" s="32"/>
    </row>
    <row r="954" spans="1:4" ht="24" customHeight="1" x14ac:dyDescent="0.25">
      <c r="A954" t="str">
        <f>IF('e2'!A954&gt;0,HYPERLINK("#"&amp;ADDRESS(954,'e2'!A954),""),IF('r2'!A954&gt;0,HYPERLINK("#"&amp;ADDRESS(954,'r2'!A954),""),""))</f>
        <v/>
      </c>
      <c r="C954" s="31"/>
      <c r="D954" s="32"/>
    </row>
    <row r="955" spans="1:4" ht="24" customHeight="1" x14ac:dyDescent="0.25">
      <c r="A955" t="str">
        <f>IF('e2'!A955&gt;0,HYPERLINK("#"&amp;ADDRESS(955,'e2'!A955),""),IF('r2'!A955&gt;0,HYPERLINK("#"&amp;ADDRESS(955,'r2'!A955),""),""))</f>
        <v/>
      </c>
      <c r="C955" s="31"/>
      <c r="D955" s="32"/>
    </row>
    <row r="956" spans="1:4" ht="24" customHeight="1" x14ac:dyDescent="0.25">
      <c r="A956" t="str">
        <f>IF('e2'!A956&gt;0,HYPERLINK("#"&amp;ADDRESS(956,'e2'!A956),""),IF('r2'!A956&gt;0,HYPERLINK("#"&amp;ADDRESS(956,'r2'!A956),""),""))</f>
        <v/>
      </c>
      <c r="C956" s="31"/>
      <c r="D956" s="32"/>
    </row>
    <row r="957" spans="1:4" ht="24" customHeight="1" x14ac:dyDescent="0.25">
      <c r="A957" t="str">
        <f>IF('e2'!A957&gt;0,HYPERLINK("#"&amp;ADDRESS(957,'e2'!A957),""),IF('r2'!A957&gt;0,HYPERLINK("#"&amp;ADDRESS(957,'r2'!A957),""),""))</f>
        <v/>
      </c>
      <c r="C957" s="31"/>
      <c r="D957" s="32"/>
    </row>
    <row r="958" spans="1:4" ht="24" customHeight="1" x14ac:dyDescent="0.25">
      <c r="A958" t="str">
        <f>IF('e2'!A958&gt;0,HYPERLINK("#"&amp;ADDRESS(958,'e2'!A958),""),IF('r2'!A958&gt;0,HYPERLINK("#"&amp;ADDRESS(958,'r2'!A958),""),""))</f>
        <v/>
      </c>
      <c r="C958" s="31"/>
      <c r="D958" s="32"/>
    </row>
    <row r="959" spans="1:4" ht="24" customHeight="1" x14ac:dyDescent="0.25">
      <c r="A959" t="str">
        <f>IF('e2'!A959&gt;0,HYPERLINK("#"&amp;ADDRESS(959,'e2'!A959),""),IF('r2'!A959&gt;0,HYPERLINK("#"&amp;ADDRESS(959,'r2'!A959),""),""))</f>
        <v/>
      </c>
      <c r="C959" s="31"/>
      <c r="D959" s="32"/>
    </row>
    <row r="960" spans="1:4" ht="24" customHeight="1" x14ac:dyDescent="0.25">
      <c r="A960" t="str">
        <f>IF('e2'!A960&gt;0,HYPERLINK("#"&amp;ADDRESS(960,'e2'!A960),""),IF('r2'!A960&gt;0,HYPERLINK("#"&amp;ADDRESS(960,'r2'!A960),""),""))</f>
        <v/>
      </c>
      <c r="C960" s="31"/>
      <c r="D960" s="32"/>
    </row>
    <row r="961" spans="1:4" ht="24" customHeight="1" x14ac:dyDescent="0.25">
      <c r="A961" t="str">
        <f>IF('e2'!A961&gt;0,HYPERLINK("#"&amp;ADDRESS(961,'e2'!A961),""),IF('r2'!A961&gt;0,HYPERLINK("#"&amp;ADDRESS(961,'r2'!A961),""),""))</f>
        <v/>
      </c>
      <c r="C961" s="31"/>
      <c r="D961" s="32"/>
    </row>
    <row r="962" spans="1:4" ht="24" customHeight="1" x14ac:dyDescent="0.25">
      <c r="A962" t="str">
        <f>IF('e2'!A962&gt;0,HYPERLINK("#"&amp;ADDRESS(962,'e2'!A962),""),IF('r2'!A962&gt;0,HYPERLINK("#"&amp;ADDRESS(962,'r2'!A962),""),""))</f>
        <v/>
      </c>
      <c r="C962" s="31"/>
      <c r="D962" s="32"/>
    </row>
    <row r="963" spans="1:4" ht="24" customHeight="1" x14ac:dyDescent="0.25">
      <c r="A963" t="str">
        <f>IF('e2'!A963&gt;0,HYPERLINK("#"&amp;ADDRESS(963,'e2'!A963),""),IF('r2'!A963&gt;0,HYPERLINK("#"&amp;ADDRESS(963,'r2'!A963),""),""))</f>
        <v/>
      </c>
      <c r="C963" s="31"/>
      <c r="D963" s="32"/>
    </row>
    <row r="964" spans="1:4" ht="24" customHeight="1" x14ac:dyDescent="0.25">
      <c r="A964" t="str">
        <f>IF('e2'!A964&gt;0,HYPERLINK("#"&amp;ADDRESS(964,'e2'!A964),""),IF('r2'!A964&gt;0,HYPERLINK("#"&amp;ADDRESS(964,'r2'!A964),""),""))</f>
        <v/>
      </c>
      <c r="C964" s="31"/>
      <c r="D964" s="32"/>
    </row>
    <row r="965" spans="1:4" ht="24" customHeight="1" x14ac:dyDescent="0.25">
      <c r="A965" t="str">
        <f>IF('e2'!A965&gt;0,HYPERLINK("#"&amp;ADDRESS(965,'e2'!A965),""),IF('r2'!A965&gt;0,HYPERLINK("#"&amp;ADDRESS(965,'r2'!A965),""),""))</f>
        <v/>
      </c>
      <c r="C965" s="31"/>
      <c r="D965" s="32"/>
    </row>
    <row r="966" spans="1:4" ht="24" customHeight="1" x14ac:dyDescent="0.25">
      <c r="A966" t="str">
        <f>IF('e2'!A966&gt;0,HYPERLINK("#"&amp;ADDRESS(966,'e2'!A966),""),IF('r2'!A966&gt;0,HYPERLINK("#"&amp;ADDRESS(966,'r2'!A966),""),""))</f>
        <v/>
      </c>
      <c r="C966" s="31"/>
      <c r="D966" s="32"/>
    </row>
    <row r="967" spans="1:4" ht="24" customHeight="1" x14ac:dyDescent="0.25">
      <c r="A967" t="str">
        <f>IF('e2'!A967&gt;0,HYPERLINK("#"&amp;ADDRESS(967,'e2'!A967),""),IF('r2'!A967&gt;0,HYPERLINK("#"&amp;ADDRESS(967,'r2'!A967),""),""))</f>
        <v/>
      </c>
      <c r="C967" s="31"/>
      <c r="D967" s="32"/>
    </row>
    <row r="968" spans="1:4" ht="24" customHeight="1" x14ac:dyDescent="0.25">
      <c r="A968" t="str">
        <f>IF('e2'!A968&gt;0,HYPERLINK("#"&amp;ADDRESS(968,'e2'!A968),""),IF('r2'!A968&gt;0,HYPERLINK("#"&amp;ADDRESS(968,'r2'!A968),""),""))</f>
        <v/>
      </c>
      <c r="C968" s="31"/>
      <c r="D968" s="32"/>
    </row>
    <row r="969" spans="1:4" ht="24" customHeight="1" x14ac:dyDescent="0.25">
      <c r="A969" t="str">
        <f>IF('e2'!A969&gt;0,HYPERLINK("#"&amp;ADDRESS(969,'e2'!A969),""),IF('r2'!A969&gt;0,HYPERLINK("#"&amp;ADDRESS(969,'r2'!A969),""),""))</f>
        <v/>
      </c>
      <c r="C969" s="31"/>
      <c r="D969" s="32"/>
    </row>
    <row r="970" spans="1:4" ht="24" customHeight="1" x14ac:dyDescent="0.25">
      <c r="A970" t="str">
        <f>IF('e2'!A970&gt;0,HYPERLINK("#"&amp;ADDRESS(970,'e2'!A970),""),IF('r2'!A970&gt;0,HYPERLINK("#"&amp;ADDRESS(970,'r2'!A970),""),""))</f>
        <v/>
      </c>
      <c r="C970" s="31"/>
      <c r="D970" s="32"/>
    </row>
    <row r="971" spans="1:4" ht="24" customHeight="1" x14ac:dyDescent="0.25">
      <c r="A971" t="str">
        <f>IF('e2'!A971&gt;0,HYPERLINK("#"&amp;ADDRESS(971,'e2'!A971),""),IF('r2'!A971&gt;0,HYPERLINK("#"&amp;ADDRESS(971,'r2'!A971),""),""))</f>
        <v/>
      </c>
      <c r="C971" s="31"/>
      <c r="D971" s="32"/>
    </row>
    <row r="972" spans="1:4" ht="24" customHeight="1" x14ac:dyDescent="0.25">
      <c r="A972" t="str">
        <f>IF('e2'!A972&gt;0,HYPERLINK("#"&amp;ADDRESS(972,'e2'!A972),""),IF('r2'!A972&gt;0,HYPERLINK("#"&amp;ADDRESS(972,'r2'!A972),""),""))</f>
        <v/>
      </c>
      <c r="C972" s="31"/>
      <c r="D972" s="32"/>
    </row>
    <row r="973" spans="1:4" ht="24" customHeight="1" x14ac:dyDescent="0.25">
      <c r="A973" t="str">
        <f>IF('e2'!A973&gt;0,HYPERLINK("#"&amp;ADDRESS(973,'e2'!A973),""),IF('r2'!A973&gt;0,HYPERLINK("#"&amp;ADDRESS(973,'r2'!A973),""),""))</f>
        <v/>
      </c>
      <c r="C973" s="31"/>
      <c r="D973" s="32"/>
    </row>
    <row r="974" spans="1:4" ht="24" customHeight="1" x14ac:dyDescent="0.25">
      <c r="A974" t="str">
        <f>IF('e2'!A974&gt;0,HYPERLINK("#"&amp;ADDRESS(974,'e2'!A974),""),IF('r2'!A974&gt;0,HYPERLINK("#"&amp;ADDRESS(974,'r2'!A974),""),""))</f>
        <v/>
      </c>
      <c r="C974" s="31"/>
      <c r="D974" s="32"/>
    </row>
    <row r="975" spans="1:4" ht="24" customHeight="1" x14ac:dyDescent="0.25">
      <c r="A975" t="str">
        <f>IF('e2'!A975&gt;0,HYPERLINK("#"&amp;ADDRESS(975,'e2'!A975),""),IF('r2'!A975&gt;0,HYPERLINK("#"&amp;ADDRESS(975,'r2'!A975),""),""))</f>
        <v/>
      </c>
      <c r="C975" s="31"/>
      <c r="D975" s="32"/>
    </row>
    <row r="976" spans="1:4" ht="24" customHeight="1" x14ac:dyDescent="0.25">
      <c r="A976" t="str">
        <f>IF('e2'!A976&gt;0,HYPERLINK("#"&amp;ADDRESS(976,'e2'!A976),""),IF('r2'!A976&gt;0,HYPERLINK("#"&amp;ADDRESS(976,'r2'!A976),""),""))</f>
        <v/>
      </c>
      <c r="C976" s="31"/>
      <c r="D976" s="32"/>
    </row>
    <row r="977" spans="1:4" ht="24" customHeight="1" x14ac:dyDescent="0.25">
      <c r="A977" t="str">
        <f>IF('e2'!A977&gt;0,HYPERLINK("#"&amp;ADDRESS(977,'e2'!A977),""),IF('r2'!A977&gt;0,HYPERLINK("#"&amp;ADDRESS(977,'r2'!A977),""),""))</f>
        <v/>
      </c>
      <c r="C977" s="31"/>
      <c r="D977" s="32"/>
    </row>
    <row r="978" spans="1:4" ht="24" customHeight="1" x14ac:dyDescent="0.25">
      <c r="A978" t="str">
        <f>IF('e2'!A978&gt;0,HYPERLINK("#"&amp;ADDRESS(978,'e2'!A978),""),IF('r2'!A978&gt;0,HYPERLINK("#"&amp;ADDRESS(978,'r2'!A978),""),""))</f>
        <v/>
      </c>
      <c r="C978" s="31"/>
      <c r="D978" s="32"/>
    </row>
    <row r="979" spans="1:4" ht="24" customHeight="1" x14ac:dyDescent="0.25">
      <c r="A979" t="str">
        <f>IF('e2'!A979&gt;0,HYPERLINK("#"&amp;ADDRESS(979,'e2'!A979),""),IF('r2'!A979&gt;0,HYPERLINK("#"&amp;ADDRESS(979,'r2'!A979),""),""))</f>
        <v/>
      </c>
      <c r="C979" s="31"/>
      <c r="D979" s="32"/>
    </row>
    <row r="980" spans="1:4" ht="24" customHeight="1" x14ac:dyDescent="0.25">
      <c r="A980" t="str">
        <f>IF('e2'!A980&gt;0,HYPERLINK("#"&amp;ADDRESS(980,'e2'!A980),""),IF('r2'!A980&gt;0,HYPERLINK("#"&amp;ADDRESS(980,'r2'!A980),""),""))</f>
        <v/>
      </c>
      <c r="C980" s="31"/>
      <c r="D980" s="32"/>
    </row>
    <row r="981" spans="1:4" ht="24" customHeight="1" x14ac:dyDescent="0.25">
      <c r="A981" t="str">
        <f>IF('e2'!A981&gt;0,HYPERLINK("#"&amp;ADDRESS(981,'e2'!A981),""),IF('r2'!A981&gt;0,HYPERLINK("#"&amp;ADDRESS(981,'r2'!A981),""),""))</f>
        <v/>
      </c>
      <c r="C981" s="31"/>
      <c r="D981" s="32"/>
    </row>
    <row r="982" spans="1:4" ht="24" customHeight="1" x14ac:dyDescent="0.25">
      <c r="A982" t="str">
        <f>IF('e2'!A982&gt;0,HYPERLINK("#"&amp;ADDRESS(982,'e2'!A982),""),IF('r2'!A982&gt;0,HYPERLINK("#"&amp;ADDRESS(982,'r2'!A982),""),""))</f>
        <v/>
      </c>
      <c r="C982" s="31"/>
      <c r="D982" s="32"/>
    </row>
    <row r="983" spans="1:4" ht="24" customHeight="1" x14ac:dyDescent="0.25">
      <c r="A983" t="str">
        <f>IF('e2'!A983&gt;0,HYPERLINK("#"&amp;ADDRESS(983,'e2'!A983),""),IF('r2'!A983&gt;0,HYPERLINK("#"&amp;ADDRESS(983,'r2'!A983),""),""))</f>
        <v/>
      </c>
      <c r="C983" s="31"/>
      <c r="D983" s="32"/>
    </row>
    <row r="984" spans="1:4" ht="24" customHeight="1" x14ac:dyDescent="0.25">
      <c r="A984" t="str">
        <f>IF('e2'!A984&gt;0,HYPERLINK("#"&amp;ADDRESS(984,'e2'!A984),""),IF('r2'!A984&gt;0,HYPERLINK("#"&amp;ADDRESS(984,'r2'!A984),""),""))</f>
        <v/>
      </c>
      <c r="C984" s="31"/>
      <c r="D984" s="32"/>
    </row>
    <row r="985" spans="1:4" ht="24" customHeight="1" x14ac:dyDescent="0.25">
      <c r="A985" t="str">
        <f>IF('e2'!A985&gt;0,HYPERLINK("#"&amp;ADDRESS(985,'e2'!A985),""),IF('r2'!A985&gt;0,HYPERLINK("#"&amp;ADDRESS(985,'r2'!A985),""),""))</f>
        <v/>
      </c>
      <c r="C985" s="31"/>
      <c r="D985" s="32"/>
    </row>
    <row r="986" spans="1:4" ht="24" customHeight="1" x14ac:dyDescent="0.25">
      <c r="A986" t="str">
        <f>IF('e2'!A986&gt;0,HYPERLINK("#"&amp;ADDRESS(986,'e2'!A986),""),IF('r2'!A986&gt;0,HYPERLINK("#"&amp;ADDRESS(986,'r2'!A986),""),""))</f>
        <v/>
      </c>
      <c r="C986" s="31"/>
      <c r="D986" s="32"/>
    </row>
    <row r="987" spans="1:4" ht="24" customHeight="1" x14ac:dyDescent="0.25">
      <c r="A987" t="str">
        <f>IF('e2'!A987&gt;0,HYPERLINK("#"&amp;ADDRESS(987,'e2'!A987),""),IF('r2'!A987&gt;0,HYPERLINK("#"&amp;ADDRESS(987,'r2'!A987),""),""))</f>
        <v/>
      </c>
      <c r="C987" s="31"/>
      <c r="D987" s="32"/>
    </row>
    <row r="988" spans="1:4" ht="24" customHeight="1" x14ac:dyDescent="0.25">
      <c r="A988" t="str">
        <f>IF('e2'!A988&gt;0,HYPERLINK("#"&amp;ADDRESS(988,'e2'!A988),""),IF('r2'!A988&gt;0,HYPERLINK("#"&amp;ADDRESS(988,'r2'!A988),""),""))</f>
        <v/>
      </c>
      <c r="C988" s="31"/>
      <c r="D988" s="32"/>
    </row>
    <row r="989" spans="1:4" ht="24" customHeight="1" x14ac:dyDescent="0.25">
      <c r="A989" t="str">
        <f>IF('e2'!A989&gt;0,HYPERLINK("#"&amp;ADDRESS(989,'e2'!A989),""),IF('r2'!A989&gt;0,HYPERLINK("#"&amp;ADDRESS(989,'r2'!A989),""),""))</f>
        <v/>
      </c>
      <c r="C989" s="31"/>
      <c r="D989" s="32"/>
    </row>
    <row r="990" spans="1:4" ht="24" customHeight="1" x14ac:dyDescent="0.25">
      <c r="A990" t="str">
        <f>IF('e2'!A990&gt;0,HYPERLINK("#"&amp;ADDRESS(990,'e2'!A990),""),IF('r2'!A990&gt;0,HYPERLINK("#"&amp;ADDRESS(990,'r2'!A990),""),""))</f>
        <v/>
      </c>
      <c r="C990" s="31"/>
      <c r="D990" s="32"/>
    </row>
    <row r="991" spans="1:4" ht="24" customHeight="1" x14ac:dyDescent="0.25">
      <c r="A991" t="str">
        <f>IF('e2'!A991&gt;0,HYPERLINK("#"&amp;ADDRESS(991,'e2'!A991),""),IF('r2'!A991&gt;0,HYPERLINK("#"&amp;ADDRESS(991,'r2'!A991),""),""))</f>
        <v/>
      </c>
      <c r="C991" s="31"/>
      <c r="D991" s="32"/>
    </row>
    <row r="992" spans="1:4" ht="24" customHeight="1" x14ac:dyDescent="0.25">
      <c r="A992" t="str">
        <f>IF('e2'!A992&gt;0,HYPERLINK("#"&amp;ADDRESS(992,'e2'!A992),""),IF('r2'!A992&gt;0,HYPERLINK("#"&amp;ADDRESS(992,'r2'!A992),""),""))</f>
        <v/>
      </c>
      <c r="C992" s="31"/>
      <c r="D992" s="32"/>
    </row>
    <row r="993" spans="1:4" ht="24" customHeight="1" x14ac:dyDescent="0.25">
      <c r="A993" t="str">
        <f>IF('e2'!A993&gt;0,HYPERLINK("#"&amp;ADDRESS(993,'e2'!A993),""),IF('r2'!A993&gt;0,HYPERLINK("#"&amp;ADDRESS(993,'r2'!A993),""),""))</f>
        <v/>
      </c>
      <c r="C993" s="31"/>
      <c r="D993" s="32"/>
    </row>
    <row r="994" spans="1:4" ht="24" customHeight="1" x14ac:dyDescent="0.25">
      <c r="A994" t="str">
        <f>IF('e2'!A994&gt;0,HYPERLINK("#"&amp;ADDRESS(994,'e2'!A994),""),IF('r2'!A994&gt;0,HYPERLINK("#"&amp;ADDRESS(994,'r2'!A994),""),""))</f>
        <v/>
      </c>
      <c r="C994" s="31"/>
      <c r="D994" s="32"/>
    </row>
    <row r="995" spans="1:4" ht="24" customHeight="1" x14ac:dyDescent="0.25">
      <c r="A995" t="str">
        <f>IF('e2'!A995&gt;0,HYPERLINK("#"&amp;ADDRESS(995,'e2'!A995),""),IF('r2'!A995&gt;0,HYPERLINK("#"&amp;ADDRESS(995,'r2'!A995),""),""))</f>
        <v/>
      </c>
      <c r="C995" s="31"/>
      <c r="D995" s="32"/>
    </row>
    <row r="996" spans="1:4" ht="24" customHeight="1" x14ac:dyDescent="0.25">
      <c r="A996" t="str">
        <f>IF('e2'!A996&gt;0,HYPERLINK("#"&amp;ADDRESS(996,'e2'!A996),""),IF('r2'!A996&gt;0,HYPERLINK("#"&amp;ADDRESS(996,'r2'!A996),""),""))</f>
        <v/>
      </c>
      <c r="C996" s="31"/>
      <c r="D996" s="32"/>
    </row>
    <row r="997" spans="1:4" ht="24" customHeight="1" x14ac:dyDescent="0.25">
      <c r="A997" t="str">
        <f>IF('e2'!A997&gt;0,HYPERLINK("#"&amp;ADDRESS(997,'e2'!A997),""),IF('r2'!A997&gt;0,HYPERLINK("#"&amp;ADDRESS(997,'r2'!A997),""),""))</f>
        <v/>
      </c>
      <c r="C997" s="31"/>
      <c r="D997" s="32"/>
    </row>
    <row r="998" spans="1:4" ht="24" customHeight="1" x14ac:dyDescent="0.25">
      <c r="A998" t="str">
        <f>IF('e2'!A998&gt;0,HYPERLINK("#"&amp;ADDRESS(998,'e2'!A998),""),IF('r2'!A998&gt;0,HYPERLINK("#"&amp;ADDRESS(998,'r2'!A998),""),""))</f>
        <v/>
      </c>
      <c r="C998" s="31"/>
      <c r="D998" s="32"/>
    </row>
    <row r="999" spans="1:4" ht="24" customHeight="1" x14ac:dyDescent="0.25">
      <c r="A999" t="str">
        <f>IF('e2'!A999&gt;0,HYPERLINK("#"&amp;ADDRESS(999,'e2'!A999),""),IF('r2'!A999&gt;0,HYPERLINK("#"&amp;ADDRESS(999,'r2'!A999),""),""))</f>
        <v/>
      </c>
      <c r="C999" s="31"/>
      <c r="D999" s="32"/>
    </row>
    <row r="1000" spans="1:4" ht="24" customHeight="1" x14ac:dyDescent="0.25">
      <c r="A1000" t="str">
        <f>IF('e2'!A1000&gt;0,HYPERLINK("#"&amp;ADDRESS(1000,'e2'!A1000),""),IF('r2'!A1000&gt;0,HYPERLINK("#"&amp;ADDRESS(1000,'r2'!A1000),""),""))</f>
        <v/>
      </c>
      <c r="C1000" s="31"/>
      <c r="D1000" s="32"/>
    </row>
    <row r="1001" spans="1:4" ht="24" customHeight="1" x14ac:dyDescent="0.25">
      <c r="A1001" t="str">
        <f>IF('e2'!A1001&gt;0,HYPERLINK("#"&amp;ADDRESS(1001,'e2'!A1001),""),IF('r2'!A1001&gt;0,HYPERLINK("#"&amp;ADDRESS(1001,'r2'!A1001),""),""))</f>
        <v/>
      </c>
      <c r="C1001" s="31"/>
      <c r="D1001" s="32"/>
    </row>
    <row r="1002" spans="1:4" ht="24" customHeight="1" x14ac:dyDescent="0.25">
      <c r="A1002" t="str">
        <f>IF('e2'!A1002&gt;0,HYPERLINK("#"&amp;ADDRESS(1002,'e2'!A1002),""),IF('r2'!A1002&gt;0,HYPERLINK("#"&amp;ADDRESS(1002,'r2'!A1002),""),""))</f>
        <v/>
      </c>
      <c r="C1002" s="31"/>
      <c r="D1002" s="32"/>
    </row>
    <row r="1003" spans="1:4" ht="24" customHeight="1" x14ac:dyDescent="0.25">
      <c r="A1003" t="str">
        <f>IF('e2'!A1003&gt;0,HYPERLINK("#"&amp;ADDRESS(1003,'e2'!A1003),""),IF('r2'!A1003&gt;0,HYPERLINK("#"&amp;ADDRESS(1003,'r2'!A1003),""),""))</f>
        <v/>
      </c>
      <c r="C1003" s="31"/>
      <c r="D1003" s="32"/>
    </row>
    <row r="1004" spans="1:4" ht="24" customHeight="1" x14ac:dyDescent="0.25">
      <c r="A1004" t="str">
        <f>IF('e2'!A1004&gt;0,HYPERLINK("#"&amp;ADDRESS(1004,'e2'!A1004),""),IF('r2'!A1004&gt;0,HYPERLINK("#"&amp;ADDRESS(1004,'r2'!A1004),""),""))</f>
        <v/>
      </c>
      <c r="C1004" s="31"/>
      <c r="D1004" s="32"/>
    </row>
    <row r="1005" spans="1:4" ht="24" customHeight="1" x14ac:dyDescent="0.25">
      <c r="A1005" t="str">
        <f>IF('e2'!A1005&gt;0,HYPERLINK("#"&amp;ADDRESS(1005,'e2'!A1005),""),IF('r2'!A1005&gt;0,HYPERLINK("#"&amp;ADDRESS(1005,'r2'!A1005),""),""))</f>
        <v/>
      </c>
      <c r="C1005" s="31"/>
      <c r="D1005" s="32"/>
    </row>
    <row r="1006" spans="1:4" ht="24" customHeight="1" x14ac:dyDescent="0.25">
      <c r="A1006" t="str">
        <f>IF('e2'!A1006&gt;0,HYPERLINK("#"&amp;ADDRESS(1006,'e2'!A1006),""),IF('r2'!A1006&gt;0,HYPERLINK("#"&amp;ADDRESS(1006,'r2'!A1006),""),""))</f>
        <v/>
      </c>
      <c r="C1006" s="31"/>
      <c r="D1006" s="32"/>
    </row>
    <row r="1007" spans="1:4" ht="24" customHeight="1" x14ac:dyDescent="0.25">
      <c r="A1007" t="str">
        <f>IF('e2'!A1007&gt;0,HYPERLINK("#"&amp;ADDRESS(1007,'e2'!A1007),""),IF('r2'!A1007&gt;0,HYPERLINK("#"&amp;ADDRESS(1007,'r2'!A1007),""),""))</f>
        <v/>
      </c>
      <c r="C1007" s="31"/>
      <c r="D1007" s="32"/>
    </row>
    <row r="1008" spans="1:4" ht="24" customHeight="1" x14ac:dyDescent="0.25">
      <c r="A1008" t="str">
        <f>IF('e2'!A1008&gt;0,HYPERLINK("#"&amp;ADDRESS(1008,'e2'!A1008),""),IF('r2'!A1008&gt;0,HYPERLINK("#"&amp;ADDRESS(1008,'r2'!A1008),""),""))</f>
        <v/>
      </c>
      <c r="C1008" s="31"/>
      <c r="D1008" s="32"/>
    </row>
    <row r="1009" spans="1:4" ht="24" customHeight="1" x14ac:dyDescent="0.25">
      <c r="A1009" t="str">
        <f>IF('e2'!A1009&gt;0,HYPERLINK("#"&amp;ADDRESS(1009,'e2'!A1009),""),IF('r2'!A1009&gt;0,HYPERLINK("#"&amp;ADDRESS(1009,'r2'!A1009),""),""))</f>
        <v/>
      </c>
      <c r="C1009" s="31"/>
      <c r="D1009" s="32"/>
    </row>
    <row r="1010" spans="1:4" ht="24" customHeight="1" x14ac:dyDescent="0.25">
      <c r="A1010" t="str">
        <f>IF('e2'!A1010&gt;0,HYPERLINK("#"&amp;ADDRESS(1010,'e2'!A1010),""),IF('r2'!A1010&gt;0,HYPERLINK("#"&amp;ADDRESS(1010,'r2'!A1010),""),""))</f>
        <v/>
      </c>
      <c r="C1010" s="31"/>
      <c r="D1010" s="32"/>
    </row>
    <row r="1011" spans="1:4" ht="24" customHeight="1" x14ac:dyDescent="0.25">
      <c r="A1011" t="str">
        <f>IF('e2'!A1011&gt;0,HYPERLINK("#"&amp;ADDRESS(1011,'e2'!A1011),""),IF('r2'!A1011&gt;0,HYPERLINK("#"&amp;ADDRESS(1011,'r2'!A1011),""),""))</f>
        <v/>
      </c>
      <c r="C1011" s="31"/>
      <c r="D1011" s="32"/>
    </row>
    <row r="1012" spans="1:4" ht="24" customHeight="1" x14ac:dyDescent="0.25">
      <c r="A1012" t="str">
        <f>IF('e2'!A1012&gt;0,HYPERLINK("#"&amp;ADDRESS(1012,'e2'!A1012),""),IF('r2'!A1012&gt;0,HYPERLINK("#"&amp;ADDRESS(1012,'r2'!A1012),""),""))</f>
        <v/>
      </c>
      <c r="C1012" s="31"/>
      <c r="D1012" s="32"/>
    </row>
    <row r="1013" spans="1:4" ht="24" customHeight="1" x14ac:dyDescent="0.25">
      <c r="A1013" t="str">
        <f>IF('e2'!A1013&gt;0,HYPERLINK("#"&amp;ADDRESS(1013,'e2'!A1013),""),IF('r2'!A1013&gt;0,HYPERLINK("#"&amp;ADDRESS(1013,'r2'!A1013),""),""))</f>
        <v/>
      </c>
      <c r="C1013" s="31"/>
      <c r="D1013" s="32"/>
    </row>
    <row r="1014" spans="1:4" ht="24" customHeight="1" x14ac:dyDescent="0.25">
      <c r="A1014" t="str">
        <f>IF('e2'!A1014&gt;0,HYPERLINK("#"&amp;ADDRESS(1014,'e2'!A1014),""),IF('r2'!A1014&gt;0,HYPERLINK("#"&amp;ADDRESS(1014,'r2'!A1014),""),""))</f>
        <v/>
      </c>
      <c r="C1014" s="31"/>
      <c r="D1014" s="32"/>
    </row>
    <row r="1015" spans="1:4" ht="24" customHeight="1" x14ac:dyDescent="0.25">
      <c r="A1015" t="str">
        <f>IF('e2'!A1015&gt;0,HYPERLINK("#"&amp;ADDRESS(1015,'e2'!A1015),""),IF('r2'!A1015&gt;0,HYPERLINK("#"&amp;ADDRESS(1015,'r2'!A1015),""),""))</f>
        <v/>
      </c>
      <c r="C1015" s="31"/>
      <c r="D1015" s="32"/>
    </row>
    <row r="1016" spans="1:4" ht="24" customHeight="1" x14ac:dyDescent="0.25">
      <c r="A1016" t="str">
        <f>IF('e2'!A1016&gt;0,HYPERLINK("#"&amp;ADDRESS(1016,'e2'!A1016),""),IF('r2'!A1016&gt;0,HYPERLINK("#"&amp;ADDRESS(1016,'r2'!A1016),""),""))</f>
        <v/>
      </c>
      <c r="C1016" s="31"/>
      <c r="D1016" s="32"/>
    </row>
    <row r="1017" spans="1:4" ht="24" customHeight="1" x14ac:dyDescent="0.25">
      <c r="A1017" t="str">
        <f>IF('e2'!A1017&gt;0,HYPERLINK("#"&amp;ADDRESS(1017,'e2'!A1017),""),IF('r2'!A1017&gt;0,HYPERLINK("#"&amp;ADDRESS(1017,'r2'!A1017),""),""))</f>
        <v/>
      </c>
      <c r="C1017" s="31"/>
      <c r="D1017" s="32"/>
    </row>
    <row r="1018" spans="1:4" ht="24" customHeight="1" x14ac:dyDescent="0.25">
      <c r="A1018" t="str">
        <f>IF('e2'!A1018&gt;0,HYPERLINK("#"&amp;ADDRESS(1018,'e2'!A1018),""),IF('r2'!A1018&gt;0,HYPERLINK("#"&amp;ADDRESS(1018,'r2'!A1018),""),""))</f>
        <v/>
      </c>
      <c r="C1018" s="31"/>
      <c r="D1018" s="32"/>
    </row>
    <row r="1019" spans="1:4" ht="24" customHeight="1" x14ac:dyDescent="0.25">
      <c r="A1019" t="str">
        <f>IF('e2'!A1019&gt;0,HYPERLINK("#"&amp;ADDRESS(1019,'e2'!A1019),""),IF('r2'!A1019&gt;0,HYPERLINK("#"&amp;ADDRESS(1019,'r2'!A1019),""),""))</f>
        <v/>
      </c>
      <c r="C1019" s="31"/>
      <c r="D1019" s="32"/>
    </row>
    <row r="1020" spans="1:4" ht="24" customHeight="1" x14ac:dyDescent="0.25">
      <c r="A1020" t="str">
        <f>IF('e2'!A1020&gt;0,HYPERLINK("#"&amp;ADDRESS(1020,'e2'!A1020),""),IF('r2'!A1020&gt;0,HYPERLINK("#"&amp;ADDRESS(1020,'r2'!A1020),""),""))</f>
        <v/>
      </c>
      <c r="C1020" s="31"/>
      <c r="D1020" s="32"/>
    </row>
    <row r="1021" spans="1:4" ht="24" customHeight="1" x14ac:dyDescent="0.25">
      <c r="A1021" t="str">
        <f>IF('e2'!A1021&gt;0,HYPERLINK("#"&amp;ADDRESS(1021,'e2'!A1021),""),IF('r2'!A1021&gt;0,HYPERLINK("#"&amp;ADDRESS(1021,'r2'!A1021),""),""))</f>
        <v/>
      </c>
      <c r="C1021" s="31"/>
      <c r="D1021" s="32"/>
    </row>
    <row r="1022" spans="1:4" ht="24" customHeight="1" x14ac:dyDescent="0.25">
      <c r="A1022" t="str">
        <f>IF('e2'!A1022&gt;0,HYPERLINK("#"&amp;ADDRESS(1022,'e2'!A1022),""),IF('r2'!A1022&gt;0,HYPERLINK("#"&amp;ADDRESS(1022,'r2'!A1022),""),""))</f>
        <v/>
      </c>
      <c r="C1022" s="31"/>
      <c r="D1022" s="32"/>
    </row>
    <row r="1023" spans="1:4" ht="24" customHeight="1" x14ac:dyDescent="0.25">
      <c r="A1023" t="str">
        <f>IF('e2'!A1023&gt;0,HYPERLINK("#"&amp;ADDRESS(1023,'e2'!A1023),""),IF('r2'!A1023&gt;0,HYPERLINK("#"&amp;ADDRESS(1023,'r2'!A1023),""),""))</f>
        <v/>
      </c>
      <c r="C1023" s="31"/>
      <c r="D1023" s="32"/>
    </row>
    <row r="1024" spans="1:4" ht="24" customHeight="1" x14ac:dyDescent="0.25">
      <c r="A1024" t="str">
        <f>IF('e2'!A1024&gt;0,HYPERLINK("#"&amp;ADDRESS(1024,'e2'!A1024),""),IF('r2'!A1024&gt;0,HYPERLINK("#"&amp;ADDRESS(1024,'r2'!A1024),""),""))</f>
        <v/>
      </c>
      <c r="C1024" s="31"/>
      <c r="D1024" s="32"/>
    </row>
    <row r="1025" spans="1:4" ht="24" customHeight="1" x14ac:dyDescent="0.25">
      <c r="A1025" t="str">
        <f>IF('e2'!A1025&gt;0,HYPERLINK("#"&amp;ADDRESS(1025,'e2'!A1025),""),IF('r2'!A1025&gt;0,HYPERLINK("#"&amp;ADDRESS(1025,'r2'!A1025),""),""))</f>
        <v/>
      </c>
      <c r="C1025" s="31"/>
      <c r="D1025" s="32"/>
    </row>
    <row r="1026" spans="1:4" ht="24" customHeight="1" x14ac:dyDescent="0.25">
      <c r="A1026" t="str">
        <f>IF('e2'!A1026&gt;0,HYPERLINK("#"&amp;ADDRESS(1026,'e2'!A1026),""),IF('r2'!A1026&gt;0,HYPERLINK("#"&amp;ADDRESS(1026,'r2'!A1026),""),""))</f>
        <v/>
      </c>
      <c r="C1026" s="31"/>
      <c r="D1026" s="32"/>
    </row>
    <row r="1027" spans="1:4" ht="24" customHeight="1" x14ac:dyDescent="0.25">
      <c r="A1027" t="str">
        <f>IF('e2'!A1027&gt;0,HYPERLINK("#"&amp;ADDRESS(1027,'e2'!A1027),""),IF('r2'!A1027&gt;0,HYPERLINK("#"&amp;ADDRESS(1027,'r2'!A1027),""),""))</f>
        <v/>
      </c>
      <c r="C1027" s="31"/>
      <c r="D1027" s="32"/>
    </row>
    <row r="1028" spans="1:4" ht="24" customHeight="1" x14ac:dyDescent="0.25">
      <c r="A1028" t="str">
        <f>IF('e2'!A1028&gt;0,HYPERLINK("#"&amp;ADDRESS(1028,'e2'!A1028),""),IF('r2'!A1028&gt;0,HYPERLINK("#"&amp;ADDRESS(1028,'r2'!A1028),""),""))</f>
        <v/>
      </c>
      <c r="C1028" s="31"/>
      <c r="D1028" s="32"/>
    </row>
    <row r="1029" spans="1:4" ht="24" customHeight="1" x14ac:dyDescent="0.25">
      <c r="A1029" t="str">
        <f>IF('e2'!A1029&gt;0,HYPERLINK("#"&amp;ADDRESS(1029,'e2'!A1029),""),IF('r2'!A1029&gt;0,HYPERLINK("#"&amp;ADDRESS(1029,'r2'!A1029),""),""))</f>
        <v/>
      </c>
      <c r="C1029" s="31"/>
      <c r="D1029" s="32"/>
    </row>
    <row r="1030" spans="1:4" ht="24" customHeight="1" x14ac:dyDescent="0.25">
      <c r="A1030" t="str">
        <f>IF('e2'!A1030&gt;0,HYPERLINK("#"&amp;ADDRESS(1030,'e2'!A1030),""),IF('r2'!A1030&gt;0,HYPERLINK("#"&amp;ADDRESS(1030,'r2'!A1030),""),""))</f>
        <v/>
      </c>
      <c r="C1030" s="31"/>
      <c r="D1030" s="32"/>
    </row>
    <row r="1031" spans="1:4" ht="24" customHeight="1" x14ac:dyDescent="0.25">
      <c r="A1031" t="str">
        <f>IF('e2'!A1031&gt;0,HYPERLINK("#"&amp;ADDRESS(1031,'e2'!A1031),""),IF('r2'!A1031&gt;0,HYPERLINK("#"&amp;ADDRESS(1031,'r2'!A1031),""),""))</f>
        <v/>
      </c>
      <c r="C1031" s="31"/>
      <c r="D1031" s="32"/>
    </row>
    <row r="1032" spans="1:4" ht="24" customHeight="1" x14ac:dyDescent="0.25">
      <c r="A1032" t="str">
        <f>IF('e2'!A1032&gt;0,HYPERLINK("#"&amp;ADDRESS(1032,'e2'!A1032),""),IF('r2'!A1032&gt;0,HYPERLINK("#"&amp;ADDRESS(1032,'r2'!A1032),""),""))</f>
        <v/>
      </c>
      <c r="C1032" s="31"/>
      <c r="D1032" s="32"/>
    </row>
    <row r="1033" spans="1:4" ht="24" customHeight="1" x14ac:dyDescent="0.25">
      <c r="A1033" t="str">
        <f>IF('e2'!A1033&gt;0,HYPERLINK("#"&amp;ADDRESS(1033,'e2'!A1033),""),IF('r2'!A1033&gt;0,HYPERLINK("#"&amp;ADDRESS(1033,'r2'!A1033),""),""))</f>
        <v/>
      </c>
      <c r="C1033" s="31"/>
      <c r="D1033" s="32"/>
    </row>
    <row r="1034" spans="1:4" ht="24" customHeight="1" x14ac:dyDescent="0.25">
      <c r="A1034" t="str">
        <f>IF('e2'!A1034&gt;0,HYPERLINK("#"&amp;ADDRESS(1034,'e2'!A1034),""),IF('r2'!A1034&gt;0,HYPERLINK("#"&amp;ADDRESS(1034,'r2'!A1034),""),""))</f>
        <v/>
      </c>
      <c r="C1034" s="31"/>
      <c r="D1034" s="32"/>
    </row>
    <row r="1035" spans="1:4" ht="24" customHeight="1" x14ac:dyDescent="0.25">
      <c r="A1035" t="str">
        <f>IF('e2'!A1035&gt;0,HYPERLINK("#"&amp;ADDRESS(1035,'e2'!A1035),""),IF('r2'!A1035&gt;0,HYPERLINK("#"&amp;ADDRESS(1035,'r2'!A1035),""),""))</f>
        <v/>
      </c>
      <c r="C1035" s="31"/>
      <c r="D1035" s="32"/>
    </row>
    <row r="1036" spans="1:4" ht="24" customHeight="1" x14ac:dyDescent="0.25">
      <c r="A1036" t="str">
        <f>IF('e2'!A1036&gt;0,HYPERLINK("#"&amp;ADDRESS(1036,'e2'!A1036),""),IF('r2'!A1036&gt;0,HYPERLINK("#"&amp;ADDRESS(1036,'r2'!A1036),""),""))</f>
        <v/>
      </c>
      <c r="C1036" s="31"/>
      <c r="D1036" s="32"/>
    </row>
    <row r="1037" spans="1:4" ht="24" customHeight="1" x14ac:dyDescent="0.25">
      <c r="A1037" t="str">
        <f>IF('e2'!A1037&gt;0,HYPERLINK("#"&amp;ADDRESS(1037,'e2'!A1037),""),IF('r2'!A1037&gt;0,HYPERLINK("#"&amp;ADDRESS(1037,'r2'!A1037),""),""))</f>
        <v/>
      </c>
      <c r="C1037" s="31"/>
      <c r="D1037" s="32"/>
    </row>
    <row r="1038" spans="1:4" ht="24" customHeight="1" x14ac:dyDescent="0.25">
      <c r="A1038" t="str">
        <f>IF('e2'!A1038&gt;0,HYPERLINK("#"&amp;ADDRESS(1038,'e2'!A1038),""),IF('r2'!A1038&gt;0,HYPERLINK("#"&amp;ADDRESS(1038,'r2'!A1038),""),""))</f>
        <v/>
      </c>
      <c r="C1038" s="31"/>
      <c r="D1038" s="32"/>
    </row>
    <row r="1039" spans="1:4" ht="24" customHeight="1" x14ac:dyDescent="0.25">
      <c r="A1039" t="str">
        <f>IF('e2'!A1039&gt;0,HYPERLINK("#"&amp;ADDRESS(1039,'e2'!A1039),""),IF('r2'!A1039&gt;0,HYPERLINK("#"&amp;ADDRESS(1039,'r2'!A1039),""),""))</f>
        <v/>
      </c>
      <c r="C1039" s="31"/>
      <c r="D1039" s="32"/>
    </row>
    <row r="1040" spans="1:4" ht="24" customHeight="1" x14ac:dyDescent="0.25">
      <c r="A1040" t="str">
        <f>IF('e2'!A1040&gt;0,HYPERLINK("#"&amp;ADDRESS(1040,'e2'!A1040),""),IF('r2'!A1040&gt;0,HYPERLINK("#"&amp;ADDRESS(1040,'r2'!A1040),""),""))</f>
        <v/>
      </c>
      <c r="C1040" s="31"/>
      <c r="D1040" s="32"/>
    </row>
    <row r="1041" spans="1:4" ht="24" customHeight="1" x14ac:dyDescent="0.25">
      <c r="A1041" t="str">
        <f>IF('e2'!A1041&gt;0,HYPERLINK("#"&amp;ADDRESS(1041,'e2'!A1041),""),IF('r2'!A1041&gt;0,HYPERLINK("#"&amp;ADDRESS(1041,'r2'!A1041),""),""))</f>
        <v/>
      </c>
      <c r="C1041" s="31"/>
      <c r="D1041" s="32"/>
    </row>
    <row r="1042" spans="1:4" ht="24" customHeight="1" x14ac:dyDescent="0.25">
      <c r="A1042" t="str">
        <f>IF('e2'!A1042&gt;0,HYPERLINK("#"&amp;ADDRESS(1042,'e2'!A1042),""),IF('r2'!A1042&gt;0,HYPERLINK("#"&amp;ADDRESS(1042,'r2'!A1042),""),""))</f>
        <v/>
      </c>
      <c r="C1042" s="31"/>
      <c r="D1042" s="32"/>
    </row>
    <row r="1043" spans="1:4" ht="24" customHeight="1" x14ac:dyDescent="0.25">
      <c r="A1043" t="str">
        <f>IF('e2'!A1043&gt;0,HYPERLINK("#"&amp;ADDRESS(1043,'e2'!A1043),""),IF('r2'!A1043&gt;0,HYPERLINK("#"&amp;ADDRESS(1043,'r2'!A1043),""),""))</f>
        <v/>
      </c>
      <c r="C1043" s="31"/>
      <c r="D1043" s="32"/>
    </row>
    <row r="1044" spans="1:4" ht="24" customHeight="1" x14ac:dyDescent="0.25">
      <c r="A1044" t="str">
        <f>IF('e2'!A1044&gt;0,HYPERLINK("#"&amp;ADDRESS(1044,'e2'!A1044),""),IF('r2'!A1044&gt;0,HYPERLINK("#"&amp;ADDRESS(1044,'r2'!A1044),""),""))</f>
        <v/>
      </c>
      <c r="C1044" s="31"/>
      <c r="D1044" s="32"/>
    </row>
    <row r="1045" spans="1:4" ht="24" customHeight="1" x14ac:dyDescent="0.25">
      <c r="A1045" t="str">
        <f>IF('e2'!A1045&gt;0,HYPERLINK("#"&amp;ADDRESS(1045,'e2'!A1045),""),IF('r2'!A1045&gt;0,HYPERLINK("#"&amp;ADDRESS(1045,'r2'!A1045),""),""))</f>
        <v/>
      </c>
      <c r="C1045" s="31"/>
      <c r="D1045" s="32"/>
    </row>
    <row r="1046" spans="1:4" ht="24" customHeight="1" x14ac:dyDescent="0.25">
      <c r="A1046" t="str">
        <f>IF('e2'!A1046&gt;0,HYPERLINK("#"&amp;ADDRESS(1046,'e2'!A1046),""),IF('r2'!A1046&gt;0,HYPERLINK("#"&amp;ADDRESS(1046,'r2'!A1046),""),""))</f>
        <v/>
      </c>
      <c r="C1046" s="31"/>
      <c r="D1046" s="32"/>
    </row>
    <row r="1047" spans="1:4" ht="24" customHeight="1" x14ac:dyDescent="0.25">
      <c r="A1047" t="str">
        <f>IF('e2'!A1047&gt;0,HYPERLINK("#"&amp;ADDRESS(1047,'e2'!A1047),""),IF('r2'!A1047&gt;0,HYPERLINK("#"&amp;ADDRESS(1047,'r2'!A1047),""),""))</f>
        <v/>
      </c>
      <c r="C1047" s="31"/>
      <c r="D1047" s="32"/>
    </row>
    <row r="1048" spans="1:4" ht="24" customHeight="1" x14ac:dyDescent="0.25">
      <c r="A1048" t="str">
        <f>IF('e2'!A1048&gt;0,HYPERLINK("#"&amp;ADDRESS(1048,'e2'!A1048),""),IF('r2'!A1048&gt;0,HYPERLINK("#"&amp;ADDRESS(1048,'r2'!A1048),""),""))</f>
        <v/>
      </c>
      <c r="C1048" s="31"/>
      <c r="D1048" s="32"/>
    </row>
    <row r="1049" spans="1:4" ht="24" customHeight="1" x14ac:dyDescent="0.25">
      <c r="A1049" t="str">
        <f>IF('e2'!A1049&gt;0,HYPERLINK("#"&amp;ADDRESS(1049,'e2'!A1049),""),IF('r2'!A1049&gt;0,HYPERLINK("#"&amp;ADDRESS(1049,'r2'!A1049),""),""))</f>
        <v/>
      </c>
      <c r="C1049" s="31"/>
      <c r="D1049" s="32"/>
    </row>
    <row r="1050" spans="1:4" ht="24" customHeight="1" x14ac:dyDescent="0.25">
      <c r="A1050" t="str">
        <f>IF('e2'!A1050&gt;0,HYPERLINK("#"&amp;ADDRESS(1050,'e2'!A1050),""),IF('r2'!A1050&gt;0,HYPERLINK("#"&amp;ADDRESS(1050,'r2'!A1050),""),""))</f>
        <v/>
      </c>
      <c r="C1050" s="31"/>
      <c r="D1050" s="32"/>
    </row>
    <row r="1051" spans="1:4" ht="24" customHeight="1" x14ac:dyDescent="0.25">
      <c r="A1051" t="str">
        <f>IF('e2'!A1051&gt;0,HYPERLINK("#"&amp;ADDRESS(1051,'e2'!A1051),""),IF('r2'!A1051&gt;0,HYPERLINK("#"&amp;ADDRESS(1051,'r2'!A1051),""),""))</f>
        <v/>
      </c>
      <c r="C1051" s="31"/>
      <c r="D1051" s="32"/>
    </row>
    <row r="1052" spans="1:4" ht="24" customHeight="1" x14ac:dyDescent="0.25">
      <c r="A1052" t="str">
        <f>IF('e2'!A1052&gt;0,HYPERLINK("#"&amp;ADDRESS(1052,'e2'!A1052),""),IF('r2'!A1052&gt;0,HYPERLINK("#"&amp;ADDRESS(1052,'r2'!A1052),""),""))</f>
        <v/>
      </c>
      <c r="C1052" s="31"/>
      <c r="D1052" s="32"/>
    </row>
    <row r="1053" spans="1:4" ht="24" customHeight="1" x14ac:dyDescent="0.25">
      <c r="A1053" t="str">
        <f>IF('e2'!A1053&gt;0,HYPERLINK("#"&amp;ADDRESS(1053,'e2'!A1053),""),IF('r2'!A1053&gt;0,HYPERLINK("#"&amp;ADDRESS(1053,'r2'!A1053),""),""))</f>
        <v/>
      </c>
      <c r="C1053" s="31"/>
      <c r="D1053" s="32"/>
    </row>
    <row r="1054" spans="1:4" ht="24" customHeight="1" x14ac:dyDescent="0.25">
      <c r="A1054" t="str">
        <f>IF('e2'!A1054&gt;0,HYPERLINK("#"&amp;ADDRESS(1054,'e2'!A1054),""),IF('r2'!A1054&gt;0,HYPERLINK("#"&amp;ADDRESS(1054,'r2'!A1054),""),""))</f>
        <v/>
      </c>
      <c r="C1054" s="31"/>
      <c r="D1054" s="32"/>
    </row>
    <row r="1055" spans="1:4" ht="24" customHeight="1" x14ac:dyDescent="0.25">
      <c r="A1055" t="str">
        <f>IF('e2'!A1055&gt;0,HYPERLINK("#"&amp;ADDRESS(1055,'e2'!A1055),""),IF('r2'!A1055&gt;0,HYPERLINK("#"&amp;ADDRESS(1055,'r2'!A1055),""),""))</f>
        <v/>
      </c>
      <c r="C1055" s="31"/>
      <c r="D1055" s="32"/>
    </row>
    <row r="1056" spans="1:4" ht="24" customHeight="1" x14ac:dyDescent="0.25">
      <c r="A1056" t="str">
        <f>IF('e2'!A1056&gt;0,HYPERLINK("#"&amp;ADDRESS(1056,'e2'!A1056),""),IF('r2'!A1056&gt;0,HYPERLINK("#"&amp;ADDRESS(1056,'r2'!A1056),""),""))</f>
        <v/>
      </c>
      <c r="C1056" s="31"/>
      <c r="D1056" s="32"/>
    </row>
    <row r="1057" spans="1:4" ht="24" customHeight="1" x14ac:dyDescent="0.25">
      <c r="A1057" t="str">
        <f>IF('e2'!A1057&gt;0,HYPERLINK("#"&amp;ADDRESS(1057,'e2'!A1057),""),IF('r2'!A1057&gt;0,HYPERLINK("#"&amp;ADDRESS(1057,'r2'!A1057),""),""))</f>
        <v/>
      </c>
      <c r="C1057" s="31"/>
      <c r="D1057" s="32"/>
    </row>
    <row r="1058" spans="1:4" ht="24" customHeight="1" x14ac:dyDescent="0.25">
      <c r="A1058" t="str">
        <f>IF('e2'!A1058&gt;0,HYPERLINK("#"&amp;ADDRESS(1058,'e2'!A1058),""),IF('r2'!A1058&gt;0,HYPERLINK("#"&amp;ADDRESS(1058,'r2'!A1058),""),""))</f>
        <v/>
      </c>
      <c r="C1058" s="31"/>
      <c r="D1058" s="32"/>
    </row>
    <row r="1059" spans="1:4" ht="24" customHeight="1" x14ac:dyDescent="0.25">
      <c r="A1059" t="str">
        <f>IF('e2'!A1059&gt;0,HYPERLINK("#"&amp;ADDRESS(1059,'e2'!A1059),""),IF('r2'!A1059&gt;0,HYPERLINK("#"&amp;ADDRESS(1059,'r2'!A1059),""),""))</f>
        <v/>
      </c>
      <c r="C1059" s="31"/>
      <c r="D1059" s="32"/>
    </row>
    <row r="1060" spans="1:4" ht="24" customHeight="1" x14ac:dyDescent="0.25">
      <c r="A1060" t="str">
        <f>IF('e2'!A1060&gt;0,HYPERLINK("#"&amp;ADDRESS(1060,'e2'!A1060),""),IF('r2'!A1060&gt;0,HYPERLINK("#"&amp;ADDRESS(1060,'r2'!A1060),""),""))</f>
        <v/>
      </c>
      <c r="C1060" s="31"/>
      <c r="D1060" s="32"/>
    </row>
    <row r="1061" spans="1:4" ht="24" customHeight="1" x14ac:dyDescent="0.25">
      <c r="A1061" t="str">
        <f>IF('e2'!A1061&gt;0,HYPERLINK("#"&amp;ADDRESS(1061,'e2'!A1061),""),IF('r2'!A1061&gt;0,HYPERLINK("#"&amp;ADDRESS(1061,'r2'!A1061),""),""))</f>
        <v/>
      </c>
      <c r="C1061" s="31"/>
      <c r="D1061" s="32"/>
    </row>
    <row r="1062" spans="1:4" ht="24" customHeight="1" x14ac:dyDescent="0.25">
      <c r="A1062" t="str">
        <f>IF('e2'!A1062&gt;0,HYPERLINK("#"&amp;ADDRESS(1062,'e2'!A1062),""),IF('r2'!A1062&gt;0,HYPERLINK("#"&amp;ADDRESS(1062,'r2'!A1062),""),""))</f>
        <v/>
      </c>
      <c r="C1062" s="31"/>
      <c r="D1062" s="32"/>
    </row>
    <row r="1063" spans="1:4" ht="24" customHeight="1" x14ac:dyDescent="0.25">
      <c r="A1063" t="str">
        <f>IF('e2'!A1063&gt;0,HYPERLINK("#"&amp;ADDRESS(1063,'e2'!A1063),""),IF('r2'!A1063&gt;0,HYPERLINK("#"&amp;ADDRESS(1063,'r2'!A1063),""),""))</f>
        <v/>
      </c>
      <c r="C1063" s="31"/>
      <c r="D1063" s="32"/>
    </row>
    <row r="1064" spans="1:4" ht="24" customHeight="1" x14ac:dyDescent="0.25">
      <c r="A1064" t="str">
        <f>IF('e2'!A1064&gt;0,HYPERLINK("#"&amp;ADDRESS(1064,'e2'!A1064),""),IF('r2'!A1064&gt;0,HYPERLINK("#"&amp;ADDRESS(1064,'r2'!A1064),""),""))</f>
        <v/>
      </c>
      <c r="C1064" s="31"/>
      <c r="D1064" s="32"/>
    </row>
    <row r="1065" spans="1:4" ht="24" customHeight="1" x14ac:dyDescent="0.25">
      <c r="A1065" t="str">
        <f>IF('e2'!A1065&gt;0,HYPERLINK("#"&amp;ADDRESS(1065,'e2'!A1065),""),IF('r2'!A1065&gt;0,HYPERLINK("#"&amp;ADDRESS(1065,'r2'!A1065),""),""))</f>
        <v/>
      </c>
      <c r="C1065" s="31"/>
      <c r="D1065" s="32"/>
    </row>
    <row r="1066" spans="1:4" ht="24" customHeight="1" x14ac:dyDescent="0.25">
      <c r="A1066" t="str">
        <f>IF('e2'!A1066&gt;0,HYPERLINK("#"&amp;ADDRESS(1066,'e2'!A1066),""),IF('r2'!A1066&gt;0,HYPERLINK("#"&amp;ADDRESS(1066,'r2'!A1066),""),""))</f>
        <v/>
      </c>
      <c r="C1066" s="31"/>
      <c r="D1066" s="32"/>
    </row>
    <row r="1067" spans="1:4" ht="24" customHeight="1" x14ac:dyDescent="0.25">
      <c r="A1067" t="str">
        <f>IF('e2'!A1067&gt;0,HYPERLINK("#"&amp;ADDRESS(1067,'e2'!A1067),""),IF('r2'!A1067&gt;0,HYPERLINK("#"&amp;ADDRESS(1067,'r2'!A1067),""),""))</f>
        <v/>
      </c>
      <c r="C1067" s="31"/>
      <c r="D1067" s="32"/>
    </row>
    <row r="1068" spans="1:4" ht="24" customHeight="1" x14ac:dyDescent="0.25">
      <c r="A1068" t="str">
        <f>IF('e2'!A1068&gt;0,HYPERLINK("#"&amp;ADDRESS(1068,'e2'!A1068),""),IF('r2'!A1068&gt;0,HYPERLINK("#"&amp;ADDRESS(1068,'r2'!A1068),""),""))</f>
        <v/>
      </c>
      <c r="C1068" s="31"/>
      <c r="D1068" s="32"/>
    </row>
    <row r="1069" spans="1:4" ht="24" customHeight="1" x14ac:dyDescent="0.25">
      <c r="A1069" t="str">
        <f>IF('e2'!A1069&gt;0,HYPERLINK("#"&amp;ADDRESS(1069,'e2'!A1069),""),IF('r2'!A1069&gt;0,HYPERLINK("#"&amp;ADDRESS(1069,'r2'!A1069),""),""))</f>
        <v/>
      </c>
      <c r="C1069" s="31"/>
      <c r="D1069" s="32"/>
    </row>
    <row r="1070" spans="1:4" ht="24" customHeight="1" x14ac:dyDescent="0.25">
      <c r="A1070" t="str">
        <f>IF('e2'!A1070&gt;0,HYPERLINK("#"&amp;ADDRESS(1070,'e2'!A1070),""),IF('r2'!A1070&gt;0,HYPERLINK("#"&amp;ADDRESS(1070,'r2'!A1070),""),""))</f>
        <v/>
      </c>
      <c r="C1070" s="31"/>
      <c r="D1070" s="32"/>
    </row>
    <row r="1071" spans="1:4" ht="24" customHeight="1" x14ac:dyDescent="0.25">
      <c r="A1071" t="str">
        <f>IF('e2'!A1071&gt;0,HYPERLINK("#"&amp;ADDRESS(1071,'e2'!A1071),""),IF('r2'!A1071&gt;0,HYPERLINK("#"&amp;ADDRESS(1071,'r2'!A1071),""),""))</f>
        <v/>
      </c>
      <c r="C1071" s="31"/>
      <c r="D1071" s="32"/>
    </row>
    <row r="1072" spans="1:4" ht="24" customHeight="1" x14ac:dyDescent="0.25">
      <c r="A1072" t="str">
        <f>IF('e2'!A1072&gt;0,HYPERLINK("#"&amp;ADDRESS(1072,'e2'!A1072),""),IF('r2'!A1072&gt;0,HYPERLINK("#"&amp;ADDRESS(1072,'r2'!A1072),""),""))</f>
        <v/>
      </c>
      <c r="C1072" s="31"/>
      <c r="D1072" s="32"/>
    </row>
    <row r="1073" spans="1:4" ht="24" customHeight="1" x14ac:dyDescent="0.25">
      <c r="A1073" t="str">
        <f>IF('e2'!A1073&gt;0,HYPERLINK("#"&amp;ADDRESS(1073,'e2'!A1073),""),IF('r2'!A1073&gt;0,HYPERLINK("#"&amp;ADDRESS(1073,'r2'!A1073),""),""))</f>
        <v/>
      </c>
      <c r="C1073" s="31"/>
      <c r="D1073" s="32"/>
    </row>
    <row r="1074" spans="1:4" ht="24" customHeight="1" x14ac:dyDescent="0.25">
      <c r="A1074" t="str">
        <f>IF('e2'!A1074&gt;0,HYPERLINK("#"&amp;ADDRESS(1074,'e2'!A1074),""),IF('r2'!A1074&gt;0,HYPERLINK("#"&amp;ADDRESS(1074,'r2'!A1074),""),""))</f>
        <v/>
      </c>
      <c r="C1074" s="31"/>
      <c r="D1074" s="32"/>
    </row>
    <row r="1075" spans="1:4" ht="24" customHeight="1" x14ac:dyDescent="0.25">
      <c r="A1075" t="str">
        <f>IF('e2'!A1075&gt;0,HYPERLINK("#"&amp;ADDRESS(1075,'e2'!A1075),""),IF('r2'!A1075&gt;0,HYPERLINK("#"&amp;ADDRESS(1075,'r2'!A1075),""),""))</f>
        <v/>
      </c>
      <c r="C1075" s="31"/>
      <c r="D1075" s="32"/>
    </row>
    <row r="1076" spans="1:4" ht="24" customHeight="1" x14ac:dyDescent="0.25">
      <c r="A1076" t="str">
        <f>IF('e2'!A1076&gt;0,HYPERLINK("#"&amp;ADDRESS(1076,'e2'!A1076),""),IF('r2'!A1076&gt;0,HYPERLINK("#"&amp;ADDRESS(1076,'r2'!A1076),""),""))</f>
        <v/>
      </c>
      <c r="C1076" s="31"/>
      <c r="D1076" s="32"/>
    </row>
    <row r="1077" spans="1:4" ht="24" customHeight="1" x14ac:dyDescent="0.25">
      <c r="A1077" t="str">
        <f>IF('e2'!A1077&gt;0,HYPERLINK("#"&amp;ADDRESS(1077,'e2'!A1077),""),IF('r2'!A1077&gt;0,HYPERLINK("#"&amp;ADDRESS(1077,'r2'!A1077),""),""))</f>
        <v/>
      </c>
      <c r="C1077" s="31"/>
      <c r="D1077" s="32"/>
    </row>
    <row r="1078" spans="1:4" ht="24" customHeight="1" x14ac:dyDescent="0.25">
      <c r="A1078" t="str">
        <f>IF('e2'!A1078&gt;0,HYPERLINK("#"&amp;ADDRESS(1078,'e2'!A1078),""),IF('r2'!A1078&gt;0,HYPERLINK("#"&amp;ADDRESS(1078,'r2'!A1078),""),""))</f>
        <v/>
      </c>
      <c r="C1078" s="31"/>
      <c r="D1078" s="32"/>
    </row>
    <row r="1079" spans="1:4" ht="24" customHeight="1" x14ac:dyDescent="0.25">
      <c r="A1079" t="str">
        <f>IF('e2'!A1079&gt;0,HYPERLINK("#"&amp;ADDRESS(1079,'e2'!A1079),""),IF('r2'!A1079&gt;0,HYPERLINK("#"&amp;ADDRESS(1079,'r2'!A1079),""),""))</f>
        <v/>
      </c>
      <c r="C1079" s="31"/>
      <c r="D1079" s="32"/>
    </row>
    <row r="1080" spans="1:4" ht="24" customHeight="1" x14ac:dyDescent="0.25">
      <c r="A1080" t="str">
        <f>IF('e2'!A1080&gt;0,HYPERLINK("#"&amp;ADDRESS(1080,'e2'!A1080),""),IF('r2'!A1080&gt;0,HYPERLINK("#"&amp;ADDRESS(1080,'r2'!A1080),""),""))</f>
        <v/>
      </c>
      <c r="C1080" s="31"/>
      <c r="D1080" s="32"/>
    </row>
    <row r="1081" spans="1:4" ht="24" customHeight="1" x14ac:dyDescent="0.25">
      <c r="A1081" t="str">
        <f>IF('e2'!A1081&gt;0,HYPERLINK("#"&amp;ADDRESS(1081,'e2'!A1081),""),IF('r2'!A1081&gt;0,HYPERLINK("#"&amp;ADDRESS(1081,'r2'!A1081),""),""))</f>
        <v/>
      </c>
      <c r="C1081" s="31"/>
      <c r="D1081" s="32"/>
    </row>
    <row r="1082" spans="1:4" ht="24" customHeight="1" x14ac:dyDescent="0.25">
      <c r="A1082" t="str">
        <f>IF('e2'!A1082&gt;0,HYPERLINK("#"&amp;ADDRESS(1082,'e2'!A1082),""),IF('r2'!A1082&gt;0,HYPERLINK("#"&amp;ADDRESS(1082,'r2'!A1082),""),""))</f>
        <v/>
      </c>
      <c r="C1082" s="31"/>
      <c r="D1082" s="32"/>
    </row>
    <row r="1083" spans="1:4" ht="24" customHeight="1" x14ac:dyDescent="0.25">
      <c r="A1083" t="str">
        <f>IF('e2'!A1083&gt;0,HYPERLINK("#"&amp;ADDRESS(1083,'e2'!A1083),""),IF('r2'!A1083&gt;0,HYPERLINK("#"&amp;ADDRESS(1083,'r2'!A1083),""),""))</f>
        <v/>
      </c>
      <c r="C1083" s="31"/>
      <c r="D1083" s="32"/>
    </row>
    <row r="1084" spans="1:4" ht="24" customHeight="1" x14ac:dyDescent="0.25">
      <c r="A1084" t="str">
        <f>IF('e2'!A1084&gt;0,HYPERLINK("#"&amp;ADDRESS(1084,'e2'!A1084),""),IF('r2'!A1084&gt;0,HYPERLINK("#"&amp;ADDRESS(1084,'r2'!A1084),""),""))</f>
        <v/>
      </c>
      <c r="C1084" s="31"/>
      <c r="D1084" s="32"/>
    </row>
    <row r="1085" spans="1:4" ht="24" customHeight="1" x14ac:dyDescent="0.25">
      <c r="A1085" t="str">
        <f>IF('e2'!A1085&gt;0,HYPERLINK("#"&amp;ADDRESS(1085,'e2'!A1085),""),IF('r2'!A1085&gt;0,HYPERLINK("#"&amp;ADDRESS(1085,'r2'!A1085),""),""))</f>
        <v/>
      </c>
      <c r="C1085" s="31"/>
      <c r="D1085" s="32"/>
    </row>
    <row r="1086" spans="1:4" ht="24" customHeight="1" x14ac:dyDescent="0.25">
      <c r="A1086" t="str">
        <f>IF('e2'!A1086&gt;0,HYPERLINK("#"&amp;ADDRESS(1086,'e2'!A1086),""),IF('r2'!A1086&gt;0,HYPERLINK("#"&amp;ADDRESS(1086,'r2'!A1086),""),""))</f>
        <v/>
      </c>
      <c r="C1086" s="31"/>
      <c r="D1086" s="32"/>
    </row>
    <row r="1087" spans="1:4" ht="24" customHeight="1" x14ac:dyDescent="0.25">
      <c r="A1087" t="str">
        <f>IF('e2'!A1087&gt;0,HYPERLINK("#"&amp;ADDRESS(1087,'e2'!A1087),""),IF('r2'!A1087&gt;0,HYPERLINK("#"&amp;ADDRESS(1087,'r2'!A1087),""),""))</f>
        <v/>
      </c>
      <c r="C1087" s="31"/>
      <c r="D1087" s="32"/>
    </row>
    <row r="1088" spans="1:4" ht="24" customHeight="1" x14ac:dyDescent="0.25">
      <c r="A1088" t="str">
        <f>IF('e2'!A1088&gt;0,HYPERLINK("#"&amp;ADDRESS(1088,'e2'!A1088),""),IF('r2'!A1088&gt;0,HYPERLINK("#"&amp;ADDRESS(1088,'r2'!A1088),""),""))</f>
        <v/>
      </c>
      <c r="C1088" s="31"/>
      <c r="D1088" s="32"/>
    </row>
    <row r="1089" spans="1:4" ht="24" customHeight="1" x14ac:dyDescent="0.25">
      <c r="A1089" t="str">
        <f>IF('e2'!A1089&gt;0,HYPERLINK("#"&amp;ADDRESS(1089,'e2'!A1089),""),IF('r2'!A1089&gt;0,HYPERLINK("#"&amp;ADDRESS(1089,'r2'!A1089),""),""))</f>
        <v/>
      </c>
      <c r="C1089" s="31"/>
      <c r="D1089" s="32"/>
    </row>
    <row r="1090" spans="1:4" ht="24" customHeight="1" x14ac:dyDescent="0.25">
      <c r="A1090" t="str">
        <f>IF('e2'!A1090&gt;0,HYPERLINK("#"&amp;ADDRESS(1090,'e2'!A1090),""),IF('r2'!A1090&gt;0,HYPERLINK("#"&amp;ADDRESS(1090,'r2'!A1090),""),""))</f>
        <v/>
      </c>
      <c r="C1090" s="31"/>
      <c r="D1090" s="32"/>
    </row>
    <row r="1091" spans="1:4" ht="24" customHeight="1" x14ac:dyDescent="0.25">
      <c r="A1091" t="str">
        <f>IF('e2'!A1091&gt;0,HYPERLINK("#"&amp;ADDRESS(1091,'e2'!A1091),""),IF('r2'!A1091&gt;0,HYPERLINK("#"&amp;ADDRESS(1091,'r2'!A1091),""),""))</f>
        <v/>
      </c>
      <c r="C1091" s="31"/>
      <c r="D1091" s="32"/>
    </row>
    <row r="1092" spans="1:4" ht="24" customHeight="1" x14ac:dyDescent="0.25">
      <c r="A1092" t="str">
        <f>IF('e2'!A1092&gt;0,HYPERLINK("#"&amp;ADDRESS(1092,'e2'!A1092),""),IF('r2'!A1092&gt;0,HYPERLINK("#"&amp;ADDRESS(1092,'r2'!A1092),""),""))</f>
        <v/>
      </c>
      <c r="C1092" s="31"/>
      <c r="D1092" s="32"/>
    </row>
    <row r="1093" spans="1:4" ht="24" customHeight="1" x14ac:dyDescent="0.25">
      <c r="A1093" t="str">
        <f>IF('e2'!A1093&gt;0,HYPERLINK("#"&amp;ADDRESS(1093,'e2'!A1093),""),IF('r2'!A1093&gt;0,HYPERLINK("#"&amp;ADDRESS(1093,'r2'!A1093),""),""))</f>
        <v/>
      </c>
      <c r="C1093" s="31"/>
      <c r="D1093" s="32"/>
    </row>
    <row r="1094" spans="1:4" ht="24" customHeight="1" x14ac:dyDescent="0.25">
      <c r="A1094" t="str">
        <f>IF('e2'!A1094&gt;0,HYPERLINK("#"&amp;ADDRESS(1094,'e2'!A1094),""),IF('r2'!A1094&gt;0,HYPERLINK("#"&amp;ADDRESS(1094,'r2'!A1094),""),""))</f>
        <v/>
      </c>
      <c r="C1094" s="31"/>
      <c r="D1094" s="32"/>
    </row>
    <row r="1095" spans="1:4" ht="24" customHeight="1" x14ac:dyDescent="0.25">
      <c r="A1095" t="str">
        <f>IF('e2'!A1095&gt;0,HYPERLINK("#"&amp;ADDRESS(1095,'e2'!A1095),""),IF('r2'!A1095&gt;0,HYPERLINK("#"&amp;ADDRESS(1095,'r2'!A1095),""),""))</f>
        <v/>
      </c>
      <c r="C1095" s="31"/>
      <c r="D1095" s="32"/>
    </row>
    <row r="1096" spans="1:4" ht="24" customHeight="1" x14ac:dyDescent="0.25">
      <c r="A1096" t="str">
        <f>IF('e2'!A1096&gt;0,HYPERLINK("#"&amp;ADDRESS(1096,'e2'!A1096),""),IF('r2'!A1096&gt;0,HYPERLINK("#"&amp;ADDRESS(1096,'r2'!A1096),""),""))</f>
        <v/>
      </c>
      <c r="C1096" s="31"/>
      <c r="D1096" s="32"/>
    </row>
    <row r="1097" spans="1:4" ht="24" customHeight="1" x14ac:dyDescent="0.25">
      <c r="A1097" t="str">
        <f>IF('e2'!A1097&gt;0,HYPERLINK("#"&amp;ADDRESS(1097,'e2'!A1097),""),IF('r2'!A1097&gt;0,HYPERLINK("#"&amp;ADDRESS(1097,'r2'!A1097),""),""))</f>
        <v/>
      </c>
      <c r="C1097" s="31"/>
      <c r="D1097" s="32"/>
    </row>
    <row r="1098" spans="1:4" ht="24" customHeight="1" x14ac:dyDescent="0.25">
      <c r="A1098" t="str">
        <f>IF('e2'!A1098&gt;0,HYPERLINK("#"&amp;ADDRESS(1098,'e2'!A1098),""),IF('r2'!A1098&gt;0,HYPERLINK("#"&amp;ADDRESS(1098,'r2'!A1098),""),""))</f>
        <v/>
      </c>
      <c r="C1098" s="31"/>
      <c r="D1098" s="32"/>
    </row>
    <row r="1099" spans="1:4" ht="24" customHeight="1" x14ac:dyDescent="0.25">
      <c r="A1099" t="str">
        <f>IF('e2'!A1099&gt;0,HYPERLINK("#"&amp;ADDRESS(1099,'e2'!A1099),""),IF('r2'!A1099&gt;0,HYPERLINK("#"&amp;ADDRESS(1099,'r2'!A1099),""),""))</f>
        <v/>
      </c>
      <c r="C1099" s="31"/>
      <c r="D1099" s="32"/>
    </row>
    <row r="1100" spans="1:4" ht="24" customHeight="1" x14ac:dyDescent="0.25">
      <c r="A1100" t="str">
        <f>IF('e2'!A1100&gt;0,HYPERLINK("#"&amp;ADDRESS(1100,'e2'!A1100),""),IF('r2'!A1100&gt;0,HYPERLINK("#"&amp;ADDRESS(1100,'r2'!A1100),""),""))</f>
        <v/>
      </c>
      <c r="C1100" s="31"/>
      <c r="D1100" s="32"/>
    </row>
    <row r="1101" spans="1:4" ht="24" customHeight="1" x14ac:dyDescent="0.25">
      <c r="A1101" t="str">
        <f>IF('e2'!A1101&gt;0,HYPERLINK("#"&amp;ADDRESS(1101,'e2'!A1101),""),IF('r2'!A1101&gt;0,HYPERLINK("#"&amp;ADDRESS(1101,'r2'!A1101),""),""))</f>
        <v/>
      </c>
      <c r="C1101" s="31"/>
      <c r="D1101" s="32"/>
    </row>
    <row r="1102" spans="1:4" ht="24" customHeight="1" x14ac:dyDescent="0.25">
      <c r="A1102" t="str">
        <f>IF('e2'!A1102&gt;0,HYPERLINK("#"&amp;ADDRESS(1102,'e2'!A1102),""),IF('r2'!A1102&gt;0,HYPERLINK("#"&amp;ADDRESS(1102,'r2'!A1102),""),""))</f>
        <v/>
      </c>
      <c r="C1102" s="31"/>
      <c r="D1102" s="32"/>
    </row>
    <row r="1103" spans="1:4" ht="24" customHeight="1" x14ac:dyDescent="0.25">
      <c r="A1103" t="str">
        <f>IF('e2'!A1103&gt;0,HYPERLINK("#"&amp;ADDRESS(1103,'e2'!A1103),""),IF('r2'!A1103&gt;0,HYPERLINK("#"&amp;ADDRESS(1103,'r2'!A1103),""),""))</f>
        <v/>
      </c>
      <c r="C1103" s="31"/>
      <c r="D1103" s="32"/>
    </row>
    <row r="1104" spans="1:4" ht="24" customHeight="1" x14ac:dyDescent="0.25">
      <c r="A1104" t="str">
        <f>IF('e2'!A1104&gt;0,HYPERLINK("#"&amp;ADDRESS(1104,'e2'!A1104),""),IF('r2'!A1104&gt;0,HYPERLINK("#"&amp;ADDRESS(1104,'r2'!A1104),""),""))</f>
        <v/>
      </c>
      <c r="C1104" s="31"/>
      <c r="D1104" s="32"/>
    </row>
    <row r="1105" spans="1:4" ht="24" customHeight="1" x14ac:dyDescent="0.25">
      <c r="A1105" t="str">
        <f>IF('e2'!A1105&gt;0,HYPERLINK("#"&amp;ADDRESS(1105,'e2'!A1105),""),IF('r2'!A1105&gt;0,HYPERLINK("#"&amp;ADDRESS(1105,'r2'!A1105),""),""))</f>
        <v/>
      </c>
      <c r="C1105" s="31"/>
      <c r="D1105" s="32"/>
    </row>
    <row r="1106" spans="1:4" ht="24" customHeight="1" x14ac:dyDescent="0.25">
      <c r="A1106" t="str">
        <f>IF('e2'!A1106&gt;0,HYPERLINK("#"&amp;ADDRESS(1106,'e2'!A1106),""),IF('r2'!A1106&gt;0,HYPERLINK("#"&amp;ADDRESS(1106,'r2'!A1106),""),""))</f>
        <v/>
      </c>
      <c r="C1106" s="31"/>
      <c r="D1106" s="32"/>
    </row>
    <row r="1107" spans="1:4" ht="24" customHeight="1" x14ac:dyDescent="0.25">
      <c r="A1107" t="str">
        <f>IF('e2'!A1107&gt;0,HYPERLINK("#"&amp;ADDRESS(1107,'e2'!A1107),""),IF('r2'!A1107&gt;0,HYPERLINK("#"&amp;ADDRESS(1107,'r2'!A1107),""),""))</f>
        <v/>
      </c>
      <c r="C1107" s="31"/>
      <c r="D1107" s="32"/>
    </row>
    <row r="1108" spans="1:4" ht="24" customHeight="1" x14ac:dyDescent="0.25">
      <c r="A1108" t="str">
        <f>IF('e2'!A1108&gt;0,HYPERLINK("#"&amp;ADDRESS(1108,'e2'!A1108),""),IF('r2'!A1108&gt;0,HYPERLINK("#"&amp;ADDRESS(1108,'r2'!A1108),""),""))</f>
        <v/>
      </c>
      <c r="C1108" s="31"/>
      <c r="D1108" s="32"/>
    </row>
    <row r="1109" spans="1:4" ht="24" customHeight="1" x14ac:dyDescent="0.25">
      <c r="A1109" t="str">
        <f>IF('e2'!A1109&gt;0,HYPERLINK("#"&amp;ADDRESS(1109,'e2'!A1109),""),IF('r2'!A1109&gt;0,HYPERLINK("#"&amp;ADDRESS(1109,'r2'!A1109),""),""))</f>
        <v/>
      </c>
      <c r="C1109" s="31"/>
      <c r="D1109" s="32"/>
    </row>
    <row r="1110" spans="1:4" ht="24" customHeight="1" x14ac:dyDescent="0.25">
      <c r="A1110" t="str">
        <f>IF('e2'!A1110&gt;0,HYPERLINK("#"&amp;ADDRESS(1110,'e2'!A1110),""),IF('r2'!A1110&gt;0,HYPERLINK("#"&amp;ADDRESS(1110,'r2'!A1110),""),""))</f>
        <v/>
      </c>
      <c r="C1110" s="31"/>
      <c r="D1110" s="32"/>
    </row>
    <row r="1111" spans="1:4" ht="24" customHeight="1" x14ac:dyDescent="0.25">
      <c r="A1111" t="str">
        <f>IF('e2'!A1111&gt;0,HYPERLINK("#"&amp;ADDRESS(1111,'e2'!A1111),""),IF('r2'!A1111&gt;0,HYPERLINK("#"&amp;ADDRESS(1111,'r2'!A1111),""),""))</f>
        <v/>
      </c>
      <c r="C1111" s="31"/>
      <c r="D1111" s="32"/>
    </row>
    <row r="1112" spans="1:4" ht="24" customHeight="1" x14ac:dyDescent="0.25">
      <c r="A1112" t="str">
        <f>IF('e2'!A1112&gt;0,HYPERLINK("#"&amp;ADDRESS(1112,'e2'!A1112),""),IF('r2'!A1112&gt;0,HYPERLINK("#"&amp;ADDRESS(1112,'r2'!A1112),""),""))</f>
        <v/>
      </c>
      <c r="C1112" s="31"/>
      <c r="D1112" s="32"/>
    </row>
    <row r="1113" spans="1:4" ht="24" customHeight="1" x14ac:dyDescent="0.25">
      <c r="A1113" t="str">
        <f>IF('e2'!A1113&gt;0,HYPERLINK("#"&amp;ADDRESS(1113,'e2'!A1113),""),IF('r2'!A1113&gt;0,HYPERLINK("#"&amp;ADDRESS(1113,'r2'!A1113),""),""))</f>
        <v/>
      </c>
      <c r="C1113" s="31"/>
      <c r="D1113" s="32"/>
    </row>
    <row r="1114" spans="1:4" ht="24" customHeight="1" x14ac:dyDescent="0.25">
      <c r="A1114" t="str">
        <f>IF('e2'!A1114&gt;0,HYPERLINK("#"&amp;ADDRESS(1114,'e2'!A1114),""),IF('r2'!A1114&gt;0,HYPERLINK("#"&amp;ADDRESS(1114,'r2'!A1114),""),""))</f>
        <v/>
      </c>
      <c r="C1114" s="31"/>
      <c r="D1114" s="32"/>
    </row>
    <row r="1115" spans="1:4" ht="24" customHeight="1" x14ac:dyDescent="0.25">
      <c r="A1115" t="str">
        <f>IF('e2'!A1115&gt;0,HYPERLINK("#"&amp;ADDRESS(1115,'e2'!A1115),""),IF('r2'!A1115&gt;0,HYPERLINK("#"&amp;ADDRESS(1115,'r2'!A1115),""),""))</f>
        <v/>
      </c>
      <c r="C1115" s="31"/>
      <c r="D1115" s="32"/>
    </row>
    <row r="1116" spans="1:4" ht="24" customHeight="1" x14ac:dyDescent="0.25">
      <c r="A1116" t="str">
        <f>IF('e2'!A1116&gt;0,HYPERLINK("#"&amp;ADDRESS(1116,'e2'!A1116),""),IF('r2'!A1116&gt;0,HYPERLINK("#"&amp;ADDRESS(1116,'r2'!A1116),""),""))</f>
        <v/>
      </c>
      <c r="C1116" s="31"/>
      <c r="D1116" s="32"/>
    </row>
    <row r="1117" spans="1:4" ht="24" customHeight="1" x14ac:dyDescent="0.25">
      <c r="A1117" t="str">
        <f>IF('e2'!A1117&gt;0,HYPERLINK("#"&amp;ADDRESS(1117,'e2'!A1117),""),IF('r2'!A1117&gt;0,HYPERLINK("#"&amp;ADDRESS(1117,'r2'!A1117),""),""))</f>
        <v/>
      </c>
      <c r="C1117" s="31"/>
      <c r="D1117" s="32"/>
    </row>
    <row r="1118" spans="1:4" ht="24" customHeight="1" x14ac:dyDescent="0.25">
      <c r="A1118" t="str">
        <f>IF('e2'!A1118&gt;0,HYPERLINK("#"&amp;ADDRESS(1118,'e2'!A1118),""),IF('r2'!A1118&gt;0,HYPERLINK("#"&amp;ADDRESS(1118,'r2'!A1118),""),""))</f>
        <v/>
      </c>
      <c r="C1118" s="31"/>
      <c r="D1118" s="32"/>
    </row>
    <row r="1119" spans="1:4" ht="24" customHeight="1" x14ac:dyDescent="0.25">
      <c r="A1119" t="str">
        <f>IF('e2'!A1119&gt;0,HYPERLINK("#"&amp;ADDRESS(1119,'e2'!A1119),""),IF('r2'!A1119&gt;0,HYPERLINK("#"&amp;ADDRESS(1119,'r2'!A1119),""),""))</f>
        <v/>
      </c>
      <c r="C1119" s="31"/>
      <c r="D1119" s="32"/>
    </row>
    <row r="1120" spans="1:4" ht="24" customHeight="1" x14ac:dyDescent="0.25">
      <c r="A1120" t="str">
        <f>IF('e2'!A1120&gt;0,HYPERLINK("#"&amp;ADDRESS(1120,'e2'!A1120),""),IF('r2'!A1120&gt;0,HYPERLINK("#"&amp;ADDRESS(1120,'r2'!A1120),""),""))</f>
        <v/>
      </c>
      <c r="C1120" s="31"/>
      <c r="D1120" s="32"/>
    </row>
    <row r="1121" spans="1:4" ht="24" customHeight="1" x14ac:dyDescent="0.25">
      <c r="A1121" t="str">
        <f>IF('e2'!A1121&gt;0,HYPERLINK("#"&amp;ADDRESS(1121,'e2'!A1121),""),IF('r2'!A1121&gt;0,HYPERLINK("#"&amp;ADDRESS(1121,'r2'!A1121),""),""))</f>
        <v/>
      </c>
      <c r="C1121" s="31"/>
      <c r="D1121" s="32"/>
    </row>
    <row r="1122" spans="1:4" ht="24" customHeight="1" x14ac:dyDescent="0.25">
      <c r="A1122" t="str">
        <f>IF('e2'!A1122&gt;0,HYPERLINK("#"&amp;ADDRESS(1122,'e2'!A1122),""),IF('r2'!A1122&gt;0,HYPERLINK("#"&amp;ADDRESS(1122,'r2'!A1122),""),""))</f>
        <v/>
      </c>
      <c r="C1122" s="31"/>
      <c r="D1122" s="32"/>
    </row>
    <row r="1123" spans="1:4" ht="24" customHeight="1" x14ac:dyDescent="0.25">
      <c r="A1123" t="str">
        <f>IF('e2'!A1123&gt;0,HYPERLINK("#"&amp;ADDRESS(1123,'e2'!A1123),""),IF('r2'!A1123&gt;0,HYPERLINK("#"&amp;ADDRESS(1123,'r2'!A1123),""),""))</f>
        <v/>
      </c>
      <c r="C1123" s="31"/>
      <c r="D1123" s="32"/>
    </row>
    <row r="1124" spans="1:4" ht="24" customHeight="1" x14ac:dyDescent="0.25">
      <c r="A1124" t="str">
        <f>IF('e2'!A1124&gt;0,HYPERLINK("#"&amp;ADDRESS(1124,'e2'!A1124),""),IF('r2'!A1124&gt;0,HYPERLINK("#"&amp;ADDRESS(1124,'r2'!A1124),""),""))</f>
        <v/>
      </c>
      <c r="C1124" s="31"/>
      <c r="D1124" s="32"/>
    </row>
    <row r="1125" spans="1:4" ht="24" customHeight="1" x14ac:dyDescent="0.25">
      <c r="A1125" t="str">
        <f>IF('e2'!A1125&gt;0,HYPERLINK("#"&amp;ADDRESS(1125,'e2'!A1125),""),IF('r2'!A1125&gt;0,HYPERLINK("#"&amp;ADDRESS(1125,'r2'!A1125),""),""))</f>
        <v/>
      </c>
      <c r="C1125" s="31"/>
      <c r="D1125" s="32"/>
    </row>
    <row r="1126" spans="1:4" ht="24" customHeight="1" x14ac:dyDescent="0.25">
      <c r="A1126" t="str">
        <f>IF('e2'!A1126&gt;0,HYPERLINK("#"&amp;ADDRESS(1126,'e2'!A1126),""),IF('r2'!A1126&gt;0,HYPERLINK("#"&amp;ADDRESS(1126,'r2'!A1126),""),""))</f>
        <v/>
      </c>
      <c r="C1126" s="31"/>
      <c r="D1126" s="32"/>
    </row>
    <row r="1127" spans="1:4" ht="24" customHeight="1" x14ac:dyDescent="0.25">
      <c r="A1127" t="str">
        <f>IF('e2'!A1127&gt;0,HYPERLINK("#"&amp;ADDRESS(1127,'e2'!A1127),""),IF('r2'!A1127&gt;0,HYPERLINK("#"&amp;ADDRESS(1127,'r2'!A1127),""),""))</f>
        <v/>
      </c>
      <c r="C1127" s="31"/>
      <c r="D1127" s="32"/>
    </row>
    <row r="1128" spans="1:4" ht="24" customHeight="1" x14ac:dyDescent="0.25">
      <c r="A1128" t="str">
        <f>IF('e2'!A1128&gt;0,HYPERLINK("#"&amp;ADDRESS(1128,'e2'!A1128),""),IF('r2'!A1128&gt;0,HYPERLINK("#"&amp;ADDRESS(1128,'r2'!A1128),""),""))</f>
        <v/>
      </c>
      <c r="C1128" s="31"/>
      <c r="D1128" s="32"/>
    </row>
    <row r="1129" spans="1:4" ht="24" customHeight="1" x14ac:dyDescent="0.25">
      <c r="A1129" t="str">
        <f>IF('e2'!A1129&gt;0,HYPERLINK("#"&amp;ADDRESS(1129,'e2'!A1129),""),IF('r2'!A1129&gt;0,HYPERLINK("#"&amp;ADDRESS(1129,'r2'!A1129),""),""))</f>
        <v/>
      </c>
      <c r="C1129" s="31"/>
      <c r="D1129" s="32"/>
    </row>
    <row r="1130" spans="1:4" ht="24" customHeight="1" x14ac:dyDescent="0.25">
      <c r="A1130" t="str">
        <f>IF('e2'!A1130&gt;0,HYPERLINK("#"&amp;ADDRESS(1130,'e2'!A1130),""),IF('r2'!A1130&gt;0,HYPERLINK("#"&amp;ADDRESS(1130,'r2'!A1130),""),""))</f>
        <v/>
      </c>
      <c r="C1130" s="31"/>
      <c r="D1130" s="32"/>
    </row>
    <row r="1131" spans="1:4" ht="24" customHeight="1" x14ac:dyDescent="0.25">
      <c r="A1131" t="str">
        <f>IF('e2'!A1131&gt;0,HYPERLINK("#"&amp;ADDRESS(1131,'e2'!A1131),""),IF('r2'!A1131&gt;0,HYPERLINK("#"&amp;ADDRESS(1131,'r2'!A1131),""),""))</f>
        <v/>
      </c>
      <c r="C1131" s="31"/>
      <c r="D1131" s="32"/>
    </row>
    <row r="1132" spans="1:4" ht="24" customHeight="1" x14ac:dyDescent="0.25">
      <c r="A1132" t="str">
        <f>IF('e2'!A1132&gt;0,HYPERLINK("#"&amp;ADDRESS(1132,'e2'!A1132),""),IF('r2'!A1132&gt;0,HYPERLINK("#"&amp;ADDRESS(1132,'r2'!A1132),""),""))</f>
        <v/>
      </c>
      <c r="C1132" s="31"/>
      <c r="D1132" s="32"/>
    </row>
    <row r="1133" spans="1:4" ht="24" customHeight="1" x14ac:dyDescent="0.25">
      <c r="A1133" t="str">
        <f>IF('e2'!A1133&gt;0,HYPERLINK("#"&amp;ADDRESS(1133,'e2'!A1133),""),IF('r2'!A1133&gt;0,HYPERLINK("#"&amp;ADDRESS(1133,'r2'!A1133),""),""))</f>
        <v/>
      </c>
      <c r="C1133" s="31"/>
      <c r="D1133" s="32"/>
    </row>
    <row r="1134" spans="1:4" ht="24" customHeight="1" x14ac:dyDescent="0.25">
      <c r="A1134" t="str">
        <f>IF('e2'!A1134&gt;0,HYPERLINK("#"&amp;ADDRESS(1134,'e2'!A1134),""),IF('r2'!A1134&gt;0,HYPERLINK("#"&amp;ADDRESS(1134,'r2'!A1134),""),""))</f>
        <v/>
      </c>
      <c r="C1134" s="31"/>
      <c r="D1134" s="32"/>
    </row>
    <row r="1135" spans="1:4" ht="24" customHeight="1" x14ac:dyDescent="0.25">
      <c r="A1135" t="str">
        <f>IF('e2'!A1135&gt;0,HYPERLINK("#"&amp;ADDRESS(1135,'e2'!A1135),""),IF('r2'!A1135&gt;0,HYPERLINK("#"&amp;ADDRESS(1135,'r2'!A1135),""),""))</f>
        <v/>
      </c>
      <c r="C1135" s="31"/>
      <c r="D1135" s="32"/>
    </row>
    <row r="1136" spans="1:4" ht="24" customHeight="1" x14ac:dyDescent="0.25">
      <c r="A1136" t="str">
        <f>IF('e2'!A1136&gt;0,HYPERLINK("#"&amp;ADDRESS(1136,'e2'!A1136),""),IF('r2'!A1136&gt;0,HYPERLINK("#"&amp;ADDRESS(1136,'r2'!A1136),""),""))</f>
        <v/>
      </c>
      <c r="C1136" s="31"/>
      <c r="D1136" s="32"/>
    </row>
    <row r="1137" spans="1:4" ht="24" customHeight="1" x14ac:dyDescent="0.25">
      <c r="A1137" t="str">
        <f>IF('e2'!A1137&gt;0,HYPERLINK("#"&amp;ADDRESS(1137,'e2'!A1137),""),IF('r2'!A1137&gt;0,HYPERLINK("#"&amp;ADDRESS(1137,'r2'!A1137),""),""))</f>
        <v/>
      </c>
      <c r="C1137" s="31"/>
      <c r="D1137" s="32"/>
    </row>
    <row r="1138" spans="1:4" ht="24" customHeight="1" x14ac:dyDescent="0.25">
      <c r="A1138" t="str">
        <f>IF('e2'!A1138&gt;0,HYPERLINK("#"&amp;ADDRESS(1138,'e2'!A1138),""),IF('r2'!A1138&gt;0,HYPERLINK("#"&amp;ADDRESS(1138,'r2'!A1138),""),""))</f>
        <v/>
      </c>
      <c r="C1138" s="31"/>
      <c r="D1138" s="32"/>
    </row>
    <row r="1139" spans="1:4" ht="24" customHeight="1" x14ac:dyDescent="0.25">
      <c r="A1139" t="str">
        <f>IF('e2'!A1139&gt;0,HYPERLINK("#"&amp;ADDRESS(1139,'e2'!A1139),""),IF('r2'!A1139&gt;0,HYPERLINK("#"&amp;ADDRESS(1139,'r2'!A1139),""),""))</f>
        <v/>
      </c>
      <c r="C1139" s="31"/>
      <c r="D1139" s="32"/>
    </row>
    <row r="1140" spans="1:4" ht="24" customHeight="1" x14ac:dyDescent="0.25">
      <c r="A1140" t="str">
        <f>IF('e2'!A1140&gt;0,HYPERLINK("#"&amp;ADDRESS(1140,'e2'!A1140),""),IF('r2'!A1140&gt;0,HYPERLINK("#"&amp;ADDRESS(1140,'r2'!A1140),""),""))</f>
        <v/>
      </c>
      <c r="C1140" s="31"/>
      <c r="D1140" s="32"/>
    </row>
    <row r="1141" spans="1:4" ht="24" customHeight="1" x14ac:dyDescent="0.25">
      <c r="A1141" t="str">
        <f>IF('e2'!A1141&gt;0,HYPERLINK("#"&amp;ADDRESS(1141,'e2'!A1141),""),IF('r2'!A1141&gt;0,HYPERLINK("#"&amp;ADDRESS(1141,'r2'!A1141),""),""))</f>
        <v/>
      </c>
      <c r="C1141" s="31"/>
      <c r="D1141" s="32"/>
    </row>
    <row r="1142" spans="1:4" ht="24" customHeight="1" x14ac:dyDescent="0.25">
      <c r="A1142" t="str">
        <f>IF('e2'!A1142&gt;0,HYPERLINK("#"&amp;ADDRESS(1142,'e2'!A1142),""),IF('r2'!A1142&gt;0,HYPERLINK("#"&amp;ADDRESS(1142,'r2'!A1142),""),""))</f>
        <v/>
      </c>
      <c r="C1142" s="31"/>
      <c r="D1142" s="32"/>
    </row>
    <row r="1143" spans="1:4" ht="24" customHeight="1" x14ac:dyDescent="0.25">
      <c r="A1143" t="str">
        <f>IF('e2'!A1143&gt;0,HYPERLINK("#"&amp;ADDRESS(1143,'e2'!A1143),""),IF('r2'!A1143&gt;0,HYPERLINK("#"&amp;ADDRESS(1143,'r2'!A1143),""),""))</f>
        <v/>
      </c>
      <c r="C1143" s="31"/>
      <c r="D1143" s="32"/>
    </row>
    <row r="1144" spans="1:4" ht="24" customHeight="1" x14ac:dyDescent="0.25">
      <c r="A1144" t="str">
        <f>IF('e2'!A1144&gt;0,HYPERLINK("#"&amp;ADDRESS(1144,'e2'!A1144),""),IF('r2'!A1144&gt;0,HYPERLINK("#"&amp;ADDRESS(1144,'r2'!A1144),""),""))</f>
        <v/>
      </c>
      <c r="C1144" s="31"/>
      <c r="D1144" s="32"/>
    </row>
    <row r="1145" spans="1:4" ht="24" customHeight="1" x14ac:dyDescent="0.25">
      <c r="A1145" t="str">
        <f>IF('e2'!A1145&gt;0,HYPERLINK("#"&amp;ADDRESS(1145,'e2'!A1145),""),IF('r2'!A1145&gt;0,HYPERLINK("#"&amp;ADDRESS(1145,'r2'!A1145),""),""))</f>
        <v/>
      </c>
      <c r="C1145" s="31"/>
      <c r="D1145" s="32"/>
    </row>
    <row r="1146" spans="1:4" ht="24" customHeight="1" x14ac:dyDescent="0.25">
      <c r="A1146" t="str">
        <f>IF('e2'!A1146&gt;0,HYPERLINK("#"&amp;ADDRESS(1146,'e2'!A1146),""),IF('r2'!A1146&gt;0,HYPERLINK("#"&amp;ADDRESS(1146,'r2'!A1146),""),""))</f>
        <v/>
      </c>
      <c r="C1146" s="31"/>
      <c r="D1146" s="32"/>
    </row>
    <row r="1147" spans="1:4" ht="24" customHeight="1" x14ac:dyDescent="0.25">
      <c r="A1147" t="str">
        <f>IF('e2'!A1147&gt;0,HYPERLINK("#"&amp;ADDRESS(1147,'e2'!A1147),""),IF('r2'!A1147&gt;0,HYPERLINK("#"&amp;ADDRESS(1147,'r2'!A1147),""),""))</f>
        <v/>
      </c>
      <c r="C1147" s="31"/>
      <c r="D1147" s="32"/>
    </row>
    <row r="1148" spans="1:4" ht="24" customHeight="1" x14ac:dyDescent="0.25">
      <c r="A1148" t="str">
        <f>IF('e2'!A1148&gt;0,HYPERLINK("#"&amp;ADDRESS(1148,'e2'!A1148),""),IF('r2'!A1148&gt;0,HYPERLINK("#"&amp;ADDRESS(1148,'r2'!A1148),""),""))</f>
        <v/>
      </c>
      <c r="C1148" s="31"/>
      <c r="D1148" s="32"/>
    </row>
    <row r="1149" spans="1:4" ht="24" customHeight="1" x14ac:dyDescent="0.25">
      <c r="A1149" t="str">
        <f>IF('e2'!A1149&gt;0,HYPERLINK("#"&amp;ADDRESS(1149,'e2'!A1149),""),IF('r2'!A1149&gt;0,HYPERLINK("#"&amp;ADDRESS(1149,'r2'!A1149),""),""))</f>
        <v/>
      </c>
      <c r="C1149" s="31"/>
      <c r="D1149" s="32"/>
    </row>
    <row r="1150" spans="1:4" ht="24" customHeight="1" x14ac:dyDescent="0.25">
      <c r="A1150" t="str">
        <f>IF('e2'!A1150&gt;0,HYPERLINK("#"&amp;ADDRESS(1150,'e2'!A1150),""),IF('r2'!A1150&gt;0,HYPERLINK("#"&amp;ADDRESS(1150,'r2'!A1150),""),""))</f>
        <v/>
      </c>
      <c r="C1150" s="31"/>
      <c r="D1150" s="32"/>
    </row>
    <row r="1151" spans="1:4" ht="24" customHeight="1" x14ac:dyDescent="0.25">
      <c r="A1151" t="str">
        <f>IF('e2'!A1151&gt;0,HYPERLINK("#"&amp;ADDRESS(1151,'e2'!A1151),""),IF('r2'!A1151&gt;0,HYPERLINK("#"&amp;ADDRESS(1151,'r2'!A1151),""),""))</f>
        <v/>
      </c>
      <c r="C1151" s="31"/>
      <c r="D1151" s="32"/>
    </row>
    <row r="1152" spans="1:4" ht="24" customHeight="1" x14ac:dyDescent="0.25">
      <c r="A1152" t="str">
        <f>IF('e2'!A1152&gt;0,HYPERLINK("#"&amp;ADDRESS(1152,'e2'!A1152),""),IF('r2'!A1152&gt;0,HYPERLINK("#"&amp;ADDRESS(1152,'r2'!A1152),""),""))</f>
        <v/>
      </c>
      <c r="C1152" s="31"/>
      <c r="D1152" s="32"/>
    </row>
    <row r="1153" spans="1:4" ht="24" customHeight="1" x14ac:dyDescent="0.25">
      <c r="A1153" t="str">
        <f>IF('e2'!A1153&gt;0,HYPERLINK("#"&amp;ADDRESS(1153,'e2'!A1153),""),IF('r2'!A1153&gt;0,HYPERLINK("#"&amp;ADDRESS(1153,'r2'!A1153),""),""))</f>
        <v/>
      </c>
      <c r="C1153" s="31"/>
      <c r="D1153" s="32"/>
    </row>
    <row r="1154" spans="1:4" ht="24" customHeight="1" x14ac:dyDescent="0.25">
      <c r="A1154" t="str">
        <f>IF('e2'!A1154&gt;0,HYPERLINK("#"&amp;ADDRESS(1154,'e2'!A1154),""),IF('r2'!A1154&gt;0,HYPERLINK("#"&amp;ADDRESS(1154,'r2'!A1154),""),""))</f>
        <v/>
      </c>
      <c r="C1154" s="31"/>
      <c r="D1154" s="32"/>
    </row>
    <row r="1155" spans="1:4" ht="24" customHeight="1" x14ac:dyDescent="0.25">
      <c r="A1155" t="str">
        <f>IF('e2'!A1155&gt;0,HYPERLINK("#"&amp;ADDRESS(1155,'e2'!A1155),""),IF('r2'!A1155&gt;0,HYPERLINK("#"&amp;ADDRESS(1155,'r2'!A1155),""),""))</f>
        <v/>
      </c>
      <c r="C1155" s="31"/>
      <c r="D1155" s="32"/>
    </row>
    <row r="1156" spans="1:4" ht="24" customHeight="1" x14ac:dyDescent="0.25">
      <c r="A1156" t="str">
        <f>IF('e2'!A1156&gt;0,HYPERLINK("#"&amp;ADDRESS(1156,'e2'!A1156),""),IF('r2'!A1156&gt;0,HYPERLINK("#"&amp;ADDRESS(1156,'r2'!A1156),""),""))</f>
        <v/>
      </c>
      <c r="C1156" s="31"/>
      <c r="D1156" s="32"/>
    </row>
    <row r="1157" spans="1:4" ht="24" customHeight="1" x14ac:dyDescent="0.25">
      <c r="A1157" t="str">
        <f>IF('e2'!A1157&gt;0,HYPERLINK("#"&amp;ADDRESS(1157,'e2'!A1157),""),IF('r2'!A1157&gt;0,HYPERLINK("#"&amp;ADDRESS(1157,'r2'!A1157),""),""))</f>
        <v/>
      </c>
      <c r="C1157" s="31"/>
      <c r="D1157" s="32"/>
    </row>
    <row r="1158" spans="1:4" ht="24" customHeight="1" x14ac:dyDescent="0.25">
      <c r="A1158" t="str">
        <f>IF('e2'!A1158&gt;0,HYPERLINK("#"&amp;ADDRESS(1158,'e2'!A1158),""),IF('r2'!A1158&gt;0,HYPERLINK("#"&amp;ADDRESS(1158,'r2'!A1158),""),""))</f>
        <v/>
      </c>
      <c r="C1158" s="31"/>
      <c r="D1158" s="32"/>
    </row>
    <row r="1159" spans="1:4" ht="24" customHeight="1" x14ac:dyDescent="0.25">
      <c r="A1159" t="str">
        <f>IF('e2'!A1159&gt;0,HYPERLINK("#"&amp;ADDRESS(1159,'e2'!A1159),""),IF('r2'!A1159&gt;0,HYPERLINK("#"&amp;ADDRESS(1159,'r2'!A1159),""),""))</f>
        <v/>
      </c>
      <c r="C1159" s="31"/>
      <c r="D1159" s="32"/>
    </row>
    <row r="1160" spans="1:4" ht="24" customHeight="1" x14ac:dyDescent="0.25">
      <c r="A1160" t="str">
        <f>IF('e2'!A1160&gt;0,HYPERLINK("#"&amp;ADDRESS(1160,'e2'!A1160),""),IF('r2'!A1160&gt;0,HYPERLINK("#"&amp;ADDRESS(1160,'r2'!A1160),""),""))</f>
        <v/>
      </c>
      <c r="C1160" s="31"/>
      <c r="D1160" s="32"/>
    </row>
    <row r="1161" spans="1:4" ht="24" customHeight="1" x14ac:dyDescent="0.25">
      <c r="A1161" t="str">
        <f>IF('e2'!A1161&gt;0,HYPERLINK("#"&amp;ADDRESS(1161,'e2'!A1161),""),IF('r2'!A1161&gt;0,HYPERLINK("#"&amp;ADDRESS(1161,'r2'!A1161),""),""))</f>
        <v/>
      </c>
      <c r="C1161" s="31"/>
      <c r="D1161" s="32"/>
    </row>
    <row r="1162" spans="1:4" ht="24" customHeight="1" x14ac:dyDescent="0.25">
      <c r="A1162" t="str">
        <f>IF('e2'!A1162&gt;0,HYPERLINK("#"&amp;ADDRESS(1162,'e2'!A1162),""),IF('r2'!A1162&gt;0,HYPERLINK("#"&amp;ADDRESS(1162,'r2'!A1162),""),""))</f>
        <v/>
      </c>
      <c r="C1162" s="31"/>
      <c r="D1162" s="32"/>
    </row>
    <row r="1163" spans="1:4" ht="24" customHeight="1" x14ac:dyDescent="0.25">
      <c r="A1163" t="str">
        <f>IF('e2'!A1163&gt;0,HYPERLINK("#"&amp;ADDRESS(1163,'e2'!A1163),""),IF('r2'!A1163&gt;0,HYPERLINK("#"&amp;ADDRESS(1163,'r2'!A1163),""),""))</f>
        <v/>
      </c>
      <c r="C1163" s="31"/>
      <c r="D1163" s="32"/>
    </row>
    <row r="1164" spans="1:4" ht="24" customHeight="1" x14ac:dyDescent="0.25">
      <c r="A1164" t="str">
        <f>IF('e2'!A1164&gt;0,HYPERLINK("#"&amp;ADDRESS(1164,'e2'!A1164),""),IF('r2'!A1164&gt;0,HYPERLINK("#"&amp;ADDRESS(1164,'r2'!A1164),""),""))</f>
        <v/>
      </c>
      <c r="C1164" s="31"/>
      <c r="D1164" s="32"/>
    </row>
    <row r="1165" spans="1:4" ht="24" customHeight="1" x14ac:dyDescent="0.25">
      <c r="A1165" t="str">
        <f>IF('e2'!A1165&gt;0,HYPERLINK("#"&amp;ADDRESS(1165,'e2'!A1165),""),IF('r2'!A1165&gt;0,HYPERLINK("#"&amp;ADDRESS(1165,'r2'!A1165),""),""))</f>
        <v/>
      </c>
      <c r="C1165" s="31"/>
      <c r="D1165" s="32"/>
    </row>
    <row r="1166" spans="1:4" ht="24" customHeight="1" x14ac:dyDescent="0.25">
      <c r="A1166" t="str">
        <f>IF('e2'!A1166&gt;0,HYPERLINK("#"&amp;ADDRESS(1166,'e2'!A1166),""),IF('r2'!A1166&gt;0,HYPERLINK("#"&amp;ADDRESS(1166,'r2'!A1166),""),""))</f>
        <v/>
      </c>
      <c r="C1166" s="31"/>
      <c r="D1166" s="32"/>
    </row>
    <row r="1167" spans="1:4" ht="24" customHeight="1" x14ac:dyDescent="0.25">
      <c r="A1167" t="str">
        <f>IF('e2'!A1167&gt;0,HYPERLINK("#"&amp;ADDRESS(1167,'e2'!A1167),""),IF('r2'!A1167&gt;0,HYPERLINK("#"&amp;ADDRESS(1167,'r2'!A1167),""),""))</f>
        <v/>
      </c>
      <c r="C1167" s="31"/>
      <c r="D1167" s="32"/>
    </row>
    <row r="1168" spans="1:4" ht="24" customHeight="1" x14ac:dyDescent="0.25">
      <c r="A1168" t="str">
        <f>IF('e2'!A1168&gt;0,HYPERLINK("#"&amp;ADDRESS(1168,'e2'!A1168),""),IF('r2'!A1168&gt;0,HYPERLINK("#"&amp;ADDRESS(1168,'r2'!A1168),""),""))</f>
        <v/>
      </c>
      <c r="C1168" s="31"/>
      <c r="D1168" s="32"/>
    </row>
    <row r="1169" spans="1:4" ht="24" customHeight="1" x14ac:dyDescent="0.25">
      <c r="A1169" t="str">
        <f>IF('e2'!A1169&gt;0,HYPERLINK("#"&amp;ADDRESS(1169,'e2'!A1169),""),IF('r2'!A1169&gt;0,HYPERLINK("#"&amp;ADDRESS(1169,'r2'!A1169),""),""))</f>
        <v/>
      </c>
      <c r="C1169" s="31"/>
      <c r="D1169" s="32"/>
    </row>
    <row r="1170" spans="1:4" ht="24" customHeight="1" x14ac:dyDescent="0.25">
      <c r="A1170" t="str">
        <f>IF('e2'!A1170&gt;0,HYPERLINK("#"&amp;ADDRESS(1170,'e2'!A1170),""),IF('r2'!A1170&gt;0,HYPERLINK("#"&amp;ADDRESS(1170,'r2'!A1170),""),""))</f>
        <v/>
      </c>
      <c r="C1170" s="31"/>
      <c r="D1170" s="32"/>
    </row>
    <row r="1171" spans="1:4" ht="24" customHeight="1" x14ac:dyDescent="0.25">
      <c r="A1171" t="str">
        <f>IF('e2'!A1171&gt;0,HYPERLINK("#"&amp;ADDRESS(1171,'e2'!A1171),""),IF('r2'!A1171&gt;0,HYPERLINK("#"&amp;ADDRESS(1171,'r2'!A1171),""),""))</f>
        <v/>
      </c>
      <c r="C1171" s="31"/>
      <c r="D1171" s="32"/>
    </row>
    <row r="1172" spans="1:4" ht="24" customHeight="1" x14ac:dyDescent="0.25">
      <c r="A1172" t="str">
        <f>IF('e2'!A1172&gt;0,HYPERLINK("#"&amp;ADDRESS(1172,'e2'!A1172),""),IF('r2'!A1172&gt;0,HYPERLINK("#"&amp;ADDRESS(1172,'r2'!A1172),""),""))</f>
        <v/>
      </c>
      <c r="C1172" s="31"/>
      <c r="D1172" s="32"/>
    </row>
    <row r="1173" spans="1:4" ht="24" customHeight="1" x14ac:dyDescent="0.25">
      <c r="A1173" t="str">
        <f>IF('e2'!A1173&gt;0,HYPERLINK("#"&amp;ADDRESS(1173,'e2'!A1173),""),IF('r2'!A1173&gt;0,HYPERLINK("#"&amp;ADDRESS(1173,'r2'!A1173),""),""))</f>
        <v/>
      </c>
      <c r="C1173" s="31"/>
      <c r="D1173" s="32"/>
    </row>
    <row r="1174" spans="1:4" ht="24" customHeight="1" x14ac:dyDescent="0.25">
      <c r="A1174" t="str">
        <f>IF('e2'!A1174&gt;0,HYPERLINK("#"&amp;ADDRESS(1174,'e2'!A1174),""),IF('r2'!A1174&gt;0,HYPERLINK("#"&amp;ADDRESS(1174,'r2'!A1174),""),""))</f>
        <v/>
      </c>
      <c r="C1174" s="31"/>
      <c r="D1174" s="32"/>
    </row>
    <row r="1175" spans="1:4" ht="24" customHeight="1" x14ac:dyDescent="0.25">
      <c r="A1175" t="str">
        <f>IF('e2'!A1175&gt;0,HYPERLINK("#"&amp;ADDRESS(1175,'e2'!A1175),""),IF('r2'!A1175&gt;0,HYPERLINK("#"&amp;ADDRESS(1175,'r2'!A1175),""),""))</f>
        <v/>
      </c>
      <c r="C1175" s="31"/>
      <c r="D1175" s="32"/>
    </row>
    <row r="1176" spans="1:4" ht="24" customHeight="1" x14ac:dyDescent="0.25">
      <c r="A1176" t="str">
        <f>IF('e2'!A1176&gt;0,HYPERLINK("#"&amp;ADDRESS(1176,'e2'!A1176),""),IF('r2'!A1176&gt;0,HYPERLINK("#"&amp;ADDRESS(1176,'r2'!A1176),""),""))</f>
        <v/>
      </c>
      <c r="C1176" s="31"/>
      <c r="D1176" s="32"/>
    </row>
    <row r="1177" spans="1:4" ht="24" customHeight="1" x14ac:dyDescent="0.25">
      <c r="A1177" t="str">
        <f>IF('e2'!A1177&gt;0,HYPERLINK("#"&amp;ADDRESS(1177,'e2'!A1177),""),IF('r2'!A1177&gt;0,HYPERLINK("#"&amp;ADDRESS(1177,'r2'!A1177),""),""))</f>
        <v/>
      </c>
      <c r="C1177" s="31"/>
      <c r="D1177" s="32"/>
    </row>
    <row r="1178" spans="1:4" ht="24" customHeight="1" x14ac:dyDescent="0.25">
      <c r="A1178" t="str">
        <f>IF('e2'!A1178&gt;0,HYPERLINK("#"&amp;ADDRESS(1178,'e2'!A1178),""),IF('r2'!A1178&gt;0,HYPERLINK("#"&amp;ADDRESS(1178,'r2'!A1178),""),""))</f>
        <v/>
      </c>
      <c r="C1178" s="31"/>
      <c r="D1178" s="32"/>
    </row>
    <row r="1179" spans="1:4" ht="24" customHeight="1" x14ac:dyDescent="0.25">
      <c r="A1179" t="str">
        <f>IF('e2'!A1179&gt;0,HYPERLINK("#"&amp;ADDRESS(1179,'e2'!A1179),""),IF('r2'!A1179&gt;0,HYPERLINK("#"&amp;ADDRESS(1179,'r2'!A1179),""),""))</f>
        <v/>
      </c>
      <c r="C1179" s="31"/>
      <c r="D1179" s="32"/>
    </row>
    <row r="1180" spans="1:4" ht="24" customHeight="1" x14ac:dyDescent="0.25">
      <c r="A1180" t="str">
        <f>IF('e2'!A1180&gt;0,HYPERLINK("#"&amp;ADDRESS(1180,'e2'!A1180),""),IF('r2'!A1180&gt;0,HYPERLINK("#"&amp;ADDRESS(1180,'r2'!A1180),""),""))</f>
        <v/>
      </c>
      <c r="C1180" s="31"/>
      <c r="D1180" s="32"/>
    </row>
    <row r="1181" spans="1:4" ht="24" customHeight="1" x14ac:dyDescent="0.25">
      <c r="A1181" t="str">
        <f>IF('e2'!A1181&gt;0,HYPERLINK("#"&amp;ADDRESS(1181,'e2'!A1181),""),IF('r2'!A1181&gt;0,HYPERLINK("#"&amp;ADDRESS(1181,'r2'!A1181),""),""))</f>
        <v/>
      </c>
      <c r="C1181" s="31"/>
      <c r="D1181" s="32"/>
    </row>
    <row r="1182" spans="1:4" ht="24" customHeight="1" x14ac:dyDescent="0.25">
      <c r="A1182" t="str">
        <f>IF('e2'!A1182&gt;0,HYPERLINK("#"&amp;ADDRESS(1182,'e2'!A1182),""),IF('r2'!A1182&gt;0,HYPERLINK("#"&amp;ADDRESS(1182,'r2'!A1182),""),""))</f>
        <v/>
      </c>
      <c r="C1182" s="31"/>
      <c r="D1182" s="32"/>
    </row>
    <row r="1183" spans="1:4" ht="24" customHeight="1" x14ac:dyDescent="0.25">
      <c r="A1183" t="str">
        <f>IF('e2'!A1183&gt;0,HYPERLINK("#"&amp;ADDRESS(1183,'e2'!A1183),""),IF('r2'!A1183&gt;0,HYPERLINK("#"&amp;ADDRESS(1183,'r2'!A1183),""),""))</f>
        <v/>
      </c>
      <c r="C1183" s="31"/>
      <c r="D1183" s="32"/>
    </row>
    <row r="1184" spans="1:4" ht="24" customHeight="1" x14ac:dyDescent="0.25">
      <c r="A1184" t="str">
        <f>IF('e2'!A1184&gt;0,HYPERLINK("#"&amp;ADDRESS(1184,'e2'!A1184),""),IF('r2'!A1184&gt;0,HYPERLINK("#"&amp;ADDRESS(1184,'r2'!A1184),""),""))</f>
        <v/>
      </c>
      <c r="C1184" s="31"/>
      <c r="D1184" s="32"/>
    </row>
    <row r="1185" spans="1:4" ht="24" customHeight="1" x14ac:dyDescent="0.25">
      <c r="A1185" t="str">
        <f>IF('e2'!A1185&gt;0,HYPERLINK("#"&amp;ADDRESS(1185,'e2'!A1185),""),IF('r2'!A1185&gt;0,HYPERLINK("#"&amp;ADDRESS(1185,'r2'!A1185),""),""))</f>
        <v/>
      </c>
      <c r="C1185" s="31"/>
      <c r="D1185" s="32"/>
    </row>
    <row r="1186" spans="1:4" ht="24" customHeight="1" x14ac:dyDescent="0.25">
      <c r="A1186" t="str">
        <f>IF('e2'!A1186&gt;0,HYPERLINK("#"&amp;ADDRESS(1186,'e2'!A1186),""),IF('r2'!A1186&gt;0,HYPERLINK("#"&amp;ADDRESS(1186,'r2'!A1186),""),""))</f>
        <v/>
      </c>
      <c r="C1186" s="31"/>
      <c r="D1186" s="32"/>
    </row>
    <row r="1187" spans="1:4" ht="24" customHeight="1" x14ac:dyDescent="0.25">
      <c r="A1187" t="str">
        <f>IF('e2'!A1187&gt;0,HYPERLINK("#"&amp;ADDRESS(1187,'e2'!A1187),""),IF('r2'!A1187&gt;0,HYPERLINK("#"&amp;ADDRESS(1187,'r2'!A1187),""),""))</f>
        <v/>
      </c>
      <c r="C1187" s="31"/>
      <c r="D1187" s="32"/>
    </row>
    <row r="1188" spans="1:4" ht="24" customHeight="1" x14ac:dyDescent="0.25">
      <c r="A1188" t="str">
        <f>IF('e2'!A1188&gt;0,HYPERLINK("#"&amp;ADDRESS(1188,'e2'!A1188),""),IF('r2'!A1188&gt;0,HYPERLINK("#"&amp;ADDRESS(1188,'r2'!A1188),""),""))</f>
        <v/>
      </c>
      <c r="C1188" s="31"/>
      <c r="D1188" s="32"/>
    </row>
    <row r="1189" spans="1:4" ht="24" customHeight="1" x14ac:dyDescent="0.25">
      <c r="A1189" t="str">
        <f>IF('e2'!A1189&gt;0,HYPERLINK("#"&amp;ADDRESS(1189,'e2'!A1189),""),IF('r2'!A1189&gt;0,HYPERLINK("#"&amp;ADDRESS(1189,'r2'!A1189),""),""))</f>
        <v/>
      </c>
      <c r="C1189" s="31"/>
      <c r="D1189" s="32"/>
    </row>
    <row r="1190" spans="1:4" ht="24" customHeight="1" x14ac:dyDescent="0.25">
      <c r="A1190" t="str">
        <f>IF('e2'!A1190&gt;0,HYPERLINK("#"&amp;ADDRESS(1190,'e2'!A1190),""),IF('r2'!A1190&gt;0,HYPERLINK("#"&amp;ADDRESS(1190,'r2'!A1190),""),""))</f>
        <v/>
      </c>
      <c r="C1190" s="31"/>
      <c r="D1190" s="32"/>
    </row>
    <row r="1191" spans="1:4" ht="24" customHeight="1" x14ac:dyDescent="0.25">
      <c r="A1191" t="str">
        <f>IF('e2'!A1191&gt;0,HYPERLINK("#"&amp;ADDRESS(1191,'e2'!A1191),""),IF('r2'!A1191&gt;0,HYPERLINK("#"&amp;ADDRESS(1191,'r2'!A1191),""),""))</f>
        <v/>
      </c>
      <c r="C1191" s="31"/>
      <c r="D1191" s="32"/>
    </row>
    <row r="1192" spans="1:4" ht="24" customHeight="1" x14ac:dyDescent="0.25">
      <c r="A1192" t="str">
        <f>IF('e2'!A1192&gt;0,HYPERLINK("#"&amp;ADDRESS(1192,'e2'!A1192),""),IF('r2'!A1192&gt;0,HYPERLINK("#"&amp;ADDRESS(1192,'r2'!A1192),""),""))</f>
        <v/>
      </c>
      <c r="C1192" s="31"/>
      <c r="D1192" s="32"/>
    </row>
    <row r="1193" spans="1:4" ht="24" customHeight="1" x14ac:dyDescent="0.25">
      <c r="A1193" t="str">
        <f>IF('e2'!A1193&gt;0,HYPERLINK("#"&amp;ADDRESS(1193,'e2'!A1193),""),IF('r2'!A1193&gt;0,HYPERLINK("#"&amp;ADDRESS(1193,'r2'!A1193),""),""))</f>
        <v/>
      </c>
      <c r="C1193" s="31"/>
      <c r="D1193" s="32"/>
    </row>
    <row r="1194" spans="1:4" ht="24" customHeight="1" x14ac:dyDescent="0.25">
      <c r="A1194" t="str">
        <f>IF('e2'!A1194&gt;0,HYPERLINK("#"&amp;ADDRESS(1194,'e2'!A1194),""),IF('r2'!A1194&gt;0,HYPERLINK("#"&amp;ADDRESS(1194,'r2'!A1194),""),""))</f>
        <v/>
      </c>
      <c r="C1194" s="31"/>
      <c r="D1194" s="32"/>
    </row>
    <row r="1195" spans="1:4" ht="24" customHeight="1" x14ac:dyDescent="0.25">
      <c r="A1195" t="str">
        <f>IF('e2'!A1195&gt;0,HYPERLINK("#"&amp;ADDRESS(1195,'e2'!A1195),""),IF('r2'!A1195&gt;0,HYPERLINK("#"&amp;ADDRESS(1195,'r2'!A1195),""),""))</f>
        <v/>
      </c>
      <c r="C1195" s="31"/>
      <c r="D1195" s="32"/>
    </row>
    <row r="1196" spans="1:4" ht="24" customHeight="1" x14ac:dyDescent="0.25">
      <c r="A1196" t="str">
        <f>IF('e2'!A1196&gt;0,HYPERLINK("#"&amp;ADDRESS(1196,'e2'!A1196),""),IF('r2'!A1196&gt;0,HYPERLINK("#"&amp;ADDRESS(1196,'r2'!A1196),""),""))</f>
        <v/>
      </c>
      <c r="C1196" s="31"/>
      <c r="D1196" s="32"/>
    </row>
    <row r="1197" spans="1:4" ht="24" customHeight="1" x14ac:dyDescent="0.25">
      <c r="A1197" t="str">
        <f>IF('e2'!A1197&gt;0,HYPERLINK("#"&amp;ADDRESS(1197,'e2'!A1197),""),IF('r2'!A1197&gt;0,HYPERLINK("#"&amp;ADDRESS(1197,'r2'!A1197),""),""))</f>
        <v/>
      </c>
      <c r="C1197" s="31"/>
      <c r="D1197" s="32"/>
    </row>
    <row r="1198" spans="1:4" ht="24" customHeight="1" x14ac:dyDescent="0.25">
      <c r="A1198" t="str">
        <f>IF('e2'!A1198&gt;0,HYPERLINK("#"&amp;ADDRESS(1198,'e2'!A1198),""),IF('r2'!A1198&gt;0,HYPERLINK("#"&amp;ADDRESS(1198,'r2'!A1198),""),""))</f>
        <v/>
      </c>
      <c r="C1198" s="31"/>
      <c r="D1198" s="32"/>
    </row>
    <row r="1199" spans="1:4" ht="24" customHeight="1" x14ac:dyDescent="0.25">
      <c r="A1199" t="str">
        <f>IF('e2'!A1199&gt;0,HYPERLINK("#"&amp;ADDRESS(1199,'e2'!A1199),""),IF('r2'!A1199&gt;0,HYPERLINK("#"&amp;ADDRESS(1199,'r2'!A1199),""),""))</f>
        <v/>
      </c>
      <c r="C1199" s="31"/>
      <c r="D1199" s="32"/>
    </row>
    <row r="1200" spans="1:4" ht="24" customHeight="1" x14ac:dyDescent="0.25">
      <c r="A1200" t="str">
        <f>IF('e2'!A1200&gt;0,HYPERLINK("#"&amp;ADDRESS(1200,'e2'!A1200),""),IF('r2'!A1200&gt;0,HYPERLINK("#"&amp;ADDRESS(1200,'r2'!A1200),""),""))</f>
        <v/>
      </c>
      <c r="C1200" s="31"/>
      <c r="D1200" s="32"/>
    </row>
    <row r="1201" spans="1:4" ht="24" customHeight="1" x14ac:dyDescent="0.25">
      <c r="A1201" t="str">
        <f>IF('e2'!A1201&gt;0,HYPERLINK("#"&amp;ADDRESS(1201,'e2'!A1201),""),IF('r2'!A1201&gt;0,HYPERLINK("#"&amp;ADDRESS(1201,'r2'!A1201),""),""))</f>
        <v/>
      </c>
      <c r="C1201" s="31"/>
      <c r="D1201" s="32"/>
    </row>
    <row r="1202" spans="1:4" ht="24" customHeight="1" x14ac:dyDescent="0.25">
      <c r="A1202" t="str">
        <f>IF('e2'!A1202&gt;0,HYPERLINK("#"&amp;ADDRESS(1202,'e2'!A1202),""),IF('r2'!A1202&gt;0,HYPERLINK("#"&amp;ADDRESS(1202,'r2'!A1202),""),""))</f>
        <v/>
      </c>
      <c r="C1202" s="31"/>
      <c r="D1202" s="32"/>
    </row>
    <row r="1203" spans="1:4" ht="24" customHeight="1" x14ac:dyDescent="0.25">
      <c r="A1203" t="str">
        <f>IF('e2'!A1203&gt;0,HYPERLINK("#"&amp;ADDRESS(1203,'e2'!A1203),""),IF('r2'!A1203&gt;0,HYPERLINK("#"&amp;ADDRESS(1203,'r2'!A1203),""),""))</f>
        <v/>
      </c>
      <c r="C1203" s="31"/>
      <c r="D1203" s="32"/>
    </row>
    <row r="1204" spans="1:4" ht="24" customHeight="1" x14ac:dyDescent="0.25">
      <c r="A1204" t="str">
        <f>IF('e2'!A1204&gt;0,HYPERLINK("#"&amp;ADDRESS(1204,'e2'!A1204),""),IF('r2'!A1204&gt;0,HYPERLINK("#"&amp;ADDRESS(1204,'r2'!A1204),""),""))</f>
        <v/>
      </c>
      <c r="C1204" s="31"/>
      <c r="D1204" s="32"/>
    </row>
    <row r="1205" spans="1:4" ht="24" customHeight="1" x14ac:dyDescent="0.25">
      <c r="A1205" t="str">
        <f>IF('e2'!A1205&gt;0,HYPERLINK("#"&amp;ADDRESS(1205,'e2'!A1205),""),IF('r2'!A1205&gt;0,HYPERLINK("#"&amp;ADDRESS(1205,'r2'!A1205),""),""))</f>
        <v/>
      </c>
      <c r="C1205" s="31"/>
      <c r="D1205" s="32"/>
    </row>
    <row r="1206" spans="1:4" ht="24" customHeight="1" x14ac:dyDescent="0.25">
      <c r="A1206" t="str">
        <f>IF('e2'!A1206&gt;0,HYPERLINK("#"&amp;ADDRESS(1206,'e2'!A1206),""),IF('r2'!A1206&gt;0,HYPERLINK("#"&amp;ADDRESS(1206,'r2'!A1206),""),""))</f>
        <v/>
      </c>
      <c r="C1206" s="31"/>
      <c r="D1206" s="32"/>
    </row>
    <row r="1207" spans="1:4" ht="24" customHeight="1" x14ac:dyDescent="0.25">
      <c r="A1207" t="str">
        <f>IF('e2'!A1207&gt;0,HYPERLINK("#"&amp;ADDRESS(1207,'e2'!A1207),""),IF('r2'!A1207&gt;0,HYPERLINK("#"&amp;ADDRESS(1207,'r2'!A1207),""),""))</f>
        <v/>
      </c>
      <c r="C1207" s="31"/>
      <c r="D1207" s="32"/>
    </row>
    <row r="1208" spans="1:4" ht="24" customHeight="1" x14ac:dyDescent="0.25">
      <c r="A1208" t="str">
        <f>IF('e2'!A1208&gt;0,HYPERLINK("#"&amp;ADDRESS(1208,'e2'!A1208),""),IF('r2'!A1208&gt;0,HYPERLINK("#"&amp;ADDRESS(1208,'r2'!A1208),""),""))</f>
        <v/>
      </c>
      <c r="C1208" s="31"/>
      <c r="D1208" s="32"/>
    </row>
    <row r="1209" spans="1:4" ht="24" customHeight="1" x14ac:dyDescent="0.25">
      <c r="A1209" t="str">
        <f>IF('e2'!A1209&gt;0,HYPERLINK("#"&amp;ADDRESS(1209,'e2'!A1209),""),IF('r2'!A1209&gt;0,HYPERLINK("#"&amp;ADDRESS(1209,'r2'!A1209),""),""))</f>
        <v/>
      </c>
      <c r="C1209" s="31"/>
      <c r="D1209" s="32"/>
    </row>
    <row r="1210" spans="1:4" ht="24" customHeight="1" x14ac:dyDescent="0.25">
      <c r="A1210" t="str">
        <f>IF('e2'!A1210&gt;0,HYPERLINK("#"&amp;ADDRESS(1210,'e2'!A1210),""),IF('r2'!A1210&gt;0,HYPERLINK("#"&amp;ADDRESS(1210,'r2'!A1210),""),""))</f>
        <v/>
      </c>
      <c r="C1210" s="31"/>
      <c r="D1210" s="32"/>
    </row>
    <row r="1211" spans="1:4" ht="24" customHeight="1" x14ac:dyDescent="0.25">
      <c r="A1211" t="str">
        <f>IF('e2'!A1211&gt;0,HYPERLINK("#"&amp;ADDRESS(1211,'e2'!A1211),""),IF('r2'!A1211&gt;0,HYPERLINK("#"&amp;ADDRESS(1211,'r2'!A1211),""),""))</f>
        <v/>
      </c>
      <c r="C1211" s="31"/>
      <c r="D1211" s="32"/>
    </row>
    <row r="1212" spans="1:4" ht="24" customHeight="1" x14ac:dyDescent="0.25">
      <c r="A1212" t="str">
        <f>IF('e2'!A1212&gt;0,HYPERLINK("#"&amp;ADDRESS(1212,'e2'!A1212),""),IF('r2'!A1212&gt;0,HYPERLINK("#"&amp;ADDRESS(1212,'r2'!A1212),""),""))</f>
        <v/>
      </c>
      <c r="C1212" s="31"/>
      <c r="D1212" s="32"/>
    </row>
    <row r="1213" spans="1:4" ht="24" customHeight="1" x14ac:dyDescent="0.25">
      <c r="A1213" t="str">
        <f>IF('e2'!A1213&gt;0,HYPERLINK("#"&amp;ADDRESS(1213,'e2'!A1213),""),IF('r2'!A1213&gt;0,HYPERLINK("#"&amp;ADDRESS(1213,'r2'!A1213),""),""))</f>
        <v/>
      </c>
      <c r="C1213" s="31"/>
      <c r="D1213" s="32"/>
    </row>
    <row r="1214" spans="1:4" ht="24" customHeight="1" x14ac:dyDescent="0.25">
      <c r="A1214" t="str">
        <f>IF('e2'!A1214&gt;0,HYPERLINK("#"&amp;ADDRESS(1214,'e2'!A1214),""),IF('r2'!A1214&gt;0,HYPERLINK("#"&amp;ADDRESS(1214,'r2'!A1214),""),""))</f>
        <v/>
      </c>
      <c r="C1214" s="31"/>
      <c r="D1214" s="32"/>
    </row>
    <row r="1215" spans="1:4" ht="24" customHeight="1" x14ac:dyDescent="0.25">
      <c r="A1215" t="str">
        <f>IF('e2'!A1215&gt;0,HYPERLINK("#"&amp;ADDRESS(1215,'e2'!A1215),""),IF('r2'!A1215&gt;0,HYPERLINK("#"&amp;ADDRESS(1215,'r2'!A1215),""),""))</f>
        <v/>
      </c>
      <c r="C1215" s="31"/>
      <c r="D1215" s="32"/>
    </row>
    <row r="1216" spans="1:4" ht="24" customHeight="1" x14ac:dyDescent="0.25">
      <c r="A1216" t="str">
        <f>IF('e2'!A1216&gt;0,HYPERLINK("#"&amp;ADDRESS(1216,'e2'!A1216),""),IF('r2'!A1216&gt;0,HYPERLINK("#"&amp;ADDRESS(1216,'r2'!A1216),""),""))</f>
        <v/>
      </c>
      <c r="C1216" s="31"/>
      <c r="D1216" s="32"/>
    </row>
    <row r="1217" spans="1:4" ht="24" customHeight="1" x14ac:dyDescent="0.25">
      <c r="A1217" t="str">
        <f>IF('e2'!A1217&gt;0,HYPERLINK("#"&amp;ADDRESS(1217,'e2'!A1217),""),IF('r2'!A1217&gt;0,HYPERLINK("#"&amp;ADDRESS(1217,'r2'!A1217),""),""))</f>
        <v/>
      </c>
      <c r="C1217" s="31"/>
      <c r="D1217" s="32"/>
    </row>
    <row r="1218" spans="1:4" ht="24" customHeight="1" x14ac:dyDescent="0.25">
      <c r="A1218" t="str">
        <f>IF('e2'!A1218&gt;0,HYPERLINK("#"&amp;ADDRESS(1218,'e2'!A1218),""),IF('r2'!A1218&gt;0,HYPERLINK("#"&amp;ADDRESS(1218,'r2'!A1218),""),""))</f>
        <v/>
      </c>
      <c r="C1218" s="31"/>
      <c r="D1218" s="32"/>
    </row>
    <row r="1219" spans="1:4" ht="24" customHeight="1" x14ac:dyDescent="0.25">
      <c r="A1219" t="str">
        <f>IF('e2'!A1219&gt;0,HYPERLINK("#"&amp;ADDRESS(1219,'e2'!A1219),""),IF('r2'!A1219&gt;0,HYPERLINK("#"&amp;ADDRESS(1219,'r2'!A1219),""),""))</f>
        <v/>
      </c>
      <c r="C1219" s="31"/>
      <c r="D1219" s="32"/>
    </row>
    <row r="1220" spans="1:4" ht="24" customHeight="1" x14ac:dyDescent="0.25">
      <c r="A1220" t="str">
        <f>IF('e2'!A1220&gt;0,HYPERLINK("#"&amp;ADDRESS(1220,'e2'!A1220),""),IF('r2'!A1220&gt;0,HYPERLINK("#"&amp;ADDRESS(1220,'r2'!A1220),""),""))</f>
        <v/>
      </c>
      <c r="C1220" s="31"/>
      <c r="D1220" s="32"/>
    </row>
    <row r="1221" spans="1:4" ht="24" customHeight="1" x14ac:dyDescent="0.25">
      <c r="A1221" t="str">
        <f>IF('e2'!A1221&gt;0,HYPERLINK("#"&amp;ADDRESS(1221,'e2'!A1221),""),IF('r2'!A1221&gt;0,HYPERLINK("#"&amp;ADDRESS(1221,'r2'!A1221),""),""))</f>
        <v/>
      </c>
      <c r="C1221" s="31"/>
      <c r="D1221" s="32"/>
    </row>
    <row r="1222" spans="1:4" ht="24" customHeight="1" x14ac:dyDescent="0.25">
      <c r="A1222" t="str">
        <f>IF('e2'!A1222&gt;0,HYPERLINK("#"&amp;ADDRESS(1222,'e2'!A1222),""),IF('r2'!A1222&gt;0,HYPERLINK("#"&amp;ADDRESS(1222,'r2'!A1222),""),""))</f>
        <v/>
      </c>
      <c r="C1222" s="31"/>
      <c r="D1222" s="32"/>
    </row>
    <row r="1223" spans="1:4" ht="24" customHeight="1" x14ac:dyDescent="0.25">
      <c r="A1223" t="str">
        <f>IF('e2'!A1223&gt;0,HYPERLINK("#"&amp;ADDRESS(1223,'e2'!A1223),""),IF('r2'!A1223&gt;0,HYPERLINK("#"&amp;ADDRESS(1223,'r2'!A1223),""),""))</f>
        <v/>
      </c>
      <c r="C1223" s="31"/>
      <c r="D1223" s="32"/>
    </row>
    <row r="1224" spans="1:4" ht="24" customHeight="1" x14ac:dyDescent="0.25">
      <c r="A1224" t="str">
        <f>IF('e2'!A1224&gt;0,HYPERLINK("#"&amp;ADDRESS(1224,'e2'!A1224),""),IF('r2'!A1224&gt;0,HYPERLINK("#"&amp;ADDRESS(1224,'r2'!A1224),""),""))</f>
        <v/>
      </c>
      <c r="C1224" s="31"/>
      <c r="D1224" s="32"/>
    </row>
    <row r="1225" spans="1:4" ht="24" customHeight="1" x14ac:dyDescent="0.25">
      <c r="A1225" t="str">
        <f>IF('e2'!A1225&gt;0,HYPERLINK("#"&amp;ADDRESS(1225,'e2'!A1225),""),IF('r2'!A1225&gt;0,HYPERLINK("#"&amp;ADDRESS(1225,'r2'!A1225),""),""))</f>
        <v/>
      </c>
      <c r="C1225" s="31"/>
      <c r="D1225" s="32"/>
    </row>
    <row r="1226" spans="1:4" ht="24" customHeight="1" x14ac:dyDescent="0.25">
      <c r="A1226" t="str">
        <f>IF('e2'!A1226&gt;0,HYPERLINK("#"&amp;ADDRESS(1226,'e2'!A1226),""),IF('r2'!A1226&gt;0,HYPERLINK("#"&amp;ADDRESS(1226,'r2'!A1226),""),""))</f>
        <v/>
      </c>
      <c r="C1226" s="31"/>
      <c r="D1226" s="32"/>
    </row>
    <row r="1227" spans="1:4" ht="24" customHeight="1" x14ac:dyDescent="0.25">
      <c r="A1227" t="str">
        <f>IF('e2'!A1227&gt;0,HYPERLINK("#"&amp;ADDRESS(1227,'e2'!A1227),""),IF('r2'!A1227&gt;0,HYPERLINK("#"&amp;ADDRESS(1227,'r2'!A1227),""),""))</f>
        <v/>
      </c>
      <c r="C1227" s="31"/>
      <c r="D1227" s="32"/>
    </row>
    <row r="1228" spans="1:4" ht="24" customHeight="1" x14ac:dyDescent="0.25">
      <c r="A1228" t="str">
        <f>IF('e2'!A1228&gt;0,HYPERLINK("#"&amp;ADDRESS(1228,'e2'!A1228),""),IF('r2'!A1228&gt;0,HYPERLINK("#"&amp;ADDRESS(1228,'r2'!A1228),""),""))</f>
        <v/>
      </c>
      <c r="C1228" s="31"/>
      <c r="D1228" s="32"/>
    </row>
    <row r="1229" spans="1:4" ht="24" customHeight="1" x14ac:dyDescent="0.25">
      <c r="A1229" t="str">
        <f>IF('e2'!A1229&gt;0,HYPERLINK("#"&amp;ADDRESS(1229,'e2'!A1229),""),IF('r2'!A1229&gt;0,HYPERLINK("#"&amp;ADDRESS(1229,'r2'!A1229),""),""))</f>
        <v/>
      </c>
      <c r="C1229" s="31"/>
      <c r="D1229" s="32"/>
    </row>
    <row r="1230" spans="1:4" ht="24" customHeight="1" x14ac:dyDescent="0.25">
      <c r="A1230" t="str">
        <f>IF('e2'!A1230&gt;0,HYPERLINK("#"&amp;ADDRESS(1230,'e2'!A1230),""),IF('r2'!A1230&gt;0,HYPERLINK("#"&amp;ADDRESS(1230,'r2'!A1230),""),""))</f>
        <v/>
      </c>
      <c r="C1230" s="31"/>
      <c r="D1230" s="32"/>
    </row>
    <row r="1231" spans="1:4" ht="24" customHeight="1" x14ac:dyDescent="0.25">
      <c r="A1231" t="str">
        <f>IF('e2'!A1231&gt;0,HYPERLINK("#"&amp;ADDRESS(1231,'e2'!A1231),""),IF('r2'!A1231&gt;0,HYPERLINK("#"&amp;ADDRESS(1231,'r2'!A1231),""),""))</f>
        <v/>
      </c>
      <c r="C1231" s="31"/>
      <c r="D1231" s="32"/>
    </row>
    <row r="1232" spans="1:4" ht="24" customHeight="1" x14ac:dyDescent="0.25">
      <c r="A1232" t="str">
        <f>IF('e2'!A1232&gt;0,HYPERLINK("#"&amp;ADDRESS(1232,'e2'!A1232),""),IF('r2'!A1232&gt;0,HYPERLINK("#"&amp;ADDRESS(1232,'r2'!A1232),""),""))</f>
        <v/>
      </c>
      <c r="C1232" s="31"/>
      <c r="D1232" s="32"/>
    </row>
    <row r="1233" spans="1:4" ht="24" customHeight="1" x14ac:dyDescent="0.25">
      <c r="A1233" t="str">
        <f>IF('e2'!A1233&gt;0,HYPERLINK("#"&amp;ADDRESS(1233,'e2'!A1233),""),IF('r2'!A1233&gt;0,HYPERLINK("#"&amp;ADDRESS(1233,'r2'!A1233),""),""))</f>
        <v/>
      </c>
      <c r="C1233" s="31"/>
      <c r="D1233" s="32"/>
    </row>
    <row r="1234" spans="1:4" ht="24" customHeight="1" x14ac:dyDescent="0.25">
      <c r="A1234" t="str">
        <f>IF('e2'!A1234&gt;0,HYPERLINK("#"&amp;ADDRESS(1234,'e2'!A1234),""),IF('r2'!A1234&gt;0,HYPERLINK("#"&amp;ADDRESS(1234,'r2'!A1234),""),""))</f>
        <v/>
      </c>
      <c r="C1234" s="31"/>
      <c r="D1234" s="32"/>
    </row>
    <row r="1235" spans="1:4" ht="24" customHeight="1" x14ac:dyDescent="0.25">
      <c r="A1235" t="str">
        <f>IF('e2'!A1235&gt;0,HYPERLINK("#"&amp;ADDRESS(1235,'e2'!A1235),""),IF('r2'!A1235&gt;0,HYPERLINK("#"&amp;ADDRESS(1235,'r2'!A1235),""),""))</f>
        <v/>
      </c>
      <c r="C1235" s="31"/>
      <c r="D1235" s="32"/>
    </row>
    <row r="1236" spans="1:4" ht="24" customHeight="1" x14ac:dyDescent="0.25">
      <c r="A1236" t="str">
        <f>IF('e2'!A1236&gt;0,HYPERLINK("#"&amp;ADDRESS(1236,'e2'!A1236),""),IF('r2'!A1236&gt;0,HYPERLINK("#"&amp;ADDRESS(1236,'r2'!A1236),""),""))</f>
        <v/>
      </c>
      <c r="C1236" s="31"/>
      <c r="D1236" s="32"/>
    </row>
    <row r="1237" spans="1:4" ht="24" customHeight="1" x14ac:dyDescent="0.25">
      <c r="A1237" t="str">
        <f>IF('e2'!A1237&gt;0,HYPERLINK("#"&amp;ADDRESS(1237,'e2'!A1237),""),IF('r2'!A1237&gt;0,HYPERLINK("#"&amp;ADDRESS(1237,'r2'!A1237),""),""))</f>
        <v/>
      </c>
      <c r="C1237" s="31"/>
      <c r="D1237" s="32"/>
    </row>
    <row r="1238" spans="1:4" ht="24" customHeight="1" x14ac:dyDescent="0.25">
      <c r="A1238" t="str">
        <f>IF('e2'!A1238&gt;0,HYPERLINK("#"&amp;ADDRESS(1238,'e2'!A1238),""),IF('r2'!A1238&gt;0,HYPERLINK("#"&amp;ADDRESS(1238,'r2'!A1238),""),""))</f>
        <v/>
      </c>
      <c r="C1238" s="31"/>
      <c r="D1238" s="32"/>
    </row>
    <row r="1239" spans="1:4" ht="24" customHeight="1" x14ac:dyDescent="0.25">
      <c r="A1239" t="str">
        <f>IF('e2'!A1239&gt;0,HYPERLINK("#"&amp;ADDRESS(1239,'e2'!A1239),""),IF('r2'!A1239&gt;0,HYPERLINK("#"&amp;ADDRESS(1239,'r2'!A1239),""),""))</f>
        <v/>
      </c>
      <c r="C1239" s="31"/>
      <c r="D1239" s="32"/>
    </row>
    <row r="1240" spans="1:4" ht="24" customHeight="1" x14ac:dyDescent="0.25">
      <c r="A1240" t="str">
        <f>IF('e2'!A1240&gt;0,HYPERLINK("#"&amp;ADDRESS(1240,'e2'!A1240),""),IF('r2'!A1240&gt;0,HYPERLINK("#"&amp;ADDRESS(1240,'r2'!A1240),""),""))</f>
        <v/>
      </c>
      <c r="C1240" s="31"/>
      <c r="D1240" s="32"/>
    </row>
    <row r="1241" spans="1:4" ht="24" customHeight="1" x14ac:dyDescent="0.25">
      <c r="A1241" t="str">
        <f>IF('e2'!A1241&gt;0,HYPERLINK("#"&amp;ADDRESS(1241,'e2'!A1241),""),IF('r2'!A1241&gt;0,HYPERLINK("#"&amp;ADDRESS(1241,'r2'!A1241),""),""))</f>
        <v/>
      </c>
      <c r="C1241" s="31"/>
      <c r="D1241" s="32"/>
    </row>
    <row r="1242" spans="1:4" ht="24" customHeight="1" x14ac:dyDescent="0.25">
      <c r="A1242" t="str">
        <f>IF('e2'!A1242&gt;0,HYPERLINK("#"&amp;ADDRESS(1242,'e2'!A1242),""),IF('r2'!A1242&gt;0,HYPERLINK("#"&amp;ADDRESS(1242,'r2'!A1242),""),""))</f>
        <v/>
      </c>
      <c r="C1242" s="31"/>
      <c r="D1242" s="32"/>
    </row>
    <row r="1243" spans="1:4" ht="24" customHeight="1" x14ac:dyDescent="0.25">
      <c r="A1243" t="str">
        <f>IF('e2'!A1243&gt;0,HYPERLINK("#"&amp;ADDRESS(1243,'e2'!A1243),""),IF('r2'!A1243&gt;0,HYPERLINK("#"&amp;ADDRESS(1243,'r2'!A1243),""),""))</f>
        <v/>
      </c>
      <c r="C1243" s="31"/>
      <c r="D1243" s="32"/>
    </row>
    <row r="1244" spans="1:4" ht="24" customHeight="1" x14ac:dyDescent="0.25">
      <c r="A1244" t="str">
        <f>IF('e2'!A1244&gt;0,HYPERLINK("#"&amp;ADDRESS(1244,'e2'!A1244),""),IF('r2'!A1244&gt;0,HYPERLINK("#"&amp;ADDRESS(1244,'r2'!A1244),""),""))</f>
        <v/>
      </c>
      <c r="C1244" s="31"/>
      <c r="D1244" s="32"/>
    </row>
    <row r="1245" spans="1:4" ht="24" customHeight="1" x14ac:dyDescent="0.25">
      <c r="A1245" t="str">
        <f>IF('e2'!A1245&gt;0,HYPERLINK("#"&amp;ADDRESS(1245,'e2'!A1245),""),IF('r2'!A1245&gt;0,HYPERLINK("#"&amp;ADDRESS(1245,'r2'!A1245),""),""))</f>
        <v/>
      </c>
      <c r="C1245" s="31"/>
      <c r="D1245" s="32"/>
    </row>
    <row r="1246" spans="1:4" ht="24" customHeight="1" x14ac:dyDescent="0.25">
      <c r="A1246" t="str">
        <f>IF('e2'!A1246&gt;0,HYPERLINK("#"&amp;ADDRESS(1246,'e2'!A1246),""),IF('r2'!A1246&gt;0,HYPERLINK("#"&amp;ADDRESS(1246,'r2'!A1246),""),""))</f>
        <v/>
      </c>
      <c r="C1246" s="31"/>
      <c r="D1246" s="32"/>
    </row>
    <row r="1247" spans="1:4" ht="24" customHeight="1" x14ac:dyDescent="0.25">
      <c r="A1247" t="str">
        <f>IF('e2'!A1247&gt;0,HYPERLINK("#"&amp;ADDRESS(1247,'e2'!A1247),""),IF('r2'!A1247&gt;0,HYPERLINK("#"&amp;ADDRESS(1247,'r2'!A1247),""),""))</f>
        <v/>
      </c>
      <c r="C1247" s="31"/>
      <c r="D1247" s="32"/>
    </row>
    <row r="1248" spans="1:4" ht="24" customHeight="1" x14ac:dyDescent="0.25">
      <c r="A1248" t="str">
        <f>IF('e2'!A1248&gt;0,HYPERLINK("#"&amp;ADDRESS(1248,'e2'!A1248),""),IF('r2'!A1248&gt;0,HYPERLINK("#"&amp;ADDRESS(1248,'r2'!A1248),""),""))</f>
        <v/>
      </c>
      <c r="C1248" s="31"/>
      <c r="D1248" s="32"/>
    </row>
    <row r="1249" spans="1:4" ht="24" customHeight="1" x14ac:dyDescent="0.25">
      <c r="A1249" t="str">
        <f>IF('e2'!A1249&gt;0,HYPERLINK("#"&amp;ADDRESS(1249,'e2'!A1249),""),IF('r2'!A1249&gt;0,HYPERLINK("#"&amp;ADDRESS(1249,'r2'!A1249),""),""))</f>
        <v/>
      </c>
      <c r="C1249" s="31"/>
      <c r="D1249" s="32"/>
    </row>
    <row r="1250" spans="1:4" ht="24" customHeight="1" x14ac:dyDescent="0.25">
      <c r="A1250" t="str">
        <f>IF('e2'!A1250&gt;0,HYPERLINK("#"&amp;ADDRESS(1250,'e2'!A1250),""),IF('r2'!A1250&gt;0,HYPERLINK("#"&amp;ADDRESS(1250,'r2'!A1250),""),""))</f>
        <v/>
      </c>
      <c r="C1250" s="31"/>
      <c r="D1250" s="32"/>
    </row>
    <row r="1251" spans="1:4" ht="24" customHeight="1" x14ac:dyDescent="0.25">
      <c r="A1251" t="str">
        <f>IF('e2'!A1251&gt;0,HYPERLINK("#"&amp;ADDRESS(1251,'e2'!A1251),""),IF('r2'!A1251&gt;0,HYPERLINK("#"&amp;ADDRESS(1251,'r2'!A1251),""),""))</f>
        <v/>
      </c>
      <c r="C1251" s="31"/>
      <c r="D1251" s="32"/>
    </row>
    <row r="1252" spans="1:4" ht="24" customHeight="1" x14ac:dyDescent="0.25">
      <c r="A1252" t="str">
        <f>IF('e2'!A1252&gt;0,HYPERLINK("#"&amp;ADDRESS(1252,'e2'!A1252),""),IF('r2'!A1252&gt;0,HYPERLINK("#"&amp;ADDRESS(1252,'r2'!A1252),""),""))</f>
        <v/>
      </c>
      <c r="C1252" s="31"/>
      <c r="D1252" s="32"/>
    </row>
    <row r="1253" spans="1:4" ht="24" customHeight="1" x14ac:dyDescent="0.25">
      <c r="A1253" t="str">
        <f>IF('e2'!A1253&gt;0,HYPERLINK("#"&amp;ADDRESS(1253,'e2'!A1253),""),IF('r2'!A1253&gt;0,HYPERLINK("#"&amp;ADDRESS(1253,'r2'!A1253),""),""))</f>
        <v/>
      </c>
      <c r="C1253" s="31"/>
      <c r="D1253" s="32"/>
    </row>
    <row r="1254" spans="1:4" ht="24" customHeight="1" x14ac:dyDescent="0.25">
      <c r="A1254" t="str">
        <f>IF('e2'!A1254&gt;0,HYPERLINK("#"&amp;ADDRESS(1254,'e2'!A1254),""),IF('r2'!A1254&gt;0,HYPERLINK("#"&amp;ADDRESS(1254,'r2'!A1254),""),""))</f>
        <v/>
      </c>
      <c r="C1254" s="31"/>
      <c r="D1254" s="32"/>
    </row>
    <row r="1255" spans="1:4" ht="24" customHeight="1" x14ac:dyDescent="0.25">
      <c r="A1255" t="str">
        <f>IF('e2'!A1255&gt;0,HYPERLINK("#"&amp;ADDRESS(1255,'e2'!A1255),""),IF('r2'!A1255&gt;0,HYPERLINK("#"&amp;ADDRESS(1255,'r2'!A1255),""),""))</f>
        <v/>
      </c>
      <c r="C1255" s="31"/>
      <c r="D1255" s="32"/>
    </row>
    <row r="1256" spans="1:4" ht="24" customHeight="1" x14ac:dyDescent="0.25">
      <c r="A1256" t="str">
        <f>IF('e2'!A1256&gt;0,HYPERLINK("#"&amp;ADDRESS(1256,'e2'!A1256),""),IF('r2'!A1256&gt;0,HYPERLINK("#"&amp;ADDRESS(1256,'r2'!A1256),""),""))</f>
        <v/>
      </c>
      <c r="C1256" s="31"/>
      <c r="D1256" s="32"/>
    </row>
    <row r="1257" spans="1:4" ht="24" customHeight="1" x14ac:dyDescent="0.25">
      <c r="A1257" t="str">
        <f>IF('e2'!A1257&gt;0,HYPERLINK("#"&amp;ADDRESS(1257,'e2'!A1257),""),IF('r2'!A1257&gt;0,HYPERLINK("#"&amp;ADDRESS(1257,'r2'!A1257),""),""))</f>
        <v/>
      </c>
      <c r="C1257" s="31"/>
      <c r="D1257" s="32"/>
    </row>
    <row r="1258" spans="1:4" ht="24" customHeight="1" x14ac:dyDescent="0.25">
      <c r="A1258" t="str">
        <f>IF('e2'!A1258&gt;0,HYPERLINK("#"&amp;ADDRESS(1258,'e2'!A1258),""),IF('r2'!A1258&gt;0,HYPERLINK("#"&amp;ADDRESS(1258,'r2'!A1258),""),""))</f>
        <v/>
      </c>
      <c r="C1258" s="31"/>
      <c r="D1258" s="32"/>
    </row>
    <row r="1259" spans="1:4" ht="24" customHeight="1" x14ac:dyDescent="0.25">
      <c r="A1259" t="str">
        <f>IF('e2'!A1259&gt;0,HYPERLINK("#"&amp;ADDRESS(1259,'e2'!A1259),""),IF('r2'!A1259&gt;0,HYPERLINK("#"&amp;ADDRESS(1259,'r2'!A1259),""),""))</f>
        <v/>
      </c>
      <c r="C1259" s="31"/>
      <c r="D1259" s="32"/>
    </row>
    <row r="1260" spans="1:4" ht="24" customHeight="1" x14ac:dyDescent="0.25">
      <c r="A1260" t="str">
        <f>IF('e2'!A1260&gt;0,HYPERLINK("#"&amp;ADDRESS(1260,'e2'!A1260),""),IF('r2'!A1260&gt;0,HYPERLINK("#"&amp;ADDRESS(1260,'r2'!A1260),""),""))</f>
        <v/>
      </c>
      <c r="C1260" s="31"/>
      <c r="D1260" s="32"/>
    </row>
    <row r="1261" spans="1:4" ht="24" customHeight="1" x14ac:dyDescent="0.25">
      <c r="A1261" t="str">
        <f>IF('e2'!A1261&gt;0,HYPERLINK("#"&amp;ADDRESS(1261,'e2'!A1261),""),IF('r2'!A1261&gt;0,HYPERLINK("#"&amp;ADDRESS(1261,'r2'!A1261),""),""))</f>
        <v/>
      </c>
      <c r="C1261" s="31"/>
      <c r="D1261" s="32"/>
    </row>
    <row r="1262" spans="1:4" ht="24" customHeight="1" x14ac:dyDescent="0.25">
      <c r="A1262" t="str">
        <f>IF('e2'!A1262&gt;0,HYPERLINK("#"&amp;ADDRESS(1262,'e2'!A1262),""),IF('r2'!A1262&gt;0,HYPERLINK("#"&amp;ADDRESS(1262,'r2'!A1262),""),""))</f>
        <v/>
      </c>
      <c r="C1262" s="31"/>
      <c r="D1262" s="32"/>
    </row>
    <row r="1263" spans="1:4" ht="24" customHeight="1" x14ac:dyDescent="0.25">
      <c r="A1263" t="str">
        <f>IF('e2'!A1263&gt;0,HYPERLINK("#"&amp;ADDRESS(1263,'e2'!A1263),""),IF('r2'!A1263&gt;0,HYPERLINK("#"&amp;ADDRESS(1263,'r2'!A1263),""),""))</f>
        <v/>
      </c>
      <c r="C1263" s="31"/>
      <c r="D1263" s="32"/>
    </row>
    <row r="1264" spans="1:4" ht="24" customHeight="1" x14ac:dyDescent="0.25">
      <c r="A1264" t="str">
        <f>IF('e2'!A1264&gt;0,HYPERLINK("#"&amp;ADDRESS(1264,'e2'!A1264),""),IF('r2'!A1264&gt;0,HYPERLINK("#"&amp;ADDRESS(1264,'r2'!A1264),""),""))</f>
        <v/>
      </c>
      <c r="C1264" s="31"/>
      <c r="D1264" s="32"/>
    </row>
    <row r="1265" spans="1:4" ht="24" customHeight="1" x14ac:dyDescent="0.25">
      <c r="A1265" t="str">
        <f>IF('e2'!A1265&gt;0,HYPERLINK("#"&amp;ADDRESS(1265,'e2'!A1265),""),IF('r2'!A1265&gt;0,HYPERLINK("#"&amp;ADDRESS(1265,'r2'!A1265),""),""))</f>
        <v/>
      </c>
      <c r="C1265" s="31"/>
      <c r="D1265" s="32"/>
    </row>
    <row r="1266" spans="1:4" ht="24" customHeight="1" x14ac:dyDescent="0.25">
      <c r="A1266" t="str">
        <f>IF('e2'!A1266&gt;0,HYPERLINK("#"&amp;ADDRESS(1266,'e2'!A1266),""),IF('r2'!A1266&gt;0,HYPERLINK("#"&amp;ADDRESS(1266,'r2'!A1266),""),""))</f>
        <v/>
      </c>
      <c r="C1266" s="31"/>
      <c r="D1266" s="32"/>
    </row>
    <row r="1267" spans="1:4" ht="24" customHeight="1" x14ac:dyDescent="0.25">
      <c r="A1267" t="str">
        <f>IF('e2'!A1267&gt;0,HYPERLINK("#"&amp;ADDRESS(1267,'e2'!A1267),""),IF('r2'!A1267&gt;0,HYPERLINK("#"&amp;ADDRESS(1267,'r2'!A1267),""),""))</f>
        <v/>
      </c>
      <c r="C1267" s="31"/>
      <c r="D1267" s="32"/>
    </row>
    <row r="1268" spans="1:4" ht="24" customHeight="1" x14ac:dyDescent="0.25">
      <c r="A1268" t="str">
        <f>IF('e2'!A1268&gt;0,HYPERLINK("#"&amp;ADDRESS(1268,'e2'!A1268),""),IF('r2'!A1268&gt;0,HYPERLINK("#"&amp;ADDRESS(1268,'r2'!A1268),""),""))</f>
        <v/>
      </c>
      <c r="C1268" s="31"/>
      <c r="D1268" s="32"/>
    </row>
    <row r="1269" spans="1:4" ht="24" customHeight="1" x14ac:dyDescent="0.25">
      <c r="A1269" t="str">
        <f>IF('e2'!A1269&gt;0,HYPERLINK("#"&amp;ADDRESS(1269,'e2'!A1269),""),IF('r2'!A1269&gt;0,HYPERLINK("#"&amp;ADDRESS(1269,'r2'!A1269),""),""))</f>
        <v/>
      </c>
      <c r="C1269" s="31"/>
      <c r="D1269" s="32"/>
    </row>
    <row r="1270" spans="1:4" ht="24" customHeight="1" x14ac:dyDescent="0.25">
      <c r="A1270" t="str">
        <f>IF('e2'!A1270&gt;0,HYPERLINK("#"&amp;ADDRESS(1270,'e2'!A1270),""),IF('r2'!A1270&gt;0,HYPERLINK("#"&amp;ADDRESS(1270,'r2'!A1270),""),""))</f>
        <v/>
      </c>
      <c r="C1270" s="31"/>
      <c r="D1270" s="32"/>
    </row>
    <row r="1271" spans="1:4" ht="24" customHeight="1" x14ac:dyDescent="0.25">
      <c r="A1271" t="str">
        <f>IF('e2'!A1271&gt;0,HYPERLINK("#"&amp;ADDRESS(1271,'e2'!A1271),""),IF('r2'!A1271&gt;0,HYPERLINK("#"&amp;ADDRESS(1271,'r2'!A1271),""),""))</f>
        <v/>
      </c>
      <c r="C1271" s="31"/>
      <c r="D1271" s="32"/>
    </row>
    <row r="1272" spans="1:4" ht="24" customHeight="1" x14ac:dyDescent="0.25">
      <c r="A1272" t="str">
        <f>IF('e2'!A1272&gt;0,HYPERLINK("#"&amp;ADDRESS(1272,'e2'!A1272),""),IF('r2'!A1272&gt;0,HYPERLINK("#"&amp;ADDRESS(1272,'r2'!A1272),""),""))</f>
        <v/>
      </c>
      <c r="C1272" s="31"/>
      <c r="D1272" s="32"/>
    </row>
    <row r="1273" spans="1:4" ht="24" customHeight="1" x14ac:dyDescent="0.25">
      <c r="A1273" t="str">
        <f>IF('e2'!A1273&gt;0,HYPERLINK("#"&amp;ADDRESS(1273,'e2'!A1273),""),IF('r2'!A1273&gt;0,HYPERLINK("#"&amp;ADDRESS(1273,'r2'!A1273),""),""))</f>
        <v/>
      </c>
      <c r="C1273" s="31"/>
      <c r="D1273" s="32"/>
    </row>
    <row r="1274" spans="1:4" ht="24" customHeight="1" x14ac:dyDescent="0.25">
      <c r="A1274" t="str">
        <f>IF('e2'!A1274&gt;0,HYPERLINK("#"&amp;ADDRESS(1274,'e2'!A1274),""),IF('r2'!A1274&gt;0,HYPERLINK("#"&amp;ADDRESS(1274,'r2'!A1274),""),""))</f>
        <v/>
      </c>
      <c r="C1274" s="31"/>
      <c r="D1274" s="32"/>
    </row>
    <row r="1275" spans="1:4" ht="24" customHeight="1" x14ac:dyDescent="0.25">
      <c r="A1275" t="str">
        <f>IF('e2'!A1275&gt;0,HYPERLINK("#"&amp;ADDRESS(1275,'e2'!A1275),""),IF('r2'!A1275&gt;0,HYPERLINK("#"&amp;ADDRESS(1275,'r2'!A1275),""),""))</f>
        <v/>
      </c>
      <c r="C1275" s="31"/>
      <c r="D1275" s="32"/>
    </row>
    <row r="1276" spans="1:4" ht="24" customHeight="1" x14ac:dyDescent="0.25">
      <c r="A1276" t="str">
        <f>IF('e2'!A1276&gt;0,HYPERLINK("#"&amp;ADDRESS(1276,'e2'!A1276),""),IF('r2'!A1276&gt;0,HYPERLINK("#"&amp;ADDRESS(1276,'r2'!A1276),""),""))</f>
        <v/>
      </c>
      <c r="C1276" s="31"/>
      <c r="D1276" s="32"/>
    </row>
    <row r="1277" spans="1:4" ht="24" customHeight="1" x14ac:dyDescent="0.25">
      <c r="A1277" t="str">
        <f>IF('e2'!A1277&gt;0,HYPERLINK("#"&amp;ADDRESS(1277,'e2'!A1277),""),IF('r2'!A1277&gt;0,HYPERLINK("#"&amp;ADDRESS(1277,'r2'!A1277),""),""))</f>
        <v/>
      </c>
      <c r="C1277" s="31"/>
      <c r="D1277" s="32"/>
    </row>
    <row r="1278" spans="1:4" ht="24" customHeight="1" x14ac:dyDescent="0.25">
      <c r="A1278" t="str">
        <f>IF('e2'!A1278&gt;0,HYPERLINK("#"&amp;ADDRESS(1278,'e2'!A1278),""),IF('r2'!A1278&gt;0,HYPERLINK("#"&amp;ADDRESS(1278,'r2'!A1278),""),""))</f>
        <v/>
      </c>
      <c r="C1278" s="31"/>
      <c r="D1278" s="32"/>
    </row>
    <row r="1279" spans="1:4" ht="24" customHeight="1" x14ac:dyDescent="0.25">
      <c r="A1279" t="str">
        <f>IF('e2'!A1279&gt;0,HYPERLINK("#"&amp;ADDRESS(1279,'e2'!A1279),""),IF('r2'!A1279&gt;0,HYPERLINK("#"&amp;ADDRESS(1279,'r2'!A1279),""),""))</f>
        <v/>
      </c>
      <c r="C1279" s="31"/>
      <c r="D1279" s="32"/>
    </row>
    <row r="1280" spans="1:4" ht="24" customHeight="1" x14ac:dyDescent="0.25">
      <c r="A1280" t="str">
        <f>IF('e2'!A1280&gt;0,HYPERLINK("#"&amp;ADDRESS(1280,'e2'!A1280),""),IF('r2'!A1280&gt;0,HYPERLINK("#"&amp;ADDRESS(1280,'r2'!A1280),""),""))</f>
        <v/>
      </c>
      <c r="C1280" s="31"/>
      <c r="D1280" s="32"/>
    </row>
    <row r="1281" spans="1:4" ht="24" customHeight="1" x14ac:dyDescent="0.25">
      <c r="A1281" t="str">
        <f>IF('e2'!A1281&gt;0,HYPERLINK("#"&amp;ADDRESS(1281,'e2'!A1281),""),IF('r2'!A1281&gt;0,HYPERLINK("#"&amp;ADDRESS(1281,'r2'!A1281),""),""))</f>
        <v/>
      </c>
      <c r="C1281" s="31"/>
      <c r="D1281" s="32"/>
    </row>
    <row r="1282" spans="1:4" ht="24" customHeight="1" x14ac:dyDescent="0.25">
      <c r="A1282" t="str">
        <f>IF('e2'!A1282&gt;0,HYPERLINK("#"&amp;ADDRESS(1282,'e2'!A1282),""),IF('r2'!A1282&gt;0,HYPERLINK("#"&amp;ADDRESS(1282,'r2'!A1282),""),""))</f>
        <v/>
      </c>
      <c r="C1282" s="31"/>
      <c r="D1282" s="32"/>
    </row>
    <row r="1283" spans="1:4" ht="24" customHeight="1" x14ac:dyDescent="0.25">
      <c r="A1283" t="str">
        <f>IF('e2'!A1283&gt;0,HYPERLINK("#"&amp;ADDRESS(1283,'e2'!A1283),""),IF('r2'!A1283&gt;0,HYPERLINK("#"&amp;ADDRESS(1283,'r2'!A1283),""),""))</f>
        <v/>
      </c>
      <c r="C1283" s="31"/>
      <c r="D1283" s="32"/>
    </row>
    <row r="1284" spans="1:4" ht="24" customHeight="1" x14ac:dyDescent="0.25">
      <c r="A1284" t="str">
        <f>IF('e2'!A1284&gt;0,HYPERLINK("#"&amp;ADDRESS(1284,'e2'!A1284),""),IF('r2'!A1284&gt;0,HYPERLINK("#"&amp;ADDRESS(1284,'r2'!A1284),""),""))</f>
        <v/>
      </c>
      <c r="C1284" s="31"/>
      <c r="D1284" s="32"/>
    </row>
    <row r="1285" spans="1:4" ht="24" customHeight="1" x14ac:dyDescent="0.25">
      <c r="A1285" t="str">
        <f>IF('e2'!A1285&gt;0,HYPERLINK("#"&amp;ADDRESS(1285,'e2'!A1285),""),IF('r2'!A1285&gt;0,HYPERLINK("#"&amp;ADDRESS(1285,'r2'!A1285),""),""))</f>
        <v/>
      </c>
      <c r="C1285" s="31"/>
      <c r="D1285" s="32"/>
    </row>
    <row r="1286" spans="1:4" ht="24" customHeight="1" x14ac:dyDescent="0.25">
      <c r="A1286" t="str">
        <f>IF('e2'!A1286&gt;0,HYPERLINK("#"&amp;ADDRESS(1286,'e2'!A1286),""),IF('r2'!A1286&gt;0,HYPERLINK("#"&amp;ADDRESS(1286,'r2'!A1286),""),""))</f>
        <v/>
      </c>
      <c r="C1286" s="31"/>
      <c r="D1286" s="32"/>
    </row>
    <row r="1287" spans="1:4" ht="24" customHeight="1" x14ac:dyDescent="0.25">
      <c r="A1287" t="str">
        <f>IF('e2'!A1287&gt;0,HYPERLINK("#"&amp;ADDRESS(1287,'e2'!A1287),""),IF('r2'!A1287&gt;0,HYPERLINK("#"&amp;ADDRESS(1287,'r2'!A1287),""),""))</f>
        <v/>
      </c>
      <c r="C1287" s="31"/>
      <c r="D1287" s="32"/>
    </row>
    <row r="1288" spans="1:4" ht="24" customHeight="1" x14ac:dyDescent="0.25">
      <c r="A1288" t="str">
        <f>IF('e2'!A1288&gt;0,HYPERLINK("#"&amp;ADDRESS(1288,'e2'!A1288),""),IF('r2'!A1288&gt;0,HYPERLINK("#"&amp;ADDRESS(1288,'r2'!A1288),""),""))</f>
        <v/>
      </c>
      <c r="C1288" s="31"/>
      <c r="D1288" s="32"/>
    </row>
    <row r="1289" spans="1:4" ht="24" customHeight="1" x14ac:dyDescent="0.25">
      <c r="A1289" t="str">
        <f>IF('e2'!A1289&gt;0,HYPERLINK("#"&amp;ADDRESS(1289,'e2'!A1289),""),IF('r2'!A1289&gt;0,HYPERLINK("#"&amp;ADDRESS(1289,'r2'!A1289),""),""))</f>
        <v/>
      </c>
      <c r="C1289" s="31"/>
      <c r="D1289" s="32"/>
    </row>
    <row r="1290" spans="1:4" ht="24" customHeight="1" x14ac:dyDescent="0.25">
      <c r="A1290" t="str">
        <f>IF('e2'!A1290&gt;0,HYPERLINK("#"&amp;ADDRESS(1290,'e2'!A1290),""),IF('r2'!A1290&gt;0,HYPERLINK("#"&amp;ADDRESS(1290,'r2'!A1290),""),""))</f>
        <v/>
      </c>
      <c r="C1290" s="31"/>
      <c r="D1290" s="32"/>
    </row>
    <row r="1291" spans="1:4" ht="24" customHeight="1" x14ac:dyDescent="0.25">
      <c r="A1291" t="str">
        <f>IF('e2'!A1291&gt;0,HYPERLINK("#"&amp;ADDRESS(1291,'e2'!A1291),""),IF('r2'!A1291&gt;0,HYPERLINK("#"&amp;ADDRESS(1291,'r2'!A1291),""),""))</f>
        <v/>
      </c>
      <c r="C1291" s="31"/>
      <c r="D1291" s="32"/>
    </row>
    <row r="1292" spans="1:4" ht="24" customHeight="1" x14ac:dyDescent="0.25">
      <c r="A1292" t="str">
        <f>IF('e2'!A1292&gt;0,HYPERLINK("#"&amp;ADDRESS(1292,'e2'!A1292),""),IF('r2'!A1292&gt;0,HYPERLINK("#"&amp;ADDRESS(1292,'r2'!A1292),""),""))</f>
        <v/>
      </c>
      <c r="C1292" s="31"/>
      <c r="D1292" s="32"/>
    </row>
    <row r="1293" spans="1:4" ht="24" customHeight="1" x14ac:dyDescent="0.25">
      <c r="A1293" t="str">
        <f>IF('e2'!A1293&gt;0,HYPERLINK("#"&amp;ADDRESS(1293,'e2'!A1293),""),IF('r2'!A1293&gt;0,HYPERLINK("#"&amp;ADDRESS(1293,'r2'!A1293),""),""))</f>
        <v/>
      </c>
      <c r="C1293" s="31"/>
      <c r="D1293" s="32"/>
    </row>
    <row r="1294" spans="1:4" ht="24" customHeight="1" x14ac:dyDescent="0.25">
      <c r="A1294" t="str">
        <f>IF('e2'!A1294&gt;0,HYPERLINK("#"&amp;ADDRESS(1294,'e2'!A1294),""),IF('r2'!A1294&gt;0,HYPERLINK("#"&amp;ADDRESS(1294,'r2'!A1294),""),""))</f>
        <v/>
      </c>
      <c r="C1294" s="31"/>
      <c r="D1294" s="32"/>
    </row>
    <row r="1295" spans="1:4" ht="24" customHeight="1" x14ac:dyDescent="0.25">
      <c r="A1295" t="str">
        <f>IF('e2'!A1295&gt;0,HYPERLINK("#"&amp;ADDRESS(1295,'e2'!A1295),""),IF('r2'!A1295&gt;0,HYPERLINK("#"&amp;ADDRESS(1295,'r2'!A1295),""),""))</f>
        <v/>
      </c>
      <c r="C1295" s="31"/>
      <c r="D1295" s="32"/>
    </row>
    <row r="1296" spans="1:4" ht="24" customHeight="1" x14ac:dyDescent="0.25">
      <c r="A1296" t="str">
        <f>IF('e2'!A1296&gt;0,HYPERLINK("#"&amp;ADDRESS(1296,'e2'!A1296),""),IF('r2'!A1296&gt;0,HYPERLINK("#"&amp;ADDRESS(1296,'r2'!A1296),""),""))</f>
        <v/>
      </c>
      <c r="C1296" s="31"/>
      <c r="D1296" s="32"/>
    </row>
    <row r="1297" spans="1:4" ht="24" customHeight="1" x14ac:dyDescent="0.25">
      <c r="A1297" t="str">
        <f>IF('e2'!A1297&gt;0,HYPERLINK("#"&amp;ADDRESS(1297,'e2'!A1297),""),IF('r2'!A1297&gt;0,HYPERLINK("#"&amp;ADDRESS(1297,'r2'!A1297),""),""))</f>
        <v/>
      </c>
      <c r="C1297" s="31"/>
      <c r="D1297" s="32"/>
    </row>
    <row r="1298" spans="1:4" ht="24" customHeight="1" x14ac:dyDescent="0.25">
      <c r="A1298" t="str">
        <f>IF('e2'!A1298&gt;0,HYPERLINK("#"&amp;ADDRESS(1298,'e2'!A1298),""),IF('r2'!A1298&gt;0,HYPERLINK("#"&amp;ADDRESS(1298,'r2'!A1298),""),""))</f>
        <v/>
      </c>
      <c r="C1298" s="31"/>
      <c r="D1298" s="32"/>
    </row>
    <row r="1299" spans="1:4" ht="24" customHeight="1" x14ac:dyDescent="0.25">
      <c r="A1299" t="str">
        <f>IF('e2'!A1299&gt;0,HYPERLINK("#"&amp;ADDRESS(1299,'e2'!A1299),""),IF('r2'!A1299&gt;0,HYPERLINK("#"&amp;ADDRESS(1299,'r2'!A1299),""),""))</f>
        <v/>
      </c>
      <c r="C1299" s="31"/>
      <c r="D1299" s="32"/>
    </row>
    <row r="1300" spans="1:4" ht="24" customHeight="1" x14ac:dyDescent="0.25">
      <c r="A1300" t="str">
        <f>IF('e2'!A1300&gt;0,HYPERLINK("#"&amp;ADDRESS(1300,'e2'!A1300),""),IF('r2'!A1300&gt;0,HYPERLINK("#"&amp;ADDRESS(1300,'r2'!A1300),""),""))</f>
        <v/>
      </c>
      <c r="C1300" s="31"/>
      <c r="D1300" s="32"/>
    </row>
    <row r="1301" spans="1:4" ht="24" customHeight="1" x14ac:dyDescent="0.25">
      <c r="A1301" t="str">
        <f>IF('e2'!A1301&gt;0,HYPERLINK("#"&amp;ADDRESS(1301,'e2'!A1301),""),IF('r2'!A1301&gt;0,HYPERLINK("#"&amp;ADDRESS(1301,'r2'!A1301),""),""))</f>
        <v/>
      </c>
      <c r="C1301" s="31"/>
      <c r="D1301" s="32"/>
    </row>
    <row r="1302" spans="1:4" ht="24" customHeight="1" x14ac:dyDescent="0.25">
      <c r="A1302" t="str">
        <f>IF('e2'!A1302&gt;0,HYPERLINK("#"&amp;ADDRESS(1302,'e2'!A1302),""),IF('r2'!A1302&gt;0,HYPERLINK("#"&amp;ADDRESS(1302,'r2'!A1302),""),""))</f>
        <v/>
      </c>
      <c r="C1302" s="31"/>
      <c r="D1302" s="32"/>
    </row>
    <row r="1303" spans="1:4" ht="24" customHeight="1" x14ac:dyDescent="0.25">
      <c r="A1303" t="str">
        <f>IF('e2'!A1303&gt;0,HYPERLINK("#"&amp;ADDRESS(1303,'e2'!A1303),""),IF('r2'!A1303&gt;0,HYPERLINK("#"&amp;ADDRESS(1303,'r2'!A1303),""),""))</f>
        <v/>
      </c>
      <c r="C1303" s="31"/>
      <c r="D1303" s="32"/>
    </row>
    <row r="1304" spans="1:4" ht="24" customHeight="1" x14ac:dyDescent="0.25">
      <c r="A1304" t="str">
        <f>IF('e2'!A1304&gt;0,HYPERLINK("#"&amp;ADDRESS(1304,'e2'!A1304),""),IF('r2'!A1304&gt;0,HYPERLINK("#"&amp;ADDRESS(1304,'r2'!A1304),""),""))</f>
        <v/>
      </c>
      <c r="C1304" s="31"/>
      <c r="D1304" s="32"/>
    </row>
    <row r="1305" spans="1:4" ht="24" customHeight="1" x14ac:dyDescent="0.25">
      <c r="A1305" t="str">
        <f>IF('e2'!A1305&gt;0,HYPERLINK("#"&amp;ADDRESS(1305,'e2'!A1305),""),IF('r2'!A1305&gt;0,HYPERLINK("#"&amp;ADDRESS(1305,'r2'!A1305),""),""))</f>
        <v/>
      </c>
      <c r="C1305" s="31"/>
      <c r="D1305" s="32"/>
    </row>
    <row r="1306" spans="1:4" ht="24" customHeight="1" x14ac:dyDescent="0.25">
      <c r="A1306" t="str">
        <f>IF('e2'!A1306&gt;0,HYPERLINK("#"&amp;ADDRESS(1306,'e2'!A1306),""),IF('r2'!A1306&gt;0,HYPERLINK("#"&amp;ADDRESS(1306,'r2'!A1306),""),""))</f>
        <v/>
      </c>
      <c r="C1306" s="31"/>
      <c r="D1306" s="32"/>
    </row>
    <row r="1307" spans="1:4" ht="24" customHeight="1" x14ac:dyDescent="0.25">
      <c r="A1307" t="str">
        <f>IF('e2'!A1307&gt;0,HYPERLINK("#"&amp;ADDRESS(1307,'e2'!A1307),""),IF('r2'!A1307&gt;0,HYPERLINK("#"&amp;ADDRESS(1307,'r2'!A1307),""),""))</f>
        <v/>
      </c>
      <c r="C1307" s="31"/>
      <c r="D1307" s="32"/>
    </row>
    <row r="1308" spans="1:4" ht="24" customHeight="1" x14ac:dyDescent="0.25">
      <c r="A1308" t="str">
        <f>IF('e2'!A1308&gt;0,HYPERLINK("#"&amp;ADDRESS(1308,'e2'!A1308),""),IF('r2'!A1308&gt;0,HYPERLINK("#"&amp;ADDRESS(1308,'r2'!A1308),""),""))</f>
        <v/>
      </c>
      <c r="C1308" s="31"/>
      <c r="D1308" s="32"/>
    </row>
    <row r="1309" spans="1:4" ht="24" customHeight="1" x14ac:dyDescent="0.25">
      <c r="A1309" t="str">
        <f>IF('e2'!A1309&gt;0,HYPERLINK("#"&amp;ADDRESS(1309,'e2'!A1309),""),IF('r2'!A1309&gt;0,HYPERLINK("#"&amp;ADDRESS(1309,'r2'!A1309),""),""))</f>
        <v/>
      </c>
      <c r="C1309" s="31"/>
      <c r="D1309" s="32"/>
    </row>
    <row r="1310" spans="1:4" ht="24" customHeight="1" x14ac:dyDescent="0.25">
      <c r="A1310" t="str">
        <f>IF('e2'!A1310&gt;0,HYPERLINK("#"&amp;ADDRESS(1310,'e2'!A1310),""),IF('r2'!A1310&gt;0,HYPERLINK("#"&amp;ADDRESS(1310,'r2'!A1310),""),""))</f>
        <v/>
      </c>
      <c r="C1310" s="31"/>
      <c r="D1310" s="32"/>
    </row>
    <row r="1311" spans="1:4" ht="24" customHeight="1" x14ac:dyDescent="0.25">
      <c r="A1311" t="str">
        <f>IF('e2'!A1311&gt;0,HYPERLINK("#"&amp;ADDRESS(1311,'e2'!A1311),""),IF('r2'!A1311&gt;0,HYPERLINK("#"&amp;ADDRESS(1311,'r2'!A1311),""),""))</f>
        <v/>
      </c>
      <c r="C1311" s="31"/>
      <c r="D1311" s="32"/>
    </row>
    <row r="1312" spans="1:4" ht="24" customHeight="1" x14ac:dyDescent="0.25">
      <c r="A1312" t="str">
        <f>IF('e2'!A1312&gt;0,HYPERLINK("#"&amp;ADDRESS(1312,'e2'!A1312),""),IF('r2'!A1312&gt;0,HYPERLINK("#"&amp;ADDRESS(1312,'r2'!A1312),""),""))</f>
        <v/>
      </c>
      <c r="C1312" s="31"/>
      <c r="D1312" s="32"/>
    </row>
    <row r="1313" spans="1:4" ht="24" customHeight="1" x14ac:dyDescent="0.25">
      <c r="A1313" t="str">
        <f>IF('e2'!A1313&gt;0,HYPERLINK("#"&amp;ADDRESS(1313,'e2'!A1313),""),IF('r2'!A1313&gt;0,HYPERLINK("#"&amp;ADDRESS(1313,'r2'!A1313),""),""))</f>
        <v/>
      </c>
      <c r="C1313" s="31"/>
      <c r="D1313" s="32"/>
    </row>
    <row r="1314" spans="1:4" ht="24" customHeight="1" x14ac:dyDescent="0.25">
      <c r="A1314" t="str">
        <f>IF('e2'!A1314&gt;0,HYPERLINK("#"&amp;ADDRESS(1314,'e2'!A1314),""),IF('r2'!A1314&gt;0,HYPERLINK("#"&amp;ADDRESS(1314,'r2'!A1314),""),""))</f>
        <v/>
      </c>
      <c r="C1314" s="31"/>
      <c r="D1314" s="32"/>
    </row>
    <row r="1315" spans="1:4" ht="24" customHeight="1" x14ac:dyDescent="0.25">
      <c r="A1315" t="str">
        <f>IF('e2'!A1315&gt;0,HYPERLINK("#"&amp;ADDRESS(1315,'e2'!A1315),""),IF('r2'!A1315&gt;0,HYPERLINK("#"&amp;ADDRESS(1315,'r2'!A1315),""),""))</f>
        <v/>
      </c>
      <c r="C1315" s="31"/>
      <c r="D1315" s="32"/>
    </row>
    <row r="1316" spans="1:4" ht="24" customHeight="1" x14ac:dyDescent="0.25">
      <c r="A1316" t="str">
        <f>IF('e2'!A1316&gt;0,HYPERLINK("#"&amp;ADDRESS(1316,'e2'!A1316),""),IF('r2'!A1316&gt;0,HYPERLINK("#"&amp;ADDRESS(1316,'r2'!A1316),""),""))</f>
        <v/>
      </c>
      <c r="C1316" s="31"/>
      <c r="D1316" s="32"/>
    </row>
    <row r="1317" spans="1:4" ht="24" customHeight="1" x14ac:dyDescent="0.25">
      <c r="A1317" t="str">
        <f>IF('e2'!A1317&gt;0,HYPERLINK("#"&amp;ADDRESS(1317,'e2'!A1317),""),IF('r2'!A1317&gt;0,HYPERLINK("#"&amp;ADDRESS(1317,'r2'!A1317),""),""))</f>
        <v/>
      </c>
      <c r="C1317" s="31"/>
      <c r="D1317" s="32"/>
    </row>
    <row r="1318" spans="1:4" ht="24" customHeight="1" x14ac:dyDescent="0.25">
      <c r="A1318" t="str">
        <f>IF('e2'!A1318&gt;0,HYPERLINK("#"&amp;ADDRESS(1318,'e2'!A1318),""),IF('r2'!A1318&gt;0,HYPERLINK("#"&amp;ADDRESS(1318,'r2'!A1318),""),""))</f>
        <v/>
      </c>
      <c r="C1318" s="31"/>
      <c r="D1318" s="32"/>
    </row>
    <row r="1319" spans="1:4" ht="24" customHeight="1" x14ac:dyDescent="0.25">
      <c r="A1319" t="str">
        <f>IF('e2'!A1319&gt;0,HYPERLINK("#"&amp;ADDRESS(1319,'e2'!A1319),""),IF('r2'!A1319&gt;0,HYPERLINK("#"&amp;ADDRESS(1319,'r2'!A1319),""),""))</f>
        <v/>
      </c>
      <c r="C1319" s="31"/>
      <c r="D1319" s="32"/>
    </row>
    <row r="1320" spans="1:4" ht="24" customHeight="1" x14ac:dyDescent="0.25">
      <c r="A1320" t="str">
        <f>IF('e2'!A1320&gt;0,HYPERLINK("#"&amp;ADDRESS(1320,'e2'!A1320),""),IF('r2'!A1320&gt;0,HYPERLINK("#"&amp;ADDRESS(1320,'r2'!A1320),""),""))</f>
        <v/>
      </c>
      <c r="C1320" s="31"/>
      <c r="D1320" s="32"/>
    </row>
    <row r="1321" spans="1:4" ht="24" customHeight="1" x14ac:dyDescent="0.25">
      <c r="A1321" t="str">
        <f>IF('e2'!A1321&gt;0,HYPERLINK("#"&amp;ADDRESS(1321,'e2'!A1321),""),IF('r2'!A1321&gt;0,HYPERLINK("#"&amp;ADDRESS(1321,'r2'!A1321),""),""))</f>
        <v/>
      </c>
      <c r="C1321" s="31"/>
      <c r="D1321" s="32"/>
    </row>
    <row r="1322" spans="1:4" ht="24" customHeight="1" x14ac:dyDescent="0.25">
      <c r="A1322" t="str">
        <f>IF('e2'!A1322&gt;0,HYPERLINK("#"&amp;ADDRESS(1322,'e2'!A1322),""),IF('r2'!A1322&gt;0,HYPERLINK("#"&amp;ADDRESS(1322,'r2'!A1322),""),""))</f>
        <v/>
      </c>
      <c r="C1322" s="31"/>
      <c r="D1322" s="32"/>
    </row>
    <row r="1323" spans="1:4" ht="24" customHeight="1" x14ac:dyDescent="0.25">
      <c r="A1323" t="str">
        <f>IF('e2'!A1323&gt;0,HYPERLINK("#"&amp;ADDRESS(1323,'e2'!A1323),""),IF('r2'!A1323&gt;0,HYPERLINK("#"&amp;ADDRESS(1323,'r2'!A1323),""),""))</f>
        <v/>
      </c>
      <c r="C1323" s="31"/>
      <c r="D1323" s="32"/>
    </row>
    <row r="1324" spans="1:4" ht="24" customHeight="1" x14ac:dyDescent="0.25">
      <c r="A1324" t="str">
        <f>IF('e2'!A1324&gt;0,HYPERLINK("#"&amp;ADDRESS(1324,'e2'!A1324),""),IF('r2'!A1324&gt;0,HYPERLINK("#"&amp;ADDRESS(1324,'r2'!A1324),""),""))</f>
        <v/>
      </c>
      <c r="C1324" s="31"/>
      <c r="D1324" s="32"/>
    </row>
    <row r="1325" spans="1:4" ht="24" customHeight="1" x14ac:dyDescent="0.25">
      <c r="A1325" t="str">
        <f>IF('e2'!A1325&gt;0,HYPERLINK("#"&amp;ADDRESS(1325,'e2'!A1325),""),IF('r2'!A1325&gt;0,HYPERLINK("#"&amp;ADDRESS(1325,'r2'!A1325),""),""))</f>
        <v/>
      </c>
      <c r="C1325" s="31"/>
      <c r="D1325" s="32"/>
    </row>
    <row r="1326" spans="1:4" ht="24" customHeight="1" x14ac:dyDescent="0.25">
      <c r="A1326" t="str">
        <f>IF('e2'!A1326&gt;0,HYPERLINK("#"&amp;ADDRESS(1326,'e2'!A1326),""),IF('r2'!A1326&gt;0,HYPERLINK("#"&amp;ADDRESS(1326,'r2'!A1326),""),""))</f>
        <v/>
      </c>
      <c r="C1326" s="31"/>
      <c r="D1326" s="32"/>
    </row>
    <row r="1327" spans="1:4" ht="24" customHeight="1" x14ac:dyDescent="0.25">
      <c r="A1327" t="str">
        <f>IF('e2'!A1327&gt;0,HYPERLINK("#"&amp;ADDRESS(1327,'e2'!A1327),""),IF('r2'!A1327&gt;0,HYPERLINK("#"&amp;ADDRESS(1327,'r2'!A1327),""),""))</f>
        <v/>
      </c>
      <c r="C1327" s="31"/>
      <c r="D1327" s="32"/>
    </row>
    <row r="1328" spans="1:4" ht="24" customHeight="1" x14ac:dyDescent="0.25">
      <c r="A1328" t="str">
        <f>IF('e2'!A1328&gt;0,HYPERLINK("#"&amp;ADDRESS(1328,'e2'!A1328),""),IF('r2'!A1328&gt;0,HYPERLINK("#"&amp;ADDRESS(1328,'r2'!A1328),""),""))</f>
        <v/>
      </c>
      <c r="C1328" s="31"/>
      <c r="D1328" s="32"/>
    </row>
    <row r="1329" spans="1:4" ht="24" customHeight="1" x14ac:dyDescent="0.25">
      <c r="A1329" t="str">
        <f>IF('e2'!A1329&gt;0,HYPERLINK("#"&amp;ADDRESS(1329,'e2'!A1329),""),IF('r2'!A1329&gt;0,HYPERLINK("#"&amp;ADDRESS(1329,'r2'!A1329),""),""))</f>
        <v/>
      </c>
      <c r="C1329" s="31"/>
      <c r="D1329" s="32"/>
    </row>
    <row r="1330" spans="1:4" ht="24" customHeight="1" x14ac:dyDescent="0.25">
      <c r="A1330" t="str">
        <f>IF('e2'!A1330&gt;0,HYPERLINK("#"&amp;ADDRESS(1330,'e2'!A1330),""),IF('r2'!A1330&gt;0,HYPERLINK("#"&amp;ADDRESS(1330,'r2'!A1330),""),""))</f>
        <v/>
      </c>
      <c r="C1330" s="31"/>
      <c r="D1330" s="32"/>
    </row>
    <row r="1331" spans="1:4" ht="24" customHeight="1" x14ac:dyDescent="0.25">
      <c r="A1331" t="str">
        <f>IF('e2'!A1331&gt;0,HYPERLINK("#"&amp;ADDRESS(1331,'e2'!A1331),""),IF('r2'!A1331&gt;0,HYPERLINK("#"&amp;ADDRESS(1331,'r2'!A1331),""),""))</f>
        <v/>
      </c>
      <c r="C1331" s="31"/>
      <c r="D1331" s="32"/>
    </row>
    <row r="1332" spans="1:4" ht="24" customHeight="1" x14ac:dyDescent="0.25">
      <c r="A1332" t="str">
        <f>IF('e2'!A1332&gt;0,HYPERLINK("#"&amp;ADDRESS(1332,'e2'!A1332),""),IF('r2'!A1332&gt;0,HYPERLINK("#"&amp;ADDRESS(1332,'r2'!A1332),""),""))</f>
        <v/>
      </c>
      <c r="C1332" s="31"/>
      <c r="D1332" s="32"/>
    </row>
    <row r="1333" spans="1:4" ht="24" customHeight="1" x14ac:dyDescent="0.25">
      <c r="A1333" t="str">
        <f>IF('e2'!A1333&gt;0,HYPERLINK("#"&amp;ADDRESS(1333,'e2'!A1333),""),IF('r2'!A1333&gt;0,HYPERLINK("#"&amp;ADDRESS(1333,'r2'!A1333),""),""))</f>
        <v/>
      </c>
      <c r="C1333" s="31"/>
      <c r="D1333" s="32"/>
    </row>
    <row r="1334" spans="1:4" ht="24" customHeight="1" x14ac:dyDescent="0.25">
      <c r="A1334" t="str">
        <f>IF('e2'!A1334&gt;0,HYPERLINK("#"&amp;ADDRESS(1334,'e2'!A1334),""),IF('r2'!A1334&gt;0,HYPERLINK("#"&amp;ADDRESS(1334,'r2'!A1334),""),""))</f>
        <v/>
      </c>
      <c r="C1334" s="31"/>
      <c r="D1334" s="32"/>
    </row>
    <row r="1335" spans="1:4" ht="24" customHeight="1" x14ac:dyDescent="0.25">
      <c r="A1335" t="str">
        <f>IF('e2'!A1335&gt;0,HYPERLINK("#"&amp;ADDRESS(1335,'e2'!A1335),""),IF('r2'!A1335&gt;0,HYPERLINK("#"&amp;ADDRESS(1335,'r2'!A1335),""),""))</f>
        <v/>
      </c>
      <c r="C1335" s="31"/>
      <c r="D1335" s="32"/>
    </row>
    <row r="1336" spans="1:4" ht="24" customHeight="1" x14ac:dyDescent="0.25">
      <c r="A1336" t="str">
        <f>IF('e2'!A1336&gt;0,HYPERLINK("#"&amp;ADDRESS(1336,'e2'!A1336),""),IF('r2'!A1336&gt;0,HYPERLINK("#"&amp;ADDRESS(1336,'r2'!A1336),""),""))</f>
        <v/>
      </c>
      <c r="C1336" s="31"/>
      <c r="D1336" s="32"/>
    </row>
    <row r="1337" spans="1:4" ht="24" customHeight="1" x14ac:dyDescent="0.25">
      <c r="A1337" t="str">
        <f>IF('e2'!A1337&gt;0,HYPERLINK("#"&amp;ADDRESS(1337,'e2'!A1337),""),IF('r2'!A1337&gt;0,HYPERLINK("#"&amp;ADDRESS(1337,'r2'!A1337),""),""))</f>
        <v/>
      </c>
      <c r="C1337" s="31"/>
      <c r="D1337" s="32"/>
    </row>
    <row r="1338" spans="1:4" ht="24" customHeight="1" x14ac:dyDescent="0.25">
      <c r="A1338" t="str">
        <f>IF('e2'!A1338&gt;0,HYPERLINK("#"&amp;ADDRESS(1338,'e2'!A1338),""),IF('r2'!A1338&gt;0,HYPERLINK("#"&amp;ADDRESS(1338,'r2'!A1338),""),""))</f>
        <v/>
      </c>
      <c r="C1338" s="31"/>
      <c r="D1338" s="32"/>
    </row>
    <row r="1339" spans="1:4" ht="24" customHeight="1" x14ac:dyDescent="0.25">
      <c r="A1339" t="str">
        <f>IF('e2'!A1339&gt;0,HYPERLINK("#"&amp;ADDRESS(1339,'e2'!A1339),""),IF('r2'!A1339&gt;0,HYPERLINK("#"&amp;ADDRESS(1339,'r2'!A1339),""),""))</f>
        <v/>
      </c>
      <c r="C1339" s="31"/>
      <c r="D1339" s="32"/>
    </row>
    <row r="1340" spans="1:4" ht="24" customHeight="1" x14ac:dyDescent="0.25">
      <c r="A1340" t="str">
        <f>IF('e2'!A1340&gt;0,HYPERLINK("#"&amp;ADDRESS(1340,'e2'!A1340),""),IF('r2'!A1340&gt;0,HYPERLINK("#"&amp;ADDRESS(1340,'r2'!A1340),""),""))</f>
        <v/>
      </c>
      <c r="C1340" s="31"/>
      <c r="D1340" s="32"/>
    </row>
    <row r="1341" spans="1:4" ht="24" customHeight="1" x14ac:dyDescent="0.25">
      <c r="A1341" t="str">
        <f>IF('e2'!A1341&gt;0,HYPERLINK("#"&amp;ADDRESS(1341,'e2'!A1341),""),IF('r2'!A1341&gt;0,HYPERLINK("#"&amp;ADDRESS(1341,'r2'!A1341),""),""))</f>
        <v/>
      </c>
      <c r="C1341" s="31"/>
      <c r="D1341" s="32"/>
    </row>
    <row r="1342" spans="1:4" ht="24" customHeight="1" x14ac:dyDescent="0.25">
      <c r="A1342" t="str">
        <f>IF('e2'!A1342&gt;0,HYPERLINK("#"&amp;ADDRESS(1342,'e2'!A1342),""),IF('r2'!A1342&gt;0,HYPERLINK("#"&amp;ADDRESS(1342,'r2'!A1342),""),""))</f>
        <v/>
      </c>
      <c r="C1342" s="31"/>
      <c r="D1342" s="32"/>
    </row>
    <row r="1343" spans="1:4" ht="24" customHeight="1" x14ac:dyDescent="0.25">
      <c r="A1343" t="str">
        <f>IF('e2'!A1343&gt;0,HYPERLINK("#"&amp;ADDRESS(1343,'e2'!A1343),""),IF('r2'!A1343&gt;0,HYPERLINK("#"&amp;ADDRESS(1343,'r2'!A1343),""),""))</f>
        <v/>
      </c>
      <c r="C1343" s="31"/>
      <c r="D1343" s="32"/>
    </row>
    <row r="1344" spans="1:4" ht="24" customHeight="1" x14ac:dyDescent="0.25">
      <c r="A1344" t="str">
        <f>IF('e2'!A1344&gt;0,HYPERLINK("#"&amp;ADDRESS(1344,'e2'!A1344),""),IF('r2'!A1344&gt;0,HYPERLINK("#"&amp;ADDRESS(1344,'r2'!A1344),""),""))</f>
        <v/>
      </c>
      <c r="C1344" s="31"/>
      <c r="D1344" s="32"/>
    </row>
    <row r="1345" spans="1:4" ht="24" customHeight="1" x14ac:dyDescent="0.25">
      <c r="A1345" t="str">
        <f>IF('e2'!A1345&gt;0,HYPERLINK("#"&amp;ADDRESS(1345,'e2'!A1345),""),IF('r2'!A1345&gt;0,HYPERLINK("#"&amp;ADDRESS(1345,'r2'!A1345),""),""))</f>
        <v/>
      </c>
      <c r="C1345" s="31"/>
      <c r="D1345" s="32"/>
    </row>
    <row r="1346" spans="1:4" ht="24" customHeight="1" x14ac:dyDescent="0.25">
      <c r="A1346" t="str">
        <f>IF('e2'!A1346&gt;0,HYPERLINK("#"&amp;ADDRESS(1346,'e2'!A1346),""),IF('r2'!A1346&gt;0,HYPERLINK("#"&amp;ADDRESS(1346,'r2'!A1346),""),""))</f>
        <v/>
      </c>
      <c r="C1346" s="31"/>
      <c r="D1346" s="32"/>
    </row>
    <row r="1347" spans="1:4" ht="24" customHeight="1" x14ac:dyDescent="0.25">
      <c r="A1347" t="str">
        <f>IF('e2'!A1347&gt;0,HYPERLINK("#"&amp;ADDRESS(1347,'e2'!A1347),""),IF('r2'!A1347&gt;0,HYPERLINK("#"&amp;ADDRESS(1347,'r2'!A1347),""),""))</f>
        <v/>
      </c>
      <c r="C1347" s="31"/>
      <c r="D1347" s="32"/>
    </row>
    <row r="1348" spans="1:4" ht="24" customHeight="1" x14ac:dyDescent="0.25">
      <c r="A1348" t="str">
        <f>IF('e2'!A1348&gt;0,HYPERLINK("#"&amp;ADDRESS(1348,'e2'!A1348),""),IF('r2'!A1348&gt;0,HYPERLINK("#"&amp;ADDRESS(1348,'r2'!A1348),""),""))</f>
        <v/>
      </c>
      <c r="C1348" s="31"/>
      <c r="D1348" s="32"/>
    </row>
    <row r="1349" spans="1:4" ht="24" customHeight="1" x14ac:dyDescent="0.25">
      <c r="A1349" t="str">
        <f>IF('e2'!A1349&gt;0,HYPERLINK("#"&amp;ADDRESS(1349,'e2'!A1349),""),IF('r2'!A1349&gt;0,HYPERLINK("#"&amp;ADDRESS(1349,'r2'!A1349),""),""))</f>
        <v/>
      </c>
      <c r="C1349" s="31"/>
      <c r="D1349" s="32"/>
    </row>
    <row r="1350" spans="1:4" ht="24" customHeight="1" x14ac:dyDescent="0.25">
      <c r="A1350" t="str">
        <f>IF('e2'!A1350&gt;0,HYPERLINK("#"&amp;ADDRESS(1350,'e2'!A1350),""),IF('r2'!A1350&gt;0,HYPERLINK("#"&amp;ADDRESS(1350,'r2'!A1350),""),""))</f>
        <v/>
      </c>
      <c r="C1350" s="31"/>
      <c r="D1350" s="32"/>
    </row>
    <row r="1351" spans="1:4" ht="24" customHeight="1" x14ac:dyDescent="0.25">
      <c r="A1351" t="str">
        <f>IF('e2'!A1351&gt;0,HYPERLINK("#"&amp;ADDRESS(1351,'e2'!A1351),""),IF('r2'!A1351&gt;0,HYPERLINK("#"&amp;ADDRESS(1351,'r2'!A1351),""),""))</f>
        <v/>
      </c>
      <c r="C1351" s="31"/>
      <c r="D1351" s="32"/>
    </row>
    <row r="1352" spans="1:4" ht="24" customHeight="1" x14ac:dyDescent="0.25">
      <c r="A1352" t="str">
        <f>IF('e2'!A1352&gt;0,HYPERLINK("#"&amp;ADDRESS(1352,'e2'!A1352),""),IF('r2'!A1352&gt;0,HYPERLINK("#"&amp;ADDRESS(1352,'r2'!A1352),""),""))</f>
        <v/>
      </c>
      <c r="C1352" s="31"/>
      <c r="D1352" s="32"/>
    </row>
    <row r="1353" spans="1:4" ht="24" customHeight="1" x14ac:dyDescent="0.25">
      <c r="A1353" t="str">
        <f>IF('e2'!A1353&gt;0,HYPERLINK("#"&amp;ADDRESS(1353,'e2'!A1353),""),IF('r2'!A1353&gt;0,HYPERLINK("#"&amp;ADDRESS(1353,'r2'!A1353),""),""))</f>
        <v/>
      </c>
      <c r="C1353" s="31"/>
      <c r="D1353" s="32"/>
    </row>
    <row r="1354" spans="1:4" ht="24" customHeight="1" x14ac:dyDescent="0.25">
      <c r="A1354" t="str">
        <f>IF('e2'!A1354&gt;0,HYPERLINK("#"&amp;ADDRESS(1354,'e2'!A1354),""),IF('r2'!A1354&gt;0,HYPERLINK("#"&amp;ADDRESS(1354,'r2'!A1354),""),""))</f>
        <v/>
      </c>
      <c r="C1354" s="31"/>
      <c r="D1354" s="32"/>
    </row>
    <row r="1355" spans="1:4" ht="24" customHeight="1" x14ac:dyDescent="0.25">
      <c r="A1355" t="str">
        <f>IF('e2'!A1355&gt;0,HYPERLINK("#"&amp;ADDRESS(1355,'e2'!A1355),""),IF('r2'!A1355&gt;0,HYPERLINK("#"&amp;ADDRESS(1355,'r2'!A1355),""),""))</f>
        <v/>
      </c>
      <c r="C1355" s="31"/>
      <c r="D1355" s="32"/>
    </row>
    <row r="1356" spans="1:4" ht="24" customHeight="1" x14ac:dyDescent="0.25">
      <c r="A1356" t="str">
        <f>IF('e2'!A1356&gt;0,HYPERLINK("#"&amp;ADDRESS(1356,'e2'!A1356),""),IF('r2'!A1356&gt;0,HYPERLINK("#"&amp;ADDRESS(1356,'r2'!A1356),""),""))</f>
        <v/>
      </c>
      <c r="C1356" s="31"/>
      <c r="D1356" s="32"/>
    </row>
    <row r="1357" spans="1:4" ht="24" customHeight="1" x14ac:dyDescent="0.25">
      <c r="A1357" t="str">
        <f>IF('e2'!A1357&gt;0,HYPERLINK("#"&amp;ADDRESS(1357,'e2'!A1357),""),IF('r2'!A1357&gt;0,HYPERLINK("#"&amp;ADDRESS(1357,'r2'!A1357),""),""))</f>
        <v/>
      </c>
      <c r="C1357" s="31"/>
      <c r="D1357" s="32"/>
    </row>
    <row r="1358" spans="1:4" ht="24" customHeight="1" x14ac:dyDescent="0.25">
      <c r="A1358" t="str">
        <f>IF('e2'!A1358&gt;0,HYPERLINK("#"&amp;ADDRESS(1358,'e2'!A1358),""),IF('r2'!A1358&gt;0,HYPERLINK("#"&amp;ADDRESS(1358,'r2'!A1358),""),""))</f>
        <v/>
      </c>
      <c r="C1358" s="31"/>
      <c r="D1358" s="32"/>
    </row>
    <row r="1359" spans="1:4" ht="24" customHeight="1" x14ac:dyDescent="0.25">
      <c r="A1359" t="str">
        <f>IF('e2'!A1359&gt;0,HYPERLINK("#"&amp;ADDRESS(1359,'e2'!A1359),""),IF('r2'!A1359&gt;0,HYPERLINK("#"&amp;ADDRESS(1359,'r2'!A1359),""),""))</f>
        <v/>
      </c>
      <c r="C1359" s="31"/>
      <c r="D1359" s="32"/>
    </row>
    <row r="1360" spans="1:4" ht="24" customHeight="1" x14ac:dyDescent="0.25">
      <c r="A1360" t="str">
        <f>IF('e2'!A1360&gt;0,HYPERLINK("#"&amp;ADDRESS(1360,'e2'!A1360),""),IF('r2'!A1360&gt;0,HYPERLINK("#"&amp;ADDRESS(1360,'r2'!A1360),""),""))</f>
        <v/>
      </c>
      <c r="C1360" s="31"/>
      <c r="D1360" s="32"/>
    </row>
    <row r="1361" spans="1:4" ht="24" customHeight="1" x14ac:dyDescent="0.25">
      <c r="A1361" t="str">
        <f>IF('e2'!A1361&gt;0,HYPERLINK("#"&amp;ADDRESS(1361,'e2'!A1361),""),IF('r2'!A1361&gt;0,HYPERLINK("#"&amp;ADDRESS(1361,'r2'!A1361),""),""))</f>
        <v/>
      </c>
      <c r="C1361" s="31"/>
      <c r="D1361" s="32"/>
    </row>
    <row r="1362" spans="1:4" ht="24" customHeight="1" x14ac:dyDescent="0.25">
      <c r="A1362" t="str">
        <f>IF('e2'!A1362&gt;0,HYPERLINK("#"&amp;ADDRESS(1362,'e2'!A1362),""),IF('r2'!A1362&gt;0,HYPERLINK("#"&amp;ADDRESS(1362,'r2'!A1362),""),""))</f>
        <v/>
      </c>
      <c r="C1362" s="31"/>
      <c r="D1362" s="32"/>
    </row>
    <row r="1363" spans="1:4" ht="24" customHeight="1" x14ac:dyDescent="0.25">
      <c r="A1363" t="str">
        <f>IF('e2'!A1363&gt;0,HYPERLINK("#"&amp;ADDRESS(1363,'e2'!A1363),""),IF('r2'!A1363&gt;0,HYPERLINK("#"&amp;ADDRESS(1363,'r2'!A1363),""),""))</f>
        <v/>
      </c>
      <c r="C1363" s="31"/>
      <c r="D1363" s="32"/>
    </row>
    <row r="1364" spans="1:4" ht="24" customHeight="1" x14ac:dyDescent="0.25">
      <c r="A1364" t="str">
        <f>IF('e2'!A1364&gt;0,HYPERLINK("#"&amp;ADDRESS(1364,'e2'!A1364),""),IF('r2'!A1364&gt;0,HYPERLINK("#"&amp;ADDRESS(1364,'r2'!A1364),""),""))</f>
        <v/>
      </c>
      <c r="C1364" s="31"/>
      <c r="D1364" s="32"/>
    </row>
    <row r="1365" spans="1:4" ht="24" customHeight="1" x14ac:dyDescent="0.25">
      <c r="A1365" t="str">
        <f>IF('e2'!A1365&gt;0,HYPERLINK("#"&amp;ADDRESS(1365,'e2'!A1365),""),IF('r2'!A1365&gt;0,HYPERLINK("#"&amp;ADDRESS(1365,'r2'!A1365),""),""))</f>
        <v/>
      </c>
      <c r="C1365" s="31"/>
      <c r="D1365" s="32"/>
    </row>
    <row r="1366" spans="1:4" ht="24" customHeight="1" x14ac:dyDescent="0.25">
      <c r="A1366" t="str">
        <f>IF('e2'!A1366&gt;0,HYPERLINK("#"&amp;ADDRESS(1366,'e2'!A1366),""),IF('r2'!A1366&gt;0,HYPERLINK("#"&amp;ADDRESS(1366,'r2'!A1366),""),""))</f>
        <v/>
      </c>
      <c r="C1366" s="31"/>
      <c r="D1366" s="32"/>
    </row>
    <row r="1367" spans="1:4" ht="24" customHeight="1" x14ac:dyDescent="0.25">
      <c r="A1367" t="str">
        <f>IF('e2'!A1367&gt;0,HYPERLINK("#"&amp;ADDRESS(1367,'e2'!A1367),""),IF('r2'!A1367&gt;0,HYPERLINK("#"&amp;ADDRESS(1367,'r2'!A1367),""),""))</f>
        <v/>
      </c>
      <c r="C1367" s="31"/>
      <c r="D1367" s="32"/>
    </row>
    <row r="1368" spans="1:4" ht="24" customHeight="1" x14ac:dyDescent="0.25">
      <c r="A1368" t="str">
        <f>IF('e2'!A1368&gt;0,HYPERLINK("#"&amp;ADDRESS(1368,'e2'!A1368),""),IF('r2'!A1368&gt;0,HYPERLINK("#"&amp;ADDRESS(1368,'r2'!A1368),""),""))</f>
        <v/>
      </c>
      <c r="C1368" s="31"/>
      <c r="D1368" s="32"/>
    </row>
    <row r="1369" spans="1:4" ht="24" customHeight="1" x14ac:dyDescent="0.25">
      <c r="A1369" t="str">
        <f>IF('e2'!A1369&gt;0,HYPERLINK("#"&amp;ADDRESS(1369,'e2'!A1369),""),IF('r2'!A1369&gt;0,HYPERLINK("#"&amp;ADDRESS(1369,'r2'!A1369),""),""))</f>
        <v/>
      </c>
      <c r="C1369" s="31"/>
      <c r="D1369" s="32"/>
    </row>
    <row r="1370" spans="1:4" ht="24" customHeight="1" x14ac:dyDescent="0.25">
      <c r="A1370" t="str">
        <f>IF('e2'!A1370&gt;0,HYPERLINK("#"&amp;ADDRESS(1370,'e2'!A1370),""),IF('r2'!A1370&gt;0,HYPERLINK("#"&amp;ADDRESS(1370,'r2'!A1370),""),""))</f>
        <v/>
      </c>
      <c r="C1370" s="31"/>
      <c r="D1370" s="32"/>
    </row>
    <row r="1371" spans="1:4" ht="24" customHeight="1" x14ac:dyDescent="0.25">
      <c r="A1371" t="str">
        <f>IF('e2'!A1371&gt;0,HYPERLINK("#"&amp;ADDRESS(1371,'e2'!A1371),""),IF('r2'!A1371&gt;0,HYPERLINK("#"&amp;ADDRESS(1371,'r2'!A1371),""),""))</f>
        <v/>
      </c>
      <c r="C1371" s="31"/>
      <c r="D1371" s="32"/>
    </row>
    <row r="1372" spans="1:4" ht="24" customHeight="1" x14ac:dyDescent="0.25">
      <c r="A1372" t="str">
        <f>IF('e2'!A1372&gt;0,HYPERLINK("#"&amp;ADDRESS(1372,'e2'!A1372),""),IF('r2'!A1372&gt;0,HYPERLINK("#"&amp;ADDRESS(1372,'r2'!A1372),""),""))</f>
        <v/>
      </c>
      <c r="C1372" s="31"/>
      <c r="D1372" s="32"/>
    </row>
    <row r="1373" spans="1:4" ht="24" customHeight="1" x14ac:dyDescent="0.25">
      <c r="A1373" t="str">
        <f>IF('e2'!A1373&gt;0,HYPERLINK("#"&amp;ADDRESS(1373,'e2'!A1373),""),IF('r2'!A1373&gt;0,HYPERLINK("#"&amp;ADDRESS(1373,'r2'!A1373),""),""))</f>
        <v/>
      </c>
      <c r="C1373" s="31"/>
      <c r="D1373" s="32"/>
    </row>
    <row r="1374" spans="1:4" ht="24" customHeight="1" x14ac:dyDescent="0.25">
      <c r="A1374" t="str">
        <f>IF('e2'!A1374&gt;0,HYPERLINK("#"&amp;ADDRESS(1374,'e2'!A1374),""),IF('r2'!A1374&gt;0,HYPERLINK("#"&amp;ADDRESS(1374,'r2'!A1374),""),""))</f>
        <v/>
      </c>
      <c r="C1374" s="31"/>
      <c r="D1374" s="32"/>
    </row>
    <row r="1375" spans="1:4" ht="24" customHeight="1" x14ac:dyDescent="0.25">
      <c r="A1375" t="str">
        <f>IF('e2'!A1375&gt;0,HYPERLINK("#"&amp;ADDRESS(1375,'e2'!A1375),""),IF('r2'!A1375&gt;0,HYPERLINK("#"&amp;ADDRESS(1375,'r2'!A1375),""),""))</f>
        <v/>
      </c>
      <c r="C1375" s="31"/>
      <c r="D1375" s="32"/>
    </row>
    <row r="1376" spans="1:4" ht="24" customHeight="1" x14ac:dyDescent="0.25">
      <c r="A1376" t="str">
        <f>IF('e2'!A1376&gt;0,HYPERLINK("#"&amp;ADDRESS(1376,'e2'!A1376),""),IF('r2'!A1376&gt;0,HYPERLINK("#"&amp;ADDRESS(1376,'r2'!A1376),""),""))</f>
        <v/>
      </c>
      <c r="C1376" s="31"/>
      <c r="D1376" s="32"/>
    </row>
    <row r="1377" spans="1:4" ht="24" customHeight="1" x14ac:dyDescent="0.25">
      <c r="A1377" t="str">
        <f>IF('e2'!A1377&gt;0,HYPERLINK("#"&amp;ADDRESS(1377,'e2'!A1377),""),IF('r2'!A1377&gt;0,HYPERLINK("#"&amp;ADDRESS(1377,'r2'!A1377),""),""))</f>
        <v/>
      </c>
      <c r="C1377" s="31"/>
      <c r="D1377" s="32"/>
    </row>
    <row r="1378" spans="1:4" ht="24" customHeight="1" x14ac:dyDescent="0.25">
      <c r="A1378" t="str">
        <f>IF('e2'!A1378&gt;0,HYPERLINK("#"&amp;ADDRESS(1378,'e2'!A1378),""),IF('r2'!A1378&gt;0,HYPERLINK("#"&amp;ADDRESS(1378,'r2'!A1378),""),""))</f>
        <v/>
      </c>
      <c r="C1378" s="31"/>
      <c r="D1378" s="32"/>
    </row>
    <row r="1379" spans="1:4" ht="24" customHeight="1" x14ac:dyDescent="0.25">
      <c r="A1379" t="str">
        <f>IF('e2'!A1379&gt;0,HYPERLINK("#"&amp;ADDRESS(1379,'e2'!A1379),""),IF('r2'!A1379&gt;0,HYPERLINK("#"&amp;ADDRESS(1379,'r2'!A1379),""),""))</f>
        <v/>
      </c>
      <c r="C1379" s="31"/>
      <c r="D1379" s="32"/>
    </row>
    <row r="1380" spans="1:4" ht="24" customHeight="1" x14ac:dyDescent="0.25">
      <c r="A1380" t="str">
        <f>IF('e2'!A1380&gt;0,HYPERLINK("#"&amp;ADDRESS(1380,'e2'!A1380),""),IF('r2'!A1380&gt;0,HYPERLINK("#"&amp;ADDRESS(1380,'r2'!A1380),""),""))</f>
        <v/>
      </c>
      <c r="C1380" s="31"/>
      <c r="D1380" s="32"/>
    </row>
    <row r="1381" spans="1:4" ht="24" customHeight="1" x14ac:dyDescent="0.25">
      <c r="A1381" t="str">
        <f>IF('e2'!A1381&gt;0,HYPERLINK("#"&amp;ADDRESS(1381,'e2'!A1381),""),IF('r2'!A1381&gt;0,HYPERLINK("#"&amp;ADDRESS(1381,'r2'!A1381),""),""))</f>
        <v/>
      </c>
      <c r="C1381" s="31"/>
      <c r="D1381" s="32"/>
    </row>
    <row r="1382" spans="1:4" ht="24" customHeight="1" x14ac:dyDescent="0.25">
      <c r="A1382" t="str">
        <f>IF('e2'!A1382&gt;0,HYPERLINK("#"&amp;ADDRESS(1382,'e2'!A1382),""),IF('r2'!A1382&gt;0,HYPERLINK("#"&amp;ADDRESS(1382,'r2'!A1382),""),""))</f>
        <v/>
      </c>
      <c r="C1382" s="31"/>
      <c r="D1382" s="32"/>
    </row>
    <row r="1383" spans="1:4" ht="24" customHeight="1" x14ac:dyDescent="0.25">
      <c r="A1383" t="str">
        <f>IF('e2'!A1383&gt;0,HYPERLINK("#"&amp;ADDRESS(1383,'e2'!A1383),""),IF('r2'!A1383&gt;0,HYPERLINK("#"&amp;ADDRESS(1383,'r2'!A1383),""),""))</f>
        <v/>
      </c>
      <c r="C1383" s="31"/>
      <c r="D1383" s="32"/>
    </row>
    <row r="1384" spans="1:4" ht="24" customHeight="1" x14ac:dyDescent="0.25">
      <c r="A1384" t="str">
        <f>IF('e2'!A1384&gt;0,HYPERLINK("#"&amp;ADDRESS(1384,'e2'!A1384),""),IF('r2'!A1384&gt;0,HYPERLINK("#"&amp;ADDRESS(1384,'r2'!A1384),""),""))</f>
        <v/>
      </c>
      <c r="C1384" s="31"/>
      <c r="D1384" s="32"/>
    </row>
    <row r="1385" spans="1:4" ht="24" customHeight="1" x14ac:dyDescent="0.25">
      <c r="A1385" t="str">
        <f>IF('e2'!A1385&gt;0,HYPERLINK("#"&amp;ADDRESS(1385,'e2'!A1385),""),IF('r2'!A1385&gt;0,HYPERLINK("#"&amp;ADDRESS(1385,'r2'!A1385),""),""))</f>
        <v/>
      </c>
      <c r="C1385" s="31"/>
      <c r="D1385" s="32"/>
    </row>
    <row r="1386" spans="1:4" ht="24" customHeight="1" x14ac:dyDescent="0.25">
      <c r="A1386" t="str">
        <f>IF('e2'!A1386&gt;0,HYPERLINK("#"&amp;ADDRESS(1386,'e2'!A1386),""),IF('r2'!A1386&gt;0,HYPERLINK("#"&amp;ADDRESS(1386,'r2'!A1386),""),""))</f>
        <v/>
      </c>
      <c r="C1386" s="31"/>
      <c r="D1386" s="32"/>
    </row>
    <row r="1387" spans="1:4" ht="24" customHeight="1" x14ac:dyDescent="0.25">
      <c r="A1387" t="str">
        <f>IF('e2'!A1387&gt;0,HYPERLINK("#"&amp;ADDRESS(1387,'e2'!A1387),""),IF('r2'!A1387&gt;0,HYPERLINK("#"&amp;ADDRESS(1387,'r2'!A1387),""),""))</f>
        <v/>
      </c>
      <c r="C1387" s="31"/>
      <c r="D1387" s="32"/>
    </row>
    <row r="1388" spans="1:4" ht="24" customHeight="1" x14ac:dyDescent="0.25">
      <c r="A1388" t="str">
        <f>IF('e2'!A1388&gt;0,HYPERLINK("#"&amp;ADDRESS(1388,'e2'!A1388),""),IF('r2'!A1388&gt;0,HYPERLINK("#"&amp;ADDRESS(1388,'r2'!A1388),""),""))</f>
        <v/>
      </c>
      <c r="C1388" s="31"/>
      <c r="D1388" s="32"/>
    </row>
    <row r="1389" spans="1:4" ht="24" customHeight="1" x14ac:dyDescent="0.25">
      <c r="A1389" t="str">
        <f>IF('e2'!A1389&gt;0,HYPERLINK("#"&amp;ADDRESS(1389,'e2'!A1389),""),IF('r2'!A1389&gt;0,HYPERLINK("#"&amp;ADDRESS(1389,'r2'!A1389),""),""))</f>
        <v/>
      </c>
      <c r="C1389" s="31"/>
      <c r="D1389" s="32"/>
    </row>
    <row r="1390" spans="1:4" ht="24" customHeight="1" x14ac:dyDescent="0.25">
      <c r="A1390" t="str">
        <f>IF('e2'!A1390&gt;0,HYPERLINK("#"&amp;ADDRESS(1390,'e2'!A1390),""),IF('r2'!A1390&gt;0,HYPERLINK("#"&amp;ADDRESS(1390,'r2'!A1390),""),""))</f>
        <v/>
      </c>
      <c r="C1390" s="31"/>
      <c r="D1390" s="32"/>
    </row>
    <row r="1391" spans="1:4" ht="24" customHeight="1" x14ac:dyDescent="0.25">
      <c r="A1391" t="str">
        <f>IF('e2'!A1391&gt;0,HYPERLINK("#"&amp;ADDRESS(1391,'e2'!A1391),""),IF('r2'!A1391&gt;0,HYPERLINK("#"&amp;ADDRESS(1391,'r2'!A1391),""),""))</f>
        <v/>
      </c>
      <c r="C1391" s="31"/>
      <c r="D1391" s="32"/>
    </row>
    <row r="1392" spans="1:4" ht="24" customHeight="1" x14ac:dyDescent="0.25">
      <c r="A1392" t="str">
        <f>IF('e2'!A1392&gt;0,HYPERLINK("#"&amp;ADDRESS(1392,'e2'!A1392),""),IF('r2'!A1392&gt;0,HYPERLINK("#"&amp;ADDRESS(1392,'r2'!A1392),""),""))</f>
        <v/>
      </c>
      <c r="C1392" s="31"/>
      <c r="D1392" s="32"/>
    </row>
    <row r="1393" spans="1:4" ht="24" customHeight="1" x14ac:dyDescent="0.25">
      <c r="A1393" t="str">
        <f>IF('e2'!A1393&gt;0,HYPERLINK("#"&amp;ADDRESS(1393,'e2'!A1393),""),IF('r2'!A1393&gt;0,HYPERLINK("#"&amp;ADDRESS(1393,'r2'!A1393),""),""))</f>
        <v/>
      </c>
      <c r="C1393" s="31"/>
      <c r="D1393" s="32"/>
    </row>
    <row r="1394" spans="1:4" ht="24" customHeight="1" x14ac:dyDescent="0.25">
      <c r="A1394" t="str">
        <f>IF('e2'!A1394&gt;0,HYPERLINK("#"&amp;ADDRESS(1394,'e2'!A1394),""),IF('r2'!A1394&gt;0,HYPERLINK("#"&amp;ADDRESS(1394,'r2'!A1394),""),""))</f>
        <v/>
      </c>
      <c r="C1394" s="31"/>
      <c r="D1394" s="32"/>
    </row>
    <row r="1395" spans="1:4" ht="24" customHeight="1" x14ac:dyDescent="0.25">
      <c r="A1395" t="str">
        <f>IF('e2'!A1395&gt;0,HYPERLINK("#"&amp;ADDRESS(1395,'e2'!A1395),""),IF('r2'!A1395&gt;0,HYPERLINK("#"&amp;ADDRESS(1395,'r2'!A1395),""),""))</f>
        <v/>
      </c>
      <c r="C1395" s="31"/>
      <c r="D1395" s="32"/>
    </row>
    <row r="1396" spans="1:4" ht="24" customHeight="1" x14ac:dyDescent="0.25">
      <c r="A1396" t="str">
        <f>IF('e2'!A1396&gt;0,HYPERLINK("#"&amp;ADDRESS(1396,'e2'!A1396),""),IF('r2'!A1396&gt;0,HYPERLINK("#"&amp;ADDRESS(1396,'r2'!A1396),""),""))</f>
        <v/>
      </c>
      <c r="C1396" s="31"/>
      <c r="D1396" s="32"/>
    </row>
    <row r="1397" spans="1:4" ht="24" customHeight="1" x14ac:dyDescent="0.25">
      <c r="A1397" t="str">
        <f>IF('e2'!A1397&gt;0,HYPERLINK("#"&amp;ADDRESS(1397,'e2'!A1397),""),IF('r2'!A1397&gt;0,HYPERLINK("#"&amp;ADDRESS(1397,'r2'!A1397),""),""))</f>
        <v/>
      </c>
      <c r="C1397" s="31"/>
      <c r="D1397" s="32"/>
    </row>
    <row r="1398" spans="1:4" ht="24" customHeight="1" x14ac:dyDescent="0.25">
      <c r="A1398" t="str">
        <f>IF('e2'!A1398&gt;0,HYPERLINK("#"&amp;ADDRESS(1398,'e2'!A1398),""),IF('r2'!A1398&gt;0,HYPERLINK("#"&amp;ADDRESS(1398,'r2'!A1398),""),""))</f>
        <v/>
      </c>
      <c r="C1398" s="31"/>
      <c r="D1398" s="32"/>
    </row>
    <row r="1399" spans="1:4" ht="24" customHeight="1" x14ac:dyDescent="0.25">
      <c r="A1399" t="str">
        <f>IF('e2'!A1399&gt;0,HYPERLINK("#"&amp;ADDRESS(1399,'e2'!A1399),""),IF('r2'!A1399&gt;0,HYPERLINK("#"&amp;ADDRESS(1399,'r2'!A1399),""),""))</f>
        <v/>
      </c>
      <c r="C1399" s="31"/>
      <c r="D1399" s="32"/>
    </row>
    <row r="1400" spans="1:4" ht="24" customHeight="1" x14ac:dyDescent="0.25">
      <c r="A1400" t="str">
        <f>IF('e2'!A1400&gt;0,HYPERLINK("#"&amp;ADDRESS(1400,'e2'!A1400),""),IF('r2'!A1400&gt;0,HYPERLINK("#"&amp;ADDRESS(1400,'r2'!A1400),""),""))</f>
        <v/>
      </c>
      <c r="C1400" s="31"/>
      <c r="D1400" s="32"/>
    </row>
    <row r="1401" spans="1:4" ht="24" customHeight="1" x14ac:dyDescent="0.25">
      <c r="A1401" t="str">
        <f>IF('e2'!A1401&gt;0,HYPERLINK("#"&amp;ADDRESS(1401,'e2'!A1401),""),IF('r2'!A1401&gt;0,HYPERLINK("#"&amp;ADDRESS(1401,'r2'!A1401),""),""))</f>
        <v/>
      </c>
      <c r="C1401" s="31"/>
      <c r="D1401" s="32"/>
    </row>
    <row r="1402" spans="1:4" ht="24" customHeight="1" x14ac:dyDescent="0.25">
      <c r="A1402" t="str">
        <f>IF('e2'!A1402&gt;0,HYPERLINK("#"&amp;ADDRESS(1402,'e2'!A1402),""),IF('r2'!A1402&gt;0,HYPERLINK("#"&amp;ADDRESS(1402,'r2'!A1402),""),""))</f>
        <v/>
      </c>
      <c r="C1402" s="31"/>
      <c r="D1402" s="32"/>
    </row>
    <row r="1403" spans="1:4" ht="24" customHeight="1" x14ac:dyDescent="0.25">
      <c r="A1403" t="str">
        <f>IF('e2'!A1403&gt;0,HYPERLINK("#"&amp;ADDRESS(1403,'e2'!A1403),""),IF('r2'!A1403&gt;0,HYPERLINK("#"&amp;ADDRESS(1403,'r2'!A1403),""),""))</f>
        <v/>
      </c>
      <c r="C1403" s="31"/>
      <c r="D1403" s="32"/>
    </row>
    <row r="1404" spans="1:4" ht="24" customHeight="1" x14ac:dyDescent="0.25">
      <c r="A1404" t="str">
        <f>IF('e2'!A1404&gt;0,HYPERLINK("#"&amp;ADDRESS(1404,'e2'!A1404),""),IF('r2'!A1404&gt;0,HYPERLINK("#"&amp;ADDRESS(1404,'r2'!A1404),""),""))</f>
        <v/>
      </c>
      <c r="C1404" s="31"/>
      <c r="D1404" s="32"/>
    </row>
    <row r="1405" spans="1:4" ht="24" customHeight="1" x14ac:dyDescent="0.25">
      <c r="A1405" t="str">
        <f>IF('e2'!A1405&gt;0,HYPERLINK("#"&amp;ADDRESS(1405,'e2'!A1405),""),IF('r2'!A1405&gt;0,HYPERLINK("#"&amp;ADDRESS(1405,'r2'!A1405),""),""))</f>
        <v/>
      </c>
      <c r="C1405" s="31"/>
      <c r="D1405" s="32"/>
    </row>
    <row r="1406" spans="1:4" ht="24" customHeight="1" x14ac:dyDescent="0.25">
      <c r="A1406" t="str">
        <f>IF('e2'!A1406&gt;0,HYPERLINK("#"&amp;ADDRESS(1406,'e2'!A1406),""),IF('r2'!A1406&gt;0,HYPERLINK("#"&amp;ADDRESS(1406,'r2'!A1406),""),""))</f>
        <v/>
      </c>
      <c r="C1406" s="31"/>
      <c r="D1406" s="32"/>
    </row>
    <row r="1407" spans="1:4" ht="24" customHeight="1" x14ac:dyDescent="0.25">
      <c r="A1407" t="str">
        <f>IF('e2'!A1407&gt;0,HYPERLINK("#"&amp;ADDRESS(1407,'e2'!A1407),""),IF('r2'!A1407&gt;0,HYPERLINK("#"&amp;ADDRESS(1407,'r2'!A1407),""),""))</f>
        <v/>
      </c>
      <c r="C1407" s="31"/>
      <c r="D1407" s="32"/>
    </row>
    <row r="1408" spans="1:4" ht="24" customHeight="1" x14ac:dyDescent="0.25">
      <c r="A1408" t="str">
        <f>IF('e2'!A1408&gt;0,HYPERLINK("#"&amp;ADDRESS(1408,'e2'!A1408),""),IF('r2'!A1408&gt;0,HYPERLINK("#"&amp;ADDRESS(1408,'r2'!A1408),""),""))</f>
        <v/>
      </c>
      <c r="C1408" s="31"/>
      <c r="D1408" s="32"/>
    </row>
    <row r="1409" spans="1:4" ht="24" customHeight="1" x14ac:dyDescent="0.25">
      <c r="A1409" t="str">
        <f>IF('e2'!A1409&gt;0,HYPERLINK("#"&amp;ADDRESS(1409,'e2'!A1409),""),IF('r2'!A1409&gt;0,HYPERLINK("#"&amp;ADDRESS(1409,'r2'!A1409),""),""))</f>
        <v/>
      </c>
      <c r="C1409" s="31"/>
      <c r="D1409" s="32"/>
    </row>
    <row r="1410" spans="1:4" ht="24" customHeight="1" x14ac:dyDescent="0.25">
      <c r="A1410" t="str">
        <f>IF('e2'!A1410&gt;0,HYPERLINK("#"&amp;ADDRESS(1410,'e2'!A1410),""),IF('r2'!A1410&gt;0,HYPERLINK("#"&amp;ADDRESS(1410,'r2'!A1410),""),""))</f>
        <v/>
      </c>
      <c r="C1410" s="31"/>
      <c r="D1410" s="32"/>
    </row>
    <row r="1411" spans="1:4" ht="24" customHeight="1" x14ac:dyDescent="0.25">
      <c r="A1411" t="str">
        <f>IF('e2'!A1411&gt;0,HYPERLINK("#"&amp;ADDRESS(1411,'e2'!A1411),""),IF('r2'!A1411&gt;0,HYPERLINK("#"&amp;ADDRESS(1411,'r2'!A1411),""),""))</f>
        <v/>
      </c>
      <c r="C1411" s="31"/>
      <c r="D1411" s="32"/>
    </row>
    <row r="1412" spans="1:4" ht="24" customHeight="1" x14ac:dyDescent="0.25">
      <c r="A1412" t="str">
        <f>IF('e2'!A1412&gt;0,HYPERLINK("#"&amp;ADDRESS(1412,'e2'!A1412),""),IF('r2'!A1412&gt;0,HYPERLINK("#"&amp;ADDRESS(1412,'r2'!A1412),""),""))</f>
        <v/>
      </c>
      <c r="C1412" s="31"/>
      <c r="D1412" s="32"/>
    </row>
    <row r="1413" spans="1:4" ht="24" customHeight="1" x14ac:dyDescent="0.25">
      <c r="A1413" t="str">
        <f>IF('e2'!A1413&gt;0,HYPERLINK("#"&amp;ADDRESS(1413,'e2'!A1413),""),IF('r2'!A1413&gt;0,HYPERLINK("#"&amp;ADDRESS(1413,'r2'!A1413),""),""))</f>
        <v/>
      </c>
      <c r="C1413" s="31"/>
      <c r="D1413" s="32"/>
    </row>
    <row r="1414" spans="1:4" ht="24" customHeight="1" x14ac:dyDescent="0.25">
      <c r="A1414" t="str">
        <f>IF('e2'!A1414&gt;0,HYPERLINK("#"&amp;ADDRESS(1414,'e2'!A1414),""),IF('r2'!A1414&gt;0,HYPERLINK("#"&amp;ADDRESS(1414,'r2'!A1414),""),""))</f>
        <v/>
      </c>
      <c r="C1414" s="31"/>
      <c r="D1414" s="32"/>
    </row>
    <row r="1415" spans="1:4" ht="24" customHeight="1" x14ac:dyDescent="0.25">
      <c r="A1415" t="str">
        <f>IF('e2'!A1415&gt;0,HYPERLINK("#"&amp;ADDRESS(1415,'e2'!A1415),""),IF('r2'!A1415&gt;0,HYPERLINK("#"&amp;ADDRESS(1415,'r2'!A1415),""),""))</f>
        <v/>
      </c>
      <c r="C1415" s="31"/>
      <c r="D1415" s="32"/>
    </row>
    <row r="1416" spans="1:4" ht="24" customHeight="1" x14ac:dyDescent="0.25">
      <c r="A1416" t="str">
        <f>IF('e2'!A1416&gt;0,HYPERLINK("#"&amp;ADDRESS(1416,'e2'!A1416),""),IF('r2'!A1416&gt;0,HYPERLINK("#"&amp;ADDRESS(1416,'r2'!A1416),""),""))</f>
        <v/>
      </c>
      <c r="C1416" s="31"/>
      <c r="D1416" s="32"/>
    </row>
    <row r="1417" spans="1:4" ht="24" customHeight="1" x14ac:dyDescent="0.25">
      <c r="A1417" t="str">
        <f>IF('e2'!A1417&gt;0,HYPERLINK("#"&amp;ADDRESS(1417,'e2'!A1417),""),IF('r2'!A1417&gt;0,HYPERLINK("#"&amp;ADDRESS(1417,'r2'!A1417),""),""))</f>
        <v/>
      </c>
      <c r="C1417" s="31"/>
      <c r="D1417" s="32"/>
    </row>
    <row r="1418" spans="1:4" ht="24" customHeight="1" x14ac:dyDescent="0.25">
      <c r="A1418" t="str">
        <f>IF('e2'!A1418&gt;0,HYPERLINK("#"&amp;ADDRESS(1418,'e2'!A1418),""),IF('r2'!A1418&gt;0,HYPERLINK("#"&amp;ADDRESS(1418,'r2'!A1418),""),""))</f>
        <v/>
      </c>
      <c r="C1418" s="31"/>
      <c r="D1418" s="32"/>
    </row>
    <row r="1419" spans="1:4" ht="24" customHeight="1" x14ac:dyDescent="0.25">
      <c r="A1419" t="str">
        <f>IF('e2'!A1419&gt;0,HYPERLINK("#"&amp;ADDRESS(1419,'e2'!A1419),""),IF('r2'!A1419&gt;0,HYPERLINK("#"&amp;ADDRESS(1419,'r2'!A1419),""),""))</f>
        <v/>
      </c>
      <c r="C1419" s="31"/>
      <c r="D1419" s="32"/>
    </row>
    <row r="1420" spans="1:4" ht="24" customHeight="1" x14ac:dyDescent="0.25">
      <c r="A1420" t="str">
        <f>IF('e2'!A1420&gt;0,HYPERLINK("#"&amp;ADDRESS(1420,'e2'!A1420),""),IF('r2'!A1420&gt;0,HYPERLINK("#"&amp;ADDRESS(1420,'r2'!A1420),""),""))</f>
        <v/>
      </c>
      <c r="C1420" s="31"/>
      <c r="D1420" s="32"/>
    </row>
    <row r="1421" spans="1:4" ht="24" customHeight="1" x14ac:dyDescent="0.25">
      <c r="A1421" t="str">
        <f>IF('e2'!A1421&gt;0,HYPERLINK("#"&amp;ADDRESS(1421,'e2'!A1421),""),IF('r2'!A1421&gt;0,HYPERLINK("#"&amp;ADDRESS(1421,'r2'!A1421),""),""))</f>
        <v/>
      </c>
      <c r="C1421" s="31"/>
      <c r="D1421" s="32"/>
    </row>
    <row r="1422" spans="1:4" ht="24" customHeight="1" x14ac:dyDescent="0.25">
      <c r="A1422" t="str">
        <f>IF('e2'!A1422&gt;0,HYPERLINK("#"&amp;ADDRESS(1422,'e2'!A1422),""),IF('r2'!A1422&gt;0,HYPERLINK("#"&amp;ADDRESS(1422,'r2'!A1422),""),""))</f>
        <v/>
      </c>
      <c r="C1422" s="31"/>
      <c r="D1422" s="32"/>
    </row>
    <row r="1423" spans="1:4" ht="24" customHeight="1" x14ac:dyDescent="0.25">
      <c r="A1423" t="str">
        <f>IF('e2'!A1423&gt;0,HYPERLINK("#"&amp;ADDRESS(1423,'e2'!A1423),""),IF('r2'!A1423&gt;0,HYPERLINK("#"&amp;ADDRESS(1423,'r2'!A1423),""),""))</f>
        <v/>
      </c>
      <c r="C1423" s="31"/>
      <c r="D1423" s="32"/>
    </row>
    <row r="1424" spans="1:4" ht="24" customHeight="1" x14ac:dyDescent="0.25">
      <c r="A1424" t="str">
        <f>IF('e2'!A1424&gt;0,HYPERLINK("#"&amp;ADDRESS(1424,'e2'!A1424),""),IF('r2'!A1424&gt;0,HYPERLINK("#"&amp;ADDRESS(1424,'r2'!A1424),""),""))</f>
        <v/>
      </c>
      <c r="C1424" s="31"/>
      <c r="D1424" s="32"/>
    </row>
    <row r="1425" spans="1:4" ht="24" customHeight="1" x14ac:dyDescent="0.25">
      <c r="A1425" t="str">
        <f>IF('e2'!A1425&gt;0,HYPERLINK("#"&amp;ADDRESS(1425,'e2'!A1425),""),IF('r2'!A1425&gt;0,HYPERLINK("#"&amp;ADDRESS(1425,'r2'!A1425),""),""))</f>
        <v/>
      </c>
      <c r="C1425" s="31"/>
      <c r="D1425" s="32"/>
    </row>
    <row r="1426" spans="1:4" ht="24" customHeight="1" x14ac:dyDescent="0.25">
      <c r="A1426" t="str">
        <f>IF('e2'!A1426&gt;0,HYPERLINK("#"&amp;ADDRESS(1426,'e2'!A1426),""),IF('r2'!A1426&gt;0,HYPERLINK("#"&amp;ADDRESS(1426,'r2'!A1426),""),""))</f>
        <v/>
      </c>
      <c r="C1426" s="31"/>
      <c r="D1426" s="32"/>
    </row>
    <row r="1427" spans="1:4" ht="24" customHeight="1" x14ac:dyDescent="0.25">
      <c r="A1427" t="str">
        <f>IF('e2'!A1427&gt;0,HYPERLINK("#"&amp;ADDRESS(1427,'e2'!A1427),""),IF('r2'!A1427&gt;0,HYPERLINK("#"&amp;ADDRESS(1427,'r2'!A1427),""),""))</f>
        <v/>
      </c>
      <c r="C1427" s="31"/>
      <c r="D1427" s="32"/>
    </row>
    <row r="1428" spans="1:4" ht="24" customHeight="1" x14ac:dyDescent="0.25">
      <c r="A1428" t="str">
        <f>IF('e2'!A1428&gt;0,HYPERLINK("#"&amp;ADDRESS(1428,'e2'!A1428),""),IF('r2'!A1428&gt;0,HYPERLINK("#"&amp;ADDRESS(1428,'r2'!A1428),""),""))</f>
        <v/>
      </c>
      <c r="C1428" s="31"/>
      <c r="D1428" s="32"/>
    </row>
    <row r="1429" spans="1:4" ht="24" customHeight="1" x14ac:dyDescent="0.25">
      <c r="A1429" t="str">
        <f>IF('e2'!A1429&gt;0,HYPERLINK("#"&amp;ADDRESS(1429,'e2'!A1429),""),IF('r2'!A1429&gt;0,HYPERLINK("#"&amp;ADDRESS(1429,'r2'!A1429),""),""))</f>
        <v/>
      </c>
      <c r="C1429" s="31"/>
      <c r="D1429" s="32"/>
    </row>
    <row r="1430" spans="1:4" ht="24" customHeight="1" x14ac:dyDescent="0.25">
      <c r="A1430" t="str">
        <f>IF('e2'!A1430&gt;0,HYPERLINK("#"&amp;ADDRESS(1430,'e2'!A1430),""),IF('r2'!A1430&gt;0,HYPERLINK("#"&amp;ADDRESS(1430,'r2'!A1430),""),""))</f>
        <v/>
      </c>
      <c r="C1430" s="31"/>
      <c r="D1430" s="32"/>
    </row>
    <row r="1431" spans="1:4" ht="24" customHeight="1" x14ac:dyDescent="0.25">
      <c r="A1431" t="str">
        <f>IF('e2'!A1431&gt;0,HYPERLINK("#"&amp;ADDRESS(1431,'e2'!A1431),""),IF('r2'!A1431&gt;0,HYPERLINK("#"&amp;ADDRESS(1431,'r2'!A1431),""),""))</f>
        <v/>
      </c>
      <c r="C1431" s="31"/>
      <c r="D1431" s="32"/>
    </row>
    <row r="1432" spans="1:4" ht="24" customHeight="1" x14ac:dyDescent="0.25">
      <c r="A1432" t="str">
        <f>IF('e2'!A1432&gt;0,HYPERLINK("#"&amp;ADDRESS(1432,'e2'!A1432),""),IF('r2'!A1432&gt;0,HYPERLINK("#"&amp;ADDRESS(1432,'r2'!A1432),""),""))</f>
        <v/>
      </c>
      <c r="C1432" s="31"/>
      <c r="D1432" s="32"/>
    </row>
    <row r="1433" spans="1:4" ht="24" customHeight="1" x14ac:dyDescent="0.25">
      <c r="A1433" t="str">
        <f>IF('e2'!A1433&gt;0,HYPERLINK("#"&amp;ADDRESS(1433,'e2'!A1433),""),IF('r2'!A1433&gt;0,HYPERLINK("#"&amp;ADDRESS(1433,'r2'!A1433),""),""))</f>
        <v/>
      </c>
      <c r="C1433" s="31"/>
      <c r="D1433" s="32"/>
    </row>
    <row r="1434" spans="1:4" ht="24" customHeight="1" x14ac:dyDescent="0.25">
      <c r="A1434" t="str">
        <f>IF('e2'!A1434&gt;0,HYPERLINK("#"&amp;ADDRESS(1434,'e2'!A1434),""),IF('r2'!A1434&gt;0,HYPERLINK("#"&amp;ADDRESS(1434,'r2'!A1434),""),""))</f>
        <v/>
      </c>
      <c r="C1434" s="31"/>
      <c r="D1434" s="32"/>
    </row>
    <row r="1435" spans="1:4" ht="24" customHeight="1" x14ac:dyDescent="0.25">
      <c r="A1435" t="str">
        <f>IF('e2'!A1435&gt;0,HYPERLINK("#"&amp;ADDRESS(1435,'e2'!A1435),""),IF('r2'!A1435&gt;0,HYPERLINK("#"&amp;ADDRESS(1435,'r2'!A1435),""),""))</f>
        <v/>
      </c>
      <c r="C1435" s="31"/>
      <c r="D1435" s="32"/>
    </row>
    <row r="1436" spans="1:4" ht="24" customHeight="1" x14ac:dyDescent="0.25">
      <c r="A1436" t="str">
        <f>IF('e2'!A1436&gt;0,HYPERLINK("#"&amp;ADDRESS(1436,'e2'!A1436),""),IF('r2'!A1436&gt;0,HYPERLINK("#"&amp;ADDRESS(1436,'r2'!A1436),""),""))</f>
        <v/>
      </c>
      <c r="C1436" s="31"/>
      <c r="D1436" s="32"/>
    </row>
    <row r="1437" spans="1:4" ht="24" customHeight="1" x14ac:dyDescent="0.25">
      <c r="A1437" t="str">
        <f>IF('e2'!A1437&gt;0,HYPERLINK("#"&amp;ADDRESS(1437,'e2'!A1437),""),IF('r2'!A1437&gt;0,HYPERLINK("#"&amp;ADDRESS(1437,'r2'!A1437),""),""))</f>
        <v/>
      </c>
      <c r="C1437" s="31"/>
      <c r="D1437" s="32"/>
    </row>
    <row r="1438" spans="1:4" ht="24" customHeight="1" x14ac:dyDescent="0.25">
      <c r="A1438" t="str">
        <f>IF('e2'!A1438&gt;0,HYPERLINK("#"&amp;ADDRESS(1438,'e2'!A1438),""),IF('r2'!A1438&gt;0,HYPERLINK("#"&amp;ADDRESS(1438,'r2'!A1438),""),""))</f>
        <v/>
      </c>
      <c r="C1438" s="31"/>
      <c r="D1438" s="32"/>
    </row>
    <row r="1439" spans="1:4" ht="24" customHeight="1" x14ac:dyDescent="0.25">
      <c r="A1439" t="str">
        <f>IF('e2'!A1439&gt;0,HYPERLINK("#"&amp;ADDRESS(1439,'e2'!A1439),""),IF('r2'!A1439&gt;0,HYPERLINK("#"&amp;ADDRESS(1439,'r2'!A1439),""),""))</f>
        <v/>
      </c>
      <c r="C1439" s="31"/>
      <c r="D1439" s="32"/>
    </row>
    <row r="1440" spans="1:4" ht="24" customHeight="1" x14ac:dyDescent="0.25">
      <c r="A1440" t="str">
        <f>IF('e2'!A1440&gt;0,HYPERLINK("#"&amp;ADDRESS(1440,'e2'!A1440),""),IF('r2'!A1440&gt;0,HYPERLINK("#"&amp;ADDRESS(1440,'r2'!A1440),""),""))</f>
        <v/>
      </c>
      <c r="C1440" s="31"/>
      <c r="D1440" s="32"/>
    </row>
    <row r="1441" spans="1:4" ht="24" customHeight="1" x14ac:dyDescent="0.25">
      <c r="A1441" t="str">
        <f>IF('e2'!A1441&gt;0,HYPERLINK("#"&amp;ADDRESS(1441,'e2'!A1441),""),IF('r2'!A1441&gt;0,HYPERLINK("#"&amp;ADDRESS(1441,'r2'!A1441),""),""))</f>
        <v/>
      </c>
      <c r="C1441" s="31"/>
      <c r="D1441" s="32"/>
    </row>
    <row r="1442" spans="1:4" ht="24" customHeight="1" x14ac:dyDescent="0.25">
      <c r="A1442" t="str">
        <f>IF('e2'!A1442&gt;0,HYPERLINK("#"&amp;ADDRESS(1442,'e2'!A1442),""),IF('r2'!A1442&gt;0,HYPERLINK("#"&amp;ADDRESS(1442,'r2'!A1442),""),""))</f>
        <v/>
      </c>
      <c r="C1442" s="31"/>
      <c r="D1442" s="32"/>
    </row>
    <row r="1443" spans="1:4" ht="24" customHeight="1" x14ac:dyDescent="0.25">
      <c r="A1443" t="str">
        <f>IF('e2'!A1443&gt;0,HYPERLINK("#"&amp;ADDRESS(1443,'e2'!A1443),""),IF('r2'!A1443&gt;0,HYPERLINK("#"&amp;ADDRESS(1443,'r2'!A1443),""),""))</f>
        <v/>
      </c>
      <c r="C1443" s="31"/>
      <c r="D1443" s="32"/>
    </row>
    <row r="1444" spans="1:4" ht="24" customHeight="1" x14ac:dyDescent="0.25">
      <c r="A1444" t="str">
        <f>IF('e2'!A1444&gt;0,HYPERLINK("#"&amp;ADDRESS(1444,'e2'!A1444),""),IF('r2'!A1444&gt;0,HYPERLINK("#"&amp;ADDRESS(1444,'r2'!A1444),""),""))</f>
        <v/>
      </c>
      <c r="C1444" s="31"/>
      <c r="D1444" s="32"/>
    </row>
    <row r="1445" spans="1:4" ht="24" customHeight="1" x14ac:dyDescent="0.25">
      <c r="A1445" t="str">
        <f>IF('e2'!A1445&gt;0,HYPERLINK("#"&amp;ADDRESS(1445,'e2'!A1445),""),IF('r2'!A1445&gt;0,HYPERLINK("#"&amp;ADDRESS(1445,'r2'!A1445),""),""))</f>
        <v/>
      </c>
      <c r="C1445" s="31"/>
      <c r="D1445" s="32"/>
    </row>
    <row r="1446" spans="1:4" ht="24" customHeight="1" x14ac:dyDescent="0.25">
      <c r="A1446" t="str">
        <f>IF('e2'!A1446&gt;0,HYPERLINK("#"&amp;ADDRESS(1446,'e2'!A1446),""),IF('r2'!A1446&gt;0,HYPERLINK("#"&amp;ADDRESS(1446,'r2'!A1446),""),""))</f>
        <v/>
      </c>
      <c r="C1446" s="31"/>
      <c r="D1446" s="32"/>
    </row>
    <row r="1447" spans="1:4" ht="24" customHeight="1" x14ac:dyDescent="0.25">
      <c r="A1447" t="str">
        <f>IF('e2'!A1447&gt;0,HYPERLINK("#"&amp;ADDRESS(1447,'e2'!A1447),""),IF('r2'!A1447&gt;0,HYPERLINK("#"&amp;ADDRESS(1447,'r2'!A1447),""),""))</f>
        <v/>
      </c>
      <c r="C1447" s="31"/>
      <c r="D1447" s="32"/>
    </row>
    <row r="1448" spans="1:4" ht="24" customHeight="1" x14ac:dyDescent="0.25">
      <c r="A1448" t="str">
        <f>IF('e2'!A1448&gt;0,HYPERLINK("#"&amp;ADDRESS(1448,'e2'!A1448),""),IF('r2'!A1448&gt;0,HYPERLINK("#"&amp;ADDRESS(1448,'r2'!A1448),""),""))</f>
        <v/>
      </c>
      <c r="C1448" s="31"/>
      <c r="D1448" s="32"/>
    </row>
    <row r="1449" spans="1:4" ht="24" customHeight="1" x14ac:dyDescent="0.25">
      <c r="A1449" t="str">
        <f>IF('e2'!A1449&gt;0,HYPERLINK("#"&amp;ADDRESS(1449,'e2'!A1449),""),IF('r2'!A1449&gt;0,HYPERLINK("#"&amp;ADDRESS(1449,'r2'!A1449),""),""))</f>
        <v/>
      </c>
      <c r="C1449" s="31"/>
      <c r="D1449" s="32"/>
    </row>
    <row r="1450" spans="1:4" ht="24" customHeight="1" x14ac:dyDescent="0.25">
      <c r="A1450" t="str">
        <f>IF('e2'!A1450&gt;0,HYPERLINK("#"&amp;ADDRESS(1450,'e2'!A1450),""),IF('r2'!A1450&gt;0,HYPERLINK("#"&amp;ADDRESS(1450,'r2'!A1450),""),""))</f>
        <v/>
      </c>
      <c r="C1450" s="31"/>
      <c r="D1450" s="32"/>
    </row>
    <row r="1451" spans="1:4" ht="24" customHeight="1" x14ac:dyDescent="0.25">
      <c r="A1451" t="str">
        <f>IF('e2'!A1451&gt;0,HYPERLINK("#"&amp;ADDRESS(1451,'e2'!A1451),""),IF('r2'!A1451&gt;0,HYPERLINK("#"&amp;ADDRESS(1451,'r2'!A1451),""),""))</f>
        <v/>
      </c>
      <c r="C1451" s="31"/>
      <c r="D1451" s="32"/>
    </row>
    <row r="1452" spans="1:4" ht="24" customHeight="1" x14ac:dyDescent="0.25">
      <c r="A1452" t="str">
        <f>IF('e2'!A1452&gt;0,HYPERLINK("#"&amp;ADDRESS(1452,'e2'!A1452),""),IF('r2'!A1452&gt;0,HYPERLINK("#"&amp;ADDRESS(1452,'r2'!A1452),""),""))</f>
        <v/>
      </c>
      <c r="C1452" s="31"/>
      <c r="D1452" s="32"/>
    </row>
    <row r="1453" spans="1:4" ht="24" customHeight="1" x14ac:dyDescent="0.25">
      <c r="A1453" t="str">
        <f>IF('e2'!A1453&gt;0,HYPERLINK("#"&amp;ADDRESS(1453,'e2'!A1453),""),IF('r2'!A1453&gt;0,HYPERLINK("#"&amp;ADDRESS(1453,'r2'!A1453),""),""))</f>
        <v/>
      </c>
      <c r="C1453" s="31"/>
      <c r="D1453" s="32"/>
    </row>
    <row r="1454" spans="1:4" ht="24" customHeight="1" x14ac:dyDescent="0.25">
      <c r="A1454" t="str">
        <f>IF('e2'!A1454&gt;0,HYPERLINK("#"&amp;ADDRESS(1454,'e2'!A1454),""),IF('r2'!A1454&gt;0,HYPERLINK("#"&amp;ADDRESS(1454,'r2'!A1454),""),""))</f>
        <v/>
      </c>
      <c r="C1454" s="31"/>
      <c r="D1454" s="32"/>
    </row>
    <row r="1455" spans="1:4" ht="24" customHeight="1" x14ac:dyDescent="0.25">
      <c r="A1455" t="str">
        <f>IF('e2'!A1455&gt;0,HYPERLINK("#"&amp;ADDRESS(1455,'e2'!A1455),""),IF('r2'!A1455&gt;0,HYPERLINK("#"&amp;ADDRESS(1455,'r2'!A1455),""),""))</f>
        <v/>
      </c>
      <c r="C1455" s="31"/>
      <c r="D1455" s="32"/>
    </row>
    <row r="1456" spans="1:4" ht="24" customHeight="1" x14ac:dyDescent="0.25">
      <c r="A1456" t="str">
        <f>IF('e2'!A1456&gt;0,HYPERLINK("#"&amp;ADDRESS(1456,'e2'!A1456),""),IF('r2'!A1456&gt;0,HYPERLINK("#"&amp;ADDRESS(1456,'r2'!A1456),""),""))</f>
        <v/>
      </c>
      <c r="C1456" s="31"/>
      <c r="D1456" s="32"/>
    </row>
    <row r="1457" spans="1:4" ht="24" customHeight="1" x14ac:dyDescent="0.25">
      <c r="A1457" t="str">
        <f>IF('e2'!A1457&gt;0,HYPERLINK("#"&amp;ADDRESS(1457,'e2'!A1457),""),IF('r2'!A1457&gt;0,HYPERLINK("#"&amp;ADDRESS(1457,'r2'!A1457),""),""))</f>
        <v/>
      </c>
      <c r="C1457" s="31"/>
      <c r="D1457" s="32"/>
    </row>
    <row r="1458" spans="1:4" ht="24" customHeight="1" x14ac:dyDescent="0.25">
      <c r="A1458" t="str">
        <f>IF('e2'!A1458&gt;0,HYPERLINK("#"&amp;ADDRESS(1458,'e2'!A1458),""),IF('r2'!A1458&gt;0,HYPERLINK("#"&amp;ADDRESS(1458,'r2'!A1458),""),""))</f>
        <v/>
      </c>
      <c r="C1458" s="31"/>
      <c r="D1458" s="32"/>
    </row>
    <row r="1459" spans="1:4" ht="24" customHeight="1" x14ac:dyDescent="0.25">
      <c r="A1459" t="str">
        <f>IF('e2'!A1459&gt;0,HYPERLINK("#"&amp;ADDRESS(1459,'e2'!A1459),""),IF('r2'!A1459&gt;0,HYPERLINK("#"&amp;ADDRESS(1459,'r2'!A1459),""),""))</f>
        <v/>
      </c>
      <c r="C1459" s="31"/>
      <c r="D1459" s="32"/>
    </row>
    <row r="1460" spans="1:4" ht="24" customHeight="1" x14ac:dyDescent="0.25">
      <c r="A1460" t="str">
        <f>IF('e2'!A1460&gt;0,HYPERLINK("#"&amp;ADDRESS(1460,'e2'!A1460),""),IF('r2'!A1460&gt;0,HYPERLINK("#"&amp;ADDRESS(1460,'r2'!A1460),""),""))</f>
        <v/>
      </c>
      <c r="C1460" s="31"/>
      <c r="D1460" s="32"/>
    </row>
    <row r="1461" spans="1:4" ht="24" customHeight="1" x14ac:dyDescent="0.25">
      <c r="A1461" t="str">
        <f>IF('e2'!A1461&gt;0,HYPERLINK("#"&amp;ADDRESS(1461,'e2'!A1461),""),IF('r2'!A1461&gt;0,HYPERLINK("#"&amp;ADDRESS(1461,'r2'!A1461),""),""))</f>
        <v/>
      </c>
      <c r="C1461" s="31"/>
      <c r="D1461" s="32"/>
    </row>
    <row r="1462" spans="1:4" ht="24" customHeight="1" x14ac:dyDescent="0.25">
      <c r="A1462" t="str">
        <f>IF('e2'!A1462&gt;0,HYPERLINK("#"&amp;ADDRESS(1462,'e2'!A1462),""),IF('r2'!A1462&gt;0,HYPERLINK("#"&amp;ADDRESS(1462,'r2'!A1462),""),""))</f>
        <v/>
      </c>
      <c r="C1462" s="31"/>
      <c r="D1462" s="32"/>
    </row>
    <row r="1463" spans="1:4" ht="24" customHeight="1" x14ac:dyDescent="0.25">
      <c r="A1463" t="str">
        <f>IF('e2'!A1463&gt;0,HYPERLINK("#"&amp;ADDRESS(1463,'e2'!A1463),""),IF('r2'!A1463&gt;0,HYPERLINK("#"&amp;ADDRESS(1463,'r2'!A1463),""),""))</f>
        <v/>
      </c>
      <c r="C1463" s="31"/>
      <c r="D1463" s="32"/>
    </row>
    <row r="1464" spans="1:4" ht="24" customHeight="1" x14ac:dyDescent="0.25">
      <c r="A1464" t="str">
        <f>IF('e2'!A1464&gt;0,HYPERLINK("#"&amp;ADDRESS(1464,'e2'!A1464),""),IF('r2'!A1464&gt;0,HYPERLINK("#"&amp;ADDRESS(1464,'r2'!A1464),""),""))</f>
        <v/>
      </c>
      <c r="C1464" s="31"/>
      <c r="D1464" s="32"/>
    </row>
    <row r="1465" spans="1:4" ht="24" customHeight="1" x14ac:dyDescent="0.25">
      <c r="A1465" t="str">
        <f>IF('e2'!A1465&gt;0,HYPERLINK("#"&amp;ADDRESS(1465,'e2'!A1465),""),IF('r2'!A1465&gt;0,HYPERLINK("#"&amp;ADDRESS(1465,'r2'!A1465),""),""))</f>
        <v/>
      </c>
      <c r="C1465" s="31"/>
      <c r="D1465" s="32"/>
    </row>
    <row r="1466" spans="1:4" ht="24" customHeight="1" x14ac:dyDescent="0.25">
      <c r="A1466" t="str">
        <f>IF('e2'!A1466&gt;0,HYPERLINK("#"&amp;ADDRESS(1466,'e2'!A1466),""),IF('r2'!A1466&gt;0,HYPERLINK("#"&amp;ADDRESS(1466,'r2'!A1466),""),""))</f>
        <v/>
      </c>
      <c r="C1466" s="31"/>
      <c r="D1466" s="32"/>
    </row>
    <row r="1467" spans="1:4" ht="24" customHeight="1" x14ac:dyDescent="0.25">
      <c r="A1467" t="str">
        <f>IF('e2'!A1467&gt;0,HYPERLINK("#"&amp;ADDRESS(1467,'e2'!A1467),""),IF('r2'!A1467&gt;0,HYPERLINK("#"&amp;ADDRESS(1467,'r2'!A1467),""),""))</f>
        <v/>
      </c>
      <c r="C1467" s="31"/>
      <c r="D1467" s="32"/>
    </row>
    <row r="1468" spans="1:4" ht="24" customHeight="1" x14ac:dyDescent="0.25">
      <c r="A1468" t="str">
        <f>IF('e2'!A1468&gt;0,HYPERLINK("#"&amp;ADDRESS(1468,'e2'!A1468),""),IF('r2'!A1468&gt;0,HYPERLINK("#"&amp;ADDRESS(1468,'r2'!A1468),""),""))</f>
        <v/>
      </c>
      <c r="C1468" s="31"/>
      <c r="D1468" s="32"/>
    </row>
    <row r="1469" spans="1:4" ht="24" customHeight="1" x14ac:dyDescent="0.25">
      <c r="A1469" t="str">
        <f>IF('e2'!A1469&gt;0,HYPERLINK("#"&amp;ADDRESS(1469,'e2'!A1469),""),IF('r2'!A1469&gt;0,HYPERLINK("#"&amp;ADDRESS(1469,'r2'!A1469),""),""))</f>
        <v/>
      </c>
      <c r="C1469" s="31"/>
      <c r="D1469" s="32"/>
    </row>
    <row r="1470" spans="1:4" ht="24" customHeight="1" x14ac:dyDescent="0.25">
      <c r="A1470" t="str">
        <f>IF('e2'!A1470&gt;0,HYPERLINK("#"&amp;ADDRESS(1470,'e2'!A1470),""),IF('r2'!A1470&gt;0,HYPERLINK("#"&amp;ADDRESS(1470,'r2'!A1470),""),""))</f>
        <v/>
      </c>
      <c r="C1470" s="31"/>
      <c r="D1470" s="32"/>
    </row>
    <row r="1471" spans="1:4" ht="24" customHeight="1" x14ac:dyDescent="0.25">
      <c r="A1471" t="str">
        <f>IF('e2'!A1471&gt;0,HYPERLINK("#"&amp;ADDRESS(1471,'e2'!A1471),""),IF('r2'!A1471&gt;0,HYPERLINK("#"&amp;ADDRESS(1471,'r2'!A1471),""),""))</f>
        <v/>
      </c>
      <c r="C1471" s="31"/>
      <c r="D1471" s="32"/>
    </row>
    <row r="1472" spans="1:4" ht="24" customHeight="1" x14ac:dyDescent="0.25">
      <c r="A1472" t="str">
        <f>IF('e2'!A1472&gt;0,HYPERLINK("#"&amp;ADDRESS(1472,'e2'!A1472),""),IF('r2'!A1472&gt;0,HYPERLINK("#"&amp;ADDRESS(1472,'r2'!A1472),""),""))</f>
        <v/>
      </c>
      <c r="C1472" s="31"/>
      <c r="D1472" s="32"/>
    </row>
    <row r="1473" spans="1:4" ht="24" customHeight="1" x14ac:dyDescent="0.25">
      <c r="A1473" t="str">
        <f>IF('e2'!A1473&gt;0,HYPERLINK("#"&amp;ADDRESS(1473,'e2'!A1473),""),IF('r2'!A1473&gt;0,HYPERLINK("#"&amp;ADDRESS(1473,'r2'!A1473),""),""))</f>
        <v/>
      </c>
      <c r="C1473" s="31"/>
      <c r="D1473" s="32"/>
    </row>
    <row r="1474" spans="1:4" ht="24" customHeight="1" x14ac:dyDescent="0.25">
      <c r="A1474" t="str">
        <f>IF('e2'!A1474&gt;0,HYPERLINK("#"&amp;ADDRESS(1474,'e2'!A1474),""),IF('r2'!A1474&gt;0,HYPERLINK("#"&amp;ADDRESS(1474,'r2'!A1474),""),""))</f>
        <v/>
      </c>
      <c r="C1474" s="31"/>
      <c r="D1474" s="32"/>
    </row>
    <row r="1475" spans="1:4" ht="24" customHeight="1" x14ac:dyDescent="0.25">
      <c r="A1475" t="str">
        <f>IF('e2'!A1475&gt;0,HYPERLINK("#"&amp;ADDRESS(1475,'e2'!A1475),""),IF('r2'!A1475&gt;0,HYPERLINK("#"&amp;ADDRESS(1475,'r2'!A1475),""),""))</f>
        <v/>
      </c>
      <c r="C1475" s="31"/>
      <c r="D1475" s="32"/>
    </row>
    <row r="1476" spans="1:4" ht="24" customHeight="1" x14ac:dyDescent="0.25">
      <c r="A1476" t="str">
        <f>IF('e2'!A1476&gt;0,HYPERLINK("#"&amp;ADDRESS(1476,'e2'!A1476),""),IF('r2'!A1476&gt;0,HYPERLINK("#"&amp;ADDRESS(1476,'r2'!A1476),""),""))</f>
        <v/>
      </c>
      <c r="C1476" s="31"/>
      <c r="D1476" s="32"/>
    </row>
    <row r="1477" spans="1:4" ht="24" customHeight="1" x14ac:dyDescent="0.25">
      <c r="A1477" t="str">
        <f>IF('e2'!A1477&gt;0,HYPERLINK("#"&amp;ADDRESS(1477,'e2'!A1477),""),IF('r2'!A1477&gt;0,HYPERLINK("#"&amp;ADDRESS(1477,'r2'!A1477),""),""))</f>
        <v/>
      </c>
      <c r="C1477" s="31"/>
      <c r="D1477" s="32"/>
    </row>
    <row r="1478" spans="1:4" ht="24" customHeight="1" x14ac:dyDescent="0.25">
      <c r="A1478" t="str">
        <f>IF('e2'!A1478&gt;0,HYPERLINK("#"&amp;ADDRESS(1478,'e2'!A1478),""),IF('r2'!A1478&gt;0,HYPERLINK("#"&amp;ADDRESS(1478,'r2'!A1478),""),""))</f>
        <v/>
      </c>
      <c r="C1478" s="31"/>
      <c r="D1478" s="32"/>
    </row>
    <row r="1479" spans="1:4" ht="24" customHeight="1" x14ac:dyDescent="0.25">
      <c r="A1479" t="str">
        <f>IF('e2'!A1479&gt;0,HYPERLINK("#"&amp;ADDRESS(1479,'e2'!A1479),""),IF('r2'!A1479&gt;0,HYPERLINK("#"&amp;ADDRESS(1479,'r2'!A1479),""),""))</f>
        <v/>
      </c>
      <c r="C1479" s="31"/>
      <c r="D1479" s="32"/>
    </row>
    <row r="1480" spans="1:4" ht="24" customHeight="1" x14ac:dyDescent="0.25">
      <c r="A1480" t="str">
        <f>IF('e2'!A1480&gt;0,HYPERLINK("#"&amp;ADDRESS(1480,'e2'!A1480),""),IF('r2'!A1480&gt;0,HYPERLINK("#"&amp;ADDRESS(1480,'r2'!A1480),""),""))</f>
        <v/>
      </c>
      <c r="C1480" s="31"/>
      <c r="D1480" s="32"/>
    </row>
    <row r="1481" spans="1:4" ht="24" customHeight="1" x14ac:dyDescent="0.25">
      <c r="A1481" t="str">
        <f>IF('e2'!A1481&gt;0,HYPERLINK("#"&amp;ADDRESS(1481,'e2'!A1481),""),IF('r2'!A1481&gt;0,HYPERLINK("#"&amp;ADDRESS(1481,'r2'!A1481),""),""))</f>
        <v/>
      </c>
      <c r="C1481" s="31"/>
      <c r="D1481" s="32"/>
    </row>
    <row r="1482" spans="1:4" ht="24" customHeight="1" x14ac:dyDescent="0.25">
      <c r="A1482" t="str">
        <f>IF('e2'!A1482&gt;0,HYPERLINK("#"&amp;ADDRESS(1482,'e2'!A1482),""),IF('r2'!A1482&gt;0,HYPERLINK("#"&amp;ADDRESS(1482,'r2'!A1482),""),""))</f>
        <v/>
      </c>
      <c r="C1482" s="31"/>
      <c r="D1482" s="32"/>
    </row>
    <row r="1483" spans="1:4" ht="24" customHeight="1" x14ac:dyDescent="0.25">
      <c r="A1483" t="str">
        <f>IF('e2'!A1483&gt;0,HYPERLINK("#"&amp;ADDRESS(1483,'e2'!A1483),""),IF('r2'!A1483&gt;0,HYPERLINK("#"&amp;ADDRESS(1483,'r2'!A1483),""),""))</f>
        <v/>
      </c>
      <c r="C1483" s="31"/>
      <c r="D1483" s="32"/>
    </row>
    <row r="1484" spans="1:4" ht="24" customHeight="1" x14ac:dyDescent="0.25">
      <c r="A1484" t="str">
        <f>IF('e2'!A1484&gt;0,HYPERLINK("#"&amp;ADDRESS(1484,'e2'!A1484),""),IF('r2'!A1484&gt;0,HYPERLINK("#"&amp;ADDRESS(1484,'r2'!A1484),""),""))</f>
        <v/>
      </c>
      <c r="C1484" s="31"/>
      <c r="D1484" s="32"/>
    </row>
    <row r="1485" spans="1:4" ht="24" customHeight="1" x14ac:dyDescent="0.25">
      <c r="A1485" t="str">
        <f>IF('e2'!A1485&gt;0,HYPERLINK("#"&amp;ADDRESS(1485,'e2'!A1485),""),IF('r2'!A1485&gt;0,HYPERLINK("#"&amp;ADDRESS(1485,'r2'!A1485),""),""))</f>
        <v/>
      </c>
      <c r="C1485" s="31"/>
      <c r="D1485" s="32"/>
    </row>
    <row r="1486" spans="1:4" ht="24" customHeight="1" x14ac:dyDescent="0.25">
      <c r="A1486" t="str">
        <f>IF('e2'!A1486&gt;0,HYPERLINK("#"&amp;ADDRESS(1486,'e2'!A1486),""),IF('r2'!A1486&gt;0,HYPERLINK("#"&amp;ADDRESS(1486,'r2'!A1486),""),""))</f>
        <v/>
      </c>
      <c r="C1486" s="31"/>
      <c r="D1486" s="32"/>
    </row>
    <row r="1487" spans="1:4" ht="24" customHeight="1" x14ac:dyDescent="0.25">
      <c r="A1487" t="str">
        <f>IF('e2'!A1487&gt;0,HYPERLINK("#"&amp;ADDRESS(1487,'e2'!A1487),""),IF('r2'!A1487&gt;0,HYPERLINK("#"&amp;ADDRESS(1487,'r2'!A1487),""),""))</f>
        <v/>
      </c>
      <c r="C1487" s="31"/>
      <c r="D1487" s="32"/>
    </row>
    <row r="1488" spans="1:4" ht="24" customHeight="1" x14ac:dyDescent="0.25">
      <c r="A1488" t="str">
        <f>IF('e2'!A1488&gt;0,HYPERLINK("#"&amp;ADDRESS(1488,'e2'!A1488),""),IF('r2'!A1488&gt;0,HYPERLINK("#"&amp;ADDRESS(1488,'r2'!A1488),""),""))</f>
        <v/>
      </c>
      <c r="C1488" s="31"/>
      <c r="D1488" s="32"/>
    </row>
    <row r="1489" spans="1:4" ht="24" customHeight="1" x14ac:dyDescent="0.25">
      <c r="A1489" t="str">
        <f>IF('e2'!A1489&gt;0,HYPERLINK("#"&amp;ADDRESS(1489,'e2'!A1489),""),IF('r2'!A1489&gt;0,HYPERLINK("#"&amp;ADDRESS(1489,'r2'!A1489),""),""))</f>
        <v/>
      </c>
      <c r="C1489" s="31"/>
      <c r="D1489" s="32"/>
    </row>
    <row r="1490" spans="1:4" ht="24" customHeight="1" x14ac:dyDescent="0.25">
      <c r="A1490" t="str">
        <f>IF('e2'!A1490&gt;0,HYPERLINK("#"&amp;ADDRESS(1490,'e2'!A1490),""),IF('r2'!A1490&gt;0,HYPERLINK("#"&amp;ADDRESS(1490,'r2'!A1490),""),""))</f>
        <v/>
      </c>
      <c r="C1490" s="31"/>
      <c r="D1490" s="32"/>
    </row>
    <row r="1491" spans="1:4" ht="24" customHeight="1" x14ac:dyDescent="0.25">
      <c r="A1491" t="str">
        <f>IF('e2'!A1491&gt;0,HYPERLINK("#"&amp;ADDRESS(1491,'e2'!A1491),""),IF('r2'!A1491&gt;0,HYPERLINK("#"&amp;ADDRESS(1491,'r2'!A1491),""),""))</f>
        <v/>
      </c>
      <c r="C1491" s="31"/>
      <c r="D1491" s="32"/>
    </row>
    <row r="1492" spans="1:4" ht="24" customHeight="1" x14ac:dyDescent="0.25">
      <c r="A1492" t="str">
        <f>IF('e2'!A1492&gt;0,HYPERLINK("#"&amp;ADDRESS(1492,'e2'!A1492),""),IF('r2'!A1492&gt;0,HYPERLINK("#"&amp;ADDRESS(1492,'r2'!A1492),""),""))</f>
        <v/>
      </c>
      <c r="C1492" s="31"/>
      <c r="D1492" s="32"/>
    </row>
    <row r="1493" spans="1:4" ht="24" customHeight="1" x14ac:dyDescent="0.25">
      <c r="A1493" t="str">
        <f>IF('e2'!A1493&gt;0,HYPERLINK("#"&amp;ADDRESS(1493,'e2'!A1493),""),IF('r2'!A1493&gt;0,HYPERLINK("#"&amp;ADDRESS(1493,'r2'!A1493),""),""))</f>
        <v/>
      </c>
      <c r="C1493" s="31"/>
      <c r="D1493" s="32"/>
    </row>
    <row r="1494" spans="1:4" ht="24" customHeight="1" x14ac:dyDescent="0.25">
      <c r="A1494" t="str">
        <f>IF('e2'!A1494&gt;0,HYPERLINK("#"&amp;ADDRESS(1494,'e2'!A1494),""),IF('r2'!A1494&gt;0,HYPERLINK("#"&amp;ADDRESS(1494,'r2'!A1494),""),""))</f>
        <v/>
      </c>
      <c r="C1494" s="31"/>
      <c r="D1494" s="32"/>
    </row>
    <row r="1495" spans="1:4" ht="24" customHeight="1" x14ac:dyDescent="0.25">
      <c r="A1495" t="str">
        <f>IF('e2'!A1495&gt;0,HYPERLINK("#"&amp;ADDRESS(1495,'e2'!A1495),""),IF('r2'!A1495&gt;0,HYPERLINK("#"&amp;ADDRESS(1495,'r2'!A1495),""),""))</f>
        <v/>
      </c>
      <c r="C1495" s="31"/>
      <c r="D1495" s="32"/>
    </row>
    <row r="1496" spans="1:4" ht="24" customHeight="1" x14ac:dyDescent="0.25">
      <c r="A1496" t="str">
        <f>IF('e2'!A1496&gt;0,HYPERLINK("#"&amp;ADDRESS(1496,'e2'!A1496),""),IF('r2'!A1496&gt;0,HYPERLINK("#"&amp;ADDRESS(1496,'r2'!A1496),""),""))</f>
        <v/>
      </c>
      <c r="C1496" s="31"/>
      <c r="D1496" s="32"/>
    </row>
    <row r="1497" spans="1:4" ht="24" customHeight="1" x14ac:dyDescent="0.25">
      <c r="A1497" t="str">
        <f>IF('e2'!A1497&gt;0,HYPERLINK("#"&amp;ADDRESS(1497,'e2'!A1497),""),IF('r2'!A1497&gt;0,HYPERLINK("#"&amp;ADDRESS(1497,'r2'!A1497),""),""))</f>
        <v/>
      </c>
      <c r="C1497" s="31"/>
      <c r="D1497" s="32"/>
    </row>
    <row r="1498" spans="1:4" ht="24" customHeight="1" x14ac:dyDescent="0.25">
      <c r="A1498" t="str">
        <f>IF('e2'!A1498&gt;0,HYPERLINK("#"&amp;ADDRESS(1498,'e2'!A1498),""),IF('r2'!A1498&gt;0,HYPERLINK("#"&amp;ADDRESS(1498,'r2'!A1498),""),""))</f>
        <v/>
      </c>
      <c r="C1498" s="31"/>
      <c r="D1498" s="32"/>
    </row>
    <row r="1499" spans="1:4" ht="24" customHeight="1" x14ac:dyDescent="0.25">
      <c r="A1499" t="str">
        <f>IF('e2'!A1499&gt;0,HYPERLINK("#"&amp;ADDRESS(1499,'e2'!A1499),""),IF('r2'!A1499&gt;0,HYPERLINK("#"&amp;ADDRESS(1499,'r2'!A1499),""),""))</f>
        <v/>
      </c>
      <c r="C1499" s="31"/>
      <c r="D1499" s="32"/>
    </row>
    <row r="1500" spans="1:4" ht="24" customHeight="1" x14ac:dyDescent="0.25">
      <c r="A1500" t="str">
        <f>IF('e2'!A1500&gt;0,HYPERLINK("#"&amp;ADDRESS(1500,'e2'!A1500),""),IF('r2'!A1500&gt;0,HYPERLINK("#"&amp;ADDRESS(1500,'r2'!A1500),""),""))</f>
        <v/>
      </c>
      <c r="C1500" s="31"/>
      <c r="D1500" s="32"/>
    </row>
    <row r="1501" spans="1:4" ht="24" customHeight="1" x14ac:dyDescent="0.25">
      <c r="A1501" t="str">
        <f>IF('e2'!A1501&gt;0,HYPERLINK("#"&amp;ADDRESS(1501,'e2'!A1501),""),IF('r2'!A1501&gt;0,HYPERLINK("#"&amp;ADDRESS(1501,'r2'!A1501),""),""))</f>
        <v/>
      </c>
      <c r="C1501" s="31"/>
      <c r="D1501" s="32"/>
    </row>
    <row r="1502" spans="1:4" ht="24" customHeight="1" x14ac:dyDescent="0.25">
      <c r="A1502" t="str">
        <f>IF('e2'!A1502&gt;0,HYPERLINK("#"&amp;ADDRESS(1502,'e2'!A1502),""),IF('r2'!A1502&gt;0,HYPERLINK("#"&amp;ADDRESS(1502,'r2'!A1502),""),""))</f>
        <v/>
      </c>
      <c r="C1502" s="31"/>
      <c r="D1502" s="32"/>
    </row>
    <row r="1503" spans="1:4" ht="24" customHeight="1" x14ac:dyDescent="0.25">
      <c r="A1503" t="str">
        <f>IF('e2'!A1503&gt;0,HYPERLINK("#"&amp;ADDRESS(1503,'e2'!A1503),""),IF('r2'!A1503&gt;0,HYPERLINK("#"&amp;ADDRESS(1503,'r2'!A1503),""),""))</f>
        <v/>
      </c>
      <c r="C1503" s="31"/>
      <c r="D1503" s="32"/>
    </row>
    <row r="1504" spans="1:4" ht="24" customHeight="1" x14ac:dyDescent="0.25">
      <c r="A1504" t="str">
        <f>IF('e2'!A1504&gt;0,HYPERLINK("#"&amp;ADDRESS(1504,'e2'!A1504),""),IF('r2'!A1504&gt;0,HYPERLINK("#"&amp;ADDRESS(1504,'r2'!A1504),""),""))</f>
        <v/>
      </c>
      <c r="C1504" s="31"/>
      <c r="D1504" s="32"/>
    </row>
    <row r="1505" spans="1:4" ht="24" customHeight="1" x14ac:dyDescent="0.25">
      <c r="A1505" t="str">
        <f>IF('e2'!A1505&gt;0,HYPERLINK("#"&amp;ADDRESS(1505,'e2'!A1505),""),IF('r2'!A1505&gt;0,HYPERLINK("#"&amp;ADDRESS(1505,'r2'!A1505),""),""))</f>
        <v/>
      </c>
      <c r="C1505" s="31"/>
      <c r="D1505" s="32"/>
    </row>
    <row r="1506" spans="1:4" ht="24" customHeight="1" x14ac:dyDescent="0.25">
      <c r="A1506" t="str">
        <f>IF('e2'!A1506&gt;0,HYPERLINK("#"&amp;ADDRESS(1506,'e2'!A1506),""),IF('r2'!A1506&gt;0,HYPERLINK("#"&amp;ADDRESS(1506,'r2'!A1506),""),""))</f>
        <v/>
      </c>
      <c r="C1506" s="31"/>
      <c r="D1506" s="32"/>
    </row>
    <row r="1507" spans="1:4" ht="24" customHeight="1" x14ac:dyDescent="0.25">
      <c r="A1507" t="str">
        <f>IF('e2'!A1507&gt;0,HYPERLINK("#"&amp;ADDRESS(1507,'e2'!A1507),""),IF('r2'!A1507&gt;0,HYPERLINK("#"&amp;ADDRESS(1507,'r2'!A1507),""),""))</f>
        <v/>
      </c>
      <c r="C1507" s="31"/>
      <c r="D1507" s="32"/>
    </row>
    <row r="1508" spans="1:4" ht="24" customHeight="1" x14ac:dyDescent="0.25">
      <c r="A1508" t="str">
        <f>IF('e2'!A1508&gt;0,HYPERLINK("#"&amp;ADDRESS(1508,'e2'!A1508),""),IF('r2'!A1508&gt;0,HYPERLINK("#"&amp;ADDRESS(1508,'r2'!A1508),""),""))</f>
        <v/>
      </c>
      <c r="C1508" s="31"/>
      <c r="D1508" s="32"/>
    </row>
    <row r="1509" spans="1:4" ht="24" customHeight="1" x14ac:dyDescent="0.25">
      <c r="A1509" t="str">
        <f>IF('e2'!A1509&gt;0,HYPERLINK("#"&amp;ADDRESS(1509,'e2'!A1509),""),IF('r2'!A1509&gt;0,HYPERLINK("#"&amp;ADDRESS(1509,'r2'!A1509),""),""))</f>
        <v/>
      </c>
      <c r="C1509" s="31"/>
      <c r="D1509" s="32"/>
    </row>
    <row r="1510" spans="1:4" ht="24" customHeight="1" x14ac:dyDescent="0.25">
      <c r="A1510" t="str">
        <f>IF('e2'!A1510&gt;0,HYPERLINK("#"&amp;ADDRESS(1510,'e2'!A1510),""),IF('r2'!A1510&gt;0,HYPERLINK("#"&amp;ADDRESS(1510,'r2'!A1510),""),""))</f>
        <v/>
      </c>
      <c r="C1510" s="31"/>
      <c r="D1510" s="32"/>
    </row>
    <row r="1511" spans="1:4" ht="24" customHeight="1" x14ac:dyDescent="0.25">
      <c r="A1511" t="str">
        <f>IF('e2'!A1511&gt;0,HYPERLINK("#"&amp;ADDRESS(1511,'e2'!A1511),""),IF('r2'!A1511&gt;0,HYPERLINK("#"&amp;ADDRESS(1511,'r2'!A1511),""),""))</f>
        <v/>
      </c>
      <c r="C1511" s="31"/>
      <c r="D1511" s="32"/>
    </row>
    <row r="1512" spans="1:4" ht="24" customHeight="1" x14ac:dyDescent="0.25">
      <c r="A1512" t="str">
        <f>IF('e2'!A1512&gt;0,HYPERLINK("#"&amp;ADDRESS(1512,'e2'!A1512),""),IF('r2'!A1512&gt;0,HYPERLINK("#"&amp;ADDRESS(1512,'r2'!A1512),""),""))</f>
        <v/>
      </c>
      <c r="C1512" s="31"/>
      <c r="D1512" s="32"/>
    </row>
    <row r="1513" spans="1:4" ht="24" customHeight="1" x14ac:dyDescent="0.25">
      <c r="A1513" t="str">
        <f>IF('e2'!A1513&gt;0,HYPERLINK("#"&amp;ADDRESS(1513,'e2'!A1513),""),IF('r2'!A1513&gt;0,HYPERLINK("#"&amp;ADDRESS(1513,'r2'!A1513),""),""))</f>
        <v/>
      </c>
      <c r="C1513" s="31"/>
      <c r="D1513" s="32"/>
    </row>
    <row r="1514" spans="1:4" ht="24" customHeight="1" x14ac:dyDescent="0.25">
      <c r="A1514" t="str">
        <f>IF('e2'!A1514&gt;0,HYPERLINK("#"&amp;ADDRESS(1514,'e2'!A1514),""),IF('r2'!A1514&gt;0,HYPERLINK("#"&amp;ADDRESS(1514,'r2'!A1514),""),""))</f>
        <v/>
      </c>
      <c r="C1514" s="31"/>
      <c r="D1514" s="32"/>
    </row>
    <row r="1515" spans="1:4" ht="24" customHeight="1" x14ac:dyDescent="0.25">
      <c r="A1515" t="str">
        <f>IF('e2'!A1515&gt;0,HYPERLINK("#"&amp;ADDRESS(1515,'e2'!A1515),""),IF('r2'!A1515&gt;0,HYPERLINK("#"&amp;ADDRESS(1515,'r2'!A1515),""),""))</f>
        <v/>
      </c>
      <c r="C1515" s="31"/>
      <c r="D1515" s="32"/>
    </row>
    <row r="1516" spans="1:4" ht="24" customHeight="1" x14ac:dyDescent="0.25">
      <c r="A1516" t="str">
        <f>IF('e2'!A1516&gt;0,HYPERLINK("#"&amp;ADDRESS(1516,'e2'!A1516),""),IF('r2'!A1516&gt;0,HYPERLINK("#"&amp;ADDRESS(1516,'r2'!A1516),""),""))</f>
        <v/>
      </c>
      <c r="C1516" s="31"/>
      <c r="D1516" s="32"/>
    </row>
    <row r="1517" spans="1:4" ht="24" customHeight="1" x14ac:dyDescent="0.25">
      <c r="A1517" t="str">
        <f>IF('e2'!A1517&gt;0,HYPERLINK("#"&amp;ADDRESS(1517,'e2'!A1517),""),IF('r2'!A1517&gt;0,HYPERLINK("#"&amp;ADDRESS(1517,'r2'!A1517),""),""))</f>
        <v/>
      </c>
      <c r="C1517" s="31"/>
      <c r="D1517" s="32"/>
    </row>
    <row r="1518" spans="1:4" ht="24" customHeight="1" x14ac:dyDescent="0.25">
      <c r="A1518" t="str">
        <f>IF('e2'!A1518&gt;0,HYPERLINK("#"&amp;ADDRESS(1518,'e2'!A1518),""),IF('r2'!A1518&gt;0,HYPERLINK("#"&amp;ADDRESS(1518,'r2'!A1518),""),""))</f>
        <v/>
      </c>
      <c r="C1518" s="31"/>
      <c r="D1518" s="32"/>
    </row>
    <row r="1519" spans="1:4" ht="24" customHeight="1" x14ac:dyDescent="0.25">
      <c r="A1519" t="str">
        <f>IF('e2'!A1519&gt;0,HYPERLINK("#"&amp;ADDRESS(1519,'e2'!A1519),""),IF('r2'!A1519&gt;0,HYPERLINK("#"&amp;ADDRESS(1519,'r2'!A1519),""),""))</f>
        <v/>
      </c>
      <c r="C1519" s="31"/>
      <c r="D1519" s="32"/>
    </row>
    <row r="1520" spans="1:4" ht="24" customHeight="1" x14ac:dyDescent="0.25">
      <c r="A1520" t="str">
        <f>IF('e2'!A1520&gt;0,HYPERLINK("#"&amp;ADDRESS(1520,'e2'!A1520),""),IF('r2'!A1520&gt;0,HYPERLINK("#"&amp;ADDRESS(1520,'r2'!A1520),""),""))</f>
        <v/>
      </c>
      <c r="C1520" s="31"/>
      <c r="D1520" s="32"/>
    </row>
    <row r="1521" spans="1:4" ht="24" customHeight="1" x14ac:dyDescent="0.25">
      <c r="A1521" t="str">
        <f>IF('e2'!A1521&gt;0,HYPERLINK("#"&amp;ADDRESS(1521,'e2'!A1521),""),IF('r2'!A1521&gt;0,HYPERLINK("#"&amp;ADDRESS(1521,'r2'!A1521),""),""))</f>
        <v/>
      </c>
      <c r="C1521" s="31"/>
      <c r="D1521" s="32"/>
    </row>
    <row r="1522" spans="1:4" ht="24" customHeight="1" x14ac:dyDescent="0.25">
      <c r="A1522" t="str">
        <f>IF('e2'!A1522&gt;0,HYPERLINK("#"&amp;ADDRESS(1522,'e2'!A1522),""),IF('r2'!A1522&gt;0,HYPERLINK("#"&amp;ADDRESS(1522,'r2'!A1522),""),""))</f>
        <v/>
      </c>
      <c r="C1522" s="31"/>
      <c r="D1522" s="32"/>
    </row>
    <row r="1523" spans="1:4" ht="24" customHeight="1" x14ac:dyDescent="0.25">
      <c r="A1523" t="str">
        <f>IF('e2'!A1523&gt;0,HYPERLINK("#"&amp;ADDRESS(1523,'e2'!A1523),""),IF('r2'!A1523&gt;0,HYPERLINK("#"&amp;ADDRESS(1523,'r2'!A1523),""),""))</f>
        <v/>
      </c>
      <c r="C1523" s="31"/>
      <c r="D1523" s="32"/>
    </row>
    <row r="1524" spans="1:4" ht="24" customHeight="1" x14ac:dyDescent="0.25">
      <c r="A1524" t="str">
        <f>IF('e2'!A1524&gt;0,HYPERLINK("#"&amp;ADDRESS(1524,'e2'!A1524),""),IF('r2'!A1524&gt;0,HYPERLINK("#"&amp;ADDRESS(1524,'r2'!A1524),""),""))</f>
        <v/>
      </c>
      <c r="C1524" s="31"/>
      <c r="D1524" s="32"/>
    </row>
    <row r="1525" spans="1:4" ht="24" customHeight="1" x14ac:dyDescent="0.25">
      <c r="A1525" t="str">
        <f>IF('e2'!A1525&gt;0,HYPERLINK("#"&amp;ADDRESS(1525,'e2'!A1525),""),IF('r2'!A1525&gt;0,HYPERLINK("#"&amp;ADDRESS(1525,'r2'!A1525),""),""))</f>
        <v/>
      </c>
      <c r="C1525" s="31"/>
      <c r="D1525" s="32"/>
    </row>
    <row r="1526" spans="1:4" ht="24" customHeight="1" x14ac:dyDescent="0.25">
      <c r="A1526" t="str">
        <f>IF('e2'!A1526&gt;0,HYPERLINK("#"&amp;ADDRESS(1526,'e2'!A1526),""),IF('r2'!A1526&gt;0,HYPERLINK("#"&amp;ADDRESS(1526,'r2'!A1526),""),""))</f>
        <v/>
      </c>
      <c r="C1526" s="31"/>
      <c r="D1526" s="32"/>
    </row>
    <row r="1527" spans="1:4" ht="24" customHeight="1" x14ac:dyDescent="0.25">
      <c r="A1527" t="str">
        <f>IF('e2'!A1527&gt;0,HYPERLINK("#"&amp;ADDRESS(1527,'e2'!A1527),""),IF('r2'!A1527&gt;0,HYPERLINK("#"&amp;ADDRESS(1527,'r2'!A1527),""),""))</f>
        <v/>
      </c>
      <c r="C1527" s="31"/>
      <c r="D1527" s="32"/>
    </row>
    <row r="1528" spans="1:4" ht="24" customHeight="1" x14ac:dyDescent="0.25">
      <c r="A1528" t="str">
        <f>IF('e2'!A1528&gt;0,HYPERLINK("#"&amp;ADDRESS(1528,'e2'!A1528),""),IF('r2'!A1528&gt;0,HYPERLINK("#"&amp;ADDRESS(1528,'r2'!A1528),""),""))</f>
        <v/>
      </c>
      <c r="C1528" s="31"/>
      <c r="D1528" s="32"/>
    </row>
    <row r="1529" spans="1:4" ht="24" customHeight="1" x14ac:dyDescent="0.25">
      <c r="A1529" t="str">
        <f>IF('e2'!A1529&gt;0,HYPERLINK("#"&amp;ADDRESS(1529,'e2'!A1529),""),IF('r2'!A1529&gt;0,HYPERLINK("#"&amp;ADDRESS(1529,'r2'!A1529),""),""))</f>
        <v/>
      </c>
      <c r="C1529" s="31"/>
      <c r="D1529" s="32"/>
    </row>
    <row r="1530" spans="1:4" ht="24" customHeight="1" x14ac:dyDescent="0.25">
      <c r="A1530" t="str">
        <f>IF('e2'!A1530&gt;0,HYPERLINK("#"&amp;ADDRESS(1530,'e2'!A1530),""),IF('r2'!A1530&gt;0,HYPERLINK("#"&amp;ADDRESS(1530,'r2'!A1530),""),""))</f>
        <v/>
      </c>
      <c r="C1530" s="31"/>
      <c r="D1530" s="32"/>
    </row>
    <row r="1531" spans="1:4" ht="24" customHeight="1" x14ac:dyDescent="0.25">
      <c r="A1531" t="str">
        <f>IF('e2'!A1531&gt;0,HYPERLINK("#"&amp;ADDRESS(1531,'e2'!A1531),""),IF('r2'!A1531&gt;0,HYPERLINK("#"&amp;ADDRESS(1531,'r2'!A1531),""),""))</f>
        <v/>
      </c>
      <c r="C1531" s="31"/>
      <c r="D1531" s="32"/>
    </row>
    <row r="1532" spans="1:4" ht="24" customHeight="1" x14ac:dyDescent="0.25">
      <c r="A1532" t="str">
        <f>IF('e2'!A1532&gt;0,HYPERLINK("#"&amp;ADDRESS(1532,'e2'!A1532),""),IF('r2'!A1532&gt;0,HYPERLINK("#"&amp;ADDRESS(1532,'r2'!A1532),""),""))</f>
        <v/>
      </c>
      <c r="C1532" s="31"/>
      <c r="D1532" s="32"/>
    </row>
    <row r="1533" spans="1:4" ht="24" customHeight="1" x14ac:dyDescent="0.25">
      <c r="A1533" t="str">
        <f>IF('e2'!A1533&gt;0,HYPERLINK("#"&amp;ADDRESS(1533,'e2'!A1533),""),IF('r2'!A1533&gt;0,HYPERLINK("#"&amp;ADDRESS(1533,'r2'!A1533),""),""))</f>
        <v/>
      </c>
      <c r="C1533" s="31"/>
      <c r="D1533" s="32"/>
    </row>
    <row r="1534" spans="1:4" ht="24" customHeight="1" x14ac:dyDescent="0.25">
      <c r="A1534" t="str">
        <f>IF('e2'!A1534&gt;0,HYPERLINK("#"&amp;ADDRESS(1534,'e2'!A1534),""),IF('r2'!A1534&gt;0,HYPERLINK("#"&amp;ADDRESS(1534,'r2'!A1534),""),""))</f>
        <v/>
      </c>
      <c r="C1534" s="31"/>
      <c r="D1534" s="32"/>
    </row>
    <row r="1535" spans="1:4" ht="24" customHeight="1" x14ac:dyDescent="0.25">
      <c r="A1535" t="str">
        <f>IF('e2'!A1535&gt;0,HYPERLINK("#"&amp;ADDRESS(1535,'e2'!A1535),""),IF('r2'!A1535&gt;0,HYPERLINK("#"&amp;ADDRESS(1535,'r2'!A1535),""),""))</f>
        <v/>
      </c>
      <c r="C1535" s="31"/>
      <c r="D1535" s="32"/>
    </row>
    <row r="1536" spans="1:4" ht="24" customHeight="1" x14ac:dyDescent="0.25">
      <c r="A1536" t="str">
        <f>IF('e2'!A1536&gt;0,HYPERLINK("#"&amp;ADDRESS(1536,'e2'!A1536),""),IF('r2'!A1536&gt;0,HYPERLINK("#"&amp;ADDRESS(1536,'r2'!A1536),""),""))</f>
        <v/>
      </c>
      <c r="C1536" s="31"/>
      <c r="D1536" s="32"/>
    </row>
    <row r="1537" spans="1:4" ht="24" customHeight="1" x14ac:dyDescent="0.25">
      <c r="A1537" t="str">
        <f>IF('e2'!A1537&gt;0,HYPERLINK("#"&amp;ADDRESS(1537,'e2'!A1537),""),IF('r2'!A1537&gt;0,HYPERLINK("#"&amp;ADDRESS(1537,'r2'!A1537),""),""))</f>
        <v/>
      </c>
      <c r="C1537" s="31"/>
      <c r="D1537" s="32"/>
    </row>
    <row r="1538" spans="1:4" ht="24" customHeight="1" x14ac:dyDescent="0.25">
      <c r="A1538" t="str">
        <f>IF('e2'!A1538&gt;0,HYPERLINK("#"&amp;ADDRESS(1538,'e2'!A1538),""),IF('r2'!A1538&gt;0,HYPERLINK("#"&amp;ADDRESS(1538,'r2'!A1538),""),""))</f>
        <v/>
      </c>
      <c r="C1538" s="31"/>
      <c r="D1538" s="32"/>
    </row>
    <row r="1539" spans="1:4" ht="24" customHeight="1" x14ac:dyDescent="0.25">
      <c r="A1539" t="str">
        <f>IF('e2'!A1539&gt;0,HYPERLINK("#"&amp;ADDRESS(1539,'e2'!A1539),""),IF('r2'!A1539&gt;0,HYPERLINK("#"&amp;ADDRESS(1539,'r2'!A1539),""),""))</f>
        <v/>
      </c>
      <c r="C1539" s="31"/>
      <c r="D1539" s="32"/>
    </row>
    <row r="1540" spans="1:4" ht="24" customHeight="1" x14ac:dyDescent="0.25">
      <c r="A1540" t="str">
        <f>IF('e2'!A1540&gt;0,HYPERLINK("#"&amp;ADDRESS(1540,'e2'!A1540),""),IF('r2'!A1540&gt;0,HYPERLINK("#"&amp;ADDRESS(1540,'r2'!A1540),""),""))</f>
        <v/>
      </c>
      <c r="C1540" s="31"/>
      <c r="D1540" s="32"/>
    </row>
    <row r="1541" spans="1:4" ht="24" customHeight="1" x14ac:dyDescent="0.25">
      <c r="A1541" t="str">
        <f>IF('e2'!A1541&gt;0,HYPERLINK("#"&amp;ADDRESS(1541,'e2'!A1541),""),IF('r2'!A1541&gt;0,HYPERLINK("#"&amp;ADDRESS(1541,'r2'!A1541),""),""))</f>
        <v/>
      </c>
      <c r="C1541" s="31"/>
      <c r="D1541" s="32"/>
    </row>
    <row r="1542" spans="1:4" ht="24" customHeight="1" x14ac:dyDescent="0.25">
      <c r="A1542" t="str">
        <f>IF('e2'!A1542&gt;0,HYPERLINK("#"&amp;ADDRESS(1542,'e2'!A1542),""),IF('r2'!A1542&gt;0,HYPERLINK("#"&amp;ADDRESS(1542,'r2'!A1542),""),""))</f>
        <v/>
      </c>
      <c r="C1542" s="31"/>
      <c r="D1542" s="32"/>
    </row>
    <row r="1543" spans="1:4" ht="24" customHeight="1" x14ac:dyDescent="0.25">
      <c r="A1543" t="str">
        <f>IF('e2'!A1543&gt;0,HYPERLINK("#"&amp;ADDRESS(1543,'e2'!A1543),""),IF('r2'!A1543&gt;0,HYPERLINK("#"&amp;ADDRESS(1543,'r2'!A1543),""),""))</f>
        <v/>
      </c>
      <c r="C1543" s="31"/>
      <c r="D1543" s="32"/>
    </row>
    <row r="1544" spans="1:4" ht="24" customHeight="1" x14ac:dyDescent="0.25">
      <c r="A1544" t="str">
        <f>IF('e2'!A1544&gt;0,HYPERLINK("#"&amp;ADDRESS(1544,'e2'!A1544),""),IF('r2'!A1544&gt;0,HYPERLINK("#"&amp;ADDRESS(1544,'r2'!A1544),""),""))</f>
        <v/>
      </c>
      <c r="C1544" s="31"/>
      <c r="D1544" s="32"/>
    </row>
    <row r="1545" spans="1:4" ht="24" customHeight="1" x14ac:dyDescent="0.25">
      <c r="A1545" t="str">
        <f>IF('e2'!A1545&gt;0,HYPERLINK("#"&amp;ADDRESS(1545,'e2'!A1545),""),IF('r2'!A1545&gt;0,HYPERLINK("#"&amp;ADDRESS(1545,'r2'!A1545),""),""))</f>
        <v/>
      </c>
      <c r="C1545" s="31"/>
      <c r="D1545" s="32"/>
    </row>
    <row r="1546" spans="1:4" ht="24" customHeight="1" x14ac:dyDescent="0.25">
      <c r="A1546" t="str">
        <f>IF('e2'!A1546&gt;0,HYPERLINK("#"&amp;ADDRESS(1546,'e2'!A1546),""),IF('r2'!A1546&gt;0,HYPERLINK("#"&amp;ADDRESS(1546,'r2'!A1546),""),""))</f>
        <v/>
      </c>
      <c r="C1546" s="31"/>
      <c r="D1546" s="32"/>
    </row>
    <row r="1547" spans="1:4" ht="24" customHeight="1" x14ac:dyDescent="0.25">
      <c r="A1547" t="str">
        <f>IF('e2'!A1547&gt;0,HYPERLINK("#"&amp;ADDRESS(1547,'e2'!A1547),""),IF('r2'!A1547&gt;0,HYPERLINK("#"&amp;ADDRESS(1547,'r2'!A1547),""),""))</f>
        <v/>
      </c>
      <c r="C1547" s="31"/>
      <c r="D1547" s="32"/>
    </row>
    <row r="1548" spans="1:4" ht="24" customHeight="1" x14ac:dyDescent="0.25">
      <c r="A1548" t="str">
        <f>IF('e2'!A1548&gt;0,HYPERLINK("#"&amp;ADDRESS(1548,'e2'!A1548),""),IF('r2'!A1548&gt;0,HYPERLINK("#"&amp;ADDRESS(1548,'r2'!A1548),""),""))</f>
        <v/>
      </c>
      <c r="C1548" s="31"/>
      <c r="D1548" s="32"/>
    </row>
    <row r="1549" spans="1:4" ht="24" customHeight="1" x14ac:dyDescent="0.25">
      <c r="A1549" t="str">
        <f>IF('e2'!A1549&gt;0,HYPERLINK("#"&amp;ADDRESS(1549,'e2'!A1549),""),IF('r2'!A1549&gt;0,HYPERLINK("#"&amp;ADDRESS(1549,'r2'!A1549),""),""))</f>
        <v/>
      </c>
      <c r="C1549" s="31"/>
      <c r="D1549" s="32"/>
    </row>
    <row r="1550" spans="1:4" ht="24" customHeight="1" x14ac:dyDescent="0.25">
      <c r="A1550" t="str">
        <f>IF('e2'!A1550&gt;0,HYPERLINK("#"&amp;ADDRESS(1550,'e2'!A1550),""),IF('r2'!A1550&gt;0,HYPERLINK("#"&amp;ADDRESS(1550,'r2'!A1550),""),""))</f>
        <v/>
      </c>
      <c r="C1550" s="31"/>
      <c r="D1550" s="32"/>
    </row>
    <row r="1551" spans="1:4" ht="24" customHeight="1" x14ac:dyDescent="0.25">
      <c r="A1551" t="str">
        <f>IF('e2'!A1551&gt;0,HYPERLINK("#"&amp;ADDRESS(1551,'e2'!A1551),""),IF('r2'!A1551&gt;0,HYPERLINK("#"&amp;ADDRESS(1551,'r2'!A1551),""),""))</f>
        <v/>
      </c>
      <c r="C1551" s="31"/>
      <c r="D1551" s="32"/>
    </row>
    <row r="1552" spans="1:4" ht="24" customHeight="1" x14ac:dyDescent="0.25">
      <c r="A1552" t="str">
        <f>IF('e2'!A1552&gt;0,HYPERLINK("#"&amp;ADDRESS(1552,'e2'!A1552),""),IF('r2'!A1552&gt;0,HYPERLINK("#"&amp;ADDRESS(1552,'r2'!A1552),""),""))</f>
        <v/>
      </c>
      <c r="C1552" s="31"/>
      <c r="D1552" s="32"/>
    </row>
    <row r="1553" spans="1:4" ht="24" customHeight="1" x14ac:dyDescent="0.25">
      <c r="A1553" t="str">
        <f>IF('e2'!A1553&gt;0,HYPERLINK("#"&amp;ADDRESS(1553,'e2'!A1553),""),IF('r2'!A1553&gt;0,HYPERLINK("#"&amp;ADDRESS(1553,'r2'!A1553),""),""))</f>
        <v/>
      </c>
      <c r="C1553" s="31"/>
      <c r="D1553" s="32"/>
    </row>
    <row r="1554" spans="1:4" ht="24" customHeight="1" x14ac:dyDescent="0.25">
      <c r="A1554" t="str">
        <f>IF('e2'!A1554&gt;0,HYPERLINK("#"&amp;ADDRESS(1554,'e2'!A1554),""),IF('r2'!A1554&gt;0,HYPERLINK("#"&amp;ADDRESS(1554,'r2'!A1554),""),""))</f>
        <v/>
      </c>
      <c r="C1554" s="31"/>
      <c r="D1554" s="32"/>
    </row>
    <row r="1555" spans="1:4" ht="24" customHeight="1" x14ac:dyDescent="0.25">
      <c r="A1555" t="str">
        <f>IF('e2'!A1555&gt;0,HYPERLINK("#"&amp;ADDRESS(1555,'e2'!A1555),""),IF('r2'!A1555&gt;0,HYPERLINK("#"&amp;ADDRESS(1555,'r2'!A1555),""),""))</f>
        <v/>
      </c>
      <c r="C1555" s="31"/>
      <c r="D1555" s="32"/>
    </row>
    <row r="1556" spans="1:4" ht="24" customHeight="1" x14ac:dyDescent="0.25">
      <c r="A1556" t="str">
        <f>IF('e2'!A1556&gt;0,HYPERLINK("#"&amp;ADDRESS(1556,'e2'!A1556),""),IF('r2'!A1556&gt;0,HYPERLINK("#"&amp;ADDRESS(1556,'r2'!A1556),""),""))</f>
        <v/>
      </c>
      <c r="C1556" s="31"/>
      <c r="D1556" s="32"/>
    </row>
    <row r="1557" spans="1:4" ht="24" customHeight="1" x14ac:dyDescent="0.25">
      <c r="A1557" t="str">
        <f>IF('e2'!A1557&gt;0,HYPERLINK("#"&amp;ADDRESS(1557,'e2'!A1557),""),IF('r2'!A1557&gt;0,HYPERLINK("#"&amp;ADDRESS(1557,'r2'!A1557),""),""))</f>
        <v/>
      </c>
      <c r="C1557" s="31"/>
      <c r="D1557" s="32"/>
    </row>
    <row r="1558" spans="1:4" ht="24" customHeight="1" x14ac:dyDescent="0.25">
      <c r="A1558" t="str">
        <f>IF('e2'!A1558&gt;0,HYPERLINK("#"&amp;ADDRESS(1558,'e2'!A1558),""),IF('r2'!A1558&gt;0,HYPERLINK("#"&amp;ADDRESS(1558,'r2'!A1558),""),""))</f>
        <v/>
      </c>
      <c r="C1558" s="31"/>
      <c r="D1558" s="32"/>
    </row>
    <row r="1559" spans="1:4" ht="24" customHeight="1" x14ac:dyDescent="0.25">
      <c r="A1559" t="str">
        <f>IF('e2'!A1559&gt;0,HYPERLINK("#"&amp;ADDRESS(1559,'e2'!A1559),""),IF('r2'!A1559&gt;0,HYPERLINK("#"&amp;ADDRESS(1559,'r2'!A1559),""),""))</f>
        <v/>
      </c>
      <c r="C1559" s="31"/>
      <c r="D1559" s="32"/>
    </row>
    <row r="1560" spans="1:4" ht="24" customHeight="1" x14ac:dyDescent="0.25">
      <c r="A1560" t="str">
        <f>IF('e2'!A1560&gt;0,HYPERLINK("#"&amp;ADDRESS(1560,'e2'!A1560),""),IF('r2'!A1560&gt;0,HYPERLINK("#"&amp;ADDRESS(1560,'r2'!A1560),""),""))</f>
        <v/>
      </c>
      <c r="C1560" s="31"/>
      <c r="D1560" s="32"/>
    </row>
    <row r="1561" spans="1:4" ht="24" customHeight="1" x14ac:dyDescent="0.25">
      <c r="A1561" t="str">
        <f>IF('e2'!A1561&gt;0,HYPERLINK("#"&amp;ADDRESS(1561,'e2'!A1561),""),IF('r2'!A1561&gt;0,HYPERLINK("#"&amp;ADDRESS(1561,'r2'!A1561),""),""))</f>
        <v/>
      </c>
      <c r="C1561" s="31"/>
      <c r="D1561" s="32"/>
    </row>
    <row r="1562" spans="1:4" ht="24" customHeight="1" x14ac:dyDescent="0.25">
      <c r="A1562" t="str">
        <f>IF('e2'!A1562&gt;0,HYPERLINK("#"&amp;ADDRESS(1562,'e2'!A1562),""),IF('r2'!A1562&gt;0,HYPERLINK("#"&amp;ADDRESS(1562,'r2'!A1562),""),""))</f>
        <v/>
      </c>
      <c r="C1562" s="31"/>
      <c r="D1562" s="32"/>
    </row>
    <row r="1563" spans="1:4" ht="24" customHeight="1" x14ac:dyDescent="0.25">
      <c r="A1563" t="str">
        <f>IF('e2'!A1563&gt;0,HYPERLINK("#"&amp;ADDRESS(1563,'e2'!A1563),""),IF('r2'!A1563&gt;0,HYPERLINK("#"&amp;ADDRESS(1563,'r2'!A1563),""),""))</f>
        <v/>
      </c>
      <c r="C1563" s="31"/>
      <c r="D1563" s="32"/>
    </row>
    <row r="1564" spans="1:4" ht="24" customHeight="1" x14ac:dyDescent="0.25">
      <c r="A1564" t="str">
        <f>IF('e2'!A1564&gt;0,HYPERLINK("#"&amp;ADDRESS(1564,'e2'!A1564),""),IF('r2'!A1564&gt;0,HYPERLINK("#"&amp;ADDRESS(1564,'r2'!A1564),""),""))</f>
        <v/>
      </c>
      <c r="C1564" s="31"/>
      <c r="D1564" s="32"/>
    </row>
    <row r="1565" spans="1:4" ht="24" customHeight="1" x14ac:dyDescent="0.25">
      <c r="A1565" t="str">
        <f>IF('e2'!A1565&gt;0,HYPERLINK("#"&amp;ADDRESS(1565,'e2'!A1565),""),IF('r2'!A1565&gt;0,HYPERLINK("#"&amp;ADDRESS(1565,'r2'!A1565),""),""))</f>
        <v/>
      </c>
      <c r="C1565" s="31"/>
      <c r="D1565" s="32"/>
    </row>
    <row r="1566" spans="1:4" ht="24" customHeight="1" x14ac:dyDescent="0.25">
      <c r="A1566" t="str">
        <f>IF('e2'!A1566&gt;0,HYPERLINK("#"&amp;ADDRESS(1566,'e2'!A1566),""),IF('r2'!A1566&gt;0,HYPERLINK("#"&amp;ADDRESS(1566,'r2'!A1566),""),""))</f>
        <v/>
      </c>
      <c r="C1566" s="31"/>
      <c r="D1566" s="32"/>
    </row>
    <row r="1567" spans="1:4" ht="24" customHeight="1" x14ac:dyDescent="0.25">
      <c r="A1567" t="str">
        <f>IF('e2'!A1567&gt;0,HYPERLINK("#"&amp;ADDRESS(1567,'e2'!A1567),""),IF('r2'!A1567&gt;0,HYPERLINK("#"&amp;ADDRESS(1567,'r2'!A1567),""),""))</f>
        <v/>
      </c>
      <c r="C1567" s="31"/>
      <c r="D1567" s="32"/>
    </row>
    <row r="1568" spans="1:4" ht="24" customHeight="1" x14ac:dyDescent="0.25">
      <c r="A1568" t="str">
        <f>IF('e2'!A1568&gt;0,HYPERLINK("#"&amp;ADDRESS(1568,'e2'!A1568),""),IF('r2'!A1568&gt;0,HYPERLINK("#"&amp;ADDRESS(1568,'r2'!A1568),""),""))</f>
        <v/>
      </c>
      <c r="C1568" s="31"/>
      <c r="D1568" s="32"/>
    </row>
    <row r="1569" spans="1:4" ht="24" customHeight="1" x14ac:dyDescent="0.25">
      <c r="A1569" t="str">
        <f>IF('e2'!A1569&gt;0,HYPERLINK("#"&amp;ADDRESS(1569,'e2'!A1569),""),IF('r2'!A1569&gt;0,HYPERLINK("#"&amp;ADDRESS(1569,'r2'!A1569),""),""))</f>
        <v/>
      </c>
      <c r="C1569" s="31"/>
      <c r="D1569" s="32"/>
    </row>
    <row r="1570" spans="1:4" ht="24" customHeight="1" x14ac:dyDescent="0.25">
      <c r="A1570" t="str">
        <f>IF('e2'!A1570&gt;0,HYPERLINK("#"&amp;ADDRESS(1570,'e2'!A1570),""),IF('r2'!A1570&gt;0,HYPERLINK("#"&amp;ADDRESS(1570,'r2'!A1570),""),""))</f>
        <v/>
      </c>
      <c r="C1570" s="31"/>
      <c r="D1570" s="32"/>
    </row>
    <row r="1571" spans="1:4" ht="24" customHeight="1" x14ac:dyDescent="0.25">
      <c r="A1571" t="str">
        <f>IF('e2'!A1571&gt;0,HYPERLINK("#"&amp;ADDRESS(1571,'e2'!A1571),""),IF('r2'!A1571&gt;0,HYPERLINK("#"&amp;ADDRESS(1571,'r2'!A1571),""),""))</f>
        <v/>
      </c>
      <c r="C1571" s="31"/>
      <c r="D1571" s="32"/>
    </row>
    <row r="1572" spans="1:4" ht="24" customHeight="1" x14ac:dyDescent="0.25">
      <c r="A1572" t="str">
        <f>IF('e2'!A1572&gt;0,HYPERLINK("#"&amp;ADDRESS(1572,'e2'!A1572),""),IF('r2'!A1572&gt;0,HYPERLINK("#"&amp;ADDRESS(1572,'r2'!A1572),""),""))</f>
        <v/>
      </c>
      <c r="C1572" s="31"/>
      <c r="D1572" s="32"/>
    </row>
    <row r="1573" spans="1:4" ht="24" customHeight="1" x14ac:dyDescent="0.25">
      <c r="A1573" t="str">
        <f>IF('e2'!A1573&gt;0,HYPERLINK("#"&amp;ADDRESS(1573,'e2'!A1573),""),IF('r2'!A1573&gt;0,HYPERLINK("#"&amp;ADDRESS(1573,'r2'!A1573),""),""))</f>
        <v/>
      </c>
      <c r="C1573" s="31"/>
      <c r="D1573" s="32"/>
    </row>
    <row r="1574" spans="1:4" ht="24" customHeight="1" x14ac:dyDescent="0.25">
      <c r="A1574" t="str">
        <f>IF('e2'!A1574&gt;0,HYPERLINK("#"&amp;ADDRESS(1574,'e2'!A1574),""),IF('r2'!A1574&gt;0,HYPERLINK("#"&amp;ADDRESS(1574,'r2'!A1574),""),""))</f>
        <v/>
      </c>
      <c r="C1574" s="31"/>
      <c r="D1574" s="32"/>
    </row>
    <row r="1575" spans="1:4" ht="24" customHeight="1" x14ac:dyDescent="0.25">
      <c r="A1575" t="str">
        <f>IF('e2'!A1575&gt;0,HYPERLINK("#"&amp;ADDRESS(1575,'e2'!A1575),""),IF('r2'!A1575&gt;0,HYPERLINK("#"&amp;ADDRESS(1575,'r2'!A1575),""),""))</f>
        <v/>
      </c>
      <c r="C1575" s="31"/>
      <c r="D1575" s="32"/>
    </row>
    <row r="1576" spans="1:4" ht="24" customHeight="1" x14ac:dyDescent="0.25">
      <c r="A1576" t="str">
        <f>IF('e2'!A1576&gt;0,HYPERLINK("#"&amp;ADDRESS(1576,'e2'!A1576),""),IF('r2'!A1576&gt;0,HYPERLINK("#"&amp;ADDRESS(1576,'r2'!A1576),""),""))</f>
        <v/>
      </c>
      <c r="C1576" s="31"/>
      <c r="D1576" s="32"/>
    </row>
    <row r="1577" spans="1:4" ht="24" customHeight="1" x14ac:dyDescent="0.25">
      <c r="A1577" t="str">
        <f>IF('e2'!A1577&gt;0,HYPERLINK("#"&amp;ADDRESS(1577,'e2'!A1577),""),IF('r2'!A1577&gt;0,HYPERLINK("#"&amp;ADDRESS(1577,'r2'!A1577),""),""))</f>
        <v/>
      </c>
      <c r="C1577" s="31"/>
      <c r="D1577" s="32"/>
    </row>
    <row r="1578" spans="1:4" ht="24" customHeight="1" x14ac:dyDescent="0.25">
      <c r="A1578" t="str">
        <f>IF('e2'!A1578&gt;0,HYPERLINK("#"&amp;ADDRESS(1578,'e2'!A1578),""),IF('r2'!A1578&gt;0,HYPERLINK("#"&amp;ADDRESS(1578,'r2'!A1578),""),""))</f>
        <v/>
      </c>
      <c r="C1578" s="31"/>
      <c r="D1578" s="32"/>
    </row>
    <row r="1579" spans="1:4" ht="24" customHeight="1" x14ac:dyDescent="0.25">
      <c r="A1579" t="str">
        <f>IF('e2'!A1579&gt;0,HYPERLINK("#"&amp;ADDRESS(1579,'e2'!A1579),""),IF('r2'!A1579&gt;0,HYPERLINK("#"&amp;ADDRESS(1579,'r2'!A1579),""),""))</f>
        <v/>
      </c>
      <c r="C1579" s="31"/>
      <c r="D1579" s="32"/>
    </row>
    <row r="1580" spans="1:4" ht="24" customHeight="1" x14ac:dyDescent="0.25">
      <c r="A1580" t="str">
        <f>IF('e2'!A1580&gt;0,HYPERLINK("#"&amp;ADDRESS(1580,'e2'!A1580),""),IF('r2'!A1580&gt;0,HYPERLINK("#"&amp;ADDRESS(1580,'r2'!A1580),""),""))</f>
        <v/>
      </c>
      <c r="C1580" s="31"/>
      <c r="D1580" s="32"/>
    </row>
    <row r="1581" spans="1:4" ht="24" customHeight="1" x14ac:dyDescent="0.25">
      <c r="A1581" t="str">
        <f>IF('e2'!A1581&gt;0,HYPERLINK("#"&amp;ADDRESS(1581,'e2'!A1581),""),IF('r2'!A1581&gt;0,HYPERLINK("#"&amp;ADDRESS(1581,'r2'!A1581),""),""))</f>
        <v/>
      </c>
      <c r="C1581" s="31"/>
      <c r="D1581" s="32"/>
    </row>
    <row r="1582" spans="1:4" ht="24" customHeight="1" x14ac:dyDescent="0.25">
      <c r="A1582" t="str">
        <f>IF('e2'!A1582&gt;0,HYPERLINK("#"&amp;ADDRESS(1582,'e2'!A1582),""),IF('r2'!A1582&gt;0,HYPERLINK("#"&amp;ADDRESS(1582,'r2'!A1582),""),""))</f>
        <v/>
      </c>
      <c r="C1582" s="31"/>
      <c r="D1582" s="32"/>
    </row>
    <row r="1583" spans="1:4" ht="24" customHeight="1" x14ac:dyDescent="0.25">
      <c r="A1583" t="str">
        <f>IF('e2'!A1583&gt;0,HYPERLINK("#"&amp;ADDRESS(1583,'e2'!A1583),""),IF('r2'!A1583&gt;0,HYPERLINK("#"&amp;ADDRESS(1583,'r2'!A1583),""),""))</f>
        <v/>
      </c>
      <c r="C1583" s="31"/>
      <c r="D1583" s="32"/>
    </row>
    <row r="1584" spans="1:4" ht="24" customHeight="1" x14ac:dyDescent="0.25">
      <c r="A1584" t="str">
        <f>IF('e2'!A1584&gt;0,HYPERLINK("#"&amp;ADDRESS(1584,'e2'!A1584),""),IF('r2'!A1584&gt;0,HYPERLINK("#"&amp;ADDRESS(1584,'r2'!A1584),""),""))</f>
        <v/>
      </c>
      <c r="C1584" s="31"/>
      <c r="D1584" s="32"/>
    </row>
    <row r="1585" spans="1:4" ht="24" customHeight="1" x14ac:dyDescent="0.25">
      <c r="A1585" t="str">
        <f>IF('e2'!A1585&gt;0,HYPERLINK("#"&amp;ADDRESS(1585,'e2'!A1585),""),IF('r2'!A1585&gt;0,HYPERLINK("#"&amp;ADDRESS(1585,'r2'!A1585),""),""))</f>
        <v/>
      </c>
      <c r="C1585" s="31"/>
      <c r="D1585" s="32"/>
    </row>
    <row r="1586" spans="1:4" ht="24" customHeight="1" x14ac:dyDescent="0.25">
      <c r="A1586" t="str">
        <f>IF('e2'!A1586&gt;0,HYPERLINK("#"&amp;ADDRESS(1586,'e2'!A1586),""),IF('r2'!A1586&gt;0,HYPERLINK("#"&amp;ADDRESS(1586,'r2'!A1586),""),""))</f>
        <v/>
      </c>
      <c r="C1586" s="31"/>
      <c r="D1586" s="32"/>
    </row>
    <row r="1587" spans="1:4" ht="24" customHeight="1" x14ac:dyDescent="0.25">
      <c r="A1587" t="str">
        <f>IF('e2'!A1587&gt;0,HYPERLINK("#"&amp;ADDRESS(1587,'e2'!A1587),""),IF('r2'!A1587&gt;0,HYPERLINK("#"&amp;ADDRESS(1587,'r2'!A1587),""),""))</f>
        <v/>
      </c>
      <c r="C1587" s="31"/>
      <c r="D1587" s="32"/>
    </row>
    <row r="1588" spans="1:4" ht="24" customHeight="1" x14ac:dyDescent="0.25">
      <c r="A1588" t="str">
        <f>IF('e2'!A1588&gt;0,HYPERLINK("#"&amp;ADDRESS(1588,'e2'!A1588),""),IF('r2'!A1588&gt;0,HYPERLINK("#"&amp;ADDRESS(1588,'r2'!A1588),""),""))</f>
        <v/>
      </c>
      <c r="C1588" s="31"/>
      <c r="D1588" s="32"/>
    </row>
    <row r="1589" spans="1:4" ht="24" customHeight="1" x14ac:dyDescent="0.25">
      <c r="A1589" t="str">
        <f>IF('e2'!A1589&gt;0,HYPERLINK("#"&amp;ADDRESS(1589,'e2'!A1589),""),IF('r2'!A1589&gt;0,HYPERLINK("#"&amp;ADDRESS(1589,'r2'!A1589),""),""))</f>
        <v/>
      </c>
      <c r="C1589" s="31"/>
      <c r="D1589" s="32"/>
    </row>
    <row r="1590" spans="1:4" ht="24" customHeight="1" x14ac:dyDescent="0.25">
      <c r="A1590" t="str">
        <f>IF('e2'!A1590&gt;0,HYPERLINK("#"&amp;ADDRESS(1590,'e2'!A1590),""),IF('r2'!A1590&gt;0,HYPERLINK("#"&amp;ADDRESS(1590,'r2'!A1590),""),""))</f>
        <v/>
      </c>
      <c r="C1590" s="31"/>
      <c r="D1590" s="32"/>
    </row>
    <row r="1591" spans="1:4" ht="24" customHeight="1" x14ac:dyDescent="0.25">
      <c r="A1591" t="str">
        <f>IF('e2'!A1591&gt;0,HYPERLINK("#"&amp;ADDRESS(1591,'e2'!A1591),""),IF('r2'!A1591&gt;0,HYPERLINK("#"&amp;ADDRESS(1591,'r2'!A1591),""),""))</f>
        <v/>
      </c>
      <c r="C1591" s="31"/>
      <c r="D1591" s="32"/>
    </row>
    <row r="1592" spans="1:4" ht="24" customHeight="1" x14ac:dyDescent="0.25">
      <c r="A1592" t="str">
        <f>IF('e2'!A1592&gt;0,HYPERLINK("#"&amp;ADDRESS(1592,'e2'!A1592),""),IF('r2'!A1592&gt;0,HYPERLINK("#"&amp;ADDRESS(1592,'r2'!A1592),""),""))</f>
        <v/>
      </c>
      <c r="C1592" s="31"/>
      <c r="D1592" s="32"/>
    </row>
    <row r="1593" spans="1:4" ht="24" customHeight="1" x14ac:dyDescent="0.25">
      <c r="A1593" t="str">
        <f>IF('e2'!A1593&gt;0,HYPERLINK("#"&amp;ADDRESS(1593,'e2'!A1593),""),IF('r2'!A1593&gt;0,HYPERLINK("#"&amp;ADDRESS(1593,'r2'!A1593),""),""))</f>
        <v/>
      </c>
      <c r="C1593" s="31"/>
      <c r="D1593" s="32"/>
    </row>
    <row r="1594" spans="1:4" ht="24" customHeight="1" x14ac:dyDescent="0.25">
      <c r="A1594" t="str">
        <f>IF('e2'!A1594&gt;0,HYPERLINK("#"&amp;ADDRESS(1594,'e2'!A1594),""),IF('r2'!A1594&gt;0,HYPERLINK("#"&amp;ADDRESS(1594,'r2'!A1594),""),""))</f>
        <v/>
      </c>
      <c r="C1594" s="31"/>
      <c r="D1594" s="32"/>
    </row>
    <row r="1595" spans="1:4" ht="24" customHeight="1" x14ac:dyDescent="0.25">
      <c r="A1595" t="str">
        <f>IF('e2'!A1595&gt;0,HYPERLINK("#"&amp;ADDRESS(1595,'e2'!A1595),""),IF('r2'!A1595&gt;0,HYPERLINK("#"&amp;ADDRESS(1595,'r2'!A1595),""),""))</f>
        <v/>
      </c>
      <c r="C1595" s="31"/>
      <c r="D1595" s="32"/>
    </row>
    <row r="1596" spans="1:4" ht="24" customHeight="1" x14ac:dyDescent="0.25">
      <c r="A1596" t="str">
        <f>IF('e2'!A1596&gt;0,HYPERLINK("#"&amp;ADDRESS(1596,'e2'!A1596),""),IF('r2'!A1596&gt;0,HYPERLINK("#"&amp;ADDRESS(1596,'r2'!A1596),""),""))</f>
        <v/>
      </c>
      <c r="C1596" s="31"/>
      <c r="D1596" s="32"/>
    </row>
    <row r="1597" spans="1:4" ht="24" customHeight="1" x14ac:dyDescent="0.25">
      <c r="A1597" t="str">
        <f>IF('e2'!A1597&gt;0,HYPERLINK("#"&amp;ADDRESS(1597,'e2'!A1597),""),IF('r2'!A1597&gt;0,HYPERLINK("#"&amp;ADDRESS(1597,'r2'!A1597),""),""))</f>
        <v/>
      </c>
      <c r="C1597" s="31"/>
      <c r="D1597" s="32"/>
    </row>
    <row r="1598" spans="1:4" ht="24" customHeight="1" x14ac:dyDescent="0.25">
      <c r="A1598" t="str">
        <f>IF('e2'!A1598&gt;0,HYPERLINK("#"&amp;ADDRESS(1598,'e2'!A1598),""),IF('r2'!A1598&gt;0,HYPERLINK("#"&amp;ADDRESS(1598,'r2'!A1598),""),""))</f>
        <v/>
      </c>
      <c r="C1598" s="31"/>
      <c r="D1598" s="32"/>
    </row>
    <row r="1599" spans="1:4" ht="24" customHeight="1" x14ac:dyDescent="0.25">
      <c r="A1599" t="str">
        <f>IF('e2'!A1599&gt;0,HYPERLINK("#"&amp;ADDRESS(1599,'e2'!A1599),""),IF('r2'!A1599&gt;0,HYPERLINK("#"&amp;ADDRESS(1599,'r2'!A1599),""),""))</f>
        <v/>
      </c>
      <c r="C1599" s="31"/>
      <c r="D1599" s="32"/>
    </row>
    <row r="1600" spans="1:4" ht="24" customHeight="1" x14ac:dyDescent="0.25">
      <c r="A1600" t="str">
        <f>IF('e2'!A1600&gt;0,HYPERLINK("#"&amp;ADDRESS(1600,'e2'!A1600),""),IF('r2'!A1600&gt;0,HYPERLINK("#"&amp;ADDRESS(1600,'r2'!A1600),""),""))</f>
        <v/>
      </c>
      <c r="C1600" s="31"/>
      <c r="D1600" s="32"/>
    </row>
    <row r="1601" spans="1:4" ht="24" customHeight="1" x14ac:dyDescent="0.25">
      <c r="A1601" t="str">
        <f>IF('e2'!A1601&gt;0,HYPERLINK("#"&amp;ADDRESS(1601,'e2'!A1601),""),IF('r2'!A1601&gt;0,HYPERLINK("#"&amp;ADDRESS(1601,'r2'!A1601),""),""))</f>
        <v/>
      </c>
      <c r="C1601" s="31"/>
      <c r="D1601" s="32"/>
    </row>
    <row r="1602" spans="1:4" ht="24" customHeight="1" x14ac:dyDescent="0.25">
      <c r="A1602" t="str">
        <f>IF('e2'!A1602&gt;0,HYPERLINK("#"&amp;ADDRESS(1602,'e2'!A1602),""),IF('r2'!A1602&gt;0,HYPERLINK("#"&amp;ADDRESS(1602,'r2'!A1602),""),""))</f>
        <v/>
      </c>
      <c r="C1602" s="31"/>
      <c r="D1602" s="32"/>
    </row>
    <row r="1603" spans="1:4" ht="24" customHeight="1" x14ac:dyDescent="0.25">
      <c r="A1603" t="str">
        <f>IF('e2'!A1603&gt;0,HYPERLINK("#"&amp;ADDRESS(1603,'e2'!A1603),""),IF('r2'!A1603&gt;0,HYPERLINK("#"&amp;ADDRESS(1603,'r2'!A1603),""),""))</f>
        <v/>
      </c>
      <c r="C1603" s="31"/>
      <c r="D1603" s="32"/>
    </row>
    <row r="1604" spans="1:4" ht="24" customHeight="1" x14ac:dyDescent="0.25">
      <c r="A1604" t="str">
        <f>IF('e2'!A1604&gt;0,HYPERLINK("#"&amp;ADDRESS(1604,'e2'!A1604),""),IF('r2'!A1604&gt;0,HYPERLINK("#"&amp;ADDRESS(1604,'r2'!A1604),""),""))</f>
        <v/>
      </c>
      <c r="C1604" s="31"/>
      <c r="D1604" s="32"/>
    </row>
    <row r="1605" spans="1:4" ht="24" customHeight="1" x14ac:dyDescent="0.25">
      <c r="A1605" t="str">
        <f>IF('e2'!A1605&gt;0,HYPERLINK("#"&amp;ADDRESS(1605,'e2'!A1605),""),IF('r2'!A1605&gt;0,HYPERLINK("#"&amp;ADDRESS(1605,'r2'!A1605),""),""))</f>
        <v/>
      </c>
      <c r="C1605" s="31"/>
      <c r="D1605" s="32"/>
    </row>
    <row r="1606" spans="1:4" ht="24" customHeight="1" x14ac:dyDescent="0.25">
      <c r="A1606" t="str">
        <f>IF('e2'!A1606&gt;0,HYPERLINK("#"&amp;ADDRESS(1606,'e2'!A1606),""),IF('r2'!A1606&gt;0,HYPERLINK("#"&amp;ADDRESS(1606,'r2'!A1606),""),""))</f>
        <v/>
      </c>
      <c r="C1606" s="31"/>
      <c r="D1606" s="32"/>
    </row>
    <row r="1607" spans="1:4" ht="24" customHeight="1" x14ac:dyDescent="0.25">
      <c r="A1607" t="str">
        <f>IF('e2'!A1607&gt;0,HYPERLINK("#"&amp;ADDRESS(1607,'e2'!A1607),""),IF('r2'!A1607&gt;0,HYPERLINK("#"&amp;ADDRESS(1607,'r2'!A1607),""),""))</f>
        <v/>
      </c>
      <c r="C1607" s="31"/>
      <c r="D1607" s="32"/>
    </row>
    <row r="1608" spans="1:4" ht="24" customHeight="1" x14ac:dyDescent="0.25">
      <c r="A1608" t="str">
        <f>IF('e2'!A1608&gt;0,HYPERLINK("#"&amp;ADDRESS(1608,'e2'!A1608),""),IF('r2'!A1608&gt;0,HYPERLINK("#"&amp;ADDRESS(1608,'r2'!A1608),""),""))</f>
        <v/>
      </c>
      <c r="C1608" s="31"/>
      <c r="D1608" s="32"/>
    </row>
    <row r="1609" spans="1:4" ht="24" customHeight="1" x14ac:dyDescent="0.25">
      <c r="A1609" t="str">
        <f>IF('e2'!A1609&gt;0,HYPERLINK("#"&amp;ADDRESS(1609,'e2'!A1609),""),IF('r2'!A1609&gt;0,HYPERLINK("#"&amp;ADDRESS(1609,'r2'!A1609),""),""))</f>
        <v/>
      </c>
      <c r="C1609" s="31"/>
      <c r="D1609" s="32"/>
    </row>
    <row r="1610" spans="1:4" ht="24" customHeight="1" x14ac:dyDescent="0.25">
      <c r="A1610" t="str">
        <f>IF('e2'!A1610&gt;0,HYPERLINK("#"&amp;ADDRESS(1610,'e2'!A1610),""),IF('r2'!A1610&gt;0,HYPERLINK("#"&amp;ADDRESS(1610,'r2'!A1610),""),""))</f>
        <v/>
      </c>
      <c r="C1610" s="31"/>
      <c r="D1610" s="32"/>
    </row>
    <row r="1611" spans="1:4" ht="24" customHeight="1" x14ac:dyDescent="0.25">
      <c r="A1611" t="str">
        <f>IF('e2'!A1611&gt;0,HYPERLINK("#"&amp;ADDRESS(1611,'e2'!A1611),""),IF('r2'!A1611&gt;0,HYPERLINK("#"&amp;ADDRESS(1611,'r2'!A1611),""),""))</f>
        <v/>
      </c>
      <c r="C1611" s="31"/>
      <c r="D1611" s="32"/>
    </row>
    <row r="1612" spans="1:4" ht="24" customHeight="1" x14ac:dyDescent="0.25">
      <c r="A1612" t="str">
        <f>IF('e2'!A1612&gt;0,HYPERLINK("#"&amp;ADDRESS(1612,'e2'!A1612),""),IF('r2'!A1612&gt;0,HYPERLINK("#"&amp;ADDRESS(1612,'r2'!A1612),""),""))</f>
        <v/>
      </c>
      <c r="C1612" s="31"/>
      <c r="D1612" s="32"/>
    </row>
    <row r="1613" spans="1:4" ht="24" customHeight="1" x14ac:dyDescent="0.25">
      <c r="A1613" t="str">
        <f>IF('e2'!A1613&gt;0,HYPERLINK("#"&amp;ADDRESS(1613,'e2'!A1613),""),IF('r2'!A1613&gt;0,HYPERLINK("#"&amp;ADDRESS(1613,'r2'!A1613),""),""))</f>
        <v/>
      </c>
      <c r="C1613" s="31"/>
      <c r="D1613" s="32"/>
    </row>
    <row r="1614" spans="1:4" ht="24" customHeight="1" x14ac:dyDescent="0.25">
      <c r="A1614" t="str">
        <f>IF('e2'!A1614&gt;0,HYPERLINK("#"&amp;ADDRESS(1614,'e2'!A1614),""),IF('r2'!A1614&gt;0,HYPERLINK("#"&amp;ADDRESS(1614,'r2'!A1614),""),""))</f>
        <v/>
      </c>
      <c r="C1614" s="31"/>
      <c r="D1614" s="32"/>
    </row>
    <row r="1615" spans="1:4" ht="24" customHeight="1" x14ac:dyDescent="0.25">
      <c r="A1615" t="str">
        <f>IF('e2'!A1615&gt;0,HYPERLINK("#"&amp;ADDRESS(1615,'e2'!A1615),""),IF('r2'!A1615&gt;0,HYPERLINK("#"&amp;ADDRESS(1615,'r2'!A1615),""),""))</f>
        <v/>
      </c>
      <c r="C1615" s="31"/>
      <c r="D1615" s="32"/>
    </row>
    <row r="1616" spans="1:4" ht="24" customHeight="1" x14ac:dyDescent="0.25">
      <c r="A1616" t="str">
        <f>IF('e2'!A1616&gt;0,HYPERLINK("#"&amp;ADDRESS(1616,'e2'!A1616),""),IF('r2'!A1616&gt;0,HYPERLINK("#"&amp;ADDRESS(1616,'r2'!A1616),""),""))</f>
        <v/>
      </c>
      <c r="C1616" s="31"/>
      <c r="D1616" s="32"/>
    </row>
    <row r="1617" spans="1:4" ht="24" customHeight="1" x14ac:dyDescent="0.25">
      <c r="A1617" t="str">
        <f>IF('e2'!A1617&gt;0,HYPERLINK("#"&amp;ADDRESS(1617,'e2'!A1617),""),IF('r2'!A1617&gt;0,HYPERLINK("#"&amp;ADDRESS(1617,'r2'!A1617),""),""))</f>
        <v/>
      </c>
      <c r="C1617" s="31"/>
      <c r="D1617" s="32"/>
    </row>
    <row r="1618" spans="1:4" ht="24" customHeight="1" x14ac:dyDescent="0.25">
      <c r="A1618" t="str">
        <f>IF('e2'!A1618&gt;0,HYPERLINK("#"&amp;ADDRESS(1618,'e2'!A1618),""),IF('r2'!A1618&gt;0,HYPERLINK("#"&amp;ADDRESS(1618,'r2'!A1618),""),""))</f>
        <v/>
      </c>
      <c r="C1618" s="31"/>
      <c r="D1618" s="32"/>
    </row>
    <row r="1619" spans="1:4" ht="24" customHeight="1" x14ac:dyDescent="0.25">
      <c r="A1619" t="str">
        <f>IF('e2'!A1619&gt;0,HYPERLINK("#"&amp;ADDRESS(1619,'e2'!A1619),""),IF('r2'!A1619&gt;0,HYPERLINK("#"&amp;ADDRESS(1619,'r2'!A1619),""),""))</f>
        <v/>
      </c>
      <c r="C1619" s="31"/>
      <c r="D1619" s="32"/>
    </row>
    <row r="1620" spans="1:4" ht="24" customHeight="1" x14ac:dyDescent="0.25">
      <c r="A1620" t="str">
        <f>IF('e2'!A1620&gt;0,HYPERLINK("#"&amp;ADDRESS(1620,'e2'!A1620),""),IF('r2'!A1620&gt;0,HYPERLINK("#"&amp;ADDRESS(1620,'r2'!A1620),""),""))</f>
        <v/>
      </c>
      <c r="C1620" s="31"/>
      <c r="D1620" s="32"/>
    </row>
    <row r="1621" spans="1:4" ht="24" customHeight="1" x14ac:dyDescent="0.25">
      <c r="A1621" t="str">
        <f>IF('e2'!A1621&gt;0,HYPERLINK("#"&amp;ADDRESS(1621,'e2'!A1621),""),IF('r2'!A1621&gt;0,HYPERLINK("#"&amp;ADDRESS(1621,'r2'!A1621),""),""))</f>
        <v/>
      </c>
      <c r="C1621" s="31"/>
      <c r="D1621" s="32"/>
    </row>
    <row r="1622" spans="1:4" ht="24" customHeight="1" x14ac:dyDescent="0.25">
      <c r="A1622" t="str">
        <f>IF('e2'!A1622&gt;0,HYPERLINK("#"&amp;ADDRESS(1622,'e2'!A1622),""),IF('r2'!A1622&gt;0,HYPERLINK("#"&amp;ADDRESS(1622,'r2'!A1622),""),""))</f>
        <v/>
      </c>
      <c r="C1622" s="31"/>
      <c r="D1622" s="32"/>
    </row>
    <row r="1623" spans="1:4" ht="24" customHeight="1" x14ac:dyDescent="0.25">
      <c r="A1623" t="str">
        <f>IF('e2'!A1623&gt;0,HYPERLINK("#"&amp;ADDRESS(1623,'e2'!A1623),""),IF('r2'!A1623&gt;0,HYPERLINK("#"&amp;ADDRESS(1623,'r2'!A1623),""),""))</f>
        <v/>
      </c>
      <c r="C1623" s="31"/>
      <c r="D1623" s="32"/>
    </row>
    <row r="1624" spans="1:4" ht="24" customHeight="1" x14ac:dyDescent="0.25">
      <c r="A1624" t="str">
        <f>IF('e2'!A1624&gt;0,HYPERLINK("#"&amp;ADDRESS(1624,'e2'!A1624),""),IF('r2'!A1624&gt;0,HYPERLINK("#"&amp;ADDRESS(1624,'r2'!A1624),""),""))</f>
        <v/>
      </c>
      <c r="C1624" s="31"/>
      <c r="D1624" s="32"/>
    </row>
    <row r="1625" spans="1:4" ht="24" customHeight="1" x14ac:dyDescent="0.25">
      <c r="A1625" t="str">
        <f>IF('e2'!A1625&gt;0,HYPERLINK("#"&amp;ADDRESS(1625,'e2'!A1625),""),IF('r2'!A1625&gt;0,HYPERLINK("#"&amp;ADDRESS(1625,'r2'!A1625),""),""))</f>
        <v/>
      </c>
      <c r="C1625" s="31"/>
      <c r="D1625" s="32"/>
    </row>
    <row r="1626" spans="1:4" ht="24" customHeight="1" x14ac:dyDescent="0.25">
      <c r="A1626" t="str">
        <f>IF('e2'!A1626&gt;0,HYPERLINK("#"&amp;ADDRESS(1626,'e2'!A1626),""),IF('r2'!A1626&gt;0,HYPERLINK("#"&amp;ADDRESS(1626,'r2'!A1626),""),""))</f>
        <v/>
      </c>
      <c r="C1626" s="31"/>
      <c r="D1626" s="32"/>
    </row>
    <row r="1627" spans="1:4" ht="24" customHeight="1" x14ac:dyDescent="0.25">
      <c r="A1627" t="str">
        <f>IF('e2'!A1627&gt;0,HYPERLINK("#"&amp;ADDRESS(1627,'e2'!A1627),""),IF('r2'!A1627&gt;0,HYPERLINK("#"&amp;ADDRESS(1627,'r2'!A1627),""),""))</f>
        <v/>
      </c>
      <c r="C1627" s="31"/>
      <c r="D1627" s="32"/>
    </row>
    <row r="1628" spans="1:4" ht="24" customHeight="1" x14ac:dyDescent="0.25">
      <c r="A1628" t="str">
        <f>IF('e2'!A1628&gt;0,HYPERLINK("#"&amp;ADDRESS(1628,'e2'!A1628),""),IF('r2'!A1628&gt;0,HYPERLINK("#"&amp;ADDRESS(1628,'r2'!A1628),""),""))</f>
        <v/>
      </c>
      <c r="C1628" s="31"/>
      <c r="D1628" s="32"/>
    </row>
    <row r="1629" spans="1:4" ht="24" customHeight="1" x14ac:dyDescent="0.25">
      <c r="A1629" t="str">
        <f>IF('e2'!A1629&gt;0,HYPERLINK("#"&amp;ADDRESS(1629,'e2'!A1629),""),IF('r2'!A1629&gt;0,HYPERLINK("#"&amp;ADDRESS(1629,'r2'!A1629),""),""))</f>
        <v/>
      </c>
      <c r="C1629" s="31"/>
      <c r="D1629" s="32"/>
    </row>
    <row r="1630" spans="1:4" ht="24" customHeight="1" x14ac:dyDescent="0.25">
      <c r="A1630" t="str">
        <f>IF('e2'!A1630&gt;0,HYPERLINK("#"&amp;ADDRESS(1630,'e2'!A1630),""),IF('r2'!A1630&gt;0,HYPERLINK("#"&amp;ADDRESS(1630,'r2'!A1630),""),""))</f>
        <v/>
      </c>
      <c r="C1630" s="31"/>
      <c r="D1630" s="32"/>
    </row>
    <row r="1631" spans="1:4" ht="24" customHeight="1" x14ac:dyDescent="0.25">
      <c r="A1631" t="str">
        <f>IF('e2'!A1631&gt;0,HYPERLINK("#"&amp;ADDRESS(1631,'e2'!A1631),""),IF('r2'!A1631&gt;0,HYPERLINK("#"&amp;ADDRESS(1631,'r2'!A1631),""),""))</f>
        <v/>
      </c>
      <c r="C1631" s="31"/>
      <c r="D1631" s="32"/>
    </row>
    <row r="1632" spans="1:4" ht="24" customHeight="1" x14ac:dyDescent="0.25">
      <c r="A1632" t="str">
        <f>IF('e2'!A1632&gt;0,HYPERLINK("#"&amp;ADDRESS(1632,'e2'!A1632),""),IF('r2'!A1632&gt;0,HYPERLINK("#"&amp;ADDRESS(1632,'r2'!A1632),""),""))</f>
        <v/>
      </c>
      <c r="C1632" s="31"/>
      <c r="D1632" s="32"/>
    </row>
    <row r="1633" spans="1:4" ht="24" customHeight="1" x14ac:dyDescent="0.25">
      <c r="A1633" t="str">
        <f>IF('e2'!A1633&gt;0,HYPERLINK("#"&amp;ADDRESS(1633,'e2'!A1633),""),IF('r2'!A1633&gt;0,HYPERLINK("#"&amp;ADDRESS(1633,'r2'!A1633),""),""))</f>
        <v/>
      </c>
      <c r="C1633" s="31"/>
      <c r="D1633" s="32"/>
    </row>
    <row r="1634" spans="1:4" ht="24" customHeight="1" x14ac:dyDescent="0.25">
      <c r="A1634" t="str">
        <f>IF('e2'!A1634&gt;0,HYPERLINK("#"&amp;ADDRESS(1634,'e2'!A1634),""),IF('r2'!A1634&gt;0,HYPERLINK("#"&amp;ADDRESS(1634,'r2'!A1634),""),""))</f>
        <v/>
      </c>
      <c r="C1634" s="31"/>
      <c r="D1634" s="32"/>
    </row>
    <row r="1635" spans="1:4" ht="24" customHeight="1" x14ac:dyDescent="0.25">
      <c r="A1635" t="str">
        <f>IF('e2'!A1635&gt;0,HYPERLINK("#"&amp;ADDRESS(1635,'e2'!A1635),""),IF('r2'!A1635&gt;0,HYPERLINK("#"&amp;ADDRESS(1635,'r2'!A1635),""),""))</f>
        <v/>
      </c>
      <c r="C1635" s="31"/>
      <c r="D1635" s="32"/>
    </row>
    <row r="1636" spans="1:4" ht="24" customHeight="1" x14ac:dyDescent="0.25">
      <c r="A1636" t="str">
        <f>IF('e2'!A1636&gt;0,HYPERLINK("#"&amp;ADDRESS(1636,'e2'!A1636),""),IF('r2'!A1636&gt;0,HYPERLINK("#"&amp;ADDRESS(1636,'r2'!A1636),""),""))</f>
        <v/>
      </c>
      <c r="C1636" s="31"/>
      <c r="D1636" s="32"/>
    </row>
    <row r="1637" spans="1:4" ht="24" customHeight="1" x14ac:dyDescent="0.25">
      <c r="A1637" t="str">
        <f>IF('e2'!A1637&gt;0,HYPERLINK("#"&amp;ADDRESS(1637,'e2'!A1637),""),IF('r2'!A1637&gt;0,HYPERLINK("#"&amp;ADDRESS(1637,'r2'!A1637),""),""))</f>
        <v/>
      </c>
      <c r="C1637" s="31"/>
      <c r="D1637" s="32"/>
    </row>
    <row r="1638" spans="1:4" ht="24" customHeight="1" x14ac:dyDescent="0.25">
      <c r="A1638" t="str">
        <f>IF('e2'!A1638&gt;0,HYPERLINK("#"&amp;ADDRESS(1638,'e2'!A1638),""),IF('r2'!A1638&gt;0,HYPERLINK("#"&amp;ADDRESS(1638,'r2'!A1638),""),""))</f>
        <v/>
      </c>
      <c r="C1638" s="31"/>
      <c r="D1638" s="32"/>
    </row>
    <row r="1639" spans="1:4" ht="24" customHeight="1" x14ac:dyDescent="0.25">
      <c r="A1639" t="str">
        <f>IF('e2'!A1639&gt;0,HYPERLINK("#"&amp;ADDRESS(1639,'e2'!A1639),""),IF('r2'!A1639&gt;0,HYPERLINK("#"&amp;ADDRESS(1639,'r2'!A1639),""),""))</f>
        <v/>
      </c>
      <c r="C1639" s="31"/>
      <c r="D1639" s="32"/>
    </row>
    <row r="1640" spans="1:4" ht="24" customHeight="1" x14ac:dyDescent="0.25">
      <c r="A1640" t="str">
        <f>IF('e2'!A1640&gt;0,HYPERLINK("#"&amp;ADDRESS(1640,'e2'!A1640),""),IF('r2'!A1640&gt;0,HYPERLINK("#"&amp;ADDRESS(1640,'r2'!A1640),""),""))</f>
        <v/>
      </c>
      <c r="C1640" s="31"/>
      <c r="D1640" s="32"/>
    </row>
    <row r="1641" spans="1:4" ht="24" customHeight="1" x14ac:dyDescent="0.25">
      <c r="A1641" t="str">
        <f>IF('e2'!A1641&gt;0,HYPERLINK("#"&amp;ADDRESS(1641,'e2'!A1641),""),IF('r2'!A1641&gt;0,HYPERLINK("#"&amp;ADDRESS(1641,'r2'!A1641),""),""))</f>
        <v/>
      </c>
      <c r="C1641" s="31"/>
      <c r="D1641" s="32"/>
    </row>
    <row r="1642" spans="1:4" ht="24" customHeight="1" x14ac:dyDescent="0.25">
      <c r="A1642" t="str">
        <f>IF('e2'!A1642&gt;0,HYPERLINK("#"&amp;ADDRESS(1642,'e2'!A1642),""),IF('r2'!A1642&gt;0,HYPERLINK("#"&amp;ADDRESS(1642,'r2'!A1642),""),""))</f>
        <v/>
      </c>
      <c r="C1642" s="31"/>
      <c r="D1642" s="32"/>
    </row>
    <row r="1643" spans="1:4" ht="24" customHeight="1" x14ac:dyDescent="0.25">
      <c r="A1643" t="str">
        <f>IF('e2'!A1643&gt;0,HYPERLINK("#"&amp;ADDRESS(1643,'e2'!A1643),""),IF('r2'!A1643&gt;0,HYPERLINK("#"&amp;ADDRESS(1643,'r2'!A1643),""),""))</f>
        <v/>
      </c>
      <c r="C1643" s="31"/>
      <c r="D1643" s="32"/>
    </row>
    <row r="1644" spans="1:4" ht="24" customHeight="1" x14ac:dyDescent="0.25">
      <c r="A1644" t="str">
        <f>IF('e2'!A1644&gt;0,HYPERLINK("#"&amp;ADDRESS(1644,'e2'!A1644),""),IF('r2'!A1644&gt;0,HYPERLINK("#"&amp;ADDRESS(1644,'r2'!A1644),""),""))</f>
        <v/>
      </c>
      <c r="C1644" s="31"/>
      <c r="D1644" s="32"/>
    </row>
    <row r="1645" spans="1:4" ht="24" customHeight="1" x14ac:dyDescent="0.25">
      <c r="A1645" t="str">
        <f>IF('e2'!A1645&gt;0,HYPERLINK("#"&amp;ADDRESS(1645,'e2'!A1645),""),IF('r2'!A1645&gt;0,HYPERLINK("#"&amp;ADDRESS(1645,'r2'!A1645),""),""))</f>
        <v/>
      </c>
      <c r="C1645" s="31"/>
      <c r="D1645" s="32"/>
    </row>
    <row r="1646" spans="1:4" ht="24" customHeight="1" x14ac:dyDescent="0.25">
      <c r="A1646" t="str">
        <f>IF('e2'!A1646&gt;0,HYPERLINK("#"&amp;ADDRESS(1646,'e2'!A1646),""),IF('r2'!A1646&gt;0,HYPERLINK("#"&amp;ADDRESS(1646,'r2'!A1646),""),""))</f>
        <v/>
      </c>
      <c r="C1646" s="31"/>
      <c r="D1646" s="32"/>
    </row>
    <row r="1647" spans="1:4" ht="24" customHeight="1" x14ac:dyDescent="0.25">
      <c r="A1647" t="str">
        <f>IF('e2'!A1647&gt;0,HYPERLINK("#"&amp;ADDRESS(1647,'e2'!A1647),""),IF('r2'!A1647&gt;0,HYPERLINK("#"&amp;ADDRESS(1647,'r2'!A1647),""),""))</f>
        <v/>
      </c>
      <c r="C1647" s="31"/>
      <c r="D1647" s="32"/>
    </row>
    <row r="1648" spans="1:4" ht="24" customHeight="1" x14ac:dyDescent="0.25">
      <c r="A1648" t="str">
        <f>IF('e2'!A1648&gt;0,HYPERLINK("#"&amp;ADDRESS(1648,'e2'!A1648),""),IF('r2'!A1648&gt;0,HYPERLINK("#"&amp;ADDRESS(1648,'r2'!A1648),""),""))</f>
        <v/>
      </c>
      <c r="C1648" s="31"/>
      <c r="D1648" s="32"/>
    </row>
    <row r="1649" spans="1:4" ht="24" customHeight="1" x14ac:dyDescent="0.25">
      <c r="A1649" t="str">
        <f>IF('e2'!A1649&gt;0,HYPERLINK("#"&amp;ADDRESS(1649,'e2'!A1649),""),IF('r2'!A1649&gt;0,HYPERLINK("#"&amp;ADDRESS(1649,'r2'!A1649),""),""))</f>
        <v/>
      </c>
      <c r="C1649" s="31"/>
      <c r="D1649" s="32"/>
    </row>
    <row r="1650" spans="1:4" ht="24" customHeight="1" x14ac:dyDescent="0.25">
      <c r="A1650" t="str">
        <f>IF('e2'!A1650&gt;0,HYPERLINK("#"&amp;ADDRESS(1650,'e2'!A1650),""),IF('r2'!A1650&gt;0,HYPERLINK("#"&amp;ADDRESS(1650,'r2'!A1650),""),""))</f>
        <v/>
      </c>
      <c r="C1650" s="31"/>
      <c r="D1650" s="32"/>
    </row>
    <row r="1651" spans="1:4" ht="24" customHeight="1" x14ac:dyDescent="0.25">
      <c r="A1651" t="str">
        <f>IF('e2'!A1651&gt;0,HYPERLINK("#"&amp;ADDRESS(1651,'e2'!A1651),""),IF('r2'!A1651&gt;0,HYPERLINK("#"&amp;ADDRESS(1651,'r2'!A1651),""),""))</f>
        <v/>
      </c>
      <c r="C1651" s="31"/>
      <c r="D1651" s="32"/>
    </row>
    <row r="1652" spans="1:4" ht="24" customHeight="1" x14ac:dyDescent="0.25">
      <c r="A1652" t="str">
        <f>IF('e2'!A1652&gt;0,HYPERLINK("#"&amp;ADDRESS(1652,'e2'!A1652),""),IF('r2'!A1652&gt;0,HYPERLINK("#"&amp;ADDRESS(1652,'r2'!A1652),""),""))</f>
        <v/>
      </c>
      <c r="C1652" s="31"/>
      <c r="D1652" s="32"/>
    </row>
    <row r="1653" spans="1:4" ht="24" customHeight="1" x14ac:dyDescent="0.25">
      <c r="A1653" t="str">
        <f>IF('e2'!A1653&gt;0,HYPERLINK("#"&amp;ADDRESS(1653,'e2'!A1653),""),IF('r2'!A1653&gt;0,HYPERLINK("#"&amp;ADDRESS(1653,'r2'!A1653),""),""))</f>
        <v/>
      </c>
      <c r="C1653" s="31"/>
      <c r="D1653" s="32"/>
    </row>
    <row r="1654" spans="1:4" ht="24" customHeight="1" x14ac:dyDescent="0.25">
      <c r="A1654" t="str">
        <f>IF('e2'!A1654&gt;0,HYPERLINK("#"&amp;ADDRESS(1654,'e2'!A1654),""),IF('r2'!A1654&gt;0,HYPERLINK("#"&amp;ADDRESS(1654,'r2'!A1654),""),""))</f>
        <v/>
      </c>
      <c r="C1654" s="31"/>
      <c r="D1654" s="32"/>
    </row>
    <row r="1655" spans="1:4" ht="24" customHeight="1" x14ac:dyDescent="0.25">
      <c r="A1655" t="str">
        <f>IF('e2'!A1655&gt;0,HYPERLINK("#"&amp;ADDRESS(1655,'e2'!A1655),""),IF('r2'!A1655&gt;0,HYPERLINK("#"&amp;ADDRESS(1655,'r2'!A1655),""),""))</f>
        <v/>
      </c>
      <c r="C1655" s="31"/>
      <c r="D1655" s="32"/>
    </row>
    <row r="1656" spans="1:4" ht="24" customHeight="1" x14ac:dyDescent="0.25">
      <c r="A1656" t="str">
        <f>IF('e2'!A1656&gt;0,HYPERLINK("#"&amp;ADDRESS(1656,'e2'!A1656),""),IF('r2'!A1656&gt;0,HYPERLINK("#"&amp;ADDRESS(1656,'r2'!A1656),""),""))</f>
        <v/>
      </c>
      <c r="C1656" s="31"/>
      <c r="D1656" s="32"/>
    </row>
    <row r="1657" spans="1:4" ht="24" customHeight="1" x14ac:dyDescent="0.25">
      <c r="A1657" t="str">
        <f>IF('e2'!A1657&gt;0,HYPERLINK("#"&amp;ADDRESS(1657,'e2'!A1657),""),IF('r2'!A1657&gt;0,HYPERLINK("#"&amp;ADDRESS(1657,'r2'!A1657),""),""))</f>
        <v/>
      </c>
      <c r="C1657" s="31"/>
      <c r="D1657" s="32"/>
    </row>
    <row r="1658" spans="1:4" ht="24" customHeight="1" x14ac:dyDescent="0.25">
      <c r="A1658" t="str">
        <f>IF('e2'!A1658&gt;0,HYPERLINK("#"&amp;ADDRESS(1658,'e2'!A1658),""),IF('r2'!A1658&gt;0,HYPERLINK("#"&amp;ADDRESS(1658,'r2'!A1658),""),""))</f>
        <v/>
      </c>
      <c r="C1658" s="31"/>
      <c r="D1658" s="32"/>
    </row>
    <row r="1659" spans="1:4" ht="24" customHeight="1" x14ac:dyDescent="0.25">
      <c r="A1659" t="str">
        <f>IF('e2'!A1659&gt;0,HYPERLINK("#"&amp;ADDRESS(1659,'e2'!A1659),""),IF('r2'!A1659&gt;0,HYPERLINK("#"&amp;ADDRESS(1659,'r2'!A1659),""),""))</f>
        <v/>
      </c>
      <c r="C1659" s="31"/>
      <c r="D1659" s="32"/>
    </row>
    <row r="1660" spans="1:4" ht="24" customHeight="1" x14ac:dyDescent="0.25">
      <c r="A1660" t="str">
        <f>IF('e2'!A1660&gt;0,HYPERLINK("#"&amp;ADDRESS(1660,'e2'!A1660),""),IF('r2'!A1660&gt;0,HYPERLINK("#"&amp;ADDRESS(1660,'r2'!A1660),""),""))</f>
        <v/>
      </c>
      <c r="C1660" s="31"/>
      <c r="D1660" s="32"/>
    </row>
    <row r="1661" spans="1:4" ht="24" customHeight="1" x14ac:dyDescent="0.25">
      <c r="A1661" t="str">
        <f>IF('e2'!A1661&gt;0,HYPERLINK("#"&amp;ADDRESS(1661,'e2'!A1661),""),IF('r2'!A1661&gt;0,HYPERLINK("#"&amp;ADDRESS(1661,'r2'!A1661),""),""))</f>
        <v/>
      </c>
      <c r="C1661" s="31"/>
      <c r="D1661" s="32"/>
    </row>
    <row r="1662" spans="1:4" ht="24" customHeight="1" x14ac:dyDescent="0.25">
      <c r="A1662" t="str">
        <f>IF('e2'!A1662&gt;0,HYPERLINK("#"&amp;ADDRESS(1662,'e2'!A1662),""),IF('r2'!A1662&gt;0,HYPERLINK("#"&amp;ADDRESS(1662,'r2'!A1662),""),""))</f>
        <v/>
      </c>
      <c r="C1662" s="31"/>
      <c r="D1662" s="32"/>
    </row>
    <row r="1663" spans="1:4" ht="24" customHeight="1" x14ac:dyDescent="0.25">
      <c r="A1663" t="str">
        <f>IF('e2'!A1663&gt;0,HYPERLINK("#"&amp;ADDRESS(1663,'e2'!A1663),""),IF('r2'!A1663&gt;0,HYPERLINK("#"&amp;ADDRESS(1663,'r2'!A1663),""),""))</f>
        <v/>
      </c>
      <c r="C1663" s="31"/>
      <c r="D1663" s="32"/>
    </row>
    <row r="1664" spans="1:4" ht="24" customHeight="1" x14ac:dyDescent="0.25">
      <c r="A1664" t="str">
        <f>IF('e2'!A1664&gt;0,HYPERLINK("#"&amp;ADDRESS(1664,'e2'!A1664),""),IF('r2'!A1664&gt;0,HYPERLINK("#"&amp;ADDRESS(1664,'r2'!A1664),""),""))</f>
        <v/>
      </c>
      <c r="C1664" s="31"/>
      <c r="D1664" s="32"/>
    </row>
    <row r="1665" spans="1:4" ht="24" customHeight="1" x14ac:dyDescent="0.25">
      <c r="A1665" t="str">
        <f>IF('e2'!A1665&gt;0,HYPERLINK("#"&amp;ADDRESS(1665,'e2'!A1665),""),IF('r2'!A1665&gt;0,HYPERLINK("#"&amp;ADDRESS(1665,'r2'!A1665),""),""))</f>
        <v/>
      </c>
      <c r="C1665" s="31"/>
      <c r="D1665" s="32"/>
    </row>
    <row r="1666" spans="1:4" ht="24" customHeight="1" x14ac:dyDescent="0.25">
      <c r="A1666" t="str">
        <f>IF('e2'!A1666&gt;0,HYPERLINK("#"&amp;ADDRESS(1666,'e2'!A1666),""),IF('r2'!A1666&gt;0,HYPERLINK("#"&amp;ADDRESS(1666,'r2'!A1666),""),""))</f>
        <v/>
      </c>
      <c r="C1666" s="31"/>
      <c r="D1666" s="32"/>
    </row>
    <row r="1667" spans="1:4" ht="24" customHeight="1" x14ac:dyDescent="0.25">
      <c r="A1667" t="str">
        <f>IF('e2'!A1667&gt;0,HYPERLINK("#"&amp;ADDRESS(1667,'e2'!A1667),""),IF('r2'!A1667&gt;0,HYPERLINK("#"&amp;ADDRESS(1667,'r2'!A1667),""),""))</f>
        <v/>
      </c>
      <c r="C1667" s="31"/>
      <c r="D1667" s="32"/>
    </row>
    <row r="1668" spans="1:4" ht="24" customHeight="1" x14ac:dyDescent="0.25">
      <c r="A1668" t="str">
        <f>IF('e2'!A1668&gt;0,HYPERLINK("#"&amp;ADDRESS(1668,'e2'!A1668),""),IF('r2'!A1668&gt;0,HYPERLINK("#"&amp;ADDRESS(1668,'r2'!A1668),""),""))</f>
        <v/>
      </c>
      <c r="C1668" s="31"/>
      <c r="D1668" s="32"/>
    </row>
    <row r="1669" spans="1:4" ht="24" customHeight="1" x14ac:dyDescent="0.25">
      <c r="A1669" t="str">
        <f>IF('e2'!A1669&gt;0,HYPERLINK("#"&amp;ADDRESS(1669,'e2'!A1669),""),IF('r2'!A1669&gt;0,HYPERLINK("#"&amp;ADDRESS(1669,'r2'!A1669),""),""))</f>
        <v/>
      </c>
      <c r="C1669" s="31"/>
      <c r="D1669" s="32"/>
    </row>
    <row r="1670" spans="1:4" ht="24" customHeight="1" x14ac:dyDescent="0.25">
      <c r="A1670" t="str">
        <f>IF('e2'!A1670&gt;0,HYPERLINK("#"&amp;ADDRESS(1670,'e2'!A1670),""),IF('r2'!A1670&gt;0,HYPERLINK("#"&amp;ADDRESS(1670,'r2'!A1670),""),""))</f>
        <v/>
      </c>
      <c r="C1670" s="31"/>
      <c r="D1670" s="32"/>
    </row>
    <row r="1671" spans="1:4" ht="24" customHeight="1" x14ac:dyDescent="0.25">
      <c r="A1671" t="str">
        <f>IF('e2'!A1671&gt;0,HYPERLINK("#"&amp;ADDRESS(1671,'e2'!A1671),""),IF('r2'!A1671&gt;0,HYPERLINK("#"&amp;ADDRESS(1671,'r2'!A1671),""),""))</f>
        <v/>
      </c>
      <c r="C1671" s="31"/>
      <c r="D1671" s="32"/>
    </row>
    <row r="1672" spans="1:4" ht="24" customHeight="1" x14ac:dyDescent="0.25">
      <c r="A1672" t="str">
        <f>IF('e2'!A1672&gt;0,HYPERLINK("#"&amp;ADDRESS(1672,'e2'!A1672),""),IF('r2'!A1672&gt;0,HYPERLINK("#"&amp;ADDRESS(1672,'r2'!A1672),""),""))</f>
        <v/>
      </c>
      <c r="C1672" s="31"/>
      <c r="D1672" s="32"/>
    </row>
    <row r="1673" spans="1:4" ht="24" customHeight="1" x14ac:dyDescent="0.25">
      <c r="A1673" t="str">
        <f>IF('e2'!A1673&gt;0,HYPERLINK("#"&amp;ADDRESS(1673,'e2'!A1673),""),IF('r2'!A1673&gt;0,HYPERLINK("#"&amp;ADDRESS(1673,'r2'!A1673),""),""))</f>
        <v/>
      </c>
      <c r="C1673" s="31"/>
      <c r="D1673" s="32"/>
    </row>
    <row r="1674" spans="1:4" ht="24" customHeight="1" x14ac:dyDescent="0.25">
      <c r="A1674" t="str">
        <f>IF('e2'!A1674&gt;0,HYPERLINK("#"&amp;ADDRESS(1674,'e2'!A1674),""),IF('r2'!A1674&gt;0,HYPERLINK("#"&amp;ADDRESS(1674,'r2'!A1674),""),""))</f>
        <v/>
      </c>
      <c r="C1674" s="31"/>
      <c r="D1674" s="32"/>
    </row>
    <row r="1675" spans="1:4" ht="24" customHeight="1" x14ac:dyDescent="0.25">
      <c r="A1675" t="str">
        <f>IF('e2'!A1675&gt;0,HYPERLINK("#"&amp;ADDRESS(1675,'e2'!A1675),""),IF('r2'!A1675&gt;0,HYPERLINK("#"&amp;ADDRESS(1675,'r2'!A1675),""),""))</f>
        <v/>
      </c>
      <c r="C1675" s="31"/>
      <c r="D1675" s="32"/>
    </row>
    <row r="1676" spans="1:4" ht="24" customHeight="1" x14ac:dyDescent="0.25">
      <c r="A1676" t="str">
        <f>IF('e2'!A1676&gt;0,HYPERLINK("#"&amp;ADDRESS(1676,'e2'!A1676),""),IF('r2'!A1676&gt;0,HYPERLINK("#"&amp;ADDRESS(1676,'r2'!A1676),""),""))</f>
        <v/>
      </c>
      <c r="C1676" s="31"/>
      <c r="D1676" s="32"/>
    </row>
    <row r="1677" spans="1:4" ht="24" customHeight="1" x14ac:dyDescent="0.25">
      <c r="A1677" t="str">
        <f>IF('e2'!A1677&gt;0,HYPERLINK("#"&amp;ADDRESS(1677,'e2'!A1677),""),IF('r2'!A1677&gt;0,HYPERLINK("#"&amp;ADDRESS(1677,'r2'!A1677),""),""))</f>
        <v/>
      </c>
      <c r="C1677" s="31"/>
      <c r="D1677" s="32"/>
    </row>
    <row r="1678" spans="1:4" ht="24" customHeight="1" x14ac:dyDescent="0.25">
      <c r="A1678" t="str">
        <f>IF('e2'!A1678&gt;0,HYPERLINK("#"&amp;ADDRESS(1678,'e2'!A1678),""),IF('r2'!A1678&gt;0,HYPERLINK("#"&amp;ADDRESS(1678,'r2'!A1678),""),""))</f>
        <v/>
      </c>
      <c r="C1678" s="31"/>
      <c r="D1678" s="32"/>
    </row>
    <row r="1679" spans="1:4" ht="24" customHeight="1" x14ac:dyDescent="0.25">
      <c r="A1679" t="str">
        <f>IF('e2'!A1679&gt;0,HYPERLINK("#"&amp;ADDRESS(1679,'e2'!A1679),""),IF('r2'!A1679&gt;0,HYPERLINK("#"&amp;ADDRESS(1679,'r2'!A1679),""),""))</f>
        <v/>
      </c>
      <c r="C1679" s="31"/>
      <c r="D1679" s="32"/>
    </row>
    <row r="1680" spans="1:4" ht="24" customHeight="1" x14ac:dyDescent="0.25">
      <c r="A1680" t="str">
        <f>IF('e2'!A1680&gt;0,HYPERLINK("#"&amp;ADDRESS(1680,'e2'!A1680),""),IF('r2'!A1680&gt;0,HYPERLINK("#"&amp;ADDRESS(1680,'r2'!A1680),""),""))</f>
        <v/>
      </c>
      <c r="C1680" s="31"/>
      <c r="D1680" s="32"/>
    </row>
    <row r="1681" spans="1:4" ht="24" customHeight="1" x14ac:dyDescent="0.25">
      <c r="A1681" t="str">
        <f>IF('e2'!A1681&gt;0,HYPERLINK("#"&amp;ADDRESS(1681,'e2'!A1681),""),IF('r2'!A1681&gt;0,HYPERLINK("#"&amp;ADDRESS(1681,'r2'!A1681),""),""))</f>
        <v/>
      </c>
      <c r="C1681" s="31"/>
      <c r="D1681" s="32"/>
    </row>
    <row r="1682" spans="1:4" ht="24" customHeight="1" x14ac:dyDescent="0.25">
      <c r="A1682" t="str">
        <f>IF('e2'!A1682&gt;0,HYPERLINK("#"&amp;ADDRESS(1682,'e2'!A1682),""),IF('r2'!A1682&gt;0,HYPERLINK("#"&amp;ADDRESS(1682,'r2'!A1682),""),""))</f>
        <v/>
      </c>
      <c r="C1682" s="31"/>
      <c r="D1682" s="32"/>
    </row>
    <row r="1683" spans="1:4" ht="24" customHeight="1" x14ac:dyDescent="0.25">
      <c r="A1683" t="str">
        <f>IF('e2'!A1683&gt;0,HYPERLINK("#"&amp;ADDRESS(1683,'e2'!A1683),""),IF('r2'!A1683&gt;0,HYPERLINK("#"&amp;ADDRESS(1683,'r2'!A1683),""),""))</f>
        <v/>
      </c>
      <c r="C1683" s="31"/>
      <c r="D1683" s="32"/>
    </row>
    <row r="1684" spans="1:4" ht="24" customHeight="1" x14ac:dyDescent="0.25">
      <c r="A1684" t="str">
        <f>IF('e2'!A1684&gt;0,HYPERLINK("#"&amp;ADDRESS(1684,'e2'!A1684),""),IF('r2'!A1684&gt;0,HYPERLINK("#"&amp;ADDRESS(1684,'r2'!A1684),""),""))</f>
        <v/>
      </c>
      <c r="C1684" s="31"/>
      <c r="D1684" s="32"/>
    </row>
    <row r="1685" spans="1:4" ht="24" customHeight="1" x14ac:dyDescent="0.25">
      <c r="A1685" t="str">
        <f>IF('e2'!A1685&gt;0,HYPERLINK("#"&amp;ADDRESS(1685,'e2'!A1685),""),IF('r2'!A1685&gt;0,HYPERLINK("#"&amp;ADDRESS(1685,'r2'!A1685),""),""))</f>
        <v/>
      </c>
      <c r="C1685" s="31"/>
      <c r="D1685" s="32"/>
    </row>
    <row r="1686" spans="1:4" ht="24" customHeight="1" x14ac:dyDescent="0.25">
      <c r="A1686" t="str">
        <f>IF('e2'!A1686&gt;0,HYPERLINK("#"&amp;ADDRESS(1686,'e2'!A1686),""),IF('r2'!A1686&gt;0,HYPERLINK("#"&amp;ADDRESS(1686,'r2'!A1686),""),""))</f>
        <v/>
      </c>
      <c r="C1686" s="31"/>
      <c r="D1686" s="32"/>
    </row>
    <row r="1687" spans="1:4" ht="24" customHeight="1" x14ac:dyDescent="0.25">
      <c r="A1687" t="str">
        <f>IF('e2'!A1687&gt;0,HYPERLINK("#"&amp;ADDRESS(1687,'e2'!A1687),""),IF('r2'!A1687&gt;0,HYPERLINK("#"&amp;ADDRESS(1687,'r2'!A1687),""),""))</f>
        <v/>
      </c>
      <c r="C1687" s="31"/>
      <c r="D1687" s="32"/>
    </row>
    <row r="1688" spans="1:4" ht="24" customHeight="1" x14ac:dyDescent="0.25">
      <c r="A1688" t="str">
        <f>IF('e2'!A1688&gt;0,HYPERLINK("#"&amp;ADDRESS(1688,'e2'!A1688),""),IF('r2'!A1688&gt;0,HYPERLINK("#"&amp;ADDRESS(1688,'r2'!A1688),""),""))</f>
        <v/>
      </c>
      <c r="C1688" s="31"/>
      <c r="D1688" s="32"/>
    </row>
    <row r="1689" spans="1:4" ht="24" customHeight="1" x14ac:dyDescent="0.25">
      <c r="A1689" t="str">
        <f>IF('e2'!A1689&gt;0,HYPERLINK("#"&amp;ADDRESS(1689,'e2'!A1689),""),IF('r2'!A1689&gt;0,HYPERLINK("#"&amp;ADDRESS(1689,'r2'!A1689),""),""))</f>
        <v/>
      </c>
      <c r="C1689" s="31"/>
      <c r="D1689" s="32"/>
    </row>
    <row r="1690" spans="1:4" ht="24" customHeight="1" x14ac:dyDescent="0.25">
      <c r="A1690" t="str">
        <f>IF('e2'!A1690&gt;0,HYPERLINK("#"&amp;ADDRESS(1690,'e2'!A1690),""),IF('r2'!A1690&gt;0,HYPERLINK("#"&amp;ADDRESS(1690,'r2'!A1690),""),""))</f>
        <v/>
      </c>
      <c r="C1690" s="31"/>
      <c r="D1690" s="32"/>
    </row>
    <row r="1691" spans="1:4" ht="24" customHeight="1" x14ac:dyDescent="0.25">
      <c r="A1691" t="str">
        <f>IF('e2'!A1691&gt;0,HYPERLINK("#"&amp;ADDRESS(1691,'e2'!A1691),""),IF('r2'!A1691&gt;0,HYPERLINK("#"&amp;ADDRESS(1691,'r2'!A1691),""),""))</f>
        <v/>
      </c>
      <c r="C1691" s="31"/>
      <c r="D1691" s="32"/>
    </row>
    <row r="1692" spans="1:4" ht="24" customHeight="1" x14ac:dyDescent="0.25">
      <c r="A1692" t="str">
        <f>IF('e2'!A1692&gt;0,HYPERLINK("#"&amp;ADDRESS(1692,'e2'!A1692),""),IF('r2'!A1692&gt;0,HYPERLINK("#"&amp;ADDRESS(1692,'r2'!A1692),""),""))</f>
        <v/>
      </c>
      <c r="C1692" s="31"/>
      <c r="D1692" s="32"/>
    </row>
    <row r="1693" spans="1:4" ht="24" customHeight="1" x14ac:dyDescent="0.25">
      <c r="A1693" t="str">
        <f>IF('e2'!A1693&gt;0,HYPERLINK("#"&amp;ADDRESS(1693,'e2'!A1693),""),IF('r2'!A1693&gt;0,HYPERLINK("#"&amp;ADDRESS(1693,'r2'!A1693),""),""))</f>
        <v/>
      </c>
      <c r="C1693" s="31"/>
      <c r="D1693" s="32"/>
    </row>
    <row r="1694" spans="1:4" ht="24" customHeight="1" x14ac:dyDescent="0.25">
      <c r="A1694" t="str">
        <f>IF('e2'!A1694&gt;0,HYPERLINK("#"&amp;ADDRESS(1694,'e2'!A1694),""),IF('r2'!A1694&gt;0,HYPERLINK("#"&amp;ADDRESS(1694,'r2'!A1694),""),""))</f>
        <v/>
      </c>
      <c r="C1694" s="31"/>
      <c r="D1694" s="32"/>
    </row>
    <row r="1695" spans="1:4" ht="24" customHeight="1" x14ac:dyDescent="0.25">
      <c r="A1695" t="str">
        <f>IF('e2'!A1695&gt;0,HYPERLINK("#"&amp;ADDRESS(1695,'e2'!A1695),""),IF('r2'!A1695&gt;0,HYPERLINK("#"&amp;ADDRESS(1695,'r2'!A1695),""),""))</f>
        <v/>
      </c>
      <c r="C1695" s="31"/>
      <c r="D1695" s="32"/>
    </row>
    <row r="1696" spans="1:4" ht="24" customHeight="1" x14ac:dyDescent="0.25">
      <c r="A1696" t="str">
        <f>IF('e2'!A1696&gt;0,HYPERLINK("#"&amp;ADDRESS(1696,'e2'!A1696),""),IF('r2'!A1696&gt;0,HYPERLINK("#"&amp;ADDRESS(1696,'r2'!A1696),""),""))</f>
        <v/>
      </c>
      <c r="C1696" s="31"/>
      <c r="D1696" s="32"/>
    </row>
    <row r="1697" spans="1:4" ht="24" customHeight="1" x14ac:dyDescent="0.25">
      <c r="A1697" t="str">
        <f>IF('e2'!A1697&gt;0,HYPERLINK("#"&amp;ADDRESS(1697,'e2'!A1697),""),IF('r2'!A1697&gt;0,HYPERLINK("#"&amp;ADDRESS(1697,'r2'!A1697),""),""))</f>
        <v/>
      </c>
      <c r="C1697" s="31"/>
      <c r="D1697" s="32"/>
    </row>
    <row r="1698" spans="1:4" ht="24" customHeight="1" x14ac:dyDescent="0.25">
      <c r="A1698" t="str">
        <f>IF('e2'!A1698&gt;0,HYPERLINK("#"&amp;ADDRESS(1698,'e2'!A1698),""),IF('r2'!A1698&gt;0,HYPERLINK("#"&amp;ADDRESS(1698,'r2'!A1698),""),""))</f>
        <v/>
      </c>
      <c r="C1698" s="31"/>
      <c r="D1698" s="32"/>
    </row>
    <row r="1699" spans="1:4" ht="24" customHeight="1" x14ac:dyDescent="0.25">
      <c r="A1699" t="str">
        <f>IF('e2'!A1699&gt;0,HYPERLINK("#"&amp;ADDRESS(1699,'e2'!A1699),""),IF('r2'!A1699&gt;0,HYPERLINK("#"&amp;ADDRESS(1699,'r2'!A1699),""),""))</f>
        <v/>
      </c>
      <c r="C1699" s="31"/>
      <c r="D1699" s="32"/>
    </row>
    <row r="1700" spans="1:4" ht="24" customHeight="1" x14ac:dyDescent="0.25">
      <c r="A1700" t="str">
        <f>IF('e2'!A1700&gt;0,HYPERLINK("#"&amp;ADDRESS(1700,'e2'!A1700),""),IF('r2'!A1700&gt;0,HYPERLINK("#"&amp;ADDRESS(1700,'r2'!A1700),""),""))</f>
        <v/>
      </c>
      <c r="C1700" s="31"/>
      <c r="D1700" s="32"/>
    </row>
    <row r="1701" spans="1:4" ht="24" customHeight="1" x14ac:dyDescent="0.25">
      <c r="A1701" t="str">
        <f>IF('e2'!A1701&gt;0,HYPERLINK("#"&amp;ADDRESS(1701,'e2'!A1701),""),IF('r2'!A1701&gt;0,HYPERLINK("#"&amp;ADDRESS(1701,'r2'!A1701),""),""))</f>
        <v/>
      </c>
      <c r="C1701" s="31"/>
      <c r="D1701" s="32"/>
    </row>
    <row r="1702" spans="1:4" ht="24" customHeight="1" x14ac:dyDescent="0.25">
      <c r="A1702" t="str">
        <f>IF('e2'!A1702&gt;0,HYPERLINK("#"&amp;ADDRESS(1702,'e2'!A1702),""),IF('r2'!A1702&gt;0,HYPERLINK("#"&amp;ADDRESS(1702,'r2'!A1702),""),""))</f>
        <v/>
      </c>
      <c r="C1702" s="31"/>
      <c r="D1702" s="32"/>
    </row>
    <row r="1703" spans="1:4" ht="24" customHeight="1" x14ac:dyDescent="0.25">
      <c r="A1703" t="str">
        <f>IF('e2'!A1703&gt;0,HYPERLINK("#"&amp;ADDRESS(1703,'e2'!A1703),""),IF('r2'!A1703&gt;0,HYPERLINK("#"&amp;ADDRESS(1703,'r2'!A1703),""),""))</f>
        <v/>
      </c>
      <c r="C1703" s="31"/>
      <c r="D1703" s="32"/>
    </row>
    <row r="1704" spans="1:4" ht="24" customHeight="1" x14ac:dyDescent="0.25">
      <c r="A1704" t="str">
        <f>IF('e2'!A1704&gt;0,HYPERLINK("#"&amp;ADDRESS(1704,'e2'!A1704),""),IF('r2'!A1704&gt;0,HYPERLINK("#"&amp;ADDRESS(1704,'r2'!A1704),""),""))</f>
        <v/>
      </c>
      <c r="C1704" s="31"/>
      <c r="D1704" s="32"/>
    </row>
    <row r="1705" spans="1:4" ht="24" customHeight="1" x14ac:dyDescent="0.25">
      <c r="A1705" t="str">
        <f>IF('e2'!A1705&gt;0,HYPERLINK("#"&amp;ADDRESS(1705,'e2'!A1705),""),IF('r2'!A1705&gt;0,HYPERLINK("#"&amp;ADDRESS(1705,'r2'!A1705),""),""))</f>
        <v/>
      </c>
      <c r="C1705" s="31"/>
      <c r="D1705" s="32"/>
    </row>
    <row r="1706" spans="1:4" ht="24" customHeight="1" x14ac:dyDescent="0.25">
      <c r="A1706" t="str">
        <f>IF('e2'!A1706&gt;0,HYPERLINK("#"&amp;ADDRESS(1706,'e2'!A1706),""),IF('r2'!A1706&gt;0,HYPERLINK("#"&amp;ADDRESS(1706,'r2'!A1706),""),""))</f>
        <v/>
      </c>
      <c r="C1706" s="31"/>
      <c r="D1706" s="32"/>
    </row>
    <row r="1707" spans="1:4" ht="24" customHeight="1" x14ac:dyDescent="0.25">
      <c r="A1707" t="str">
        <f>IF('e2'!A1707&gt;0,HYPERLINK("#"&amp;ADDRESS(1707,'e2'!A1707),""),IF('r2'!A1707&gt;0,HYPERLINK("#"&amp;ADDRESS(1707,'r2'!A1707),""),""))</f>
        <v/>
      </c>
      <c r="C1707" s="31"/>
      <c r="D1707" s="32"/>
    </row>
    <row r="1708" spans="1:4" ht="24" customHeight="1" x14ac:dyDescent="0.25">
      <c r="A1708" t="str">
        <f>IF('e2'!A1708&gt;0,HYPERLINK("#"&amp;ADDRESS(1708,'e2'!A1708),""),IF('r2'!A1708&gt;0,HYPERLINK("#"&amp;ADDRESS(1708,'r2'!A1708),""),""))</f>
        <v/>
      </c>
      <c r="C1708" s="31"/>
      <c r="D1708" s="32"/>
    </row>
    <row r="1709" spans="1:4" ht="24" customHeight="1" x14ac:dyDescent="0.25">
      <c r="A1709" t="str">
        <f>IF('e2'!A1709&gt;0,HYPERLINK("#"&amp;ADDRESS(1709,'e2'!A1709),""),IF('r2'!A1709&gt;0,HYPERLINK("#"&amp;ADDRESS(1709,'r2'!A1709),""),""))</f>
        <v/>
      </c>
      <c r="C1709" s="31"/>
      <c r="D1709" s="32"/>
    </row>
    <row r="1710" spans="1:4" ht="24" customHeight="1" x14ac:dyDescent="0.25">
      <c r="A1710" t="str">
        <f>IF('e2'!A1710&gt;0,HYPERLINK("#"&amp;ADDRESS(1710,'e2'!A1710),""),IF('r2'!A1710&gt;0,HYPERLINK("#"&amp;ADDRESS(1710,'r2'!A1710),""),""))</f>
        <v/>
      </c>
      <c r="C1710" s="31"/>
      <c r="D1710" s="32"/>
    </row>
    <row r="1711" spans="1:4" ht="24" customHeight="1" x14ac:dyDescent="0.25">
      <c r="A1711" t="str">
        <f>IF('e2'!A1711&gt;0,HYPERLINK("#"&amp;ADDRESS(1711,'e2'!A1711),""),IF('r2'!A1711&gt;0,HYPERLINK("#"&amp;ADDRESS(1711,'r2'!A1711),""),""))</f>
        <v/>
      </c>
      <c r="C1711" s="31"/>
      <c r="D1711" s="32"/>
    </row>
    <row r="1712" spans="1:4" ht="24" customHeight="1" x14ac:dyDescent="0.25">
      <c r="A1712" t="str">
        <f>IF('e2'!A1712&gt;0,HYPERLINK("#"&amp;ADDRESS(1712,'e2'!A1712),""),IF('r2'!A1712&gt;0,HYPERLINK("#"&amp;ADDRESS(1712,'r2'!A1712),""),""))</f>
        <v/>
      </c>
      <c r="C1712" s="31"/>
      <c r="D1712" s="32"/>
    </row>
    <row r="1713" spans="1:4" ht="24" customHeight="1" x14ac:dyDescent="0.25">
      <c r="A1713" t="str">
        <f>IF('e2'!A1713&gt;0,HYPERLINK("#"&amp;ADDRESS(1713,'e2'!A1713),""),IF('r2'!A1713&gt;0,HYPERLINK("#"&amp;ADDRESS(1713,'r2'!A1713),""),""))</f>
        <v/>
      </c>
      <c r="C1713" s="31"/>
      <c r="D1713" s="32"/>
    </row>
    <row r="1714" spans="1:4" ht="24" customHeight="1" x14ac:dyDescent="0.25">
      <c r="A1714" t="str">
        <f>IF('e2'!A1714&gt;0,HYPERLINK("#"&amp;ADDRESS(1714,'e2'!A1714),""),IF('r2'!A1714&gt;0,HYPERLINK("#"&amp;ADDRESS(1714,'r2'!A1714),""),""))</f>
        <v/>
      </c>
      <c r="C1714" s="31"/>
      <c r="D1714" s="32"/>
    </row>
    <row r="1715" spans="1:4" ht="24" customHeight="1" x14ac:dyDescent="0.25">
      <c r="A1715" t="str">
        <f>IF('e2'!A1715&gt;0,HYPERLINK("#"&amp;ADDRESS(1715,'e2'!A1715),""),IF('r2'!A1715&gt;0,HYPERLINK("#"&amp;ADDRESS(1715,'r2'!A1715),""),""))</f>
        <v/>
      </c>
      <c r="C1715" s="31"/>
      <c r="D1715" s="32"/>
    </row>
    <row r="1716" spans="1:4" ht="24" customHeight="1" x14ac:dyDescent="0.25">
      <c r="A1716" t="str">
        <f>IF('e2'!A1716&gt;0,HYPERLINK("#"&amp;ADDRESS(1716,'e2'!A1716),""),IF('r2'!A1716&gt;0,HYPERLINK("#"&amp;ADDRESS(1716,'r2'!A1716),""),""))</f>
        <v/>
      </c>
      <c r="C1716" s="31"/>
      <c r="D1716" s="32"/>
    </row>
    <row r="1717" spans="1:4" ht="24" customHeight="1" x14ac:dyDescent="0.25">
      <c r="A1717" t="str">
        <f>IF('e2'!A1717&gt;0,HYPERLINK("#"&amp;ADDRESS(1717,'e2'!A1717),""),IF('r2'!A1717&gt;0,HYPERLINK("#"&amp;ADDRESS(1717,'r2'!A1717),""),""))</f>
        <v/>
      </c>
      <c r="C1717" s="31"/>
      <c r="D1717" s="32"/>
    </row>
    <row r="1718" spans="1:4" ht="24" customHeight="1" x14ac:dyDescent="0.25">
      <c r="A1718" t="str">
        <f>IF('e2'!A1718&gt;0,HYPERLINK("#"&amp;ADDRESS(1718,'e2'!A1718),""),IF('r2'!A1718&gt;0,HYPERLINK("#"&amp;ADDRESS(1718,'r2'!A1718),""),""))</f>
        <v/>
      </c>
      <c r="C1718" s="31"/>
      <c r="D1718" s="32"/>
    </row>
    <row r="1719" spans="1:4" ht="24" customHeight="1" x14ac:dyDescent="0.25">
      <c r="A1719" t="str">
        <f>IF('e2'!A1719&gt;0,HYPERLINK("#"&amp;ADDRESS(1719,'e2'!A1719),""),IF('r2'!A1719&gt;0,HYPERLINK("#"&amp;ADDRESS(1719,'r2'!A1719),""),""))</f>
        <v/>
      </c>
      <c r="C1719" s="31"/>
      <c r="D1719" s="32"/>
    </row>
    <row r="1720" spans="1:4" ht="24" customHeight="1" x14ac:dyDescent="0.25">
      <c r="A1720" t="str">
        <f>IF('e2'!A1720&gt;0,HYPERLINK("#"&amp;ADDRESS(1720,'e2'!A1720),""),IF('r2'!A1720&gt;0,HYPERLINK("#"&amp;ADDRESS(1720,'r2'!A1720),""),""))</f>
        <v/>
      </c>
      <c r="C1720" s="31"/>
      <c r="D1720" s="32"/>
    </row>
    <row r="1721" spans="1:4" ht="24" customHeight="1" x14ac:dyDescent="0.25">
      <c r="A1721" t="str">
        <f>IF('e2'!A1721&gt;0,HYPERLINK("#"&amp;ADDRESS(1721,'e2'!A1721),""),IF('r2'!A1721&gt;0,HYPERLINK("#"&amp;ADDRESS(1721,'r2'!A1721),""),""))</f>
        <v/>
      </c>
      <c r="C1721" s="31"/>
      <c r="D1721" s="32"/>
    </row>
    <row r="1722" spans="1:4" ht="24" customHeight="1" x14ac:dyDescent="0.25">
      <c r="A1722" t="str">
        <f>IF('e2'!A1722&gt;0,HYPERLINK("#"&amp;ADDRESS(1722,'e2'!A1722),""),IF('r2'!A1722&gt;0,HYPERLINK("#"&amp;ADDRESS(1722,'r2'!A1722),""),""))</f>
        <v/>
      </c>
      <c r="C1722" s="31"/>
      <c r="D1722" s="32"/>
    </row>
    <row r="1723" spans="1:4" ht="24" customHeight="1" x14ac:dyDescent="0.25">
      <c r="A1723" t="str">
        <f>IF('e2'!A1723&gt;0,HYPERLINK("#"&amp;ADDRESS(1723,'e2'!A1723),""),IF('r2'!A1723&gt;0,HYPERLINK("#"&amp;ADDRESS(1723,'r2'!A1723),""),""))</f>
        <v/>
      </c>
      <c r="C1723" s="31"/>
      <c r="D1723" s="32"/>
    </row>
    <row r="1724" spans="1:4" ht="24" customHeight="1" x14ac:dyDescent="0.25">
      <c r="A1724" t="str">
        <f>IF('e2'!A1724&gt;0,HYPERLINK("#"&amp;ADDRESS(1724,'e2'!A1724),""),IF('r2'!A1724&gt;0,HYPERLINK("#"&amp;ADDRESS(1724,'r2'!A1724),""),""))</f>
        <v/>
      </c>
      <c r="C1724" s="31"/>
      <c r="D1724" s="32"/>
    </row>
    <row r="1725" spans="1:4" ht="24" customHeight="1" x14ac:dyDescent="0.25">
      <c r="A1725" t="str">
        <f>IF('e2'!A1725&gt;0,HYPERLINK("#"&amp;ADDRESS(1725,'e2'!A1725),""),IF('r2'!A1725&gt;0,HYPERLINK("#"&amp;ADDRESS(1725,'r2'!A1725),""),""))</f>
        <v/>
      </c>
      <c r="C1725" s="31"/>
      <c r="D1725" s="32"/>
    </row>
    <row r="1726" spans="1:4" ht="24" customHeight="1" x14ac:dyDescent="0.25">
      <c r="A1726" t="str">
        <f>IF('e2'!A1726&gt;0,HYPERLINK("#"&amp;ADDRESS(1726,'e2'!A1726),""),IF('r2'!A1726&gt;0,HYPERLINK("#"&amp;ADDRESS(1726,'r2'!A1726),""),""))</f>
        <v/>
      </c>
      <c r="C1726" s="31"/>
      <c r="D1726" s="32"/>
    </row>
    <row r="1727" spans="1:4" ht="24" customHeight="1" x14ac:dyDescent="0.25">
      <c r="A1727" t="str">
        <f>IF('e2'!A1727&gt;0,HYPERLINK("#"&amp;ADDRESS(1727,'e2'!A1727),""),IF('r2'!A1727&gt;0,HYPERLINK("#"&amp;ADDRESS(1727,'r2'!A1727),""),""))</f>
        <v/>
      </c>
      <c r="C1727" s="31"/>
      <c r="D1727" s="32"/>
    </row>
    <row r="1728" spans="1:4" ht="24" customHeight="1" x14ac:dyDescent="0.25">
      <c r="A1728" t="str">
        <f>IF('e2'!A1728&gt;0,HYPERLINK("#"&amp;ADDRESS(1728,'e2'!A1728),""),IF('r2'!A1728&gt;0,HYPERLINK("#"&amp;ADDRESS(1728,'r2'!A1728),""),""))</f>
        <v/>
      </c>
      <c r="C1728" s="31"/>
      <c r="D1728" s="32"/>
    </row>
    <row r="1729" spans="1:4" ht="24" customHeight="1" x14ac:dyDescent="0.25">
      <c r="A1729" t="str">
        <f>IF('e2'!A1729&gt;0,HYPERLINK("#"&amp;ADDRESS(1729,'e2'!A1729),""),IF('r2'!A1729&gt;0,HYPERLINK("#"&amp;ADDRESS(1729,'r2'!A1729),""),""))</f>
        <v/>
      </c>
      <c r="C1729" s="31"/>
      <c r="D1729" s="32"/>
    </row>
    <row r="1730" spans="1:4" ht="24" customHeight="1" x14ac:dyDescent="0.25">
      <c r="A1730" t="str">
        <f>IF('e2'!A1730&gt;0,HYPERLINK("#"&amp;ADDRESS(1730,'e2'!A1730),""),IF('r2'!A1730&gt;0,HYPERLINK("#"&amp;ADDRESS(1730,'r2'!A1730),""),""))</f>
        <v/>
      </c>
      <c r="C1730" s="31"/>
      <c r="D1730" s="32"/>
    </row>
    <row r="1731" spans="1:4" ht="24" customHeight="1" x14ac:dyDescent="0.25">
      <c r="A1731" t="str">
        <f>IF('e2'!A1731&gt;0,HYPERLINK("#"&amp;ADDRESS(1731,'e2'!A1731),""),IF('r2'!A1731&gt;0,HYPERLINK("#"&amp;ADDRESS(1731,'r2'!A1731),""),""))</f>
        <v/>
      </c>
      <c r="C1731" s="31"/>
      <c r="D1731" s="32"/>
    </row>
    <row r="1732" spans="1:4" ht="24" customHeight="1" x14ac:dyDescent="0.25">
      <c r="A1732" t="str">
        <f>IF('e2'!A1732&gt;0,HYPERLINK("#"&amp;ADDRESS(1732,'e2'!A1732),""),IF('r2'!A1732&gt;0,HYPERLINK("#"&amp;ADDRESS(1732,'r2'!A1732),""),""))</f>
        <v/>
      </c>
      <c r="C1732" s="31"/>
      <c r="D1732" s="32"/>
    </row>
    <row r="1733" spans="1:4" ht="24" customHeight="1" x14ac:dyDescent="0.25">
      <c r="A1733" t="str">
        <f>IF('e2'!A1733&gt;0,HYPERLINK("#"&amp;ADDRESS(1733,'e2'!A1733),""),IF('r2'!A1733&gt;0,HYPERLINK("#"&amp;ADDRESS(1733,'r2'!A1733),""),""))</f>
        <v/>
      </c>
      <c r="C1733" s="31"/>
      <c r="D1733" s="32"/>
    </row>
    <row r="1734" spans="1:4" ht="24" customHeight="1" x14ac:dyDescent="0.25">
      <c r="A1734" t="str">
        <f>IF('e2'!A1734&gt;0,HYPERLINK("#"&amp;ADDRESS(1734,'e2'!A1734),""),IF('r2'!A1734&gt;0,HYPERLINK("#"&amp;ADDRESS(1734,'r2'!A1734),""),""))</f>
        <v/>
      </c>
      <c r="C1734" s="31"/>
      <c r="D1734" s="32"/>
    </row>
    <row r="1735" spans="1:4" ht="24" customHeight="1" x14ac:dyDescent="0.25">
      <c r="A1735" t="str">
        <f>IF('e2'!A1735&gt;0,HYPERLINK("#"&amp;ADDRESS(1735,'e2'!A1735),""),IF('r2'!A1735&gt;0,HYPERLINK("#"&amp;ADDRESS(1735,'r2'!A1735),""),""))</f>
        <v/>
      </c>
      <c r="C1735" s="31"/>
      <c r="D1735" s="32"/>
    </row>
    <row r="1736" spans="1:4" ht="24" customHeight="1" x14ac:dyDescent="0.25">
      <c r="A1736" t="str">
        <f>IF('e2'!A1736&gt;0,HYPERLINK("#"&amp;ADDRESS(1736,'e2'!A1736),""),IF('r2'!A1736&gt;0,HYPERLINK("#"&amp;ADDRESS(1736,'r2'!A1736),""),""))</f>
        <v/>
      </c>
      <c r="C1736" s="31"/>
      <c r="D1736" s="32"/>
    </row>
    <row r="1737" spans="1:4" ht="24" customHeight="1" x14ac:dyDescent="0.25">
      <c r="A1737" t="str">
        <f>IF('e2'!A1737&gt;0,HYPERLINK("#"&amp;ADDRESS(1737,'e2'!A1737),""),IF('r2'!A1737&gt;0,HYPERLINK("#"&amp;ADDRESS(1737,'r2'!A1737),""),""))</f>
        <v/>
      </c>
      <c r="C1737" s="31"/>
      <c r="D1737" s="32"/>
    </row>
    <row r="1738" spans="1:4" ht="24" customHeight="1" x14ac:dyDescent="0.25">
      <c r="A1738" t="str">
        <f>IF('e2'!A1738&gt;0,HYPERLINK("#"&amp;ADDRESS(1738,'e2'!A1738),""),IF('r2'!A1738&gt;0,HYPERLINK("#"&amp;ADDRESS(1738,'r2'!A1738),""),""))</f>
        <v/>
      </c>
      <c r="C1738" s="31"/>
      <c r="D1738" s="32"/>
    </row>
    <row r="1739" spans="1:4" ht="24" customHeight="1" x14ac:dyDescent="0.25">
      <c r="A1739" t="str">
        <f>IF('e2'!A1739&gt;0,HYPERLINK("#"&amp;ADDRESS(1739,'e2'!A1739),""),IF('r2'!A1739&gt;0,HYPERLINK("#"&amp;ADDRESS(1739,'r2'!A1739),""),""))</f>
        <v/>
      </c>
      <c r="C1739" s="31"/>
      <c r="D1739" s="32"/>
    </row>
    <row r="1740" spans="1:4" ht="24" customHeight="1" x14ac:dyDescent="0.25">
      <c r="A1740" t="str">
        <f>IF('e2'!A1740&gt;0,HYPERLINK("#"&amp;ADDRESS(1740,'e2'!A1740),""),IF('r2'!A1740&gt;0,HYPERLINK("#"&amp;ADDRESS(1740,'r2'!A1740),""),""))</f>
        <v/>
      </c>
      <c r="C1740" s="31"/>
      <c r="D1740" s="32"/>
    </row>
    <row r="1741" spans="1:4" ht="24" customHeight="1" x14ac:dyDescent="0.25">
      <c r="A1741" t="str">
        <f>IF('e2'!A1741&gt;0,HYPERLINK("#"&amp;ADDRESS(1741,'e2'!A1741),""),IF('r2'!A1741&gt;0,HYPERLINK("#"&amp;ADDRESS(1741,'r2'!A1741),""),""))</f>
        <v/>
      </c>
      <c r="C1741" s="31"/>
      <c r="D1741" s="32"/>
    </row>
    <row r="1742" spans="1:4" ht="24" customHeight="1" x14ac:dyDescent="0.25">
      <c r="A1742" t="str">
        <f>IF('e2'!A1742&gt;0,HYPERLINK("#"&amp;ADDRESS(1742,'e2'!A1742),""),IF('r2'!A1742&gt;0,HYPERLINK("#"&amp;ADDRESS(1742,'r2'!A1742),""),""))</f>
        <v/>
      </c>
      <c r="C1742" s="31"/>
      <c r="D1742" s="32"/>
    </row>
    <row r="1743" spans="1:4" ht="24" customHeight="1" x14ac:dyDescent="0.25">
      <c r="A1743" t="str">
        <f>IF('e2'!A1743&gt;0,HYPERLINK("#"&amp;ADDRESS(1743,'e2'!A1743),""),IF('r2'!A1743&gt;0,HYPERLINK("#"&amp;ADDRESS(1743,'r2'!A1743),""),""))</f>
        <v/>
      </c>
      <c r="C1743" s="31"/>
      <c r="D1743" s="32"/>
    </row>
    <row r="1744" spans="1:4" ht="24" customHeight="1" x14ac:dyDescent="0.25">
      <c r="A1744" t="str">
        <f>IF('e2'!A1744&gt;0,HYPERLINK("#"&amp;ADDRESS(1744,'e2'!A1744),""),IF('r2'!A1744&gt;0,HYPERLINK("#"&amp;ADDRESS(1744,'r2'!A1744),""),""))</f>
        <v/>
      </c>
      <c r="C1744" s="31"/>
      <c r="D1744" s="32"/>
    </row>
    <row r="1745" spans="1:4" ht="24" customHeight="1" x14ac:dyDescent="0.25">
      <c r="A1745" t="str">
        <f>IF('e2'!A1745&gt;0,HYPERLINK("#"&amp;ADDRESS(1745,'e2'!A1745),""),IF('r2'!A1745&gt;0,HYPERLINK("#"&amp;ADDRESS(1745,'r2'!A1745),""),""))</f>
        <v/>
      </c>
      <c r="C1745" s="31"/>
      <c r="D1745" s="32"/>
    </row>
    <row r="1746" spans="1:4" ht="24" customHeight="1" x14ac:dyDescent="0.25">
      <c r="A1746" t="str">
        <f>IF('e2'!A1746&gt;0,HYPERLINK("#"&amp;ADDRESS(1746,'e2'!A1746),""),IF('r2'!A1746&gt;0,HYPERLINK("#"&amp;ADDRESS(1746,'r2'!A1746),""),""))</f>
        <v/>
      </c>
      <c r="C1746" s="31"/>
      <c r="D1746" s="32"/>
    </row>
    <row r="1747" spans="1:4" ht="24" customHeight="1" x14ac:dyDescent="0.25">
      <c r="A1747" t="str">
        <f>IF('e2'!A1747&gt;0,HYPERLINK("#"&amp;ADDRESS(1747,'e2'!A1747),""),IF('r2'!A1747&gt;0,HYPERLINK("#"&amp;ADDRESS(1747,'r2'!A1747),""),""))</f>
        <v/>
      </c>
      <c r="C1747" s="31"/>
      <c r="D1747" s="32"/>
    </row>
    <row r="1748" spans="1:4" ht="24" customHeight="1" x14ac:dyDescent="0.25">
      <c r="A1748" t="str">
        <f>IF('e2'!A1748&gt;0,HYPERLINK("#"&amp;ADDRESS(1748,'e2'!A1748),""),IF('r2'!A1748&gt;0,HYPERLINK("#"&amp;ADDRESS(1748,'r2'!A1748),""),""))</f>
        <v/>
      </c>
      <c r="C1748" s="31"/>
      <c r="D1748" s="32"/>
    </row>
    <row r="1749" spans="1:4" ht="24" customHeight="1" x14ac:dyDescent="0.25">
      <c r="A1749" t="str">
        <f>IF('e2'!A1749&gt;0,HYPERLINK("#"&amp;ADDRESS(1749,'e2'!A1749),""),IF('r2'!A1749&gt;0,HYPERLINK("#"&amp;ADDRESS(1749,'r2'!A1749),""),""))</f>
        <v/>
      </c>
      <c r="C1749" s="31"/>
      <c r="D1749" s="32"/>
    </row>
    <row r="1750" spans="1:4" ht="24" customHeight="1" x14ac:dyDescent="0.25">
      <c r="A1750" t="str">
        <f>IF('e2'!A1750&gt;0,HYPERLINK("#"&amp;ADDRESS(1750,'e2'!A1750),""),IF('r2'!A1750&gt;0,HYPERLINK("#"&amp;ADDRESS(1750,'r2'!A1750),""),""))</f>
        <v/>
      </c>
      <c r="C1750" s="31"/>
      <c r="D1750" s="32"/>
    </row>
    <row r="1751" spans="1:4" ht="24" customHeight="1" x14ac:dyDescent="0.25">
      <c r="A1751" t="str">
        <f>IF('e2'!A1751&gt;0,HYPERLINK("#"&amp;ADDRESS(1751,'e2'!A1751),""),IF('r2'!A1751&gt;0,HYPERLINK("#"&amp;ADDRESS(1751,'r2'!A1751),""),""))</f>
        <v/>
      </c>
      <c r="C1751" s="31"/>
      <c r="D1751" s="32"/>
    </row>
    <row r="1752" spans="1:4" ht="24" customHeight="1" x14ac:dyDescent="0.25">
      <c r="A1752" t="str">
        <f>IF('e2'!A1752&gt;0,HYPERLINK("#"&amp;ADDRESS(1752,'e2'!A1752),""),IF('r2'!A1752&gt;0,HYPERLINK("#"&amp;ADDRESS(1752,'r2'!A1752),""),""))</f>
        <v/>
      </c>
      <c r="C1752" s="31"/>
      <c r="D1752" s="32"/>
    </row>
    <row r="1753" spans="1:4" ht="24" customHeight="1" x14ac:dyDescent="0.25">
      <c r="A1753" t="str">
        <f>IF('e2'!A1753&gt;0,HYPERLINK("#"&amp;ADDRESS(1753,'e2'!A1753),""),IF('r2'!A1753&gt;0,HYPERLINK("#"&amp;ADDRESS(1753,'r2'!A1753),""),""))</f>
        <v/>
      </c>
      <c r="C1753" s="31"/>
      <c r="D1753" s="32"/>
    </row>
    <row r="1754" spans="1:4" ht="24" customHeight="1" x14ac:dyDescent="0.25">
      <c r="A1754" t="str">
        <f>IF('e2'!A1754&gt;0,HYPERLINK("#"&amp;ADDRESS(1754,'e2'!A1754),""),IF('r2'!A1754&gt;0,HYPERLINK("#"&amp;ADDRESS(1754,'r2'!A1754),""),""))</f>
        <v/>
      </c>
      <c r="C1754" s="31"/>
      <c r="D1754" s="32"/>
    </row>
    <row r="1755" spans="1:4" ht="24" customHeight="1" x14ac:dyDescent="0.25">
      <c r="A1755" t="str">
        <f>IF('e2'!A1755&gt;0,HYPERLINK("#"&amp;ADDRESS(1755,'e2'!A1755),""),IF('r2'!A1755&gt;0,HYPERLINK("#"&amp;ADDRESS(1755,'r2'!A1755),""),""))</f>
        <v/>
      </c>
      <c r="C1755" s="31"/>
      <c r="D1755" s="32"/>
    </row>
    <row r="1756" spans="1:4" ht="24" customHeight="1" x14ac:dyDescent="0.25">
      <c r="A1756" t="str">
        <f>IF('e2'!A1756&gt;0,HYPERLINK("#"&amp;ADDRESS(1756,'e2'!A1756),""),IF('r2'!A1756&gt;0,HYPERLINK("#"&amp;ADDRESS(1756,'r2'!A1756),""),""))</f>
        <v/>
      </c>
      <c r="C1756" s="31"/>
      <c r="D1756" s="32"/>
    </row>
    <row r="1757" spans="1:4" ht="24" customHeight="1" x14ac:dyDescent="0.25">
      <c r="A1757" t="str">
        <f>IF('e2'!A1757&gt;0,HYPERLINK("#"&amp;ADDRESS(1757,'e2'!A1757),""),IF('r2'!A1757&gt;0,HYPERLINK("#"&amp;ADDRESS(1757,'r2'!A1757),""),""))</f>
        <v/>
      </c>
      <c r="C1757" s="31"/>
      <c r="D1757" s="32"/>
    </row>
    <row r="1758" spans="1:4" ht="24" customHeight="1" x14ac:dyDescent="0.25">
      <c r="A1758" t="str">
        <f>IF('e2'!A1758&gt;0,HYPERLINK("#"&amp;ADDRESS(1758,'e2'!A1758),""),IF('r2'!A1758&gt;0,HYPERLINK("#"&amp;ADDRESS(1758,'r2'!A1758),""),""))</f>
        <v/>
      </c>
      <c r="C1758" s="31"/>
      <c r="D1758" s="32"/>
    </row>
    <row r="1759" spans="1:4" ht="24" customHeight="1" x14ac:dyDescent="0.25">
      <c r="A1759" t="str">
        <f>IF('e2'!A1759&gt;0,HYPERLINK("#"&amp;ADDRESS(1759,'e2'!A1759),""),IF('r2'!A1759&gt;0,HYPERLINK("#"&amp;ADDRESS(1759,'r2'!A1759),""),""))</f>
        <v/>
      </c>
      <c r="C1759" s="31"/>
      <c r="D1759" s="32"/>
    </row>
    <row r="1760" spans="1:4" ht="24" customHeight="1" x14ac:dyDescent="0.25">
      <c r="A1760" t="str">
        <f>IF('e2'!A1760&gt;0,HYPERLINK("#"&amp;ADDRESS(1760,'e2'!A1760),""),IF('r2'!A1760&gt;0,HYPERLINK("#"&amp;ADDRESS(1760,'r2'!A1760),""),""))</f>
        <v/>
      </c>
      <c r="C1760" s="31"/>
      <c r="D1760" s="32"/>
    </row>
    <row r="1761" spans="1:4" ht="24" customHeight="1" x14ac:dyDescent="0.25">
      <c r="A1761" t="str">
        <f>IF('e2'!A1761&gt;0,HYPERLINK("#"&amp;ADDRESS(1761,'e2'!A1761),""),IF('r2'!A1761&gt;0,HYPERLINK("#"&amp;ADDRESS(1761,'r2'!A1761),""),""))</f>
        <v/>
      </c>
      <c r="C1761" s="31"/>
      <c r="D1761" s="32"/>
    </row>
    <row r="1762" spans="1:4" ht="24" customHeight="1" x14ac:dyDescent="0.25">
      <c r="A1762" t="str">
        <f>IF('e2'!A1762&gt;0,HYPERLINK("#"&amp;ADDRESS(1762,'e2'!A1762),""),IF('r2'!A1762&gt;0,HYPERLINK("#"&amp;ADDRESS(1762,'r2'!A1762),""),""))</f>
        <v/>
      </c>
      <c r="C1762" s="31"/>
      <c r="D1762" s="32"/>
    </row>
    <row r="1763" spans="1:4" ht="24" customHeight="1" x14ac:dyDescent="0.25">
      <c r="A1763" t="str">
        <f>IF('e2'!A1763&gt;0,HYPERLINK("#"&amp;ADDRESS(1763,'e2'!A1763),""),IF('r2'!A1763&gt;0,HYPERLINK("#"&amp;ADDRESS(1763,'r2'!A1763),""),""))</f>
        <v/>
      </c>
      <c r="C1763" s="31"/>
      <c r="D1763" s="32"/>
    </row>
    <row r="1764" spans="1:4" ht="24" customHeight="1" x14ac:dyDescent="0.25">
      <c r="A1764" t="str">
        <f>IF('e2'!A1764&gt;0,HYPERLINK("#"&amp;ADDRESS(1764,'e2'!A1764),""),IF('r2'!A1764&gt;0,HYPERLINK("#"&amp;ADDRESS(1764,'r2'!A1764),""),""))</f>
        <v/>
      </c>
      <c r="C1764" s="31"/>
      <c r="D1764" s="32"/>
    </row>
    <row r="1765" spans="1:4" ht="24" customHeight="1" x14ac:dyDescent="0.25">
      <c r="A1765" t="str">
        <f>IF('e2'!A1765&gt;0,HYPERLINK("#"&amp;ADDRESS(1765,'e2'!A1765),""),IF('r2'!A1765&gt;0,HYPERLINK("#"&amp;ADDRESS(1765,'r2'!A1765),""),""))</f>
        <v/>
      </c>
      <c r="C1765" s="31"/>
      <c r="D1765" s="32"/>
    </row>
    <row r="1766" spans="1:4" ht="24" customHeight="1" x14ac:dyDescent="0.25">
      <c r="A1766" t="str">
        <f>IF('e2'!A1766&gt;0,HYPERLINK("#"&amp;ADDRESS(1766,'e2'!A1766),""),IF('r2'!A1766&gt;0,HYPERLINK("#"&amp;ADDRESS(1766,'r2'!A1766),""),""))</f>
        <v/>
      </c>
      <c r="C1766" s="31"/>
      <c r="D1766" s="32"/>
    </row>
    <row r="1767" spans="1:4" ht="24" customHeight="1" x14ac:dyDescent="0.25">
      <c r="A1767" t="str">
        <f>IF('e2'!A1767&gt;0,HYPERLINK("#"&amp;ADDRESS(1767,'e2'!A1767),""),IF('r2'!A1767&gt;0,HYPERLINK("#"&amp;ADDRESS(1767,'r2'!A1767),""),""))</f>
        <v/>
      </c>
      <c r="C1767" s="31"/>
      <c r="D1767" s="32"/>
    </row>
    <row r="1768" spans="1:4" ht="24" customHeight="1" x14ac:dyDescent="0.25">
      <c r="A1768" t="str">
        <f>IF('e2'!A1768&gt;0,HYPERLINK("#"&amp;ADDRESS(1768,'e2'!A1768),""),IF('r2'!A1768&gt;0,HYPERLINK("#"&amp;ADDRESS(1768,'r2'!A1768),""),""))</f>
        <v/>
      </c>
      <c r="C1768" s="31"/>
      <c r="D1768" s="32"/>
    </row>
    <row r="1769" spans="1:4" ht="24" customHeight="1" x14ac:dyDescent="0.25">
      <c r="A1769" t="str">
        <f>IF('e2'!A1769&gt;0,HYPERLINK("#"&amp;ADDRESS(1769,'e2'!A1769),""),IF('r2'!A1769&gt;0,HYPERLINK("#"&amp;ADDRESS(1769,'r2'!A1769),""),""))</f>
        <v/>
      </c>
      <c r="C1769" s="31"/>
      <c r="D1769" s="32"/>
    </row>
    <row r="1770" spans="1:4" ht="24" customHeight="1" x14ac:dyDescent="0.25">
      <c r="A1770" t="str">
        <f>IF('e2'!A1770&gt;0,HYPERLINK("#"&amp;ADDRESS(1770,'e2'!A1770),""),IF('r2'!A1770&gt;0,HYPERLINK("#"&amp;ADDRESS(1770,'r2'!A1770),""),""))</f>
        <v/>
      </c>
      <c r="C1770" s="31"/>
      <c r="D1770" s="32"/>
    </row>
    <row r="1771" spans="1:4" ht="24" customHeight="1" x14ac:dyDescent="0.25">
      <c r="A1771" t="str">
        <f>IF('e2'!A1771&gt;0,HYPERLINK("#"&amp;ADDRESS(1771,'e2'!A1771),""),IF('r2'!A1771&gt;0,HYPERLINK("#"&amp;ADDRESS(1771,'r2'!A1771),""),""))</f>
        <v/>
      </c>
      <c r="C1771" s="31"/>
      <c r="D1771" s="32"/>
    </row>
    <row r="1772" spans="1:4" ht="24" customHeight="1" x14ac:dyDescent="0.25">
      <c r="A1772" t="str">
        <f>IF('e2'!A1772&gt;0,HYPERLINK("#"&amp;ADDRESS(1772,'e2'!A1772),""),IF('r2'!A1772&gt;0,HYPERLINK("#"&amp;ADDRESS(1772,'r2'!A1772),""),""))</f>
        <v/>
      </c>
      <c r="C1772" s="31"/>
      <c r="D1772" s="32"/>
    </row>
    <row r="1773" spans="1:4" ht="24" customHeight="1" x14ac:dyDescent="0.25">
      <c r="A1773" t="str">
        <f>IF('e2'!A1773&gt;0,HYPERLINK("#"&amp;ADDRESS(1773,'e2'!A1773),""),IF('r2'!A1773&gt;0,HYPERLINK("#"&amp;ADDRESS(1773,'r2'!A1773),""),""))</f>
        <v/>
      </c>
      <c r="C1773" s="31"/>
      <c r="D1773" s="32"/>
    </row>
    <row r="1774" spans="1:4" ht="24" customHeight="1" x14ac:dyDescent="0.25">
      <c r="A1774" t="str">
        <f>IF('e2'!A1774&gt;0,HYPERLINK("#"&amp;ADDRESS(1774,'e2'!A1774),""),IF('r2'!A1774&gt;0,HYPERLINK("#"&amp;ADDRESS(1774,'r2'!A1774),""),""))</f>
        <v/>
      </c>
      <c r="C1774" s="31"/>
      <c r="D1774" s="32"/>
    </row>
    <row r="1775" spans="1:4" ht="24" customHeight="1" x14ac:dyDescent="0.25">
      <c r="A1775" t="str">
        <f>IF('e2'!A1775&gt;0,HYPERLINK("#"&amp;ADDRESS(1775,'e2'!A1775),""),IF('r2'!A1775&gt;0,HYPERLINK("#"&amp;ADDRESS(1775,'r2'!A1775),""),""))</f>
        <v/>
      </c>
      <c r="C1775" s="31"/>
      <c r="D1775" s="32"/>
    </row>
    <row r="1776" spans="1:4" ht="24" customHeight="1" x14ac:dyDescent="0.25">
      <c r="A1776" t="str">
        <f>IF('e2'!A1776&gt;0,HYPERLINK("#"&amp;ADDRESS(1776,'e2'!A1776),""),IF('r2'!A1776&gt;0,HYPERLINK("#"&amp;ADDRESS(1776,'r2'!A1776),""),""))</f>
        <v/>
      </c>
      <c r="C1776" s="31"/>
      <c r="D1776" s="32"/>
    </row>
    <row r="1777" spans="1:4" ht="24" customHeight="1" x14ac:dyDescent="0.25">
      <c r="A1777" t="str">
        <f>IF('e2'!A1777&gt;0,HYPERLINK("#"&amp;ADDRESS(1777,'e2'!A1777),""),IF('r2'!A1777&gt;0,HYPERLINK("#"&amp;ADDRESS(1777,'r2'!A1777),""),""))</f>
        <v/>
      </c>
      <c r="C1777" s="31"/>
      <c r="D1777" s="32"/>
    </row>
    <row r="1778" spans="1:4" ht="24" customHeight="1" x14ac:dyDescent="0.25">
      <c r="A1778" t="str">
        <f>IF('e2'!A1778&gt;0,HYPERLINK("#"&amp;ADDRESS(1778,'e2'!A1778),""),IF('r2'!A1778&gt;0,HYPERLINK("#"&amp;ADDRESS(1778,'r2'!A1778),""),""))</f>
        <v/>
      </c>
      <c r="C1778" s="31"/>
      <c r="D1778" s="32"/>
    </row>
    <row r="1779" spans="1:4" ht="24" customHeight="1" x14ac:dyDescent="0.25">
      <c r="A1779" t="str">
        <f>IF('e2'!A1779&gt;0,HYPERLINK("#"&amp;ADDRESS(1779,'e2'!A1779),""),IF('r2'!A1779&gt;0,HYPERLINK("#"&amp;ADDRESS(1779,'r2'!A1779),""),""))</f>
        <v/>
      </c>
      <c r="C1779" s="31"/>
      <c r="D1779" s="32"/>
    </row>
    <row r="1780" spans="1:4" ht="24" customHeight="1" x14ac:dyDescent="0.25">
      <c r="A1780" t="str">
        <f>IF('e2'!A1780&gt;0,HYPERLINK("#"&amp;ADDRESS(1780,'e2'!A1780),""),IF('r2'!A1780&gt;0,HYPERLINK("#"&amp;ADDRESS(1780,'r2'!A1780),""),""))</f>
        <v/>
      </c>
      <c r="C1780" s="31"/>
      <c r="D1780" s="32"/>
    </row>
    <row r="1781" spans="1:4" ht="24" customHeight="1" x14ac:dyDescent="0.25">
      <c r="A1781" t="str">
        <f>IF('e2'!A1781&gt;0,HYPERLINK("#"&amp;ADDRESS(1781,'e2'!A1781),""),IF('r2'!A1781&gt;0,HYPERLINK("#"&amp;ADDRESS(1781,'r2'!A1781),""),""))</f>
        <v/>
      </c>
      <c r="C1781" s="31"/>
      <c r="D1781" s="32"/>
    </row>
    <row r="1782" spans="1:4" ht="24" customHeight="1" x14ac:dyDescent="0.25">
      <c r="A1782" t="str">
        <f>IF('e2'!A1782&gt;0,HYPERLINK("#"&amp;ADDRESS(1782,'e2'!A1782),""),IF('r2'!A1782&gt;0,HYPERLINK("#"&amp;ADDRESS(1782,'r2'!A1782),""),""))</f>
        <v/>
      </c>
      <c r="C1782" s="31"/>
      <c r="D1782" s="32"/>
    </row>
    <row r="1783" spans="1:4" ht="24" customHeight="1" x14ac:dyDescent="0.25">
      <c r="A1783" t="str">
        <f>IF('e2'!A1783&gt;0,HYPERLINK("#"&amp;ADDRESS(1783,'e2'!A1783),""),IF('r2'!A1783&gt;0,HYPERLINK("#"&amp;ADDRESS(1783,'r2'!A1783),""),""))</f>
        <v/>
      </c>
      <c r="C1783" s="31"/>
      <c r="D1783" s="32"/>
    </row>
    <row r="1784" spans="1:4" ht="24" customHeight="1" x14ac:dyDescent="0.25">
      <c r="A1784" t="str">
        <f>IF('e2'!A1784&gt;0,HYPERLINK("#"&amp;ADDRESS(1784,'e2'!A1784),""),IF('r2'!A1784&gt;0,HYPERLINK("#"&amp;ADDRESS(1784,'r2'!A1784),""),""))</f>
        <v/>
      </c>
      <c r="C1784" s="31"/>
      <c r="D1784" s="32"/>
    </row>
    <row r="1785" spans="1:4" ht="24" customHeight="1" x14ac:dyDescent="0.25">
      <c r="A1785" t="str">
        <f>IF('e2'!A1785&gt;0,HYPERLINK("#"&amp;ADDRESS(1785,'e2'!A1785),""),IF('r2'!A1785&gt;0,HYPERLINK("#"&amp;ADDRESS(1785,'r2'!A1785),""),""))</f>
        <v/>
      </c>
      <c r="C1785" s="31"/>
      <c r="D1785" s="32"/>
    </row>
    <row r="1786" spans="1:4" ht="24" customHeight="1" x14ac:dyDescent="0.25">
      <c r="A1786" t="str">
        <f>IF('e2'!A1786&gt;0,HYPERLINK("#"&amp;ADDRESS(1786,'e2'!A1786),""),IF('r2'!A1786&gt;0,HYPERLINK("#"&amp;ADDRESS(1786,'r2'!A1786),""),""))</f>
        <v/>
      </c>
      <c r="C1786" s="31"/>
      <c r="D1786" s="32"/>
    </row>
    <row r="1787" spans="1:4" ht="24" customHeight="1" x14ac:dyDescent="0.25">
      <c r="A1787" t="str">
        <f>IF('e2'!A1787&gt;0,HYPERLINK("#"&amp;ADDRESS(1787,'e2'!A1787),""),IF('r2'!A1787&gt;0,HYPERLINK("#"&amp;ADDRESS(1787,'r2'!A1787),""),""))</f>
        <v/>
      </c>
      <c r="C1787" s="31"/>
      <c r="D1787" s="32"/>
    </row>
    <row r="1788" spans="1:4" ht="24" customHeight="1" x14ac:dyDescent="0.25">
      <c r="A1788" t="str">
        <f>IF('e2'!A1788&gt;0,HYPERLINK("#"&amp;ADDRESS(1788,'e2'!A1788),""),IF('r2'!A1788&gt;0,HYPERLINK("#"&amp;ADDRESS(1788,'r2'!A1788),""),""))</f>
        <v/>
      </c>
      <c r="C1788" s="31"/>
      <c r="D1788" s="32"/>
    </row>
    <row r="1789" spans="1:4" ht="24" customHeight="1" x14ac:dyDescent="0.25">
      <c r="A1789" t="str">
        <f>IF('e2'!A1789&gt;0,HYPERLINK("#"&amp;ADDRESS(1789,'e2'!A1789),""),IF('r2'!A1789&gt;0,HYPERLINK("#"&amp;ADDRESS(1789,'r2'!A1789),""),""))</f>
        <v/>
      </c>
      <c r="C1789" s="31"/>
      <c r="D1789" s="32"/>
    </row>
    <row r="1790" spans="1:4" ht="24" customHeight="1" x14ac:dyDescent="0.25">
      <c r="A1790" t="str">
        <f>IF('e2'!A1790&gt;0,HYPERLINK("#"&amp;ADDRESS(1790,'e2'!A1790),""),IF('r2'!A1790&gt;0,HYPERLINK("#"&amp;ADDRESS(1790,'r2'!A1790),""),""))</f>
        <v/>
      </c>
      <c r="C1790" s="31"/>
      <c r="D1790" s="32"/>
    </row>
    <row r="1791" spans="1:4" ht="24" customHeight="1" x14ac:dyDescent="0.25">
      <c r="A1791" t="str">
        <f>IF('e2'!A1791&gt;0,HYPERLINK("#"&amp;ADDRESS(1791,'e2'!A1791),""),IF('r2'!A1791&gt;0,HYPERLINK("#"&amp;ADDRESS(1791,'r2'!A1791),""),""))</f>
        <v/>
      </c>
      <c r="C1791" s="31"/>
      <c r="D1791" s="32"/>
    </row>
    <row r="1792" spans="1:4" ht="24" customHeight="1" x14ac:dyDescent="0.25">
      <c r="A1792" t="str">
        <f>IF('e2'!A1792&gt;0,HYPERLINK("#"&amp;ADDRESS(1792,'e2'!A1792),""),IF('r2'!A1792&gt;0,HYPERLINK("#"&amp;ADDRESS(1792,'r2'!A1792),""),""))</f>
        <v/>
      </c>
      <c r="C1792" s="31"/>
      <c r="D1792" s="32"/>
    </row>
    <row r="1793" spans="1:4" ht="24" customHeight="1" x14ac:dyDescent="0.25">
      <c r="A1793" t="str">
        <f>IF('e2'!A1793&gt;0,HYPERLINK("#"&amp;ADDRESS(1793,'e2'!A1793),""),IF('r2'!A1793&gt;0,HYPERLINK("#"&amp;ADDRESS(1793,'r2'!A1793),""),""))</f>
        <v/>
      </c>
      <c r="C1793" s="31"/>
      <c r="D1793" s="32"/>
    </row>
    <row r="1794" spans="1:4" ht="24" customHeight="1" x14ac:dyDescent="0.25">
      <c r="A1794" t="str">
        <f>IF('e2'!A1794&gt;0,HYPERLINK("#"&amp;ADDRESS(1794,'e2'!A1794),""),IF('r2'!A1794&gt;0,HYPERLINK("#"&amp;ADDRESS(1794,'r2'!A1794),""),""))</f>
        <v/>
      </c>
      <c r="C1794" s="31"/>
      <c r="D1794" s="32"/>
    </row>
    <row r="1795" spans="1:4" ht="24" customHeight="1" x14ac:dyDescent="0.25">
      <c r="A1795" t="str">
        <f>IF('e2'!A1795&gt;0,HYPERLINK("#"&amp;ADDRESS(1795,'e2'!A1795),""),IF('r2'!A1795&gt;0,HYPERLINK("#"&amp;ADDRESS(1795,'r2'!A1795),""),""))</f>
        <v/>
      </c>
      <c r="C1795" s="31"/>
      <c r="D1795" s="32"/>
    </row>
    <row r="1796" spans="1:4" ht="24" customHeight="1" x14ac:dyDescent="0.25">
      <c r="A1796" t="str">
        <f>IF('e2'!A1796&gt;0,HYPERLINK("#"&amp;ADDRESS(1796,'e2'!A1796),""),IF('r2'!A1796&gt;0,HYPERLINK("#"&amp;ADDRESS(1796,'r2'!A1796),""),""))</f>
        <v/>
      </c>
      <c r="C1796" s="31"/>
      <c r="D1796" s="32"/>
    </row>
    <row r="1797" spans="1:4" ht="24" customHeight="1" x14ac:dyDescent="0.25">
      <c r="A1797" t="str">
        <f>IF('e2'!A1797&gt;0,HYPERLINK("#"&amp;ADDRESS(1797,'e2'!A1797),""),IF('r2'!A1797&gt;0,HYPERLINK("#"&amp;ADDRESS(1797,'r2'!A1797),""),""))</f>
        <v/>
      </c>
      <c r="C1797" s="31"/>
      <c r="D1797" s="32"/>
    </row>
    <row r="1798" spans="1:4" ht="24" customHeight="1" x14ac:dyDescent="0.25">
      <c r="A1798" t="str">
        <f>IF('e2'!A1798&gt;0,HYPERLINK("#"&amp;ADDRESS(1798,'e2'!A1798),""),IF('r2'!A1798&gt;0,HYPERLINK("#"&amp;ADDRESS(1798,'r2'!A1798),""),""))</f>
        <v/>
      </c>
      <c r="C1798" s="31"/>
      <c r="D1798" s="32"/>
    </row>
    <row r="1799" spans="1:4" ht="24" customHeight="1" x14ac:dyDescent="0.25">
      <c r="A1799" t="str">
        <f>IF('e2'!A1799&gt;0,HYPERLINK("#"&amp;ADDRESS(1799,'e2'!A1799),""),IF('r2'!A1799&gt;0,HYPERLINK("#"&amp;ADDRESS(1799,'r2'!A1799),""),""))</f>
        <v/>
      </c>
      <c r="C1799" s="31"/>
      <c r="D1799" s="32"/>
    </row>
    <row r="1800" spans="1:4" ht="24" customHeight="1" x14ac:dyDescent="0.25">
      <c r="A1800" t="str">
        <f>IF('e2'!A1800&gt;0,HYPERLINK("#"&amp;ADDRESS(1800,'e2'!A1800),""),IF('r2'!A1800&gt;0,HYPERLINK("#"&amp;ADDRESS(1800,'r2'!A1800),""),""))</f>
        <v/>
      </c>
      <c r="C1800" s="31"/>
      <c r="D1800" s="32"/>
    </row>
    <row r="1801" spans="1:4" ht="24" customHeight="1" x14ac:dyDescent="0.25">
      <c r="A1801" t="str">
        <f>IF('e2'!A1801&gt;0,HYPERLINK("#"&amp;ADDRESS(1801,'e2'!A1801),""),IF('r2'!A1801&gt;0,HYPERLINK("#"&amp;ADDRESS(1801,'r2'!A1801),""),""))</f>
        <v/>
      </c>
      <c r="C1801" s="31"/>
      <c r="D1801" s="32"/>
    </row>
    <row r="1802" spans="1:4" ht="24" customHeight="1" x14ac:dyDescent="0.25">
      <c r="A1802" t="str">
        <f>IF('e2'!A1802&gt;0,HYPERLINK("#"&amp;ADDRESS(1802,'e2'!A1802),""),IF('r2'!A1802&gt;0,HYPERLINK("#"&amp;ADDRESS(1802,'r2'!A1802),""),""))</f>
        <v/>
      </c>
      <c r="C1802" s="31"/>
      <c r="D1802" s="32"/>
    </row>
    <row r="1803" spans="1:4" ht="24" customHeight="1" x14ac:dyDescent="0.25">
      <c r="A1803" t="str">
        <f>IF('e2'!A1803&gt;0,HYPERLINK("#"&amp;ADDRESS(1803,'e2'!A1803),""),IF('r2'!A1803&gt;0,HYPERLINK("#"&amp;ADDRESS(1803,'r2'!A1803),""),""))</f>
        <v/>
      </c>
      <c r="C1803" s="31"/>
      <c r="D1803" s="32"/>
    </row>
    <row r="1804" spans="1:4" ht="24" customHeight="1" x14ac:dyDescent="0.25">
      <c r="A1804" t="str">
        <f>IF('e2'!A1804&gt;0,HYPERLINK("#"&amp;ADDRESS(1804,'e2'!A1804),""),IF('r2'!A1804&gt;0,HYPERLINK("#"&amp;ADDRESS(1804,'r2'!A1804),""),""))</f>
        <v/>
      </c>
      <c r="C1804" s="31"/>
      <c r="D1804" s="32"/>
    </row>
    <row r="1805" spans="1:4" ht="24" customHeight="1" x14ac:dyDescent="0.25">
      <c r="A1805" t="str">
        <f>IF('e2'!A1805&gt;0,HYPERLINK("#"&amp;ADDRESS(1805,'e2'!A1805),""),IF('r2'!A1805&gt;0,HYPERLINK("#"&amp;ADDRESS(1805,'r2'!A1805),""),""))</f>
        <v/>
      </c>
      <c r="C1805" s="31"/>
      <c r="D1805" s="32"/>
    </row>
    <row r="1806" spans="1:4" ht="24" customHeight="1" x14ac:dyDescent="0.25">
      <c r="A1806" t="str">
        <f>IF('e2'!A1806&gt;0,HYPERLINK("#"&amp;ADDRESS(1806,'e2'!A1806),""),IF('r2'!A1806&gt;0,HYPERLINK("#"&amp;ADDRESS(1806,'r2'!A1806),""),""))</f>
        <v/>
      </c>
      <c r="C1806" s="31"/>
      <c r="D1806" s="32"/>
    </row>
    <row r="1807" spans="1:4" ht="24" customHeight="1" x14ac:dyDescent="0.25">
      <c r="A1807" t="str">
        <f>IF('e2'!A1807&gt;0,HYPERLINK("#"&amp;ADDRESS(1807,'e2'!A1807),""),IF('r2'!A1807&gt;0,HYPERLINK("#"&amp;ADDRESS(1807,'r2'!A1807),""),""))</f>
        <v/>
      </c>
      <c r="C1807" s="31"/>
      <c r="D1807" s="32"/>
    </row>
    <row r="1808" spans="1:4" ht="24" customHeight="1" x14ac:dyDescent="0.25">
      <c r="A1808" t="str">
        <f>IF('e2'!A1808&gt;0,HYPERLINK("#"&amp;ADDRESS(1808,'e2'!A1808),""),IF('r2'!A1808&gt;0,HYPERLINK("#"&amp;ADDRESS(1808,'r2'!A1808),""),""))</f>
        <v/>
      </c>
      <c r="C1808" s="31"/>
      <c r="D1808" s="32"/>
    </row>
    <row r="1809" spans="1:4" ht="24" customHeight="1" x14ac:dyDescent="0.25">
      <c r="A1809" t="str">
        <f>IF('e2'!A1809&gt;0,HYPERLINK("#"&amp;ADDRESS(1809,'e2'!A1809),""),IF('r2'!A1809&gt;0,HYPERLINK("#"&amp;ADDRESS(1809,'r2'!A1809),""),""))</f>
        <v/>
      </c>
      <c r="C1809" s="31"/>
      <c r="D1809" s="32"/>
    </row>
    <row r="1810" spans="1:4" ht="24" customHeight="1" x14ac:dyDescent="0.25">
      <c r="A1810" t="str">
        <f>IF('e2'!A1810&gt;0,HYPERLINK("#"&amp;ADDRESS(1810,'e2'!A1810),""),IF('r2'!A1810&gt;0,HYPERLINK("#"&amp;ADDRESS(1810,'r2'!A1810),""),""))</f>
        <v/>
      </c>
      <c r="C1810" s="31"/>
      <c r="D1810" s="32"/>
    </row>
    <row r="1811" spans="1:4" ht="24" customHeight="1" x14ac:dyDescent="0.25">
      <c r="A1811" t="str">
        <f>IF('e2'!A1811&gt;0,HYPERLINK("#"&amp;ADDRESS(1811,'e2'!A1811),""),IF('r2'!A1811&gt;0,HYPERLINK("#"&amp;ADDRESS(1811,'r2'!A1811),""),""))</f>
        <v/>
      </c>
      <c r="C1811" s="31"/>
      <c r="D1811" s="32"/>
    </row>
    <row r="1812" spans="1:4" ht="24" customHeight="1" x14ac:dyDescent="0.25">
      <c r="A1812" t="str">
        <f>IF('e2'!A1812&gt;0,HYPERLINK("#"&amp;ADDRESS(1812,'e2'!A1812),""),IF('r2'!A1812&gt;0,HYPERLINK("#"&amp;ADDRESS(1812,'r2'!A1812),""),""))</f>
        <v/>
      </c>
      <c r="C1812" s="31"/>
      <c r="D1812" s="32"/>
    </row>
    <row r="1813" spans="1:4" ht="24" customHeight="1" x14ac:dyDescent="0.25">
      <c r="A1813" t="str">
        <f>IF('e2'!A1813&gt;0,HYPERLINK("#"&amp;ADDRESS(1813,'e2'!A1813),""),IF('r2'!A1813&gt;0,HYPERLINK("#"&amp;ADDRESS(1813,'r2'!A1813),""),""))</f>
        <v/>
      </c>
      <c r="C1813" s="31"/>
      <c r="D1813" s="32"/>
    </row>
    <row r="1814" spans="1:4" ht="24" customHeight="1" x14ac:dyDescent="0.25">
      <c r="A1814" t="str">
        <f>IF('e2'!A1814&gt;0,HYPERLINK("#"&amp;ADDRESS(1814,'e2'!A1814),""),IF('r2'!A1814&gt;0,HYPERLINK("#"&amp;ADDRESS(1814,'r2'!A1814),""),""))</f>
        <v/>
      </c>
      <c r="C1814" s="31"/>
      <c r="D1814" s="32"/>
    </row>
    <row r="1815" spans="1:4" ht="24" customHeight="1" x14ac:dyDescent="0.25">
      <c r="A1815" t="str">
        <f>IF('e2'!A1815&gt;0,HYPERLINK("#"&amp;ADDRESS(1815,'e2'!A1815),""),IF('r2'!A1815&gt;0,HYPERLINK("#"&amp;ADDRESS(1815,'r2'!A1815),""),""))</f>
        <v/>
      </c>
      <c r="C1815" s="31"/>
      <c r="D1815" s="32"/>
    </row>
    <row r="1816" spans="1:4" ht="24" customHeight="1" x14ac:dyDescent="0.25">
      <c r="A1816" t="str">
        <f>IF('e2'!A1816&gt;0,HYPERLINK("#"&amp;ADDRESS(1816,'e2'!A1816),""),IF('r2'!A1816&gt;0,HYPERLINK("#"&amp;ADDRESS(1816,'r2'!A1816),""),""))</f>
        <v/>
      </c>
      <c r="C1816" s="31"/>
      <c r="D1816" s="32"/>
    </row>
    <row r="1817" spans="1:4" ht="24" customHeight="1" x14ac:dyDescent="0.25">
      <c r="A1817" t="str">
        <f>IF('e2'!A1817&gt;0,HYPERLINK("#"&amp;ADDRESS(1817,'e2'!A1817),""),IF('r2'!A1817&gt;0,HYPERLINK("#"&amp;ADDRESS(1817,'r2'!A1817),""),""))</f>
        <v/>
      </c>
      <c r="C1817" s="31"/>
      <c r="D1817" s="32"/>
    </row>
    <row r="1818" spans="1:4" ht="24" customHeight="1" x14ac:dyDescent="0.25">
      <c r="A1818" t="str">
        <f>IF('e2'!A1818&gt;0,HYPERLINK("#"&amp;ADDRESS(1818,'e2'!A1818),""),IF('r2'!A1818&gt;0,HYPERLINK("#"&amp;ADDRESS(1818,'r2'!A1818),""),""))</f>
        <v/>
      </c>
      <c r="C1818" s="31"/>
      <c r="D1818" s="32"/>
    </row>
    <row r="1819" spans="1:4" ht="24" customHeight="1" x14ac:dyDescent="0.25">
      <c r="A1819" t="str">
        <f>IF('e2'!A1819&gt;0,HYPERLINK("#"&amp;ADDRESS(1819,'e2'!A1819),""),IF('r2'!A1819&gt;0,HYPERLINK("#"&amp;ADDRESS(1819,'r2'!A1819),""),""))</f>
        <v/>
      </c>
      <c r="C1819" s="31"/>
      <c r="D1819" s="32"/>
    </row>
    <row r="1820" spans="1:4" ht="24" customHeight="1" x14ac:dyDescent="0.25">
      <c r="A1820" t="str">
        <f>IF('e2'!A1820&gt;0,HYPERLINK("#"&amp;ADDRESS(1820,'e2'!A1820),""),IF('r2'!A1820&gt;0,HYPERLINK("#"&amp;ADDRESS(1820,'r2'!A1820),""),""))</f>
        <v/>
      </c>
      <c r="C1820" s="31"/>
      <c r="D1820" s="32"/>
    </row>
    <row r="1821" spans="1:4" ht="24" customHeight="1" x14ac:dyDescent="0.25">
      <c r="A1821" t="str">
        <f>IF('e2'!A1821&gt;0,HYPERLINK("#"&amp;ADDRESS(1821,'e2'!A1821),""),IF('r2'!A1821&gt;0,HYPERLINK("#"&amp;ADDRESS(1821,'r2'!A1821),""),""))</f>
        <v/>
      </c>
      <c r="C1821" s="31"/>
      <c r="D1821" s="32"/>
    </row>
    <row r="1822" spans="1:4" ht="24" customHeight="1" x14ac:dyDescent="0.25">
      <c r="A1822" t="str">
        <f>IF('e2'!A1822&gt;0,HYPERLINK("#"&amp;ADDRESS(1822,'e2'!A1822),""),IF('r2'!A1822&gt;0,HYPERLINK("#"&amp;ADDRESS(1822,'r2'!A1822),""),""))</f>
        <v/>
      </c>
      <c r="C1822" s="31"/>
      <c r="D1822" s="32"/>
    </row>
    <row r="1823" spans="1:4" ht="24" customHeight="1" x14ac:dyDescent="0.25">
      <c r="A1823" t="str">
        <f>IF('e2'!A1823&gt;0,HYPERLINK("#"&amp;ADDRESS(1823,'e2'!A1823),""),IF('r2'!A1823&gt;0,HYPERLINK("#"&amp;ADDRESS(1823,'r2'!A1823),""),""))</f>
        <v/>
      </c>
      <c r="C1823" s="31"/>
      <c r="D1823" s="32"/>
    </row>
    <row r="1824" spans="1:4" ht="24" customHeight="1" x14ac:dyDescent="0.25">
      <c r="A1824" t="str">
        <f>IF('e2'!A1824&gt;0,HYPERLINK("#"&amp;ADDRESS(1824,'e2'!A1824),""),IF('r2'!A1824&gt;0,HYPERLINK("#"&amp;ADDRESS(1824,'r2'!A1824),""),""))</f>
        <v/>
      </c>
      <c r="C1824" s="31"/>
      <c r="D1824" s="32"/>
    </row>
    <row r="1825" spans="1:4" ht="24" customHeight="1" x14ac:dyDescent="0.25">
      <c r="A1825" t="str">
        <f>IF('e2'!A1825&gt;0,HYPERLINK("#"&amp;ADDRESS(1825,'e2'!A1825),""),IF('r2'!A1825&gt;0,HYPERLINK("#"&amp;ADDRESS(1825,'r2'!A1825),""),""))</f>
        <v/>
      </c>
      <c r="C1825" s="31"/>
      <c r="D1825" s="32"/>
    </row>
    <row r="1826" spans="1:4" ht="24" customHeight="1" x14ac:dyDescent="0.25">
      <c r="A1826" t="str">
        <f>IF('e2'!A1826&gt;0,HYPERLINK("#"&amp;ADDRESS(1826,'e2'!A1826),""),IF('r2'!A1826&gt;0,HYPERLINK("#"&amp;ADDRESS(1826,'r2'!A1826),""),""))</f>
        <v/>
      </c>
      <c r="C1826" s="31"/>
      <c r="D1826" s="32"/>
    </row>
    <row r="1827" spans="1:4" ht="24" customHeight="1" x14ac:dyDescent="0.25">
      <c r="A1827" t="str">
        <f>IF('e2'!A1827&gt;0,HYPERLINK("#"&amp;ADDRESS(1827,'e2'!A1827),""),IF('r2'!A1827&gt;0,HYPERLINK("#"&amp;ADDRESS(1827,'r2'!A1827),""),""))</f>
        <v/>
      </c>
      <c r="C1827" s="31"/>
      <c r="D1827" s="32"/>
    </row>
    <row r="1828" spans="1:4" ht="24" customHeight="1" x14ac:dyDescent="0.25">
      <c r="A1828" t="str">
        <f>IF('e2'!A1828&gt;0,HYPERLINK("#"&amp;ADDRESS(1828,'e2'!A1828),""),IF('r2'!A1828&gt;0,HYPERLINK("#"&amp;ADDRESS(1828,'r2'!A1828),""),""))</f>
        <v/>
      </c>
      <c r="C1828" s="31"/>
      <c r="D1828" s="32"/>
    </row>
    <row r="1829" spans="1:4" ht="24" customHeight="1" x14ac:dyDescent="0.25">
      <c r="A1829" t="str">
        <f>IF('e2'!A1829&gt;0,HYPERLINK("#"&amp;ADDRESS(1829,'e2'!A1829),""),IF('r2'!A1829&gt;0,HYPERLINK("#"&amp;ADDRESS(1829,'r2'!A1829),""),""))</f>
        <v/>
      </c>
      <c r="C1829" s="31"/>
      <c r="D1829" s="32"/>
    </row>
    <row r="1830" spans="1:4" ht="24" customHeight="1" x14ac:dyDescent="0.25">
      <c r="A1830" t="str">
        <f>IF('e2'!A1830&gt;0,HYPERLINK("#"&amp;ADDRESS(1830,'e2'!A1830),""),IF('r2'!A1830&gt;0,HYPERLINK("#"&amp;ADDRESS(1830,'r2'!A1830),""),""))</f>
        <v/>
      </c>
      <c r="C1830" s="31"/>
      <c r="D1830" s="32"/>
    </row>
    <row r="1831" spans="1:4" ht="24" customHeight="1" x14ac:dyDescent="0.25">
      <c r="A1831" t="str">
        <f>IF('e2'!A1831&gt;0,HYPERLINK("#"&amp;ADDRESS(1831,'e2'!A1831),""),IF('r2'!A1831&gt;0,HYPERLINK("#"&amp;ADDRESS(1831,'r2'!A1831),""),""))</f>
        <v/>
      </c>
      <c r="C1831" s="31"/>
      <c r="D1831" s="32"/>
    </row>
    <row r="1832" spans="1:4" ht="24" customHeight="1" x14ac:dyDescent="0.25">
      <c r="A1832" t="str">
        <f>IF('e2'!A1832&gt;0,HYPERLINK("#"&amp;ADDRESS(1832,'e2'!A1832),""),IF('r2'!A1832&gt;0,HYPERLINK("#"&amp;ADDRESS(1832,'r2'!A1832),""),""))</f>
        <v/>
      </c>
      <c r="C1832" s="31"/>
      <c r="D1832" s="32"/>
    </row>
    <row r="1833" spans="1:4" ht="24" customHeight="1" x14ac:dyDescent="0.25">
      <c r="A1833" t="str">
        <f>IF('e2'!A1833&gt;0,HYPERLINK("#"&amp;ADDRESS(1833,'e2'!A1833),""),IF('r2'!A1833&gt;0,HYPERLINK("#"&amp;ADDRESS(1833,'r2'!A1833),""),""))</f>
        <v/>
      </c>
      <c r="C1833" s="31"/>
      <c r="D1833" s="32"/>
    </row>
    <row r="1834" spans="1:4" ht="24" customHeight="1" x14ac:dyDescent="0.25">
      <c r="A1834" t="str">
        <f>IF('e2'!A1834&gt;0,HYPERLINK("#"&amp;ADDRESS(1834,'e2'!A1834),""),IF('r2'!A1834&gt;0,HYPERLINK("#"&amp;ADDRESS(1834,'r2'!A1834),""),""))</f>
        <v/>
      </c>
      <c r="C1834" s="31"/>
      <c r="D1834" s="32"/>
    </row>
    <row r="1835" spans="1:4" ht="24" customHeight="1" x14ac:dyDescent="0.25">
      <c r="A1835" t="str">
        <f>IF('e2'!A1835&gt;0,HYPERLINK("#"&amp;ADDRESS(1835,'e2'!A1835),""),IF('r2'!A1835&gt;0,HYPERLINK("#"&amp;ADDRESS(1835,'r2'!A1835),""),""))</f>
        <v/>
      </c>
      <c r="C1835" s="31"/>
      <c r="D1835" s="32"/>
    </row>
    <row r="1836" spans="1:4" ht="24" customHeight="1" x14ac:dyDescent="0.25">
      <c r="A1836" t="str">
        <f>IF('e2'!A1836&gt;0,HYPERLINK("#"&amp;ADDRESS(1836,'e2'!A1836),""),IF('r2'!A1836&gt;0,HYPERLINK("#"&amp;ADDRESS(1836,'r2'!A1836),""),""))</f>
        <v/>
      </c>
      <c r="C1836" s="31"/>
      <c r="D1836" s="32"/>
    </row>
    <row r="1837" spans="1:4" ht="24" customHeight="1" x14ac:dyDescent="0.25">
      <c r="A1837" t="str">
        <f>IF('e2'!A1837&gt;0,HYPERLINK("#"&amp;ADDRESS(1837,'e2'!A1837),""),IF('r2'!A1837&gt;0,HYPERLINK("#"&amp;ADDRESS(1837,'r2'!A1837),""),""))</f>
        <v/>
      </c>
      <c r="C1837" s="31"/>
      <c r="D1837" s="32"/>
    </row>
    <row r="1838" spans="1:4" ht="24" customHeight="1" x14ac:dyDescent="0.25">
      <c r="A1838" t="str">
        <f>IF('e2'!A1838&gt;0,HYPERLINK("#"&amp;ADDRESS(1838,'e2'!A1838),""),IF('r2'!A1838&gt;0,HYPERLINK("#"&amp;ADDRESS(1838,'r2'!A1838),""),""))</f>
        <v/>
      </c>
      <c r="C1838" s="31"/>
      <c r="D1838" s="32"/>
    </row>
    <row r="1839" spans="1:4" ht="24" customHeight="1" x14ac:dyDescent="0.25">
      <c r="A1839" t="str">
        <f>IF('e2'!A1839&gt;0,HYPERLINK("#"&amp;ADDRESS(1839,'e2'!A1839),""),IF('r2'!A1839&gt;0,HYPERLINK("#"&amp;ADDRESS(1839,'r2'!A1839),""),""))</f>
        <v/>
      </c>
      <c r="C1839" s="31"/>
      <c r="D1839" s="32"/>
    </row>
    <row r="1840" spans="1:4" ht="24" customHeight="1" x14ac:dyDescent="0.25">
      <c r="A1840" t="str">
        <f>IF('e2'!A1840&gt;0,HYPERLINK("#"&amp;ADDRESS(1840,'e2'!A1840),""),IF('r2'!A1840&gt;0,HYPERLINK("#"&amp;ADDRESS(1840,'r2'!A1840),""),""))</f>
        <v/>
      </c>
      <c r="C1840" s="31"/>
      <c r="D1840" s="32"/>
    </row>
    <row r="1841" spans="1:4" ht="24" customHeight="1" x14ac:dyDescent="0.25">
      <c r="A1841" t="str">
        <f>IF('e2'!A1841&gt;0,HYPERLINK("#"&amp;ADDRESS(1841,'e2'!A1841),""),IF('r2'!A1841&gt;0,HYPERLINK("#"&amp;ADDRESS(1841,'r2'!A1841),""),""))</f>
        <v/>
      </c>
      <c r="C1841" s="31"/>
      <c r="D1841" s="32"/>
    </row>
    <row r="1842" spans="1:4" ht="24" customHeight="1" x14ac:dyDescent="0.25">
      <c r="A1842" t="str">
        <f>IF('e2'!A1842&gt;0,HYPERLINK("#"&amp;ADDRESS(1842,'e2'!A1842),""),IF('r2'!A1842&gt;0,HYPERLINK("#"&amp;ADDRESS(1842,'r2'!A1842),""),""))</f>
        <v/>
      </c>
      <c r="C1842" s="31"/>
      <c r="D1842" s="32"/>
    </row>
    <row r="1843" spans="1:4" ht="24" customHeight="1" x14ac:dyDescent="0.25">
      <c r="A1843" t="str">
        <f>IF('e2'!A1843&gt;0,HYPERLINK("#"&amp;ADDRESS(1843,'e2'!A1843),""),IF('r2'!A1843&gt;0,HYPERLINK("#"&amp;ADDRESS(1843,'r2'!A1843),""),""))</f>
        <v/>
      </c>
      <c r="C1843" s="31"/>
      <c r="D1843" s="32"/>
    </row>
    <row r="1844" spans="1:4" ht="24" customHeight="1" x14ac:dyDescent="0.25">
      <c r="A1844" t="str">
        <f>IF('e2'!A1844&gt;0,HYPERLINK("#"&amp;ADDRESS(1844,'e2'!A1844),""),IF('r2'!A1844&gt;0,HYPERLINK("#"&amp;ADDRESS(1844,'r2'!A1844),""),""))</f>
        <v/>
      </c>
      <c r="C1844" s="31"/>
      <c r="D1844" s="32"/>
    </row>
    <row r="1845" spans="1:4" ht="24" customHeight="1" x14ac:dyDescent="0.25">
      <c r="A1845" t="str">
        <f>IF('e2'!A1845&gt;0,HYPERLINK("#"&amp;ADDRESS(1845,'e2'!A1845),""),IF('r2'!A1845&gt;0,HYPERLINK("#"&amp;ADDRESS(1845,'r2'!A1845),""),""))</f>
        <v/>
      </c>
      <c r="C1845" s="31"/>
      <c r="D1845" s="32"/>
    </row>
    <row r="1846" spans="1:4" ht="24" customHeight="1" x14ac:dyDescent="0.25">
      <c r="A1846" t="str">
        <f>IF('e2'!A1846&gt;0,HYPERLINK("#"&amp;ADDRESS(1846,'e2'!A1846),""),IF('r2'!A1846&gt;0,HYPERLINK("#"&amp;ADDRESS(1846,'r2'!A1846),""),""))</f>
        <v/>
      </c>
      <c r="C1846" s="31"/>
      <c r="D1846" s="32"/>
    </row>
    <row r="1847" spans="1:4" ht="24" customHeight="1" x14ac:dyDescent="0.25">
      <c r="A1847" t="str">
        <f>IF('e2'!A1847&gt;0,HYPERLINK("#"&amp;ADDRESS(1847,'e2'!A1847),""),IF('r2'!A1847&gt;0,HYPERLINK("#"&amp;ADDRESS(1847,'r2'!A1847),""),""))</f>
        <v/>
      </c>
      <c r="C1847" s="31"/>
      <c r="D1847" s="32"/>
    </row>
    <row r="1848" spans="1:4" ht="24" customHeight="1" x14ac:dyDescent="0.25">
      <c r="A1848" t="str">
        <f>IF('e2'!A1848&gt;0,HYPERLINK("#"&amp;ADDRESS(1848,'e2'!A1848),""),IF('r2'!A1848&gt;0,HYPERLINK("#"&amp;ADDRESS(1848,'r2'!A1848),""),""))</f>
        <v/>
      </c>
      <c r="C1848" s="31"/>
      <c r="D1848" s="32"/>
    </row>
    <row r="1849" spans="1:4" ht="24" customHeight="1" x14ac:dyDescent="0.25">
      <c r="A1849" t="str">
        <f>IF('e2'!A1849&gt;0,HYPERLINK("#"&amp;ADDRESS(1849,'e2'!A1849),""),IF('r2'!A1849&gt;0,HYPERLINK("#"&amp;ADDRESS(1849,'r2'!A1849),""),""))</f>
        <v/>
      </c>
      <c r="C1849" s="31"/>
      <c r="D1849" s="32"/>
    </row>
    <row r="1850" spans="1:4" ht="24" customHeight="1" x14ac:dyDescent="0.25">
      <c r="A1850" t="str">
        <f>IF('e2'!A1850&gt;0,HYPERLINK("#"&amp;ADDRESS(1850,'e2'!A1850),""),IF('r2'!A1850&gt;0,HYPERLINK("#"&amp;ADDRESS(1850,'r2'!A1850),""),""))</f>
        <v/>
      </c>
      <c r="C1850" s="31"/>
      <c r="D1850" s="32"/>
    </row>
    <row r="1851" spans="1:4" ht="24" customHeight="1" x14ac:dyDescent="0.25">
      <c r="A1851" t="str">
        <f>IF('e2'!A1851&gt;0,HYPERLINK("#"&amp;ADDRESS(1851,'e2'!A1851),""),IF('r2'!A1851&gt;0,HYPERLINK("#"&amp;ADDRESS(1851,'r2'!A1851),""),""))</f>
        <v/>
      </c>
      <c r="C1851" s="31"/>
      <c r="D1851" s="32"/>
    </row>
    <row r="1852" spans="1:4" ht="24" customHeight="1" x14ac:dyDescent="0.25">
      <c r="A1852" t="str">
        <f>IF('e2'!A1852&gt;0,HYPERLINK("#"&amp;ADDRESS(1852,'e2'!A1852),""),IF('r2'!A1852&gt;0,HYPERLINK("#"&amp;ADDRESS(1852,'r2'!A1852),""),""))</f>
        <v/>
      </c>
      <c r="C1852" s="31"/>
      <c r="D1852" s="32"/>
    </row>
    <row r="1853" spans="1:4" ht="24" customHeight="1" x14ac:dyDescent="0.25">
      <c r="A1853" t="str">
        <f>IF('e2'!A1853&gt;0,HYPERLINK("#"&amp;ADDRESS(1853,'e2'!A1853),""),IF('r2'!A1853&gt;0,HYPERLINK("#"&amp;ADDRESS(1853,'r2'!A1853),""),""))</f>
        <v/>
      </c>
      <c r="C1853" s="31"/>
      <c r="D1853" s="32"/>
    </row>
    <row r="1854" spans="1:4" ht="24" customHeight="1" x14ac:dyDescent="0.25">
      <c r="A1854" t="str">
        <f>IF('e2'!A1854&gt;0,HYPERLINK("#"&amp;ADDRESS(1854,'e2'!A1854),""),IF('r2'!A1854&gt;0,HYPERLINK("#"&amp;ADDRESS(1854,'r2'!A1854),""),""))</f>
        <v/>
      </c>
      <c r="C1854" s="31"/>
      <c r="D1854" s="32"/>
    </row>
    <row r="1855" spans="1:4" ht="24" customHeight="1" x14ac:dyDescent="0.25">
      <c r="A1855" t="str">
        <f>IF('e2'!A1855&gt;0,HYPERLINK("#"&amp;ADDRESS(1855,'e2'!A1855),""),IF('r2'!A1855&gt;0,HYPERLINK("#"&amp;ADDRESS(1855,'r2'!A1855),""),""))</f>
        <v/>
      </c>
      <c r="C1855" s="31"/>
      <c r="D1855" s="32"/>
    </row>
    <row r="1856" spans="1:4" ht="24" customHeight="1" x14ac:dyDescent="0.25">
      <c r="A1856" t="str">
        <f>IF('e2'!A1856&gt;0,HYPERLINK("#"&amp;ADDRESS(1856,'e2'!A1856),""),IF('r2'!A1856&gt;0,HYPERLINK("#"&amp;ADDRESS(1856,'r2'!A1856),""),""))</f>
        <v/>
      </c>
      <c r="C1856" s="31"/>
      <c r="D1856" s="32"/>
    </row>
    <row r="1857" spans="1:4" ht="24" customHeight="1" x14ac:dyDescent="0.25">
      <c r="A1857" t="str">
        <f>IF('e2'!A1857&gt;0,HYPERLINK("#"&amp;ADDRESS(1857,'e2'!A1857),""),IF('r2'!A1857&gt;0,HYPERLINK("#"&amp;ADDRESS(1857,'r2'!A1857),""),""))</f>
        <v/>
      </c>
      <c r="C1857" s="31"/>
      <c r="D1857" s="32"/>
    </row>
    <row r="1858" spans="1:4" ht="24" customHeight="1" x14ac:dyDescent="0.25">
      <c r="A1858" t="str">
        <f>IF('e2'!A1858&gt;0,HYPERLINK("#"&amp;ADDRESS(1858,'e2'!A1858),""),IF('r2'!A1858&gt;0,HYPERLINK("#"&amp;ADDRESS(1858,'r2'!A1858),""),""))</f>
        <v/>
      </c>
      <c r="C1858" s="31"/>
      <c r="D1858" s="32"/>
    </row>
    <row r="1859" spans="1:4" ht="24" customHeight="1" x14ac:dyDescent="0.25">
      <c r="A1859" t="str">
        <f>IF('e2'!A1859&gt;0,HYPERLINK("#"&amp;ADDRESS(1859,'e2'!A1859),""),IF('r2'!A1859&gt;0,HYPERLINK("#"&amp;ADDRESS(1859,'r2'!A1859),""),""))</f>
        <v/>
      </c>
      <c r="C1859" s="31"/>
      <c r="D1859" s="32"/>
    </row>
    <row r="1860" spans="1:4" ht="24" customHeight="1" x14ac:dyDescent="0.25">
      <c r="A1860" t="str">
        <f>IF('e2'!A1860&gt;0,HYPERLINK("#"&amp;ADDRESS(1860,'e2'!A1860),""),IF('r2'!A1860&gt;0,HYPERLINK("#"&amp;ADDRESS(1860,'r2'!A1860),""),""))</f>
        <v/>
      </c>
      <c r="C1860" s="31"/>
      <c r="D1860" s="32"/>
    </row>
    <row r="1861" spans="1:4" ht="24" customHeight="1" x14ac:dyDescent="0.25">
      <c r="A1861" t="str">
        <f>IF('e2'!A1861&gt;0,HYPERLINK("#"&amp;ADDRESS(1861,'e2'!A1861),""),IF('r2'!A1861&gt;0,HYPERLINK("#"&amp;ADDRESS(1861,'r2'!A1861),""),""))</f>
        <v/>
      </c>
      <c r="C1861" s="31"/>
      <c r="D1861" s="32"/>
    </row>
    <row r="1862" spans="1:4" ht="24" customHeight="1" x14ac:dyDescent="0.25">
      <c r="A1862" t="str">
        <f>IF('e2'!A1862&gt;0,HYPERLINK("#"&amp;ADDRESS(1862,'e2'!A1862),""),IF('r2'!A1862&gt;0,HYPERLINK("#"&amp;ADDRESS(1862,'r2'!A1862),""),""))</f>
        <v/>
      </c>
      <c r="C1862" s="31"/>
      <c r="D1862" s="32"/>
    </row>
    <row r="1863" spans="1:4" ht="24" customHeight="1" x14ac:dyDescent="0.25">
      <c r="A1863" t="str">
        <f>IF('e2'!A1863&gt;0,HYPERLINK("#"&amp;ADDRESS(1863,'e2'!A1863),""),IF('r2'!A1863&gt;0,HYPERLINK("#"&amp;ADDRESS(1863,'r2'!A1863),""),""))</f>
        <v/>
      </c>
      <c r="C1863" s="31"/>
      <c r="D1863" s="32"/>
    </row>
    <row r="1864" spans="1:4" ht="24" customHeight="1" x14ac:dyDescent="0.25">
      <c r="A1864" t="str">
        <f>IF('e2'!A1864&gt;0,HYPERLINK("#"&amp;ADDRESS(1864,'e2'!A1864),""),IF('r2'!A1864&gt;0,HYPERLINK("#"&amp;ADDRESS(1864,'r2'!A1864),""),""))</f>
        <v/>
      </c>
      <c r="C1864" s="31"/>
      <c r="D1864" s="32"/>
    </row>
    <row r="1865" spans="1:4" ht="24" customHeight="1" x14ac:dyDescent="0.25">
      <c r="A1865" t="str">
        <f>IF('e2'!A1865&gt;0,HYPERLINK("#"&amp;ADDRESS(1865,'e2'!A1865),""),IF('r2'!A1865&gt;0,HYPERLINK("#"&amp;ADDRESS(1865,'r2'!A1865),""),""))</f>
        <v/>
      </c>
      <c r="C1865" s="31"/>
      <c r="D1865" s="32"/>
    </row>
    <row r="1866" spans="1:4" ht="24" customHeight="1" x14ac:dyDescent="0.25">
      <c r="A1866" t="str">
        <f>IF('e2'!A1866&gt;0,HYPERLINK("#"&amp;ADDRESS(1866,'e2'!A1866),""),IF('r2'!A1866&gt;0,HYPERLINK("#"&amp;ADDRESS(1866,'r2'!A1866),""),""))</f>
        <v/>
      </c>
      <c r="C1866" s="31"/>
      <c r="D1866" s="32"/>
    </row>
    <row r="1867" spans="1:4" ht="24" customHeight="1" x14ac:dyDescent="0.25">
      <c r="A1867" t="str">
        <f>IF('e2'!A1867&gt;0,HYPERLINK("#"&amp;ADDRESS(1867,'e2'!A1867),""),IF('r2'!A1867&gt;0,HYPERLINK("#"&amp;ADDRESS(1867,'r2'!A1867),""),""))</f>
        <v/>
      </c>
      <c r="C1867" s="31"/>
      <c r="D1867" s="32"/>
    </row>
    <row r="1868" spans="1:4" ht="24" customHeight="1" x14ac:dyDescent="0.25">
      <c r="A1868" t="str">
        <f>IF('e2'!A1868&gt;0,HYPERLINK("#"&amp;ADDRESS(1868,'e2'!A1868),""),IF('r2'!A1868&gt;0,HYPERLINK("#"&amp;ADDRESS(1868,'r2'!A1868),""),""))</f>
        <v/>
      </c>
      <c r="C1868" s="31"/>
      <c r="D1868" s="32"/>
    </row>
    <row r="1869" spans="1:4" ht="24" customHeight="1" x14ac:dyDescent="0.25">
      <c r="A1869" t="str">
        <f>IF('e2'!A1869&gt;0,HYPERLINK("#"&amp;ADDRESS(1869,'e2'!A1869),""),IF('r2'!A1869&gt;0,HYPERLINK("#"&amp;ADDRESS(1869,'r2'!A1869),""),""))</f>
        <v/>
      </c>
      <c r="C1869" s="31"/>
      <c r="D1869" s="32"/>
    </row>
    <row r="1870" spans="1:4" ht="24" customHeight="1" x14ac:dyDescent="0.25">
      <c r="A1870" t="str">
        <f>IF('e2'!A1870&gt;0,HYPERLINK("#"&amp;ADDRESS(1870,'e2'!A1870),""),IF('r2'!A1870&gt;0,HYPERLINK("#"&amp;ADDRESS(1870,'r2'!A1870),""),""))</f>
        <v/>
      </c>
      <c r="C1870" s="31"/>
      <c r="D1870" s="32"/>
    </row>
    <row r="1871" spans="1:4" ht="24" customHeight="1" x14ac:dyDescent="0.25">
      <c r="A1871" t="str">
        <f>IF('e2'!A1871&gt;0,HYPERLINK("#"&amp;ADDRESS(1871,'e2'!A1871),""),IF('r2'!A1871&gt;0,HYPERLINK("#"&amp;ADDRESS(1871,'r2'!A1871),""),""))</f>
        <v/>
      </c>
      <c r="C1871" s="31"/>
      <c r="D1871" s="32"/>
    </row>
    <row r="1872" spans="1:4" ht="24" customHeight="1" x14ac:dyDescent="0.25">
      <c r="A1872" t="str">
        <f>IF('e2'!A1872&gt;0,HYPERLINK("#"&amp;ADDRESS(1872,'e2'!A1872),""),IF('r2'!A1872&gt;0,HYPERLINK("#"&amp;ADDRESS(1872,'r2'!A1872),""),""))</f>
        <v/>
      </c>
      <c r="C1872" s="31"/>
      <c r="D1872" s="32"/>
    </row>
    <row r="1873" spans="1:4" ht="24" customHeight="1" x14ac:dyDescent="0.25">
      <c r="A1873" t="str">
        <f>IF('e2'!A1873&gt;0,HYPERLINK("#"&amp;ADDRESS(1873,'e2'!A1873),""),IF('r2'!A1873&gt;0,HYPERLINK("#"&amp;ADDRESS(1873,'r2'!A1873),""),""))</f>
        <v/>
      </c>
      <c r="C1873" s="31"/>
      <c r="D1873" s="32"/>
    </row>
    <row r="1874" spans="1:4" ht="24" customHeight="1" x14ac:dyDescent="0.25">
      <c r="A1874" t="str">
        <f>IF('e2'!A1874&gt;0,HYPERLINK("#"&amp;ADDRESS(1874,'e2'!A1874),""),IF('r2'!A1874&gt;0,HYPERLINK("#"&amp;ADDRESS(1874,'r2'!A1874),""),""))</f>
        <v/>
      </c>
      <c r="C1874" s="31"/>
      <c r="D1874" s="32"/>
    </row>
    <row r="1875" spans="1:4" ht="24" customHeight="1" x14ac:dyDescent="0.25">
      <c r="A1875" t="str">
        <f>IF('e2'!A1875&gt;0,HYPERLINK("#"&amp;ADDRESS(1875,'e2'!A1875),""),IF('r2'!A1875&gt;0,HYPERLINK("#"&amp;ADDRESS(1875,'r2'!A1875),""),""))</f>
        <v/>
      </c>
      <c r="C1875" s="31"/>
      <c r="D1875" s="32"/>
    </row>
    <row r="1876" spans="1:4" ht="24" customHeight="1" x14ac:dyDescent="0.25">
      <c r="A1876" t="str">
        <f>IF('e2'!A1876&gt;0,HYPERLINK("#"&amp;ADDRESS(1876,'e2'!A1876),""),IF('r2'!A1876&gt;0,HYPERLINK("#"&amp;ADDRESS(1876,'r2'!A1876),""),""))</f>
        <v/>
      </c>
      <c r="C1876" s="31"/>
      <c r="D1876" s="32"/>
    </row>
    <row r="1877" spans="1:4" ht="24" customHeight="1" x14ac:dyDescent="0.25">
      <c r="A1877" t="str">
        <f>IF('e2'!A1877&gt;0,HYPERLINK("#"&amp;ADDRESS(1877,'e2'!A1877),""),IF('r2'!A1877&gt;0,HYPERLINK("#"&amp;ADDRESS(1877,'r2'!A1877),""),""))</f>
        <v/>
      </c>
      <c r="C1877" s="31"/>
      <c r="D1877" s="32"/>
    </row>
    <row r="1878" spans="1:4" ht="24" customHeight="1" x14ac:dyDescent="0.25">
      <c r="A1878" t="str">
        <f>IF('e2'!A1878&gt;0,HYPERLINK("#"&amp;ADDRESS(1878,'e2'!A1878),""),IF('r2'!A1878&gt;0,HYPERLINK("#"&amp;ADDRESS(1878,'r2'!A1878),""),""))</f>
        <v/>
      </c>
      <c r="C1878" s="31"/>
      <c r="D1878" s="32"/>
    </row>
    <row r="1879" spans="1:4" ht="24" customHeight="1" x14ac:dyDescent="0.25">
      <c r="A1879" t="str">
        <f>IF('e2'!A1879&gt;0,HYPERLINK("#"&amp;ADDRESS(1879,'e2'!A1879),""),IF('r2'!A1879&gt;0,HYPERLINK("#"&amp;ADDRESS(1879,'r2'!A1879),""),""))</f>
        <v/>
      </c>
      <c r="C1879" s="31"/>
      <c r="D1879" s="32"/>
    </row>
    <row r="1880" spans="1:4" ht="24" customHeight="1" x14ac:dyDescent="0.25">
      <c r="A1880" t="str">
        <f>IF('e2'!A1880&gt;0,HYPERLINK("#"&amp;ADDRESS(1880,'e2'!A1880),""),IF('r2'!A1880&gt;0,HYPERLINK("#"&amp;ADDRESS(1880,'r2'!A1880),""),""))</f>
        <v/>
      </c>
      <c r="C1880" s="31"/>
      <c r="D1880" s="32"/>
    </row>
    <row r="1881" spans="1:4" ht="24" customHeight="1" x14ac:dyDescent="0.25">
      <c r="A1881" t="str">
        <f>IF('e2'!A1881&gt;0,HYPERLINK("#"&amp;ADDRESS(1881,'e2'!A1881),""),IF('r2'!A1881&gt;0,HYPERLINK("#"&amp;ADDRESS(1881,'r2'!A1881),""),""))</f>
        <v/>
      </c>
      <c r="C1881" s="31"/>
      <c r="D1881" s="32"/>
    </row>
    <row r="1882" spans="1:4" ht="24" customHeight="1" x14ac:dyDescent="0.25">
      <c r="A1882" t="str">
        <f>IF('e2'!A1882&gt;0,HYPERLINK("#"&amp;ADDRESS(1882,'e2'!A1882),""),IF('r2'!A1882&gt;0,HYPERLINK("#"&amp;ADDRESS(1882,'r2'!A1882),""),""))</f>
        <v/>
      </c>
      <c r="C1882" s="31"/>
      <c r="D1882" s="32"/>
    </row>
    <row r="1883" spans="1:4" ht="24" customHeight="1" x14ac:dyDescent="0.25">
      <c r="A1883" t="str">
        <f>IF('e2'!A1883&gt;0,HYPERLINK("#"&amp;ADDRESS(1883,'e2'!A1883),""),IF('r2'!A1883&gt;0,HYPERLINK("#"&amp;ADDRESS(1883,'r2'!A1883),""),""))</f>
        <v/>
      </c>
      <c r="C1883" s="31"/>
      <c r="D1883" s="32"/>
    </row>
    <row r="1884" spans="1:4" ht="24" customHeight="1" x14ac:dyDescent="0.25">
      <c r="A1884" t="str">
        <f>IF('e2'!A1884&gt;0,HYPERLINK("#"&amp;ADDRESS(1884,'e2'!A1884),""),IF('r2'!A1884&gt;0,HYPERLINK("#"&amp;ADDRESS(1884,'r2'!A1884),""),""))</f>
        <v/>
      </c>
      <c r="C1884" s="31"/>
      <c r="D1884" s="32"/>
    </row>
    <row r="1885" spans="1:4" ht="24" customHeight="1" x14ac:dyDescent="0.25">
      <c r="A1885" t="str">
        <f>IF('e2'!A1885&gt;0,HYPERLINK("#"&amp;ADDRESS(1885,'e2'!A1885),""),IF('r2'!A1885&gt;0,HYPERLINK("#"&amp;ADDRESS(1885,'r2'!A1885),""),""))</f>
        <v/>
      </c>
      <c r="C1885" s="31"/>
      <c r="D1885" s="32"/>
    </row>
    <row r="1886" spans="1:4" ht="24" customHeight="1" x14ac:dyDescent="0.25">
      <c r="A1886" t="str">
        <f>IF('e2'!A1886&gt;0,HYPERLINK("#"&amp;ADDRESS(1886,'e2'!A1886),""),IF('r2'!A1886&gt;0,HYPERLINK("#"&amp;ADDRESS(1886,'r2'!A1886),""),""))</f>
        <v/>
      </c>
      <c r="C1886" s="31"/>
      <c r="D1886" s="32"/>
    </row>
    <row r="1887" spans="1:4" ht="24" customHeight="1" x14ac:dyDescent="0.25">
      <c r="A1887" t="str">
        <f>IF('e2'!A1887&gt;0,HYPERLINK("#"&amp;ADDRESS(1887,'e2'!A1887),""),IF('r2'!A1887&gt;0,HYPERLINK("#"&amp;ADDRESS(1887,'r2'!A1887),""),""))</f>
        <v/>
      </c>
      <c r="C1887" s="31"/>
      <c r="D1887" s="32"/>
    </row>
    <row r="1888" spans="1:4" ht="24" customHeight="1" x14ac:dyDescent="0.25">
      <c r="A1888" t="str">
        <f>IF('e2'!A1888&gt;0,HYPERLINK("#"&amp;ADDRESS(1888,'e2'!A1888),""),IF('r2'!A1888&gt;0,HYPERLINK("#"&amp;ADDRESS(1888,'r2'!A1888),""),""))</f>
        <v/>
      </c>
      <c r="C1888" s="31"/>
      <c r="D1888" s="32"/>
    </row>
    <row r="1889" spans="1:4" ht="24" customHeight="1" x14ac:dyDescent="0.25">
      <c r="A1889" t="str">
        <f>IF('e2'!A1889&gt;0,HYPERLINK("#"&amp;ADDRESS(1889,'e2'!A1889),""),IF('r2'!A1889&gt;0,HYPERLINK("#"&amp;ADDRESS(1889,'r2'!A1889),""),""))</f>
        <v/>
      </c>
      <c r="C1889" s="31"/>
      <c r="D1889" s="32"/>
    </row>
    <row r="1890" spans="1:4" ht="24" customHeight="1" x14ac:dyDescent="0.25">
      <c r="A1890" t="str">
        <f>IF('e2'!A1890&gt;0,HYPERLINK("#"&amp;ADDRESS(1890,'e2'!A1890),""),IF('r2'!A1890&gt;0,HYPERLINK("#"&amp;ADDRESS(1890,'r2'!A1890),""),""))</f>
        <v/>
      </c>
      <c r="C1890" s="31"/>
      <c r="D1890" s="32"/>
    </row>
    <row r="1891" spans="1:4" ht="24" customHeight="1" x14ac:dyDescent="0.25">
      <c r="A1891" t="str">
        <f>IF('e2'!A1891&gt;0,HYPERLINK("#"&amp;ADDRESS(1891,'e2'!A1891),""),IF('r2'!A1891&gt;0,HYPERLINK("#"&amp;ADDRESS(1891,'r2'!A1891),""),""))</f>
        <v/>
      </c>
      <c r="C1891" s="31"/>
      <c r="D1891" s="32"/>
    </row>
    <row r="1892" spans="1:4" ht="24" customHeight="1" x14ac:dyDescent="0.25">
      <c r="A1892" t="str">
        <f>IF('e2'!A1892&gt;0,HYPERLINK("#"&amp;ADDRESS(1892,'e2'!A1892),""),IF('r2'!A1892&gt;0,HYPERLINK("#"&amp;ADDRESS(1892,'r2'!A1892),""),""))</f>
        <v/>
      </c>
      <c r="C1892" s="31"/>
      <c r="D1892" s="32"/>
    </row>
    <row r="1893" spans="1:4" ht="24" customHeight="1" x14ac:dyDescent="0.25">
      <c r="A1893" t="str">
        <f>IF('e2'!A1893&gt;0,HYPERLINK("#"&amp;ADDRESS(1893,'e2'!A1893),""),IF('r2'!A1893&gt;0,HYPERLINK("#"&amp;ADDRESS(1893,'r2'!A1893),""),""))</f>
        <v/>
      </c>
      <c r="C1893" s="31"/>
      <c r="D1893" s="32"/>
    </row>
    <row r="1894" spans="1:4" ht="24" customHeight="1" x14ac:dyDescent="0.25">
      <c r="A1894" t="str">
        <f>IF('e2'!A1894&gt;0,HYPERLINK("#"&amp;ADDRESS(1894,'e2'!A1894),""),IF('r2'!A1894&gt;0,HYPERLINK("#"&amp;ADDRESS(1894,'r2'!A1894),""),""))</f>
        <v/>
      </c>
      <c r="C1894" s="31"/>
      <c r="D1894" s="32"/>
    </row>
    <row r="1895" spans="1:4" ht="24" customHeight="1" x14ac:dyDescent="0.25">
      <c r="A1895" t="str">
        <f>IF('e2'!A1895&gt;0,HYPERLINK("#"&amp;ADDRESS(1895,'e2'!A1895),""),IF('r2'!A1895&gt;0,HYPERLINK("#"&amp;ADDRESS(1895,'r2'!A1895),""),""))</f>
        <v/>
      </c>
      <c r="C1895" s="31"/>
      <c r="D1895" s="32"/>
    </row>
    <row r="1896" spans="1:4" ht="24" customHeight="1" x14ac:dyDescent="0.25">
      <c r="A1896" t="str">
        <f>IF('e2'!A1896&gt;0,HYPERLINK("#"&amp;ADDRESS(1896,'e2'!A1896),""),IF('r2'!A1896&gt;0,HYPERLINK("#"&amp;ADDRESS(1896,'r2'!A1896),""),""))</f>
        <v/>
      </c>
      <c r="C1896" s="31"/>
      <c r="D1896" s="32"/>
    </row>
    <row r="1897" spans="1:4" ht="24" customHeight="1" x14ac:dyDescent="0.25">
      <c r="A1897" t="str">
        <f>IF('e2'!A1897&gt;0,HYPERLINK("#"&amp;ADDRESS(1897,'e2'!A1897),""),IF('r2'!A1897&gt;0,HYPERLINK("#"&amp;ADDRESS(1897,'r2'!A1897),""),""))</f>
        <v/>
      </c>
      <c r="C1897" s="31"/>
      <c r="D1897" s="32"/>
    </row>
    <row r="1898" spans="1:4" ht="24" customHeight="1" x14ac:dyDescent="0.25">
      <c r="A1898" t="str">
        <f>IF('e2'!A1898&gt;0,HYPERLINK("#"&amp;ADDRESS(1898,'e2'!A1898),""),IF('r2'!A1898&gt;0,HYPERLINK("#"&amp;ADDRESS(1898,'r2'!A1898),""),""))</f>
        <v/>
      </c>
      <c r="C1898" s="31"/>
      <c r="D1898" s="32"/>
    </row>
    <row r="1899" spans="1:4" ht="24" customHeight="1" x14ac:dyDescent="0.25">
      <c r="A1899" t="str">
        <f>IF('e2'!A1899&gt;0,HYPERLINK("#"&amp;ADDRESS(1899,'e2'!A1899),""),IF('r2'!A1899&gt;0,HYPERLINK("#"&amp;ADDRESS(1899,'r2'!A1899),""),""))</f>
        <v/>
      </c>
      <c r="C1899" s="31"/>
      <c r="D1899" s="32"/>
    </row>
    <row r="1900" spans="1:4" ht="24" customHeight="1" x14ac:dyDescent="0.25">
      <c r="A1900" t="str">
        <f>IF('e2'!A1900&gt;0,HYPERLINK("#"&amp;ADDRESS(1900,'e2'!A1900),""),IF('r2'!A1900&gt;0,HYPERLINK("#"&amp;ADDRESS(1900,'r2'!A1900),""),""))</f>
        <v/>
      </c>
      <c r="C1900" s="31"/>
      <c r="D1900" s="32"/>
    </row>
    <row r="1901" spans="1:4" ht="24" customHeight="1" x14ac:dyDescent="0.25">
      <c r="A1901" t="str">
        <f>IF('e2'!A1901&gt;0,HYPERLINK("#"&amp;ADDRESS(1901,'e2'!A1901),""),IF('r2'!A1901&gt;0,HYPERLINK("#"&amp;ADDRESS(1901,'r2'!A1901),""),""))</f>
        <v/>
      </c>
      <c r="C1901" s="31"/>
      <c r="D1901" s="32"/>
    </row>
    <row r="1902" spans="1:4" ht="24" customHeight="1" x14ac:dyDescent="0.25">
      <c r="A1902" t="str">
        <f>IF('e2'!A1902&gt;0,HYPERLINK("#"&amp;ADDRESS(1902,'e2'!A1902),""),IF('r2'!A1902&gt;0,HYPERLINK("#"&amp;ADDRESS(1902,'r2'!A1902),""),""))</f>
        <v/>
      </c>
      <c r="C1902" s="31"/>
      <c r="D1902" s="32"/>
    </row>
    <row r="1903" spans="1:4" ht="24" customHeight="1" x14ac:dyDescent="0.25">
      <c r="A1903" t="str">
        <f>IF('e2'!A1903&gt;0,HYPERLINK("#"&amp;ADDRESS(1903,'e2'!A1903),""),IF('r2'!A1903&gt;0,HYPERLINK("#"&amp;ADDRESS(1903,'r2'!A1903),""),""))</f>
        <v/>
      </c>
      <c r="C1903" s="31"/>
      <c r="D1903" s="32"/>
    </row>
    <row r="1904" spans="1:4" ht="24" customHeight="1" x14ac:dyDescent="0.25">
      <c r="A1904" t="str">
        <f>IF('e2'!A1904&gt;0,HYPERLINK("#"&amp;ADDRESS(1904,'e2'!A1904),""),IF('r2'!A1904&gt;0,HYPERLINK("#"&amp;ADDRESS(1904,'r2'!A1904),""),""))</f>
        <v/>
      </c>
      <c r="C1904" s="31"/>
      <c r="D1904" s="32"/>
    </row>
    <row r="1905" spans="1:4" ht="24" customHeight="1" x14ac:dyDescent="0.25">
      <c r="A1905" t="str">
        <f>IF('e2'!A1905&gt;0,HYPERLINK("#"&amp;ADDRESS(1905,'e2'!A1905),""),IF('r2'!A1905&gt;0,HYPERLINK("#"&amp;ADDRESS(1905,'r2'!A1905),""),""))</f>
        <v/>
      </c>
      <c r="C1905" s="31"/>
      <c r="D1905" s="32"/>
    </row>
    <row r="1906" spans="1:4" ht="24" customHeight="1" x14ac:dyDescent="0.25">
      <c r="A1906" t="str">
        <f>IF('e2'!A1906&gt;0,HYPERLINK("#"&amp;ADDRESS(1906,'e2'!A1906),""),IF('r2'!A1906&gt;0,HYPERLINK("#"&amp;ADDRESS(1906,'r2'!A1906),""),""))</f>
        <v/>
      </c>
      <c r="C1906" s="31"/>
      <c r="D1906" s="32"/>
    </row>
    <row r="1907" spans="1:4" ht="24" customHeight="1" x14ac:dyDescent="0.25">
      <c r="A1907" t="str">
        <f>IF('e2'!A1907&gt;0,HYPERLINK("#"&amp;ADDRESS(1907,'e2'!A1907),""),IF('r2'!A1907&gt;0,HYPERLINK("#"&amp;ADDRESS(1907,'r2'!A1907),""),""))</f>
        <v/>
      </c>
      <c r="C1907" s="31"/>
      <c r="D1907" s="32"/>
    </row>
    <row r="1908" spans="1:4" ht="24" customHeight="1" x14ac:dyDescent="0.25">
      <c r="A1908" t="str">
        <f>IF('e2'!A1908&gt;0,HYPERLINK("#"&amp;ADDRESS(1908,'e2'!A1908),""),IF('r2'!A1908&gt;0,HYPERLINK("#"&amp;ADDRESS(1908,'r2'!A1908),""),""))</f>
        <v/>
      </c>
      <c r="C1908" s="31"/>
      <c r="D1908" s="32"/>
    </row>
    <row r="1909" spans="1:4" ht="24" customHeight="1" x14ac:dyDescent="0.25">
      <c r="A1909" t="str">
        <f>IF('e2'!A1909&gt;0,HYPERLINK("#"&amp;ADDRESS(1909,'e2'!A1909),""),IF('r2'!A1909&gt;0,HYPERLINK("#"&amp;ADDRESS(1909,'r2'!A1909),""),""))</f>
        <v/>
      </c>
      <c r="C1909" s="31"/>
      <c r="D1909" s="32"/>
    </row>
    <row r="1910" spans="1:4" ht="24" customHeight="1" x14ac:dyDescent="0.25">
      <c r="A1910" t="str">
        <f>IF('e2'!A1910&gt;0,HYPERLINK("#"&amp;ADDRESS(1910,'e2'!A1910),""),IF('r2'!A1910&gt;0,HYPERLINK("#"&amp;ADDRESS(1910,'r2'!A1910),""),""))</f>
        <v/>
      </c>
      <c r="C1910" s="31"/>
      <c r="D1910" s="32"/>
    </row>
    <row r="1911" spans="1:4" ht="24" customHeight="1" x14ac:dyDescent="0.25">
      <c r="A1911" t="str">
        <f>IF('e2'!A1911&gt;0,HYPERLINK("#"&amp;ADDRESS(1911,'e2'!A1911),""),IF('r2'!A1911&gt;0,HYPERLINK("#"&amp;ADDRESS(1911,'r2'!A1911),""),""))</f>
        <v/>
      </c>
      <c r="C1911" s="31"/>
      <c r="D1911" s="32"/>
    </row>
    <row r="1912" spans="1:4" ht="24" customHeight="1" x14ac:dyDescent="0.25">
      <c r="A1912" t="str">
        <f>IF('e2'!A1912&gt;0,HYPERLINK("#"&amp;ADDRESS(1912,'e2'!A1912),""),IF('r2'!A1912&gt;0,HYPERLINK("#"&amp;ADDRESS(1912,'r2'!A1912),""),""))</f>
        <v/>
      </c>
      <c r="C1912" s="31"/>
      <c r="D1912" s="32"/>
    </row>
    <row r="1913" spans="1:4" ht="24" customHeight="1" x14ac:dyDescent="0.25">
      <c r="A1913" t="str">
        <f>IF('e2'!A1913&gt;0,HYPERLINK("#"&amp;ADDRESS(1913,'e2'!A1913),""),IF('r2'!A1913&gt;0,HYPERLINK("#"&amp;ADDRESS(1913,'r2'!A1913),""),""))</f>
        <v/>
      </c>
      <c r="C1913" s="31"/>
      <c r="D1913" s="32"/>
    </row>
    <row r="1914" spans="1:4" ht="24" customHeight="1" x14ac:dyDescent="0.25">
      <c r="A1914" t="str">
        <f>IF('e2'!A1914&gt;0,HYPERLINK("#"&amp;ADDRESS(1914,'e2'!A1914),""),IF('r2'!A1914&gt;0,HYPERLINK("#"&amp;ADDRESS(1914,'r2'!A1914),""),""))</f>
        <v/>
      </c>
      <c r="C1914" s="31"/>
      <c r="D1914" s="32"/>
    </row>
    <row r="1915" spans="1:4" ht="24" customHeight="1" x14ac:dyDescent="0.25">
      <c r="A1915" t="str">
        <f>IF('e2'!A1915&gt;0,HYPERLINK("#"&amp;ADDRESS(1915,'e2'!A1915),""),IF('r2'!A1915&gt;0,HYPERLINK("#"&amp;ADDRESS(1915,'r2'!A1915),""),""))</f>
        <v/>
      </c>
      <c r="C1915" s="31"/>
      <c r="D1915" s="32"/>
    </row>
    <row r="1916" spans="1:4" ht="24" customHeight="1" x14ac:dyDescent="0.25">
      <c r="A1916" t="str">
        <f>IF('e2'!A1916&gt;0,HYPERLINK("#"&amp;ADDRESS(1916,'e2'!A1916),""),IF('r2'!A1916&gt;0,HYPERLINK("#"&amp;ADDRESS(1916,'r2'!A1916),""),""))</f>
        <v/>
      </c>
      <c r="C1916" s="31"/>
      <c r="D1916" s="32"/>
    </row>
    <row r="1917" spans="1:4" ht="24" customHeight="1" x14ac:dyDescent="0.25">
      <c r="A1917" t="str">
        <f>IF('e2'!A1917&gt;0,HYPERLINK("#"&amp;ADDRESS(1917,'e2'!A1917),""),IF('r2'!A1917&gt;0,HYPERLINK("#"&amp;ADDRESS(1917,'r2'!A1917),""),""))</f>
        <v/>
      </c>
      <c r="C1917" s="31"/>
      <c r="D1917" s="32"/>
    </row>
    <row r="1918" spans="1:4" ht="24" customHeight="1" x14ac:dyDescent="0.25">
      <c r="A1918" t="str">
        <f>IF('e2'!A1918&gt;0,HYPERLINK("#"&amp;ADDRESS(1918,'e2'!A1918),""),IF('r2'!A1918&gt;0,HYPERLINK("#"&amp;ADDRESS(1918,'r2'!A1918),""),""))</f>
        <v/>
      </c>
      <c r="C1918" s="31"/>
      <c r="D1918" s="32"/>
    </row>
    <row r="1919" spans="1:4" ht="24" customHeight="1" x14ac:dyDescent="0.25">
      <c r="A1919" t="str">
        <f>IF('e2'!A1919&gt;0,HYPERLINK("#"&amp;ADDRESS(1919,'e2'!A1919),""),IF('r2'!A1919&gt;0,HYPERLINK("#"&amp;ADDRESS(1919,'r2'!A1919),""),""))</f>
        <v/>
      </c>
      <c r="C1919" s="31"/>
      <c r="D1919" s="32"/>
    </row>
    <row r="1920" spans="1:4" ht="24" customHeight="1" x14ac:dyDescent="0.25">
      <c r="A1920" t="str">
        <f>IF('e2'!A1920&gt;0,HYPERLINK("#"&amp;ADDRESS(1920,'e2'!A1920),""),IF('r2'!A1920&gt;0,HYPERLINK("#"&amp;ADDRESS(1920,'r2'!A1920),""),""))</f>
        <v/>
      </c>
      <c r="C1920" s="31"/>
      <c r="D1920" s="32"/>
    </row>
    <row r="1921" spans="1:4" ht="24" customHeight="1" x14ac:dyDescent="0.25">
      <c r="A1921" t="str">
        <f>IF('e2'!A1921&gt;0,HYPERLINK("#"&amp;ADDRESS(1921,'e2'!A1921),""),IF('r2'!A1921&gt;0,HYPERLINK("#"&amp;ADDRESS(1921,'r2'!A1921),""),""))</f>
        <v/>
      </c>
      <c r="C1921" s="31"/>
      <c r="D1921" s="32"/>
    </row>
    <row r="1922" spans="1:4" ht="24" customHeight="1" x14ac:dyDescent="0.25">
      <c r="A1922" t="str">
        <f>IF('e2'!A1922&gt;0,HYPERLINK("#"&amp;ADDRESS(1922,'e2'!A1922),""),IF('r2'!A1922&gt;0,HYPERLINK("#"&amp;ADDRESS(1922,'r2'!A1922),""),""))</f>
        <v/>
      </c>
      <c r="C1922" s="31"/>
      <c r="D1922" s="32"/>
    </row>
    <row r="1923" spans="1:4" ht="24" customHeight="1" x14ac:dyDescent="0.25">
      <c r="A1923" t="str">
        <f>IF('e2'!A1923&gt;0,HYPERLINK("#"&amp;ADDRESS(1923,'e2'!A1923),""),IF('r2'!A1923&gt;0,HYPERLINK("#"&amp;ADDRESS(1923,'r2'!A1923),""),""))</f>
        <v/>
      </c>
      <c r="C1923" s="31"/>
      <c r="D1923" s="32"/>
    </row>
    <row r="1924" spans="1:4" ht="24" customHeight="1" x14ac:dyDescent="0.25">
      <c r="A1924" t="str">
        <f>IF('e2'!A1924&gt;0,HYPERLINK("#"&amp;ADDRESS(1924,'e2'!A1924),""),IF('r2'!A1924&gt;0,HYPERLINK("#"&amp;ADDRESS(1924,'r2'!A1924),""),""))</f>
        <v/>
      </c>
      <c r="C1924" s="31"/>
      <c r="D1924" s="32"/>
    </row>
    <row r="1925" spans="1:4" ht="24" customHeight="1" x14ac:dyDescent="0.25">
      <c r="A1925" t="str">
        <f>IF('e2'!A1925&gt;0,HYPERLINK("#"&amp;ADDRESS(1925,'e2'!A1925),""),IF('r2'!A1925&gt;0,HYPERLINK("#"&amp;ADDRESS(1925,'r2'!A1925),""),""))</f>
        <v/>
      </c>
      <c r="C1925" s="31"/>
      <c r="D1925" s="32"/>
    </row>
    <row r="1926" spans="1:4" ht="24" customHeight="1" x14ac:dyDescent="0.25">
      <c r="A1926" t="str">
        <f>IF('e2'!A1926&gt;0,HYPERLINK("#"&amp;ADDRESS(1926,'e2'!A1926),""),IF('r2'!A1926&gt;0,HYPERLINK("#"&amp;ADDRESS(1926,'r2'!A1926),""),""))</f>
        <v/>
      </c>
      <c r="C1926" s="31"/>
      <c r="D1926" s="32"/>
    </row>
    <row r="1927" spans="1:4" ht="24" customHeight="1" x14ac:dyDescent="0.25">
      <c r="A1927" t="str">
        <f>IF('e2'!A1927&gt;0,HYPERLINK("#"&amp;ADDRESS(1927,'e2'!A1927),""),IF('r2'!A1927&gt;0,HYPERLINK("#"&amp;ADDRESS(1927,'r2'!A1927),""),""))</f>
        <v/>
      </c>
      <c r="C1927" s="31"/>
      <c r="D1927" s="32"/>
    </row>
    <row r="1928" spans="1:4" ht="24" customHeight="1" x14ac:dyDescent="0.25">
      <c r="A1928" t="str">
        <f>IF('e2'!A1928&gt;0,HYPERLINK("#"&amp;ADDRESS(1928,'e2'!A1928),""),IF('r2'!A1928&gt;0,HYPERLINK("#"&amp;ADDRESS(1928,'r2'!A1928),""),""))</f>
        <v/>
      </c>
      <c r="C1928" s="31"/>
      <c r="D1928" s="32"/>
    </row>
    <row r="1929" spans="1:4" ht="24" customHeight="1" x14ac:dyDescent="0.25">
      <c r="A1929" t="str">
        <f>IF('e2'!A1929&gt;0,HYPERLINK("#"&amp;ADDRESS(1929,'e2'!A1929),""),IF('r2'!A1929&gt;0,HYPERLINK("#"&amp;ADDRESS(1929,'r2'!A1929),""),""))</f>
        <v/>
      </c>
      <c r="C1929" s="31"/>
      <c r="D1929" s="32"/>
    </row>
    <row r="1930" spans="1:4" ht="24" customHeight="1" x14ac:dyDescent="0.25">
      <c r="A1930" t="str">
        <f>IF('e2'!A1930&gt;0,HYPERLINK("#"&amp;ADDRESS(1930,'e2'!A1930),""),IF('r2'!A1930&gt;0,HYPERLINK("#"&amp;ADDRESS(1930,'r2'!A1930),""),""))</f>
        <v/>
      </c>
      <c r="C1930" s="31"/>
      <c r="D1930" s="32"/>
    </row>
    <row r="1931" spans="1:4" ht="24" customHeight="1" x14ac:dyDescent="0.25">
      <c r="A1931" t="str">
        <f>IF('e2'!A1931&gt;0,HYPERLINK("#"&amp;ADDRESS(1931,'e2'!A1931),""),IF('r2'!A1931&gt;0,HYPERLINK("#"&amp;ADDRESS(1931,'r2'!A1931),""),""))</f>
        <v/>
      </c>
      <c r="C1931" s="31"/>
      <c r="D1931" s="32"/>
    </row>
    <row r="1932" spans="1:4" ht="24" customHeight="1" x14ac:dyDescent="0.25">
      <c r="A1932" t="str">
        <f>IF('e2'!A1932&gt;0,HYPERLINK("#"&amp;ADDRESS(1932,'e2'!A1932),""),IF('r2'!A1932&gt;0,HYPERLINK("#"&amp;ADDRESS(1932,'r2'!A1932),""),""))</f>
        <v/>
      </c>
      <c r="C1932" s="31"/>
      <c r="D1932" s="32"/>
    </row>
    <row r="1933" spans="1:4" ht="24" customHeight="1" x14ac:dyDescent="0.25">
      <c r="A1933" t="str">
        <f>IF('e2'!A1933&gt;0,HYPERLINK("#"&amp;ADDRESS(1933,'e2'!A1933),""),IF('r2'!A1933&gt;0,HYPERLINK("#"&amp;ADDRESS(1933,'r2'!A1933),""),""))</f>
        <v/>
      </c>
      <c r="C1933" s="31"/>
      <c r="D1933" s="32"/>
    </row>
    <row r="1934" spans="1:4" ht="24" customHeight="1" x14ac:dyDescent="0.25">
      <c r="A1934" t="str">
        <f>IF('e2'!A1934&gt;0,HYPERLINK("#"&amp;ADDRESS(1934,'e2'!A1934),""),IF('r2'!A1934&gt;0,HYPERLINK("#"&amp;ADDRESS(1934,'r2'!A1934),""),""))</f>
        <v/>
      </c>
      <c r="C1934" s="31"/>
      <c r="D1934" s="32"/>
    </row>
    <row r="1935" spans="1:4" ht="24" customHeight="1" x14ac:dyDescent="0.25">
      <c r="A1935" t="str">
        <f>IF('e2'!A1935&gt;0,HYPERLINK("#"&amp;ADDRESS(1935,'e2'!A1935),""),IF('r2'!A1935&gt;0,HYPERLINK("#"&amp;ADDRESS(1935,'r2'!A1935),""),""))</f>
        <v/>
      </c>
      <c r="C1935" s="31"/>
      <c r="D1935" s="32"/>
    </row>
    <row r="1936" spans="1:4" ht="24" customHeight="1" x14ac:dyDescent="0.25">
      <c r="A1936" t="str">
        <f>IF('e2'!A1936&gt;0,HYPERLINK("#"&amp;ADDRESS(1936,'e2'!A1936),""),IF('r2'!A1936&gt;0,HYPERLINK("#"&amp;ADDRESS(1936,'r2'!A1936),""),""))</f>
        <v/>
      </c>
      <c r="C1936" s="31"/>
      <c r="D1936" s="32"/>
    </row>
    <row r="1937" spans="1:4" ht="24" customHeight="1" x14ac:dyDescent="0.25">
      <c r="A1937" t="str">
        <f>IF('e2'!A1937&gt;0,HYPERLINK("#"&amp;ADDRESS(1937,'e2'!A1937),""),IF('r2'!A1937&gt;0,HYPERLINK("#"&amp;ADDRESS(1937,'r2'!A1937),""),""))</f>
        <v/>
      </c>
      <c r="C1937" s="31"/>
      <c r="D1937" s="32"/>
    </row>
    <row r="1938" spans="1:4" ht="24" customHeight="1" x14ac:dyDescent="0.25">
      <c r="A1938" t="str">
        <f>IF('e2'!A1938&gt;0,HYPERLINK("#"&amp;ADDRESS(1938,'e2'!A1938),""),IF('r2'!A1938&gt;0,HYPERLINK("#"&amp;ADDRESS(1938,'r2'!A1938),""),""))</f>
        <v/>
      </c>
      <c r="C1938" s="31"/>
      <c r="D1938" s="32"/>
    </row>
    <row r="1939" spans="1:4" ht="24" customHeight="1" x14ac:dyDescent="0.25">
      <c r="A1939" t="str">
        <f>IF('e2'!A1939&gt;0,HYPERLINK("#"&amp;ADDRESS(1939,'e2'!A1939),""),IF('r2'!A1939&gt;0,HYPERLINK("#"&amp;ADDRESS(1939,'r2'!A1939),""),""))</f>
        <v/>
      </c>
      <c r="C1939" s="31"/>
      <c r="D1939" s="32"/>
    </row>
    <row r="1940" spans="1:4" ht="24" customHeight="1" x14ac:dyDescent="0.25">
      <c r="A1940" t="str">
        <f>IF('e2'!A1940&gt;0,HYPERLINK("#"&amp;ADDRESS(1940,'e2'!A1940),""),IF('r2'!A1940&gt;0,HYPERLINK("#"&amp;ADDRESS(1940,'r2'!A1940),""),""))</f>
        <v/>
      </c>
      <c r="C1940" s="31"/>
      <c r="D1940" s="32"/>
    </row>
    <row r="1941" spans="1:4" ht="24" customHeight="1" x14ac:dyDescent="0.25">
      <c r="A1941" t="str">
        <f>IF('e2'!A1941&gt;0,HYPERLINK("#"&amp;ADDRESS(1941,'e2'!A1941),""),IF('r2'!A1941&gt;0,HYPERLINK("#"&amp;ADDRESS(1941,'r2'!A1941),""),""))</f>
        <v/>
      </c>
      <c r="C1941" s="31"/>
      <c r="D1941" s="32"/>
    </row>
    <row r="1942" spans="1:4" ht="24" customHeight="1" x14ac:dyDescent="0.25">
      <c r="A1942" t="str">
        <f>IF('e2'!A1942&gt;0,HYPERLINK("#"&amp;ADDRESS(1942,'e2'!A1942),""),IF('r2'!A1942&gt;0,HYPERLINK("#"&amp;ADDRESS(1942,'r2'!A1942),""),""))</f>
        <v/>
      </c>
      <c r="C1942" s="31"/>
      <c r="D1942" s="32"/>
    </row>
    <row r="1943" spans="1:4" ht="24" customHeight="1" x14ac:dyDescent="0.25">
      <c r="A1943" t="str">
        <f>IF('e2'!A1943&gt;0,HYPERLINK("#"&amp;ADDRESS(1943,'e2'!A1943),""),IF('r2'!A1943&gt;0,HYPERLINK("#"&amp;ADDRESS(1943,'r2'!A1943),""),""))</f>
        <v/>
      </c>
      <c r="C1943" s="31"/>
      <c r="D1943" s="32"/>
    </row>
    <row r="1944" spans="1:4" ht="24" customHeight="1" x14ac:dyDescent="0.25">
      <c r="A1944" t="str">
        <f>IF('e2'!A1944&gt;0,HYPERLINK("#"&amp;ADDRESS(1944,'e2'!A1944),""),IF('r2'!A1944&gt;0,HYPERLINK("#"&amp;ADDRESS(1944,'r2'!A1944),""),""))</f>
        <v/>
      </c>
      <c r="C1944" s="31"/>
      <c r="D1944" s="32"/>
    </row>
    <row r="1945" spans="1:4" ht="24" customHeight="1" x14ac:dyDescent="0.25">
      <c r="A1945" t="str">
        <f>IF('e2'!A1945&gt;0,HYPERLINK("#"&amp;ADDRESS(1945,'e2'!A1945),""),IF('r2'!A1945&gt;0,HYPERLINK("#"&amp;ADDRESS(1945,'r2'!A1945),""),""))</f>
        <v/>
      </c>
      <c r="C1945" s="31"/>
      <c r="D1945" s="32"/>
    </row>
    <row r="1946" spans="1:4" ht="24" customHeight="1" x14ac:dyDescent="0.25">
      <c r="A1946" t="str">
        <f>IF('e2'!A1946&gt;0,HYPERLINK("#"&amp;ADDRESS(1946,'e2'!A1946),""),IF('r2'!A1946&gt;0,HYPERLINK("#"&amp;ADDRESS(1946,'r2'!A1946),""),""))</f>
        <v/>
      </c>
      <c r="C1946" s="31"/>
      <c r="D1946" s="32"/>
    </row>
    <row r="1947" spans="1:4" ht="24" customHeight="1" x14ac:dyDescent="0.25">
      <c r="A1947" t="str">
        <f>IF('e2'!A1947&gt;0,HYPERLINK("#"&amp;ADDRESS(1947,'e2'!A1947),""),IF('r2'!A1947&gt;0,HYPERLINK("#"&amp;ADDRESS(1947,'r2'!A1947),""),""))</f>
        <v/>
      </c>
      <c r="C1947" s="31"/>
      <c r="D1947" s="32"/>
    </row>
    <row r="1948" spans="1:4" ht="24" customHeight="1" x14ac:dyDescent="0.25">
      <c r="A1948" t="str">
        <f>IF('e2'!A1948&gt;0,HYPERLINK("#"&amp;ADDRESS(1948,'e2'!A1948),""),IF('r2'!A1948&gt;0,HYPERLINK("#"&amp;ADDRESS(1948,'r2'!A1948),""),""))</f>
        <v/>
      </c>
      <c r="C1948" s="31"/>
      <c r="D1948" s="32"/>
    </row>
    <row r="1949" spans="1:4" ht="24" customHeight="1" x14ac:dyDescent="0.25">
      <c r="A1949" t="str">
        <f>IF('e2'!A1949&gt;0,HYPERLINK("#"&amp;ADDRESS(1949,'e2'!A1949),""),IF('r2'!A1949&gt;0,HYPERLINK("#"&amp;ADDRESS(1949,'r2'!A1949),""),""))</f>
        <v/>
      </c>
      <c r="C1949" s="31"/>
      <c r="D1949" s="32"/>
    </row>
    <row r="1950" spans="1:4" ht="24" customHeight="1" x14ac:dyDescent="0.25">
      <c r="A1950" t="str">
        <f>IF('e2'!A1950&gt;0,HYPERLINK("#"&amp;ADDRESS(1950,'e2'!A1950),""),IF('r2'!A1950&gt;0,HYPERLINK("#"&amp;ADDRESS(1950,'r2'!A1950),""),""))</f>
        <v/>
      </c>
      <c r="C1950" s="31"/>
      <c r="D1950" s="32"/>
    </row>
    <row r="1951" spans="1:4" ht="24" customHeight="1" x14ac:dyDescent="0.25">
      <c r="A1951" t="str">
        <f>IF('e2'!A1951&gt;0,HYPERLINK("#"&amp;ADDRESS(1951,'e2'!A1951),""),IF('r2'!A1951&gt;0,HYPERLINK("#"&amp;ADDRESS(1951,'r2'!A1951),""),""))</f>
        <v/>
      </c>
      <c r="C1951" s="31"/>
      <c r="D1951" s="32"/>
    </row>
    <row r="1952" spans="1:4" ht="24" customHeight="1" x14ac:dyDescent="0.25">
      <c r="A1952" t="str">
        <f>IF('e2'!A1952&gt;0,HYPERLINK("#"&amp;ADDRESS(1952,'e2'!A1952),""),IF('r2'!A1952&gt;0,HYPERLINK("#"&amp;ADDRESS(1952,'r2'!A1952),""),""))</f>
        <v/>
      </c>
      <c r="C1952" s="31"/>
      <c r="D1952" s="32"/>
    </row>
    <row r="1953" spans="1:4" ht="24" customHeight="1" x14ac:dyDescent="0.25">
      <c r="A1953" t="str">
        <f>IF('e2'!A1953&gt;0,HYPERLINK("#"&amp;ADDRESS(1953,'e2'!A1953),""),IF('r2'!A1953&gt;0,HYPERLINK("#"&amp;ADDRESS(1953,'r2'!A1953),""),""))</f>
        <v/>
      </c>
      <c r="C1953" s="31"/>
      <c r="D1953" s="32"/>
    </row>
    <row r="1954" spans="1:4" ht="24" customHeight="1" x14ac:dyDescent="0.25">
      <c r="A1954" t="str">
        <f>IF('e2'!A1954&gt;0,HYPERLINK("#"&amp;ADDRESS(1954,'e2'!A1954),""),IF('r2'!A1954&gt;0,HYPERLINK("#"&amp;ADDRESS(1954,'r2'!A1954),""),""))</f>
        <v/>
      </c>
      <c r="C1954" s="31"/>
      <c r="D1954" s="32"/>
    </row>
    <row r="1955" spans="1:4" ht="24" customHeight="1" x14ac:dyDescent="0.25">
      <c r="A1955" t="str">
        <f>IF('e2'!A1955&gt;0,HYPERLINK("#"&amp;ADDRESS(1955,'e2'!A1955),""),IF('r2'!A1955&gt;0,HYPERLINK("#"&amp;ADDRESS(1955,'r2'!A1955),""),""))</f>
        <v/>
      </c>
      <c r="C1955" s="31"/>
      <c r="D1955" s="32"/>
    </row>
    <row r="1956" spans="1:4" ht="24" customHeight="1" x14ac:dyDescent="0.25">
      <c r="A1956" t="str">
        <f>IF('e2'!A1956&gt;0,HYPERLINK("#"&amp;ADDRESS(1956,'e2'!A1956),""),IF('r2'!A1956&gt;0,HYPERLINK("#"&amp;ADDRESS(1956,'r2'!A1956),""),""))</f>
        <v/>
      </c>
      <c r="C1956" s="31"/>
      <c r="D1956" s="32"/>
    </row>
    <row r="1957" spans="1:4" ht="24" customHeight="1" x14ac:dyDescent="0.25">
      <c r="A1957" t="str">
        <f>IF('e2'!A1957&gt;0,HYPERLINK("#"&amp;ADDRESS(1957,'e2'!A1957),""),IF('r2'!A1957&gt;0,HYPERLINK("#"&amp;ADDRESS(1957,'r2'!A1957),""),""))</f>
        <v/>
      </c>
      <c r="C1957" s="31"/>
      <c r="D1957" s="32"/>
    </row>
    <row r="1958" spans="1:4" ht="24" customHeight="1" x14ac:dyDescent="0.25">
      <c r="A1958" t="str">
        <f>IF('e2'!A1958&gt;0,HYPERLINK("#"&amp;ADDRESS(1958,'e2'!A1958),""),IF('r2'!A1958&gt;0,HYPERLINK("#"&amp;ADDRESS(1958,'r2'!A1958),""),""))</f>
        <v/>
      </c>
      <c r="C1958" s="31"/>
      <c r="D1958" s="32"/>
    </row>
    <row r="1959" spans="1:4" ht="24" customHeight="1" x14ac:dyDescent="0.25">
      <c r="A1959" t="str">
        <f>IF('e2'!A1959&gt;0,HYPERLINK("#"&amp;ADDRESS(1959,'e2'!A1959),""),IF('r2'!A1959&gt;0,HYPERLINK("#"&amp;ADDRESS(1959,'r2'!A1959),""),""))</f>
        <v/>
      </c>
      <c r="C1959" s="31"/>
      <c r="D1959" s="32"/>
    </row>
    <row r="1960" spans="1:4" ht="24" customHeight="1" x14ac:dyDescent="0.25">
      <c r="A1960" t="str">
        <f>IF('e2'!A1960&gt;0,HYPERLINK("#"&amp;ADDRESS(1960,'e2'!A1960),""),IF('r2'!A1960&gt;0,HYPERLINK("#"&amp;ADDRESS(1960,'r2'!A1960),""),""))</f>
        <v/>
      </c>
      <c r="C1960" s="31"/>
      <c r="D1960" s="32"/>
    </row>
    <row r="1961" spans="1:4" ht="24" customHeight="1" x14ac:dyDescent="0.25">
      <c r="A1961" t="str">
        <f>IF('e2'!A1961&gt;0,HYPERLINK("#"&amp;ADDRESS(1961,'e2'!A1961),""),IF('r2'!A1961&gt;0,HYPERLINK("#"&amp;ADDRESS(1961,'r2'!A1961),""),""))</f>
        <v/>
      </c>
      <c r="C1961" s="31"/>
      <c r="D1961" s="32"/>
    </row>
    <row r="1962" spans="1:4" ht="24" customHeight="1" x14ac:dyDescent="0.25">
      <c r="A1962" t="str">
        <f>IF('e2'!A1962&gt;0,HYPERLINK("#"&amp;ADDRESS(1962,'e2'!A1962),""),IF('r2'!A1962&gt;0,HYPERLINK("#"&amp;ADDRESS(1962,'r2'!A1962),""),""))</f>
        <v/>
      </c>
      <c r="C1962" s="31"/>
      <c r="D1962" s="32"/>
    </row>
    <row r="1963" spans="1:4" ht="24" customHeight="1" x14ac:dyDescent="0.25">
      <c r="A1963" t="str">
        <f>IF('e2'!A1963&gt;0,HYPERLINK("#"&amp;ADDRESS(1963,'e2'!A1963),""),IF('r2'!A1963&gt;0,HYPERLINK("#"&amp;ADDRESS(1963,'r2'!A1963),""),""))</f>
        <v/>
      </c>
      <c r="C1963" s="31"/>
      <c r="D1963" s="32"/>
    </row>
    <row r="1964" spans="1:4" ht="24" customHeight="1" x14ac:dyDescent="0.25">
      <c r="A1964" t="str">
        <f>IF('e2'!A1964&gt;0,HYPERLINK("#"&amp;ADDRESS(1964,'e2'!A1964),""),IF('r2'!A1964&gt;0,HYPERLINK("#"&amp;ADDRESS(1964,'r2'!A1964),""),""))</f>
        <v/>
      </c>
      <c r="C1964" s="31"/>
      <c r="D1964" s="32"/>
    </row>
    <row r="1965" spans="1:4" ht="24" customHeight="1" x14ac:dyDescent="0.25">
      <c r="A1965" t="str">
        <f>IF('e2'!A1965&gt;0,HYPERLINK("#"&amp;ADDRESS(1965,'e2'!A1965),""),IF('r2'!A1965&gt;0,HYPERLINK("#"&amp;ADDRESS(1965,'r2'!A1965),""),""))</f>
        <v/>
      </c>
      <c r="C1965" s="31"/>
      <c r="D1965" s="32"/>
    </row>
    <row r="1966" spans="1:4" ht="24" customHeight="1" x14ac:dyDescent="0.25">
      <c r="A1966" t="str">
        <f>IF('e2'!A1966&gt;0,HYPERLINK("#"&amp;ADDRESS(1966,'e2'!A1966),""),IF('r2'!A1966&gt;0,HYPERLINK("#"&amp;ADDRESS(1966,'r2'!A1966),""),""))</f>
        <v/>
      </c>
      <c r="C1966" s="31"/>
      <c r="D1966" s="32"/>
    </row>
    <row r="1967" spans="1:4" ht="24" customHeight="1" x14ac:dyDescent="0.25">
      <c r="A1967" t="str">
        <f>IF('e2'!A1967&gt;0,HYPERLINK("#"&amp;ADDRESS(1967,'e2'!A1967),""),IF('r2'!A1967&gt;0,HYPERLINK("#"&amp;ADDRESS(1967,'r2'!A1967),""),""))</f>
        <v/>
      </c>
      <c r="C1967" s="31"/>
      <c r="D1967" s="32"/>
    </row>
    <row r="1968" spans="1:4" ht="24" customHeight="1" x14ac:dyDescent="0.25">
      <c r="A1968" t="str">
        <f>IF('e2'!A1968&gt;0,HYPERLINK("#"&amp;ADDRESS(1968,'e2'!A1968),""),IF('r2'!A1968&gt;0,HYPERLINK("#"&amp;ADDRESS(1968,'r2'!A1968),""),""))</f>
        <v/>
      </c>
      <c r="C1968" s="31"/>
      <c r="D1968" s="32"/>
    </row>
    <row r="1969" spans="1:4" ht="24" customHeight="1" x14ac:dyDescent="0.25">
      <c r="A1969" t="str">
        <f>IF('e2'!A1969&gt;0,HYPERLINK("#"&amp;ADDRESS(1969,'e2'!A1969),""),IF('r2'!A1969&gt;0,HYPERLINK("#"&amp;ADDRESS(1969,'r2'!A1969),""),""))</f>
        <v/>
      </c>
      <c r="C1969" s="31"/>
      <c r="D1969" s="32"/>
    </row>
    <row r="1970" spans="1:4" ht="24" customHeight="1" x14ac:dyDescent="0.25">
      <c r="A1970" t="str">
        <f>IF('e2'!A1970&gt;0,HYPERLINK("#"&amp;ADDRESS(1970,'e2'!A1970),""),IF('r2'!A1970&gt;0,HYPERLINK("#"&amp;ADDRESS(1970,'r2'!A1970),""),""))</f>
        <v/>
      </c>
      <c r="C1970" s="31"/>
      <c r="D1970" s="32"/>
    </row>
    <row r="1971" spans="1:4" ht="24" customHeight="1" x14ac:dyDescent="0.25">
      <c r="A1971" t="str">
        <f>IF('e2'!A1971&gt;0,HYPERLINK("#"&amp;ADDRESS(1971,'e2'!A1971),""),IF('r2'!A1971&gt;0,HYPERLINK("#"&amp;ADDRESS(1971,'r2'!A1971),""),""))</f>
        <v/>
      </c>
      <c r="C1971" s="31"/>
      <c r="D1971" s="32"/>
    </row>
    <row r="1972" spans="1:4" ht="24" customHeight="1" x14ac:dyDescent="0.25">
      <c r="A1972" t="str">
        <f>IF('e2'!A1972&gt;0,HYPERLINK("#"&amp;ADDRESS(1972,'e2'!A1972),""),IF('r2'!A1972&gt;0,HYPERLINK("#"&amp;ADDRESS(1972,'r2'!A1972),""),""))</f>
        <v/>
      </c>
      <c r="C1972" s="31"/>
      <c r="D1972" s="32"/>
    </row>
    <row r="1973" spans="1:4" ht="24" customHeight="1" x14ac:dyDescent="0.25">
      <c r="A1973" t="str">
        <f>IF('e2'!A1973&gt;0,HYPERLINK("#"&amp;ADDRESS(1973,'e2'!A1973),""),IF('r2'!A1973&gt;0,HYPERLINK("#"&amp;ADDRESS(1973,'r2'!A1973),""),""))</f>
        <v/>
      </c>
      <c r="C1973" s="31"/>
      <c r="D1973" s="32"/>
    </row>
    <row r="1974" spans="1:4" ht="24" customHeight="1" x14ac:dyDescent="0.25">
      <c r="A1974" t="str">
        <f>IF('e2'!A1974&gt;0,HYPERLINK("#"&amp;ADDRESS(1974,'e2'!A1974),""),IF('r2'!A1974&gt;0,HYPERLINK("#"&amp;ADDRESS(1974,'r2'!A1974),""),""))</f>
        <v/>
      </c>
      <c r="C1974" s="31"/>
      <c r="D1974" s="32"/>
    </row>
    <row r="1975" spans="1:4" ht="24" customHeight="1" x14ac:dyDescent="0.25">
      <c r="A1975" t="str">
        <f>IF('e2'!A1975&gt;0,HYPERLINK("#"&amp;ADDRESS(1975,'e2'!A1975),""),IF('r2'!A1975&gt;0,HYPERLINK("#"&amp;ADDRESS(1975,'r2'!A1975),""),""))</f>
        <v/>
      </c>
      <c r="C1975" s="31"/>
      <c r="D1975" s="32"/>
    </row>
    <row r="1976" spans="1:4" ht="24" customHeight="1" x14ac:dyDescent="0.25">
      <c r="A1976" t="str">
        <f>IF('e2'!A1976&gt;0,HYPERLINK("#"&amp;ADDRESS(1976,'e2'!A1976),""),IF('r2'!A1976&gt;0,HYPERLINK("#"&amp;ADDRESS(1976,'r2'!A1976),""),""))</f>
        <v/>
      </c>
      <c r="C1976" s="31"/>
      <c r="D1976" s="32"/>
    </row>
    <row r="1977" spans="1:4" ht="24" customHeight="1" x14ac:dyDescent="0.25">
      <c r="A1977" t="str">
        <f>IF('e2'!A1977&gt;0,HYPERLINK("#"&amp;ADDRESS(1977,'e2'!A1977),""),IF('r2'!A1977&gt;0,HYPERLINK("#"&amp;ADDRESS(1977,'r2'!A1977),""),""))</f>
        <v/>
      </c>
      <c r="C1977" s="31"/>
      <c r="D1977" s="32"/>
    </row>
    <row r="1978" spans="1:4" ht="24" customHeight="1" x14ac:dyDescent="0.25">
      <c r="A1978" t="str">
        <f>IF('e2'!A1978&gt;0,HYPERLINK("#"&amp;ADDRESS(1978,'e2'!A1978),""),IF('r2'!A1978&gt;0,HYPERLINK("#"&amp;ADDRESS(1978,'r2'!A1978),""),""))</f>
        <v/>
      </c>
      <c r="C1978" s="31"/>
      <c r="D1978" s="32"/>
    </row>
    <row r="1979" spans="1:4" ht="24" customHeight="1" x14ac:dyDescent="0.25">
      <c r="A1979" t="str">
        <f>IF('e2'!A1979&gt;0,HYPERLINK("#"&amp;ADDRESS(1979,'e2'!A1979),""),IF('r2'!A1979&gt;0,HYPERLINK("#"&amp;ADDRESS(1979,'r2'!A1979),""),""))</f>
        <v/>
      </c>
      <c r="C1979" s="31"/>
      <c r="D1979" s="32"/>
    </row>
    <row r="1980" spans="1:4" ht="24" customHeight="1" x14ac:dyDescent="0.25">
      <c r="A1980" t="str">
        <f>IF('e2'!A1980&gt;0,HYPERLINK("#"&amp;ADDRESS(1980,'e2'!A1980),""),IF('r2'!A1980&gt;0,HYPERLINK("#"&amp;ADDRESS(1980,'r2'!A1980),""),""))</f>
        <v/>
      </c>
      <c r="C1980" s="31"/>
      <c r="D1980" s="32"/>
    </row>
    <row r="1981" spans="1:4" ht="24" customHeight="1" x14ac:dyDescent="0.25">
      <c r="A1981" t="str">
        <f>IF('e2'!A1981&gt;0,HYPERLINK("#"&amp;ADDRESS(1981,'e2'!A1981),""),IF('r2'!A1981&gt;0,HYPERLINK("#"&amp;ADDRESS(1981,'r2'!A1981),""),""))</f>
        <v/>
      </c>
      <c r="C1981" s="31"/>
      <c r="D1981" s="32"/>
    </row>
    <row r="1982" spans="1:4" ht="24" customHeight="1" x14ac:dyDescent="0.25">
      <c r="A1982" t="str">
        <f>IF('e2'!A1982&gt;0,HYPERLINK("#"&amp;ADDRESS(1982,'e2'!A1982),""),IF('r2'!A1982&gt;0,HYPERLINK("#"&amp;ADDRESS(1982,'r2'!A1982),""),""))</f>
        <v/>
      </c>
      <c r="C1982" s="31"/>
      <c r="D1982" s="32"/>
    </row>
    <row r="1983" spans="1:4" ht="24" customHeight="1" x14ac:dyDescent="0.25">
      <c r="A1983" t="str">
        <f>IF('e2'!A1983&gt;0,HYPERLINK("#"&amp;ADDRESS(1983,'e2'!A1983),""),IF('r2'!A1983&gt;0,HYPERLINK("#"&amp;ADDRESS(1983,'r2'!A1983),""),""))</f>
        <v/>
      </c>
      <c r="C1983" s="31"/>
      <c r="D1983" s="32"/>
    </row>
    <row r="1984" spans="1:4" ht="24" customHeight="1" x14ac:dyDescent="0.25">
      <c r="A1984" t="str">
        <f>IF('e2'!A1984&gt;0,HYPERLINK("#"&amp;ADDRESS(1984,'e2'!A1984),""),IF('r2'!A1984&gt;0,HYPERLINK("#"&amp;ADDRESS(1984,'r2'!A1984),""),""))</f>
        <v/>
      </c>
      <c r="C1984" s="31"/>
      <c r="D1984" s="32"/>
    </row>
    <row r="1985" spans="1:4" ht="24" customHeight="1" x14ac:dyDescent="0.25">
      <c r="A1985" t="str">
        <f>IF('e2'!A1985&gt;0,HYPERLINK("#"&amp;ADDRESS(1985,'e2'!A1985),""),IF('r2'!A1985&gt;0,HYPERLINK("#"&amp;ADDRESS(1985,'r2'!A1985),""),""))</f>
        <v/>
      </c>
      <c r="C1985" s="31"/>
      <c r="D1985" s="32"/>
    </row>
    <row r="1986" spans="1:4" ht="24" customHeight="1" x14ac:dyDescent="0.25">
      <c r="A1986" t="str">
        <f>IF('e2'!A1986&gt;0,HYPERLINK("#"&amp;ADDRESS(1986,'e2'!A1986),""),IF('r2'!A1986&gt;0,HYPERLINK("#"&amp;ADDRESS(1986,'r2'!A1986),""),""))</f>
        <v/>
      </c>
      <c r="C1986" s="31"/>
      <c r="D1986" s="32"/>
    </row>
    <row r="1987" spans="1:4" ht="24" customHeight="1" x14ac:dyDescent="0.25">
      <c r="A1987" t="str">
        <f>IF('e2'!A1987&gt;0,HYPERLINK("#"&amp;ADDRESS(1987,'e2'!A1987),""),IF('r2'!A1987&gt;0,HYPERLINK("#"&amp;ADDRESS(1987,'r2'!A1987),""),""))</f>
        <v/>
      </c>
      <c r="C1987" s="31"/>
      <c r="D1987" s="32"/>
    </row>
    <row r="1988" spans="1:4" ht="24" customHeight="1" x14ac:dyDescent="0.25">
      <c r="A1988" t="str">
        <f>IF('e2'!A1988&gt;0,HYPERLINK("#"&amp;ADDRESS(1988,'e2'!A1988),""),IF('r2'!A1988&gt;0,HYPERLINK("#"&amp;ADDRESS(1988,'r2'!A1988),""),""))</f>
        <v/>
      </c>
      <c r="C1988" s="31"/>
      <c r="D1988" s="32"/>
    </row>
    <row r="1989" spans="1:4" ht="24" customHeight="1" x14ac:dyDescent="0.25">
      <c r="A1989" t="str">
        <f>IF('e2'!A1989&gt;0,HYPERLINK("#"&amp;ADDRESS(1989,'e2'!A1989),""),IF('r2'!A1989&gt;0,HYPERLINK("#"&amp;ADDRESS(1989,'r2'!A1989),""),""))</f>
        <v/>
      </c>
      <c r="C1989" s="31"/>
      <c r="D1989" s="32"/>
    </row>
    <row r="1990" spans="1:4" ht="24" customHeight="1" x14ac:dyDescent="0.25">
      <c r="A1990" t="str">
        <f>IF('e2'!A1990&gt;0,HYPERLINK("#"&amp;ADDRESS(1990,'e2'!A1990),""),IF('r2'!A1990&gt;0,HYPERLINK("#"&amp;ADDRESS(1990,'r2'!A1990),""),""))</f>
        <v/>
      </c>
      <c r="C1990" s="31"/>
      <c r="D1990" s="32"/>
    </row>
    <row r="1991" spans="1:4" ht="24" customHeight="1" x14ac:dyDescent="0.25">
      <c r="A1991" t="str">
        <f>IF('e2'!A1991&gt;0,HYPERLINK("#"&amp;ADDRESS(1991,'e2'!A1991),""),IF('r2'!A1991&gt;0,HYPERLINK("#"&amp;ADDRESS(1991,'r2'!A1991),""),""))</f>
        <v/>
      </c>
      <c r="C1991" s="31"/>
      <c r="D1991" s="32"/>
    </row>
    <row r="1992" spans="1:4" ht="24" customHeight="1" x14ac:dyDescent="0.25">
      <c r="A1992" t="str">
        <f>IF('e2'!A1992&gt;0,HYPERLINK("#"&amp;ADDRESS(1992,'e2'!A1992),""),IF('r2'!A1992&gt;0,HYPERLINK("#"&amp;ADDRESS(1992,'r2'!A1992),""),""))</f>
        <v/>
      </c>
      <c r="C1992" s="31"/>
      <c r="D1992" s="32"/>
    </row>
    <row r="1993" spans="1:4" ht="24" customHeight="1" x14ac:dyDescent="0.25">
      <c r="A1993" t="str">
        <f>IF('e2'!A1993&gt;0,HYPERLINK("#"&amp;ADDRESS(1993,'e2'!A1993),""),IF('r2'!A1993&gt;0,HYPERLINK("#"&amp;ADDRESS(1993,'r2'!A1993),""),""))</f>
        <v/>
      </c>
      <c r="C1993" s="31"/>
      <c r="D1993" s="32"/>
    </row>
    <row r="1994" spans="1:4" ht="24" customHeight="1" x14ac:dyDescent="0.25">
      <c r="A1994" t="str">
        <f>IF('e2'!A1994&gt;0,HYPERLINK("#"&amp;ADDRESS(1994,'e2'!A1994),""),IF('r2'!A1994&gt;0,HYPERLINK("#"&amp;ADDRESS(1994,'r2'!A1994),""),""))</f>
        <v/>
      </c>
      <c r="C1994" s="31"/>
      <c r="D1994" s="32"/>
    </row>
    <row r="1995" spans="1:4" ht="24" customHeight="1" x14ac:dyDescent="0.25">
      <c r="A1995" t="str">
        <f>IF('e2'!A1995&gt;0,HYPERLINK("#"&amp;ADDRESS(1995,'e2'!A1995),""),IF('r2'!A1995&gt;0,HYPERLINK("#"&amp;ADDRESS(1995,'r2'!A1995),""),""))</f>
        <v/>
      </c>
      <c r="C1995" s="31"/>
      <c r="D1995" s="32"/>
    </row>
    <row r="1996" spans="1:4" ht="24" customHeight="1" x14ac:dyDescent="0.25">
      <c r="A1996" t="str">
        <f>IF('e2'!A1996&gt;0,HYPERLINK("#"&amp;ADDRESS(1996,'e2'!A1996),""),IF('r2'!A1996&gt;0,HYPERLINK("#"&amp;ADDRESS(1996,'r2'!A1996),""),""))</f>
        <v/>
      </c>
      <c r="C1996" s="31"/>
      <c r="D1996" s="32"/>
    </row>
    <row r="1997" spans="1:4" ht="24" customHeight="1" x14ac:dyDescent="0.25">
      <c r="A1997" t="str">
        <f>IF('e2'!A1997&gt;0,HYPERLINK("#"&amp;ADDRESS(1997,'e2'!A1997),""),IF('r2'!A1997&gt;0,HYPERLINK("#"&amp;ADDRESS(1997,'r2'!A1997),""),""))</f>
        <v/>
      </c>
      <c r="C1997" s="31"/>
      <c r="D1997" s="32"/>
    </row>
    <row r="1998" spans="1:4" ht="24" customHeight="1" x14ac:dyDescent="0.25">
      <c r="A1998" t="str">
        <f>IF('e2'!A1998&gt;0,HYPERLINK("#"&amp;ADDRESS(1998,'e2'!A1998),""),IF('r2'!A1998&gt;0,HYPERLINK("#"&amp;ADDRESS(1998,'r2'!A1998),""),""))</f>
        <v/>
      </c>
      <c r="C1998" s="31"/>
      <c r="D1998" s="32"/>
    </row>
    <row r="1999" spans="1:4" ht="24" customHeight="1" x14ac:dyDescent="0.25">
      <c r="A1999" t="str">
        <f>IF('e2'!A1999&gt;0,HYPERLINK("#"&amp;ADDRESS(1999,'e2'!A1999),""),IF('r2'!A1999&gt;0,HYPERLINK("#"&amp;ADDRESS(1999,'r2'!A1999),""),""))</f>
        <v/>
      </c>
      <c r="C1999" s="31"/>
      <c r="D1999" s="32"/>
    </row>
    <row r="2000" spans="1:4" ht="24" customHeight="1" x14ac:dyDescent="0.25">
      <c r="A2000" t="str">
        <f>IF('e2'!A2000&gt;0,HYPERLINK("#"&amp;ADDRESS(2000,'e2'!A2000),""),IF('r2'!A2000&gt;0,HYPERLINK("#"&amp;ADDRESS(2000,'r2'!A2000),""),""))</f>
        <v/>
      </c>
      <c r="C2000" s="31"/>
      <c r="D2000" s="32"/>
    </row>
    <row r="2001" spans="1:4" ht="24" customHeight="1" x14ac:dyDescent="0.25">
      <c r="A2001" t="str">
        <f>IF('e2'!A2001&gt;0,HYPERLINK("#"&amp;ADDRESS(2001,'e2'!A2001),""),IF('r2'!A2001&gt;0,HYPERLINK("#"&amp;ADDRESS(2001,'r2'!A2001),""),""))</f>
        <v/>
      </c>
      <c r="C2001" s="31"/>
      <c r="D2001" s="32"/>
    </row>
    <row r="2002" spans="1:4" ht="24" customHeight="1" x14ac:dyDescent="0.25">
      <c r="A2002" t="str">
        <f>IF('e2'!A2002&gt;0,HYPERLINK("#"&amp;ADDRESS(2002,'e2'!A2002),""),IF('r2'!A2002&gt;0,HYPERLINK("#"&amp;ADDRESS(2002,'r2'!A2002),""),""))</f>
        <v/>
      </c>
      <c r="C2002" s="31"/>
      <c r="D2002" s="32"/>
    </row>
    <row r="2003" spans="1:4" ht="24" customHeight="1" x14ac:dyDescent="0.25">
      <c r="A2003" t="str">
        <f>IF('e2'!A2003&gt;0,HYPERLINK("#"&amp;ADDRESS(2003,'e2'!A2003),""),IF('r2'!A2003&gt;0,HYPERLINK("#"&amp;ADDRESS(2003,'r2'!A2003),""),""))</f>
        <v/>
      </c>
      <c r="C2003" s="31"/>
      <c r="D2003" s="32"/>
    </row>
    <row r="2004" spans="1:4" ht="24" customHeight="1" x14ac:dyDescent="0.25">
      <c r="A2004" t="str">
        <f>IF('e2'!A2004&gt;0,HYPERLINK("#"&amp;ADDRESS(2004,'e2'!A2004),""),IF('r2'!A2004&gt;0,HYPERLINK("#"&amp;ADDRESS(2004,'r2'!A2004),""),""))</f>
        <v/>
      </c>
      <c r="C2004" s="31"/>
      <c r="D2004" s="32"/>
    </row>
    <row r="2005" spans="1:4" ht="24" customHeight="1" x14ac:dyDescent="0.25">
      <c r="A2005" t="str">
        <f>IF('e2'!A2005&gt;0,HYPERLINK("#"&amp;ADDRESS(2005,'e2'!A2005),""),IF('r2'!A2005&gt;0,HYPERLINK("#"&amp;ADDRESS(2005,'r2'!A2005),""),""))</f>
        <v/>
      </c>
      <c r="C2005" s="31"/>
      <c r="D2005" s="32"/>
    </row>
  </sheetData>
  <sheetProtection sheet="1" formatColumns="0" formatRows="0"/>
  <mergeCells count="1">
    <mergeCell ref="A5:B5"/>
  </mergeCells>
  <hyperlinks>
    <hyperlink ref="C2" location="reference!A132:D136" display="Year" xr:uid="{00000000-0004-0000-0100-000000000000}"/>
    <hyperlink ref="D2" location="reference!A138:D155" display="Month" xr:uid="{00000000-0004-0000-0100-000001000000}"/>
  </hyperlinks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0000000-000E-0000-0100-000001000000}">
            <xm:f>AND('e2'!A6=0,'r2'!A6&gt;0)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A6:A2005</xm:sqref>
        </x14:conditionalFormatting>
        <x14:conditionalFormatting xmlns:xm="http://schemas.microsoft.com/office/excel/2006/main">
          <x14:cfRule type="expression" priority="2" stopIfTrue="1" id="{00000000-000E-0000-0100-000002000000}">
            <xm:f>AND(ISNUMBER('e2'!A4),'e2'!A4&gt;0)</xm:f>
            <x14:dxf>
              <font>
                <color rgb="FFFFFFFF"/>
              </font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A4:D2005</xm:sqref>
        </x14:conditionalFormatting>
        <x14:conditionalFormatting xmlns:xm="http://schemas.microsoft.com/office/excel/2006/main">
          <x14:cfRule type="expression" priority="3" stopIfTrue="1" id="{00000000-000E-0000-0100-000003000000}">
            <xm:f>AND(ISNUMBER('r2'!C4),'e2'!C4=0,'r2'!C4&gt;0)</xm:f>
            <x14:dxf>
              <font>
                <color rgb="FFFFFFFF"/>
              </font>
              <fill>
                <patternFill patternType="solid">
                  <fgColor rgb="FF5D535E"/>
                  <bgColor rgb="FF5D535E"/>
                </patternFill>
              </fill>
            </x14:dxf>
          </x14:cfRule>
          <xm:sqref>C4:D2005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choice" error="Please enter one of the valid keys shown on sheet &quot;reference&quot; rows 144-155" xr:uid="{00000000-0002-0000-0100-000000000000}">
          <x14:formula1>
            <xm:f>reference!$C$144:$C$155</xm:f>
          </x14:formula1>
          <xm:sqref>D6:D2005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5"/>
  <sheetViews>
    <sheetView workbookViewId="0"/>
  </sheetViews>
  <sheetFormatPr defaultRowHeight="15" x14ac:dyDescent="0.25"/>
  <cols>
    <col min="1" max="1" width="1" customWidth="1"/>
    <col min="2" max="2" width="3" customWidth="1"/>
    <col min="3" max="3" width="18" customWidth="1"/>
    <col min="4" max="4" width="114" customWidth="1"/>
  </cols>
  <sheetData>
    <row r="1" spans="1:4" s="1" customFormat="1" ht="27" customHeight="1" x14ac:dyDescent="0.35">
      <c r="A1" s="2"/>
      <c r="C1" s="3" t="s">
        <v>60</v>
      </c>
    </row>
    <row r="2" spans="1:4" s="33" customFormat="1" ht="27" customHeight="1" x14ac:dyDescent="0.25">
      <c r="A2" s="2"/>
      <c r="C2" s="34" t="s">
        <v>61</v>
      </c>
    </row>
    <row r="3" spans="1:4" s="35" customFormat="1" x14ac:dyDescent="0.25"/>
    <row r="4" spans="1:4" s="35" customFormat="1" ht="24" customHeight="1" x14ac:dyDescent="0.25">
      <c r="A4" s="40">
        <v>1</v>
      </c>
      <c r="B4" s="41"/>
      <c r="C4" s="42" t="s">
        <v>1</v>
      </c>
      <c r="D4" s="41"/>
    </row>
    <row r="5" spans="1:4" s="35" customFormat="1" ht="15" customHeight="1" x14ac:dyDescent="0.25">
      <c r="C5" s="36" t="s">
        <v>62</v>
      </c>
      <c r="D5" s="37" t="s">
        <v>21</v>
      </c>
    </row>
    <row r="6" spans="1:4" s="35" customFormat="1" ht="45" customHeight="1" x14ac:dyDescent="0.25">
      <c r="C6" s="36" t="s">
        <v>63</v>
      </c>
      <c r="D6" s="37" t="s">
        <v>64</v>
      </c>
    </row>
    <row r="7" spans="1:4" s="35" customFormat="1" ht="15" customHeight="1" x14ac:dyDescent="0.25">
      <c r="C7" s="36" t="s">
        <v>65</v>
      </c>
      <c r="D7" s="37" t="s">
        <v>66</v>
      </c>
    </row>
    <row r="8" spans="1:4" s="35" customFormat="1" ht="15" customHeight="1" x14ac:dyDescent="0.25">
      <c r="C8" s="36" t="s">
        <v>67</v>
      </c>
      <c r="D8" s="37" t="s">
        <v>68</v>
      </c>
    </row>
    <row r="9" spans="1:4" s="35" customFormat="1" ht="30" customHeight="1" x14ac:dyDescent="0.25">
      <c r="C9" s="36" t="s">
        <v>69</v>
      </c>
      <c r="D9" s="37" t="s">
        <v>70</v>
      </c>
    </row>
    <row r="10" spans="1:4" s="35" customFormat="1" x14ac:dyDescent="0.25"/>
    <row r="11" spans="1:4" s="35" customFormat="1" ht="24" customHeight="1" x14ac:dyDescent="0.25">
      <c r="A11" s="40">
        <v>2</v>
      </c>
      <c r="B11" s="41"/>
      <c r="C11" s="42" t="s">
        <v>2</v>
      </c>
      <c r="D11" s="41"/>
    </row>
    <row r="12" spans="1:4" s="35" customFormat="1" ht="15" customHeight="1" x14ac:dyDescent="0.25">
      <c r="C12" s="36" t="s">
        <v>62</v>
      </c>
      <c r="D12" s="37" t="s">
        <v>22</v>
      </c>
    </row>
    <row r="13" spans="1:4" s="35" customFormat="1" ht="15" customHeight="1" x14ac:dyDescent="0.25">
      <c r="C13" s="36" t="s">
        <v>63</v>
      </c>
      <c r="D13" s="37" t="s">
        <v>71</v>
      </c>
    </row>
    <row r="14" spans="1:4" s="35" customFormat="1" ht="15" customHeight="1" x14ac:dyDescent="0.25">
      <c r="C14" s="36" t="s">
        <v>65</v>
      </c>
      <c r="D14" s="37" t="s">
        <v>72</v>
      </c>
    </row>
    <row r="15" spans="1:4" s="35" customFormat="1" ht="15" customHeight="1" x14ac:dyDescent="0.25">
      <c r="C15" s="36" t="s">
        <v>69</v>
      </c>
      <c r="D15" s="37" t="s">
        <v>73</v>
      </c>
    </row>
    <row r="16" spans="1:4" s="35" customFormat="1" ht="24" customHeight="1" x14ac:dyDescent="0.25">
      <c r="C16" s="36" t="s">
        <v>74</v>
      </c>
      <c r="D16" s="37"/>
    </row>
    <row r="17" spans="1:4" s="35" customFormat="1" ht="15" customHeight="1" x14ac:dyDescent="0.25">
      <c r="B17" s="7"/>
      <c r="C17" s="7" t="s">
        <v>75</v>
      </c>
      <c r="D17" s="7" t="s">
        <v>76</v>
      </c>
    </row>
    <row r="18" spans="1:4" s="35" customFormat="1" ht="15" customHeight="1" x14ac:dyDescent="0.25">
      <c r="B18" s="7"/>
      <c r="C18" s="7" t="s">
        <v>41</v>
      </c>
      <c r="D18" s="7" t="s">
        <v>77</v>
      </c>
    </row>
    <row r="19" spans="1:4" s="35" customFormat="1" x14ac:dyDescent="0.25"/>
    <row r="20" spans="1:4" s="35" customFormat="1" ht="24" customHeight="1" x14ac:dyDescent="0.25">
      <c r="A20" s="40">
        <v>3</v>
      </c>
      <c r="B20" s="41"/>
      <c r="C20" s="42" t="s">
        <v>3</v>
      </c>
      <c r="D20" s="41"/>
    </row>
    <row r="21" spans="1:4" s="35" customFormat="1" ht="15" customHeight="1" x14ac:dyDescent="0.25">
      <c r="C21" s="36" t="s">
        <v>62</v>
      </c>
      <c r="D21" s="37" t="s">
        <v>23</v>
      </c>
    </row>
    <row r="22" spans="1:4" s="35" customFormat="1" ht="30" customHeight="1" x14ac:dyDescent="0.25">
      <c r="C22" s="36" t="s">
        <v>63</v>
      </c>
      <c r="D22" s="37" t="s">
        <v>78</v>
      </c>
    </row>
    <row r="23" spans="1:4" s="35" customFormat="1" ht="15" customHeight="1" x14ac:dyDescent="0.25">
      <c r="C23" s="36" t="s">
        <v>65</v>
      </c>
      <c r="D23" s="37" t="s">
        <v>66</v>
      </c>
    </row>
    <row r="24" spans="1:4" s="35" customFormat="1" ht="15" customHeight="1" x14ac:dyDescent="0.25">
      <c r="C24" s="36" t="s">
        <v>67</v>
      </c>
      <c r="D24" s="37" t="s">
        <v>68</v>
      </c>
    </row>
    <row r="25" spans="1:4" s="35" customFormat="1" ht="15" customHeight="1" x14ac:dyDescent="0.25">
      <c r="C25" s="36" t="s">
        <v>69</v>
      </c>
      <c r="D25" s="37" t="s">
        <v>79</v>
      </c>
    </row>
    <row r="26" spans="1:4" s="35" customFormat="1" x14ac:dyDescent="0.25"/>
    <row r="27" spans="1:4" s="35" customFormat="1" ht="24" customHeight="1" x14ac:dyDescent="0.25">
      <c r="A27" s="40">
        <v>4</v>
      </c>
      <c r="B27" s="41"/>
      <c r="C27" s="42" t="s">
        <v>4</v>
      </c>
      <c r="D27" s="41"/>
    </row>
    <row r="28" spans="1:4" s="35" customFormat="1" ht="15" customHeight="1" x14ac:dyDescent="0.25">
      <c r="C28" s="36" t="s">
        <v>62</v>
      </c>
      <c r="D28" s="37" t="s">
        <v>24</v>
      </c>
    </row>
    <row r="29" spans="1:4" s="35" customFormat="1" ht="30" customHeight="1" x14ac:dyDescent="0.25">
      <c r="C29" s="36" t="s">
        <v>63</v>
      </c>
      <c r="D29" s="37" t="s">
        <v>80</v>
      </c>
    </row>
    <row r="30" spans="1:4" s="35" customFormat="1" ht="15" customHeight="1" x14ac:dyDescent="0.25">
      <c r="C30" s="36" t="s">
        <v>65</v>
      </c>
      <c r="D30" s="37" t="s">
        <v>66</v>
      </c>
    </row>
    <row r="31" spans="1:4" s="35" customFormat="1" ht="15" customHeight="1" x14ac:dyDescent="0.25">
      <c r="C31" s="36" t="s">
        <v>67</v>
      </c>
      <c r="D31" s="37" t="s">
        <v>68</v>
      </c>
    </row>
    <row r="32" spans="1:4" s="35" customFormat="1" ht="15" customHeight="1" x14ac:dyDescent="0.25">
      <c r="C32" s="36" t="s">
        <v>69</v>
      </c>
      <c r="D32" s="37" t="s">
        <v>79</v>
      </c>
    </row>
    <row r="33" spans="1:4" s="35" customFormat="1" x14ac:dyDescent="0.25"/>
    <row r="34" spans="1:4" s="35" customFormat="1" ht="24" customHeight="1" x14ac:dyDescent="0.25">
      <c r="A34" s="40">
        <v>5</v>
      </c>
      <c r="B34" s="41"/>
      <c r="C34" s="42" t="s">
        <v>5</v>
      </c>
      <c r="D34" s="41"/>
    </row>
    <row r="35" spans="1:4" s="35" customFormat="1" ht="15" customHeight="1" x14ac:dyDescent="0.25">
      <c r="C35" s="36" t="s">
        <v>62</v>
      </c>
      <c r="D35" s="37" t="s">
        <v>25</v>
      </c>
    </row>
    <row r="36" spans="1:4" s="35" customFormat="1" ht="30" customHeight="1" x14ac:dyDescent="0.25">
      <c r="C36" s="36" t="s">
        <v>63</v>
      </c>
      <c r="D36" s="37" t="s">
        <v>81</v>
      </c>
    </row>
    <row r="37" spans="1:4" s="35" customFormat="1" ht="15" customHeight="1" x14ac:dyDescent="0.25">
      <c r="C37" s="36" t="s">
        <v>65</v>
      </c>
      <c r="D37" s="37" t="s">
        <v>66</v>
      </c>
    </row>
    <row r="38" spans="1:4" s="35" customFormat="1" ht="15" customHeight="1" x14ac:dyDescent="0.25">
      <c r="C38" s="36" t="s">
        <v>67</v>
      </c>
      <c r="D38" s="37" t="s">
        <v>68</v>
      </c>
    </row>
    <row r="39" spans="1:4" s="35" customFormat="1" ht="15" customHeight="1" x14ac:dyDescent="0.25">
      <c r="C39" s="36" t="s">
        <v>69</v>
      </c>
      <c r="D39" s="37" t="s">
        <v>79</v>
      </c>
    </row>
    <row r="40" spans="1:4" s="35" customFormat="1" x14ac:dyDescent="0.25"/>
    <row r="41" spans="1:4" s="35" customFormat="1" ht="24" customHeight="1" x14ac:dyDescent="0.25">
      <c r="A41" s="40">
        <v>6</v>
      </c>
      <c r="B41" s="41"/>
      <c r="C41" s="42" t="s">
        <v>6</v>
      </c>
      <c r="D41" s="41"/>
    </row>
    <row r="42" spans="1:4" s="35" customFormat="1" ht="15" customHeight="1" x14ac:dyDescent="0.25">
      <c r="C42" s="36" t="s">
        <v>62</v>
      </c>
      <c r="D42" s="37" t="s">
        <v>26</v>
      </c>
    </row>
    <row r="43" spans="1:4" s="35" customFormat="1" ht="30" customHeight="1" x14ac:dyDescent="0.25">
      <c r="C43" s="36" t="s">
        <v>63</v>
      </c>
      <c r="D43" s="37" t="s">
        <v>82</v>
      </c>
    </row>
    <row r="44" spans="1:4" s="35" customFormat="1" ht="15" customHeight="1" x14ac:dyDescent="0.25">
      <c r="C44" s="36" t="s">
        <v>65</v>
      </c>
      <c r="D44" s="37" t="s">
        <v>66</v>
      </c>
    </row>
    <row r="45" spans="1:4" s="35" customFormat="1" ht="15" customHeight="1" x14ac:dyDescent="0.25">
      <c r="C45" s="36" t="s">
        <v>67</v>
      </c>
      <c r="D45" s="37" t="s">
        <v>68</v>
      </c>
    </row>
    <row r="46" spans="1:4" s="35" customFormat="1" ht="15" customHeight="1" x14ac:dyDescent="0.25">
      <c r="C46" s="36" t="s">
        <v>69</v>
      </c>
      <c r="D46" s="37" t="s">
        <v>79</v>
      </c>
    </row>
    <row r="47" spans="1:4" s="35" customFormat="1" x14ac:dyDescent="0.25"/>
    <row r="48" spans="1:4" s="35" customFormat="1" ht="24" customHeight="1" x14ac:dyDescent="0.25">
      <c r="A48" s="40">
        <v>7</v>
      </c>
      <c r="B48" s="41"/>
      <c r="C48" s="42" t="s">
        <v>7</v>
      </c>
      <c r="D48" s="41"/>
    </row>
    <row r="49" spans="1:4" s="35" customFormat="1" ht="15" customHeight="1" x14ac:dyDescent="0.25">
      <c r="C49" s="36" t="s">
        <v>62</v>
      </c>
      <c r="D49" s="37" t="s">
        <v>27</v>
      </c>
    </row>
    <row r="50" spans="1:4" s="35" customFormat="1" ht="30" customHeight="1" x14ac:dyDescent="0.25">
      <c r="C50" s="36" t="s">
        <v>63</v>
      </c>
      <c r="D50" s="37" t="s">
        <v>83</v>
      </c>
    </row>
    <row r="51" spans="1:4" s="35" customFormat="1" ht="15" customHeight="1" x14ac:dyDescent="0.25">
      <c r="C51" s="36" t="s">
        <v>65</v>
      </c>
      <c r="D51" s="37" t="s">
        <v>66</v>
      </c>
    </row>
    <row r="52" spans="1:4" s="35" customFormat="1" ht="15" customHeight="1" x14ac:dyDescent="0.25">
      <c r="C52" s="36" t="s">
        <v>67</v>
      </c>
      <c r="D52" s="37" t="s">
        <v>68</v>
      </c>
    </row>
    <row r="53" spans="1:4" s="35" customFormat="1" ht="15" customHeight="1" x14ac:dyDescent="0.25">
      <c r="C53" s="36" t="s">
        <v>69</v>
      </c>
      <c r="D53" s="37" t="s">
        <v>79</v>
      </c>
    </row>
    <row r="54" spans="1:4" s="35" customFormat="1" x14ac:dyDescent="0.25"/>
    <row r="55" spans="1:4" s="35" customFormat="1" ht="24" customHeight="1" x14ac:dyDescent="0.25">
      <c r="A55" s="40">
        <v>8</v>
      </c>
      <c r="B55" s="41"/>
      <c r="C55" s="42" t="s">
        <v>8</v>
      </c>
      <c r="D55" s="41"/>
    </row>
    <row r="56" spans="1:4" s="35" customFormat="1" ht="15" customHeight="1" x14ac:dyDescent="0.25">
      <c r="C56" s="36" t="s">
        <v>62</v>
      </c>
      <c r="D56" s="37" t="s">
        <v>28</v>
      </c>
    </row>
    <row r="57" spans="1:4" s="35" customFormat="1" ht="15" customHeight="1" x14ac:dyDescent="0.25">
      <c r="C57" s="36" t="s">
        <v>63</v>
      </c>
      <c r="D57" s="37" t="s">
        <v>84</v>
      </c>
    </row>
    <row r="58" spans="1:4" s="35" customFormat="1" ht="15" customHeight="1" x14ac:dyDescent="0.25">
      <c r="C58" s="36" t="s">
        <v>65</v>
      </c>
      <c r="D58" s="37" t="s">
        <v>66</v>
      </c>
    </row>
    <row r="59" spans="1:4" s="35" customFormat="1" ht="15" customHeight="1" x14ac:dyDescent="0.25">
      <c r="C59" s="36" t="s">
        <v>67</v>
      </c>
      <c r="D59" s="37" t="s">
        <v>68</v>
      </c>
    </row>
    <row r="60" spans="1:4" s="35" customFormat="1" ht="15" customHeight="1" x14ac:dyDescent="0.25">
      <c r="C60" s="36" t="s">
        <v>69</v>
      </c>
      <c r="D60" s="37" t="s">
        <v>85</v>
      </c>
    </row>
    <row r="61" spans="1:4" s="35" customFormat="1" x14ac:dyDescent="0.25"/>
    <row r="62" spans="1:4" s="35" customFormat="1" ht="24" customHeight="1" x14ac:dyDescent="0.25">
      <c r="A62" s="40">
        <v>9</v>
      </c>
      <c r="B62" s="41"/>
      <c r="C62" s="42" t="s">
        <v>9</v>
      </c>
      <c r="D62" s="41"/>
    </row>
    <row r="63" spans="1:4" s="35" customFormat="1" ht="15" customHeight="1" x14ac:dyDescent="0.25">
      <c r="C63" s="36" t="s">
        <v>62</v>
      </c>
      <c r="D63" s="37" t="s">
        <v>29</v>
      </c>
    </row>
    <row r="64" spans="1:4" s="35" customFormat="1" ht="15" customHeight="1" x14ac:dyDescent="0.25">
      <c r="C64" s="36" t="s">
        <v>63</v>
      </c>
      <c r="D64" s="37" t="s">
        <v>86</v>
      </c>
    </row>
    <row r="65" spans="1:4" s="35" customFormat="1" ht="15" customHeight="1" x14ac:dyDescent="0.25">
      <c r="C65" s="36" t="s">
        <v>65</v>
      </c>
      <c r="D65" s="37" t="s">
        <v>66</v>
      </c>
    </row>
    <row r="66" spans="1:4" s="35" customFormat="1" ht="15" customHeight="1" x14ac:dyDescent="0.25">
      <c r="C66" s="36" t="s">
        <v>67</v>
      </c>
      <c r="D66" s="37" t="s">
        <v>68</v>
      </c>
    </row>
    <row r="67" spans="1:4" s="35" customFormat="1" ht="15" customHeight="1" x14ac:dyDescent="0.25">
      <c r="C67" s="36" t="s">
        <v>69</v>
      </c>
      <c r="D67" s="37" t="s">
        <v>85</v>
      </c>
    </row>
    <row r="68" spans="1:4" s="35" customFormat="1" x14ac:dyDescent="0.25"/>
    <row r="69" spans="1:4" s="35" customFormat="1" ht="24" customHeight="1" x14ac:dyDescent="0.25">
      <c r="A69" s="40">
        <v>10</v>
      </c>
      <c r="B69" s="41"/>
      <c r="C69" s="42" t="s">
        <v>87</v>
      </c>
      <c r="D69" s="41"/>
    </row>
    <row r="70" spans="1:4" s="35" customFormat="1" ht="15" customHeight="1" x14ac:dyDescent="0.25">
      <c r="C70" s="36" t="s">
        <v>62</v>
      </c>
      <c r="D70" s="37" t="s">
        <v>30</v>
      </c>
    </row>
    <row r="71" spans="1:4" s="35" customFormat="1" ht="15" customHeight="1" x14ac:dyDescent="0.25">
      <c r="C71" s="36" t="s">
        <v>63</v>
      </c>
      <c r="D71" s="37" t="s">
        <v>88</v>
      </c>
    </row>
    <row r="72" spans="1:4" s="35" customFormat="1" ht="15" customHeight="1" x14ac:dyDescent="0.25">
      <c r="C72" s="36" t="s">
        <v>65</v>
      </c>
      <c r="D72" s="37" t="s">
        <v>66</v>
      </c>
    </row>
    <row r="73" spans="1:4" s="35" customFormat="1" ht="15" customHeight="1" x14ac:dyDescent="0.25">
      <c r="C73" s="36" t="s">
        <v>67</v>
      </c>
      <c r="D73" s="37" t="s">
        <v>68</v>
      </c>
    </row>
    <row r="74" spans="1:4" s="35" customFormat="1" ht="15" customHeight="1" x14ac:dyDescent="0.25">
      <c r="C74" s="36" t="s">
        <v>69</v>
      </c>
      <c r="D74" s="37" t="s">
        <v>79</v>
      </c>
    </row>
    <row r="75" spans="1:4" s="35" customFormat="1" x14ac:dyDescent="0.25"/>
    <row r="76" spans="1:4" s="35" customFormat="1" ht="24" customHeight="1" x14ac:dyDescent="0.25">
      <c r="A76" s="40">
        <v>11</v>
      </c>
      <c r="B76" s="41"/>
      <c r="C76" s="42" t="s">
        <v>89</v>
      </c>
      <c r="D76" s="41"/>
    </row>
    <row r="77" spans="1:4" s="35" customFormat="1" ht="15" customHeight="1" x14ac:dyDescent="0.25">
      <c r="C77" s="36" t="s">
        <v>62</v>
      </c>
      <c r="D77" s="37" t="s">
        <v>31</v>
      </c>
    </row>
    <row r="78" spans="1:4" s="35" customFormat="1" ht="15" customHeight="1" x14ac:dyDescent="0.25">
      <c r="C78" s="36" t="s">
        <v>63</v>
      </c>
      <c r="D78" s="37" t="s">
        <v>90</v>
      </c>
    </row>
    <row r="79" spans="1:4" s="35" customFormat="1" ht="15" customHeight="1" x14ac:dyDescent="0.25">
      <c r="C79" s="36" t="s">
        <v>65</v>
      </c>
      <c r="D79" s="37" t="s">
        <v>66</v>
      </c>
    </row>
    <row r="80" spans="1:4" s="35" customFormat="1" ht="15" customHeight="1" x14ac:dyDescent="0.25">
      <c r="C80" s="36" t="s">
        <v>67</v>
      </c>
      <c r="D80" s="37" t="s">
        <v>68</v>
      </c>
    </row>
    <row r="81" spans="1:4" s="35" customFormat="1" ht="15" customHeight="1" x14ac:dyDescent="0.25">
      <c r="C81" s="36" t="s">
        <v>69</v>
      </c>
      <c r="D81" s="37" t="s">
        <v>79</v>
      </c>
    </row>
    <row r="82" spans="1:4" s="35" customFormat="1" x14ac:dyDescent="0.25"/>
    <row r="83" spans="1:4" s="35" customFormat="1" ht="24" customHeight="1" x14ac:dyDescent="0.25">
      <c r="A83" s="40">
        <v>12</v>
      </c>
      <c r="B83" s="41"/>
      <c r="C83" s="42" t="s">
        <v>91</v>
      </c>
      <c r="D83" s="41"/>
    </row>
    <row r="84" spans="1:4" s="35" customFormat="1" ht="15" customHeight="1" x14ac:dyDescent="0.25">
      <c r="C84" s="36" t="s">
        <v>62</v>
      </c>
      <c r="D84" s="37" t="s">
        <v>32</v>
      </c>
    </row>
    <row r="85" spans="1:4" s="35" customFormat="1" ht="30" customHeight="1" x14ac:dyDescent="0.25">
      <c r="C85" s="36" t="s">
        <v>63</v>
      </c>
      <c r="D85" s="37" t="s">
        <v>92</v>
      </c>
    </row>
    <row r="86" spans="1:4" s="35" customFormat="1" ht="15" customHeight="1" x14ac:dyDescent="0.25">
      <c r="C86" s="36" t="s">
        <v>65</v>
      </c>
      <c r="D86" s="37" t="s">
        <v>66</v>
      </c>
    </row>
    <row r="87" spans="1:4" s="35" customFormat="1" ht="15" customHeight="1" x14ac:dyDescent="0.25">
      <c r="C87" s="36" t="s">
        <v>67</v>
      </c>
      <c r="D87" s="37" t="s">
        <v>68</v>
      </c>
    </row>
    <row r="88" spans="1:4" s="35" customFormat="1" ht="15" customHeight="1" x14ac:dyDescent="0.25">
      <c r="C88" s="36" t="s">
        <v>69</v>
      </c>
      <c r="D88" s="37" t="s">
        <v>79</v>
      </c>
    </row>
    <row r="89" spans="1:4" s="35" customFormat="1" x14ac:dyDescent="0.25"/>
    <row r="90" spans="1:4" s="35" customFormat="1" ht="24" customHeight="1" x14ac:dyDescent="0.25">
      <c r="A90" s="40">
        <v>13</v>
      </c>
      <c r="B90" s="41"/>
      <c r="C90" s="42" t="s">
        <v>93</v>
      </c>
      <c r="D90" s="41"/>
    </row>
    <row r="91" spans="1:4" s="35" customFormat="1" ht="15" customHeight="1" x14ac:dyDescent="0.25">
      <c r="C91" s="36" t="s">
        <v>62</v>
      </c>
      <c r="D91" s="37" t="s">
        <v>33</v>
      </c>
    </row>
    <row r="92" spans="1:4" s="35" customFormat="1" ht="30" customHeight="1" x14ac:dyDescent="0.25">
      <c r="C92" s="36" t="s">
        <v>63</v>
      </c>
      <c r="D92" s="37" t="s">
        <v>94</v>
      </c>
    </row>
    <row r="93" spans="1:4" s="35" customFormat="1" ht="15" customHeight="1" x14ac:dyDescent="0.25">
      <c r="C93" s="36" t="s">
        <v>65</v>
      </c>
      <c r="D93" s="37" t="s">
        <v>66</v>
      </c>
    </row>
    <row r="94" spans="1:4" s="35" customFormat="1" ht="15" customHeight="1" x14ac:dyDescent="0.25">
      <c r="C94" s="36" t="s">
        <v>67</v>
      </c>
      <c r="D94" s="37" t="s">
        <v>68</v>
      </c>
    </row>
    <row r="95" spans="1:4" s="35" customFormat="1" ht="15" customHeight="1" x14ac:dyDescent="0.25">
      <c r="C95" s="36" t="s">
        <v>69</v>
      </c>
      <c r="D95" s="37" t="s">
        <v>79</v>
      </c>
    </row>
    <row r="96" spans="1:4" s="35" customFormat="1" x14ac:dyDescent="0.25"/>
    <row r="97" spans="1:4" s="35" customFormat="1" ht="24" customHeight="1" x14ac:dyDescent="0.25">
      <c r="A97" s="40">
        <v>14</v>
      </c>
      <c r="B97" s="41"/>
      <c r="C97" s="42" t="s">
        <v>95</v>
      </c>
      <c r="D97" s="41"/>
    </row>
    <row r="98" spans="1:4" s="35" customFormat="1" ht="15" customHeight="1" x14ac:dyDescent="0.25">
      <c r="C98" s="36" t="s">
        <v>62</v>
      </c>
      <c r="D98" s="37" t="s">
        <v>34</v>
      </c>
    </row>
    <row r="99" spans="1:4" s="35" customFormat="1" ht="15" customHeight="1" x14ac:dyDescent="0.25">
      <c r="C99" s="36" t="s">
        <v>63</v>
      </c>
      <c r="D99" s="37" t="s">
        <v>96</v>
      </c>
    </row>
    <row r="100" spans="1:4" s="35" customFormat="1" ht="15" customHeight="1" x14ac:dyDescent="0.25">
      <c r="C100" s="36" t="s">
        <v>65</v>
      </c>
      <c r="D100" s="37" t="s">
        <v>66</v>
      </c>
    </row>
    <row r="101" spans="1:4" s="35" customFormat="1" ht="15" customHeight="1" x14ac:dyDescent="0.25">
      <c r="C101" s="36" t="s">
        <v>67</v>
      </c>
      <c r="D101" s="37" t="s">
        <v>68</v>
      </c>
    </row>
    <row r="102" spans="1:4" s="35" customFormat="1" ht="15" customHeight="1" x14ac:dyDescent="0.25">
      <c r="C102" s="36" t="s">
        <v>69</v>
      </c>
      <c r="D102" s="37" t="s">
        <v>79</v>
      </c>
    </row>
    <row r="103" spans="1:4" s="35" customFormat="1" x14ac:dyDescent="0.25"/>
    <row r="104" spans="1:4" s="35" customFormat="1" ht="24" customHeight="1" x14ac:dyDescent="0.25">
      <c r="A104" s="40">
        <v>15</v>
      </c>
      <c r="B104" s="41"/>
      <c r="C104" s="42" t="s">
        <v>15</v>
      </c>
      <c r="D104" s="41"/>
    </row>
    <row r="105" spans="1:4" s="35" customFormat="1" ht="15" customHeight="1" x14ac:dyDescent="0.25">
      <c r="C105" s="36" t="s">
        <v>62</v>
      </c>
      <c r="D105" s="37" t="s">
        <v>35</v>
      </c>
    </row>
    <row r="106" spans="1:4" s="35" customFormat="1" ht="15" customHeight="1" x14ac:dyDescent="0.25">
      <c r="C106" s="36" t="s">
        <v>63</v>
      </c>
      <c r="D106" s="37" t="s">
        <v>97</v>
      </c>
    </row>
    <row r="107" spans="1:4" s="35" customFormat="1" ht="15" customHeight="1" x14ac:dyDescent="0.25">
      <c r="C107" s="36" t="s">
        <v>65</v>
      </c>
      <c r="D107" s="37" t="s">
        <v>66</v>
      </c>
    </row>
    <row r="108" spans="1:4" s="35" customFormat="1" ht="15" customHeight="1" x14ac:dyDescent="0.25">
      <c r="C108" s="36" t="s">
        <v>67</v>
      </c>
      <c r="D108" s="37" t="s">
        <v>68</v>
      </c>
    </row>
    <row r="109" spans="1:4" s="35" customFormat="1" ht="15" customHeight="1" x14ac:dyDescent="0.25">
      <c r="C109" s="36" t="s">
        <v>69</v>
      </c>
      <c r="D109" s="37" t="s">
        <v>79</v>
      </c>
    </row>
    <row r="110" spans="1:4" s="35" customFormat="1" x14ac:dyDescent="0.25"/>
    <row r="111" spans="1:4" s="35" customFormat="1" ht="24" customHeight="1" x14ac:dyDescent="0.25">
      <c r="A111" s="40">
        <v>16</v>
      </c>
      <c r="B111" s="41"/>
      <c r="C111" s="42" t="s">
        <v>16</v>
      </c>
      <c r="D111" s="41"/>
    </row>
    <row r="112" spans="1:4" s="35" customFormat="1" ht="15" customHeight="1" x14ac:dyDescent="0.25">
      <c r="C112" s="36" t="s">
        <v>62</v>
      </c>
      <c r="D112" s="37" t="s">
        <v>36</v>
      </c>
    </row>
    <row r="113" spans="1:4" s="35" customFormat="1" ht="15" customHeight="1" x14ac:dyDescent="0.25">
      <c r="C113" s="36" t="s">
        <v>63</v>
      </c>
      <c r="D113" s="37" t="s">
        <v>98</v>
      </c>
    </row>
    <row r="114" spans="1:4" s="35" customFormat="1" ht="15" customHeight="1" x14ac:dyDescent="0.25">
      <c r="C114" s="36" t="s">
        <v>65</v>
      </c>
      <c r="D114" s="37" t="s">
        <v>66</v>
      </c>
    </row>
    <row r="115" spans="1:4" s="35" customFormat="1" ht="15" customHeight="1" x14ac:dyDescent="0.25">
      <c r="C115" s="36" t="s">
        <v>67</v>
      </c>
      <c r="D115" s="37" t="s">
        <v>68</v>
      </c>
    </row>
    <row r="116" spans="1:4" s="35" customFormat="1" ht="15" customHeight="1" x14ac:dyDescent="0.25">
      <c r="C116" s="36" t="s">
        <v>69</v>
      </c>
      <c r="D116" s="37" t="s">
        <v>99</v>
      </c>
    </row>
    <row r="117" spans="1:4" s="35" customFormat="1" x14ac:dyDescent="0.25"/>
    <row r="118" spans="1:4" s="35" customFormat="1" ht="24" customHeight="1" x14ac:dyDescent="0.25">
      <c r="A118" s="40">
        <v>17</v>
      </c>
      <c r="B118" s="41"/>
      <c r="C118" s="42" t="s">
        <v>17</v>
      </c>
      <c r="D118" s="41"/>
    </row>
    <row r="119" spans="1:4" s="35" customFormat="1" ht="15" customHeight="1" x14ac:dyDescent="0.25">
      <c r="C119" s="36" t="s">
        <v>62</v>
      </c>
      <c r="D119" s="37" t="s">
        <v>37</v>
      </c>
    </row>
    <row r="120" spans="1:4" s="35" customFormat="1" ht="15" customHeight="1" x14ac:dyDescent="0.25">
      <c r="C120" s="36" t="s">
        <v>63</v>
      </c>
      <c r="D120" s="37" t="s">
        <v>100</v>
      </c>
    </row>
    <row r="121" spans="1:4" s="35" customFormat="1" ht="15" customHeight="1" x14ac:dyDescent="0.25">
      <c r="C121" s="36" t="s">
        <v>65</v>
      </c>
      <c r="D121" s="37" t="s">
        <v>72</v>
      </c>
    </row>
    <row r="122" spans="1:4" s="35" customFormat="1" ht="15" customHeight="1" x14ac:dyDescent="0.25">
      <c r="C122" s="36" t="s">
        <v>69</v>
      </c>
      <c r="D122" s="37" t="s">
        <v>79</v>
      </c>
    </row>
    <row r="123" spans="1:4" s="35" customFormat="1" x14ac:dyDescent="0.25"/>
    <row r="124" spans="1:4" s="35" customFormat="1" ht="24" customHeight="1" x14ac:dyDescent="0.25">
      <c r="A124" s="40">
        <v>18</v>
      </c>
      <c r="B124" s="41"/>
      <c r="C124" s="42" t="s">
        <v>18</v>
      </c>
      <c r="D124" s="41"/>
    </row>
    <row r="125" spans="1:4" s="35" customFormat="1" ht="15" customHeight="1" x14ac:dyDescent="0.25">
      <c r="C125" s="36" t="s">
        <v>62</v>
      </c>
      <c r="D125" s="37" t="s">
        <v>38</v>
      </c>
    </row>
    <row r="126" spans="1:4" s="35" customFormat="1" ht="15" customHeight="1" x14ac:dyDescent="0.25">
      <c r="C126" s="36" t="s">
        <v>63</v>
      </c>
      <c r="D126" s="37" t="s">
        <v>101</v>
      </c>
    </row>
    <row r="127" spans="1:4" s="35" customFormat="1" ht="15" customHeight="1" x14ac:dyDescent="0.25">
      <c r="C127" s="36" t="s">
        <v>65</v>
      </c>
      <c r="D127" s="37" t="s">
        <v>72</v>
      </c>
    </row>
    <row r="128" spans="1:4" s="35" customFormat="1" ht="15" customHeight="1" x14ac:dyDescent="0.25">
      <c r="C128" s="36" t="s">
        <v>69</v>
      </c>
      <c r="D128" s="37" t="s">
        <v>79</v>
      </c>
    </row>
    <row r="129" spans="1:4" s="35" customFormat="1" x14ac:dyDescent="0.25"/>
    <row r="130" spans="1:4" s="1" customFormat="1" ht="27" customHeight="1" x14ac:dyDescent="0.35">
      <c r="B130" s="43" t="s">
        <v>102</v>
      </c>
      <c r="C130" s="44"/>
      <c r="D130" s="44"/>
    </row>
    <row r="131" spans="1:4" s="35" customFormat="1" x14ac:dyDescent="0.25"/>
    <row r="132" spans="1:4" s="35" customFormat="1" ht="24" customHeight="1" x14ac:dyDescent="0.25">
      <c r="A132" s="40">
        <v>19</v>
      </c>
      <c r="B132" s="41"/>
      <c r="C132" s="42" t="s">
        <v>55</v>
      </c>
      <c r="D132" s="41"/>
    </row>
    <row r="133" spans="1:4" s="35" customFormat="1" ht="15" customHeight="1" x14ac:dyDescent="0.25">
      <c r="C133" s="36" t="s">
        <v>62</v>
      </c>
      <c r="D133" s="37" t="s">
        <v>57</v>
      </c>
    </row>
    <row r="134" spans="1:4" s="35" customFormat="1" ht="30" customHeight="1" x14ac:dyDescent="0.25">
      <c r="C134" s="36" t="s">
        <v>63</v>
      </c>
      <c r="D134" s="37" t="s">
        <v>103</v>
      </c>
    </row>
    <row r="135" spans="1:4" s="35" customFormat="1" ht="15" customHeight="1" x14ac:dyDescent="0.25">
      <c r="C135" s="36" t="s">
        <v>65</v>
      </c>
      <c r="D135" s="37" t="s">
        <v>66</v>
      </c>
    </row>
    <row r="136" spans="1:4" s="35" customFormat="1" ht="15" customHeight="1" x14ac:dyDescent="0.25">
      <c r="C136" s="36" t="s">
        <v>67</v>
      </c>
      <c r="D136" s="37" t="s">
        <v>68</v>
      </c>
    </row>
    <row r="137" spans="1:4" s="35" customFormat="1" x14ac:dyDescent="0.25"/>
    <row r="138" spans="1:4" s="35" customFormat="1" ht="24" customHeight="1" x14ac:dyDescent="0.25">
      <c r="A138" s="40">
        <v>20</v>
      </c>
      <c r="B138" s="41"/>
      <c r="C138" s="42" t="s">
        <v>56</v>
      </c>
      <c r="D138" s="41"/>
    </row>
    <row r="139" spans="1:4" s="35" customFormat="1" ht="15" customHeight="1" x14ac:dyDescent="0.25">
      <c r="C139" s="36" t="s">
        <v>62</v>
      </c>
      <c r="D139" s="37" t="s">
        <v>58</v>
      </c>
    </row>
    <row r="140" spans="1:4" s="35" customFormat="1" ht="30" customHeight="1" x14ac:dyDescent="0.25">
      <c r="C140" s="36" t="s">
        <v>63</v>
      </c>
      <c r="D140" s="37" t="s">
        <v>104</v>
      </c>
    </row>
    <row r="141" spans="1:4" s="35" customFormat="1" ht="15" customHeight="1" x14ac:dyDescent="0.25">
      <c r="C141" s="36" t="s">
        <v>65</v>
      </c>
      <c r="D141" s="37" t="s">
        <v>66</v>
      </c>
    </row>
    <row r="142" spans="1:4" s="35" customFormat="1" ht="15" customHeight="1" x14ac:dyDescent="0.25">
      <c r="C142" s="36" t="s">
        <v>67</v>
      </c>
      <c r="D142" s="37" t="s">
        <v>68</v>
      </c>
    </row>
    <row r="143" spans="1:4" s="35" customFormat="1" ht="24" customHeight="1" x14ac:dyDescent="0.25">
      <c r="C143" s="36" t="s">
        <v>74</v>
      </c>
      <c r="D143" s="37"/>
    </row>
    <row r="144" spans="1:4" s="35" customFormat="1" x14ac:dyDescent="0.25">
      <c r="B144" s="7"/>
      <c r="C144" s="7" t="s">
        <v>59</v>
      </c>
      <c r="D144" s="7"/>
    </row>
    <row r="145" spans="2:4" s="35" customFormat="1" x14ac:dyDescent="0.25">
      <c r="B145" s="7"/>
      <c r="C145" s="7" t="s">
        <v>105</v>
      </c>
      <c r="D145" s="7"/>
    </row>
    <row r="146" spans="2:4" s="35" customFormat="1" x14ac:dyDescent="0.25">
      <c r="B146" s="7"/>
      <c r="C146" s="7" t="s">
        <v>106</v>
      </c>
      <c r="D146" s="7"/>
    </row>
    <row r="147" spans="2:4" s="35" customFormat="1" x14ac:dyDescent="0.25">
      <c r="B147" s="7"/>
      <c r="C147" s="7" t="s">
        <v>107</v>
      </c>
      <c r="D147" s="7"/>
    </row>
    <row r="148" spans="2:4" s="35" customFormat="1" x14ac:dyDescent="0.25">
      <c r="B148" s="7"/>
      <c r="C148" s="7" t="s">
        <v>108</v>
      </c>
      <c r="D148" s="7"/>
    </row>
    <row r="149" spans="2:4" s="35" customFormat="1" x14ac:dyDescent="0.25">
      <c r="B149" s="7"/>
      <c r="C149" s="7" t="s">
        <v>109</v>
      </c>
      <c r="D149" s="7"/>
    </row>
    <row r="150" spans="2:4" s="35" customFormat="1" x14ac:dyDescent="0.25">
      <c r="B150" s="7"/>
      <c r="C150" s="7" t="s">
        <v>110</v>
      </c>
      <c r="D150" s="7"/>
    </row>
    <row r="151" spans="2:4" s="35" customFormat="1" x14ac:dyDescent="0.25">
      <c r="B151" s="7"/>
      <c r="C151" s="7" t="s">
        <v>111</v>
      </c>
      <c r="D151" s="7"/>
    </row>
    <row r="152" spans="2:4" s="35" customFormat="1" x14ac:dyDescent="0.25">
      <c r="B152" s="7"/>
      <c r="C152" s="7" t="s">
        <v>112</v>
      </c>
      <c r="D152" s="7"/>
    </row>
    <row r="153" spans="2:4" s="35" customFormat="1" x14ac:dyDescent="0.25">
      <c r="B153" s="7"/>
      <c r="C153" s="7" t="s">
        <v>113</v>
      </c>
      <c r="D153" s="7"/>
    </row>
    <row r="154" spans="2:4" s="35" customFormat="1" x14ac:dyDescent="0.25">
      <c r="B154" s="7"/>
      <c r="C154" s="7" t="s">
        <v>114</v>
      </c>
      <c r="D154" s="7"/>
    </row>
    <row r="155" spans="2:4" s="35" customFormat="1" x14ac:dyDescent="0.25">
      <c r="B155" s="7"/>
      <c r="C155" s="7" t="s">
        <v>115</v>
      </c>
      <c r="D155" s="7"/>
    </row>
  </sheetData>
  <sheetProtection sheet="1"/>
  <mergeCells count="41">
    <mergeCell ref="B130:D130"/>
    <mergeCell ref="A132:B132"/>
    <mergeCell ref="C132:D132"/>
    <mergeCell ref="A138:B138"/>
    <mergeCell ref="C138:D138"/>
    <mergeCell ref="A111:B111"/>
    <mergeCell ref="C111:D111"/>
    <mergeCell ref="A118:B118"/>
    <mergeCell ref="C118:D118"/>
    <mergeCell ref="A124:B124"/>
    <mergeCell ref="C124:D124"/>
    <mergeCell ref="A90:B90"/>
    <mergeCell ref="C90:D90"/>
    <mergeCell ref="A97:B97"/>
    <mergeCell ref="C97:D97"/>
    <mergeCell ref="A104:B104"/>
    <mergeCell ref="C104:D104"/>
    <mergeCell ref="A69:B69"/>
    <mergeCell ref="C69:D69"/>
    <mergeCell ref="A76:B76"/>
    <mergeCell ref="C76:D76"/>
    <mergeCell ref="A83:B83"/>
    <mergeCell ref="C83:D83"/>
    <mergeCell ref="A48:B48"/>
    <mergeCell ref="C48:D48"/>
    <mergeCell ref="A55:B55"/>
    <mergeCell ref="C55:D55"/>
    <mergeCell ref="A62:B62"/>
    <mergeCell ref="C62:D62"/>
    <mergeCell ref="A27:B27"/>
    <mergeCell ref="C27:D27"/>
    <mergeCell ref="A34:B34"/>
    <mergeCell ref="C34:D34"/>
    <mergeCell ref="A41:B41"/>
    <mergeCell ref="C41:D41"/>
    <mergeCell ref="A4:B4"/>
    <mergeCell ref="C4:D4"/>
    <mergeCell ref="A11:B11"/>
    <mergeCell ref="C11:D11"/>
    <mergeCell ref="A20:B20"/>
    <mergeCell ref="C20:D20"/>
  </mergeCells>
  <hyperlinks>
    <hyperlink ref="C4" location="'hospitalityq'!C2" display="Reference Number" xr:uid="{00000000-0004-0000-0200-000000000000}"/>
    <hyperlink ref="C11" location="'hospitalityq'!D2" display="Disclosure Group" xr:uid="{00000000-0004-0000-0200-000001000000}"/>
    <hyperlink ref="C20" location="'hospitalityq'!E2" display="Title (English)" xr:uid="{00000000-0004-0000-0200-000002000000}"/>
    <hyperlink ref="C27" location="'hospitalityq'!F2" display="Title (French)" xr:uid="{00000000-0004-0000-0200-000003000000}"/>
    <hyperlink ref="C34" location="'hospitalityq'!G2" display="Name" xr:uid="{00000000-0004-0000-0200-000004000000}"/>
    <hyperlink ref="C41" location="'hospitalityq'!H2" display="Purpose of hospitality activity (English)" xr:uid="{00000000-0004-0000-0200-000005000000}"/>
    <hyperlink ref="C48" location="'hospitalityq'!I2" display="Purpose of hospitality activity (French)" xr:uid="{00000000-0004-0000-0200-000006000000}"/>
    <hyperlink ref="C55" location="'hospitalityq'!J2" display="Start Date" xr:uid="{00000000-0004-0000-0200-000007000000}"/>
    <hyperlink ref="C62" location="'hospitalityq'!K2" display="End Date" xr:uid="{00000000-0004-0000-0200-000008000000}"/>
    <hyperlink ref="C69" location="'hospitalityq'!L2" display="Municipality where the hospitality activity took place (English)" xr:uid="{00000000-0004-0000-0200-000009000000}"/>
    <hyperlink ref="C76" location="'hospitalityq'!M2" display="Municipality where the hospitality activity took place (French)" xr:uid="{00000000-0004-0000-0200-00000A000000}"/>
    <hyperlink ref="C83" location="'hospitalityq'!N2" display="Name of commercial establishment or vendor involved in the hospitality activity  (English)" xr:uid="{00000000-0004-0000-0200-00000B000000}"/>
    <hyperlink ref="C90" location="'hospitalityq'!O2" display="Name of commercial establishment or vendor involved in the hospitality activity  (French)" xr:uid="{00000000-0004-0000-0200-00000C000000}"/>
    <hyperlink ref="C97" location="'hospitalityq'!P2" display="Attendees (Government of Canada Officials)" xr:uid="{00000000-0004-0000-0200-00000D000000}"/>
    <hyperlink ref="C104" location="'hospitalityq'!Q2" display="Attendees (Guests)" xr:uid="{00000000-0004-0000-0200-00000E000000}"/>
    <hyperlink ref="C111" location="'hospitalityq'!R2" display="Total cost" xr:uid="{00000000-0004-0000-0200-00000F000000}"/>
    <hyperlink ref="C118" location="'hospitalityq'!S2" display="Additional comments (English)" xr:uid="{00000000-0004-0000-0200-000010000000}"/>
    <hyperlink ref="C124" location="'hospitalityq'!T2" display="Additional comments (French)" xr:uid="{00000000-0004-0000-0200-000011000000}"/>
    <hyperlink ref="C132" location="'hospitalityq-nil'!C2" display="Year" xr:uid="{00000000-0004-0000-0200-000012000000}"/>
    <hyperlink ref="C138" location="'hospitalityq-nil'!D2" display="Month" xr:uid="{00000000-0004-0000-0200-000013000000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R2005"/>
  <sheetViews>
    <sheetView workbookViewId="0"/>
  </sheetViews>
  <sheetFormatPr defaultRowHeight="15" x14ac:dyDescent="0.25"/>
  <sheetData>
    <row r="4" spans="1:18" x14ac:dyDescent="0.25">
      <c r="C4">
        <f>IFERROR(MATCH(TRUE,INDEX(C6:C2005&lt;&gt;0,),)+5,0)</f>
        <v>0</v>
      </c>
      <c r="D4">
        <f>IFERROR(MATCH(TRUE,INDEX(D6:D2005&lt;&gt;0,),)+5,0)</f>
        <v>0</v>
      </c>
      <c r="J4">
        <f>IFERROR(MATCH(TRUE,INDEX(J6:J2005&lt;&gt;0,),)+5,0)</f>
        <v>0</v>
      </c>
      <c r="K4">
        <f>IFERROR(MATCH(TRUE,INDEX(K6:K2005&lt;&gt;0,),)+5,0)</f>
        <v>0</v>
      </c>
      <c r="P4">
        <f>IFERROR(MATCH(TRUE,INDEX(P6:P2005&lt;&gt;0,),)+5,0)</f>
        <v>0</v>
      </c>
      <c r="Q4">
        <f>IFERROR(MATCH(TRUE,INDEX(Q6:Q2005&lt;&gt;0,),)+5,0)</f>
        <v>0</v>
      </c>
      <c r="R4">
        <f>IFERROR(MATCH(TRUE,INDEX(R6:R2005&lt;&gt;0,),)+5,0)</f>
        <v>0</v>
      </c>
    </row>
    <row r="6" spans="1:18" x14ac:dyDescent="0.25">
      <c r="A6">
        <f t="shared" ref="A6:A69" si="0">IFERROR(MATCH(TRUE,INDEX(C6:R6&lt;&gt;0,),)+2,0)</f>
        <v>0</v>
      </c>
      <c r="C6">
        <f>NOT(hospitalityq!C6="")*(SUMPRODUCT(--(TRIM(hospitalityq!C6:C6)=TRIM(hospitalityq!C6)))&gt;1)</f>
        <v>0</v>
      </c>
      <c r="D6">
        <f>NOT(hospitalityq!D6="")*(COUNTIF(reference!$C$17:$C$18,TRIM(hospitalityq!D6))=0)</f>
        <v>0</v>
      </c>
      <c r="J6">
        <f>NOT(hospitalityq!J6="")*(NOT(ISNUMBER(hospitalityq!J6+0)))</f>
        <v>0</v>
      </c>
      <c r="K6">
        <f>NOT(hospitalityq!K6="")*(NOT(ISNUMBER(hospitalityq!K6+0)))</f>
        <v>0</v>
      </c>
      <c r="P6">
        <f>NOT(hospitalityq!P6="")*(NOT(IFERROR(INT(hospitalityq!P6)=VALUE(hospitalityq!P6),FALSE)))</f>
        <v>0</v>
      </c>
      <c r="Q6">
        <f>NOT(hospitalityq!Q6="")*(NOT(IFERROR(INT(hospitalityq!Q6)=VALUE(hospitalityq!Q6),FALSE)))</f>
        <v>0</v>
      </c>
      <c r="R6">
        <f>NOT(hospitalityq!R6="")*(NOT(IFERROR(ROUND(VALUE(hospitalityq!R6),2)=VALUE(hospitalityq!R6),FALSE)))</f>
        <v>0</v>
      </c>
    </row>
    <row r="7" spans="1:18" x14ac:dyDescent="0.25">
      <c r="A7">
        <f t="shared" si="0"/>
        <v>0</v>
      </c>
      <c r="C7">
        <f>NOT(hospitalityq!C7="")*(SUMPRODUCT(--(TRIM(hospitalityq!C6:C7)=TRIM(hospitalityq!C7)))&gt;1)</f>
        <v>0</v>
      </c>
      <c r="D7">
        <f>NOT(hospitalityq!D7="")*(COUNTIF(reference!$C$17:$C$18,TRIM(hospitalityq!D7))=0)</f>
        <v>0</v>
      </c>
      <c r="J7">
        <f>NOT(hospitalityq!J7="")*(NOT(ISNUMBER(hospitalityq!J7+0)))</f>
        <v>0</v>
      </c>
      <c r="K7">
        <f>NOT(hospitalityq!K7="")*(NOT(ISNUMBER(hospitalityq!K7+0)))</f>
        <v>0</v>
      </c>
      <c r="P7">
        <f>NOT(hospitalityq!P7="")*(NOT(IFERROR(INT(hospitalityq!P7)=VALUE(hospitalityq!P7),FALSE)))</f>
        <v>0</v>
      </c>
      <c r="Q7">
        <f>NOT(hospitalityq!Q7="")*(NOT(IFERROR(INT(hospitalityq!Q7)=VALUE(hospitalityq!Q7),FALSE)))</f>
        <v>0</v>
      </c>
      <c r="R7">
        <f>NOT(hospitalityq!R7="")*(NOT(IFERROR(ROUND(VALUE(hospitalityq!R7),2)=VALUE(hospitalityq!R7),FALSE)))</f>
        <v>0</v>
      </c>
    </row>
    <row r="8" spans="1:18" x14ac:dyDescent="0.25">
      <c r="A8">
        <f t="shared" si="0"/>
        <v>0</v>
      </c>
      <c r="C8">
        <f>NOT(hospitalityq!C8="")*(SUMPRODUCT(--(TRIM(hospitalityq!C6:C8)=TRIM(hospitalityq!C8)))&gt;1)</f>
        <v>0</v>
      </c>
      <c r="D8">
        <f>NOT(hospitalityq!D8="")*(COUNTIF(reference!$C$17:$C$18,TRIM(hospitalityq!D8))=0)</f>
        <v>0</v>
      </c>
      <c r="J8">
        <f>NOT(hospitalityq!J8="")*(NOT(ISNUMBER(hospitalityq!J8+0)))</f>
        <v>0</v>
      </c>
      <c r="K8">
        <f>NOT(hospitalityq!K8="")*(NOT(ISNUMBER(hospitalityq!K8+0)))</f>
        <v>0</v>
      </c>
      <c r="P8">
        <f>NOT(hospitalityq!P8="")*(NOT(IFERROR(INT(hospitalityq!P8)=VALUE(hospitalityq!P8),FALSE)))</f>
        <v>0</v>
      </c>
      <c r="Q8">
        <f>NOT(hospitalityq!Q8="")*(NOT(IFERROR(INT(hospitalityq!Q8)=VALUE(hospitalityq!Q8),FALSE)))</f>
        <v>0</v>
      </c>
      <c r="R8">
        <f>NOT(hospitalityq!R8="")*(NOT(IFERROR(ROUND(VALUE(hospitalityq!R8),2)=VALUE(hospitalityq!R8),FALSE)))</f>
        <v>0</v>
      </c>
    </row>
    <row r="9" spans="1:18" x14ac:dyDescent="0.25">
      <c r="A9">
        <f t="shared" si="0"/>
        <v>0</v>
      </c>
      <c r="C9">
        <f>NOT(hospitalityq!C9="")*(SUMPRODUCT(--(TRIM(hospitalityq!C6:C9)=TRIM(hospitalityq!C9)))&gt;1)</f>
        <v>0</v>
      </c>
      <c r="D9">
        <f>NOT(hospitalityq!D9="")*(COUNTIF(reference!$C$17:$C$18,TRIM(hospitalityq!D9))=0)</f>
        <v>0</v>
      </c>
      <c r="J9">
        <f>NOT(hospitalityq!J9="")*(NOT(ISNUMBER(hospitalityq!J9+0)))</f>
        <v>0</v>
      </c>
      <c r="K9">
        <f>NOT(hospitalityq!K9="")*(NOT(ISNUMBER(hospitalityq!K9+0)))</f>
        <v>0</v>
      </c>
      <c r="P9">
        <f>NOT(hospitalityq!P9="")*(NOT(IFERROR(INT(hospitalityq!P9)=VALUE(hospitalityq!P9),FALSE)))</f>
        <v>0</v>
      </c>
      <c r="Q9">
        <f>NOT(hospitalityq!Q9="")*(NOT(IFERROR(INT(hospitalityq!Q9)=VALUE(hospitalityq!Q9),FALSE)))</f>
        <v>0</v>
      </c>
      <c r="R9">
        <f>NOT(hospitalityq!R9="")*(NOT(IFERROR(ROUND(VALUE(hospitalityq!R9),2)=VALUE(hospitalityq!R9),FALSE)))</f>
        <v>0</v>
      </c>
    </row>
    <row r="10" spans="1:18" x14ac:dyDescent="0.25">
      <c r="A10">
        <f t="shared" si="0"/>
        <v>0</v>
      </c>
      <c r="C10">
        <f>NOT(hospitalityq!C10="")*(SUMPRODUCT(--(TRIM(hospitalityq!C6:C10)=TRIM(hospitalityq!C10)))&gt;1)</f>
        <v>0</v>
      </c>
      <c r="D10">
        <f>NOT(hospitalityq!D10="")*(COUNTIF(reference!$C$17:$C$18,TRIM(hospitalityq!D10))=0)</f>
        <v>0</v>
      </c>
      <c r="J10">
        <f>NOT(hospitalityq!J10="")*(NOT(ISNUMBER(hospitalityq!J10+0)))</f>
        <v>0</v>
      </c>
      <c r="K10">
        <f>NOT(hospitalityq!K10="")*(NOT(ISNUMBER(hospitalityq!K10+0)))</f>
        <v>0</v>
      </c>
      <c r="P10">
        <f>NOT(hospitalityq!P10="")*(NOT(IFERROR(INT(hospitalityq!P10)=VALUE(hospitalityq!P10),FALSE)))</f>
        <v>0</v>
      </c>
      <c r="Q10">
        <f>NOT(hospitalityq!Q10="")*(NOT(IFERROR(INT(hospitalityq!Q10)=VALUE(hospitalityq!Q10),FALSE)))</f>
        <v>0</v>
      </c>
      <c r="R10">
        <f>NOT(hospitalityq!R10="")*(NOT(IFERROR(ROUND(VALUE(hospitalityq!R10),2)=VALUE(hospitalityq!R10),FALSE)))</f>
        <v>0</v>
      </c>
    </row>
    <row r="11" spans="1:18" x14ac:dyDescent="0.25">
      <c r="A11">
        <f t="shared" si="0"/>
        <v>0</v>
      </c>
      <c r="C11">
        <f>NOT(hospitalityq!C11="")*(SUMPRODUCT(--(TRIM(hospitalityq!C6:C11)=TRIM(hospitalityq!C11)))&gt;1)</f>
        <v>0</v>
      </c>
      <c r="D11">
        <f>NOT(hospitalityq!D11="")*(COUNTIF(reference!$C$17:$C$18,TRIM(hospitalityq!D11))=0)</f>
        <v>0</v>
      </c>
      <c r="J11">
        <f>NOT(hospitalityq!J11="")*(NOT(ISNUMBER(hospitalityq!J11+0)))</f>
        <v>0</v>
      </c>
      <c r="K11">
        <f>NOT(hospitalityq!K11="")*(NOT(ISNUMBER(hospitalityq!K11+0)))</f>
        <v>0</v>
      </c>
      <c r="P11">
        <f>NOT(hospitalityq!P11="")*(NOT(IFERROR(INT(hospitalityq!P11)=VALUE(hospitalityq!P11),FALSE)))</f>
        <v>0</v>
      </c>
      <c r="Q11">
        <f>NOT(hospitalityq!Q11="")*(NOT(IFERROR(INT(hospitalityq!Q11)=VALUE(hospitalityq!Q11),FALSE)))</f>
        <v>0</v>
      </c>
      <c r="R11">
        <f>NOT(hospitalityq!R11="")*(NOT(IFERROR(ROUND(VALUE(hospitalityq!R11),2)=VALUE(hospitalityq!R11),FALSE)))</f>
        <v>0</v>
      </c>
    </row>
    <row r="12" spans="1:18" x14ac:dyDescent="0.25">
      <c r="A12">
        <f t="shared" si="0"/>
        <v>0</v>
      </c>
      <c r="C12">
        <f>NOT(hospitalityq!C12="")*(SUMPRODUCT(--(TRIM(hospitalityq!C6:C12)=TRIM(hospitalityq!C12)))&gt;1)</f>
        <v>0</v>
      </c>
      <c r="D12">
        <f>NOT(hospitalityq!D12="")*(COUNTIF(reference!$C$17:$C$18,TRIM(hospitalityq!D12))=0)</f>
        <v>0</v>
      </c>
      <c r="J12">
        <f>NOT(hospitalityq!J12="")*(NOT(ISNUMBER(hospitalityq!J12+0)))</f>
        <v>0</v>
      </c>
      <c r="K12">
        <f>NOT(hospitalityq!K12="")*(NOT(ISNUMBER(hospitalityq!K12+0)))</f>
        <v>0</v>
      </c>
      <c r="P12">
        <f>NOT(hospitalityq!P12="")*(NOT(IFERROR(INT(hospitalityq!P12)=VALUE(hospitalityq!P12),FALSE)))</f>
        <v>0</v>
      </c>
      <c r="Q12">
        <f>NOT(hospitalityq!Q12="")*(NOT(IFERROR(INT(hospitalityq!Q12)=VALUE(hospitalityq!Q12),FALSE)))</f>
        <v>0</v>
      </c>
      <c r="R12">
        <f>NOT(hospitalityq!R12="")*(NOT(IFERROR(ROUND(VALUE(hospitalityq!R12),2)=VALUE(hospitalityq!R12),FALSE)))</f>
        <v>0</v>
      </c>
    </row>
    <row r="13" spans="1:18" x14ac:dyDescent="0.25">
      <c r="A13">
        <f t="shared" si="0"/>
        <v>0</v>
      </c>
      <c r="C13">
        <f>NOT(hospitalityq!C13="")*(SUMPRODUCT(--(TRIM(hospitalityq!C6:C13)=TRIM(hospitalityq!C13)))&gt;1)</f>
        <v>0</v>
      </c>
      <c r="D13">
        <f>NOT(hospitalityq!D13="")*(COUNTIF(reference!$C$17:$C$18,TRIM(hospitalityq!D13))=0)</f>
        <v>0</v>
      </c>
      <c r="J13">
        <f>NOT(hospitalityq!J13="")*(NOT(ISNUMBER(hospitalityq!J13+0)))</f>
        <v>0</v>
      </c>
      <c r="K13">
        <f>NOT(hospitalityq!K13="")*(NOT(ISNUMBER(hospitalityq!K13+0)))</f>
        <v>0</v>
      </c>
      <c r="P13">
        <f>NOT(hospitalityq!P13="")*(NOT(IFERROR(INT(hospitalityq!P13)=VALUE(hospitalityq!P13),FALSE)))</f>
        <v>0</v>
      </c>
      <c r="Q13">
        <f>NOT(hospitalityq!Q13="")*(NOT(IFERROR(INT(hospitalityq!Q13)=VALUE(hospitalityq!Q13),FALSE)))</f>
        <v>0</v>
      </c>
      <c r="R13">
        <f>NOT(hospitalityq!R13="")*(NOT(IFERROR(ROUND(VALUE(hospitalityq!R13),2)=VALUE(hospitalityq!R13),FALSE)))</f>
        <v>0</v>
      </c>
    </row>
    <row r="14" spans="1:18" x14ac:dyDescent="0.25">
      <c r="A14">
        <f t="shared" si="0"/>
        <v>0</v>
      </c>
      <c r="C14">
        <f>NOT(hospitalityq!C14="")*(SUMPRODUCT(--(TRIM(hospitalityq!C6:C14)=TRIM(hospitalityq!C14)))&gt;1)</f>
        <v>0</v>
      </c>
      <c r="D14">
        <f>NOT(hospitalityq!D14="")*(COUNTIF(reference!$C$17:$C$18,TRIM(hospitalityq!D14))=0)</f>
        <v>0</v>
      </c>
      <c r="J14">
        <f>NOT(hospitalityq!J14="")*(NOT(ISNUMBER(hospitalityq!J14+0)))</f>
        <v>0</v>
      </c>
      <c r="K14">
        <f>NOT(hospitalityq!K14="")*(NOT(ISNUMBER(hospitalityq!K14+0)))</f>
        <v>0</v>
      </c>
      <c r="P14">
        <f>NOT(hospitalityq!P14="")*(NOT(IFERROR(INT(hospitalityq!P14)=VALUE(hospitalityq!P14),FALSE)))</f>
        <v>0</v>
      </c>
      <c r="Q14">
        <f>NOT(hospitalityq!Q14="")*(NOT(IFERROR(INT(hospitalityq!Q14)=VALUE(hospitalityq!Q14),FALSE)))</f>
        <v>0</v>
      </c>
      <c r="R14">
        <f>NOT(hospitalityq!R14="")*(NOT(IFERROR(ROUND(VALUE(hospitalityq!R14),2)=VALUE(hospitalityq!R14),FALSE)))</f>
        <v>0</v>
      </c>
    </row>
    <row r="15" spans="1:18" x14ac:dyDescent="0.25">
      <c r="A15">
        <f t="shared" si="0"/>
        <v>0</v>
      </c>
      <c r="C15">
        <f>NOT(hospitalityq!C15="")*(SUMPRODUCT(--(TRIM(hospitalityq!C6:C15)=TRIM(hospitalityq!C15)))&gt;1)</f>
        <v>0</v>
      </c>
      <c r="D15">
        <f>NOT(hospitalityq!D15="")*(COUNTIF(reference!$C$17:$C$18,TRIM(hospitalityq!D15))=0)</f>
        <v>0</v>
      </c>
      <c r="J15">
        <f>NOT(hospitalityq!J15="")*(NOT(ISNUMBER(hospitalityq!J15+0)))</f>
        <v>0</v>
      </c>
      <c r="K15">
        <f>NOT(hospitalityq!K15="")*(NOT(ISNUMBER(hospitalityq!K15+0)))</f>
        <v>0</v>
      </c>
      <c r="P15">
        <f>NOT(hospitalityq!P15="")*(NOT(IFERROR(INT(hospitalityq!P15)=VALUE(hospitalityq!P15),FALSE)))</f>
        <v>0</v>
      </c>
      <c r="Q15">
        <f>NOT(hospitalityq!Q15="")*(NOT(IFERROR(INT(hospitalityq!Q15)=VALUE(hospitalityq!Q15),FALSE)))</f>
        <v>0</v>
      </c>
      <c r="R15">
        <f>NOT(hospitalityq!R15="")*(NOT(IFERROR(ROUND(VALUE(hospitalityq!R15),2)=VALUE(hospitalityq!R15),FALSE)))</f>
        <v>0</v>
      </c>
    </row>
    <row r="16" spans="1:18" x14ac:dyDescent="0.25">
      <c r="A16">
        <f t="shared" si="0"/>
        <v>0</v>
      </c>
      <c r="C16">
        <f>NOT(hospitalityq!C16="")*(SUMPRODUCT(--(TRIM(hospitalityq!C6:C16)=TRIM(hospitalityq!C16)))&gt;1)</f>
        <v>0</v>
      </c>
      <c r="D16">
        <f>NOT(hospitalityq!D16="")*(COUNTIF(reference!$C$17:$C$18,TRIM(hospitalityq!D16))=0)</f>
        <v>0</v>
      </c>
      <c r="J16">
        <f>NOT(hospitalityq!J16="")*(NOT(ISNUMBER(hospitalityq!J16+0)))</f>
        <v>0</v>
      </c>
      <c r="K16">
        <f>NOT(hospitalityq!K16="")*(NOT(ISNUMBER(hospitalityq!K16+0)))</f>
        <v>0</v>
      </c>
      <c r="P16">
        <f>NOT(hospitalityq!P16="")*(NOT(IFERROR(INT(hospitalityq!P16)=VALUE(hospitalityq!P16),FALSE)))</f>
        <v>0</v>
      </c>
      <c r="Q16">
        <f>NOT(hospitalityq!Q16="")*(NOT(IFERROR(INT(hospitalityq!Q16)=VALUE(hospitalityq!Q16),FALSE)))</f>
        <v>0</v>
      </c>
      <c r="R16">
        <f>NOT(hospitalityq!R16="")*(NOT(IFERROR(ROUND(VALUE(hospitalityq!R16),2)=VALUE(hospitalityq!R16),FALSE)))</f>
        <v>0</v>
      </c>
    </row>
    <row r="17" spans="1:18" x14ac:dyDescent="0.25">
      <c r="A17">
        <f t="shared" si="0"/>
        <v>0</v>
      </c>
      <c r="C17">
        <f>NOT(hospitalityq!C17="")*(SUMPRODUCT(--(TRIM(hospitalityq!C6:C17)=TRIM(hospitalityq!C17)))&gt;1)</f>
        <v>0</v>
      </c>
      <c r="D17">
        <f>NOT(hospitalityq!D17="")*(COUNTIF(reference!$C$17:$C$18,TRIM(hospitalityq!D17))=0)</f>
        <v>0</v>
      </c>
      <c r="J17">
        <f>NOT(hospitalityq!J17="")*(NOT(ISNUMBER(hospitalityq!J17+0)))</f>
        <v>0</v>
      </c>
      <c r="K17">
        <f>NOT(hospitalityq!K17="")*(NOT(ISNUMBER(hospitalityq!K17+0)))</f>
        <v>0</v>
      </c>
      <c r="P17">
        <f>NOT(hospitalityq!P17="")*(NOT(IFERROR(INT(hospitalityq!P17)=VALUE(hospitalityq!P17),FALSE)))</f>
        <v>0</v>
      </c>
      <c r="Q17">
        <f>NOT(hospitalityq!Q17="")*(NOT(IFERROR(INT(hospitalityq!Q17)=VALUE(hospitalityq!Q17),FALSE)))</f>
        <v>0</v>
      </c>
      <c r="R17">
        <f>NOT(hospitalityq!R17="")*(NOT(IFERROR(ROUND(VALUE(hospitalityq!R17),2)=VALUE(hospitalityq!R17),FALSE)))</f>
        <v>0</v>
      </c>
    </row>
    <row r="18" spans="1:18" x14ac:dyDescent="0.25">
      <c r="A18">
        <f t="shared" si="0"/>
        <v>0</v>
      </c>
      <c r="C18">
        <f>NOT(hospitalityq!C18="")*(SUMPRODUCT(--(TRIM(hospitalityq!C6:C18)=TRIM(hospitalityq!C18)))&gt;1)</f>
        <v>0</v>
      </c>
      <c r="D18">
        <f>NOT(hospitalityq!D18="")*(COUNTIF(reference!$C$17:$C$18,TRIM(hospitalityq!D18))=0)</f>
        <v>0</v>
      </c>
      <c r="J18">
        <f>NOT(hospitalityq!J18="")*(NOT(ISNUMBER(hospitalityq!J18+0)))</f>
        <v>0</v>
      </c>
      <c r="K18">
        <f>NOT(hospitalityq!K18="")*(NOT(ISNUMBER(hospitalityq!K18+0)))</f>
        <v>0</v>
      </c>
      <c r="P18">
        <f>NOT(hospitalityq!P18="")*(NOT(IFERROR(INT(hospitalityq!P18)=VALUE(hospitalityq!P18),FALSE)))</f>
        <v>0</v>
      </c>
      <c r="Q18">
        <f>NOT(hospitalityq!Q18="")*(NOT(IFERROR(INT(hospitalityq!Q18)=VALUE(hospitalityq!Q18),FALSE)))</f>
        <v>0</v>
      </c>
      <c r="R18">
        <f>NOT(hospitalityq!R18="")*(NOT(IFERROR(ROUND(VALUE(hospitalityq!R18),2)=VALUE(hospitalityq!R18),FALSE)))</f>
        <v>0</v>
      </c>
    </row>
    <row r="19" spans="1:18" x14ac:dyDescent="0.25">
      <c r="A19">
        <f t="shared" si="0"/>
        <v>0</v>
      </c>
      <c r="C19">
        <f>NOT(hospitalityq!C19="")*(SUMPRODUCT(--(TRIM(hospitalityq!C6:C19)=TRIM(hospitalityq!C19)))&gt;1)</f>
        <v>0</v>
      </c>
      <c r="D19">
        <f>NOT(hospitalityq!D19="")*(COUNTIF(reference!$C$17:$C$18,TRIM(hospitalityq!D19))=0)</f>
        <v>0</v>
      </c>
      <c r="J19">
        <f>NOT(hospitalityq!J19="")*(NOT(ISNUMBER(hospitalityq!J19+0)))</f>
        <v>0</v>
      </c>
      <c r="K19">
        <f>NOT(hospitalityq!K19="")*(NOT(ISNUMBER(hospitalityq!K19+0)))</f>
        <v>0</v>
      </c>
      <c r="P19">
        <f>NOT(hospitalityq!P19="")*(NOT(IFERROR(INT(hospitalityq!P19)=VALUE(hospitalityq!P19),FALSE)))</f>
        <v>0</v>
      </c>
      <c r="Q19">
        <f>NOT(hospitalityq!Q19="")*(NOT(IFERROR(INT(hospitalityq!Q19)=VALUE(hospitalityq!Q19),FALSE)))</f>
        <v>0</v>
      </c>
      <c r="R19">
        <f>NOT(hospitalityq!R19="")*(NOT(IFERROR(ROUND(VALUE(hospitalityq!R19),2)=VALUE(hospitalityq!R19),FALSE)))</f>
        <v>0</v>
      </c>
    </row>
    <row r="20" spans="1:18" x14ac:dyDescent="0.25">
      <c r="A20">
        <f t="shared" si="0"/>
        <v>0</v>
      </c>
      <c r="C20">
        <f>NOT(hospitalityq!C20="")*(SUMPRODUCT(--(TRIM(hospitalityq!C6:C20)=TRIM(hospitalityq!C20)))&gt;1)</f>
        <v>0</v>
      </c>
      <c r="D20">
        <f>NOT(hospitalityq!D20="")*(COUNTIF(reference!$C$17:$C$18,TRIM(hospitalityq!D20))=0)</f>
        <v>0</v>
      </c>
      <c r="J20">
        <f>NOT(hospitalityq!J20="")*(NOT(ISNUMBER(hospitalityq!J20+0)))</f>
        <v>0</v>
      </c>
      <c r="K20">
        <f>NOT(hospitalityq!K20="")*(NOT(ISNUMBER(hospitalityq!K20+0)))</f>
        <v>0</v>
      </c>
      <c r="P20">
        <f>NOT(hospitalityq!P20="")*(NOT(IFERROR(INT(hospitalityq!P20)=VALUE(hospitalityq!P20),FALSE)))</f>
        <v>0</v>
      </c>
      <c r="Q20">
        <f>NOT(hospitalityq!Q20="")*(NOT(IFERROR(INT(hospitalityq!Q20)=VALUE(hospitalityq!Q20),FALSE)))</f>
        <v>0</v>
      </c>
      <c r="R20">
        <f>NOT(hospitalityq!R20="")*(NOT(IFERROR(ROUND(VALUE(hospitalityq!R20),2)=VALUE(hospitalityq!R20),FALSE)))</f>
        <v>0</v>
      </c>
    </row>
    <row r="21" spans="1:18" x14ac:dyDescent="0.25">
      <c r="A21">
        <f t="shared" si="0"/>
        <v>0</v>
      </c>
      <c r="C21">
        <f>NOT(hospitalityq!C21="")*(SUMPRODUCT(--(TRIM(hospitalityq!C6:C21)=TRIM(hospitalityq!C21)))&gt;1)</f>
        <v>0</v>
      </c>
      <c r="D21">
        <f>NOT(hospitalityq!D21="")*(COUNTIF(reference!$C$17:$C$18,TRIM(hospitalityq!D21))=0)</f>
        <v>0</v>
      </c>
      <c r="J21">
        <f>NOT(hospitalityq!J21="")*(NOT(ISNUMBER(hospitalityq!J21+0)))</f>
        <v>0</v>
      </c>
      <c r="K21">
        <f>NOT(hospitalityq!K21="")*(NOT(ISNUMBER(hospitalityq!K21+0)))</f>
        <v>0</v>
      </c>
      <c r="P21">
        <f>NOT(hospitalityq!P21="")*(NOT(IFERROR(INT(hospitalityq!P21)=VALUE(hospitalityq!P21),FALSE)))</f>
        <v>0</v>
      </c>
      <c r="Q21">
        <f>NOT(hospitalityq!Q21="")*(NOT(IFERROR(INT(hospitalityq!Q21)=VALUE(hospitalityq!Q21),FALSE)))</f>
        <v>0</v>
      </c>
      <c r="R21">
        <f>NOT(hospitalityq!R21="")*(NOT(IFERROR(ROUND(VALUE(hospitalityq!R21),2)=VALUE(hospitalityq!R21),FALSE)))</f>
        <v>0</v>
      </c>
    </row>
    <row r="22" spans="1:18" x14ac:dyDescent="0.25">
      <c r="A22">
        <f t="shared" si="0"/>
        <v>0</v>
      </c>
      <c r="C22">
        <f>NOT(hospitalityq!C22="")*(SUMPRODUCT(--(TRIM(hospitalityq!C6:C22)=TRIM(hospitalityq!C22)))&gt;1)</f>
        <v>0</v>
      </c>
      <c r="D22">
        <f>NOT(hospitalityq!D22="")*(COUNTIF(reference!$C$17:$C$18,TRIM(hospitalityq!D22))=0)</f>
        <v>0</v>
      </c>
      <c r="J22">
        <f>NOT(hospitalityq!J22="")*(NOT(ISNUMBER(hospitalityq!J22+0)))</f>
        <v>0</v>
      </c>
      <c r="K22">
        <f>NOT(hospitalityq!K22="")*(NOT(ISNUMBER(hospitalityq!K22+0)))</f>
        <v>0</v>
      </c>
      <c r="P22">
        <f>NOT(hospitalityq!P22="")*(NOT(IFERROR(INT(hospitalityq!P22)=VALUE(hospitalityq!P22),FALSE)))</f>
        <v>0</v>
      </c>
      <c r="Q22">
        <f>NOT(hospitalityq!Q22="")*(NOT(IFERROR(INT(hospitalityq!Q22)=VALUE(hospitalityq!Q22),FALSE)))</f>
        <v>0</v>
      </c>
      <c r="R22">
        <f>NOT(hospitalityq!R22="")*(NOT(IFERROR(ROUND(VALUE(hospitalityq!R22),2)=VALUE(hospitalityq!R22),FALSE)))</f>
        <v>0</v>
      </c>
    </row>
    <row r="23" spans="1:18" x14ac:dyDescent="0.25">
      <c r="A23">
        <f t="shared" si="0"/>
        <v>0</v>
      </c>
      <c r="C23">
        <f>NOT(hospitalityq!C23="")*(SUMPRODUCT(--(TRIM(hospitalityq!C6:C23)=TRIM(hospitalityq!C23)))&gt;1)</f>
        <v>0</v>
      </c>
      <c r="D23">
        <f>NOT(hospitalityq!D23="")*(COUNTIF(reference!$C$17:$C$18,TRIM(hospitalityq!D23))=0)</f>
        <v>0</v>
      </c>
      <c r="J23">
        <f>NOT(hospitalityq!J23="")*(NOT(ISNUMBER(hospitalityq!J23+0)))</f>
        <v>0</v>
      </c>
      <c r="K23">
        <f>NOT(hospitalityq!K23="")*(NOT(ISNUMBER(hospitalityq!K23+0)))</f>
        <v>0</v>
      </c>
      <c r="P23">
        <f>NOT(hospitalityq!P23="")*(NOT(IFERROR(INT(hospitalityq!P23)=VALUE(hospitalityq!P23),FALSE)))</f>
        <v>0</v>
      </c>
      <c r="Q23">
        <f>NOT(hospitalityq!Q23="")*(NOT(IFERROR(INT(hospitalityq!Q23)=VALUE(hospitalityq!Q23),FALSE)))</f>
        <v>0</v>
      </c>
      <c r="R23">
        <f>NOT(hospitalityq!R23="")*(NOT(IFERROR(ROUND(VALUE(hospitalityq!R23),2)=VALUE(hospitalityq!R23),FALSE)))</f>
        <v>0</v>
      </c>
    </row>
    <row r="24" spans="1:18" x14ac:dyDescent="0.25">
      <c r="A24">
        <f t="shared" si="0"/>
        <v>0</v>
      </c>
      <c r="C24">
        <f>NOT(hospitalityq!C24="")*(SUMPRODUCT(--(TRIM(hospitalityq!C6:C24)=TRIM(hospitalityq!C24)))&gt;1)</f>
        <v>0</v>
      </c>
      <c r="D24">
        <f>NOT(hospitalityq!D24="")*(COUNTIF(reference!$C$17:$C$18,TRIM(hospitalityq!D24))=0)</f>
        <v>0</v>
      </c>
      <c r="J24">
        <f>NOT(hospitalityq!J24="")*(NOT(ISNUMBER(hospitalityq!J24+0)))</f>
        <v>0</v>
      </c>
      <c r="K24">
        <f>NOT(hospitalityq!K24="")*(NOT(ISNUMBER(hospitalityq!K24+0)))</f>
        <v>0</v>
      </c>
      <c r="P24">
        <f>NOT(hospitalityq!P24="")*(NOT(IFERROR(INT(hospitalityq!P24)=VALUE(hospitalityq!P24),FALSE)))</f>
        <v>0</v>
      </c>
      <c r="Q24">
        <f>NOT(hospitalityq!Q24="")*(NOT(IFERROR(INT(hospitalityq!Q24)=VALUE(hospitalityq!Q24),FALSE)))</f>
        <v>0</v>
      </c>
      <c r="R24">
        <f>NOT(hospitalityq!R24="")*(NOT(IFERROR(ROUND(VALUE(hospitalityq!R24),2)=VALUE(hospitalityq!R24),FALSE)))</f>
        <v>0</v>
      </c>
    </row>
    <row r="25" spans="1:18" x14ac:dyDescent="0.25">
      <c r="A25">
        <f t="shared" si="0"/>
        <v>0</v>
      </c>
      <c r="C25">
        <f>NOT(hospitalityq!C25="")*(SUMPRODUCT(--(TRIM(hospitalityq!C6:C25)=TRIM(hospitalityq!C25)))&gt;1)</f>
        <v>0</v>
      </c>
      <c r="D25">
        <f>NOT(hospitalityq!D25="")*(COUNTIF(reference!$C$17:$C$18,TRIM(hospitalityq!D25))=0)</f>
        <v>0</v>
      </c>
      <c r="J25">
        <f>NOT(hospitalityq!J25="")*(NOT(ISNUMBER(hospitalityq!J25+0)))</f>
        <v>0</v>
      </c>
      <c r="K25">
        <f>NOT(hospitalityq!K25="")*(NOT(ISNUMBER(hospitalityq!K25+0)))</f>
        <v>0</v>
      </c>
      <c r="P25">
        <f>NOT(hospitalityq!P25="")*(NOT(IFERROR(INT(hospitalityq!P25)=VALUE(hospitalityq!P25),FALSE)))</f>
        <v>0</v>
      </c>
      <c r="Q25">
        <f>NOT(hospitalityq!Q25="")*(NOT(IFERROR(INT(hospitalityq!Q25)=VALUE(hospitalityq!Q25),FALSE)))</f>
        <v>0</v>
      </c>
      <c r="R25">
        <f>NOT(hospitalityq!R25="")*(NOT(IFERROR(ROUND(VALUE(hospitalityq!R25),2)=VALUE(hospitalityq!R25),FALSE)))</f>
        <v>0</v>
      </c>
    </row>
    <row r="26" spans="1:18" x14ac:dyDescent="0.25">
      <c r="A26">
        <f t="shared" si="0"/>
        <v>0</v>
      </c>
      <c r="C26">
        <f>NOT(hospitalityq!C26="")*(SUMPRODUCT(--(TRIM(hospitalityq!C6:C26)=TRIM(hospitalityq!C26)))&gt;1)</f>
        <v>0</v>
      </c>
      <c r="D26">
        <f>NOT(hospitalityq!D26="")*(COUNTIF(reference!$C$17:$C$18,TRIM(hospitalityq!D26))=0)</f>
        <v>0</v>
      </c>
      <c r="J26">
        <f>NOT(hospitalityq!J26="")*(NOT(ISNUMBER(hospitalityq!J26+0)))</f>
        <v>0</v>
      </c>
      <c r="K26">
        <f>NOT(hospitalityq!K26="")*(NOT(ISNUMBER(hospitalityq!K26+0)))</f>
        <v>0</v>
      </c>
      <c r="P26">
        <f>NOT(hospitalityq!P26="")*(NOT(IFERROR(INT(hospitalityq!P26)=VALUE(hospitalityq!P26),FALSE)))</f>
        <v>0</v>
      </c>
      <c r="Q26">
        <f>NOT(hospitalityq!Q26="")*(NOT(IFERROR(INT(hospitalityq!Q26)=VALUE(hospitalityq!Q26),FALSE)))</f>
        <v>0</v>
      </c>
      <c r="R26">
        <f>NOT(hospitalityq!R26="")*(NOT(IFERROR(ROUND(VALUE(hospitalityq!R26),2)=VALUE(hospitalityq!R26),FALSE)))</f>
        <v>0</v>
      </c>
    </row>
    <row r="27" spans="1:18" x14ac:dyDescent="0.25">
      <c r="A27">
        <f t="shared" si="0"/>
        <v>0</v>
      </c>
      <c r="C27">
        <f>NOT(hospitalityq!C27="")*(SUMPRODUCT(--(TRIM(hospitalityq!C6:C27)=TRIM(hospitalityq!C27)))&gt;1)</f>
        <v>0</v>
      </c>
      <c r="D27">
        <f>NOT(hospitalityq!D27="")*(COUNTIF(reference!$C$17:$C$18,TRIM(hospitalityq!D27))=0)</f>
        <v>0</v>
      </c>
      <c r="J27">
        <f>NOT(hospitalityq!J27="")*(NOT(ISNUMBER(hospitalityq!J27+0)))</f>
        <v>0</v>
      </c>
      <c r="K27">
        <f>NOT(hospitalityq!K27="")*(NOT(ISNUMBER(hospitalityq!K27+0)))</f>
        <v>0</v>
      </c>
      <c r="P27">
        <f>NOT(hospitalityq!P27="")*(NOT(IFERROR(INT(hospitalityq!P27)=VALUE(hospitalityq!P27),FALSE)))</f>
        <v>0</v>
      </c>
      <c r="Q27">
        <f>NOT(hospitalityq!Q27="")*(NOT(IFERROR(INT(hospitalityq!Q27)=VALUE(hospitalityq!Q27),FALSE)))</f>
        <v>0</v>
      </c>
      <c r="R27">
        <f>NOT(hospitalityq!R27="")*(NOT(IFERROR(ROUND(VALUE(hospitalityq!R27),2)=VALUE(hospitalityq!R27),FALSE)))</f>
        <v>0</v>
      </c>
    </row>
    <row r="28" spans="1:18" x14ac:dyDescent="0.25">
      <c r="A28">
        <f t="shared" si="0"/>
        <v>0</v>
      </c>
      <c r="C28">
        <f>NOT(hospitalityq!C28="")*(SUMPRODUCT(--(TRIM(hospitalityq!C6:C28)=TRIM(hospitalityq!C28)))&gt;1)</f>
        <v>0</v>
      </c>
      <c r="D28">
        <f>NOT(hospitalityq!D28="")*(COUNTIF(reference!$C$17:$C$18,TRIM(hospitalityq!D28))=0)</f>
        <v>0</v>
      </c>
      <c r="J28">
        <f>NOT(hospitalityq!J28="")*(NOT(ISNUMBER(hospitalityq!J28+0)))</f>
        <v>0</v>
      </c>
      <c r="K28">
        <f>NOT(hospitalityq!K28="")*(NOT(ISNUMBER(hospitalityq!K28+0)))</f>
        <v>0</v>
      </c>
      <c r="P28">
        <f>NOT(hospitalityq!P28="")*(NOT(IFERROR(INT(hospitalityq!P28)=VALUE(hospitalityq!P28),FALSE)))</f>
        <v>0</v>
      </c>
      <c r="Q28">
        <f>NOT(hospitalityq!Q28="")*(NOT(IFERROR(INT(hospitalityq!Q28)=VALUE(hospitalityq!Q28),FALSE)))</f>
        <v>0</v>
      </c>
      <c r="R28">
        <f>NOT(hospitalityq!R28="")*(NOT(IFERROR(ROUND(VALUE(hospitalityq!R28),2)=VALUE(hospitalityq!R28),FALSE)))</f>
        <v>0</v>
      </c>
    </row>
    <row r="29" spans="1:18" x14ac:dyDescent="0.25">
      <c r="A29">
        <f t="shared" si="0"/>
        <v>0</v>
      </c>
      <c r="C29">
        <f>NOT(hospitalityq!C29="")*(SUMPRODUCT(--(TRIM(hospitalityq!C6:C29)=TRIM(hospitalityq!C29)))&gt;1)</f>
        <v>0</v>
      </c>
      <c r="D29">
        <f>NOT(hospitalityq!D29="")*(COUNTIF(reference!$C$17:$C$18,TRIM(hospitalityq!D29))=0)</f>
        <v>0</v>
      </c>
      <c r="J29">
        <f>NOT(hospitalityq!J29="")*(NOT(ISNUMBER(hospitalityq!J29+0)))</f>
        <v>0</v>
      </c>
      <c r="K29">
        <f>NOT(hospitalityq!K29="")*(NOT(ISNUMBER(hospitalityq!K29+0)))</f>
        <v>0</v>
      </c>
      <c r="P29">
        <f>NOT(hospitalityq!P29="")*(NOT(IFERROR(INT(hospitalityq!P29)=VALUE(hospitalityq!P29),FALSE)))</f>
        <v>0</v>
      </c>
      <c r="Q29">
        <f>NOT(hospitalityq!Q29="")*(NOT(IFERROR(INT(hospitalityq!Q29)=VALUE(hospitalityq!Q29),FALSE)))</f>
        <v>0</v>
      </c>
      <c r="R29">
        <f>NOT(hospitalityq!R29="")*(NOT(IFERROR(ROUND(VALUE(hospitalityq!R29),2)=VALUE(hospitalityq!R29),FALSE)))</f>
        <v>0</v>
      </c>
    </row>
    <row r="30" spans="1:18" x14ac:dyDescent="0.25">
      <c r="A30">
        <f t="shared" si="0"/>
        <v>0</v>
      </c>
      <c r="C30">
        <f>NOT(hospitalityq!C30="")*(SUMPRODUCT(--(TRIM(hospitalityq!C6:C30)=TRIM(hospitalityq!C30)))&gt;1)</f>
        <v>0</v>
      </c>
      <c r="D30">
        <f>NOT(hospitalityq!D30="")*(COUNTIF(reference!$C$17:$C$18,TRIM(hospitalityq!D30))=0)</f>
        <v>0</v>
      </c>
      <c r="J30">
        <f>NOT(hospitalityq!J30="")*(NOT(ISNUMBER(hospitalityq!J30+0)))</f>
        <v>0</v>
      </c>
      <c r="K30">
        <f>NOT(hospitalityq!K30="")*(NOT(ISNUMBER(hospitalityq!K30+0)))</f>
        <v>0</v>
      </c>
      <c r="P30">
        <f>NOT(hospitalityq!P30="")*(NOT(IFERROR(INT(hospitalityq!P30)=VALUE(hospitalityq!P30),FALSE)))</f>
        <v>0</v>
      </c>
      <c r="Q30">
        <f>NOT(hospitalityq!Q30="")*(NOT(IFERROR(INT(hospitalityq!Q30)=VALUE(hospitalityq!Q30),FALSE)))</f>
        <v>0</v>
      </c>
      <c r="R30">
        <f>NOT(hospitalityq!R30="")*(NOT(IFERROR(ROUND(VALUE(hospitalityq!R30),2)=VALUE(hospitalityq!R30),FALSE)))</f>
        <v>0</v>
      </c>
    </row>
    <row r="31" spans="1:18" x14ac:dyDescent="0.25">
      <c r="A31">
        <f t="shared" si="0"/>
        <v>0</v>
      </c>
      <c r="C31">
        <f>NOT(hospitalityq!C31="")*(SUMPRODUCT(--(TRIM(hospitalityq!C6:C31)=TRIM(hospitalityq!C31)))&gt;1)</f>
        <v>0</v>
      </c>
      <c r="D31">
        <f>NOT(hospitalityq!D31="")*(COUNTIF(reference!$C$17:$C$18,TRIM(hospitalityq!D31))=0)</f>
        <v>0</v>
      </c>
      <c r="J31">
        <f>NOT(hospitalityq!J31="")*(NOT(ISNUMBER(hospitalityq!J31+0)))</f>
        <v>0</v>
      </c>
      <c r="K31">
        <f>NOT(hospitalityq!K31="")*(NOT(ISNUMBER(hospitalityq!K31+0)))</f>
        <v>0</v>
      </c>
      <c r="P31">
        <f>NOT(hospitalityq!P31="")*(NOT(IFERROR(INT(hospitalityq!P31)=VALUE(hospitalityq!P31),FALSE)))</f>
        <v>0</v>
      </c>
      <c r="Q31">
        <f>NOT(hospitalityq!Q31="")*(NOT(IFERROR(INT(hospitalityq!Q31)=VALUE(hospitalityq!Q31),FALSE)))</f>
        <v>0</v>
      </c>
      <c r="R31">
        <f>NOT(hospitalityq!R31="")*(NOT(IFERROR(ROUND(VALUE(hospitalityq!R31),2)=VALUE(hospitalityq!R31),FALSE)))</f>
        <v>0</v>
      </c>
    </row>
    <row r="32" spans="1:18" x14ac:dyDescent="0.25">
      <c r="A32">
        <f t="shared" si="0"/>
        <v>0</v>
      </c>
      <c r="C32">
        <f>NOT(hospitalityq!C32="")*(SUMPRODUCT(--(TRIM(hospitalityq!C6:C32)=TRIM(hospitalityq!C32)))&gt;1)</f>
        <v>0</v>
      </c>
      <c r="D32">
        <f>NOT(hospitalityq!D32="")*(COUNTIF(reference!$C$17:$C$18,TRIM(hospitalityq!D32))=0)</f>
        <v>0</v>
      </c>
      <c r="J32">
        <f>NOT(hospitalityq!J32="")*(NOT(ISNUMBER(hospitalityq!J32+0)))</f>
        <v>0</v>
      </c>
      <c r="K32">
        <f>NOT(hospitalityq!K32="")*(NOT(ISNUMBER(hospitalityq!K32+0)))</f>
        <v>0</v>
      </c>
      <c r="P32">
        <f>NOT(hospitalityq!P32="")*(NOT(IFERROR(INT(hospitalityq!P32)=VALUE(hospitalityq!P32),FALSE)))</f>
        <v>0</v>
      </c>
      <c r="Q32">
        <f>NOT(hospitalityq!Q32="")*(NOT(IFERROR(INT(hospitalityq!Q32)=VALUE(hospitalityq!Q32),FALSE)))</f>
        <v>0</v>
      </c>
      <c r="R32">
        <f>NOT(hospitalityq!R32="")*(NOT(IFERROR(ROUND(VALUE(hospitalityq!R32),2)=VALUE(hospitalityq!R32),FALSE)))</f>
        <v>0</v>
      </c>
    </row>
    <row r="33" spans="1:18" x14ac:dyDescent="0.25">
      <c r="A33">
        <f t="shared" si="0"/>
        <v>0</v>
      </c>
      <c r="C33">
        <f>NOT(hospitalityq!C33="")*(SUMPRODUCT(--(TRIM(hospitalityq!C6:C33)=TRIM(hospitalityq!C33)))&gt;1)</f>
        <v>0</v>
      </c>
      <c r="D33">
        <f>NOT(hospitalityq!D33="")*(COUNTIF(reference!$C$17:$C$18,TRIM(hospitalityq!D33))=0)</f>
        <v>0</v>
      </c>
      <c r="J33">
        <f>NOT(hospitalityq!J33="")*(NOT(ISNUMBER(hospitalityq!J33+0)))</f>
        <v>0</v>
      </c>
      <c r="K33">
        <f>NOT(hospitalityq!K33="")*(NOT(ISNUMBER(hospitalityq!K33+0)))</f>
        <v>0</v>
      </c>
      <c r="P33">
        <f>NOT(hospitalityq!P33="")*(NOT(IFERROR(INT(hospitalityq!P33)=VALUE(hospitalityq!P33),FALSE)))</f>
        <v>0</v>
      </c>
      <c r="Q33">
        <f>NOT(hospitalityq!Q33="")*(NOT(IFERROR(INT(hospitalityq!Q33)=VALUE(hospitalityq!Q33),FALSE)))</f>
        <v>0</v>
      </c>
      <c r="R33">
        <f>NOT(hospitalityq!R33="")*(NOT(IFERROR(ROUND(VALUE(hospitalityq!R33),2)=VALUE(hospitalityq!R33),FALSE)))</f>
        <v>0</v>
      </c>
    </row>
    <row r="34" spans="1:18" x14ac:dyDescent="0.25">
      <c r="A34">
        <f t="shared" si="0"/>
        <v>0</v>
      </c>
      <c r="C34">
        <f>NOT(hospitalityq!C34="")*(SUMPRODUCT(--(TRIM(hospitalityq!C6:C34)=TRIM(hospitalityq!C34)))&gt;1)</f>
        <v>0</v>
      </c>
      <c r="D34">
        <f>NOT(hospitalityq!D34="")*(COUNTIF(reference!$C$17:$C$18,TRIM(hospitalityq!D34))=0)</f>
        <v>0</v>
      </c>
      <c r="J34">
        <f>NOT(hospitalityq!J34="")*(NOT(ISNUMBER(hospitalityq!J34+0)))</f>
        <v>0</v>
      </c>
      <c r="K34">
        <f>NOT(hospitalityq!K34="")*(NOT(ISNUMBER(hospitalityq!K34+0)))</f>
        <v>0</v>
      </c>
      <c r="P34">
        <f>NOT(hospitalityq!P34="")*(NOT(IFERROR(INT(hospitalityq!P34)=VALUE(hospitalityq!P34),FALSE)))</f>
        <v>0</v>
      </c>
      <c r="Q34">
        <f>NOT(hospitalityq!Q34="")*(NOT(IFERROR(INT(hospitalityq!Q34)=VALUE(hospitalityq!Q34),FALSE)))</f>
        <v>0</v>
      </c>
      <c r="R34">
        <f>NOT(hospitalityq!R34="")*(NOT(IFERROR(ROUND(VALUE(hospitalityq!R34),2)=VALUE(hospitalityq!R34),FALSE)))</f>
        <v>0</v>
      </c>
    </row>
    <row r="35" spans="1:18" x14ac:dyDescent="0.25">
      <c r="A35">
        <f t="shared" si="0"/>
        <v>0</v>
      </c>
      <c r="C35">
        <f>NOT(hospitalityq!C35="")*(SUMPRODUCT(--(TRIM(hospitalityq!C6:C35)=TRIM(hospitalityq!C35)))&gt;1)</f>
        <v>0</v>
      </c>
      <c r="D35">
        <f>NOT(hospitalityq!D35="")*(COUNTIF(reference!$C$17:$C$18,TRIM(hospitalityq!D35))=0)</f>
        <v>0</v>
      </c>
      <c r="J35">
        <f>NOT(hospitalityq!J35="")*(NOT(ISNUMBER(hospitalityq!J35+0)))</f>
        <v>0</v>
      </c>
      <c r="K35">
        <f>NOT(hospitalityq!K35="")*(NOT(ISNUMBER(hospitalityq!K35+0)))</f>
        <v>0</v>
      </c>
      <c r="P35">
        <f>NOT(hospitalityq!P35="")*(NOT(IFERROR(INT(hospitalityq!P35)=VALUE(hospitalityq!P35),FALSE)))</f>
        <v>0</v>
      </c>
      <c r="Q35">
        <f>NOT(hospitalityq!Q35="")*(NOT(IFERROR(INT(hospitalityq!Q35)=VALUE(hospitalityq!Q35),FALSE)))</f>
        <v>0</v>
      </c>
      <c r="R35">
        <f>NOT(hospitalityq!R35="")*(NOT(IFERROR(ROUND(VALUE(hospitalityq!R35),2)=VALUE(hospitalityq!R35),FALSE)))</f>
        <v>0</v>
      </c>
    </row>
    <row r="36" spans="1:18" x14ac:dyDescent="0.25">
      <c r="A36">
        <f t="shared" si="0"/>
        <v>0</v>
      </c>
      <c r="C36">
        <f>NOT(hospitalityq!C36="")*(SUMPRODUCT(--(TRIM(hospitalityq!C6:C36)=TRIM(hospitalityq!C36)))&gt;1)</f>
        <v>0</v>
      </c>
      <c r="D36">
        <f>NOT(hospitalityq!D36="")*(COUNTIF(reference!$C$17:$C$18,TRIM(hospitalityq!D36))=0)</f>
        <v>0</v>
      </c>
      <c r="J36">
        <f>NOT(hospitalityq!J36="")*(NOT(ISNUMBER(hospitalityq!J36+0)))</f>
        <v>0</v>
      </c>
      <c r="K36">
        <f>NOT(hospitalityq!K36="")*(NOT(ISNUMBER(hospitalityq!K36+0)))</f>
        <v>0</v>
      </c>
      <c r="P36">
        <f>NOT(hospitalityq!P36="")*(NOT(IFERROR(INT(hospitalityq!P36)=VALUE(hospitalityq!P36),FALSE)))</f>
        <v>0</v>
      </c>
      <c r="Q36">
        <f>NOT(hospitalityq!Q36="")*(NOT(IFERROR(INT(hospitalityq!Q36)=VALUE(hospitalityq!Q36),FALSE)))</f>
        <v>0</v>
      </c>
      <c r="R36">
        <f>NOT(hospitalityq!R36="")*(NOT(IFERROR(ROUND(VALUE(hospitalityq!R36),2)=VALUE(hospitalityq!R36),FALSE)))</f>
        <v>0</v>
      </c>
    </row>
    <row r="37" spans="1:18" x14ac:dyDescent="0.25">
      <c r="A37">
        <f t="shared" si="0"/>
        <v>0</v>
      </c>
      <c r="C37">
        <f>NOT(hospitalityq!C37="")*(SUMPRODUCT(--(TRIM(hospitalityq!C6:C37)=TRIM(hospitalityq!C37)))&gt;1)</f>
        <v>0</v>
      </c>
      <c r="D37">
        <f>NOT(hospitalityq!D37="")*(COUNTIF(reference!$C$17:$C$18,TRIM(hospitalityq!D37))=0)</f>
        <v>0</v>
      </c>
      <c r="J37">
        <f>NOT(hospitalityq!J37="")*(NOT(ISNUMBER(hospitalityq!J37+0)))</f>
        <v>0</v>
      </c>
      <c r="K37">
        <f>NOT(hospitalityq!K37="")*(NOT(ISNUMBER(hospitalityq!K37+0)))</f>
        <v>0</v>
      </c>
      <c r="P37">
        <f>NOT(hospitalityq!P37="")*(NOT(IFERROR(INT(hospitalityq!P37)=VALUE(hospitalityq!P37),FALSE)))</f>
        <v>0</v>
      </c>
      <c r="Q37">
        <f>NOT(hospitalityq!Q37="")*(NOT(IFERROR(INT(hospitalityq!Q37)=VALUE(hospitalityq!Q37),FALSE)))</f>
        <v>0</v>
      </c>
      <c r="R37">
        <f>NOT(hospitalityq!R37="")*(NOT(IFERROR(ROUND(VALUE(hospitalityq!R37),2)=VALUE(hospitalityq!R37),FALSE)))</f>
        <v>0</v>
      </c>
    </row>
    <row r="38" spans="1:18" x14ac:dyDescent="0.25">
      <c r="A38">
        <f t="shared" si="0"/>
        <v>0</v>
      </c>
      <c r="C38">
        <f>NOT(hospitalityq!C38="")*(SUMPRODUCT(--(TRIM(hospitalityq!C6:C38)=TRIM(hospitalityq!C38)))&gt;1)</f>
        <v>0</v>
      </c>
      <c r="D38">
        <f>NOT(hospitalityq!D38="")*(COUNTIF(reference!$C$17:$C$18,TRIM(hospitalityq!D38))=0)</f>
        <v>0</v>
      </c>
      <c r="J38">
        <f>NOT(hospitalityq!J38="")*(NOT(ISNUMBER(hospitalityq!J38+0)))</f>
        <v>0</v>
      </c>
      <c r="K38">
        <f>NOT(hospitalityq!K38="")*(NOT(ISNUMBER(hospitalityq!K38+0)))</f>
        <v>0</v>
      </c>
      <c r="P38">
        <f>NOT(hospitalityq!P38="")*(NOT(IFERROR(INT(hospitalityq!P38)=VALUE(hospitalityq!P38),FALSE)))</f>
        <v>0</v>
      </c>
      <c r="Q38">
        <f>NOT(hospitalityq!Q38="")*(NOT(IFERROR(INT(hospitalityq!Q38)=VALUE(hospitalityq!Q38),FALSE)))</f>
        <v>0</v>
      </c>
      <c r="R38">
        <f>NOT(hospitalityq!R38="")*(NOT(IFERROR(ROUND(VALUE(hospitalityq!R38),2)=VALUE(hospitalityq!R38),FALSE)))</f>
        <v>0</v>
      </c>
    </row>
    <row r="39" spans="1:18" x14ac:dyDescent="0.25">
      <c r="A39">
        <f t="shared" si="0"/>
        <v>0</v>
      </c>
      <c r="C39">
        <f>NOT(hospitalityq!C39="")*(SUMPRODUCT(--(TRIM(hospitalityq!C6:C39)=TRIM(hospitalityq!C39)))&gt;1)</f>
        <v>0</v>
      </c>
      <c r="D39">
        <f>NOT(hospitalityq!D39="")*(COUNTIF(reference!$C$17:$C$18,TRIM(hospitalityq!D39))=0)</f>
        <v>0</v>
      </c>
      <c r="J39">
        <f>NOT(hospitalityq!J39="")*(NOT(ISNUMBER(hospitalityq!J39+0)))</f>
        <v>0</v>
      </c>
      <c r="K39">
        <f>NOT(hospitalityq!K39="")*(NOT(ISNUMBER(hospitalityq!K39+0)))</f>
        <v>0</v>
      </c>
      <c r="P39">
        <f>NOT(hospitalityq!P39="")*(NOT(IFERROR(INT(hospitalityq!P39)=VALUE(hospitalityq!P39),FALSE)))</f>
        <v>0</v>
      </c>
      <c r="Q39">
        <f>NOT(hospitalityq!Q39="")*(NOT(IFERROR(INT(hospitalityq!Q39)=VALUE(hospitalityq!Q39),FALSE)))</f>
        <v>0</v>
      </c>
      <c r="R39">
        <f>NOT(hospitalityq!R39="")*(NOT(IFERROR(ROUND(VALUE(hospitalityq!R39),2)=VALUE(hospitalityq!R39),FALSE)))</f>
        <v>0</v>
      </c>
    </row>
    <row r="40" spans="1:18" x14ac:dyDescent="0.25">
      <c r="A40">
        <f t="shared" si="0"/>
        <v>0</v>
      </c>
      <c r="C40">
        <f>NOT(hospitalityq!C40="")*(SUMPRODUCT(--(TRIM(hospitalityq!C6:C40)=TRIM(hospitalityq!C40)))&gt;1)</f>
        <v>0</v>
      </c>
      <c r="D40">
        <f>NOT(hospitalityq!D40="")*(COUNTIF(reference!$C$17:$C$18,TRIM(hospitalityq!D40))=0)</f>
        <v>0</v>
      </c>
      <c r="J40">
        <f>NOT(hospitalityq!J40="")*(NOT(ISNUMBER(hospitalityq!J40+0)))</f>
        <v>0</v>
      </c>
      <c r="K40">
        <f>NOT(hospitalityq!K40="")*(NOT(ISNUMBER(hospitalityq!K40+0)))</f>
        <v>0</v>
      </c>
      <c r="P40">
        <f>NOT(hospitalityq!P40="")*(NOT(IFERROR(INT(hospitalityq!P40)=VALUE(hospitalityq!P40),FALSE)))</f>
        <v>0</v>
      </c>
      <c r="Q40">
        <f>NOT(hospitalityq!Q40="")*(NOT(IFERROR(INT(hospitalityq!Q40)=VALUE(hospitalityq!Q40),FALSE)))</f>
        <v>0</v>
      </c>
      <c r="R40">
        <f>NOT(hospitalityq!R40="")*(NOT(IFERROR(ROUND(VALUE(hospitalityq!R40),2)=VALUE(hospitalityq!R40),FALSE)))</f>
        <v>0</v>
      </c>
    </row>
    <row r="41" spans="1:18" x14ac:dyDescent="0.25">
      <c r="A41">
        <f t="shared" si="0"/>
        <v>0</v>
      </c>
      <c r="C41">
        <f>NOT(hospitalityq!C41="")*(SUMPRODUCT(--(TRIM(hospitalityq!C6:C41)=TRIM(hospitalityq!C41)))&gt;1)</f>
        <v>0</v>
      </c>
      <c r="D41">
        <f>NOT(hospitalityq!D41="")*(COUNTIF(reference!$C$17:$C$18,TRIM(hospitalityq!D41))=0)</f>
        <v>0</v>
      </c>
      <c r="J41">
        <f>NOT(hospitalityq!J41="")*(NOT(ISNUMBER(hospitalityq!J41+0)))</f>
        <v>0</v>
      </c>
      <c r="K41">
        <f>NOT(hospitalityq!K41="")*(NOT(ISNUMBER(hospitalityq!K41+0)))</f>
        <v>0</v>
      </c>
      <c r="P41">
        <f>NOT(hospitalityq!P41="")*(NOT(IFERROR(INT(hospitalityq!P41)=VALUE(hospitalityq!P41),FALSE)))</f>
        <v>0</v>
      </c>
      <c r="Q41">
        <f>NOT(hospitalityq!Q41="")*(NOT(IFERROR(INT(hospitalityq!Q41)=VALUE(hospitalityq!Q41),FALSE)))</f>
        <v>0</v>
      </c>
      <c r="R41">
        <f>NOT(hospitalityq!R41="")*(NOT(IFERROR(ROUND(VALUE(hospitalityq!R41),2)=VALUE(hospitalityq!R41),FALSE)))</f>
        <v>0</v>
      </c>
    </row>
    <row r="42" spans="1:18" x14ac:dyDescent="0.25">
      <c r="A42">
        <f t="shared" si="0"/>
        <v>0</v>
      </c>
      <c r="C42">
        <f>NOT(hospitalityq!C42="")*(SUMPRODUCT(--(TRIM(hospitalityq!C6:C42)=TRIM(hospitalityq!C42)))&gt;1)</f>
        <v>0</v>
      </c>
      <c r="D42">
        <f>NOT(hospitalityq!D42="")*(COUNTIF(reference!$C$17:$C$18,TRIM(hospitalityq!D42))=0)</f>
        <v>0</v>
      </c>
      <c r="J42">
        <f>NOT(hospitalityq!J42="")*(NOT(ISNUMBER(hospitalityq!J42+0)))</f>
        <v>0</v>
      </c>
      <c r="K42">
        <f>NOT(hospitalityq!K42="")*(NOT(ISNUMBER(hospitalityq!K42+0)))</f>
        <v>0</v>
      </c>
      <c r="P42">
        <f>NOT(hospitalityq!P42="")*(NOT(IFERROR(INT(hospitalityq!P42)=VALUE(hospitalityq!P42),FALSE)))</f>
        <v>0</v>
      </c>
      <c r="Q42">
        <f>NOT(hospitalityq!Q42="")*(NOT(IFERROR(INT(hospitalityq!Q42)=VALUE(hospitalityq!Q42),FALSE)))</f>
        <v>0</v>
      </c>
      <c r="R42">
        <f>NOT(hospitalityq!R42="")*(NOT(IFERROR(ROUND(VALUE(hospitalityq!R42),2)=VALUE(hospitalityq!R42),FALSE)))</f>
        <v>0</v>
      </c>
    </row>
    <row r="43" spans="1:18" x14ac:dyDescent="0.25">
      <c r="A43">
        <f t="shared" si="0"/>
        <v>0</v>
      </c>
      <c r="C43">
        <f>NOT(hospitalityq!C43="")*(SUMPRODUCT(--(TRIM(hospitalityq!C6:C43)=TRIM(hospitalityq!C43)))&gt;1)</f>
        <v>0</v>
      </c>
      <c r="D43">
        <f>NOT(hospitalityq!D43="")*(COUNTIF(reference!$C$17:$C$18,TRIM(hospitalityq!D43))=0)</f>
        <v>0</v>
      </c>
      <c r="J43">
        <f>NOT(hospitalityq!J43="")*(NOT(ISNUMBER(hospitalityq!J43+0)))</f>
        <v>0</v>
      </c>
      <c r="K43">
        <f>NOT(hospitalityq!K43="")*(NOT(ISNUMBER(hospitalityq!K43+0)))</f>
        <v>0</v>
      </c>
      <c r="P43">
        <f>NOT(hospitalityq!P43="")*(NOT(IFERROR(INT(hospitalityq!P43)=VALUE(hospitalityq!P43),FALSE)))</f>
        <v>0</v>
      </c>
      <c r="Q43">
        <f>NOT(hospitalityq!Q43="")*(NOT(IFERROR(INT(hospitalityq!Q43)=VALUE(hospitalityq!Q43),FALSE)))</f>
        <v>0</v>
      </c>
      <c r="R43">
        <f>NOT(hospitalityq!R43="")*(NOT(IFERROR(ROUND(VALUE(hospitalityq!R43),2)=VALUE(hospitalityq!R43),FALSE)))</f>
        <v>0</v>
      </c>
    </row>
    <row r="44" spans="1:18" x14ac:dyDescent="0.25">
      <c r="A44">
        <f t="shared" si="0"/>
        <v>0</v>
      </c>
      <c r="C44">
        <f>NOT(hospitalityq!C44="")*(SUMPRODUCT(--(TRIM(hospitalityq!C6:C44)=TRIM(hospitalityq!C44)))&gt;1)</f>
        <v>0</v>
      </c>
      <c r="D44">
        <f>NOT(hospitalityq!D44="")*(COUNTIF(reference!$C$17:$C$18,TRIM(hospitalityq!D44))=0)</f>
        <v>0</v>
      </c>
      <c r="J44">
        <f>NOT(hospitalityq!J44="")*(NOT(ISNUMBER(hospitalityq!J44+0)))</f>
        <v>0</v>
      </c>
      <c r="K44">
        <f>NOT(hospitalityq!K44="")*(NOT(ISNUMBER(hospitalityq!K44+0)))</f>
        <v>0</v>
      </c>
      <c r="P44">
        <f>NOT(hospitalityq!P44="")*(NOT(IFERROR(INT(hospitalityq!P44)=VALUE(hospitalityq!P44),FALSE)))</f>
        <v>0</v>
      </c>
      <c r="Q44">
        <f>NOT(hospitalityq!Q44="")*(NOT(IFERROR(INT(hospitalityq!Q44)=VALUE(hospitalityq!Q44),FALSE)))</f>
        <v>0</v>
      </c>
      <c r="R44">
        <f>NOT(hospitalityq!R44="")*(NOT(IFERROR(ROUND(VALUE(hospitalityq!R44),2)=VALUE(hospitalityq!R44),FALSE)))</f>
        <v>0</v>
      </c>
    </row>
    <row r="45" spans="1:18" x14ac:dyDescent="0.25">
      <c r="A45">
        <f t="shared" si="0"/>
        <v>0</v>
      </c>
      <c r="C45">
        <f>NOT(hospitalityq!C45="")*(SUMPRODUCT(--(TRIM(hospitalityq!C6:C45)=TRIM(hospitalityq!C45)))&gt;1)</f>
        <v>0</v>
      </c>
      <c r="D45">
        <f>NOT(hospitalityq!D45="")*(COUNTIF(reference!$C$17:$C$18,TRIM(hospitalityq!D45))=0)</f>
        <v>0</v>
      </c>
      <c r="J45">
        <f>NOT(hospitalityq!J45="")*(NOT(ISNUMBER(hospitalityq!J45+0)))</f>
        <v>0</v>
      </c>
      <c r="K45">
        <f>NOT(hospitalityq!K45="")*(NOT(ISNUMBER(hospitalityq!K45+0)))</f>
        <v>0</v>
      </c>
      <c r="P45">
        <f>NOT(hospitalityq!P45="")*(NOT(IFERROR(INT(hospitalityq!P45)=VALUE(hospitalityq!P45),FALSE)))</f>
        <v>0</v>
      </c>
      <c r="Q45">
        <f>NOT(hospitalityq!Q45="")*(NOT(IFERROR(INT(hospitalityq!Q45)=VALUE(hospitalityq!Q45),FALSE)))</f>
        <v>0</v>
      </c>
      <c r="R45">
        <f>NOT(hospitalityq!R45="")*(NOT(IFERROR(ROUND(VALUE(hospitalityq!R45),2)=VALUE(hospitalityq!R45),FALSE)))</f>
        <v>0</v>
      </c>
    </row>
    <row r="46" spans="1:18" x14ac:dyDescent="0.25">
      <c r="A46">
        <f t="shared" si="0"/>
        <v>0</v>
      </c>
      <c r="C46">
        <f>NOT(hospitalityq!C46="")*(SUMPRODUCT(--(TRIM(hospitalityq!C6:C46)=TRIM(hospitalityq!C46)))&gt;1)</f>
        <v>0</v>
      </c>
      <c r="D46">
        <f>NOT(hospitalityq!D46="")*(COUNTIF(reference!$C$17:$C$18,TRIM(hospitalityq!D46))=0)</f>
        <v>0</v>
      </c>
      <c r="J46">
        <f>NOT(hospitalityq!J46="")*(NOT(ISNUMBER(hospitalityq!J46+0)))</f>
        <v>0</v>
      </c>
      <c r="K46">
        <f>NOT(hospitalityq!K46="")*(NOT(ISNUMBER(hospitalityq!K46+0)))</f>
        <v>0</v>
      </c>
      <c r="P46">
        <f>NOT(hospitalityq!P46="")*(NOT(IFERROR(INT(hospitalityq!P46)=VALUE(hospitalityq!P46),FALSE)))</f>
        <v>0</v>
      </c>
      <c r="Q46">
        <f>NOT(hospitalityq!Q46="")*(NOT(IFERROR(INT(hospitalityq!Q46)=VALUE(hospitalityq!Q46),FALSE)))</f>
        <v>0</v>
      </c>
      <c r="R46">
        <f>NOT(hospitalityq!R46="")*(NOT(IFERROR(ROUND(VALUE(hospitalityq!R46),2)=VALUE(hospitalityq!R46),FALSE)))</f>
        <v>0</v>
      </c>
    </row>
    <row r="47" spans="1:18" x14ac:dyDescent="0.25">
      <c r="A47">
        <f t="shared" si="0"/>
        <v>0</v>
      </c>
      <c r="C47">
        <f>NOT(hospitalityq!C47="")*(SUMPRODUCT(--(TRIM(hospitalityq!C6:C47)=TRIM(hospitalityq!C47)))&gt;1)</f>
        <v>0</v>
      </c>
      <c r="D47">
        <f>NOT(hospitalityq!D47="")*(COUNTIF(reference!$C$17:$C$18,TRIM(hospitalityq!D47))=0)</f>
        <v>0</v>
      </c>
      <c r="J47">
        <f>NOT(hospitalityq!J47="")*(NOT(ISNUMBER(hospitalityq!J47+0)))</f>
        <v>0</v>
      </c>
      <c r="K47">
        <f>NOT(hospitalityq!K47="")*(NOT(ISNUMBER(hospitalityq!K47+0)))</f>
        <v>0</v>
      </c>
      <c r="P47">
        <f>NOT(hospitalityq!P47="")*(NOT(IFERROR(INT(hospitalityq!P47)=VALUE(hospitalityq!P47),FALSE)))</f>
        <v>0</v>
      </c>
      <c r="Q47">
        <f>NOT(hospitalityq!Q47="")*(NOT(IFERROR(INT(hospitalityq!Q47)=VALUE(hospitalityq!Q47),FALSE)))</f>
        <v>0</v>
      </c>
      <c r="R47">
        <f>NOT(hospitalityq!R47="")*(NOT(IFERROR(ROUND(VALUE(hospitalityq!R47),2)=VALUE(hospitalityq!R47),FALSE)))</f>
        <v>0</v>
      </c>
    </row>
    <row r="48" spans="1:18" x14ac:dyDescent="0.25">
      <c r="A48">
        <f t="shared" si="0"/>
        <v>0</v>
      </c>
      <c r="C48">
        <f>NOT(hospitalityq!C48="")*(SUMPRODUCT(--(TRIM(hospitalityq!C6:C48)=TRIM(hospitalityq!C48)))&gt;1)</f>
        <v>0</v>
      </c>
      <c r="D48">
        <f>NOT(hospitalityq!D48="")*(COUNTIF(reference!$C$17:$C$18,TRIM(hospitalityq!D48))=0)</f>
        <v>0</v>
      </c>
      <c r="J48">
        <f>NOT(hospitalityq!J48="")*(NOT(ISNUMBER(hospitalityq!J48+0)))</f>
        <v>0</v>
      </c>
      <c r="K48">
        <f>NOT(hospitalityq!K48="")*(NOT(ISNUMBER(hospitalityq!K48+0)))</f>
        <v>0</v>
      </c>
      <c r="P48">
        <f>NOT(hospitalityq!P48="")*(NOT(IFERROR(INT(hospitalityq!P48)=VALUE(hospitalityq!P48),FALSE)))</f>
        <v>0</v>
      </c>
      <c r="Q48">
        <f>NOT(hospitalityq!Q48="")*(NOT(IFERROR(INT(hospitalityq!Q48)=VALUE(hospitalityq!Q48),FALSE)))</f>
        <v>0</v>
      </c>
      <c r="R48">
        <f>NOT(hospitalityq!R48="")*(NOT(IFERROR(ROUND(VALUE(hospitalityq!R48),2)=VALUE(hospitalityq!R48),FALSE)))</f>
        <v>0</v>
      </c>
    </row>
    <row r="49" spans="1:18" x14ac:dyDescent="0.25">
      <c r="A49">
        <f t="shared" si="0"/>
        <v>0</v>
      </c>
      <c r="C49">
        <f>NOT(hospitalityq!C49="")*(SUMPRODUCT(--(TRIM(hospitalityq!C6:C49)=TRIM(hospitalityq!C49)))&gt;1)</f>
        <v>0</v>
      </c>
      <c r="D49">
        <f>NOT(hospitalityq!D49="")*(COUNTIF(reference!$C$17:$C$18,TRIM(hospitalityq!D49))=0)</f>
        <v>0</v>
      </c>
      <c r="J49">
        <f>NOT(hospitalityq!J49="")*(NOT(ISNUMBER(hospitalityq!J49+0)))</f>
        <v>0</v>
      </c>
      <c r="K49">
        <f>NOT(hospitalityq!K49="")*(NOT(ISNUMBER(hospitalityq!K49+0)))</f>
        <v>0</v>
      </c>
      <c r="P49">
        <f>NOT(hospitalityq!P49="")*(NOT(IFERROR(INT(hospitalityq!P49)=VALUE(hospitalityq!P49),FALSE)))</f>
        <v>0</v>
      </c>
      <c r="Q49">
        <f>NOT(hospitalityq!Q49="")*(NOT(IFERROR(INT(hospitalityq!Q49)=VALUE(hospitalityq!Q49),FALSE)))</f>
        <v>0</v>
      </c>
      <c r="R49">
        <f>NOT(hospitalityq!R49="")*(NOT(IFERROR(ROUND(VALUE(hospitalityq!R49),2)=VALUE(hospitalityq!R49),FALSE)))</f>
        <v>0</v>
      </c>
    </row>
    <row r="50" spans="1:18" x14ac:dyDescent="0.25">
      <c r="A50">
        <f t="shared" si="0"/>
        <v>0</v>
      </c>
      <c r="C50">
        <f>NOT(hospitalityq!C50="")*(SUMPRODUCT(--(TRIM(hospitalityq!C6:C50)=TRIM(hospitalityq!C50)))&gt;1)</f>
        <v>0</v>
      </c>
      <c r="D50">
        <f>NOT(hospitalityq!D50="")*(COUNTIF(reference!$C$17:$C$18,TRIM(hospitalityq!D50))=0)</f>
        <v>0</v>
      </c>
      <c r="J50">
        <f>NOT(hospitalityq!J50="")*(NOT(ISNUMBER(hospitalityq!J50+0)))</f>
        <v>0</v>
      </c>
      <c r="K50">
        <f>NOT(hospitalityq!K50="")*(NOT(ISNUMBER(hospitalityq!K50+0)))</f>
        <v>0</v>
      </c>
      <c r="P50">
        <f>NOT(hospitalityq!P50="")*(NOT(IFERROR(INT(hospitalityq!P50)=VALUE(hospitalityq!P50),FALSE)))</f>
        <v>0</v>
      </c>
      <c r="Q50">
        <f>NOT(hospitalityq!Q50="")*(NOT(IFERROR(INT(hospitalityq!Q50)=VALUE(hospitalityq!Q50),FALSE)))</f>
        <v>0</v>
      </c>
      <c r="R50">
        <f>NOT(hospitalityq!R50="")*(NOT(IFERROR(ROUND(VALUE(hospitalityq!R50),2)=VALUE(hospitalityq!R50),FALSE)))</f>
        <v>0</v>
      </c>
    </row>
    <row r="51" spans="1:18" x14ac:dyDescent="0.25">
      <c r="A51">
        <f t="shared" si="0"/>
        <v>0</v>
      </c>
      <c r="C51">
        <f>NOT(hospitalityq!C51="")*(SUMPRODUCT(--(TRIM(hospitalityq!C6:C51)=TRIM(hospitalityq!C51)))&gt;1)</f>
        <v>0</v>
      </c>
      <c r="D51">
        <f>NOT(hospitalityq!D51="")*(COUNTIF(reference!$C$17:$C$18,TRIM(hospitalityq!D51))=0)</f>
        <v>0</v>
      </c>
      <c r="J51">
        <f>NOT(hospitalityq!J51="")*(NOT(ISNUMBER(hospitalityq!J51+0)))</f>
        <v>0</v>
      </c>
      <c r="K51">
        <f>NOT(hospitalityq!K51="")*(NOT(ISNUMBER(hospitalityq!K51+0)))</f>
        <v>0</v>
      </c>
      <c r="P51">
        <f>NOT(hospitalityq!P51="")*(NOT(IFERROR(INT(hospitalityq!P51)=VALUE(hospitalityq!P51),FALSE)))</f>
        <v>0</v>
      </c>
      <c r="Q51">
        <f>NOT(hospitalityq!Q51="")*(NOT(IFERROR(INT(hospitalityq!Q51)=VALUE(hospitalityq!Q51),FALSE)))</f>
        <v>0</v>
      </c>
      <c r="R51">
        <f>NOT(hospitalityq!R51="")*(NOT(IFERROR(ROUND(VALUE(hospitalityq!R51),2)=VALUE(hospitalityq!R51),FALSE)))</f>
        <v>0</v>
      </c>
    </row>
    <row r="52" spans="1:18" x14ac:dyDescent="0.25">
      <c r="A52">
        <f t="shared" si="0"/>
        <v>0</v>
      </c>
      <c r="C52">
        <f>NOT(hospitalityq!C52="")*(SUMPRODUCT(--(TRIM(hospitalityq!C6:C52)=TRIM(hospitalityq!C52)))&gt;1)</f>
        <v>0</v>
      </c>
      <c r="D52">
        <f>NOT(hospitalityq!D52="")*(COUNTIF(reference!$C$17:$C$18,TRIM(hospitalityq!D52))=0)</f>
        <v>0</v>
      </c>
      <c r="J52">
        <f>NOT(hospitalityq!J52="")*(NOT(ISNUMBER(hospitalityq!J52+0)))</f>
        <v>0</v>
      </c>
      <c r="K52">
        <f>NOT(hospitalityq!K52="")*(NOT(ISNUMBER(hospitalityq!K52+0)))</f>
        <v>0</v>
      </c>
      <c r="P52">
        <f>NOT(hospitalityq!P52="")*(NOT(IFERROR(INT(hospitalityq!P52)=VALUE(hospitalityq!P52),FALSE)))</f>
        <v>0</v>
      </c>
      <c r="Q52">
        <f>NOT(hospitalityq!Q52="")*(NOT(IFERROR(INT(hospitalityq!Q52)=VALUE(hospitalityq!Q52),FALSE)))</f>
        <v>0</v>
      </c>
      <c r="R52">
        <f>NOT(hospitalityq!R52="")*(NOT(IFERROR(ROUND(VALUE(hospitalityq!R52),2)=VALUE(hospitalityq!R52),FALSE)))</f>
        <v>0</v>
      </c>
    </row>
    <row r="53" spans="1:18" x14ac:dyDescent="0.25">
      <c r="A53">
        <f t="shared" si="0"/>
        <v>0</v>
      </c>
      <c r="C53">
        <f>NOT(hospitalityq!C53="")*(SUMPRODUCT(--(TRIM(hospitalityq!C6:C53)=TRIM(hospitalityq!C53)))&gt;1)</f>
        <v>0</v>
      </c>
      <c r="D53">
        <f>NOT(hospitalityq!D53="")*(COUNTIF(reference!$C$17:$C$18,TRIM(hospitalityq!D53))=0)</f>
        <v>0</v>
      </c>
      <c r="J53">
        <f>NOT(hospitalityq!J53="")*(NOT(ISNUMBER(hospitalityq!J53+0)))</f>
        <v>0</v>
      </c>
      <c r="K53">
        <f>NOT(hospitalityq!K53="")*(NOT(ISNUMBER(hospitalityq!K53+0)))</f>
        <v>0</v>
      </c>
      <c r="P53">
        <f>NOT(hospitalityq!P53="")*(NOT(IFERROR(INT(hospitalityq!P53)=VALUE(hospitalityq!P53),FALSE)))</f>
        <v>0</v>
      </c>
      <c r="Q53">
        <f>NOT(hospitalityq!Q53="")*(NOT(IFERROR(INT(hospitalityq!Q53)=VALUE(hospitalityq!Q53),FALSE)))</f>
        <v>0</v>
      </c>
      <c r="R53">
        <f>NOT(hospitalityq!R53="")*(NOT(IFERROR(ROUND(VALUE(hospitalityq!R53),2)=VALUE(hospitalityq!R53),FALSE)))</f>
        <v>0</v>
      </c>
    </row>
    <row r="54" spans="1:18" x14ac:dyDescent="0.25">
      <c r="A54">
        <f t="shared" si="0"/>
        <v>0</v>
      </c>
      <c r="C54">
        <f>NOT(hospitalityq!C54="")*(SUMPRODUCT(--(TRIM(hospitalityq!C6:C54)=TRIM(hospitalityq!C54)))&gt;1)</f>
        <v>0</v>
      </c>
      <c r="D54">
        <f>NOT(hospitalityq!D54="")*(COUNTIF(reference!$C$17:$C$18,TRIM(hospitalityq!D54))=0)</f>
        <v>0</v>
      </c>
      <c r="J54">
        <f>NOT(hospitalityq!J54="")*(NOT(ISNUMBER(hospitalityq!J54+0)))</f>
        <v>0</v>
      </c>
      <c r="K54">
        <f>NOT(hospitalityq!K54="")*(NOT(ISNUMBER(hospitalityq!K54+0)))</f>
        <v>0</v>
      </c>
      <c r="P54">
        <f>NOT(hospitalityq!P54="")*(NOT(IFERROR(INT(hospitalityq!P54)=VALUE(hospitalityq!P54),FALSE)))</f>
        <v>0</v>
      </c>
      <c r="Q54">
        <f>NOT(hospitalityq!Q54="")*(NOT(IFERROR(INT(hospitalityq!Q54)=VALUE(hospitalityq!Q54),FALSE)))</f>
        <v>0</v>
      </c>
      <c r="R54">
        <f>NOT(hospitalityq!R54="")*(NOT(IFERROR(ROUND(VALUE(hospitalityq!R54),2)=VALUE(hospitalityq!R54),FALSE)))</f>
        <v>0</v>
      </c>
    </row>
    <row r="55" spans="1:18" x14ac:dyDescent="0.25">
      <c r="A55">
        <f t="shared" si="0"/>
        <v>0</v>
      </c>
      <c r="C55">
        <f>NOT(hospitalityq!C55="")*(SUMPRODUCT(--(TRIM(hospitalityq!C6:C55)=TRIM(hospitalityq!C55)))&gt;1)</f>
        <v>0</v>
      </c>
      <c r="D55">
        <f>NOT(hospitalityq!D55="")*(COUNTIF(reference!$C$17:$C$18,TRIM(hospitalityq!D55))=0)</f>
        <v>0</v>
      </c>
      <c r="J55">
        <f>NOT(hospitalityq!J55="")*(NOT(ISNUMBER(hospitalityq!J55+0)))</f>
        <v>0</v>
      </c>
      <c r="K55">
        <f>NOT(hospitalityq!K55="")*(NOT(ISNUMBER(hospitalityq!K55+0)))</f>
        <v>0</v>
      </c>
      <c r="P55">
        <f>NOT(hospitalityq!P55="")*(NOT(IFERROR(INT(hospitalityq!P55)=VALUE(hospitalityq!P55),FALSE)))</f>
        <v>0</v>
      </c>
      <c r="Q55">
        <f>NOT(hospitalityq!Q55="")*(NOT(IFERROR(INT(hospitalityq!Q55)=VALUE(hospitalityq!Q55),FALSE)))</f>
        <v>0</v>
      </c>
      <c r="R55">
        <f>NOT(hospitalityq!R55="")*(NOT(IFERROR(ROUND(VALUE(hospitalityq!R55),2)=VALUE(hospitalityq!R55),FALSE)))</f>
        <v>0</v>
      </c>
    </row>
    <row r="56" spans="1:18" x14ac:dyDescent="0.25">
      <c r="A56">
        <f t="shared" si="0"/>
        <v>0</v>
      </c>
      <c r="C56">
        <f>NOT(hospitalityq!C56="")*(SUMPRODUCT(--(TRIM(hospitalityq!C6:C56)=TRIM(hospitalityq!C56)))&gt;1)</f>
        <v>0</v>
      </c>
      <c r="D56">
        <f>NOT(hospitalityq!D56="")*(COUNTIF(reference!$C$17:$C$18,TRIM(hospitalityq!D56))=0)</f>
        <v>0</v>
      </c>
      <c r="J56">
        <f>NOT(hospitalityq!J56="")*(NOT(ISNUMBER(hospitalityq!J56+0)))</f>
        <v>0</v>
      </c>
      <c r="K56">
        <f>NOT(hospitalityq!K56="")*(NOT(ISNUMBER(hospitalityq!K56+0)))</f>
        <v>0</v>
      </c>
      <c r="P56">
        <f>NOT(hospitalityq!P56="")*(NOT(IFERROR(INT(hospitalityq!P56)=VALUE(hospitalityq!P56),FALSE)))</f>
        <v>0</v>
      </c>
      <c r="Q56">
        <f>NOT(hospitalityq!Q56="")*(NOT(IFERROR(INT(hospitalityq!Q56)=VALUE(hospitalityq!Q56),FALSE)))</f>
        <v>0</v>
      </c>
      <c r="R56">
        <f>NOT(hospitalityq!R56="")*(NOT(IFERROR(ROUND(VALUE(hospitalityq!R56),2)=VALUE(hospitalityq!R56),FALSE)))</f>
        <v>0</v>
      </c>
    </row>
    <row r="57" spans="1:18" x14ac:dyDescent="0.25">
      <c r="A57">
        <f t="shared" si="0"/>
        <v>0</v>
      </c>
      <c r="C57">
        <f>NOT(hospitalityq!C57="")*(SUMPRODUCT(--(TRIM(hospitalityq!C6:C57)=TRIM(hospitalityq!C57)))&gt;1)</f>
        <v>0</v>
      </c>
      <c r="D57">
        <f>NOT(hospitalityq!D57="")*(COUNTIF(reference!$C$17:$C$18,TRIM(hospitalityq!D57))=0)</f>
        <v>0</v>
      </c>
      <c r="J57">
        <f>NOT(hospitalityq!J57="")*(NOT(ISNUMBER(hospitalityq!J57+0)))</f>
        <v>0</v>
      </c>
      <c r="K57">
        <f>NOT(hospitalityq!K57="")*(NOT(ISNUMBER(hospitalityq!K57+0)))</f>
        <v>0</v>
      </c>
      <c r="P57">
        <f>NOT(hospitalityq!P57="")*(NOT(IFERROR(INT(hospitalityq!P57)=VALUE(hospitalityq!P57),FALSE)))</f>
        <v>0</v>
      </c>
      <c r="Q57">
        <f>NOT(hospitalityq!Q57="")*(NOT(IFERROR(INT(hospitalityq!Q57)=VALUE(hospitalityq!Q57),FALSE)))</f>
        <v>0</v>
      </c>
      <c r="R57">
        <f>NOT(hospitalityq!R57="")*(NOT(IFERROR(ROUND(VALUE(hospitalityq!R57),2)=VALUE(hospitalityq!R57),FALSE)))</f>
        <v>0</v>
      </c>
    </row>
    <row r="58" spans="1:18" x14ac:dyDescent="0.25">
      <c r="A58">
        <f t="shared" si="0"/>
        <v>0</v>
      </c>
      <c r="C58">
        <f>NOT(hospitalityq!C58="")*(SUMPRODUCT(--(TRIM(hospitalityq!C6:C58)=TRIM(hospitalityq!C58)))&gt;1)</f>
        <v>0</v>
      </c>
      <c r="D58">
        <f>NOT(hospitalityq!D58="")*(COUNTIF(reference!$C$17:$C$18,TRIM(hospitalityq!D58))=0)</f>
        <v>0</v>
      </c>
      <c r="J58">
        <f>NOT(hospitalityq!J58="")*(NOT(ISNUMBER(hospitalityq!J58+0)))</f>
        <v>0</v>
      </c>
      <c r="K58">
        <f>NOT(hospitalityq!K58="")*(NOT(ISNUMBER(hospitalityq!K58+0)))</f>
        <v>0</v>
      </c>
      <c r="P58">
        <f>NOT(hospitalityq!P58="")*(NOT(IFERROR(INT(hospitalityq!P58)=VALUE(hospitalityq!P58),FALSE)))</f>
        <v>0</v>
      </c>
      <c r="Q58">
        <f>NOT(hospitalityq!Q58="")*(NOT(IFERROR(INT(hospitalityq!Q58)=VALUE(hospitalityq!Q58),FALSE)))</f>
        <v>0</v>
      </c>
      <c r="R58">
        <f>NOT(hospitalityq!R58="")*(NOT(IFERROR(ROUND(VALUE(hospitalityq!R58),2)=VALUE(hospitalityq!R58),FALSE)))</f>
        <v>0</v>
      </c>
    </row>
    <row r="59" spans="1:18" x14ac:dyDescent="0.25">
      <c r="A59">
        <f t="shared" si="0"/>
        <v>0</v>
      </c>
      <c r="C59">
        <f>NOT(hospitalityq!C59="")*(SUMPRODUCT(--(TRIM(hospitalityq!C6:C59)=TRIM(hospitalityq!C59)))&gt;1)</f>
        <v>0</v>
      </c>
      <c r="D59">
        <f>NOT(hospitalityq!D59="")*(COUNTIF(reference!$C$17:$C$18,TRIM(hospitalityq!D59))=0)</f>
        <v>0</v>
      </c>
      <c r="J59">
        <f>NOT(hospitalityq!J59="")*(NOT(ISNUMBER(hospitalityq!J59+0)))</f>
        <v>0</v>
      </c>
      <c r="K59">
        <f>NOT(hospitalityq!K59="")*(NOT(ISNUMBER(hospitalityq!K59+0)))</f>
        <v>0</v>
      </c>
      <c r="P59">
        <f>NOT(hospitalityq!P59="")*(NOT(IFERROR(INT(hospitalityq!P59)=VALUE(hospitalityq!P59),FALSE)))</f>
        <v>0</v>
      </c>
      <c r="Q59">
        <f>NOT(hospitalityq!Q59="")*(NOT(IFERROR(INT(hospitalityq!Q59)=VALUE(hospitalityq!Q59),FALSE)))</f>
        <v>0</v>
      </c>
      <c r="R59">
        <f>NOT(hospitalityq!R59="")*(NOT(IFERROR(ROUND(VALUE(hospitalityq!R59),2)=VALUE(hospitalityq!R59),FALSE)))</f>
        <v>0</v>
      </c>
    </row>
    <row r="60" spans="1:18" x14ac:dyDescent="0.25">
      <c r="A60">
        <f t="shared" si="0"/>
        <v>0</v>
      </c>
      <c r="C60">
        <f>NOT(hospitalityq!C60="")*(SUMPRODUCT(--(TRIM(hospitalityq!C6:C60)=TRIM(hospitalityq!C60)))&gt;1)</f>
        <v>0</v>
      </c>
      <c r="D60">
        <f>NOT(hospitalityq!D60="")*(COUNTIF(reference!$C$17:$C$18,TRIM(hospitalityq!D60))=0)</f>
        <v>0</v>
      </c>
      <c r="J60">
        <f>NOT(hospitalityq!J60="")*(NOT(ISNUMBER(hospitalityq!J60+0)))</f>
        <v>0</v>
      </c>
      <c r="K60">
        <f>NOT(hospitalityq!K60="")*(NOT(ISNUMBER(hospitalityq!K60+0)))</f>
        <v>0</v>
      </c>
      <c r="P60">
        <f>NOT(hospitalityq!P60="")*(NOT(IFERROR(INT(hospitalityq!P60)=VALUE(hospitalityq!P60),FALSE)))</f>
        <v>0</v>
      </c>
      <c r="Q60">
        <f>NOT(hospitalityq!Q60="")*(NOT(IFERROR(INT(hospitalityq!Q60)=VALUE(hospitalityq!Q60),FALSE)))</f>
        <v>0</v>
      </c>
      <c r="R60">
        <f>NOT(hospitalityq!R60="")*(NOT(IFERROR(ROUND(VALUE(hospitalityq!R60),2)=VALUE(hospitalityq!R60),FALSE)))</f>
        <v>0</v>
      </c>
    </row>
    <row r="61" spans="1:18" x14ac:dyDescent="0.25">
      <c r="A61">
        <f t="shared" si="0"/>
        <v>0</v>
      </c>
      <c r="C61">
        <f>NOT(hospitalityq!C61="")*(SUMPRODUCT(--(TRIM(hospitalityq!C6:C61)=TRIM(hospitalityq!C61)))&gt;1)</f>
        <v>0</v>
      </c>
      <c r="D61">
        <f>NOT(hospitalityq!D61="")*(COUNTIF(reference!$C$17:$C$18,TRIM(hospitalityq!D61))=0)</f>
        <v>0</v>
      </c>
      <c r="J61">
        <f>NOT(hospitalityq!J61="")*(NOT(ISNUMBER(hospitalityq!J61+0)))</f>
        <v>0</v>
      </c>
      <c r="K61">
        <f>NOT(hospitalityq!K61="")*(NOT(ISNUMBER(hospitalityq!K61+0)))</f>
        <v>0</v>
      </c>
      <c r="P61">
        <f>NOT(hospitalityq!P61="")*(NOT(IFERROR(INT(hospitalityq!P61)=VALUE(hospitalityq!P61),FALSE)))</f>
        <v>0</v>
      </c>
      <c r="Q61">
        <f>NOT(hospitalityq!Q61="")*(NOT(IFERROR(INT(hospitalityq!Q61)=VALUE(hospitalityq!Q61),FALSE)))</f>
        <v>0</v>
      </c>
      <c r="R61">
        <f>NOT(hospitalityq!R61="")*(NOT(IFERROR(ROUND(VALUE(hospitalityq!R61),2)=VALUE(hospitalityq!R61),FALSE)))</f>
        <v>0</v>
      </c>
    </row>
    <row r="62" spans="1:18" x14ac:dyDescent="0.25">
      <c r="A62">
        <f t="shared" si="0"/>
        <v>0</v>
      </c>
      <c r="C62">
        <f>NOT(hospitalityq!C62="")*(SUMPRODUCT(--(TRIM(hospitalityq!C6:C62)=TRIM(hospitalityq!C62)))&gt;1)</f>
        <v>0</v>
      </c>
      <c r="D62">
        <f>NOT(hospitalityq!D62="")*(COUNTIF(reference!$C$17:$C$18,TRIM(hospitalityq!D62))=0)</f>
        <v>0</v>
      </c>
      <c r="J62">
        <f>NOT(hospitalityq!J62="")*(NOT(ISNUMBER(hospitalityq!J62+0)))</f>
        <v>0</v>
      </c>
      <c r="K62">
        <f>NOT(hospitalityq!K62="")*(NOT(ISNUMBER(hospitalityq!K62+0)))</f>
        <v>0</v>
      </c>
      <c r="P62">
        <f>NOT(hospitalityq!P62="")*(NOT(IFERROR(INT(hospitalityq!P62)=VALUE(hospitalityq!P62),FALSE)))</f>
        <v>0</v>
      </c>
      <c r="Q62">
        <f>NOT(hospitalityq!Q62="")*(NOT(IFERROR(INT(hospitalityq!Q62)=VALUE(hospitalityq!Q62),FALSE)))</f>
        <v>0</v>
      </c>
      <c r="R62">
        <f>NOT(hospitalityq!R62="")*(NOT(IFERROR(ROUND(VALUE(hospitalityq!R62),2)=VALUE(hospitalityq!R62),FALSE)))</f>
        <v>0</v>
      </c>
    </row>
    <row r="63" spans="1:18" x14ac:dyDescent="0.25">
      <c r="A63">
        <f t="shared" si="0"/>
        <v>0</v>
      </c>
      <c r="C63">
        <f>NOT(hospitalityq!C63="")*(SUMPRODUCT(--(TRIM(hospitalityq!C6:C63)=TRIM(hospitalityq!C63)))&gt;1)</f>
        <v>0</v>
      </c>
      <c r="D63">
        <f>NOT(hospitalityq!D63="")*(COUNTIF(reference!$C$17:$C$18,TRIM(hospitalityq!D63))=0)</f>
        <v>0</v>
      </c>
      <c r="J63">
        <f>NOT(hospitalityq!J63="")*(NOT(ISNUMBER(hospitalityq!J63+0)))</f>
        <v>0</v>
      </c>
      <c r="K63">
        <f>NOT(hospitalityq!K63="")*(NOT(ISNUMBER(hospitalityq!K63+0)))</f>
        <v>0</v>
      </c>
      <c r="P63">
        <f>NOT(hospitalityq!P63="")*(NOT(IFERROR(INT(hospitalityq!P63)=VALUE(hospitalityq!P63),FALSE)))</f>
        <v>0</v>
      </c>
      <c r="Q63">
        <f>NOT(hospitalityq!Q63="")*(NOT(IFERROR(INT(hospitalityq!Q63)=VALUE(hospitalityq!Q63),FALSE)))</f>
        <v>0</v>
      </c>
      <c r="R63">
        <f>NOT(hospitalityq!R63="")*(NOT(IFERROR(ROUND(VALUE(hospitalityq!R63),2)=VALUE(hospitalityq!R63),FALSE)))</f>
        <v>0</v>
      </c>
    </row>
    <row r="64" spans="1:18" x14ac:dyDescent="0.25">
      <c r="A64">
        <f t="shared" si="0"/>
        <v>0</v>
      </c>
      <c r="C64">
        <f>NOT(hospitalityq!C64="")*(SUMPRODUCT(--(TRIM(hospitalityq!C6:C64)=TRIM(hospitalityq!C64)))&gt;1)</f>
        <v>0</v>
      </c>
      <c r="D64">
        <f>NOT(hospitalityq!D64="")*(COUNTIF(reference!$C$17:$C$18,TRIM(hospitalityq!D64))=0)</f>
        <v>0</v>
      </c>
      <c r="J64">
        <f>NOT(hospitalityq!J64="")*(NOT(ISNUMBER(hospitalityq!J64+0)))</f>
        <v>0</v>
      </c>
      <c r="K64">
        <f>NOT(hospitalityq!K64="")*(NOT(ISNUMBER(hospitalityq!K64+0)))</f>
        <v>0</v>
      </c>
      <c r="P64">
        <f>NOT(hospitalityq!P64="")*(NOT(IFERROR(INT(hospitalityq!P64)=VALUE(hospitalityq!P64),FALSE)))</f>
        <v>0</v>
      </c>
      <c r="Q64">
        <f>NOT(hospitalityq!Q64="")*(NOT(IFERROR(INT(hospitalityq!Q64)=VALUE(hospitalityq!Q64),FALSE)))</f>
        <v>0</v>
      </c>
      <c r="R64">
        <f>NOT(hospitalityq!R64="")*(NOT(IFERROR(ROUND(VALUE(hospitalityq!R64),2)=VALUE(hospitalityq!R64),FALSE)))</f>
        <v>0</v>
      </c>
    </row>
    <row r="65" spans="1:18" x14ac:dyDescent="0.25">
      <c r="A65">
        <f t="shared" si="0"/>
        <v>0</v>
      </c>
      <c r="C65">
        <f>NOT(hospitalityq!C65="")*(SUMPRODUCT(--(TRIM(hospitalityq!C6:C65)=TRIM(hospitalityq!C65)))&gt;1)</f>
        <v>0</v>
      </c>
      <c r="D65">
        <f>NOT(hospitalityq!D65="")*(COUNTIF(reference!$C$17:$C$18,TRIM(hospitalityq!D65))=0)</f>
        <v>0</v>
      </c>
      <c r="J65">
        <f>NOT(hospitalityq!J65="")*(NOT(ISNUMBER(hospitalityq!J65+0)))</f>
        <v>0</v>
      </c>
      <c r="K65">
        <f>NOT(hospitalityq!K65="")*(NOT(ISNUMBER(hospitalityq!K65+0)))</f>
        <v>0</v>
      </c>
      <c r="P65">
        <f>NOT(hospitalityq!P65="")*(NOT(IFERROR(INT(hospitalityq!P65)=VALUE(hospitalityq!P65),FALSE)))</f>
        <v>0</v>
      </c>
      <c r="Q65">
        <f>NOT(hospitalityq!Q65="")*(NOT(IFERROR(INT(hospitalityq!Q65)=VALUE(hospitalityq!Q65),FALSE)))</f>
        <v>0</v>
      </c>
      <c r="R65">
        <f>NOT(hospitalityq!R65="")*(NOT(IFERROR(ROUND(VALUE(hospitalityq!R65),2)=VALUE(hospitalityq!R65),FALSE)))</f>
        <v>0</v>
      </c>
    </row>
    <row r="66" spans="1:18" x14ac:dyDescent="0.25">
      <c r="A66">
        <f t="shared" si="0"/>
        <v>0</v>
      </c>
      <c r="C66">
        <f>NOT(hospitalityq!C66="")*(SUMPRODUCT(--(TRIM(hospitalityq!C6:C66)=TRIM(hospitalityq!C66)))&gt;1)</f>
        <v>0</v>
      </c>
      <c r="D66">
        <f>NOT(hospitalityq!D66="")*(COUNTIF(reference!$C$17:$C$18,TRIM(hospitalityq!D66))=0)</f>
        <v>0</v>
      </c>
      <c r="J66">
        <f>NOT(hospitalityq!J66="")*(NOT(ISNUMBER(hospitalityq!J66+0)))</f>
        <v>0</v>
      </c>
      <c r="K66">
        <f>NOT(hospitalityq!K66="")*(NOT(ISNUMBER(hospitalityq!K66+0)))</f>
        <v>0</v>
      </c>
      <c r="P66">
        <f>NOT(hospitalityq!P66="")*(NOT(IFERROR(INT(hospitalityq!P66)=VALUE(hospitalityq!P66),FALSE)))</f>
        <v>0</v>
      </c>
      <c r="Q66">
        <f>NOT(hospitalityq!Q66="")*(NOT(IFERROR(INT(hospitalityq!Q66)=VALUE(hospitalityq!Q66),FALSE)))</f>
        <v>0</v>
      </c>
      <c r="R66">
        <f>NOT(hospitalityq!R66="")*(NOT(IFERROR(ROUND(VALUE(hospitalityq!R66),2)=VALUE(hospitalityq!R66),FALSE)))</f>
        <v>0</v>
      </c>
    </row>
    <row r="67" spans="1:18" x14ac:dyDescent="0.25">
      <c r="A67">
        <f t="shared" si="0"/>
        <v>0</v>
      </c>
      <c r="C67">
        <f>NOT(hospitalityq!C67="")*(SUMPRODUCT(--(TRIM(hospitalityq!C6:C67)=TRIM(hospitalityq!C67)))&gt;1)</f>
        <v>0</v>
      </c>
      <c r="D67">
        <f>NOT(hospitalityq!D67="")*(COUNTIF(reference!$C$17:$C$18,TRIM(hospitalityq!D67))=0)</f>
        <v>0</v>
      </c>
      <c r="J67">
        <f>NOT(hospitalityq!J67="")*(NOT(ISNUMBER(hospitalityq!J67+0)))</f>
        <v>0</v>
      </c>
      <c r="K67">
        <f>NOT(hospitalityq!K67="")*(NOT(ISNUMBER(hospitalityq!K67+0)))</f>
        <v>0</v>
      </c>
      <c r="P67">
        <f>NOT(hospitalityq!P67="")*(NOT(IFERROR(INT(hospitalityq!P67)=VALUE(hospitalityq!P67),FALSE)))</f>
        <v>0</v>
      </c>
      <c r="Q67">
        <f>NOT(hospitalityq!Q67="")*(NOT(IFERROR(INT(hospitalityq!Q67)=VALUE(hospitalityq!Q67),FALSE)))</f>
        <v>0</v>
      </c>
      <c r="R67">
        <f>NOT(hospitalityq!R67="")*(NOT(IFERROR(ROUND(VALUE(hospitalityq!R67),2)=VALUE(hospitalityq!R67),FALSE)))</f>
        <v>0</v>
      </c>
    </row>
    <row r="68" spans="1:18" x14ac:dyDescent="0.25">
      <c r="A68">
        <f t="shared" si="0"/>
        <v>0</v>
      </c>
      <c r="C68">
        <f>NOT(hospitalityq!C68="")*(SUMPRODUCT(--(TRIM(hospitalityq!C6:C68)=TRIM(hospitalityq!C68)))&gt;1)</f>
        <v>0</v>
      </c>
      <c r="D68">
        <f>NOT(hospitalityq!D68="")*(COUNTIF(reference!$C$17:$C$18,TRIM(hospitalityq!D68))=0)</f>
        <v>0</v>
      </c>
      <c r="J68">
        <f>NOT(hospitalityq!J68="")*(NOT(ISNUMBER(hospitalityq!J68+0)))</f>
        <v>0</v>
      </c>
      <c r="K68">
        <f>NOT(hospitalityq!K68="")*(NOT(ISNUMBER(hospitalityq!K68+0)))</f>
        <v>0</v>
      </c>
      <c r="P68">
        <f>NOT(hospitalityq!P68="")*(NOT(IFERROR(INT(hospitalityq!P68)=VALUE(hospitalityq!P68),FALSE)))</f>
        <v>0</v>
      </c>
      <c r="Q68">
        <f>NOT(hospitalityq!Q68="")*(NOT(IFERROR(INT(hospitalityq!Q68)=VALUE(hospitalityq!Q68),FALSE)))</f>
        <v>0</v>
      </c>
      <c r="R68">
        <f>NOT(hospitalityq!R68="")*(NOT(IFERROR(ROUND(VALUE(hospitalityq!R68),2)=VALUE(hospitalityq!R68),FALSE)))</f>
        <v>0</v>
      </c>
    </row>
    <row r="69" spans="1:18" x14ac:dyDescent="0.25">
      <c r="A69">
        <f t="shared" si="0"/>
        <v>0</v>
      </c>
      <c r="C69">
        <f>NOT(hospitalityq!C69="")*(SUMPRODUCT(--(TRIM(hospitalityq!C6:C69)=TRIM(hospitalityq!C69)))&gt;1)</f>
        <v>0</v>
      </c>
      <c r="D69">
        <f>NOT(hospitalityq!D69="")*(COUNTIF(reference!$C$17:$C$18,TRIM(hospitalityq!D69))=0)</f>
        <v>0</v>
      </c>
      <c r="J69">
        <f>NOT(hospitalityq!J69="")*(NOT(ISNUMBER(hospitalityq!J69+0)))</f>
        <v>0</v>
      </c>
      <c r="K69">
        <f>NOT(hospitalityq!K69="")*(NOT(ISNUMBER(hospitalityq!K69+0)))</f>
        <v>0</v>
      </c>
      <c r="P69">
        <f>NOT(hospitalityq!P69="")*(NOT(IFERROR(INT(hospitalityq!P69)=VALUE(hospitalityq!P69),FALSE)))</f>
        <v>0</v>
      </c>
      <c r="Q69">
        <f>NOT(hospitalityq!Q69="")*(NOT(IFERROR(INT(hospitalityq!Q69)=VALUE(hospitalityq!Q69),FALSE)))</f>
        <v>0</v>
      </c>
      <c r="R69">
        <f>NOT(hospitalityq!R69="")*(NOT(IFERROR(ROUND(VALUE(hospitalityq!R69),2)=VALUE(hospitalityq!R69),FALSE)))</f>
        <v>0</v>
      </c>
    </row>
    <row r="70" spans="1:18" x14ac:dyDescent="0.25">
      <c r="A70">
        <f t="shared" ref="A70:A133" si="1">IFERROR(MATCH(TRUE,INDEX(C70:R70&lt;&gt;0,),)+2,0)</f>
        <v>0</v>
      </c>
      <c r="C70">
        <f>NOT(hospitalityq!C70="")*(SUMPRODUCT(--(TRIM(hospitalityq!C6:C70)=TRIM(hospitalityq!C70)))&gt;1)</f>
        <v>0</v>
      </c>
      <c r="D70">
        <f>NOT(hospitalityq!D70="")*(COUNTIF(reference!$C$17:$C$18,TRIM(hospitalityq!D70))=0)</f>
        <v>0</v>
      </c>
      <c r="J70">
        <f>NOT(hospitalityq!J70="")*(NOT(ISNUMBER(hospitalityq!J70+0)))</f>
        <v>0</v>
      </c>
      <c r="K70">
        <f>NOT(hospitalityq!K70="")*(NOT(ISNUMBER(hospitalityq!K70+0)))</f>
        <v>0</v>
      </c>
      <c r="P70">
        <f>NOT(hospitalityq!P70="")*(NOT(IFERROR(INT(hospitalityq!P70)=VALUE(hospitalityq!P70),FALSE)))</f>
        <v>0</v>
      </c>
      <c r="Q70">
        <f>NOT(hospitalityq!Q70="")*(NOT(IFERROR(INT(hospitalityq!Q70)=VALUE(hospitalityq!Q70),FALSE)))</f>
        <v>0</v>
      </c>
      <c r="R70">
        <f>NOT(hospitalityq!R70="")*(NOT(IFERROR(ROUND(VALUE(hospitalityq!R70),2)=VALUE(hospitalityq!R70),FALSE)))</f>
        <v>0</v>
      </c>
    </row>
    <row r="71" spans="1:18" x14ac:dyDescent="0.25">
      <c r="A71">
        <f t="shared" si="1"/>
        <v>0</v>
      </c>
      <c r="C71">
        <f>NOT(hospitalityq!C71="")*(SUMPRODUCT(--(TRIM(hospitalityq!C6:C71)=TRIM(hospitalityq!C71)))&gt;1)</f>
        <v>0</v>
      </c>
      <c r="D71">
        <f>NOT(hospitalityq!D71="")*(COUNTIF(reference!$C$17:$C$18,TRIM(hospitalityq!D71))=0)</f>
        <v>0</v>
      </c>
      <c r="J71">
        <f>NOT(hospitalityq!J71="")*(NOT(ISNUMBER(hospitalityq!J71+0)))</f>
        <v>0</v>
      </c>
      <c r="K71">
        <f>NOT(hospitalityq!K71="")*(NOT(ISNUMBER(hospitalityq!K71+0)))</f>
        <v>0</v>
      </c>
      <c r="P71">
        <f>NOT(hospitalityq!P71="")*(NOT(IFERROR(INT(hospitalityq!P71)=VALUE(hospitalityq!P71),FALSE)))</f>
        <v>0</v>
      </c>
      <c r="Q71">
        <f>NOT(hospitalityq!Q71="")*(NOT(IFERROR(INT(hospitalityq!Q71)=VALUE(hospitalityq!Q71),FALSE)))</f>
        <v>0</v>
      </c>
      <c r="R71">
        <f>NOT(hospitalityq!R71="")*(NOT(IFERROR(ROUND(VALUE(hospitalityq!R71),2)=VALUE(hospitalityq!R71),FALSE)))</f>
        <v>0</v>
      </c>
    </row>
    <row r="72" spans="1:18" x14ac:dyDescent="0.25">
      <c r="A72">
        <f t="shared" si="1"/>
        <v>0</v>
      </c>
      <c r="C72">
        <f>NOT(hospitalityq!C72="")*(SUMPRODUCT(--(TRIM(hospitalityq!C6:C72)=TRIM(hospitalityq!C72)))&gt;1)</f>
        <v>0</v>
      </c>
      <c r="D72">
        <f>NOT(hospitalityq!D72="")*(COUNTIF(reference!$C$17:$C$18,TRIM(hospitalityq!D72))=0)</f>
        <v>0</v>
      </c>
      <c r="J72">
        <f>NOT(hospitalityq!J72="")*(NOT(ISNUMBER(hospitalityq!J72+0)))</f>
        <v>0</v>
      </c>
      <c r="K72">
        <f>NOT(hospitalityq!K72="")*(NOT(ISNUMBER(hospitalityq!K72+0)))</f>
        <v>0</v>
      </c>
      <c r="P72">
        <f>NOT(hospitalityq!P72="")*(NOT(IFERROR(INT(hospitalityq!P72)=VALUE(hospitalityq!P72),FALSE)))</f>
        <v>0</v>
      </c>
      <c r="Q72">
        <f>NOT(hospitalityq!Q72="")*(NOT(IFERROR(INT(hospitalityq!Q72)=VALUE(hospitalityq!Q72),FALSE)))</f>
        <v>0</v>
      </c>
      <c r="R72">
        <f>NOT(hospitalityq!R72="")*(NOT(IFERROR(ROUND(VALUE(hospitalityq!R72),2)=VALUE(hospitalityq!R72),FALSE)))</f>
        <v>0</v>
      </c>
    </row>
    <row r="73" spans="1:18" x14ac:dyDescent="0.25">
      <c r="A73">
        <f t="shared" si="1"/>
        <v>0</v>
      </c>
      <c r="C73">
        <f>NOT(hospitalityq!C73="")*(SUMPRODUCT(--(TRIM(hospitalityq!C6:C73)=TRIM(hospitalityq!C73)))&gt;1)</f>
        <v>0</v>
      </c>
      <c r="D73">
        <f>NOT(hospitalityq!D73="")*(COUNTIF(reference!$C$17:$C$18,TRIM(hospitalityq!D73))=0)</f>
        <v>0</v>
      </c>
      <c r="J73">
        <f>NOT(hospitalityq!J73="")*(NOT(ISNUMBER(hospitalityq!J73+0)))</f>
        <v>0</v>
      </c>
      <c r="K73">
        <f>NOT(hospitalityq!K73="")*(NOT(ISNUMBER(hospitalityq!K73+0)))</f>
        <v>0</v>
      </c>
      <c r="P73">
        <f>NOT(hospitalityq!P73="")*(NOT(IFERROR(INT(hospitalityq!P73)=VALUE(hospitalityq!P73),FALSE)))</f>
        <v>0</v>
      </c>
      <c r="Q73">
        <f>NOT(hospitalityq!Q73="")*(NOT(IFERROR(INT(hospitalityq!Q73)=VALUE(hospitalityq!Q73),FALSE)))</f>
        <v>0</v>
      </c>
      <c r="R73">
        <f>NOT(hospitalityq!R73="")*(NOT(IFERROR(ROUND(VALUE(hospitalityq!R73),2)=VALUE(hospitalityq!R73),FALSE)))</f>
        <v>0</v>
      </c>
    </row>
    <row r="74" spans="1:18" x14ac:dyDescent="0.25">
      <c r="A74">
        <f t="shared" si="1"/>
        <v>0</v>
      </c>
      <c r="C74">
        <f>NOT(hospitalityq!C74="")*(SUMPRODUCT(--(TRIM(hospitalityq!C6:C74)=TRIM(hospitalityq!C74)))&gt;1)</f>
        <v>0</v>
      </c>
      <c r="D74">
        <f>NOT(hospitalityq!D74="")*(COUNTIF(reference!$C$17:$C$18,TRIM(hospitalityq!D74))=0)</f>
        <v>0</v>
      </c>
      <c r="J74">
        <f>NOT(hospitalityq!J74="")*(NOT(ISNUMBER(hospitalityq!J74+0)))</f>
        <v>0</v>
      </c>
      <c r="K74">
        <f>NOT(hospitalityq!K74="")*(NOT(ISNUMBER(hospitalityq!K74+0)))</f>
        <v>0</v>
      </c>
      <c r="P74">
        <f>NOT(hospitalityq!P74="")*(NOT(IFERROR(INT(hospitalityq!P74)=VALUE(hospitalityq!P74),FALSE)))</f>
        <v>0</v>
      </c>
      <c r="Q74">
        <f>NOT(hospitalityq!Q74="")*(NOT(IFERROR(INT(hospitalityq!Q74)=VALUE(hospitalityq!Q74),FALSE)))</f>
        <v>0</v>
      </c>
      <c r="R74">
        <f>NOT(hospitalityq!R74="")*(NOT(IFERROR(ROUND(VALUE(hospitalityq!R74),2)=VALUE(hospitalityq!R74),FALSE)))</f>
        <v>0</v>
      </c>
    </row>
    <row r="75" spans="1:18" x14ac:dyDescent="0.25">
      <c r="A75">
        <f t="shared" si="1"/>
        <v>0</v>
      </c>
      <c r="C75">
        <f>NOT(hospitalityq!C75="")*(SUMPRODUCT(--(TRIM(hospitalityq!C6:C75)=TRIM(hospitalityq!C75)))&gt;1)</f>
        <v>0</v>
      </c>
      <c r="D75">
        <f>NOT(hospitalityq!D75="")*(COUNTIF(reference!$C$17:$C$18,TRIM(hospitalityq!D75))=0)</f>
        <v>0</v>
      </c>
      <c r="J75">
        <f>NOT(hospitalityq!J75="")*(NOT(ISNUMBER(hospitalityq!J75+0)))</f>
        <v>0</v>
      </c>
      <c r="K75">
        <f>NOT(hospitalityq!K75="")*(NOT(ISNUMBER(hospitalityq!K75+0)))</f>
        <v>0</v>
      </c>
      <c r="P75">
        <f>NOT(hospitalityq!P75="")*(NOT(IFERROR(INT(hospitalityq!P75)=VALUE(hospitalityq!P75),FALSE)))</f>
        <v>0</v>
      </c>
      <c r="Q75">
        <f>NOT(hospitalityq!Q75="")*(NOT(IFERROR(INT(hospitalityq!Q75)=VALUE(hospitalityq!Q75),FALSE)))</f>
        <v>0</v>
      </c>
      <c r="R75">
        <f>NOT(hospitalityq!R75="")*(NOT(IFERROR(ROUND(VALUE(hospitalityq!R75),2)=VALUE(hospitalityq!R75),FALSE)))</f>
        <v>0</v>
      </c>
    </row>
    <row r="76" spans="1:18" x14ac:dyDescent="0.25">
      <c r="A76">
        <f t="shared" si="1"/>
        <v>0</v>
      </c>
      <c r="C76">
        <f>NOT(hospitalityq!C76="")*(SUMPRODUCT(--(TRIM(hospitalityq!C6:C76)=TRIM(hospitalityq!C76)))&gt;1)</f>
        <v>0</v>
      </c>
      <c r="D76">
        <f>NOT(hospitalityq!D76="")*(COUNTIF(reference!$C$17:$C$18,TRIM(hospitalityq!D76))=0)</f>
        <v>0</v>
      </c>
      <c r="J76">
        <f>NOT(hospitalityq!J76="")*(NOT(ISNUMBER(hospitalityq!J76+0)))</f>
        <v>0</v>
      </c>
      <c r="K76">
        <f>NOT(hospitalityq!K76="")*(NOT(ISNUMBER(hospitalityq!K76+0)))</f>
        <v>0</v>
      </c>
      <c r="P76">
        <f>NOT(hospitalityq!P76="")*(NOT(IFERROR(INT(hospitalityq!P76)=VALUE(hospitalityq!P76),FALSE)))</f>
        <v>0</v>
      </c>
      <c r="Q76">
        <f>NOT(hospitalityq!Q76="")*(NOT(IFERROR(INT(hospitalityq!Q76)=VALUE(hospitalityq!Q76),FALSE)))</f>
        <v>0</v>
      </c>
      <c r="R76">
        <f>NOT(hospitalityq!R76="")*(NOT(IFERROR(ROUND(VALUE(hospitalityq!R76),2)=VALUE(hospitalityq!R76),FALSE)))</f>
        <v>0</v>
      </c>
    </row>
    <row r="77" spans="1:18" x14ac:dyDescent="0.25">
      <c r="A77">
        <f t="shared" si="1"/>
        <v>0</v>
      </c>
      <c r="C77">
        <f>NOT(hospitalityq!C77="")*(SUMPRODUCT(--(TRIM(hospitalityq!C6:C77)=TRIM(hospitalityq!C77)))&gt;1)</f>
        <v>0</v>
      </c>
      <c r="D77">
        <f>NOT(hospitalityq!D77="")*(COUNTIF(reference!$C$17:$C$18,TRIM(hospitalityq!D77))=0)</f>
        <v>0</v>
      </c>
      <c r="J77">
        <f>NOT(hospitalityq!J77="")*(NOT(ISNUMBER(hospitalityq!J77+0)))</f>
        <v>0</v>
      </c>
      <c r="K77">
        <f>NOT(hospitalityq!K77="")*(NOT(ISNUMBER(hospitalityq!K77+0)))</f>
        <v>0</v>
      </c>
      <c r="P77">
        <f>NOT(hospitalityq!P77="")*(NOT(IFERROR(INT(hospitalityq!P77)=VALUE(hospitalityq!P77),FALSE)))</f>
        <v>0</v>
      </c>
      <c r="Q77">
        <f>NOT(hospitalityq!Q77="")*(NOT(IFERROR(INT(hospitalityq!Q77)=VALUE(hospitalityq!Q77),FALSE)))</f>
        <v>0</v>
      </c>
      <c r="R77">
        <f>NOT(hospitalityq!R77="")*(NOT(IFERROR(ROUND(VALUE(hospitalityq!R77),2)=VALUE(hospitalityq!R77),FALSE)))</f>
        <v>0</v>
      </c>
    </row>
    <row r="78" spans="1:18" x14ac:dyDescent="0.25">
      <c r="A78">
        <f t="shared" si="1"/>
        <v>0</v>
      </c>
      <c r="C78">
        <f>NOT(hospitalityq!C78="")*(SUMPRODUCT(--(TRIM(hospitalityq!C6:C78)=TRIM(hospitalityq!C78)))&gt;1)</f>
        <v>0</v>
      </c>
      <c r="D78">
        <f>NOT(hospitalityq!D78="")*(COUNTIF(reference!$C$17:$C$18,TRIM(hospitalityq!D78))=0)</f>
        <v>0</v>
      </c>
      <c r="J78">
        <f>NOT(hospitalityq!J78="")*(NOT(ISNUMBER(hospitalityq!J78+0)))</f>
        <v>0</v>
      </c>
      <c r="K78">
        <f>NOT(hospitalityq!K78="")*(NOT(ISNUMBER(hospitalityq!K78+0)))</f>
        <v>0</v>
      </c>
      <c r="P78">
        <f>NOT(hospitalityq!P78="")*(NOT(IFERROR(INT(hospitalityq!P78)=VALUE(hospitalityq!P78),FALSE)))</f>
        <v>0</v>
      </c>
      <c r="Q78">
        <f>NOT(hospitalityq!Q78="")*(NOT(IFERROR(INT(hospitalityq!Q78)=VALUE(hospitalityq!Q78),FALSE)))</f>
        <v>0</v>
      </c>
      <c r="R78">
        <f>NOT(hospitalityq!R78="")*(NOT(IFERROR(ROUND(VALUE(hospitalityq!R78),2)=VALUE(hospitalityq!R78),FALSE)))</f>
        <v>0</v>
      </c>
    </row>
    <row r="79" spans="1:18" x14ac:dyDescent="0.25">
      <c r="A79">
        <f t="shared" si="1"/>
        <v>0</v>
      </c>
      <c r="C79">
        <f>NOT(hospitalityq!C79="")*(SUMPRODUCT(--(TRIM(hospitalityq!C6:C79)=TRIM(hospitalityq!C79)))&gt;1)</f>
        <v>0</v>
      </c>
      <c r="D79">
        <f>NOT(hospitalityq!D79="")*(COUNTIF(reference!$C$17:$C$18,TRIM(hospitalityq!D79))=0)</f>
        <v>0</v>
      </c>
      <c r="J79">
        <f>NOT(hospitalityq!J79="")*(NOT(ISNUMBER(hospitalityq!J79+0)))</f>
        <v>0</v>
      </c>
      <c r="K79">
        <f>NOT(hospitalityq!K79="")*(NOT(ISNUMBER(hospitalityq!K79+0)))</f>
        <v>0</v>
      </c>
      <c r="P79">
        <f>NOT(hospitalityq!P79="")*(NOT(IFERROR(INT(hospitalityq!P79)=VALUE(hospitalityq!P79),FALSE)))</f>
        <v>0</v>
      </c>
      <c r="Q79">
        <f>NOT(hospitalityq!Q79="")*(NOT(IFERROR(INT(hospitalityq!Q79)=VALUE(hospitalityq!Q79),FALSE)))</f>
        <v>0</v>
      </c>
      <c r="R79">
        <f>NOT(hospitalityq!R79="")*(NOT(IFERROR(ROUND(VALUE(hospitalityq!R79),2)=VALUE(hospitalityq!R79),FALSE)))</f>
        <v>0</v>
      </c>
    </row>
    <row r="80" spans="1:18" x14ac:dyDescent="0.25">
      <c r="A80">
        <f t="shared" si="1"/>
        <v>0</v>
      </c>
      <c r="C80">
        <f>NOT(hospitalityq!C80="")*(SUMPRODUCT(--(TRIM(hospitalityq!C6:C80)=TRIM(hospitalityq!C80)))&gt;1)</f>
        <v>0</v>
      </c>
      <c r="D80">
        <f>NOT(hospitalityq!D80="")*(COUNTIF(reference!$C$17:$C$18,TRIM(hospitalityq!D80))=0)</f>
        <v>0</v>
      </c>
      <c r="J80">
        <f>NOT(hospitalityq!J80="")*(NOT(ISNUMBER(hospitalityq!J80+0)))</f>
        <v>0</v>
      </c>
      <c r="K80">
        <f>NOT(hospitalityq!K80="")*(NOT(ISNUMBER(hospitalityq!K80+0)))</f>
        <v>0</v>
      </c>
      <c r="P80">
        <f>NOT(hospitalityq!P80="")*(NOT(IFERROR(INT(hospitalityq!P80)=VALUE(hospitalityq!P80),FALSE)))</f>
        <v>0</v>
      </c>
      <c r="Q80">
        <f>NOT(hospitalityq!Q80="")*(NOT(IFERROR(INT(hospitalityq!Q80)=VALUE(hospitalityq!Q80),FALSE)))</f>
        <v>0</v>
      </c>
      <c r="R80">
        <f>NOT(hospitalityq!R80="")*(NOT(IFERROR(ROUND(VALUE(hospitalityq!R80),2)=VALUE(hospitalityq!R80),FALSE)))</f>
        <v>0</v>
      </c>
    </row>
    <row r="81" spans="1:18" x14ac:dyDescent="0.25">
      <c r="A81">
        <f t="shared" si="1"/>
        <v>0</v>
      </c>
      <c r="C81">
        <f>NOT(hospitalityq!C81="")*(SUMPRODUCT(--(TRIM(hospitalityq!C6:C81)=TRIM(hospitalityq!C81)))&gt;1)</f>
        <v>0</v>
      </c>
      <c r="D81">
        <f>NOT(hospitalityq!D81="")*(COUNTIF(reference!$C$17:$C$18,TRIM(hospitalityq!D81))=0)</f>
        <v>0</v>
      </c>
      <c r="J81">
        <f>NOT(hospitalityq!J81="")*(NOT(ISNUMBER(hospitalityq!J81+0)))</f>
        <v>0</v>
      </c>
      <c r="K81">
        <f>NOT(hospitalityq!K81="")*(NOT(ISNUMBER(hospitalityq!K81+0)))</f>
        <v>0</v>
      </c>
      <c r="P81">
        <f>NOT(hospitalityq!P81="")*(NOT(IFERROR(INT(hospitalityq!P81)=VALUE(hospitalityq!P81),FALSE)))</f>
        <v>0</v>
      </c>
      <c r="Q81">
        <f>NOT(hospitalityq!Q81="")*(NOT(IFERROR(INT(hospitalityq!Q81)=VALUE(hospitalityq!Q81),FALSE)))</f>
        <v>0</v>
      </c>
      <c r="R81">
        <f>NOT(hospitalityq!R81="")*(NOT(IFERROR(ROUND(VALUE(hospitalityq!R81),2)=VALUE(hospitalityq!R81),FALSE)))</f>
        <v>0</v>
      </c>
    </row>
    <row r="82" spans="1:18" x14ac:dyDescent="0.25">
      <c r="A82">
        <f t="shared" si="1"/>
        <v>0</v>
      </c>
      <c r="C82">
        <f>NOT(hospitalityq!C82="")*(SUMPRODUCT(--(TRIM(hospitalityq!C6:C82)=TRIM(hospitalityq!C82)))&gt;1)</f>
        <v>0</v>
      </c>
      <c r="D82">
        <f>NOT(hospitalityq!D82="")*(COUNTIF(reference!$C$17:$C$18,TRIM(hospitalityq!D82))=0)</f>
        <v>0</v>
      </c>
      <c r="J82">
        <f>NOT(hospitalityq!J82="")*(NOT(ISNUMBER(hospitalityq!J82+0)))</f>
        <v>0</v>
      </c>
      <c r="K82">
        <f>NOT(hospitalityq!K82="")*(NOT(ISNUMBER(hospitalityq!K82+0)))</f>
        <v>0</v>
      </c>
      <c r="P82">
        <f>NOT(hospitalityq!P82="")*(NOT(IFERROR(INT(hospitalityq!P82)=VALUE(hospitalityq!P82),FALSE)))</f>
        <v>0</v>
      </c>
      <c r="Q82">
        <f>NOT(hospitalityq!Q82="")*(NOT(IFERROR(INT(hospitalityq!Q82)=VALUE(hospitalityq!Q82),FALSE)))</f>
        <v>0</v>
      </c>
      <c r="R82">
        <f>NOT(hospitalityq!R82="")*(NOT(IFERROR(ROUND(VALUE(hospitalityq!R82),2)=VALUE(hospitalityq!R82),FALSE)))</f>
        <v>0</v>
      </c>
    </row>
    <row r="83" spans="1:18" x14ac:dyDescent="0.25">
      <c r="A83">
        <f t="shared" si="1"/>
        <v>0</v>
      </c>
      <c r="C83">
        <f>NOT(hospitalityq!C83="")*(SUMPRODUCT(--(TRIM(hospitalityq!C6:C83)=TRIM(hospitalityq!C83)))&gt;1)</f>
        <v>0</v>
      </c>
      <c r="D83">
        <f>NOT(hospitalityq!D83="")*(COUNTIF(reference!$C$17:$C$18,TRIM(hospitalityq!D83))=0)</f>
        <v>0</v>
      </c>
      <c r="J83">
        <f>NOT(hospitalityq!J83="")*(NOT(ISNUMBER(hospitalityq!J83+0)))</f>
        <v>0</v>
      </c>
      <c r="K83">
        <f>NOT(hospitalityq!K83="")*(NOT(ISNUMBER(hospitalityq!K83+0)))</f>
        <v>0</v>
      </c>
      <c r="P83">
        <f>NOT(hospitalityq!P83="")*(NOT(IFERROR(INT(hospitalityq!P83)=VALUE(hospitalityq!P83),FALSE)))</f>
        <v>0</v>
      </c>
      <c r="Q83">
        <f>NOT(hospitalityq!Q83="")*(NOT(IFERROR(INT(hospitalityq!Q83)=VALUE(hospitalityq!Q83),FALSE)))</f>
        <v>0</v>
      </c>
      <c r="R83">
        <f>NOT(hospitalityq!R83="")*(NOT(IFERROR(ROUND(VALUE(hospitalityq!R83),2)=VALUE(hospitalityq!R83),FALSE)))</f>
        <v>0</v>
      </c>
    </row>
    <row r="84" spans="1:18" x14ac:dyDescent="0.25">
      <c r="A84">
        <f t="shared" si="1"/>
        <v>0</v>
      </c>
      <c r="C84">
        <f>NOT(hospitalityq!C84="")*(SUMPRODUCT(--(TRIM(hospitalityq!C6:C84)=TRIM(hospitalityq!C84)))&gt;1)</f>
        <v>0</v>
      </c>
      <c r="D84">
        <f>NOT(hospitalityq!D84="")*(COUNTIF(reference!$C$17:$C$18,TRIM(hospitalityq!D84))=0)</f>
        <v>0</v>
      </c>
      <c r="J84">
        <f>NOT(hospitalityq!J84="")*(NOT(ISNUMBER(hospitalityq!J84+0)))</f>
        <v>0</v>
      </c>
      <c r="K84">
        <f>NOT(hospitalityq!K84="")*(NOT(ISNUMBER(hospitalityq!K84+0)))</f>
        <v>0</v>
      </c>
      <c r="P84">
        <f>NOT(hospitalityq!P84="")*(NOT(IFERROR(INT(hospitalityq!P84)=VALUE(hospitalityq!P84),FALSE)))</f>
        <v>0</v>
      </c>
      <c r="Q84">
        <f>NOT(hospitalityq!Q84="")*(NOT(IFERROR(INT(hospitalityq!Q84)=VALUE(hospitalityq!Q84),FALSE)))</f>
        <v>0</v>
      </c>
      <c r="R84">
        <f>NOT(hospitalityq!R84="")*(NOT(IFERROR(ROUND(VALUE(hospitalityq!R84),2)=VALUE(hospitalityq!R84),FALSE)))</f>
        <v>0</v>
      </c>
    </row>
    <row r="85" spans="1:18" x14ac:dyDescent="0.25">
      <c r="A85">
        <f t="shared" si="1"/>
        <v>0</v>
      </c>
      <c r="C85">
        <f>NOT(hospitalityq!C85="")*(SUMPRODUCT(--(TRIM(hospitalityq!C6:C85)=TRIM(hospitalityq!C85)))&gt;1)</f>
        <v>0</v>
      </c>
      <c r="D85">
        <f>NOT(hospitalityq!D85="")*(COUNTIF(reference!$C$17:$C$18,TRIM(hospitalityq!D85))=0)</f>
        <v>0</v>
      </c>
      <c r="J85">
        <f>NOT(hospitalityq!J85="")*(NOT(ISNUMBER(hospitalityq!J85+0)))</f>
        <v>0</v>
      </c>
      <c r="K85">
        <f>NOT(hospitalityq!K85="")*(NOT(ISNUMBER(hospitalityq!K85+0)))</f>
        <v>0</v>
      </c>
      <c r="P85">
        <f>NOT(hospitalityq!P85="")*(NOT(IFERROR(INT(hospitalityq!P85)=VALUE(hospitalityq!P85),FALSE)))</f>
        <v>0</v>
      </c>
      <c r="Q85">
        <f>NOT(hospitalityq!Q85="")*(NOT(IFERROR(INT(hospitalityq!Q85)=VALUE(hospitalityq!Q85),FALSE)))</f>
        <v>0</v>
      </c>
      <c r="R85">
        <f>NOT(hospitalityq!R85="")*(NOT(IFERROR(ROUND(VALUE(hospitalityq!R85),2)=VALUE(hospitalityq!R85),FALSE)))</f>
        <v>0</v>
      </c>
    </row>
    <row r="86" spans="1:18" x14ac:dyDescent="0.25">
      <c r="A86">
        <f t="shared" si="1"/>
        <v>0</v>
      </c>
      <c r="C86">
        <f>NOT(hospitalityq!C86="")*(SUMPRODUCT(--(TRIM(hospitalityq!C6:C86)=TRIM(hospitalityq!C86)))&gt;1)</f>
        <v>0</v>
      </c>
      <c r="D86">
        <f>NOT(hospitalityq!D86="")*(COUNTIF(reference!$C$17:$C$18,TRIM(hospitalityq!D86))=0)</f>
        <v>0</v>
      </c>
      <c r="J86">
        <f>NOT(hospitalityq!J86="")*(NOT(ISNUMBER(hospitalityq!J86+0)))</f>
        <v>0</v>
      </c>
      <c r="K86">
        <f>NOT(hospitalityq!K86="")*(NOT(ISNUMBER(hospitalityq!K86+0)))</f>
        <v>0</v>
      </c>
      <c r="P86">
        <f>NOT(hospitalityq!P86="")*(NOT(IFERROR(INT(hospitalityq!P86)=VALUE(hospitalityq!P86),FALSE)))</f>
        <v>0</v>
      </c>
      <c r="Q86">
        <f>NOT(hospitalityq!Q86="")*(NOT(IFERROR(INT(hospitalityq!Q86)=VALUE(hospitalityq!Q86),FALSE)))</f>
        <v>0</v>
      </c>
      <c r="R86">
        <f>NOT(hospitalityq!R86="")*(NOT(IFERROR(ROUND(VALUE(hospitalityq!R86),2)=VALUE(hospitalityq!R86),FALSE)))</f>
        <v>0</v>
      </c>
    </row>
    <row r="87" spans="1:18" x14ac:dyDescent="0.25">
      <c r="A87">
        <f t="shared" si="1"/>
        <v>0</v>
      </c>
      <c r="C87">
        <f>NOT(hospitalityq!C87="")*(SUMPRODUCT(--(TRIM(hospitalityq!C6:C87)=TRIM(hospitalityq!C87)))&gt;1)</f>
        <v>0</v>
      </c>
      <c r="D87">
        <f>NOT(hospitalityq!D87="")*(COUNTIF(reference!$C$17:$C$18,TRIM(hospitalityq!D87))=0)</f>
        <v>0</v>
      </c>
      <c r="J87">
        <f>NOT(hospitalityq!J87="")*(NOT(ISNUMBER(hospitalityq!J87+0)))</f>
        <v>0</v>
      </c>
      <c r="K87">
        <f>NOT(hospitalityq!K87="")*(NOT(ISNUMBER(hospitalityq!K87+0)))</f>
        <v>0</v>
      </c>
      <c r="P87">
        <f>NOT(hospitalityq!P87="")*(NOT(IFERROR(INT(hospitalityq!P87)=VALUE(hospitalityq!P87),FALSE)))</f>
        <v>0</v>
      </c>
      <c r="Q87">
        <f>NOT(hospitalityq!Q87="")*(NOT(IFERROR(INT(hospitalityq!Q87)=VALUE(hospitalityq!Q87),FALSE)))</f>
        <v>0</v>
      </c>
      <c r="R87">
        <f>NOT(hospitalityq!R87="")*(NOT(IFERROR(ROUND(VALUE(hospitalityq!R87),2)=VALUE(hospitalityq!R87),FALSE)))</f>
        <v>0</v>
      </c>
    </row>
    <row r="88" spans="1:18" x14ac:dyDescent="0.25">
      <c r="A88">
        <f t="shared" si="1"/>
        <v>0</v>
      </c>
      <c r="C88">
        <f>NOT(hospitalityq!C88="")*(SUMPRODUCT(--(TRIM(hospitalityq!C6:C88)=TRIM(hospitalityq!C88)))&gt;1)</f>
        <v>0</v>
      </c>
      <c r="D88">
        <f>NOT(hospitalityq!D88="")*(COUNTIF(reference!$C$17:$C$18,TRIM(hospitalityq!D88))=0)</f>
        <v>0</v>
      </c>
      <c r="J88">
        <f>NOT(hospitalityq!J88="")*(NOT(ISNUMBER(hospitalityq!J88+0)))</f>
        <v>0</v>
      </c>
      <c r="K88">
        <f>NOT(hospitalityq!K88="")*(NOT(ISNUMBER(hospitalityq!K88+0)))</f>
        <v>0</v>
      </c>
      <c r="P88">
        <f>NOT(hospitalityq!P88="")*(NOT(IFERROR(INT(hospitalityq!P88)=VALUE(hospitalityq!P88),FALSE)))</f>
        <v>0</v>
      </c>
      <c r="Q88">
        <f>NOT(hospitalityq!Q88="")*(NOT(IFERROR(INT(hospitalityq!Q88)=VALUE(hospitalityq!Q88),FALSE)))</f>
        <v>0</v>
      </c>
      <c r="R88">
        <f>NOT(hospitalityq!R88="")*(NOT(IFERROR(ROUND(VALUE(hospitalityq!R88),2)=VALUE(hospitalityq!R88),FALSE)))</f>
        <v>0</v>
      </c>
    </row>
    <row r="89" spans="1:18" x14ac:dyDescent="0.25">
      <c r="A89">
        <f t="shared" si="1"/>
        <v>0</v>
      </c>
      <c r="C89">
        <f>NOT(hospitalityq!C89="")*(SUMPRODUCT(--(TRIM(hospitalityq!C6:C89)=TRIM(hospitalityq!C89)))&gt;1)</f>
        <v>0</v>
      </c>
      <c r="D89">
        <f>NOT(hospitalityq!D89="")*(COUNTIF(reference!$C$17:$C$18,TRIM(hospitalityq!D89))=0)</f>
        <v>0</v>
      </c>
      <c r="J89">
        <f>NOT(hospitalityq!J89="")*(NOT(ISNUMBER(hospitalityq!J89+0)))</f>
        <v>0</v>
      </c>
      <c r="K89">
        <f>NOT(hospitalityq!K89="")*(NOT(ISNUMBER(hospitalityq!K89+0)))</f>
        <v>0</v>
      </c>
      <c r="P89">
        <f>NOT(hospitalityq!P89="")*(NOT(IFERROR(INT(hospitalityq!P89)=VALUE(hospitalityq!P89),FALSE)))</f>
        <v>0</v>
      </c>
      <c r="Q89">
        <f>NOT(hospitalityq!Q89="")*(NOT(IFERROR(INT(hospitalityq!Q89)=VALUE(hospitalityq!Q89),FALSE)))</f>
        <v>0</v>
      </c>
      <c r="R89">
        <f>NOT(hospitalityq!R89="")*(NOT(IFERROR(ROUND(VALUE(hospitalityq!R89),2)=VALUE(hospitalityq!R89),FALSE)))</f>
        <v>0</v>
      </c>
    </row>
    <row r="90" spans="1:18" x14ac:dyDescent="0.25">
      <c r="A90">
        <f t="shared" si="1"/>
        <v>0</v>
      </c>
      <c r="C90">
        <f>NOT(hospitalityq!C90="")*(SUMPRODUCT(--(TRIM(hospitalityq!C6:C90)=TRIM(hospitalityq!C90)))&gt;1)</f>
        <v>0</v>
      </c>
      <c r="D90">
        <f>NOT(hospitalityq!D90="")*(COUNTIF(reference!$C$17:$C$18,TRIM(hospitalityq!D90))=0)</f>
        <v>0</v>
      </c>
      <c r="J90">
        <f>NOT(hospitalityq!J90="")*(NOT(ISNUMBER(hospitalityq!J90+0)))</f>
        <v>0</v>
      </c>
      <c r="K90">
        <f>NOT(hospitalityq!K90="")*(NOT(ISNUMBER(hospitalityq!K90+0)))</f>
        <v>0</v>
      </c>
      <c r="P90">
        <f>NOT(hospitalityq!P90="")*(NOT(IFERROR(INT(hospitalityq!P90)=VALUE(hospitalityq!P90),FALSE)))</f>
        <v>0</v>
      </c>
      <c r="Q90">
        <f>NOT(hospitalityq!Q90="")*(NOT(IFERROR(INT(hospitalityq!Q90)=VALUE(hospitalityq!Q90),FALSE)))</f>
        <v>0</v>
      </c>
      <c r="R90">
        <f>NOT(hospitalityq!R90="")*(NOT(IFERROR(ROUND(VALUE(hospitalityq!R90),2)=VALUE(hospitalityq!R90),FALSE)))</f>
        <v>0</v>
      </c>
    </row>
    <row r="91" spans="1:18" x14ac:dyDescent="0.25">
      <c r="A91">
        <f t="shared" si="1"/>
        <v>0</v>
      </c>
      <c r="C91">
        <f>NOT(hospitalityq!C91="")*(SUMPRODUCT(--(TRIM(hospitalityq!C6:C91)=TRIM(hospitalityq!C91)))&gt;1)</f>
        <v>0</v>
      </c>
      <c r="D91">
        <f>NOT(hospitalityq!D91="")*(COUNTIF(reference!$C$17:$C$18,TRIM(hospitalityq!D91))=0)</f>
        <v>0</v>
      </c>
      <c r="J91">
        <f>NOT(hospitalityq!J91="")*(NOT(ISNUMBER(hospitalityq!J91+0)))</f>
        <v>0</v>
      </c>
      <c r="K91">
        <f>NOT(hospitalityq!K91="")*(NOT(ISNUMBER(hospitalityq!K91+0)))</f>
        <v>0</v>
      </c>
      <c r="P91">
        <f>NOT(hospitalityq!P91="")*(NOT(IFERROR(INT(hospitalityq!P91)=VALUE(hospitalityq!P91),FALSE)))</f>
        <v>0</v>
      </c>
      <c r="Q91">
        <f>NOT(hospitalityq!Q91="")*(NOT(IFERROR(INT(hospitalityq!Q91)=VALUE(hospitalityq!Q91),FALSE)))</f>
        <v>0</v>
      </c>
      <c r="R91">
        <f>NOT(hospitalityq!R91="")*(NOT(IFERROR(ROUND(VALUE(hospitalityq!R91),2)=VALUE(hospitalityq!R91),FALSE)))</f>
        <v>0</v>
      </c>
    </row>
    <row r="92" spans="1:18" x14ac:dyDescent="0.25">
      <c r="A92">
        <f t="shared" si="1"/>
        <v>0</v>
      </c>
      <c r="C92">
        <f>NOT(hospitalityq!C92="")*(SUMPRODUCT(--(TRIM(hospitalityq!C6:C92)=TRIM(hospitalityq!C92)))&gt;1)</f>
        <v>0</v>
      </c>
      <c r="D92">
        <f>NOT(hospitalityq!D92="")*(COUNTIF(reference!$C$17:$C$18,TRIM(hospitalityq!D92))=0)</f>
        <v>0</v>
      </c>
      <c r="J92">
        <f>NOT(hospitalityq!J92="")*(NOT(ISNUMBER(hospitalityq!J92+0)))</f>
        <v>0</v>
      </c>
      <c r="K92">
        <f>NOT(hospitalityq!K92="")*(NOT(ISNUMBER(hospitalityq!K92+0)))</f>
        <v>0</v>
      </c>
      <c r="P92">
        <f>NOT(hospitalityq!P92="")*(NOT(IFERROR(INT(hospitalityq!P92)=VALUE(hospitalityq!P92),FALSE)))</f>
        <v>0</v>
      </c>
      <c r="Q92">
        <f>NOT(hospitalityq!Q92="")*(NOT(IFERROR(INT(hospitalityq!Q92)=VALUE(hospitalityq!Q92),FALSE)))</f>
        <v>0</v>
      </c>
      <c r="R92">
        <f>NOT(hospitalityq!R92="")*(NOT(IFERROR(ROUND(VALUE(hospitalityq!R92),2)=VALUE(hospitalityq!R92),FALSE)))</f>
        <v>0</v>
      </c>
    </row>
    <row r="93" spans="1:18" x14ac:dyDescent="0.25">
      <c r="A93">
        <f t="shared" si="1"/>
        <v>0</v>
      </c>
      <c r="C93">
        <f>NOT(hospitalityq!C93="")*(SUMPRODUCT(--(TRIM(hospitalityq!C6:C93)=TRIM(hospitalityq!C93)))&gt;1)</f>
        <v>0</v>
      </c>
      <c r="D93">
        <f>NOT(hospitalityq!D93="")*(COUNTIF(reference!$C$17:$C$18,TRIM(hospitalityq!D93))=0)</f>
        <v>0</v>
      </c>
      <c r="J93">
        <f>NOT(hospitalityq!J93="")*(NOT(ISNUMBER(hospitalityq!J93+0)))</f>
        <v>0</v>
      </c>
      <c r="K93">
        <f>NOT(hospitalityq!K93="")*(NOT(ISNUMBER(hospitalityq!K93+0)))</f>
        <v>0</v>
      </c>
      <c r="P93">
        <f>NOT(hospitalityq!P93="")*(NOT(IFERROR(INT(hospitalityq!P93)=VALUE(hospitalityq!P93),FALSE)))</f>
        <v>0</v>
      </c>
      <c r="Q93">
        <f>NOT(hospitalityq!Q93="")*(NOT(IFERROR(INT(hospitalityq!Q93)=VALUE(hospitalityq!Q93),FALSE)))</f>
        <v>0</v>
      </c>
      <c r="R93">
        <f>NOT(hospitalityq!R93="")*(NOT(IFERROR(ROUND(VALUE(hospitalityq!R93),2)=VALUE(hospitalityq!R93),FALSE)))</f>
        <v>0</v>
      </c>
    </row>
    <row r="94" spans="1:18" x14ac:dyDescent="0.25">
      <c r="A94">
        <f t="shared" si="1"/>
        <v>0</v>
      </c>
      <c r="C94">
        <f>NOT(hospitalityq!C94="")*(SUMPRODUCT(--(TRIM(hospitalityq!C6:C94)=TRIM(hospitalityq!C94)))&gt;1)</f>
        <v>0</v>
      </c>
      <c r="D94">
        <f>NOT(hospitalityq!D94="")*(COUNTIF(reference!$C$17:$C$18,TRIM(hospitalityq!D94))=0)</f>
        <v>0</v>
      </c>
      <c r="J94">
        <f>NOT(hospitalityq!J94="")*(NOT(ISNUMBER(hospitalityq!J94+0)))</f>
        <v>0</v>
      </c>
      <c r="K94">
        <f>NOT(hospitalityq!K94="")*(NOT(ISNUMBER(hospitalityq!K94+0)))</f>
        <v>0</v>
      </c>
      <c r="P94">
        <f>NOT(hospitalityq!P94="")*(NOT(IFERROR(INT(hospitalityq!P94)=VALUE(hospitalityq!P94),FALSE)))</f>
        <v>0</v>
      </c>
      <c r="Q94">
        <f>NOT(hospitalityq!Q94="")*(NOT(IFERROR(INT(hospitalityq!Q94)=VALUE(hospitalityq!Q94),FALSE)))</f>
        <v>0</v>
      </c>
      <c r="R94">
        <f>NOT(hospitalityq!R94="")*(NOT(IFERROR(ROUND(VALUE(hospitalityq!R94),2)=VALUE(hospitalityq!R94),FALSE)))</f>
        <v>0</v>
      </c>
    </row>
    <row r="95" spans="1:18" x14ac:dyDescent="0.25">
      <c r="A95">
        <f t="shared" si="1"/>
        <v>0</v>
      </c>
      <c r="C95">
        <f>NOT(hospitalityq!C95="")*(SUMPRODUCT(--(TRIM(hospitalityq!C6:C95)=TRIM(hospitalityq!C95)))&gt;1)</f>
        <v>0</v>
      </c>
      <c r="D95">
        <f>NOT(hospitalityq!D95="")*(COUNTIF(reference!$C$17:$C$18,TRIM(hospitalityq!D95))=0)</f>
        <v>0</v>
      </c>
      <c r="J95">
        <f>NOT(hospitalityq!J95="")*(NOT(ISNUMBER(hospitalityq!J95+0)))</f>
        <v>0</v>
      </c>
      <c r="K95">
        <f>NOT(hospitalityq!K95="")*(NOT(ISNUMBER(hospitalityq!K95+0)))</f>
        <v>0</v>
      </c>
      <c r="P95">
        <f>NOT(hospitalityq!P95="")*(NOT(IFERROR(INT(hospitalityq!P95)=VALUE(hospitalityq!P95),FALSE)))</f>
        <v>0</v>
      </c>
      <c r="Q95">
        <f>NOT(hospitalityq!Q95="")*(NOT(IFERROR(INT(hospitalityq!Q95)=VALUE(hospitalityq!Q95),FALSE)))</f>
        <v>0</v>
      </c>
      <c r="R95">
        <f>NOT(hospitalityq!R95="")*(NOT(IFERROR(ROUND(VALUE(hospitalityq!R95),2)=VALUE(hospitalityq!R95),FALSE)))</f>
        <v>0</v>
      </c>
    </row>
    <row r="96" spans="1:18" x14ac:dyDescent="0.25">
      <c r="A96">
        <f t="shared" si="1"/>
        <v>0</v>
      </c>
      <c r="C96">
        <f>NOT(hospitalityq!C96="")*(SUMPRODUCT(--(TRIM(hospitalityq!C6:C96)=TRIM(hospitalityq!C96)))&gt;1)</f>
        <v>0</v>
      </c>
      <c r="D96">
        <f>NOT(hospitalityq!D96="")*(COUNTIF(reference!$C$17:$C$18,TRIM(hospitalityq!D96))=0)</f>
        <v>0</v>
      </c>
      <c r="J96">
        <f>NOT(hospitalityq!J96="")*(NOT(ISNUMBER(hospitalityq!J96+0)))</f>
        <v>0</v>
      </c>
      <c r="K96">
        <f>NOT(hospitalityq!K96="")*(NOT(ISNUMBER(hospitalityq!K96+0)))</f>
        <v>0</v>
      </c>
      <c r="P96">
        <f>NOT(hospitalityq!P96="")*(NOT(IFERROR(INT(hospitalityq!P96)=VALUE(hospitalityq!P96),FALSE)))</f>
        <v>0</v>
      </c>
      <c r="Q96">
        <f>NOT(hospitalityq!Q96="")*(NOT(IFERROR(INT(hospitalityq!Q96)=VALUE(hospitalityq!Q96),FALSE)))</f>
        <v>0</v>
      </c>
      <c r="R96">
        <f>NOT(hospitalityq!R96="")*(NOT(IFERROR(ROUND(VALUE(hospitalityq!R96),2)=VALUE(hospitalityq!R96),FALSE)))</f>
        <v>0</v>
      </c>
    </row>
    <row r="97" spans="1:18" x14ac:dyDescent="0.25">
      <c r="A97">
        <f t="shared" si="1"/>
        <v>0</v>
      </c>
      <c r="C97">
        <f>NOT(hospitalityq!C97="")*(SUMPRODUCT(--(TRIM(hospitalityq!C6:C97)=TRIM(hospitalityq!C97)))&gt;1)</f>
        <v>0</v>
      </c>
      <c r="D97">
        <f>NOT(hospitalityq!D97="")*(COUNTIF(reference!$C$17:$C$18,TRIM(hospitalityq!D97))=0)</f>
        <v>0</v>
      </c>
      <c r="J97">
        <f>NOT(hospitalityq!J97="")*(NOT(ISNUMBER(hospitalityq!J97+0)))</f>
        <v>0</v>
      </c>
      <c r="K97">
        <f>NOT(hospitalityq!K97="")*(NOT(ISNUMBER(hospitalityq!K97+0)))</f>
        <v>0</v>
      </c>
      <c r="P97">
        <f>NOT(hospitalityq!P97="")*(NOT(IFERROR(INT(hospitalityq!P97)=VALUE(hospitalityq!P97),FALSE)))</f>
        <v>0</v>
      </c>
      <c r="Q97">
        <f>NOT(hospitalityq!Q97="")*(NOT(IFERROR(INT(hospitalityq!Q97)=VALUE(hospitalityq!Q97),FALSE)))</f>
        <v>0</v>
      </c>
      <c r="R97">
        <f>NOT(hospitalityq!R97="")*(NOT(IFERROR(ROUND(VALUE(hospitalityq!R97),2)=VALUE(hospitalityq!R97),FALSE)))</f>
        <v>0</v>
      </c>
    </row>
    <row r="98" spans="1:18" x14ac:dyDescent="0.25">
      <c r="A98">
        <f t="shared" si="1"/>
        <v>0</v>
      </c>
      <c r="C98">
        <f>NOT(hospitalityq!C98="")*(SUMPRODUCT(--(TRIM(hospitalityq!C6:C98)=TRIM(hospitalityq!C98)))&gt;1)</f>
        <v>0</v>
      </c>
      <c r="D98">
        <f>NOT(hospitalityq!D98="")*(COUNTIF(reference!$C$17:$C$18,TRIM(hospitalityq!D98))=0)</f>
        <v>0</v>
      </c>
      <c r="J98">
        <f>NOT(hospitalityq!J98="")*(NOT(ISNUMBER(hospitalityq!J98+0)))</f>
        <v>0</v>
      </c>
      <c r="K98">
        <f>NOT(hospitalityq!K98="")*(NOT(ISNUMBER(hospitalityq!K98+0)))</f>
        <v>0</v>
      </c>
      <c r="P98">
        <f>NOT(hospitalityq!P98="")*(NOT(IFERROR(INT(hospitalityq!P98)=VALUE(hospitalityq!P98),FALSE)))</f>
        <v>0</v>
      </c>
      <c r="Q98">
        <f>NOT(hospitalityq!Q98="")*(NOT(IFERROR(INT(hospitalityq!Q98)=VALUE(hospitalityq!Q98),FALSE)))</f>
        <v>0</v>
      </c>
      <c r="R98">
        <f>NOT(hospitalityq!R98="")*(NOT(IFERROR(ROUND(VALUE(hospitalityq!R98),2)=VALUE(hospitalityq!R98),FALSE)))</f>
        <v>0</v>
      </c>
    </row>
    <row r="99" spans="1:18" x14ac:dyDescent="0.25">
      <c r="A99">
        <f t="shared" si="1"/>
        <v>0</v>
      </c>
      <c r="C99">
        <f>NOT(hospitalityq!C99="")*(SUMPRODUCT(--(TRIM(hospitalityq!C6:C99)=TRIM(hospitalityq!C99)))&gt;1)</f>
        <v>0</v>
      </c>
      <c r="D99">
        <f>NOT(hospitalityq!D99="")*(COUNTIF(reference!$C$17:$C$18,TRIM(hospitalityq!D99))=0)</f>
        <v>0</v>
      </c>
      <c r="J99">
        <f>NOT(hospitalityq!J99="")*(NOT(ISNUMBER(hospitalityq!J99+0)))</f>
        <v>0</v>
      </c>
      <c r="K99">
        <f>NOT(hospitalityq!K99="")*(NOT(ISNUMBER(hospitalityq!K99+0)))</f>
        <v>0</v>
      </c>
      <c r="P99">
        <f>NOT(hospitalityq!P99="")*(NOT(IFERROR(INT(hospitalityq!P99)=VALUE(hospitalityq!P99),FALSE)))</f>
        <v>0</v>
      </c>
      <c r="Q99">
        <f>NOT(hospitalityq!Q99="")*(NOT(IFERROR(INT(hospitalityq!Q99)=VALUE(hospitalityq!Q99),FALSE)))</f>
        <v>0</v>
      </c>
      <c r="R99">
        <f>NOT(hospitalityq!R99="")*(NOT(IFERROR(ROUND(VALUE(hospitalityq!R99),2)=VALUE(hospitalityq!R99),FALSE)))</f>
        <v>0</v>
      </c>
    </row>
    <row r="100" spans="1:18" x14ac:dyDescent="0.25">
      <c r="A100">
        <f t="shared" si="1"/>
        <v>0</v>
      </c>
      <c r="C100">
        <f>NOT(hospitalityq!C100="")*(SUMPRODUCT(--(TRIM(hospitalityq!C6:C100)=TRIM(hospitalityq!C100)))&gt;1)</f>
        <v>0</v>
      </c>
      <c r="D100">
        <f>NOT(hospitalityq!D100="")*(COUNTIF(reference!$C$17:$C$18,TRIM(hospitalityq!D100))=0)</f>
        <v>0</v>
      </c>
      <c r="J100">
        <f>NOT(hospitalityq!J100="")*(NOT(ISNUMBER(hospitalityq!J100+0)))</f>
        <v>0</v>
      </c>
      <c r="K100">
        <f>NOT(hospitalityq!K100="")*(NOT(ISNUMBER(hospitalityq!K100+0)))</f>
        <v>0</v>
      </c>
      <c r="P100">
        <f>NOT(hospitalityq!P100="")*(NOT(IFERROR(INT(hospitalityq!P100)=VALUE(hospitalityq!P100),FALSE)))</f>
        <v>0</v>
      </c>
      <c r="Q100">
        <f>NOT(hospitalityq!Q100="")*(NOT(IFERROR(INT(hospitalityq!Q100)=VALUE(hospitalityq!Q100),FALSE)))</f>
        <v>0</v>
      </c>
      <c r="R100">
        <f>NOT(hospitalityq!R100="")*(NOT(IFERROR(ROUND(VALUE(hospitalityq!R100),2)=VALUE(hospitalityq!R100),FALSE)))</f>
        <v>0</v>
      </c>
    </row>
    <row r="101" spans="1:18" x14ac:dyDescent="0.25">
      <c r="A101">
        <f t="shared" si="1"/>
        <v>0</v>
      </c>
      <c r="C101">
        <f>NOT(hospitalityq!C101="")*(SUMPRODUCT(--(TRIM(hospitalityq!C6:C101)=TRIM(hospitalityq!C101)))&gt;1)</f>
        <v>0</v>
      </c>
      <c r="D101">
        <f>NOT(hospitalityq!D101="")*(COUNTIF(reference!$C$17:$C$18,TRIM(hospitalityq!D101))=0)</f>
        <v>0</v>
      </c>
      <c r="J101">
        <f>NOT(hospitalityq!J101="")*(NOT(ISNUMBER(hospitalityq!J101+0)))</f>
        <v>0</v>
      </c>
      <c r="K101">
        <f>NOT(hospitalityq!K101="")*(NOT(ISNUMBER(hospitalityq!K101+0)))</f>
        <v>0</v>
      </c>
      <c r="P101">
        <f>NOT(hospitalityq!P101="")*(NOT(IFERROR(INT(hospitalityq!P101)=VALUE(hospitalityq!P101),FALSE)))</f>
        <v>0</v>
      </c>
      <c r="Q101">
        <f>NOT(hospitalityq!Q101="")*(NOT(IFERROR(INT(hospitalityq!Q101)=VALUE(hospitalityq!Q101),FALSE)))</f>
        <v>0</v>
      </c>
      <c r="R101">
        <f>NOT(hospitalityq!R101="")*(NOT(IFERROR(ROUND(VALUE(hospitalityq!R101),2)=VALUE(hospitalityq!R101),FALSE)))</f>
        <v>0</v>
      </c>
    </row>
    <row r="102" spans="1:18" x14ac:dyDescent="0.25">
      <c r="A102">
        <f t="shared" si="1"/>
        <v>0</v>
      </c>
      <c r="C102">
        <f>NOT(hospitalityq!C102="")*(SUMPRODUCT(--(TRIM(hospitalityq!C6:C102)=TRIM(hospitalityq!C102)))&gt;1)</f>
        <v>0</v>
      </c>
      <c r="D102">
        <f>NOT(hospitalityq!D102="")*(COUNTIF(reference!$C$17:$C$18,TRIM(hospitalityq!D102))=0)</f>
        <v>0</v>
      </c>
      <c r="J102">
        <f>NOT(hospitalityq!J102="")*(NOT(ISNUMBER(hospitalityq!J102+0)))</f>
        <v>0</v>
      </c>
      <c r="K102">
        <f>NOT(hospitalityq!K102="")*(NOT(ISNUMBER(hospitalityq!K102+0)))</f>
        <v>0</v>
      </c>
      <c r="P102">
        <f>NOT(hospitalityq!P102="")*(NOT(IFERROR(INT(hospitalityq!P102)=VALUE(hospitalityq!P102),FALSE)))</f>
        <v>0</v>
      </c>
      <c r="Q102">
        <f>NOT(hospitalityq!Q102="")*(NOT(IFERROR(INT(hospitalityq!Q102)=VALUE(hospitalityq!Q102),FALSE)))</f>
        <v>0</v>
      </c>
      <c r="R102">
        <f>NOT(hospitalityq!R102="")*(NOT(IFERROR(ROUND(VALUE(hospitalityq!R102),2)=VALUE(hospitalityq!R102),FALSE)))</f>
        <v>0</v>
      </c>
    </row>
    <row r="103" spans="1:18" x14ac:dyDescent="0.25">
      <c r="A103">
        <f t="shared" si="1"/>
        <v>0</v>
      </c>
      <c r="C103">
        <f>NOT(hospitalityq!C103="")*(SUMPRODUCT(--(TRIM(hospitalityq!C6:C103)=TRIM(hospitalityq!C103)))&gt;1)</f>
        <v>0</v>
      </c>
      <c r="D103">
        <f>NOT(hospitalityq!D103="")*(COUNTIF(reference!$C$17:$C$18,TRIM(hospitalityq!D103))=0)</f>
        <v>0</v>
      </c>
      <c r="J103">
        <f>NOT(hospitalityq!J103="")*(NOT(ISNUMBER(hospitalityq!J103+0)))</f>
        <v>0</v>
      </c>
      <c r="K103">
        <f>NOT(hospitalityq!K103="")*(NOT(ISNUMBER(hospitalityq!K103+0)))</f>
        <v>0</v>
      </c>
      <c r="P103">
        <f>NOT(hospitalityq!P103="")*(NOT(IFERROR(INT(hospitalityq!P103)=VALUE(hospitalityq!P103),FALSE)))</f>
        <v>0</v>
      </c>
      <c r="Q103">
        <f>NOT(hospitalityq!Q103="")*(NOT(IFERROR(INT(hospitalityq!Q103)=VALUE(hospitalityq!Q103),FALSE)))</f>
        <v>0</v>
      </c>
      <c r="R103">
        <f>NOT(hospitalityq!R103="")*(NOT(IFERROR(ROUND(VALUE(hospitalityq!R103),2)=VALUE(hospitalityq!R103),FALSE)))</f>
        <v>0</v>
      </c>
    </row>
    <row r="104" spans="1:18" x14ac:dyDescent="0.25">
      <c r="A104">
        <f t="shared" si="1"/>
        <v>0</v>
      </c>
      <c r="C104">
        <f>NOT(hospitalityq!C104="")*(SUMPRODUCT(--(TRIM(hospitalityq!C6:C104)=TRIM(hospitalityq!C104)))&gt;1)</f>
        <v>0</v>
      </c>
      <c r="D104">
        <f>NOT(hospitalityq!D104="")*(COUNTIF(reference!$C$17:$C$18,TRIM(hospitalityq!D104))=0)</f>
        <v>0</v>
      </c>
      <c r="J104">
        <f>NOT(hospitalityq!J104="")*(NOT(ISNUMBER(hospitalityq!J104+0)))</f>
        <v>0</v>
      </c>
      <c r="K104">
        <f>NOT(hospitalityq!K104="")*(NOT(ISNUMBER(hospitalityq!K104+0)))</f>
        <v>0</v>
      </c>
      <c r="P104">
        <f>NOT(hospitalityq!P104="")*(NOT(IFERROR(INT(hospitalityq!P104)=VALUE(hospitalityq!P104),FALSE)))</f>
        <v>0</v>
      </c>
      <c r="Q104">
        <f>NOT(hospitalityq!Q104="")*(NOT(IFERROR(INT(hospitalityq!Q104)=VALUE(hospitalityq!Q104),FALSE)))</f>
        <v>0</v>
      </c>
      <c r="R104">
        <f>NOT(hospitalityq!R104="")*(NOT(IFERROR(ROUND(VALUE(hospitalityq!R104),2)=VALUE(hospitalityq!R104),FALSE)))</f>
        <v>0</v>
      </c>
    </row>
    <row r="105" spans="1:18" x14ac:dyDescent="0.25">
      <c r="A105">
        <f t="shared" si="1"/>
        <v>0</v>
      </c>
      <c r="C105">
        <f>NOT(hospitalityq!C105="")*(SUMPRODUCT(--(TRIM(hospitalityq!C6:C105)=TRIM(hospitalityq!C105)))&gt;1)</f>
        <v>0</v>
      </c>
      <c r="D105">
        <f>NOT(hospitalityq!D105="")*(COUNTIF(reference!$C$17:$C$18,TRIM(hospitalityq!D105))=0)</f>
        <v>0</v>
      </c>
      <c r="J105">
        <f>NOT(hospitalityq!J105="")*(NOT(ISNUMBER(hospitalityq!J105+0)))</f>
        <v>0</v>
      </c>
      <c r="K105">
        <f>NOT(hospitalityq!K105="")*(NOT(ISNUMBER(hospitalityq!K105+0)))</f>
        <v>0</v>
      </c>
      <c r="P105">
        <f>NOT(hospitalityq!P105="")*(NOT(IFERROR(INT(hospitalityq!P105)=VALUE(hospitalityq!P105),FALSE)))</f>
        <v>0</v>
      </c>
      <c r="Q105">
        <f>NOT(hospitalityq!Q105="")*(NOT(IFERROR(INT(hospitalityq!Q105)=VALUE(hospitalityq!Q105),FALSE)))</f>
        <v>0</v>
      </c>
      <c r="R105">
        <f>NOT(hospitalityq!R105="")*(NOT(IFERROR(ROUND(VALUE(hospitalityq!R105),2)=VALUE(hospitalityq!R105),FALSE)))</f>
        <v>0</v>
      </c>
    </row>
    <row r="106" spans="1:18" x14ac:dyDescent="0.25">
      <c r="A106">
        <f t="shared" si="1"/>
        <v>0</v>
      </c>
      <c r="C106">
        <f>NOT(hospitalityq!C106="")*(SUMPRODUCT(--(TRIM(hospitalityq!C6:C106)=TRIM(hospitalityq!C106)))&gt;1)</f>
        <v>0</v>
      </c>
      <c r="D106">
        <f>NOT(hospitalityq!D106="")*(COUNTIF(reference!$C$17:$C$18,TRIM(hospitalityq!D106))=0)</f>
        <v>0</v>
      </c>
      <c r="J106">
        <f>NOT(hospitalityq!J106="")*(NOT(ISNUMBER(hospitalityq!J106+0)))</f>
        <v>0</v>
      </c>
      <c r="K106">
        <f>NOT(hospitalityq!K106="")*(NOT(ISNUMBER(hospitalityq!K106+0)))</f>
        <v>0</v>
      </c>
      <c r="P106">
        <f>NOT(hospitalityq!P106="")*(NOT(IFERROR(INT(hospitalityq!P106)=VALUE(hospitalityq!P106),FALSE)))</f>
        <v>0</v>
      </c>
      <c r="Q106">
        <f>NOT(hospitalityq!Q106="")*(NOT(IFERROR(INT(hospitalityq!Q106)=VALUE(hospitalityq!Q106),FALSE)))</f>
        <v>0</v>
      </c>
      <c r="R106">
        <f>NOT(hospitalityq!R106="")*(NOT(IFERROR(ROUND(VALUE(hospitalityq!R106),2)=VALUE(hospitalityq!R106),FALSE)))</f>
        <v>0</v>
      </c>
    </row>
    <row r="107" spans="1:18" x14ac:dyDescent="0.25">
      <c r="A107">
        <f t="shared" si="1"/>
        <v>0</v>
      </c>
      <c r="C107">
        <f>NOT(hospitalityq!C107="")*(SUMPRODUCT(--(TRIM(hospitalityq!C6:C107)=TRIM(hospitalityq!C107)))&gt;1)</f>
        <v>0</v>
      </c>
      <c r="D107">
        <f>NOT(hospitalityq!D107="")*(COUNTIF(reference!$C$17:$C$18,TRIM(hospitalityq!D107))=0)</f>
        <v>0</v>
      </c>
      <c r="J107">
        <f>NOT(hospitalityq!J107="")*(NOT(ISNUMBER(hospitalityq!J107+0)))</f>
        <v>0</v>
      </c>
      <c r="K107">
        <f>NOT(hospitalityq!K107="")*(NOT(ISNUMBER(hospitalityq!K107+0)))</f>
        <v>0</v>
      </c>
      <c r="P107">
        <f>NOT(hospitalityq!P107="")*(NOT(IFERROR(INT(hospitalityq!P107)=VALUE(hospitalityq!P107),FALSE)))</f>
        <v>0</v>
      </c>
      <c r="Q107">
        <f>NOT(hospitalityq!Q107="")*(NOT(IFERROR(INT(hospitalityq!Q107)=VALUE(hospitalityq!Q107),FALSE)))</f>
        <v>0</v>
      </c>
      <c r="R107">
        <f>NOT(hospitalityq!R107="")*(NOT(IFERROR(ROUND(VALUE(hospitalityq!R107),2)=VALUE(hospitalityq!R107),FALSE)))</f>
        <v>0</v>
      </c>
    </row>
    <row r="108" spans="1:18" x14ac:dyDescent="0.25">
      <c r="A108">
        <f t="shared" si="1"/>
        <v>0</v>
      </c>
      <c r="C108">
        <f>NOT(hospitalityq!C108="")*(SUMPRODUCT(--(TRIM(hospitalityq!C6:C108)=TRIM(hospitalityq!C108)))&gt;1)</f>
        <v>0</v>
      </c>
      <c r="D108">
        <f>NOT(hospitalityq!D108="")*(COUNTIF(reference!$C$17:$C$18,TRIM(hospitalityq!D108))=0)</f>
        <v>0</v>
      </c>
      <c r="J108">
        <f>NOT(hospitalityq!J108="")*(NOT(ISNUMBER(hospitalityq!J108+0)))</f>
        <v>0</v>
      </c>
      <c r="K108">
        <f>NOT(hospitalityq!K108="")*(NOT(ISNUMBER(hospitalityq!K108+0)))</f>
        <v>0</v>
      </c>
      <c r="P108">
        <f>NOT(hospitalityq!P108="")*(NOT(IFERROR(INT(hospitalityq!P108)=VALUE(hospitalityq!P108),FALSE)))</f>
        <v>0</v>
      </c>
      <c r="Q108">
        <f>NOT(hospitalityq!Q108="")*(NOT(IFERROR(INT(hospitalityq!Q108)=VALUE(hospitalityq!Q108),FALSE)))</f>
        <v>0</v>
      </c>
      <c r="R108">
        <f>NOT(hospitalityq!R108="")*(NOT(IFERROR(ROUND(VALUE(hospitalityq!R108),2)=VALUE(hospitalityq!R108),FALSE)))</f>
        <v>0</v>
      </c>
    </row>
    <row r="109" spans="1:18" x14ac:dyDescent="0.25">
      <c r="A109">
        <f t="shared" si="1"/>
        <v>0</v>
      </c>
      <c r="C109">
        <f>NOT(hospitalityq!C109="")*(SUMPRODUCT(--(TRIM(hospitalityq!C6:C109)=TRIM(hospitalityq!C109)))&gt;1)</f>
        <v>0</v>
      </c>
      <c r="D109">
        <f>NOT(hospitalityq!D109="")*(COUNTIF(reference!$C$17:$C$18,TRIM(hospitalityq!D109))=0)</f>
        <v>0</v>
      </c>
      <c r="J109">
        <f>NOT(hospitalityq!J109="")*(NOT(ISNUMBER(hospitalityq!J109+0)))</f>
        <v>0</v>
      </c>
      <c r="K109">
        <f>NOT(hospitalityq!K109="")*(NOT(ISNUMBER(hospitalityq!K109+0)))</f>
        <v>0</v>
      </c>
      <c r="P109">
        <f>NOT(hospitalityq!P109="")*(NOT(IFERROR(INT(hospitalityq!P109)=VALUE(hospitalityq!P109),FALSE)))</f>
        <v>0</v>
      </c>
      <c r="Q109">
        <f>NOT(hospitalityq!Q109="")*(NOT(IFERROR(INT(hospitalityq!Q109)=VALUE(hospitalityq!Q109),FALSE)))</f>
        <v>0</v>
      </c>
      <c r="R109">
        <f>NOT(hospitalityq!R109="")*(NOT(IFERROR(ROUND(VALUE(hospitalityq!R109),2)=VALUE(hospitalityq!R109),FALSE)))</f>
        <v>0</v>
      </c>
    </row>
    <row r="110" spans="1:18" x14ac:dyDescent="0.25">
      <c r="A110">
        <f t="shared" si="1"/>
        <v>0</v>
      </c>
      <c r="C110">
        <f>NOT(hospitalityq!C110="")*(SUMPRODUCT(--(TRIM(hospitalityq!C6:C110)=TRIM(hospitalityq!C110)))&gt;1)</f>
        <v>0</v>
      </c>
      <c r="D110">
        <f>NOT(hospitalityq!D110="")*(COUNTIF(reference!$C$17:$C$18,TRIM(hospitalityq!D110))=0)</f>
        <v>0</v>
      </c>
      <c r="J110">
        <f>NOT(hospitalityq!J110="")*(NOT(ISNUMBER(hospitalityq!J110+0)))</f>
        <v>0</v>
      </c>
      <c r="K110">
        <f>NOT(hospitalityq!K110="")*(NOT(ISNUMBER(hospitalityq!K110+0)))</f>
        <v>0</v>
      </c>
      <c r="P110">
        <f>NOT(hospitalityq!P110="")*(NOT(IFERROR(INT(hospitalityq!P110)=VALUE(hospitalityq!P110),FALSE)))</f>
        <v>0</v>
      </c>
      <c r="Q110">
        <f>NOT(hospitalityq!Q110="")*(NOT(IFERROR(INT(hospitalityq!Q110)=VALUE(hospitalityq!Q110),FALSE)))</f>
        <v>0</v>
      </c>
      <c r="R110">
        <f>NOT(hospitalityq!R110="")*(NOT(IFERROR(ROUND(VALUE(hospitalityq!R110),2)=VALUE(hospitalityq!R110),FALSE)))</f>
        <v>0</v>
      </c>
    </row>
    <row r="111" spans="1:18" x14ac:dyDescent="0.25">
      <c r="A111">
        <f t="shared" si="1"/>
        <v>0</v>
      </c>
      <c r="C111">
        <f>NOT(hospitalityq!C111="")*(SUMPRODUCT(--(TRIM(hospitalityq!C6:C111)=TRIM(hospitalityq!C111)))&gt;1)</f>
        <v>0</v>
      </c>
      <c r="D111">
        <f>NOT(hospitalityq!D111="")*(COUNTIF(reference!$C$17:$C$18,TRIM(hospitalityq!D111))=0)</f>
        <v>0</v>
      </c>
      <c r="J111">
        <f>NOT(hospitalityq!J111="")*(NOT(ISNUMBER(hospitalityq!J111+0)))</f>
        <v>0</v>
      </c>
      <c r="K111">
        <f>NOT(hospitalityq!K111="")*(NOT(ISNUMBER(hospitalityq!K111+0)))</f>
        <v>0</v>
      </c>
      <c r="P111">
        <f>NOT(hospitalityq!P111="")*(NOT(IFERROR(INT(hospitalityq!P111)=VALUE(hospitalityq!P111),FALSE)))</f>
        <v>0</v>
      </c>
      <c r="Q111">
        <f>NOT(hospitalityq!Q111="")*(NOT(IFERROR(INT(hospitalityq!Q111)=VALUE(hospitalityq!Q111),FALSE)))</f>
        <v>0</v>
      </c>
      <c r="R111">
        <f>NOT(hospitalityq!R111="")*(NOT(IFERROR(ROUND(VALUE(hospitalityq!R111),2)=VALUE(hospitalityq!R111),FALSE)))</f>
        <v>0</v>
      </c>
    </row>
    <row r="112" spans="1:18" x14ac:dyDescent="0.25">
      <c r="A112">
        <f t="shared" si="1"/>
        <v>0</v>
      </c>
      <c r="C112">
        <f>NOT(hospitalityq!C112="")*(SUMPRODUCT(--(TRIM(hospitalityq!C6:C112)=TRIM(hospitalityq!C112)))&gt;1)</f>
        <v>0</v>
      </c>
      <c r="D112">
        <f>NOT(hospitalityq!D112="")*(COUNTIF(reference!$C$17:$C$18,TRIM(hospitalityq!D112))=0)</f>
        <v>0</v>
      </c>
      <c r="J112">
        <f>NOT(hospitalityq!J112="")*(NOT(ISNUMBER(hospitalityq!J112+0)))</f>
        <v>0</v>
      </c>
      <c r="K112">
        <f>NOT(hospitalityq!K112="")*(NOT(ISNUMBER(hospitalityq!K112+0)))</f>
        <v>0</v>
      </c>
      <c r="P112">
        <f>NOT(hospitalityq!P112="")*(NOT(IFERROR(INT(hospitalityq!P112)=VALUE(hospitalityq!P112),FALSE)))</f>
        <v>0</v>
      </c>
      <c r="Q112">
        <f>NOT(hospitalityq!Q112="")*(NOT(IFERROR(INT(hospitalityq!Q112)=VALUE(hospitalityq!Q112),FALSE)))</f>
        <v>0</v>
      </c>
      <c r="R112">
        <f>NOT(hospitalityq!R112="")*(NOT(IFERROR(ROUND(VALUE(hospitalityq!R112),2)=VALUE(hospitalityq!R112),FALSE)))</f>
        <v>0</v>
      </c>
    </row>
    <row r="113" spans="1:18" x14ac:dyDescent="0.25">
      <c r="A113">
        <f t="shared" si="1"/>
        <v>0</v>
      </c>
      <c r="C113">
        <f>NOT(hospitalityq!C113="")*(SUMPRODUCT(--(TRIM(hospitalityq!C6:C113)=TRIM(hospitalityq!C113)))&gt;1)</f>
        <v>0</v>
      </c>
      <c r="D113">
        <f>NOT(hospitalityq!D113="")*(COUNTIF(reference!$C$17:$C$18,TRIM(hospitalityq!D113))=0)</f>
        <v>0</v>
      </c>
      <c r="J113">
        <f>NOT(hospitalityq!J113="")*(NOT(ISNUMBER(hospitalityq!J113+0)))</f>
        <v>0</v>
      </c>
      <c r="K113">
        <f>NOT(hospitalityq!K113="")*(NOT(ISNUMBER(hospitalityq!K113+0)))</f>
        <v>0</v>
      </c>
      <c r="P113">
        <f>NOT(hospitalityq!P113="")*(NOT(IFERROR(INT(hospitalityq!P113)=VALUE(hospitalityq!P113),FALSE)))</f>
        <v>0</v>
      </c>
      <c r="Q113">
        <f>NOT(hospitalityq!Q113="")*(NOT(IFERROR(INT(hospitalityq!Q113)=VALUE(hospitalityq!Q113),FALSE)))</f>
        <v>0</v>
      </c>
      <c r="R113">
        <f>NOT(hospitalityq!R113="")*(NOT(IFERROR(ROUND(VALUE(hospitalityq!R113),2)=VALUE(hospitalityq!R113),FALSE)))</f>
        <v>0</v>
      </c>
    </row>
    <row r="114" spans="1:18" x14ac:dyDescent="0.25">
      <c r="A114">
        <f t="shared" si="1"/>
        <v>0</v>
      </c>
      <c r="C114">
        <f>NOT(hospitalityq!C114="")*(SUMPRODUCT(--(TRIM(hospitalityq!C6:C114)=TRIM(hospitalityq!C114)))&gt;1)</f>
        <v>0</v>
      </c>
      <c r="D114">
        <f>NOT(hospitalityq!D114="")*(COUNTIF(reference!$C$17:$C$18,TRIM(hospitalityq!D114))=0)</f>
        <v>0</v>
      </c>
      <c r="J114">
        <f>NOT(hospitalityq!J114="")*(NOT(ISNUMBER(hospitalityq!J114+0)))</f>
        <v>0</v>
      </c>
      <c r="K114">
        <f>NOT(hospitalityq!K114="")*(NOT(ISNUMBER(hospitalityq!K114+0)))</f>
        <v>0</v>
      </c>
      <c r="P114">
        <f>NOT(hospitalityq!P114="")*(NOT(IFERROR(INT(hospitalityq!P114)=VALUE(hospitalityq!P114),FALSE)))</f>
        <v>0</v>
      </c>
      <c r="Q114">
        <f>NOT(hospitalityq!Q114="")*(NOT(IFERROR(INT(hospitalityq!Q114)=VALUE(hospitalityq!Q114),FALSE)))</f>
        <v>0</v>
      </c>
      <c r="R114">
        <f>NOT(hospitalityq!R114="")*(NOT(IFERROR(ROUND(VALUE(hospitalityq!R114),2)=VALUE(hospitalityq!R114),FALSE)))</f>
        <v>0</v>
      </c>
    </row>
    <row r="115" spans="1:18" x14ac:dyDescent="0.25">
      <c r="A115">
        <f t="shared" si="1"/>
        <v>0</v>
      </c>
      <c r="C115">
        <f>NOT(hospitalityq!C115="")*(SUMPRODUCT(--(TRIM(hospitalityq!C6:C115)=TRIM(hospitalityq!C115)))&gt;1)</f>
        <v>0</v>
      </c>
      <c r="D115">
        <f>NOT(hospitalityq!D115="")*(COUNTIF(reference!$C$17:$C$18,TRIM(hospitalityq!D115))=0)</f>
        <v>0</v>
      </c>
      <c r="J115">
        <f>NOT(hospitalityq!J115="")*(NOT(ISNUMBER(hospitalityq!J115+0)))</f>
        <v>0</v>
      </c>
      <c r="K115">
        <f>NOT(hospitalityq!K115="")*(NOT(ISNUMBER(hospitalityq!K115+0)))</f>
        <v>0</v>
      </c>
      <c r="P115">
        <f>NOT(hospitalityq!P115="")*(NOT(IFERROR(INT(hospitalityq!P115)=VALUE(hospitalityq!P115),FALSE)))</f>
        <v>0</v>
      </c>
      <c r="Q115">
        <f>NOT(hospitalityq!Q115="")*(NOT(IFERROR(INT(hospitalityq!Q115)=VALUE(hospitalityq!Q115),FALSE)))</f>
        <v>0</v>
      </c>
      <c r="R115">
        <f>NOT(hospitalityq!R115="")*(NOT(IFERROR(ROUND(VALUE(hospitalityq!R115),2)=VALUE(hospitalityq!R115),FALSE)))</f>
        <v>0</v>
      </c>
    </row>
    <row r="116" spans="1:18" x14ac:dyDescent="0.25">
      <c r="A116">
        <f t="shared" si="1"/>
        <v>0</v>
      </c>
      <c r="C116">
        <f>NOT(hospitalityq!C116="")*(SUMPRODUCT(--(TRIM(hospitalityq!C6:C116)=TRIM(hospitalityq!C116)))&gt;1)</f>
        <v>0</v>
      </c>
      <c r="D116">
        <f>NOT(hospitalityq!D116="")*(COUNTIF(reference!$C$17:$C$18,TRIM(hospitalityq!D116))=0)</f>
        <v>0</v>
      </c>
      <c r="J116">
        <f>NOT(hospitalityq!J116="")*(NOT(ISNUMBER(hospitalityq!J116+0)))</f>
        <v>0</v>
      </c>
      <c r="K116">
        <f>NOT(hospitalityq!K116="")*(NOT(ISNUMBER(hospitalityq!K116+0)))</f>
        <v>0</v>
      </c>
      <c r="P116">
        <f>NOT(hospitalityq!P116="")*(NOT(IFERROR(INT(hospitalityq!P116)=VALUE(hospitalityq!P116),FALSE)))</f>
        <v>0</v>
      </c>
      <c r="Q116">
        <f>NOT(hospitalityq!Q116="")*(NOT(IFERROR(INT(hospitalityq!Q116)=VALUE(hospitalityq!Q116),FALSE)))</f>
        <v>0</v>
      </c>
      <c r="R116">
        <f>NOT(hospitalityq!R116="")*(NOT(IFERROR(ROUND(VALUE(hospitalityq!R116),2)=VALUE(hospitalityq!R116),FALSE)))</f>
        <v>0</v>
      </c>
    </row>
    <row r="117" spans="1:18" x14ac:dyDescent="0.25">
      <c r="A117">
        <f t="shared" si="1"/>
        <v>0</v>
      </c>
      <c r="C117">
        <f>NOT(hospitalityq!C117="")*(SUMPRODUCT(--(TRIM(hospitalityq!C6:C117)=TRIM(hospitalityq!C117)))&gt;1)</f>
        <v>0</v>
      </c>
      <c r="D117">
        <f>NOT(hospitalityq!D117="")*(COUNTIF(reference!$C$17:$C$18,TRIM(hospitalityq!D117))=0)</f>
        <v>0</v>
      </c>
      <c r="J117">
        <f>NOT(hospitalityq!J117="")*(NOT(ISNUMBER(hospitalityq!J117+0)))</f>
        <v>0</v>
      </c>
      <c r="K117">
        <f>NOT(hospitalityq!K117="")*(NOT(ISNUMBER(hospitalityq!K117+0)))</f>
        <v>0</v>
      </c>
      <c r="P117">
        <f>NOT(hospitalityq!P117="")*(NOT(IFERROR(INT(hospitalityq!P117)=VALUE(hospitalityq!P117),FALSE)))</f>
        <v>0</v>
      </c>
      <c r="Q117">
        <f>NOT(hospitalityq!Q117="")*(NOT(IFERROR(INT(hospitalityq!Q117)=VALUE(hospitalityq!Q117),FALSE)))</f>
        <v>0</v>
      </c>
      <c r="R117">
        <f>NOT(hospitalityq!R117="")*(NOT(IFERROR(ROUND(VALUE(hospitalityq!R117),2)=VALUE(hospitalityq!R117),FALSE)))</f>
        <v>0</v>
      </c>
    </row>
    <row r="118" spans="1:18" x14ac:dyDescent="0.25">
      <c r="A118">
        <f t="shared" si="1"/>
        <v>0</v>
      </c>
      <c r="C118">
        <f>NOT(hospitalityq!C118="")*(SUMPRODUCT(--(TRIM(hospitalityq!C6:C118)=TRIM(hospitalityq!C118)))&gt;1)</f>
        <v>0</v>
      </c>
      <c r="D118">
        <f>NOT(hospitalityq!D118="")*(COUNTIF(reference!$C$17:$C$18,TRIM(hospitalityq!D118))=0)</f>
        <v>0</v>
      </c>
      <c r="J118">
        <f>NOT(hospitalityq!J118="")*(NOT(ISNUMBER(hospitalityq!J118+0)))</f>
        <v>0</v>
      </c>
      <c r="K118">
        <f>NOT(hospitalityq!K118="")*(NOT(ISNUMBER(hospitalityq!K118+0)))</f>
        <v>0</v>
      </c>
      <c r="P118">
        <f>NOT(hospitalityq!P118="")*(NOT(IFERROR(INT(hospitalityq!P118)=VALUE(hospitalityq!P118),FALSE)))</f>
        <v>0</v>
      </c>
      <c r="Q118">
        <f>NOT(hospitalityq!Q118="")*(NOT(IFERROR(INT(hospitalityq!Q118)=VALUE(hospitalityq!Q118),FALSE)))</f>
        <v>0</v>
      </c>
      <c r="R118">
        <f>NOT(hospitalityq!R118="")*(NOT(IFERROR(ROUND(VALUE(hospitalityq!R118),2)=VALUE(hospitalityq!R118),FALSE)))</f>
        <v>0</v>
      </c>
    </row>
    <row r="119" spans="1:18" x14ac:dyDescent="0.25">
      <c r="A119">
        <f t="shared" si="1"/>
        <v>0</v>
      </c>
      <c r="C119">
        <f>NOT(hospitalityq!C119="")*(SUMPRODUCT(--(TRIM(hospitalityq!C6:C119)=TRIM(hospitalityq!C119)))&gt;1)</f>
        <v>0</v>
      </c>
      <c r="D119">
        <f>NOT(hospitalityq!D119="")*(COUNTIF(reference!$C$17:$C$18,TRIM(hospitalityq!D119))=0)</f>
        <v>0</v>
      </c>
      <c r="J119">
        <f>NOT(hospitalityq!J119="")*(NOT(ISNUMBER(hospitalityq!J119+0)))</f>
        <v>0</v>
      </c>
      <c r="K119">
        <f>NOT(hospitalityq!K119="")*(NOT(ISNUMBER(hospitalityq!K119+0)))</f>
        <v>0</v>
      </c>
      <c r="P119">
        <f>NOT(hospitalityq!P119="")*(NOT(IFERROR(INT(hospitalityq!P119)=VALUE(hospitalityq!P119),FALSE)))</f>
        <v>0</v>
      </c>
      <c r="Q119">
        <f>NOT(hospitalityq!Q119="")*(NOT(IFERROR(INT(hospitalityq!Q119)=VALUE(hospitalityq!Q119),FALSE)))</f>
        <v>0</v>
      </c>
      <c r="R119">
        <f>NOT(hospitalityq!R119="")*(NOT(IFERROR(ROUND(VALUE(hospitalityq!R119),2)=VALUE(hospitalityq!R119),FALSE)))</f>
        <v>0</v>
      </c>
    </row>
    <row r="120" spans="1:18" x14ac:dyDescent="0.25">
      <c r="A120">
        <f t="shared" si="1"/>
        <v>0</v>
      </c>
      <c r="C120">
        <f>NOT(hospitalityq!C120="")*(SUMPRODUCT(--(TRIM(hospitalityq!C6:C120)=TRIM(hospitalityq!C120)))&gt;1)</f>
        <v>0</v>
      </c>
      <c r="D120">
        <f>NOT(hospitalityq!D120="")*(COUNTIF(reference!$C$17:$C$18,TRIM(hospitalityq!D120))=0)</f>
        <v>0</v>
      </c>
      <c r="J120">
        <f>NOT(hospitalityq!J120="")*(NOT(ISNUMBER(hospitalityq!J120+0)))</f>
        <v>0</v>
      </c>
      <c r="K120">
        <f>NOT(hospitalityq!K120="")*(NOT(ISNUMBER(hospitalityq!K120+0)))</f>
        <v>0</v>
      </c>
      <c r="P120">
        <f>NOT(hospitalityq!P120="")*(NOT(IFERROR(INT(hospitalityq!P120)=VALUE(hospitalityq!P120),FALSE)))</f>
        <v>0</v>
      </c>
      <c r="Q120">
        <f>NOT(hospitalityq!Q120="")*(NOT(IFERROR(INT(hospitalityq!Q120)=VALUE(hospitalityq!Q120),FALSE)))</f>
        <v>0</v>
      </c>
      <c r="R120">
        <f>NOT(hospitalityq!R120="")*(NOT(IFERROR(ROUND(VALUE(hospitalityq!R120),2)=VALUE(hospitalityq!R120),FALSE)))</f>
        <v>0</v>
      </c>
    </row>
    <row r="121" spans="1:18" x14ac:dyDescent="0.25">
      <c r="A121">
        <f t="shared" si="1"/>
        <v>0</v>
      </c>
      <c r="C121">
        <f>NOT(hospitalityq!C121="")*(SUMPRODUCT(--(TRIM(hospitalityq!C6:C121)=TRIM(hospitalityq!C121)))&gt;1)</f>
        <v>0</v>
      </c>
      <c r="D121">
        <f>NOT(hospitalityq!D121="")*(COUNTIF(reference!$C$17:$C$18,TRIM(hospitalityq!D121))=0)</f>
        <v>0</v>
      </c>
      <c r="J121">
        <f>NOT(hospitalityq!J121="")*(NOT(ISNUMBER(hospitalityq!J121+0)))</f>
        <v>0</v>
      </c>
      <c r="K121">
        <f>NOT(hospitalityq!K121="")*(NOT(ISNUMBER(hospitalityq!K121+0)))</f>
        <v>0</v>
      </c>
      <c r="P121">
        <f>NOT(hospitalityq!P121="")*(NOT(IFERROR(INT(hospitalityq!P121)=VALUE(hospitalityq!P121),FALSE)))</f>
        <v>0</v>
      </c>
      <c r="Q121">
        <f>NOT(hospitalityq!Q121="")*(NOT(IFERROR(INT(hospitalityq!Q121)=VALUE(hospitalityq!Q121),FALSE)))</f>
        <v>0</v>
      </c>
      <c r="R121">
        <f>NOT(hospitalityq!R121="")*(NOT(IFERROR(ROUND(VALUE(hospitalityq!R121),2)=VALUE(hospitalityq!R121),FALSE)))</f>
        <v>0</v>
      </c>
    </row>
    <row r="122" spans="1:18" x14ac:dyDescent="0.25">
      <c r="A122">
        <f t="shared" si="1"/>
        <v>0</v>
      </c>
      <c r="C122">
        <f>NOT(hospitalityq!C122="")*(SUMPRODUCT(--(TRIM(hospitalityq!C6:C122)=TRIM(hospitalityq!C122)))&gt;1)</f>
        <v>0</v>
      </c>
      <c r="D122">
        <f>NOT(hospitalityq!D122="")*(COUNTIF(reference!$C$17:$C$18,TRIM(hospitalityq!D122))=0)</f>
        <v>0</v>
      </c>
      <c r="J122">
        <f>NOT(hospitalityq!J122="")*(NOT(ISNUMBER(hospitalityq!J122+0)))</f>
        <v>0</v>
      </c>
      <c r="K122">
        <f>NOT(hospitalityq!K122="")*(NOT(ISNUMBER(hospitalityq!K122+0)))</f>
        <v>0</v>
      </c>
      <c r="P122">
        <f>NOT(hospitalityq!P122="")*(NOT(IFERROR(INT(hospitalityq!P122)=VALUE(hospitalityq!P122),FALSE)))</f>
        <v>0</v>
      </c>
      <c r="Q122">
        <f>NOT(hospitalityq!Q122="")*(NOT(IFERROR(INT(hospitalityq!Q122)=VALUE(hospitalityq!Q122),FALSE)))</f>
        <v>0</v>
      </c>
      <c r="R122">
        <f>NOT(hospitalityq!R122="")*(NOT(IFERROR(ROUND(VALUE(hospitalityq!R122),2)=VALUE(hospitalityq!R122),FALSE)))</f>
        <v>0</v>
      </c>
    </row>
    <row r="123" spans="1:18" x14ac:dyDescent="0.25">
      <c r="A123">
        <f t="shared" si="1"/>
        <v>0</v>
      </c>
      <c r="C123">
        <f>NOT(hospitalityq!C123="")*(SUMPRODUCT(--(TRIM(hospitalityq!C6:C123)=TRIM(hospitalityq!C123)))&gt;1)</f>
        <v>0</v>
      </c>
      <c r="D123">
        <f>NOT(hospitalityq!D123="")*(COUNTIF(reference!$C$17:$C$18,TRIM(hospitalityq!D123))=0)</f>
        <v>0</v>
      </c>
      <c r="J123">
        <f>NOT(hospitalityq!J123="")*(NOT(ISNUMBER(hospitalityq!J123+0)))</f>
        <v>0</v>
      </c>
      <c r="K123">
        <f>NOT(hospitalityq!K123="")*(NOT(ISNUMBER(hospitalityq!K123+0)))</f>
        <v>0</v>
      </c>
      <c r="P123">
        <f>NOT(hospitalityq!P123="")*(NOT(IFERROR(INT(hospitalityq!P123)=VALUE(hospitalityq!P123),FALSE)))</f>
        <v>0</v>
      </c>
      <c r="Q123">
        <f>NOT(hospitalityq!Q123="")*(NOT(IFERROR(INT(hospitalityq!Q123)=VALUE(hospitalityq!Q123),FALSE)))</f>
        <v>0</v>
      </c>
      <c r="R123">
        <f>NOT(hospitalityq!R123="")*(NOT(IFERROR(ROUND(VALUE(hospitalityq!R123),2)=VALUE(hospitalityq!R123),FALSE)))</f>
        <v>0</v>
      </c>
    </row>
    <row r="124" spans="1:18" x14ac:dyDescent="0.25">
      <c r="A124">
        <f t="shared" si="1"/>
        <v>0</v>
      </c>
      <c r="C124">
        <f>NOT(hospitalityq!C124="")*(SUMPRODUCT(--(TRIM(hospitalityq!C6:C124)=TRIM(hospitalityq!C124)))&gt;1)</f>
        <v>0</v>
      </c>
      <c r="D124">
        <f>NOT(hospitalityq!D124="")*(COUNTIF(reference!$C$17:$C$18,TRIM(hospitalityq!D124))=0)</f>
        <v>0</v>
      </c>
      <c r="J124">
        <f>NOT(hospitalityq!J124="")*(NOT(ISNUMBER(hospitalityq!J124+0)))</f>
        <v>0</v>
      </c>
      <c r="K124">
        <f>NOT(hospitalityq!K124="")*(NOT(ISNUMBER(hospitalityq!K124+0)))</f>
        <v>0</v>
      </c>
      <c r="P124">
        <f>NOT(hospitalityq!P124="")*(NOT(IFERROR(INT(hospitalityq!P124)=VALUE(hospitalityq!P124),FALSE)))</f>
        <v>0</v>
      </c>
      <c r="Q124">
        <f>NOT(hospitalityq!Q124="")*(NOT(IFERROR(INT(hospitalityq!Q124)=VALUE(hospitalityq!Q124),FALSE)))</f>
        <v>0</v>
      </c>
      <c r="R124">
        <f>NOT(hospitalityq!R124="")*(NOT(IFERROR(ROUND(VALUE(hospitalityq!R124),2)=VALUE(hospitalityq!R124),FALSE)))</f>
        <v>0</v>
      </c>
    </row>
    <row r="125" spans="1:18" x14ac:dyDescent="0.25">
      <c r="A125">
        <f t="shared" si="1"/>
        <v>0</v>
      </c>
      <c r="C125">
        <f>NOT(hospitalityq!C125="")*(SUMPRODUCT(--(TRIM(hospitalityq!C6:C125)=TRIM(hospitalityq!C125)))&gt;1)</f>
        <v>0</v>
      </c>
      <c r="D125">
        <f>NOT(hospitalityq!D125="")*(COUNTIF(reference!$C$17:$C$18,TRIM(hospitalityq!D125))=0)</f>
        <v>0</v>
      </c>
      <c r="J125">
        <f>NOT(hospitalityq!J125="")*(NOT(ISNUMBER(hospitalityq!J125+0)))</f>
        <v>0</v>
      </c>
      <c r="K125">
        <f>NOT(hospitalityq!K125="")*(NOT(ISNUMBER(hospitalityq!K125+0)))</f>
        <v>0</v>
      </c>
      <c r="P125">
        <f>NOT(hospitalityq!P125="")*(NOT(IFERROR(INT(hospitalityq!P125)=VALUE(hospitalityq!P125),FALSE)))</f>
        <v>0</v>
      </c>
      <c r="Q125">
        <f>NOT(hospitalityq!Q125="")*(NOT(IFERROR(INT(hospitalityq!Q125)=VALUE(hospitalityq!Q125),FALSE)))</f>
        <v>0</v>
      </c>
      <c r="R125">
        <f>NOT(hospitalityq!R125="")*(NOT(IFERROR(ROUND(VALUE(hospitalityq!R125),2)=VALUE(hospitalityq!R125),FALSE)))</f>
        <v>0</v>
      </c>
    </row>
    <row r="126" spans="1:18" x14ac:dyDescent="0.25">
      <c r="A126">
        <f t="shared" si="1"/>
        <v>0</v>
      </c>
      <c r="C126">
        <f>NOT(hospitalityq!C126="")*(SUMPRODUCT(--(TRIM(hospitalityq!C6:C126)=TRIM(hospitalityq!C126)))&gt;1)</f>
        <v>0</v>
      </c>
      <c r="D126">
        <f>NOT(hospitalityq!D126="")*(COUNTIF(reference!$C$17:$C$18,TRIM(hospitalityq!D126))=0)</f>
        <v>0</v>
      </c>
      <c r="J126">
        <f>NOT(hospitalityq!J126="")*(NOT(ISNUMBER(hospitalityq!J126+0)))</f>
        <v>0</v>
      </c>
      <c r="K126">
        <f>NOT(hospitalityq!K126="")*(NOT(ISNUMBER(hospitalityq!K126+0)))</f>
        <v>0</v>
      </c>
      <c r="P126">
        <f>NOT(hospitalityq!P126="")*(NOT(IFERROR(INT(hospitalityq!P126)=VALUE(hospitalityq!P126),FALSE)))</f>
        <v>0</v>
      </c>
      <c r="Q126">
        <f>NOT(hospitalityq!Q126="")*(NOT(IFERROR(INT(hospitalityq!Q126)=VALUE(hospitalityq!Q126),FALSE)))</f>
        <v>0</v>
      </c>
      <c r="R126">
        <f>NOT(hospitalityq!R126="")*(NOT(IFERROR(ROUND(VALUE(hospitalityq!R126),2)=VALUE(hospitalityq!R126),FALSE)))</f>
        <v>0</v>
      </c>
    </row>
    <row r="127" spans="1:18" x14ac:dyDescent="0.25">
      <c r="A127">
        <f t="shared" si="1"/>
        <v>0</v>
      </c>
      <c r="C127">
        <f>NOT(hospitalityq!C127="")*(SUMPRODUCT(--(TRIM(hospitalityq!C6:C127)=TRIM(hospitalityq!C127)))&gt;1)</f>
        <v>0</v>
      </c>
      <c r="D127">
        <f>NOT(hospitalityq!D127="")*(COUNTIF(reference!$C$17:$C$18,TRIM(hospitalityq!D127))=0)</f>
        <v>0</v>
      </c>
      <c r="J127">
        <f>NOT(hospitalityq!J127="")*(NOT(ISNUMBER(hospitalityq!J127+0)))</f>
        <v>0</v>
      </c>
      <c r="K127">
        <f>NOT(hospitalityq!K127="")*(NOT(ISNUMBER(hospitalityq!K127+0)))</f>
        <v>0</v>
      </c>
      <c r="P127">
        <f>NOT(hospitalityq!P127="")*(NOT(IFERROR(INT(hospitalityq!P127)=VALUE(hospitalityq!P127),FALSE)))</f>
        <v>0</v>
      </c>
      <c r="Q127">
        <f>NOT(hospitalityq!Q127="")*(NOT(IFERROR(INT(hospitalityq!Q127)=VALUE(hospitalityq!Q127),FALSE)))</f>
        <v>0</v>
      </c>
      <c r="R127">
        <f>NOT(hospitalityq!R127="")*(NOT(IFERROR(ROUND(VALUE(hospitalityq!R127),2)=VALUE(hospitalityq!R127),FALSE)))</f>
        <v>0</v>
      </c>
    </row>
    <row r="128" spans="1:18" x14ac:dyDescent="0.25">
      <c r="A128">
        <f t="shared" si="1"/>
        <v>0</v>
      </c>
      <c r="C128">
        <f>NOT(hospitalityq!C128="")*(SUMPRODUCT(--(TRIM(hospitalityq!C6:C128)=TRIM(hospitalityq!C128)))&gt;1)</f>
        <v>0</v>
      </c>
      <c r="D128">
        <f>NOT(hospitalityq!D128="")*(COUNTIF(reference!$C$17:$C$18,TRIM(hospitalityq!D128))=0)</f>
        <v>0</v>
      </c>
      <c r="J128">
        <f>NOT(hospitalityq!J128="")*(NOT(ISNUMBER(hospitalityq!J128+0)))</f>
        <v>0</v>
      </c>
      <c r="K128">
        <f>NOT(hospitalityq!K128="")*(NOT(ISNUMBER(hospitalityq!K128+0)))</f>
        <v>0</v>
      </c>
      <c r="P128">
        <f>NOT(hospitalityq!P128="")*(NOT(IFERROR(INT(hospitalityq!P128)=VALUE(hospitalityq!P128),FALSE)))</f>
        <v>0</v>
      </c>
      <c r="Q128">
        <f>NOT(hospitalityq!Q128="")*(NOT(IFERROR(INT(hospitalityq!Q128)=VALUE(hospitalityq!Q128),FALSE)))</f>
        <v>0</v>
      </c>
      <c r="R128">
        <f>NOT(hospitalityq!R128="")*(NOT(IFERROR(ROUND(VALUE(hospitalityq!R128),2)=VALUE(hospitalityq!R128),FALSE)))</f>
        <v>0</v>
      </c>
    </row>
    <row r="129" spans="1:18" x14ac:dyDescent="0.25">
      <c r="A129">
        <f t="shared" si="1"/>
        <v>0</v>
      </c>
      <c r="C129">
        <f>NOT(hospitalityq!C129="")*(SUMPRODUCT(--(TRIM(hospitalityq!C6:C129)=TRIM(hospitalityq!C129)))&gt;1)</f>
        <v>0</v>
      </c>
      <c r="D129">
        <f>NOT(hospitalityq!D129="")*(COUNTIF(reference!$C$17:$C$18,TRIM(hospitalityq!D129))=0)</f>
        <v>0</v>
      </c>
      <c r="J129">
        <f>NOT(hospitalityq!J129="")*(NOT(ISNUMBER(hospitalityq!J129+0)))</f>
        <v>0</v>
      </c>
      <c r="K129">
        <f>NOT(hospitalityq!K129="")*(NOT(ISNUMBER(hospitalityq!K129+0)))</f>
        <v>0</v>
      </c>
      <c r="P129">
        <f>NOT(hospitalityq!P129="")*(NOT(IFERROR(INT(hospitalityq!P129)=VALUE(hospitalityq!P129),FALSE)))</f>
        <v>0</v>
      </c>
      <c r="Q129">
        <f>NOT(hospitalityq!Q129="")*(NOT(IFERROR(INT(hospitalityq!Q129)=VALUE(hospitalityq!Q129),FALSE)))</f>
        <v>0</v>
      </c>
      <c r="R129">
        <f>NOT(hospitalityq!R129="")*(NOT(IFERROR(ROUND(VALUE(hospitalityq!R129),2)=VALUE(hospitalityq!R129),FALSE)))</f>
        <v>0</v>
      </c>
    </row>
    <row r="130" spans="1:18" x14ac:dyDescent="0.25">
      <c r="A130">
        <f t="shared" si="1"/>
        <v>0</v>
      </c>
      <c r="C130">
        <f>NOT(hospitalityq!C130="")*(SUMPRODUCT(--(TRIM(hospitalityq!C6:C130)=TRIM(hospitalityq!C130)))&gt;1)</f>
        <v>0</v>
      </c>
      <c r="D130">
        <f>NOT(hospitalityq!D130="")*(COUNTIF(reference!$C$17:$C$18,TRIM(hospitalityq!D130))=0)</f>
        <v>0</v>
      </c>
      <c r="J130">
        <f>NOT(hospitalityq!J130="")*(NOT(ISNUMBER(hospitalityq!J130+0)))</f>
        <v>0</v>
      </c>
      <c r="K130">
        <f>NOT(hospitalityq!K130="")*(NOT(ISNUMBER(hospitalityq!K130+0)))</f>
        <v>0</v>
      </c>
      <c r="P130">
        <f>NOT(hospitalityq!P130="")*(NOT(IFERROR(INT(hospitalityq!P130)=VALUE(hospitalityq!P130),FALSE)))</f>
        <v>0</v>
      </c>
      <c r="Q130">
        <f>NOT(hospitalityq!Q130="")*(NOT(IFERROR(INT(hospitalityq!Q130)=VALUE(hospitalityq!Q130),FALSE)))</f>
        <v>0</v>
      </c>
      <c r="R130">
        <f>NOT(hospitalityq!R130="")*(NOT(IFERROR(ROUND(VALUE(hospitalityq!R130),2)=VALUE(hospitalityq!R130),FALSE)))</f>
        <v>0</v>
      </c>
    </row>
    <row r="131" spans="1:18" x14ac:dyDescent="0.25">
      <c r="A131">
        <f t="shared" si="1"/>
        <v>0</v>
      </c>
      <c r="C131">
        <f>NOT(hospitalityq!C131="")*(SUMPRODUCT(--(TRIM(hospitalityq!C6:C131)=TRIM(hospitalityq!C131)))&gt;1)</f>
        <v>0</v>
      </c>
      <c r="D131">
        <f>NOT(hospitalityq!D131="")*(COUNTIF(reference!$C$17:$C$18,TRIM(hospitalityq!D131))=0)</f>
        <v>0</v>
      </c>
      <c r="J131">
        <f>NOT(hospitalityq!J131="")*(NOT(ISNUMBER(hospitalityq!J131+0)))</f>
        <v>0</v>
      </c>
      <c r="K131">
        <f>NOT(hospitalityq!K131="")*(NOT(ISNUMBER(hospitalityq!K131+0)))</f>
        <v>0</v>
      </c>
      <c r="P131">
        <f>NOT(hospitalityq!P131="")*(NOT(IFERROR(INT(hospitalityq!P131)=VALUE(hospitalityq!P131),FALSE)))</f>
        <v>0</v>
      </c>
      <c r="Q131">
        <f>NOT(hospitalityq!Q131="")*(NOT(IFERROR(INT(hospitalityq!Q131)=VALUE(hospitalityq!Q131),FALSE)))</f>
        <v>0</v>
      </c>
      <c r="R131">
        <f>NOT(hospitalityq!R131="")*(NOT(IFERROR(ROUND(VALUE(hospitalityq!R131),2)=VALUE(hospitalityq!R131),FALSE)))</f>
        <v>0</v>
      </c>
    </row>
    <row r="132" spans="1:18" x14ac:dyDescent="0.25">
      <c r="A132">
        <f t="shared" si="1"/>
        <v>0</v>
      </c>
      <c r="C132">
        <f>NOT(hospitalityq!C132="")*(SUMPRODUCT(--(TRIM(hospitalityq!C6:C132)=TRIM(hospitalityq!C132)))&gt;1)</f>
        <v>0</v>
      </c>
      <c r="D132">
        <f>NOT(hospitalityq!D132="")*(COUNTIF(reference!$C$17:$C$18,TRIM(hospitalityq!D132))=0)</f>
        <v>0</v>
      </c>
      <c r="J132">
        <f>NOT(hospitalityq!J132="")*(NOT(ISNUMBER(hospitalityq!J132+0)))</f>
        <v>0</v>
      </c>
      <c r="K132">
        <f>NOT(hospitalityq!K132="")*(NOT(ISNUMBER(hospitalityq!K132+0)))</f>
        <v>0</v>
      </c>
      <c r="P132">
        <f>NOT(hospitalityq!P132="")*(NOT(IFERROR(INT(hospitalityq!P132)=VALUE(hospitalityq!P132),FALSE)))</f>
        <v>0</v>
      </c>
      <c r="Q132">
        <f>NOT(hospitalityq!Q132="")*(NOT(IFERROR(INT(hospitalityq!Q132)=VALUE(hospitalityq!Q132),FALSE)))</f>
        <v>0</v>
      </c>
      <c r="R132">
        <f>NOT(hospitalityq!R132="")*(NOT(IFERROR(ROUND(VALUE(hospitalityq!R132),2)=VALUE(hospitalityq!R132),FALSE)))</f>
        <v>0</v>
      </c>
    </row>
    <row r="133" spans="1:18" x14ac:dyDescent="0.25">
      <c r="A133">
        <f t="shared" si="1"/>
        <v>0</v>
      </c>
      <c r="C133">
        <f>NOT(hospitalityq!C133="")*(SUMPRODUCT(--(TRIM(hospitalityq!C6:C133)=TRIM(hospitalityq!C133)))&gt;1)</f>
        <v>0</v>
      </c>
      <c r="D133">
        <f>NOT(hospitalityq!D133="")*(COUNTIF(reference!$C$17:$C$18,TRIM(hospitalityq!D133))=0)</f>
        <v>0</v>
      </c>
      <c r="J133">
        <f>NOT(hospitalityq!J133="")*(NOT(ISNUMBER(hospitalityq!J133+0)))</f>
        <v>0</v>
      </c>
      <c r="K133">
        <f>NOT(hospitalityq!K133="")*(NOT(ISNUMBER(hospitalityq!K133+0)))</f>
        <v>0</v>
      </c>
      <c r="P133">
        <f>NOT(hospitalityq!P133="")*(NOT(IFERROR(INT(hospitalityq!P133)=VALUE(hospitalityq!P133),FALSE)))</f>
        <v>0</v>
      </c>
      <c r="Q133">
        <f>NOT(hospitalityq!Q133="")*(NOT(IFERROR(INT(hospitalityq!Q133)=VALUE(hospitalityq!Q133),FALSE)))</f>
        <v>0</v>
      </c>
      <c r="R133">
        <f>NOT(hospitalityq!R133="")*(NOT(IFERROR(ROUND(VALUE(hospitalityq!R133),2)=VALUE(hospitalityq!R133),FALSE)))</f>
        <v>0</v>
      </c>
    </row>
    <row r="134" spans="1:18" x14ac:dyDescent="0.25">
      <c r="A134">
        <f t="shared" ref="A134:A197" si="2">IFERROR(MATCH(TRUE,INDEX(C134:R134&lt;&gt;0,),)+2,0)</f>
        <v>0</v>
      </c>
      <c r="C134">
        <f>NOT(hospitalityq!C134="")*(SUMPRODUCT(--(TRIM(hospitalityq!C6:C134)=TRIM(hospitalityq!C134)))&gt;1)</f>
        <v>0</v>
      </c>
      <c r="D134">
        <f>NOT(hospitalityq!D134="")*(COUNTIF(reference!$C$17:$C$18,TRIM(hospitalityq!D134))=0)</f>
        <v>0</v>
      </c>
      <c r="J134">
        <f>NOT(hospitalityq!J134="")*(NOT(ISNUMBER(hospitalityq!J134+0)))</f>
        <v>0</v>
      </c>
      <c r="K134">
        <f>NOT(hospitalityq!K134="")*(NOT(ISNUMBER(hospitalityq!K134+0)))</f>
        <v>0</v>
      </c>
      <c r="P134">
        <f>NOT(hospitalityq!P134="")*(NOT(IFERROR(INT(hospitalityq!P134)=VALUE(hospitalityq!P134),FALSE)))</f>
        <v>0</v>
      </c>
      <c r="Q134">
        <f>NOT(hospitalityq!Q134="")*(NOT(IFERROR(INT(hospitalityq!Q134)=VALUE(hospitalityq!Q134),FALSE)))</f>
        <v>0</v>
      </c>
      <c r="R134">
        <f>NOT(hospitalityq!R134="")*(NOT(IFERROR(ROUND(VALUE(hospitalityq!R134),2)=VALUE(hospitalityq!R134),FALSE)))</f>
        <v>0</v>
      </c>
    </row>
    <row r="135" spans="1:18" x14ac:dyDescent="0.25">
      <c r="A135">
        <f t="shared" si="2"/>
        <v>0</v>
      </c>
      <c r="C135">
        <f>NOT(hospitalityq!C135="")*(SUMPRODUCT(--(TRIM(hospitalityq!C6:C135)=TRIM(hospitalityq!C135)))&gt;1)</f>
        <v>0</v>
      </c>
      <c r="D135">
        <f>NOT(hospitalityq!D135="")*(COUNTIF(reference!$C$17:$C$18,TRIM(hospitalityq!D135))=0)</f>
        <v>0</v>
      </c>
      <c r="J135">
        <f>NOT(hospitalityq!J135="")*(NOT(ISNUMBER(hospitalityq!J135+0)))</f>
        <v>0</v>
      </c>
      <c r="K135">
        <f>NOT(hospitalityq!K135="")*(NOT(ISNUMBER(hospitalityq!K135+0)))</f>
        <v>0</v>
      </c>
      <c r="P135">
        <f>NOT(hospitalityq!P135="")*(NOT(IFERROR(INT(hospitalityq!P135)=VALUE(hospitalityq!P135),FALSE)))</f>
        <v>0</v>
      </c>
      <c r="Q135">
        <f>NOT(hospitalityq!Q135="")*(NOT(IFERROR(INT(hospitalityq!Q135)=VALUE(hospitalityq!Q135),FALSE)))</f>
        <v>0</v>
      </c>
      <c r="R135">
        <f>NOT(hospitalityq!R135="")*(NOT(IFERROR(ROUND(VALUE(hospitalityq!R135),2)=VALUE(hospitalityq!R135),FALSE)))</f>
        <v>0</v>
      </c>
    </row>
    <row r="136" spans="1:18" x14ac:dyDescent="0.25">
      <c r="A136">
        <f t="shared" si="2"/>
        <v>0</v>
      </c>
      <c r="C136">
        <f>NOT(hospitalityq!C136="")*(SUMPRODUCT(--(TRIM(hospitalityq!C6:C136)=TRIM(hospitalityq!C136)))&gt;1)</f>
        <v>0</v>
      </c>
      <c r="D136">
        <f>NOT(hospitalityq!D136="")*(COUNTIF(reference!$C$17:$C$18,TRIM(hospitalityq!D136))=0)</f>
        <v>0</v>
      </c>
      <c r="J136">
        <f>NOT(hospitalityq!J136="")*(NOT(ISNUMBER(hospitalityq!J136+0)))</f>
        <v>0</v>
      </c>
      <c r="K136">
        <f>NOT(hospitalityq!K136="")*(NOT(ISNUMBER(hospitalityq!K136+0)))</f>
        <v>0</v>
      </c>
      <c r="P136">
        <f>NOT(hospitalityq!P136="")*(NOT(IFERROR(INT(hospitalityq!P136)=VALUE(hospitalityq!P136),FALSE)))</f>
        <v>0</v>
      </c>
      <c r="Q136">
        <f>NOT(hospitalityq!Q136="")*(NOT(IFERROR(INT(hospitalityq!Q136)=VALUE(hospitalityq!Q136),FALSE)))</f>
        <v>0</v>
      </c>
      <c r="R136">
        <f>NOT(hospitalityq!R136="")*(NOT(IFERROR(ROUND(VALUE(hospitalityq!R136),2)=VALUE(hospitalityq!R136),FALSE)))</f>
        <v>0</v>
      </c>
    </row>
    <row r="137" spans="1:18" x14ac:dyDescent="0.25">
      <c r="A137">
        <f t="shared" si="2"/>
        <v>0</v>
      </c>
      <c r="C137">
        <f>NOT(hospitalityq!C137="")*(SUMPRODUCT(--(TRIM(hospitalityq!C6:C137)=TRIM(hospitalityq!C137)))&gt;1)</f>
        <v>0</v>
      </c>
      <c r="D137">
        <f>NOT(hospitalityq!D137="")*(COUNTIF(reference!$C$17:$C$18,TRIM(hospitalityq!D137))=0)</f>
        <v>0</v>
      </c>
      <c r="J137">
        <f>NOT(hospitalityq!J137="")*(NOT(ISNUMBER(hospitalityq!J137+0)))</f>
        <v>0</v>
      </c>
      <c r="K137">
        <f>NOT(hospitalityq!K137="")*(NOT(ISNUMBER(hospitalityq!K137+0)))</f>
        <v>0</v>
      </c>
      <c r="P137">
        <f>NOT(hospitalityq!P137="")*(NOT(IFERROR(INT(hospitalityq!P137)=VALUE(hospitalityq!P137),FALSE)))</f>
        <v>0</v>
      </c>
      <c r="Q137">
        <f>NOT(hospitalityq!Q137="")*(NOT(IFERROR(INT(hospitalityq!Q137)=VALUE(hospitalityq!Q137),FALSE)))</f>
        <v>0</v>
      </c>
      <c r="R137">
        <f>NOT(hospitalityq!R137="")*(NOT(IFERROR(ROUND(VALUE(hospitalityq!R137),2)=VALUE(hospitalityq!R137),FALSE)))</f>
        <v>0</v>
      </c>
    </row>
    <row r="138" spans="1:18" x14ac:dyDescent="0.25">
      <c r="A138">
        <f t="shared" si="2"/>
        <v>0</v>
      </c>
      <c r="C138">
        <f>NOT(hospitalityq!C138="")*(SUMPRODUCT(--(TRIM(hospitalityq!C6:C138)=TRIM(hospitalityq!C138)))&gt;1)</f>
        <v>0</v>
      </c>
      <c r="D138">
        <f>NOT(hospitalityq!D138="")*(COUNTIF(reference!$C$17:$C$18,TRIM(hospitalityq!D138))=0)</f>
        <v>0</v>
      </c>
      <c r="J138">
        <f>NOT(hospitalityq!J138="")*(NOT(ISNUMBER(hospitalityq!J138+0)))</f>
        <v>0</v>
      </c>
      <c r="K138">
        <f>NOT(hospitalityq!K138="")*(NOT(ISNUMBER(hospitalityq!K138+0)))</f>
        <v>0</v>
      </c>
      <c r="P138">
        <f>NOT(hospitalityq!P138="")*(NOT(IFERROR(INT(hospitalityq!P138)=VALUE(hospitalityq!P138),FALSE)))</f>
        <v>0</v>
      </c>
      <c r="Q138">
        <f>NOT(hospitalityq!Q138="")*(NOT(IFERROR(INT(hospitalityq!Q138)=VALUE(hospitalityq!Q138),FALSE)))</f>
        <v>0</v>
      </c>
      <c r="R138">
        <f>NOT(hospitalityq!R138="")*(NOT(IFERROR(ROUND(VALUE(hospitalityq!R138),2)=VALUE(hospitalityq!R138),FALSE)))</f>
        <v>0</v>
      </c>
    </row>
    <row r="139" spans="1:18" x14ac:dyDescent="0.25">
      <c r="A139">
        <f t="shared" si="2"/>
        <v>0</v>
      </c>
      <c r="C139">
        <f>NOT(hospitalityq!C139="")*(SUMPRODUCT(--(TRIM(hospitalityq!C6:C139)=TRIM(hospitalityq!C139)))&gt;1)</f>
        <v>0</v>
      </c>
      <c r="D139">
        <f>NOT(hospitalityq!D139="")*(COUNTIF(reference!$C$17:$C$18,TRIM(hospitalityq!D139))=0)</f>
        <v>0</v>
      </c>
      <c r="J139">
        <f>NOT(hospitalityq!J139="")*(NOT(ISNUMBER(hospitalityq!J139+0)))</f>
        <v>0</v>
      </c>
      <c r="K139">
        <f>NOT(hospitalityq!K139="")*(NOT(ISNUMBER(hospitalityq!K139+0)))</f>
        <v>0</v>
      </c>
      <c r="P139">
        <f>NOT(hospitalityq!P139="")*(NOT(IFERROR(INT(hospitalityq!P139)=VALUE(hospitalityq!P139),FALSE)))</f>
        <v>0</v>
      </c>
      <c r="Q139">
        <f>NOT(hospitalityq!Q139="")*(NOT(IFERROR(INT(hospitalityq!Q139)=VALUE(hospitalityq!Q139),FALSE)))</f>
        <v>0</v>
      </c>
      <c r="R139">
        <f>NOT(hospitalityq!R139="")*(NOT(IFERROR(ROUND(VALUE(hospitalityq!R139),2)=VALUE(hospitalityq!R139),FALSE)))</f>
        <v>0</v>
      </c>
    </row>
    <row r="140" spans="1:18" x14ac:dyDescent="0.25">
      <c r="A140">
        <f t="shared" si="2"/>
        <v>0</v>
      </c>
      <c r="C140">
        <f>NOT(hospitalityq!C140="")*(SUMPRODUCT(--(TRIM(hospitalityq!C6:C140)=TRIM(hospitalityq!C140)))&gt;1)</f>
        <v>0</v>
      </c>
      <c r="D140">
        <f>NOT(hospitalityq!D140="")*(COUNTIF(reference!$C$17:$C$18,TRIM(hospitalityq!D140))=0)</f>
        <v>0</v>
      </c>
      <c r="J140">
        <f>NOT(hospitalityq!J140="")*(NOT(ISNUMBER(hospitalityq!J140+0)))</f>
        <v>0</v>
      </c>
      <c r="K140">
        <f>NOT(hospitalityq!K140="")*(NOT(ISNUMBER(hospitalityq!K140+0)))</f>
        <v>0</v>
      </c>
      <c r="P140">
        <f>NOT(hospitalityq!P140="")*(NOT(IFERROR(INT(hospitalityq!P140)=VALUE(hospitalityq!P140),FALSE)))</f>
        <v>0</v>
      </c>
      <c r="Q140">
        <f>NOT(hospitalityq!Q140="")*(NOT(IFERROR(INT(hospitalityq!Q140)=VALUE(hospitalityq!Q140),FALSE)))</f>
        <v>0</v>
      </c>
      <c r="R140">
        <f>NOT(hospitalityq!R140="")*(NOT(IFERROR(ROUND(VALUE(hospitalityq!R140),2)=VALUE(hospitalityq!R140),FALSE)))</f>
        <v>0</v>
      </c>
    </row>
    <row r="141" spans="1:18" x14ac:dyDescent="0.25">
      <c r="A141">
        <f t="shared" si="2"/>
        <v>0</v>
      </c>
      <c r="C141">
        <f>NOT(hospitalityq!C141="")*(SUMPRODUCT(--(TRIM(hospitalityq!C6:C141)=TRIM(hospitalityq!C141)))&gt;1)</f>
        <v>0</v>
      </c>
      <c r="D141">
        <f>NOT(hospitalityq!D141="")*(COUNTIF(reference!$C$17:$C$18,TRIM(hospitalityq!D141))=0)</f>
        <v>0</v>
      </c>
      <c r="J141">
        <f>NOT(hospitalityq!J141="")*(NOT(ISNUMBER(hospitalityq!J141+0)))</f>
        <v>0</v>
      </c>
      <c r="K141">
        <f>NOT(hospitalityq!K141="")*(NOT(ISNUMBER(hospitalityq!K141+0)))</f>
        <v>0</v>
      </c>
      <c r="P141">
        <f>NOT(hospitalityq!P141="")*(NOT(IFERROR(INT(hospitalityq!P141)=VALUE(hospitalityq!P141),FALSE)))</f>
        <v>0</v>
      </c>
      <c r="Q141">
        <f>NOT(hospitalityq!Q141="")*(NOT(IFERROR(INT(hospitalityq!Q141)=VALUE(hospitalityq!Q141),FALSE)))</f>
        <v>0</v>
      </c>
      <c r="R141">
        <f>NOT(hospitalityq!R141="")*(NOT(IFERROR(ROUND(VALUE(hospitalityq!R141),2)=VALUE(hospitalityq!R141),FALSE)))</f>
        <v>0</v>
      </c>
    </row>
    <row r="142" spans="1:18" x14ac:dyDescent="0.25">
      <c r="A142">
        <f t="shared" si="2"/>
        <v>0</v>
      </c>
      <c r="C142">
        <f>NOT(hospitalityq!C142="")*(SUMPRODUCT(--(TRIM(hospitalityq!C6:C142)=TRIM(hospitalityq!C142)))&gt;1)</f>
        <v>0</v>
      </c>
      <c r="D142">
        <f>NOT(hospitalityq!D142="")*(COUNTIF(reference!$C$17:$C$18,TRIM(hospitalityq!D142))=0)</f>
        <v>0</v>
      </c>
      <c r="J142">
        <f>NOT(hospitalityq!J142="")*(NOT(ISNUMBER(hospitalityq!J142+0)))</f>
        <v>0</v>
      </c>
      <c r="K142">
        <f>NOT(hospitalityq!K142="")*(NOT(ISNUMBER(hospitalityq!K142+0)))</f>
        <v>0</v>
      </c>
      <c r="P142">
        <f>NOT(hospitalityq!P142="")*(NOT(IFERROR(INT(hospitalityq!P142)=VALUE(hospitalityq!P142),FALSE)))</f>
        <v>0</v>
      </c>
      <c r="Q142">
        <f>NOT(hospitalityq!Q142="")*(NOT(IFERROR(INT(hospitalityq!Q142)=VALUE(hospitalityq!Q142),FALSE)))</f>
        <v>0</v>
      </c>
      <c r="R142">
        <f>NOT(hospitalityq!R142="")*(NOT(IFERROR(ROUND(VALUE(hospitalityq!R142),2)=VALUE(hospitalityq!R142),FALSE)))</f>
        <v>0</v>
      </c>
    </row>
    <row r="143" spans="1:18" x14ac:dyDescent="0.25">
      <c r="A143">
        <f t="shared" si="2"/>
        <v>0</v>
      </c>
      <c r="C143">
        <f>NOT(hospitalityq!C143="")*(SUMPRODUCT(--(TRIM(hospitalityq!C6:C143)=TRIM(hospitalityq!C143)))&gt;1)</f>
        <v>0</v>
      </c>
      <c r="D143">
        <f>NOT(hospitalityq!D143="")*(COUNTIF(reference!$C$17:$C$18,TRIM(hospitalityq!D143))=0)</f>
        <v>0</v>
      </c>
      <c r="J143">
        <f>NOT(hospitalityq!J143="")*(NOT(ISNUMBER(hospitalityq!J143+0)))</f>
        <v>0</v>
      </c>
      <c r="K143">
        <f>NOT(hospitalityq!K143="")*(NOT(ISNUMBER(hospitalityq!K143+0)))</f>
        <v>0</v>
      </c>
      <c r="P143">
        <f>NOT(hospitalityq!P143="")*(NOT(IFERROR(INT(hospitalityq!P143)=VALUE(hospitalityq!P143),FALSE)))</f>
        <v>0</v>
      </c>
      <c r="Q143">
        <f>NOT(hospitalityq!Q143="")*(NOT(IFERROR(INT(hospitalityq!Q143)=VALUE(hospitalityq!Q143),FALSE)))</f>
        <v>0</v>
      </c>
      <c r="R143">
        <f>NOT(hospitalityq!R143="")*(NOT(IFERROR(ROUND(VALUE(hospitalityq!R143),2)=VALUE(hospitalityq!R143),FALSE)))</f>
        <v>0</v>
      </c>
    </row>
    <row r="144" spans="1:18" x14ac:dyDescent="0.25">
      <c r="A144">
        <f t="shared" si="2"/>
        <v>0</v>
      </c>
      <c r="C144">
        <f>NOT(hospitalityq!C144="")*(SUMPRODUCT(--(TRIM(hospitalityq!C6:C144)=TRIM(hospitalityq!C144)))&gt;1)</f>
        <v>0</v>
      </c>
      <c r="D144">
        <f>NOT(hospitalityq!D144="")*(COUNTIF(reference!$C$17:$C$18,TRIM(hospitalityq!D144))=0)</f>
        <v>0</v>
      </c>
      <c r="J144">
        <f>NOT(hospitalityq!J144="")*(NOT(ISNUMBER(hospitalityq!J144+0)))</f>
        <v>0</v>
      </c>
      <c r="K144">
        <f>NOT(hospitalityq!K144="")*(NOT(ISNUMBER(hospitalityq!K144+0)))</f>
        <v>0</v>
      </c>
      <c r="P144">
        <f>NOT(hospitalityq!P144="")*(NOT(IFERROR(INT(hospitalityq!P144)=VALUE(hospitalityq!P144),FALSE)))</f>
        <v>0</v>
      </c>
      <c r="Q144">
        <f>NOT(hospitalityq!Q144="")*(NOT(IFERROR(INT(hospitalityq!Q144)=VALUE(hospitalityq!Q144),FALSE)))</f>
        <v>0</v>
      </c>
      <c r="R144">
        <f>NOT(hospitalityq!R144="")*(NOT(IFERROR(ROUND(VALUE(hospitalityq!R144),2)=VALUE(hospitalityq!R144),FALSE)))</f>
        <v>0</v>
      </c>
    </row>
    <row r="145" spans="1:18" x14ac:dyDescent="0.25">
      <c r="A145">
        <f t="shared" si="2"/>
        <v>0</v>
      </c>
      <c r="C145">
        <f>NOT(hospitalityq!C145="")*(SUMPRODUCT(--(TRIM(hospitalityq!C6:C145)=TRIM(hospitalityq!C145)))&gt;1)</f>
        <v>0</v>
      </c>
      <c r="D145">
        <f>NOT(hospitalityq!D145="")*(COUNTIF(reference!$C$17:$C$18,TRIM(hospitalityq!D145))=0)</f>
        <v>0</v>
      </c>
      <c r="J145">
        <f>NOT(hospitalityq!J145="")*(NOT(ISNUMBER(hospitalityq!J145+0)))</f>
        <v>0</v>
      </c>
      <c r="K145">
        <f>NOT(hospitalityq!K145="")*(NOT(ISNUMBER(hospitalityq!K145+0)))</f>
        <v>0</v>
      </c>
      <c r="P145">
        <f>NOT(hospitalityq!P145="")*(NOT(IFERROR(INT(hospitalityq!P145)=VALUE(hospitalityq!P145),FALSE)))</f>
        <v>0</v>
      </c>
      <c r="Q145">
        <f>NOT(hospitalityq!Q145="")*(NOT(IFERROR(INT(hospitalityq!Q145)=VALUE(hospitalityq!Q145),FALSE)))</f>
        <v>0</v>
      </c>
      <c r="R145">
        <f>NOT(hospitalityq!R145="")*(NOT(IFERROR(ROUND(VALUE(hospitalityq!R145),2)=VALUE(hospitalityq!R145),FALSE)))</f>
        <v>0</v>
      </c>
    </row>
    <row r="146" spans="1:18" x14ac:dyDescent="0.25">
      <c r="A146">
        <f t="shared" si="2"/>
        <v>0</v>
      </c>
      <c r="C146">
        <f>NOT(hospitalityq!C146="")*(SUMPRODUCT(--(TRIM(hospitalityq!C6:C146)=TRIM(hospitalityq!C146)))&gt;1)</f>
        <v>0</v>
      </c>
      <c r="D146">
        <f>NOT(hospitalityq!D146="")*(COUNTIF(reference!$C$17:$C$18,TRIM(hospitalityq!D146))=0)</f>
        <v>0</v>
      </c>
      <c r="J146">
        <f>NOT(hospitalityq!J146="")*(NOT(ISNUMBER(hospitalityq!J146+0)))</f>
        <v>0</v>
      </c>
      <c r="K146">
        <f>NOT(hospitalityq!K146="")*(NOT(ISNUMBER(hospitalityq!K146+0)))</f>
        <v>0</v>
      </c>
      <c r="P146">
        <f>NOT(hospitalityq!P146="")*(NOT(IFERROR(INT(hospitalityq!P146)=VALUE(hospitalityq!P146),FALSE)))</f>
        <v>0</v>
      </c>
      <c r="Q146">
        <f>NOT(hospitalityq!Q146="")*(NOT(IFERROR(INT(hospitalityq!Q146)=VALUE(hospitalityq!Q146),FALSE)))</f>
        <v>0</v>
      </c>
      <c r="R146">
        <f>NOT(hospitalityq!R146="")*(NOT(IFERROR(ROUND(VALUE(hospitalityq!R146),2)=VALUE(hospitalityq!R146),FALSE)))</f>
        <v>0</v>
      </c>
    </row>
    <row r="147" spans="1:18" x14ac:dyDescent="0.25">
      <c r="A147">
        <f t="shared" si="2"/>
        <v>0</v>
      </c>
      <c r="C147">
        <f>NOT(hospitalityq!C147="")*(SUMPRODUCT(--(TRIM(hospitalityq!C6:C147)=TRIM(hospitalityq!C147)))&gt;1)</f>
        <v>0</v>
      </c>
      <c r="D147">
        <f>NOT(hospitalityq!D147="")*(COUNTIF(reference!$C$17:$C$18,TRIM(hospitalityq!D147))=0)</f>
        <v>0</v>
      </c>
      <c r="J147">
        <f>NOT(hospitalityq!J147="")*(NOT(ISNUMBER(hospitalityq!J147+0)))</f>
        <v>0</v>
      </c>
      <c r="K147">
        <f>NOT(hospitalityq!K147="")*(NOT(ISNUMBER(hospitalityq!K147+0)))</f>
        <v>0</v>
      </c>
      <c r="P147">
        <f>NOT(hospitalityq!P147="")*(NOT(IFERROR(INT(hospitalityq!P147)=VALUE(hospitalityq!P147),FALSE)))</f>
        <v>0</v>
      </c>
      <c r="Q147">
        <f>NOT(hospitalityq!Q147="")*(NOT(IFERROR(INT(hospitalityq!Q147)=VALUE(hospitalityq!Q147),FALSE)))</f>
        <v>0</v>
      </c>
      <c r="R147">
        <f>NOT(hospitalityq!R147="")*(NOT(IFERROR(ROUND(VALUE(hospitalityq!R147),2)=VALUE(hospitalityq!R147),FALSE)))</f>
        <v>0</v>
      </c>
    </row>
    <row r="148" spans="1:18" x14ac:dyDescent="0.25">
      <c r="A148">
        <f t="shared" si="2"/>
        <v>0</v>
      </c>
      <c r="C148">
        <f>NOT(hospitalityq!C148="")*(SUMPRODUCT(--(TRIM(hospitalityq!C6:C148)=TRIM(hospitalityq!C148)))&gt;1)</f>
        <v>0</v>
      </c>
      <c r="D148">
        <f>NOT(hospitalityq!D148="")*(COUNTIF(reference!$C$17:$C$18,TRIM(hospitalityq!D148))=0)</f>
        <v>0</v>
      </c>
      <c r="J148">
        <f>NOT(hospitalityq!J148="")*(NOT(ISNUMBER(hospitalityq!J148+0)))</f>
        <v>0</v>
      </c>
      <c r="K148">
        <f>NOT(hospitalityq!K148="")*(NOT(ISNUMBER(hospitalityq!K148+0)))</f>
        <v>0</v>
      </c>
      <c r="P148">
        <f>NOT(hospitalityq!P148="")*(NOT(IFERROR(INT(hospitalityq!P148)=VALUE(hospitalityq!P148),FALSE)))</f>
        <v>0</v>
      </c>
      <c r="Q148">
        <f>NOT(hospitalityq!Q148="")*(NOT(IFERROR(INT(hospitalityq!Q148)=VALUE(hospitalityq!Q148),FALSE)))</f>
        <v>0</v>
      </c>
      <c r="R148">
        <f>NOT(hospitalityq!R148="")*(NOT(IFERROR(ROUND(VALUE(hospitalityq!R148),2)=VALUE(hospitalityq!R148),FALSE)))</f>
        <v>0</v>
      </c>
    </row>
    <row r="149" spans="1:18" x14ac:dyDescent="0.25">
      <c r="A149">
        <f t="shared" si="2"/>
        <v>0</v>
      </c>
      <c r="C149">
        <f>NOT(hospitalityq!C149="")*(SUMPRODUCT(--(TRIM(hospitalityq!C6:C149)=TRIM(hospitalityq!C149)))&gt;1)</f>
        <v>0</v>
      </c>
      <c r="D149">
        <f>NOT(hospitalityq!D149="")*(COUNTIF(reference!$C$17:$C$18,TRIM(hospitalityq!D149))=0)</f>
        <v>0</v>
      </c>
      <c r="J149">
        <f>NOT(hospitalityq!J149="")*(NOT(ISNUMBER(hospitalityq!J149+0)))</f>
        <v>0</v>
      </c>
      <c r="K149">
        <f>NOT(hospitalityq!K149="")*(NOT(ISNUMBER(hospitalityq!K149+0)))</f>
        <v>0</v>
      </c>
      <c r="P149">
        <f>NOT(hospitalityq!P149="")*(NOT(IFERROR(INT(hospitalityq!P149)=VALUE(hospitalityq!P149),FALSE)))</f>
        <v>0</v>
      </c>
      <c r="Q149">
        <f>NOT(hospitalityq!Q149="")*(NOT(IFERROR(INT(hospitalityq!Q149)=VALUE(hospitalityq!Q149),FALSE)))</f>
        <v>0</v>
      </c>
      <c r="R149">
        <f>NOT(hospitalityq!R149="")*(NOT(IFERROR(ROUND(VALUE(hospitalityq!R149),2)=VALUE(hospitalityq!R149),FALSE)))</f>
        <v>0</v>
      </c>
    </row>
    <row r="150" spans="1:18" x14ac:dyDescent="0.25">
      <c r="A150">
        <f t="shared" si="2"/>
        <v>0</v>
      </c>
      <c r="C150">
        <f>NOT(hospitalityq!C150="")*(SUMPRODUCT(--(TRIM(hospitalityq!C6:C150)=TRIM(hospitalityq!C150)))&gt;1)</f>
        <v>0</v>
      </c>
      <c r="D150">
        <f>NOT(hospitalityq!D150="")*(COUNTIF(reference!$C$17:$C$18,TRIM(hospitalityq!D150))=0)</f>
        <v>0</v>
      </c>
      <c r="J150">
        <f>NOT(hospitalityq!J150="")*(NOT(ISNUMBER(hospitalityq!J150+0)))</f>
        <v>0</v>
      </c>
      <c r="K150">
        <f>NOT(hospitalityq!K150="")*(NOT(ISNUMBER(hospitalityq!K150+0)))</f>
        <v>0</v>
      </c>
      <c r="P150">
        <f>NOT(hospitalityq!P150="")*(NOT(IFERROR(INT(hospitalityq!P150)=VALUE(hospitalityq!P150),FALSE)))</f>
        <v>0</v>
      </c>
      <c r="Q150">
        <f>NOT(hospitalityq!Q150="")*(NOT(IFERROR(INT(hospitalityq!Q150)=VALUE(hospitalityq!Q150),FALSE)))</f>
        <v>0</v>
      </c>
      <c r="R150">
        <f>NOT(hospitalityq!R150="")*(NOT(IFERROR(ROUND(VALUE(hospitalityq!R150),2)=VALUE(hospitalityq!R150),FALSE)))</f>
        <v>0</v>
      </c>
    </row>
    <row r="151" spans="1:18" x14ac:dyDescent="0.25">
      <c r="A151">
        <f t="shared" si="2"/>
        <v>0</v>
      </c>
      <c r="C151">
        <f>NOT(hospitalityq!C151="")*(SUMPRODUCT(--(TRIM(hospitalityq!C6:C151)=TRIM(hospitalityq!C151)))&gt;1)</f>
        <v>0</v>
      </c>
      <c r="D151">
        <f>NOT(hospitalityq!D151="")*(COUNTIF(reference!$C$17:$C$18,TRIM(hospitalityq!D151))=0)</f>
        <v>0</v>
      </c>
      <c r="J151">
        <f>NOT(hospitalityq!J151="")*(NOT(ISNUMBER(hospitalityq!J151+0)))</f>
        <v>0</v>
      </c>
      <c r="K151">
        <f>NOT(hospitalityq!K151="")*(NOT(ISNUMBER(hospitalityq!K151+0)))</f>
        <v>0</v>
      </c>
      <c r="P151">
        <f>NOT(hospitalityq!P151="")*(NOT(IFERROR(INT(hospitalityq!P151)=VALUE(hospitalityq!P151),FALSE)))</f>
        <v>0</v>
      </c>
      <c r="Q151">
        <f>NOT(hospitalityq!Q151="")*(NOT(IFERROR(INT(hospitalityq!Q151)=VALUE(hospitalityq!Q151),FALSE)))</f>
        <v>0</v>
      </c>
      <c r="R151">
        <f>NOT(hospitalityq!R151="")*(NOT(IFERROR(ROUND(VALUE(hospitalityq!R151),2)=VALUE(hospitalityq!R151),FALSE)))</f>
        <v>0</v>
      </c>
    </row>
    <row r="152" spans="1:18" x14ac:dyDescent="0.25">
      <c r="A152">
        <f t="shared" si="2"/>
        <v>0</v>
      </c>
      <c r="C152">
        <f>NOT(hospitalityq!C152="")*(SUMPRODUCT(--(TRIM(hospitalityq!C6:C152)=TRIM(hospitalityq!C152)))&gt;1)</f>
        <v>0</v>
      </c>
      <c r="D152">
        <f>NOT(hospitalityq!D152="")*(COUNTIF(reference!$C$17:$C$18,TRIM(hospitalityq!D152))=0)</f>
        <v>0</v>
      </c>
      <c r="J152">
        <f>NOT(hospitalityq!J152="")*(NOT(ISNUMBER(hospitalityq!J152+0)))</f>
        <v>0</v>
      </c>
      <c r="K152">
        <f>NOT(hospitalityq!K152="")*(NOT(ISNUMBER(hospitalityq!K152+0)))</f>
        <v>0</v>
      </c>
      <c r="P152">
        <f>NOT(hospitalityq!P152="")*(NOT(IFERROR(INT(hospitalityq!P152)=VALUE(hospitalityq!P152),FALSE)))</f>
        <v>0</v>
      </c>
      <c r="Q152">
        <f>NOT(hospitalityq!Q152="")*(NOT(IFERROR(INT(hospitalityq!Q152)=VALUE(hospitalityq!Q152),FALSE)))</f>
        <v>0</v>
      </c>
      <c r="R152">
        <f>NOT(hospitalityq!R152="")*(NOT(IFERROR(ROUND(VALUE(hospitalityq!R152),2)=VALUE(hospitalityq!R152),FALSE)))</f>
        <v>0</v>
      </c>
    </row>
    <row r="153" spans="1:18" x14ac:dyDescent="0.25">
      <c r="A153">
        <f t="shared" si="2"/>
        <v>0</v>
      </c>
      <c r="C153">
        <f>NOT(hospitalityq!C153="")*(SUMPRODUCT(--(TRIM(hospitalityq!C6:C153)=TRIM(hospitalityq!C153)))&gt;1)</f>
        <v>0</v>
      </c>
      <c r="D153">
        <f>NOT(hospitalityq!D153="")*(COUNTIF(reference!$C$17:$C$18,TRIM(hospitalityq!D153))=0)</f>
        <v>0</v>
      </c>
      <c r="J153">
        <f>NOT(hospitalityq!J153="")*(NOT(ISNUMBER(hospitalityq!J153+0)))</f>
        <v>0</v>
      </c>
      <c r="K153">
        <f>NOT(hospitalityq!K153="")*(NOT(ISNUMBER(hospitalityq!K153+0)))</f>
        <v>0</v>
      </c>
      <c r="P153">
        <f>NOT(hospitalityq!P153="")*(NOT(IFERROR(INT(hospitalityq!P153)=VALUE(hospitalityq!P153),FALSE)))</f>
        <v>0</v>
      </c>
      <c r="Q153">
        <f>NOT(hospitalityq!Q153="")*(NOT(IFERROR(INT(hospitalityq!Q153)=VALUE(hospitalityq!Q153),FALSE)))</f>
        <v>0</v>
      </c>
      <c r="R153">
        <f>NOT(hospitalityq!R153="")*(NOT(IFERROR(ROUND(VALUE(hospitalityq!R153),2)=VALUE(hospitalityq!R153),FALSE)))</f>
        <v>0</v>
      </c>
    </row>
    <row r="154" spans="1:18" x14ac:dyDescent="0.25">
      <c r="A154">
        <f t="shared" si="2"/>
        <v>0</v>
      </c>
      <c r="C154">
        <f>NOT(hospitalityq!C154="")*(SUMPRODUCT(--(TRIM(hospitalityq!C6:C154)=TRIM(hospitalityq!C154)))&gt;1)</f>
        <v>0</v>
      </c>
      <c r="D154">
        <f>NOT(hospitalityq!D154="")*(COUNTIF(reference!$C$17:$C$18,TRIM(hospitalityq!D154))=0)</f>
        <v>0</v>
      </c>
      <c r="J154">
        <f>NOT(hospitalityq!J154="")*(NOT(ISNUMBER(hospitalityq!J154+0)))</f>
        <v>0</v>
      </c>
      <c r="K154">
        <f>NOT(hospitalityq!K154="")*(NOT(ISNUMBER(hospitalityq!K154+0)))</f>
        <v>0</v>
      </c>
      <c r="P154">
        <f>NOT(hospitalityq!P154="")*(NOT(IFERROR(INT(hospitalityq!P154)=VALUE(hospitalityq!P154),FALSE)))</f>
        <v>0</v>
      </c>
      <c r="Q154">
        <f>NOT(hospitalityq!Q154="")*(NOT(IFERROR(INT(hospitalityq!Q154)=VALUE(hospitalityq!Q154),FALSE)))</f>
        <v>0</v>
      </c>
      <c r="R154">
        <f>NOT(hospitalityq!R154="")*(NOT(IFERROR(ROUND(VALUE(hospitalityq!R154),2)=VALUE(hospitalityq!R154),FALSE)))</f>
        <v>0</v>
      </c>
    </row>
    <row r="155" spans="1:18" x14ac:dyDescent="0.25">
      <c r="A155">
        <f t="shared" si="2"/>
        <v>0</v>
      </c>
      <c r="C155">
        <f>NOT(hospitalityq!C155="")*(SUMPRODUCT(--(TRIM(hospitalityq!C6:C155)=TRIM(hospitalityq!C155)))&gt;1)</f>
        <v>0</v>
      </c>
      <c r="D155">
        <f>NOT(hospitalityq!D155="")*(COUNTIF(reference!$C$17:$C$18,TRIM(hospitalityq!D155))=0)</f>
        <v>0</v>
      </c>
      <c r="J155">
        <f>NOT(hospitalityq!J155="")*(NOT(ISNUMBER(hospitalityq!J155+0)))</f>
        <v>0</v>
      </c>
      <c r="K155">
        <f>NOT(hospitalityq!K155="")*(NOT(ISNUMBER(hospitalityq!K155+0)))</f>
        <v>0</v>
      </c>
      <c r="P155">
        <f>NOT(hospitalityq!P155="")*(NOT(IFERROR(INT(hospitalityq!P155)=VALUE(hospitalityq!P155),FALSE)))</f>
        <v>0</v>
      </c>
      <c r="Q155">
        <f>NOT(hospitalityq!Q155="")*(NOT(IFERROR(INT(hospitalityq!Q155)=VALUE(hospitalityq!Q155),FALSE)))</f>
        <v>0</v>
      </c>
      <c r="R155">
        <f>NOT(hospitalityq!R155="")*(NOT(IFERROR(ROUND(VALUE(hospitalityq!R155),2)=VALUE(hospitalityq!R155),FALSE)))</f>
        <v>0</v>
      </c>
    </row>
    <row r="156" spans="1:18" x14ac:dyDescent="0.25">
      <c r="A156">
        <f t="shared" si="2"/>
        <v>0</v>
      </c>
      <c r="C156">
        <f>NOT(hospitalityq!C156="")*(SUMPRODUCT(--(TRIM(hospitalityq!C6:C156)=TRIM(hospitalityq!C156)))&gt;1)</f>
        <v>0</v>
      </c>
      <c r="D156">
        <f>NOT(hospitalityq!D156="")*(COUNTIF(reference!$C$17:$C$18,TRIM(hospitalityq!D156))=0)</f>
        <v>0</v>
      </c>
      <c r="J156">
        <f>NOT(hospitalityq!J156="")*(NOT(ISNUMBER(hospitalityq!J156+0)))</f>
        <v>0</v>
      </c>
      <c r="K156">
        <f>NOT(hospitalityq!K156="")*(NOT(ISNUMBER(hospitalityq!K156+0)))</f>
        <v>0</v>
      </c>
      <c r="P156">
        <f>NOT(hospitalityq!P156="")*(NOT(IFERROR(INT(hospitalityq!P156)=VALUE(hospitalityq!P156),FALSE)))</f>
        <v>0</v>
      </c>
      <c r="Q156">
        <f>NOT(hospitalityq!Q156="")*(NOT(IFERROR(INT(hospitalityq!Q156)=VALUE(hospitalityq!Q156),FALSE)))</f>
        <v>0</v>
      </c>
      <c r="R156">
        <f>NOT(hospitalityq!R156="")*(NOT(IFERROR(ROUND(VALUE(hospitalityq!R156),2)=VALUE(hospitalityq!R156),FALSE)))</f>
        <v>0</v>
      </c>
    </row>
    <row r="157" spans="1:18" x14ac:dyDescent="0.25">
      <c r="A157">
        <f t="shared" si="2"/>
        <v>0</v>
      </c>
      <c r="C157">
        <f>NOT(hospitalityq!C157="")*(SUMPRODUCT(--(TRIM(hospitalityq!C6:C157)=TRIM(hospitalityq!C157)))&gt;1)</f>
        <v>0</v>
      </c>
      <c r="D157">
        <f>NOT(hospitalityq!D157="")*(COUNTIF(reference!$C$17:$C$18,TRIM(hospitalityq!D157))=0)</f>
        <v>0</v>
      </c>
      <c r="J157">
        <f>NOT(hospitalityq!J157="")*(NOT(ISNUMBER(hospitalityq!J157+0)))</f>
        <v>0</v>
      </c>
      <c r="K157">
        <f>NOT(hospitalityq!K157="")*(NOT(ISNUMBER(hospitalityq!K157+0)))</f>
        <v>0</v>
      </c>
      <c r="P157">
        <f>NOT(hospitalityq!P157="")*(NOT(IFERROR(INT(hospitalityq!P157)=VALUE(hospitalityq!P157),FALSE)))</f>
        <v>0</v>
      </c>
      <c r="Q157">
        <f>NOT(hospitalityq!Q157="")*(NOT(IFERROR(INT(hospitalityq!Q157)=VALUE(hospitalityq!Q157),FALSE)))</f>
        <v>0</v>
      </c>
      <c r="R157">
        <f>NOT(hospitalityq!R157="")*(NOT(IFERROR(ROUND(VALUE(hospitalityq!R157),2)=VALUE(hospitalityq!R157),FALSE)))</f>
        <v>0</v>
      </c>
    </row>
    <row r="158" spans="1:18" x14ac:dyDescent="0.25">
      <c r="A158">
        <f t="shared" si="2"/>
        <v>0</v>
      </c>
      <c r="C158">
        <f>NOT(hospitalityq!C158="")*(SUMPRODUCT(--(TRIM(hospitalityq!C6:C158)=TRIM(hospitalityq!C158)))&gt;1)</f>
        <v>0</v>
      </c>
      <c r="D158">
        <f>NOT(hospitalityq!D158="")*(COUNTIF(reference!$C$17:$C$18,TRIM(hospitalityq!D158))=0)</f>
        <v>0</v>
      </c>
      <c r="J158">
        <f>NOT(hospitalityq!J158="")*(NOT(ISNUMBER(hospitalityq!J158+0)))</f>
        <v>0</v>
      </c>
      <c r="K158">
        <f>NOT(hospitalityq!K158="")*(NOT(ISNUMBER(hospitalityq!K158+0)))</f>
        <v>0</v>
      </c>
      <c r="P158">
        <f>NOT(hospitalityq!P158="")*(NOT(IFERROR(INT(hospitalityq!P158)=VALUE(hospitalityq!P158),FALSE)))</f>
        <v>0</v>
      </c>
      <c r="Q158">
        <f>NOT(hospitalityq!Q158="")*(NOT(IFERROR(INT(hospitalityq!Q158)=VALUE(hospitalityq!Q158),FALSE)))</f>
        <v>0</v>
      </c>
      <c r="R158">
        <f>NOT(hospitalityq!R158="")*(NOT(IFERROR(ROUND(VALUE(hospitalityq!R158),2)=VALUE(hospitalityq!R158),FALSE)))</f>
        <v>0</v>
      </c>
    </row>
    <row r="159" spans="1:18" x14ac:dyDescent="0.25">
      <c r="A159">
        <f t="shared" si="2"/>
        <v>0</v>
      </c>
      <c r="C159">
        <f>NOT(hospitalityq!C159="")*(SUMPRODUCT(--(TRIM(hospitalityq!C6:C159)=TRIM(hospitalityq!C159)))&gt;1)</f>
        <v>0</v>
      </c>
      <c r="D159">
        <f>NOT(hospitalityq!D159="")*(COUNTIF(reference!$C$17:$C$18,TRIM(hospitalityq!D159))=0)</f>
        <v>0</v>
      </c>
      <c r="J159">
        <f>NOT(hospitalityq!J159="")*(NOT(ISNUMBER(hospitalityq!J159+0)))</f>
        <v>0</v>
      </c>
      <c r="K159">
        <f>NOT(hospitalityq!K159="")*(NOT(ISNUMBER(hospitalityq!K159+0)))</f>
        <v>0</v>
      </c>
      <c r="P159">
        <f>NOT(hospitalityq!P159="")*(NOT(IFERROR(INT(hospitalityq!P159)=VALUE(hospitalityq!P159),FALSE)))</f>
        <v>0</v>
      </c>
      <c r="Q159">
        <f>NOT(hospitalityq!Q159="")*(NOT(IFERROR(INT(hospitalityq!Q159)=VALUE(hospitalityq!Q159),FALSE)))</f>
        <v>0</v>
      </c>
      <c r="R159">
        <f>NOT(hospitalityq!R159="")*(NOT(IFERROR(ROUND(VALUE(hospitalityq!R159),2)=VALUE(hospitalityq!R159),FALSE)))</f>
        <v>0</v>
      </c>
    </row>
    <row r="160" spans="1:18" x14ac:dyDescent="0.25">
      <c r="A160">
        <f t="shared" si="2"/>
        <v>0</v>
      </c>
      <c r="C160">
        <f>NOT(hospitalityq!C160="")*(SUMPRODUCT(--(TRIM(hospitalityq!C6:C160)=TRIM(hospitalityq!C160)))&gt;1)</f>
        <v>0</v>
      </c>
      <c r="D160">
        <f>NOT(hospitalityq!D160="")*(COUNTIF(reference!$C$17:$C$18,TRIM(hospitalityq!D160))=0)</f>
        <v>0</v>
      </c>
      <c r="J160">
        <f>NOT(hospitalityq!J160="")*(NOT(ISNUMBER(hospitalityq!J160+0)))</f>
        <v>0</v>
      </c>
      <c r="K160">
        <f>NOT(hospitalityq!K160="")*(NOT(ISNUMBER(hospitalityq!K160+0)))</f>
        <v>0</v>
      </c>
      <c r="P160">
        <f>NOT(hospitalityq!P160="")*(NOT(IFERROR(INT(hospitalityq!P160)=VALUE(hospitalityq!P160),FALSE)))</f>
        <v>0</v>
      </c>
      <c r="Q160">
        <f>NOT(hospitalityq!Q160="")*(NOT(IFERROR(INT(hospitalityq!Q160)=VALUE(hospitalityq!Q160),FALSE)))</f>
        <v>0</v>
      </c>
      <c r="R160">
        <f>NOT(hospitalityq!R160="")*(NOT(IFERROR(ROUND(VALUE(hospitalityq!R160),2)=VALUE(hospitalityq!R160),FALSE)))</f>
        <v>0</v>
      </c>
    </row>
    <row r="161" spans="1:18" x14ac:dyDescent="0.25">
      <c r="A161">
        <f t="shared" si="2"/>
        <v>0</v>
      </c>
      <c r="C161">
        <f>NOT(hospitalityq!C161="")*(SUMPRODUCT(--(TRIM(hospitalityq!C6:C161)=TRIM(hospitalityq!C161)))&gt;1)</f>
        <v>0</v>
      </c>
      <c r="D161">
        <f>NOT(hospitalityq!D161="")*(COUNTIF(reference!$C$17:$C$18,TRIM(hospitalityq!D161))=0)</f>
        <v>0</v>
      </c>
      <c r="J161">
        <f>NOT(hospitalityq!J161="")*(NOT(ISNUMBER(hospitalityq!J161+0)))</f>
        <v>0</v>
      </c>
      <c r="K161">
        <f>NOT(hospitalityq!K161="")*(NOT(ISNUMBER(hospitalityq!K161+0)))</f>
        <v>0</v>
      </c>
      <c r="P161">
        <f>NOT(hospitalityq!P161="")*(NOT(IFERROR(INT(hospitalityq!P161)=VALUE(hospitalityq!P161),FALSE)))</f>
        <v>0</v>
      </c>
      <c r="Q161">
        <f>NOT(hospitalityq!Q161="")*(NOT(IFERROR(INT(hospitalityq!Q161)=VALUE(hospitalityq!Q161),FALSE)))</f>
        <v>0</v>
      </c>
      <c r="R161">
        <f>NOT(hospitalityq!R161="")*(NOT(IFERROR(ROUND(VALUE(hospitalityq!R161),2)=VALUE(hospitalityq!R161),FALSE)))</f>
        <v>0</v>
      </c>
    </row>
    <row r="162" spans="1:18" x14ac:dyDescent="0.25">
      <c r="A162">
        <f t="shared" si="2"/>
        <v>0</v>
      </c>
      <c r="C162">
        <f>NOT(hospitalityq!C162="")*(SUMPRODUCT(--(TRIM(hospitalityq!C6:C162)=TRIM(hospitalityq!C162)))&gt;1)</f>
        <v>0</v>
      </c>
      <c r="D162">
        <f>NOT(hospitalityq!D162="")*(COUNTIF(reference!$C$17:$C$18,TRIM(hospitalityq!D162))=0)</f>
        <v>0</v>
      </c>
      <c r="J162">
        <f>NOT(hospitalityq!J162="")*(NOT(ISNUMBER(hospitalityq!J162+0)))</f>
        <v>0</v>
      </c>
      <c r="K162">
        <f>NOT(hospitalityq!K162="")*(NOT(ISNUMBER(hospitalityq!K162+0)))</f>
        <v>0</v>
      </c>
      <c r="P162">
        <f>NOT(hospitalityq!P162="")*(NOT(IFERROR(INT(hospitalityq!P162)=VALUE(hospitalityq!P162),FALSE)))</f>
        <v>0</v>
      </c>
      <c r="Q162">
        <f>NOT(hospitalityq!Q162="")*(NOT(IFERROR(INT(hospitalityq!Q162)=VALUE(hospitalityq!Q162),FALSE)))</f>
        <v>0</v>
      </c>
      <c r="R162">
        <f>NOT(hospitalityq!R162="")*(NOT(IFERROR(ROUND(VALUE(hospitalityq!R162),2)=VALUE(hospitalityq!R162),FALSE)))</f>
        <v>0</v>
      </c>
    </row>
    <row r="163" spans="1:18" x14ac:dyDescent="0.25">
      <c r="A163">
        <f t="shared" si="2"/>
        <v>0</v>
      </c>
      <c r="C163">
        <f>NOT(hospitalityq!C163="")*(SUMPRODUCT(--(TRIM(hospitalityq!C6:C163)=TRIM(hospitalityq!C163)))&gt;1)</f>
        <v>0</v>
      </c>
      <c r="D163">
        <f>NOT(hospitalityq!D163="")*(COUNTIF(reference!$C$17:$C$18,TRIM(hospitalityq!D163))=0)</f>
        <v>0</v>
      </c>
      <c r="J163">
        <f>NOT(hospitalityq!J163="")*(NOT(ISNUMBER(hospitalityq!J163+0)))</f>
        <v>0</v>
      </c>
      <c r="K163">
        <f>NOT(hospitalityq!K163="")*(NOT(ISNUMBER(hospitalityq!K163+0)))</f>
        <v>0</v>
      </c>
      <c r="P163">
        <f>NOT(hospitalityq!P163="")*(NOT(IFERROR(INT(hospitalityq!P163)=VALUE(hospitalityq!P163),FALSE)))</f>
        <v>0</v>
      </c>
      <c r="Q163">
        <f>NOT(hospitalityq!Q163="")*(NOT(IFERROR(INT(hospitalityq!Q163)=VALUE(hospitalityq!Q163),FALSE)))</f>
        <v>0</v>
      </c>
      <c r="R163">
        <f>NOT(hospitalityq!R163="")*(NOT(IFERROR(ROUND(VALUE(hospitalityq!R163),2)=VALUE(hospitalityq!R163),FALSE)))</f>
        <v>0</v>
      </c>
    </row>
    <row r="164" spans="1:18" x14ac:dyDescent="0.25">
      <c r="A164">
        <f t="shared" si="2"/>
        <v>0</v>
      </c>
      <c r="C164">
        <f>NOT(hospitalityq!C164="")*(SUMPRODUCT(--(TRIM(hospitalityq!C6:C164)=TRIM(hospitalityq!C164)))&gt;1)</f>
        <v>0</v>
      </c>
      <c r="D164">
        <f>NOT(hospitalityq!D164="")*(COUNTIF(reference!$C$17:$C$18,TRIM(hospitalityq!D164))=0)</f>
        <v>0</v>
      </c>
      <c r="J164">
        <f>NOT(hospitalityq!J164="")*(NOT(ISNUMBER(hospitalityq!J164+0)))</f>
        <v>0</v>
      </c>
      <c r="K164">
        <f>NOT(hospitalityq!K164="")*(NOT(ISNUMBER(hospitalityq!K164+0)))</f>
        <v>0</v>
      </c>
      <c r="P164">
        <f>NOT(hospitalityq!P164="")*(NOT(IFERROR(INT(hospitalityq!P164)=VALUE(hospitalityq!P164),FALSE)))</f>
        <v>0</v>
      </c>
      <c r="Q164">
        <f>NOT(hospitalityq!Q164="")*(NOT(IFERROR(INT(hospitalityq!Q164)=VALUE(hospitalityq!Q164),FALSE)))</f>
        <v>0</v>
      </c>
      <c r="R164">
        <f>NOT(hospitalityq!R164="")*(NOT(IFERROR(ROUND(VALUE(hospitalityq!R164),2)=VALUE(hospitalityq!R164),FALSE)))</f>
        <v>0</v>
      </c>
    </row>
    <row r="165" spans="1:18" x14ac:dyDescent="0.25">
      <c r="A165">
        <f t="shared" si="2"/>
        <v>0</v>
      </c>
      <c r="C165">
        <f>NOT(hospitalityq!C165="")*(SUMPRODUCT(--(TRIM(hospitalityq!C6:C165)=TRIM(hospitalityq!C165)))&gt;1)</f>
        <v>0</v>
      </c>
      <c r="D165">
        <f>NOT(hospitalityq!D165="")*(COUNTIF(reference!$C$17:$C$18,TRIM(hospitalityq!D165))=0)</f>
        <v>0</v>
      </c>
      <c r="J165">
        <f>NOT(hospitalityq!J165="")*(NOT(ISNUMBER(hospitalityq!J165+0)))</f>
        <v>0</v>
      </c>
      <c r="K165">
        <f>NOT(hospitalityq!K165="")*(NOT(ISNUMBER(hospitalityq!K165+0)))</f>
        <v>0</v>
      </c>
      <c r="P165">
        <f>NOT(hospitalityq!P165="")*(NOT(IFERROR(INT(hospitalityq!P165)=VALUE(hospitalityq!P165),FALSE)))</f>
        <v>0</v>
      </c>
      <c r="Q165">
        <f>NOT(hospitalityq!Q165="")*(NOT(IFERROR(INT(hospitalityq!Q165)=VALUE(hospitalityq!Q165),FALSE)))</f>
        <v>0</v>
      </c>
      <c r="R165">
        <f>NOT(hospitalityq!R165="")*(NOT(IFERROR(ROUND(VALUE(hospitalityq!R165),2)=VALUE(hospitalityq!R165),FALSE)))</f>
        <v>0</v>
      </c>
    </row>
    <row r="166" spans="1:18" x14ac:dyDescent="0.25">
      <c r="A166">
        <f t="shared" si="2"/>
        <v>0</v>
      </c>
      <c r="C166">
        <f>NOT(hospitalityq!C166="")*(SUMPRODUCT(--(TRIM(hospitalityq!C6:C166)=TRIM(hospitalityq!C166)))&gt;1)</f>
        <v>0</v>
      </c>
      <c r="D166">
        <f>NOT(hospitalityq!D166="")*(COUNTIF(reference!$C$17:$C$18,TRIM(hospitalityq!D166))=0)</f>
        <v>0</v>
      </c>
      <c r="J166">
        <f>NOT(hospitalityq!J166="")*(NOT(ISNUMBER(hospitalityq!J166+0)))</f>
        <v>0</v>
      </c>
      <c r="K166">
        <f>NOT(hospitalityq!K166="")*(NOT(ISNUMBER(hospitalityq!K166+0)))</f>
        <v>0</v>
      </c>
      <c r="P166">
        <f>NOT(hospitalityq!P166="")*(NOT(IFERROR(INT(hospitalityq!P166)=VALUE(hospitalityq!P166),FALSE)))</f>
        <v>0</v>
      </c>
      <c r="Q166">
        <f>NOT(hospitalityq!Q166="")*(NOT(IFERROR(INT(hospitalityq!Q166)=VALUE(hospitalityq!Q166),FALSE)))</f>
        <v>0</v>
      </c>
      <c r="R166">
        <f>NOT(hospitalityq!R166="")*(NOT(IFERROR(ROUND(VALUE(hospitalityq!R166),2)=VALUE(hospitalityq!R166),FALSE)))</f>
        <v>0</v>
      </c>
    </row>
    <row r="167" spans="1:18" x14ac:dyDescent="0.25">
      <c r="A167">
        <f t="shared" si="2"/>
        <v>0</v>
      </c>
      <c r="C167">
        <f>NOT(hospitalityq!C167="")*(SUMPRODUCT(--(TRIM(hospitalityq!C6:C167)=TRIM(hospitalityq!C167)))&gt;1)</f>
        <v>0</v>
      </c>
      <c r="D167">
        <f>NOT(hospitalityq!D167="")*(COUNTIF(reference!$C$17:$C$18,TRIM(hospitalityq!D167))=0)</f>
        <v>0</v>
      </c>
      <c r="J167">
        <f>NOT(hospitalityq!J167="")*(NOT(ISNUMBER(hospitalityq!J167+0)))</f>
        <v>0</v>
      </c>
      <c r="K167">
        <f>NOT(hospitalityq!K167="")*(NOT(ISNUMBER(hospitalityq!K167+0)))</f>
        <v>0</v>
      </c>
      <c r="P167">
        <f>NOT(hospitalityq!P167="")*(NOT(IFERROR(INT(hospitalityq!P167)=VALUE(hospitalityq!P167),FALSE)))</f>
        <v>0</v>
      </c>
      <c r="Q167">
        <f>NOT(hospitalityq!Q167="")*(NOT(IFERROR(INT(hospitalityq!Q167)=VALUE(hospitalityq!Q167),FALSE)))</f>
        <v>0</v>
      </c>
      <c r="R167">
        <f>NOT(hospitalityq!R167="")*(NOT(IFERROR(ROUND(VALUE(hospitalityq!R167),2)=VALUE(hospitalityq!R167),FALSE)))</f>
        <v>0</v>
      </c>
    </row>
    <row r="168" spans="1:18" x14ac:dyDescent="0.25">
      <c r="A168">
        <f t="shared" si="2"/>
        <v>0</v>
      </c>
      <c r="C168">
        <f>NOT(hospitalityq!C168="")*(SUMPRODUCT(--(TRIM(hospitalityq!C6:C168)=TRIM(hospitalityq!C168)))&gt;1)</f>
        <v>0</v>
      </c>
      <c r="D168">
        <f>NOT(hospitalityq!D168="")*(COUNTIF(reference!$C$17:$C$18,TRIM(hospitalityq!D168))=0)</f>
        <v>0</v>
      </c>
      <c r="J168">
        <f>NOT(hospitalityq!J168="")*(NOT(ISNUMBER(hospitalityq!J168+0)))</f>
        <v>0</v>
      </c>
      <c r="K168">
        <f>NOT(hospitalityq!K168="")*(NOT(ISNUMBER(hospitalityq!K168+0)))</f>
        <v>0</v>
      </c>
      <c r="P168">
        <f>NOT(hospitalityq!P168="")*(NOT(IFERROR(INT(hospitalityq!P168)=VALUE(hospitalityq!P168),FALSE)))</f>
        <v>0</v>
      </c>
      <c r="Q168">
        <f>NOT(hospitalityq!Q168="")*(NOT(IFERROR(INT(hospitalityq!Q168)=VALUE(hospitalityq!Q168),FALSE)))</f>
        <v>0</v>
      </c>
      <c r="R168">
        <f>NOT(hospitalityq!R168="")*(NOT(IFERROR(ROUND(VALUE(hospitalityq!R168),2)=VALUE(hospitalityq!R168),FALSE)))</f>
        <v>0</v>
      </c>
    </row>
    <row r="169" spans="1:18" x14ac:dyDescent="0.25">
      <c r="A169">
        <f t="shared" si="2"/>
        <v>0</v>
      </c>
      <c r="C169">
        <f>NOT(hospitalityq!C169="")*(SUMPRODUCT(--(TRIM(hospitalityq!C6:C169)=TRIM(hospitalityq!C169)))&gt;1)</f>
        <v>0</v>
      </c>
      <c r="D169">
        <f>NOT(hospitalityq!D169="")*(COUNTIF(reference!$C$17:$C$18,TRIM(hospitalityq!D169))=0)</f>
        <v>0</v>
      </c>
      <c r="J169">
        <f>NOT(hospitalityq!J169="")*(NOT(ISNUMBER(hospitalityq!J169+0)))</f>
        <v>0</v>
      </c>
      <c r="K169">
        <f>NOT(hospitalityq!K169="")*(NOT(ISNUMBER(hospitalityq!K169+0)))</f>
        <v>0</v>
      </c>
      <c r="P169">
        <f>NOT(hospitalityq!P169="")*(NOT(IFERROR(INT(hospitalityq!P169)=VALUE(hospitalityq!P169),FALSE)))</f>
        <v>0</v>
      </c>
      <c r="Q169">
        <f>NOT(hospitalityq!Q169="")*(NOT(IFERROR(INT(hospitalityq!Q169)=VALUE(hospitalityq!Q169),FALSE)))</f>
        <v>0</v>
      </c>
      <c r="R169">
        <f>NOT(hospitalityq!R169="")*(NOT(IFERROR(ROUND(VALUE(hospitalityq!R169),2)=VALUE(hospitalityq!R169),FALSE)))</f>
        <v>0</v>
      </c>
    </row>
    <row r="170" spans="1:18" x14ac:dyDescent="0.25">
      <c r="A170">
        <f t="shared" si="2"/>
        <v>0</v>
      </c>
      <c r="C170">
        <f>NOT(hospitalityq!C170="")*(SUMPRODUCT(--(TRIM(hospitalityq!C6:C170)=TRIM(hospitalityq!C170)))&gt;1)</f>
        <v>0</v>
      </c>
      <c r="D170">
        <f>NOT(hospitalityq!D170="")*(COUNTIF(reference!$C$17:$C$18,TRIM(hospitalityq!D170))=0)</f>
        <v>0</v>
      </c>
      <c r="J170">
        <f>NOT(hospitalityq!J170="")*(NOT(ISNUMBER(hospitalityq!J170+0)))</f>
        <v>0</v>
      </c>
      <c r="K170">
        <f>NOT(hospitalityq!K170="")*(NOT(ISNUMBER(hospitalityq!K170+0)))</f>
        <v>0</v>
      </c>
      <c r="P170">
        <f>NOT(hospitalityq!P170="")*(NOT(IFERROR(INT(hospitalityq!P170)=VALUE(hospitalityq!P170),FALSE)))</f>
        <v>0</v>
      </c>
      <c r="Q170">
        <f>NOT(hospitalityq!Q170="")*(NOT(IFERROR(INT(hospitalityq!Q170)=VALUE(hospitalityq!Q170),FALSE)))</f>
        <v>0</v>
      </c>
      <c r="R170">
        <f>NOT(hospitalityq!R170="")*(NOT(IFERROR(ROUND(VALUE(hospitalityq!R170),2)=VALUE(hospitalityq!R170),FALSE)))</f>
        <v>0</v>
      </c>
    </row>
    <row r="171" spans="1:18" x14ac:dyDescent="0.25">
      <c r="A171">
        <f t="shared" si="2"/>
        <v>0</v>
      </c>
      <c r="C171">
        <f>NOT(hospitalityq!C171="")*(SUMPRODUCT(--(TRIM(hospitalityq!C6:C171)=TRIM(hospitalityq!C171)))&gt;1)</f>
        <v>0</v>
      </c>
      <c r="D171">
        <f>NOT(hospitalityq!D171="")*(COUNTIF(reference!$C$17:$C$18,TRIM(hospitalityq!D171))=0)</f>
        <v>0</v>
      </c>
      <c r="J171">
        <f>NOT(hospitalityq!J171="")*(NOT(ISNUMBER(hospitalityq!J171+0)))</f>
        <v>0</v>
      </c>
      <c r="K171">
        <f>NOT(hospitalityq!K171="")*(NOT(ISNUMBER(hospitalityq!K171+0)))</f>
        <v>0</v>
      </c>
      <c r="P171">
        <f>NOT(hospitalityq!P171="")*(NOT(IFERROR(INT(hospitalityq!P171)=VALUE(hospitalityq!P171),FALSE)))</f>
        <v>0</v>
      </c>
      <c r="Q171">
        <f>NOT(hospitalityq!Q171="")*(NOT(IFERROR(INT(hospitalityq!Q171)=VALUE(hospitalityq!Q171),FALSE)))</f>
        <v>0</v>
      </c>
      <c r="R171">
        <f>NOT(hospitalityq!R171="")*(NOT(IFERROR(ROUND(VALUE(hospitalityq!R171),2)=VALUE(hospitalityq!R171),FALSE)))</f>
        <v>0</v>
      </c>
    </row>
    <row r="172" spans="1:18" x14ac:dyDescent="0.25">
      <c r="A172">
        <f t="shared" si="2"/>
        <v>0</v>
      </c>
      <c r="C172">
        <f>NOT(hospitalityq!C172="")*(SUMPRODUCT(--(TRIM(hospitalityq!C6:C172)=TRIM(hospitalityq!C172)))&gt;1)</f>
        <v>0</v>
      </c>
      <c r="D172">
        <f>NOT(hospitalityq!D172="")*(COUNTIF(reference!$C$17:$C$18,TRIM(hospitalityq!D172))=0)</f>
        <v>0</v>
      </c>
      <c r="J172">
        <f>NOT(hospitalityq!J172="")*(NOT(ISNUMBER(hospitalityq!J172+0)))</f>
        <v>0</v>
      </c>
      <c r="K172">
        <f>NOT(hospitalityq!K172="")*(NOT(ISNUMBER(hospitalityq!K172+0)))</f>
        <v>0</v>
      </c>
      <c r="P172">
        <f>NOT(hospitalityq!P172="")*(NOT(IFERROR(INT(hospitalityq!P172)=VALUE(hospitalityq!P172),FALSE)))</f>
        <v>0</v>
      </c>
      <c r="Q172">
        <f>NOT(hospitalityq!Q172="")*(NOT(IFERROR(INT(hospitalityq!Q172)=VALUE(hospitalityq!Q172),FALSE)))</f>
        <v>0</v>
      </c>
      <c r="R172">
        <f>NOT(hospitalityq!R172="")*(NOT(IFERROR(ROUND(VALUE(hospitalityq!R172),2)=VALUE(hospitalityq!R172),FALSE)))</f>
        <v>0</v>
      </c>
    </row>
    <row r="173" spans="1:18" x14ac:dyDescent="0.25">
      <c r="A173">
        <f t="shared" si="2"/>
        <v>0</v>
      </c>
      <c r="C173">
        <f>NOT(hospitalityq!C173="")*(SUMPRODUCT(--(TRIM(hospitalityq!C6:C173)=TRIM(hospitalityq!C173)))&gt;1)</f>
        <v>0</v>
      </c>
      <c r="D173">
        <f>NOT(hospitalityq!D173="")*(COUNTIF(reference!$C$17:$C$18,TRIM(hospitalityq!D173))=0)</f>
        <v>0</v>
      </c>
      <c r="J173">
        <f>NOT(hospitalityq!J173="")*(NOT(ISNUMBER(hospitalityq!J173+0)))</f>
        <v>0</v>
      </c>
      <c r="K173">
        <f>NOT(hospitalityq!K173="")*(NOT(ISNUMBER(hospitalityq!K173+0)))</f>
        <v>0</v>
      </c>
      <c r="P173">
        <f>NOT(hospitalityq!P173="")*(NOT(IFERROR(INT(hospitalityq!P173)=VALUE(hospitalityq!P173),FALSE)))</f>
        <v>0</v>
      </c>
      <c r="Q173">
        <f>NOT(hospitalityq!Q173="")*(NOT(IFERROR(INT(hospitalityq!Q173)=VALUE(hospitalityq!Q173),FALSE)))</f>
        <v>0</v>
      </c>
      <c r="R173">
        <f>NOT(hospitalityq!R173="")*(NOT(IFERROR(ROUND(VALUE(hospitalityq!R173),2)=VALUE(hospitalityq!R173),FALSE)))</f>
        <v>0</v>
      </c>
    </row>
    <row r="174" spans="1:18" x14ac:dyDescent="0.25">
      <c r="A174">
        <f t="shared" si="2"/>
        <v>0</v>
      </c>
      <c r="C174">
        <f>NOT(hospitalityq!C174="")*(SUMPRODUCT(--(TRIM(hospitalityq!C6:C174)=TRIM(hospitalityq!C174)))&gt;1)</f>
        <v>0</v>
      </c>
      <c r="D174">
        <f>NOT(hospitalityq!D174="")*(COUNTIF(reference!$C$17:$C$18,TRIM(hospitalityq!D174))=0)</f>
        <v>0</v>
      </c>
      <c r="J174">
        <f>NOT(hospitalityq!J174="")*(NOT(ISNUMBER(hospitalityq!J174+0)))</f>
        <v>0</v>
      </c>
      <c r="K174">
        <f>NOT(hospitalityq!K174="")*(NOT(ISNUMBER(hospitalityq!K174+0)))</f>
        <v>0</v>
      </c>
      <c r="P174">
        <f>NOT(hospitalityq!P174="")*(NOT(IFERROR(INT(hospitalityq!P174)=VALUE(hospitalityq!P174),FALSE)))</f>
        <v>0</v>
      </c>
      <c r="Q174">
        <f>NOT(hospitalityq!Q174="")*(NOT(IFERROR(INT(hospitalityq!Q174)=VALUE(hospitalityq!Q174),FALSE)))</f>
        <v>0</v>
      </c>
      <c r="R174">
        <f>NOT(hospitalityq!R174="")*(NOT(IFERROR(ROUND(VALUE(hospitalityq!R174),2)=VALUE(hospitalityq!R174),FALSE)))</f>
        <v>0</v>
      </c>
    </row>
    <row r="175" spans="1:18" x14ac:dyDescent="0.25">
      <c r="A175">
        <f t="shared" si="2"/>
        <v>0</v>
      </c>
      <c r="C175">
        <f>NOT(hospitalityq!C175="")*(SUMPRODUCT(--(TRIM(hospitalityq!C6:C175)=TRIM(hospitalityq!C175)))&gt;1)</f>
        <v>0</v>
      </c>
      <c r="D175">
        <f>NOT(hospitalityq!D175="")*(COUNTIF(reference!$C$17:$C$18,TRIM(hospitalityq!D175))=0)</f>
        <v>0</v>
      </c>
      <c r="J175">
        <f>NOT(hospitalityq!J175="")*(NOT(ISNUMBER(hospitalityq!J175+0)))</f>
        <v>0</v>
      </c>
      <c r="K175">
        <f>NOT(hospitalityq!K175="")*(NOT(ISNUMBER(hospitalityq!K175+0)))</f>
        <v>0</v>
      </c>
      <c r="P175">
        <f>NOT(hospitalityq!P175="")*(NOT(IFERROR(INT(hospitalityq!P175)=VALUE(hospitalityq!P175),FALSE)))</f>
        <v>0</v>
      </c>
      <c r="Q175">
        <f>NOT(hospitalityq!Q175="")*(NOT(IFERROR(INT(hospitalityq!Q175)=VALUE(hospitalityq!Q175),FALSE)))</f>
        <v>0</v>
      </c>
      <c r="R175">
        <f>NOT(hospitalityq!R175="")*(NOT(IFERROR(ROUND(VALUE(hospitalityq!R175),2)=VALUE(hospitalityq!R175),FALSE)))</f>
        <v>0</v>
      </c>
    </row>
    <row r="176" spans="1:18" x14ac:dyDescent="0.25">
      <c r="A176">
        <f t="shared" si="2"/>
        <v>0</v>
      </c>
      <c r="C176">
        <f>NOT(hospitalityq!C176="")*(SUMPRODUCT(--(TRIM(hospitalityq!C6:C176)=TRIM(hospitalityq!C176)))&gt;1)</f>
        <v>0</v>
      </c>
      <c r="D176">
        <f>NOT(hospitalityq!D176="")*(COUNTIF(reference!$C$17:$C$18,TRIM(hospitalityq!D176))=0)</f>
        <v>0</v>
      </c>
      <c r="J176">
        <f>NOT(hospitalityq!J176="")*(NOT(ISNUMBER(hospitalityq!J176+0)))</f>
        <v>0</v>
      </c>
      <c r="K176">
        <f>NOT(hospitalityq!K176="")*(NOT(ISNUMBER(hospitalityq!K176+0)))</f>
        <v>0</v>
      </c>
      <c r="P176">
        <f>NOT(hospitalityq!P176="")*(NOT(IFERROR(INT(hospitalityq!P176)=VALUE(hospitalityq!P176),FALSE)))</f>
        <v>0</v>
      </c>
      <c r="Q176">
        <f>NOT(hospitalityq!Q176="")*(NOT(IFERROR(INT(hospitalityq!Q176)=VALUE(hospitalityq!Q176),FALSE)))</f>
        <v>0</v>
      </c>
      <c r="R176">
        <f>NOT(hospitalityq!R176="")*(NOT(IFERROR(ROUND(VALUE(hospitalityq!R176),2)=VALUE(hospitalityq!R176),FALSE)))</f>
        <v>0</v>
      </c>
    </row>
    <row r="177" spans="1:18" x14ac:dyDescent="0.25">
      <c r="A177">
        <f t="shared" si="2"/>
        <v>0</v>
      </c>
      <c r="C177">
        <f>NOT(hospitalityq!C177="")*(SUMPRODUCT(--(TRIM(hospitalityq!C6:C177)=TRIM(hospitalityq!C177)))&gt;1)</f>
        <v>0</v>
      </c>
      <c r="D177">
        <f>NOT(hospitalityq!D177="")*(COUNTIF(reference!$C$17:$C$18,TRIM(hospitalityq!D177))=0)</f>
        <v>0</v>
      </c>
      <c r="J177">
        <f>NOT(hospitalityq!J177="")*(NOT(ISNUMBER(hospitalityq!J177+0)))</f>
        <v>0</v>
      </c>
      <c r="K177">
        <f>NOT(hospitalityq!K177="")*(NOT(ISNUMBER(hospitalityq!K177+0)))</f>
        <v>0</v>
      </c>
      <c r="P177">
        <f>NOT(hospitalityq!P177="")*(NOT(IFERROR(INT(hospitalityq!P177)=VALUE(hospitalityq!P177),FALSE)))</f>
        <v>0</v>
      </c>
      <c r="Q177">
        <f>NOT(hospitalityq!Q177="")*(NOT(IFERROR(INT(hospitalityq!Q177)=VALUE(hospitalityq!Q177),FALSE)))</f>
        <v>0</v>
      </c>
      <c r="R177">
        <f>NOT(hospitalityq!R177="")*(NOT(IFERROR(ROUND(VALUE(hospitalityq!R177),2)=VALUE(hospitalityq!R177),FALSE)))</f>
        <v>0</v>
      </c>
    </row>
    <row r="178" spans="1:18" x14ac:dyDescent="0.25">
      <c r="A178">
        <f t="shared" si="2"/>
        <v>0</v>
      </c>
      <c r="C178">
        <f>NOT(hospitalityq!C178="")*(SUMPRODUCT(--(TRIM(hospitalityq!C6:C178)=TRIM(hospitalityq!C178)))&gt;1)</f>
        <v>0</v>
      </c>
      <c r="D178">
        <f>NOT(hospitalityq!D178="")*(COUNTIF(reference!$C$17:$C$18,TRIM(hospitalityq!D178))=0)</f>
        <v>0</v>
      </c>
      <c r="J178">
        <f>NOT(hospitalityq!J178="")*(NOT(ISNUMBER(hospitalityq!J178+0)))</f>
        <v>0</v>
      </c>
      <c r="K178">
        <f>NOT(hospitalityq!K178="")*(NOT(ISNUMBER(hospitalityq!K178+0)))</f>
        <v>0</v>
      </c>
      <c r="P178">
        <f>NOT(hospitalityq!P178="")*(NOT(IFERROR(INT(hospitalityq!P178)=VALUE(hospitalityq!P178),FALSE)))</f>
        <v>0</v>
      </c>
      <c r="Q178">
        <f>NOT(hospitalityq!Q178="")*(NOT(IFERROR(INT(hospitalityq!Q178)=VALUE(hospitalityq!Q178),FALSE)))</f>
        <v>0</v>
      </c>
      <c r="R178">
        <f>NOT(hospitalityq!R178="")*(NOT(IFERROR(ROUND(VALUE(hospitalityq!R178),2)=VALUE(hospitalityq!R178),FALSE)))</f>
        <v>0</v>
      </c>
    </row>
    <row r="179" spans="1:18" x14ac:dyDescent="0.25">
      <c r="A179">
        <f t="shared" si="2"/>
        <v>0</v>
      </c>
      <c r="C179">
        <f>NOT(hospitalityq!C179="")*(SUMPRODUCT(--(TRIM(hospitalityq!C6:C179)=TRIM(hospitalityq!C179)))&gt;1)</f>
        <v>0</v>
      </c>
      <c r="D179">
        <f>NOT(hospitalityq!D179="")*(COUNTIF(reference!$C$17:$C$18,TRIM(hospitalityq!D179))=0)</f>
        <v>0</v>
      </c>
      <c r="J179">
        <f>NOT(hospitalityq!J179="")*(NOT(ISNUMBER(hospitalityq!J179+0)))</f>
        <v>0</v>
      </c>
      <c r="K179">
        <f>NOT(hospitalityq!K179="")*(NOT(ISNUMBER(hospitalityq!K179+0)))</f>
        <v>0</v>
      </c>
      <c r="P179">
        <f>NOT(hospitalityq!P179="")*(NOT(IFERROR(INT(hospitalityq!P179)=VALUE(hospitalityq!P179),FALSE)))</f>
        <v>0</v>
      </c>
      <c r="Q179">
        <f>NOT(hospitalityq!Q179="")*(NOT(IFERROR(INT(hospitalityq!Q179)=VALUE(hospitalityq!Q179),FALSE)))</f>
        <v>0</v>
      </c>
      <c r="R179">
        <f>NOT(hospitalityq!R179="")*(NOT(IFERROR(ROUND(VALUE(hospitalityq!R179),2)=VALUE(hospitalityq!R179),FALSE)))</f>
        <v>0</v>
      </c>
    </row>
    <row r="180" spans="1:18" x14ac:dyDescent="0.25">
      <c r="A180">
        <f t="shared" si="2"/>
        <v>0</v>
      </c>
      <c r="C180">
        <f>NOT(hospitalityq!C180="")*(SUMPRODUCT(--(TRIM(hospitalityq!C6:C180)=TRIM(hospitalityq!C180)))&gt;1)</f>
        <v>0</v>
      </c>
      <c r="D180">
        <f>NOT(hospitalityq!D180="")*(COUNTIF(reference!$C$17:$C$18,TRIM(hospitalityq!D180))=0)</f>
        <v>0</v>
      </c>
      <c r="J180">
        <f>NOT(hospitalityq!J180="")*(NOT(ISNUMBER(hospitalityq!J180+0)))</f>
        <v>0</v>
      </c>
      <c r="K180">
        <f>NOT(hospitalityq!K180="")*(NOT(ISNUMBER(hospitalityq!K180+0)))</f>
        <v>0</v>
      </c>
      <c r="P180">
        <f>NOT(hospitalityq!P180="")*(NOT(IFERROR(INT(hospitalityq!P180)=VALUE(hospitalityq!P180),FALSE)))</f>
        <v>0</v>
      </c>
      <c r="Q180">
        <f>NOT(hospitalityq!Q180="")*(NOT(IFERROR(INT(hospitalityq!Q180)=VALUE(hospitalityq!Q180),FALSE)))</f>
        <v>0</v>
      </c>
      <c r="R180">
        <f>NOT(hospitalityq!R180="")*(NOT(IFERROR(ROUND(VALUE(hospitalityq!R180),2)=VALUE(hospitalityq!R180),FALSE)))</f>
        <v>0</v>
      </c>
    </row>
    <row r="181" spans="1:18" x14ac:dyDescent="0.25">
      <c r="A181">
        <f t="shared" si="2"/>
        <v>0</v>
      </c>
      <c r="C181">
        <f>NOT(hospitalityq!C181="")*(SUMPRODUCT(--(TRIM(hospitalityq!C6:C181)=TRIM(hospitalityq!C181)))&gt;1)</f>
        <v>0</v>
      </c>
      <c r="D181">
        <f>NOT(hospitalityq!D181="")*(COUNTIF(reference!$C$17:$C$18,TRIM(hospitalityq!D181))=0)</f>
        <v>0</v>
      </c>
      <c r="J181">
        <f>NOT(hospitalityq!J181="")*(NOT(ISNUMBER(hospitalityq!J181+0)))</f>
        <v>0</v>
      </c>
      <c r="K181">
        <f>NOT(hospitalityq!K181="")*(NOT(ISNUMBER(hospitalityq!K181+0)))</f>
        <v>0</v>
      </c>
      <c r="P181">
        <f>NOT(hospitalityq!P181="")*(NOT(IFERROR(INT(hospitalityq!P181)=VALUE(hospitalityq!P181),FALSE)))</f>
        <v>0</v>
      </c>
      <c r="Q181">
        <f>NOT(hospitalityq!Q181="")*(NOT(IFERROR(INT(hospitalityq!Q181)=VALUE(hospitalityq!Q181),FALSE)))</f>
        <v>0</v>
      </c>
      <c r="R181">
        <f>NOT(hospitalityq!R181="")*(NOT(IFERROR(ROUND(VALUE(hospitalityq!R181),2)=VALUE(hospitalityq!R181),FALSE)))</f>
        <v>0</v>
      </c>
    </row>
    <row r="182" spans="1:18" x14ac:dyDescent="0.25">
      <c r="A182">
        <f t="shared" si="2"/>
        <v>0</v>
      </c>
      <c r="C182">
        <f>NOT(hospitalityq!C182="")*(SUMPRODUCT(--(TRIM(hospitalityq!C6:C182)=TRIM(hospitalityq!C182)))&gt;1)</f>
        <v>0</v>
      </c>
      <c r="D182">
        <f>NOT(hospitalityq!D182="")*(COUNTIF(reference!$C$17:$C$18,TRIM(hospitalityq!D182))=0)</f>
        <v>0</v>
      </c>
      <c r="J182">
        <f>NOT(hospitalityq!J182="")*(NOT(ISNUMBER(hospitalityq!J182+0)))</f>
        <v>0</v>
      </c>
      <c r="K182">
        <f>NOT(hospitalityq!K182="")*(NOT(ISNUMBER(hospitalityq!K182+0)))</f>
        <v>0</v>
      </c>
      <c r="P182">
        <f>NOT(hospitalityq!P182="")*(NOT(IFERROR(INT(hospitalityq!P182)=VALUE(hospitalityq!P182),FALSE)))</f>
        <v>0</v>
      </c>
      <c r="Q182">
        <f>NOT(hospitalityq!Q182="")*(NOT(IFERROR(INT(hospitalityq!Q182)=VALUE(hospitalityq!Q182),FALSE)))</f>
        <v>0</v>
      </c>
      <c r="R182">
        <f>NOT(hospitalityq!R182="")*(NOT(IFERROR(ROUND(VALUE(hospitalityq!R182),2)=VALUE(hospitalityq!R182),FALSE)))</f>
        <v>0</v>
      </c>
    </row>
    <row r="183" spans="1:18" x14ac:dyDescent="0.25">
      <c r="A183">
        <f t="shared" si="2"/>
        <v>0</v>
      </c>
      <c r="C183">
        <f>NOT(hospitalityq!C183="")*(SUMPRODUCT(--(TRIM(hospitalityq!C6:C183)=TRIM(hospitalityq!C183)))&gt;1)</f>
        <v>0</v>
      </c>
      <c r="D183">
        <f>NOT(hospitalityq!D183="")*(COUNTIF(reference!$C$17:$C$18,TRIM(hospitalityq!D183))=0)</f>
        <v>0</v>
      </c>
      <c r="J183">
        <f>NOT(hospitalityq!J183="")*(NOT(ISNUMBER(hospitalityq!J183+0)))</f>
        <v>0</v>
      </c>
      <c r="K183">
        <f>NOT(hospitalityq!K183="")*(NOT(ISNUMBER(hospitalityq!K183+0)))</f>
        <v>0</v>
      </c>
      <c r="P183">
        <f>NOT(hospitalityq!P183="")*(NOT(IFERROR(INT(hospitalityq!P183)=VALUE(hospitalityq!P183),FALSE)))</f>
        <v>0</v>
      </c>
      <c r="Q183">
        <f>NOT(hospitalityq!Q183="")*(NOT(IFERROR(INT(hospitalityq!Q183)=VALUE(hospitalityq!Q183),FALSE)))</f>
        <v>0</v>
      </c>
      <c r="R183">
        <f>NOT(hospitalityq!R183="")*(NOT(IFERROR(ROUND(VALUE(hospitalityq!R183),2)=VALUE(hospitalityq!R183),FALSE)))</f>
        <v>0</v>
      </c>
    </row>
    <row r="184" spans="1:18" x14ac:dyDescent="0.25">
      <c r="A184">
        <f t="shared" si="2"/>
        <v>0</v>
      </c>
      <c r="C184">
        <f>NOT(hospitalityq!C184="")*(SUMPRODUCT(--(TRIM(hospitalityq!C6:C184)=TRIM(hospitalityq!C184)))&gt;1)</f>
        <v>0</v>
      </c>
      <c r="D184">
        <f>NOT(hospitalityq!D184="")*(COUNTIF(reference!$C$17:$C$18,TRIM(hospitalityq!D184))=0)</f>
        <v>0</v>
      </c>
      <c r="J184">
        <f>NOT(hospitalityq!J184="")*(NOT(ISNUMBER(hospitalityq!J184+0)))</f>
        <v>0</v>
      </c>
      <c r="K184">
        <f>NOT(hospitalityq!K184="")*(NOT(ISNUMBER(hospitalityq!K184+0)))</f>
        <v>0</v>
      </c>
      <c r="P184">
        <f>NOT(hospitalityq!P184="")*(NOT(IFERROR(INT(hospitalityq!P184)=VALUE(hospitalityq!P184),FALSE)))</f>
        <v>0</v>
      </c>
      <c r="Q184">
        <f>NOT(hospitalityq!Q184="")*(NOT(IFERROR(INT(hospitalityq!Q184)=VALUE(hospitalityq!Q184),FALSE)))</f>
        <v>0</v>
      </c>
      <c r="R184">
        <f>NOT(hospitalityq!R184="")*(NOT(IFERROR(ROUND(VALUE(hospitalityq!R184),2)=VALUE(hospitalityq!R184),FALSE)))</f>
        <v>0</v>
      </c>
    </row>
    <row r="185" spans="1:18" x14ac:dyDescent="0.25">
      <c r="A185">
        <f t="shared" si="2"/>
        <v>0</v>
      </c>
      <c r="C185">
        <f>NOT(hospitalityq!C185="")*(SUMPRODUCT(--(TRIM(hospitalityq!C6:C185)=TRIM(hospitalityq!C185)))&gt;1)</f>
        <v>0</v>
      </c>
      <c r="D185">
        <f>NOT(hospitalityq!D185="")*(COUNTIF(reference!$C$17:$C$18,TRIM(hospitalityq!D185))=0)</f>
        <v>0</v>
      </c>
      <c r="J185">
        <f>NOT(hospitalityq!J185="")*(NOT(ISNUMBER(hospitalityq!J185+0)))</f>
        <v>0</v>
      </c>
      <c r="K185">
        <f>NOT(hospitalityq!K185="")*(NOT(ISNUMBER(hospitalityq!K185+0)))</f>
        <v>0</v>
      </c>
      <c r="P185">
        <f>NOT(hospitalityq!P185="")*(NOT(IFERROR(INT(hospitalityq!P185)=VALUE(hospitalityq!P185),FALSE)))</f>
        <v>0</v>
      </c>
      <c r="Q185">
        <f>NOT(hospitalityq!Q185="")*(NOT(IFERROR(INT(hospitalityq!Q185)=VALUE(hospitalityq!Q185),FALSE)))</f>
        <v>0</v>
      </c>
      <c r="R185">
        <f>NOT(hospitalityq!R185="")*(NOT(IFERROR(ROUND(VALUE(hospitalityq!R185),2)=VALUE(hospitalityq!R185),FALSE)))</f>
        <v>0</v>
      </c>
    </row>
    <row r="186" spans="1:18" x14ac:dyDescent="0.25">
      <c r="A186">
        <f t="shared" si="2"/>
        <v>0</v>
      </c>
      <c r="C186">
        <f>NOT(hospitalityq!C186="")*(SUMPRODUCT(--(TRIM(hospitalityq!C6:C186)=TRIM(hospitalityq!C186)))&gt;1)</f>
        <v>0</v>
      </c>
      <c r="D186">
        <f>NOT(hospitalityq!D186="")*(COUNTIF(reference!$C$17:$C$18,TRIM(hospitalityq!D186))=0)</f>
        <v>0</v>
      </c>
      <c r="J186">
        <f>NOT(hospitalityq!J186="")*(NOT(ISNUMBER(hospitalityq!J186+0)))</f>
        <v>0</v>
      </c>
      <c r="K186">
        <f>NOT(hospitalityq!K186="")*(NOT(ISNUMBER(hospitalityq!K186+0)))</f>
        <v>0</v>
      </c>
      <c r="P186">
        <f>NOT(hospitalityq!P186="")*(NOT(IFERROR(INT(hospitalityq!P186)=VALUE(hospitalityq!P186),FALSE)))</f>
        <v>0</v>
      </c>
      <c r="Q186">
        <f>NOT(hospitalityq!Q186="")*(NOT(IFERROR(INT(hospitalityq!Q186)=VALUE(hospitalityq!Q186),FALSE)))</f>
        <v>0</v>
      </c>
      <c r="R186">
        <f>NOT(hospitalityq!R186="")*(NOT(IFERROR(ROUND(VALUE(hospitalityq!R186),2)=VALUE(hospitalityq!R186),FALSE)))</f>
        <v>0</v>
      </c>
    </row>
    <row r="187" spans="1:18" x14ac:dyDescent="0.25">
      <c r="A187">
        <f t="shared" si="2"/>
        <v>0</v>
      </c>
      <c r="C187">
        <f>NOT(hospitalityq!C187="")*(SUMPRODUCT(--(TRIM(hospitalityq!C6:C187)=TRIM(hospitalityq!C187)))&gt;1)</f>
        <v>0</v>
      </c>
      <c r="D187">
        <f>NOT(hospitalityq!D187="")*(COUNTIF(reference!$C$17:$C$18,TRIM(hospitalityq!D187))=0)</f>
        <v>0</v>
      </c>
      <c r="J187">
        <f>NOT(hospitalityq!J187="")*(NOT(ISNUMBER(hospitalityq!J187+0)))</f>
        <v>0</v>
      </c>
      <c r="K187">
        <f>NOT(hospitalityq!K187="")*(NOT(ISNUMBER(hospitalityq!K187+0)))</f>
        <v>0</v>
      </c>
      <c r="P187">
        <f>NOT(hospitalityq!P187="")*(NOT(IFERROR(INT(hospitalityq!P187)=VALUE(hospitalityq!P187),FALSE)))</f>
        <v>0</v>
      </c>
      <c r="Q187">
        <f>NOT(hospitalityq!Q187="")*(NOT(IFERROR(INT(hospitalityq!Q187)=VALUE(hospitalityq!Q187),FALSE)))</f>
        <v>0</v>
      </c>
      <c r="R187">
        <f>NOT(hospitalityq!R187="")*(NOT(IFERROR(ROUND(VALUE(hospitalityq!R187),2)=VALUE(hospitalityq!R187),FALSE)))</f>
        <v>0</v>
      </c>
    </row>
    <row r="188" spans="1:18" x14ac:dyDescent="0.25">
      <c r="A188">
        <f t="shared" si="2"/>
        <v>0</v>
      </c>
      <c r="C188">
        <f>NOT(hospitalityq!C188="")*(SUMPRODUCT(--(TRIM(hospitalityq!C6:C188)=TRIM(hospitalityq!C188)))&gt;1)</f>
        <v>0</v>
      </c>
      <c r="D188">
        <f>NOT(hospitalityq!D188="")*(COUNTIF(reference!$C$17:$C$18,TRIM(hospitalityq!D188))=0)</f>
        <v>0</v>
      </c>
      <c r="J188">
        <f>NOT(hospitalityq!J188="")*(NOT(ISNUMBER(hospitalityq!J188+0)))</f>
        <v>0</v>
      </c>
      <c r="K188">
        <f>NOT(hospitalityq!K188="")*(NOT(ISNUMBER(hospitalityq!K188+0)))</f>
        <v>0</v>
      </c>
      <c r="P188">
        <f>NOT(hospitalityq!P188="")*(NOT(IFERROR(INT(hospitalityq!P188)=VALUE(hospitalityq!P188),FALSE)))</f>
        <v>0</v>
      </c>
      <c r="Q188">
        <f>NOT(hospitalityq!Q188="")*(NOT(IFERROR(INT(hospitalityq!Q188)=VALUE(hospitalityq!Q188),FALSE)))</f>
        <v>0</v>
      </c>
      <c r="R188">
        <f>NOT(hospitalityq!R188="")*(NOT(IFERROR(ROUND(VALUE(hospitalityq!R188),2)=VALUE(hospitalityq!R188),FALSE)))</f>
        <v>0</v>
      </c>
    </row>
    <row r="189" spans="1:18" x14ac:dyDescent="0.25">
      <c r="A189">
        <f t="shared" si="2"/>
        <v>0</v>
      </c>
      <c r="C189">
        <f>NOT(hospitalityq!C189="")*(SUMPRODUCT(--(TRIM(hospitalityq!C6:C189)=TRIM(hospitalityq!C189)))&gt;1)</f>
        <v>0</v>
      </c>
      <c r="D189">
        <f>NOT(hospitalityq!D189="")*(COUNTIF(reference!$C$17:$C$18,TRIM(hospitalityq!D189))=0)</f>
        <v>0</v>
      </c>
      <c r="J189">
        <f>NOT(hospitalityq!J189="")*(NOT(ISNUMBER(hospitalityq!J189+0)))</f>
        <v>0</v>
      </c>
      <c r="K189">
        <f>NOT(hospitalityq!K189="")*(NOT(ISNUMBER(hospitalityq!K189+0)))</f>
        <v>0</v>
      </c>
      <c r="P189">
        <f>NOT(hospitalityq!P189="")*(NOT(IFERROR(INT(hospitalityq!P189)=VALUE(hospitalityq!P189),FALSE)))</f>
        <v>0</v>
      </c>
      <c r="Q189">
        <f>NOT(hospitalityq!Q189="")*(NOT(IFERROR(INT(hospitalityq!Q189)=VALUE(hospitalityq!Q189),FALSE)))</f>
        <v>0</v>
      </c>
      <c r="R189">
        <f>NOT(hospitalityq!R189="")*(NOT(IFERROR(ROUND(VALUE(hospitalityq!R189),2)=VALUE(hospitalityq!R189),FALSE)))</f>
        <v>0</v>
      </c>
    </row>
    <row r="190" spans="1:18" x14ac:dyDescent="0.25">
      <c r="A190">
        <f t="shared" si="2"/>
        <v>0</v>
      </c>
      <c r="C190">
        <f>NOT(hospitalityq!C190="")*(SUMPRODUCT(--(TRIM(hospitalityq!C6:C190)=TRIM(hospitalityq!C190)))&gt;1)</f>
        <v>0</v>
      </c>
      <c r="D190">
        <f>NOT(hospitalityq!D190="")*(COUNTIF(reference!$C$17:$C$18,TRIM(hospitalityq!D190))=0)</f>
        <v>0</v>
      </c>
      <c r="J190">
        <f>NOT(hospitalityq!J190="")*(NOT(ISNUMBER(hospitalityq!J190+0)))</f>
        <v>0</v>
      </c>
      <c r="K190">
        <f>NOT(hospitalityq!K190="")*(NOT(ISNUMBER(hospitalityq!K190+0)))</f>
        <v>0</v>
      </c>
      <c r="P190">
        <f>NOT(hospitalityq!P190="")*(NOT(IFERROR(INT(hospitalityq!P190)=VALUE(hospitalityq!P190),FALSE)))</f>
        <v>0</v>
      </c>
      <c r="Q190">
        <f>NOT(hospitalityq!Q190="")*(NOT(IFERROR(INT(hospitalityq!Q190)=VALUE(hospitalityq!Q190),FALSE)))</f>
        <v>0</v>
      </c>
      <c r="R190">
        <f>NOT(hospitalityq!R190="")*(NOT(IFERROR(ROUND(VALUE(hospitalityq!R190),2)=VALUE(hospitalityq!R190),FALSE)))</f>
        <v>0</v>
      </c>
    </row>
    <row r="191" spans="1:18" x14ac:dyDescent="0.25">
      <c r="A191">
        <f t="shared" si="2"/>
        <v>0</v>
      </c>
      <c r="C191">
        <f>NOT(hospitalityq!C191="")*(SUMPRODUCT(--(TRIM(hospitalityq!C6:C191)=TRIM(hospitalityq!C191)))&gt;1)</f>
        <v>0</v>
      </c>
      <c r="D191">
        <f>NOT(hospitalityq!D191="")*(COUNTIF(reference!$C$17:$C$18,TRIM(hospitalityq!D191))=0)</f>
        <v>0</v>
      </c>
      <c r="J191">
        <f>NOT(hospitalityq!J191="")*(NOT(ISNUMBER(hospitalityq!J191+0)))</f>
        <v>0</v>
      </c>
      <c r="K191">
        <f>NOT(hospitalityq!K191="")*(NOT(ISNUMBER(hospitalityq!K191+0)))</f>
        <v>0</v>
      </c>
      <c r="P191">
        <f>NOT(hospitalityq!P191="")*(NOT(IFERROR(INT(hospitalityq!P191)=VALUE(hospitalityq!P191),FALSE)))</f>
        <v>0</v>
      </c>
      <c r="Q191">
        <f>NOT(hospitalityq!Q191="")*(NOT(IFERROR(INT(hospitalityq!Q191)=VALUE(hospitalityq!Q191),FALSE)))</f>
        <v>0</v>
      </c>
      <c r="R191">
        <f>NOT(hospitalityq!R191="")*(NOT(IFERROR(ROUND(VALUE(hospitalityq!R191),2)=VALUE(hospitalityq!R191),FALSE)))</f>
        <v>0</v>
      </c>
    </row>
    <row r="192" spans="1:18" x14ac:dyDescent="0.25">
      <c r="A192">
        <f t="shared" si="2"/>
        <v>0</v>
      </c>
      <c r="C192">
        <f>NOT(hospitalityq!C192="")*(SUMPRODUCT(--(TRIM(hospitalityq!C6:C192)=TRIM(hospitalityq!C192)))&gt;1)</f>
        <v>0</v>
      </c>
      <c r="D192">
        <f>NOT(hospitalityq!D192="")*(COUNTIF(reference!$C$17:$C$18,TRIM(hospitalityq!D192))=0)</f>
        <v>0</v>
      </c>
      <c r="J192">
        <f>NOT(hospitalityq!J192="")*(NOT(ISNUMBER(hospitalityq!J192+0)))</f>
        <v>0</v>
      </c>
      <c r="K192">
        <f>NOT(hospitalityq!K192="")*(NOT(ISNUMBER(hospitalityq!K192+0)))</f>
        <v>0</v>
      </c>
      <c r="P192">
        <f>NOT(hospitalityq!P192="")*(NOT(IFERROR(INT(hospitalityq!P192)=VALUE(hospitalityq!P192),FALSE)))</f>
        <v>0</v>
      </c>
      <c r="Q192">
        <f>NOT(hospitalityq!Q192="")*(NOT(IFERROR(INT(hospitalityq!Q192)=VALUE(hospitalityq!Q192),FALSE)))</f>
        <v>0</v>
      </c>
      <c r="R192">
        <f>NOT(hospitalityq!R192="")*(NOT(IFERROR(ROUND(VALUE(hospitalityq!R192),2)=VALUE(hospitalityq!R192),FALSE)))</f>
        <v>0</v>
      </c>
    </row>
    <row r="193" spans="1:18" x14ac:dyDescent="0.25">
      <c r="A193">
        <f t="shared" si="2"/>
        <v>0</v>
      </c>
      <c r="C193">
        <f>NOT(hospitalityq!C193="")*(SUMPRODUCT(--(TRIM(hospitalityq!C6:C193)=TRIM(hospitalityq!C193)))&gt;1)</f>
        <v>0</v>
      </c>
      <c r="D193">
        <f>NOT(hospitalityq!D193="")*(COUNTIF(reference!$C$17:$C$18,TRIM(hospitalityq!D193))=0)</f>
        <v>0</v>
      </c>
      <c r="J193">
        <f>NOT(hospitalityq!J193="")*(NOT(ISNUMBER(hospitalityq!J193+0)))</f>
        <v>0</v>
      </c>
      <c r="K193">
        <f>NOT(hospitalityq!K193="")*(NOT(ISNUMBER(hospitalityq!K193+0)))</f>
        <v>0</v>
      </c>
      <c r="P193">
        <f>NOT(hospitalityq!P193="")*(NOT(IFERROR(INT(hospitalityq!P193)=VALUE(hospitalityq!P193),FALSE)))</f>
        <v>0</v>
      </c>
      <c r="Q193">
        <f>NOT(hospitalityq!Q193="")*(NOT(IFERROR(INT(hospitalityq!Q193)=VALUE(hospitalityq!Q193),FALSE)))</f>
        <v>0</v>
      </c>
      <c r="R193">
        <f>NOT(hospitalityq!R193="")*(NOT(IFERROR(ROUND(VALUE(hospitalityq!R193),2)=VALUE(hospitalityq!R193),FALSE)))</f>
        <v>0</v>
      </c>
    </row>
    <row r="194" spans="1:18" x14ac:dyDescent="0.25">
      <c r="A194">
        <f t="shared" si="2"/>
        <v>0</v>
      </c>
      <c r="C194">
        <f>NOT(hospitalityq!C194="")*(SUMPRODUCT(--(TRIM(hospitalityq!C6:C194)=TRIM(hospitalityq!C194)))&gt;1)</f>
        <v>0</v>
      </c>
      <c r="D194">
        <f>NOT(hospitalityq!D194="")*(COUNTIF(reference!$C$17:$C$18,TRIM(hospitalityq!D194))=0)</f>
        <v>0</v>
      </c>
      <c r="J194">
        <f>NOT(hospitalityq!J194="")*(NOT(ISNUMBER(hospitalityq!J194+0)))</f>
        <v>0</v>
      </c>
      <c r="K194">
        <f>NOT(hospitalityq!K194="")*(NOT(ISNUMBER(hospitalityq!K194+0)))</f>
        <v>0</v>
      </c>
      <c r="P194">
        <f>NOT(hospitalityq!P194="")*(NOT(IFERROR(INT(hospitalityq!P194)=VALUE(hospitalityq!P194),FALSE)))</f>
        <v>0</v>
      </c>
      <c r="Q194">
        <f>NOT(hospitalityq!Q194="")*(NOT(IFERROR(INT(hospitalityq!Q194)=VALUE(hospitalityq!Q194),FALSE)))</f>
        <v>0</v>
      </c>
      <c r="R194">
        <f>NOT(hospitalityq!R194="")*(NOT(IFERROR(ROUND(VALUE(hospitalityq!R194),2)=VALUE(hospitalityq!R194),FALSE)))</f>
        <v>0</v>
      </c>
    </row>
    <row r="195" spans="1:18" x14ac:dyDescent="0.25">
      <c r="A195">
        <f t="shared" si="2"/>
        <v>0</v>
      </c>
      <c r="C195">
        <f>NOT(hospitalityq!C195="")*(SUMPRODUCT(--(TRIM(hospitalityq!C6:C195)=TRIM(hospitalityq!C195)))&gt;1)</f>
        <v>0</v>
      </c>
      <c r="D195">
        <f>NOT(hospitalityq!D195="")*(COUNTIF(reference!$C$17:$C$18,TRIM(hospitalityq!D195))=0)</f>
        <v>0</v>
      </c>
      <c r="J195">
        <f>NOT(hospitalityq!J195="")*(NOT(ISNUMBER(hospitalityq!J195+0)))</f>
        <v>0</v>
      </c>
      <c r="K195">
        <f>NOT(hospitalityq!K195="")*(NOT(ISNUMBER(hospitalityq!K195+0)))</f>
        <v>0</v>
      </c>
      <c r="P195">
        <f>NOT(hospitalityq!P195="")*(NOT(IFERROR(INT(hospitalityq!P195)=VALUE(hospitalityq!P195),FALSE)))</f>
        <v>0</v>
      </c>
      <c r="Q195">
        <f>NOT(hospitalityq!Q195="")*(NOT(IFERROR(INT(hospitalityq!Q195)=VALUE(hospitalityq!Q195),FALSE)))</f>
        <v>0</v>
      </c>
      <c r="R195">
        <f>NOT(hospitalityq!R195="")*(NOT(IFERROR(ROUND(VALUE(hospitalityq!R195),2)=VALUE(hospitalityq!R195),FALSE)))</f>
        <v>0</v>
      </c>
    </row>
    <row r="196" spans="1:18" x14ac:dyDescent="0.25">
      <c r="A196">
        <f t="shared" si="2"/>
        <v>0</v>
      </c>
      <c r="C196">
        <f>NOT(hospitalityq!C196="")*(SUMPRODUCT(--(TRIM(hospitalityq!C6:C196)=TRIM(hospitalityq!C196)))&gt;1)</f>
        <v>0</v>
      </c>
      <c r="D196">
        <f>NOT(hospitalityq!D196="")*(COUNTIF(reference!$C$17:$C$18,TRIM(hospitalityq!D196))=0)</f>
        <v>0</v>
      </c>
      <c r="J196">
        <f>NOT(hospitalityq!J196="")*(NOT(ISNUMBER(hospitalityq!J196+0)))</f>
        <v>0</v>
      </c>
      <c r="K196">
        <f>NOT(hospitalityq!K196="")*(NOT(ISNUMBER(hospitalityq!K196+0)))</f>
        <v>0</v>
      </c>
      <c r="P196">
        <f>NOT(hospitalityq!P196="")*(NOT(IFERROR(INT(hospitalityq!P196)=VALUE(hospitalityq!P196),FALSE)))</f>
        <v>0</v>
      </c>
      <c r="Q196">
        <f>NOT(hospitalityq!Q196="")*(NOT(IFERROR(INT(hospitalityq!Q196)=VALUE(hospitalityq!Q196),FALSE)))</f>
        <v>0</v>
      </c>
      <c r="R196">
        <f>NOT(hospitalityq!R196="")*(NOT(IFERROR(ROUND(VALUE(hospitalityq!R196),2)=VALUE(hospitalityq!R196),FALSE)))</f>
        <v>0</v>
      </c>
    </row>
    <row r="197" spans="1:18" x14ac:dyDescent="0.25">
      <c r="A197">
        <f t="shared" si="2"/>
        <v>0</v>
      </c>
      <c r="C197">
        <f>NOT(hospitalityq!C197="")*(SUMPRODUCT(--(TRIM(hospitalityq!C6:C197)=TRIM(hospitalityq!C197)))&gt;1)</f>
        <v>0</v>
      </c>
      <c r="D197">
        <f>NOT(hospitalityq!D197="")*(COUNTIF(reference!$C$17:$C$18,TRIM(hospitalityq!D197))=0)</f>
        <v>0</v>
      </c>
      <c r="J197">
        <f>NOT(hospitalityq!J197="")*(NOT(ISNUMBER(hospitalityq!J197+0)))</f>
        <v>0</v>
      </c>
      <c r="K197">
        <f>NOT(hospitalityq!K197="")*(NOT(ISNUMBER(hospitalityq!K197+0)))</f>
        <v>0</v>
      </c>
      <c r="P197">
        <f>NOT(hospitalityq!P197="")*(NOT(IFERROR(INT(hospitalityq!P197)=VALUE(hospitalityq!P197),FALSE)))</f>
        <v>0</v>
      </c>
      <c r="Q197">
        <f>NOT(hospitalityq!Q197="")*(NOT(IFERROR(INT(hospitalityq!Q197)=VALUE(hospitalityq!Q197),FALSE)))</f>
        <v>0</v>
      </c>
      <c r="R197">
        <f>NOT(hospitalityq!R197="")*(NOT(IFERROR(ROUND(VALUE(hospitalityq!R197),2)=VALUE(hospitalityq!R197),FALSE)))</f>
        <v>0</v>
      </c>
    </row>
    <row r="198" spans="1:18" x14ac:dyDescent="0.25">
      <c r="A198">
        <f t="shared" ref="A198:A261" si="3">IFERROR(MATCH(TRUE,INDEX(C198:R198&lt;&gt;0,),)+2,0)</f>
        <v>0</v>
      </c>
      <c r="C198">
        <f>NOT(hospitalityq!C198="")*(SUMPRODUCT(--(TRIM(hospitalityq!C6:C198)=TRIM(hospitalityq!C198)))&gt;1)</f>
        <v>0</v>
      </c>
      <c r="D198">
        <f>NOT(hospitalityq!D198="")*(COUNTIF(reference!$C$17:$C$18,TRIM(hospitalityq!D198))=0)</f>
        <v>0</v>
      </c>
      <c r="J198">
        <f>NOT(hospitalityq!J198="")*(NOT(ISNUMBER(hospitalityq!J198+0)))</f>
        <v>0</v>
      </c>
      <c r="K198">
        <f>NOT(hospitalityq!K198="")*(NOT(ISNUMBER(hospitalityq!K198+0)))</f>
        <v>0</v>
      </c>
      <c r="P198">
        <f>NOT(hospitalityq!P198="")*(NOT(IFERROR(INT(hospitalityq!P198)=VALUE(hospitalityq!P198),FALSE)))</f>
        <v>0</v>
      </c>
      <c r="Q198">
        <f>NOT(hospitalityq!Q198="")*(NOT(IFERROR(INT(hospitalityq!Q198)=VALUE(hospitalityq!Q198),FALSE)))</f>
        <v>0</v>
      </c>
      <c r="R198">
        <f>NOT(hospitalityq!R198="")*(NOT(IFERROR(ROUND(VALUE(hospitalityq!R198),2)=VALUE(hospitalityq!R198),FALSE)))</f>
        <v>0</v>
      </c>
    </row>
    <row r="199" spans="1:18" x14ac:dyDescent="0.25">
      <c r="A199">
        <f t="shared" si="3"/>
        <v>0</v>
      </c>
      <c r="C199">
        <f>NOT(hospitalityq!C199="")*(SUMPRODUCT(--(TRIM(hospitalityq!C6:C199)=TRIM(hospitalityq!C199)))&gt;1)</f>
        <v>0</v>
      </c>
      <c r="D199">
        <f>NOT(hospitalityq!D199="")*(COUNTIF(reference!$C$17:$C$18,TRIM(hospitalityq!D199))=0)</f>
        <v>0</v>
      </c>
      <c r="J199">
        <f>NOT(hospitalityq!J199="")*(NOT(ISNUMBER(hospitalityq!J199+0)))</f>
        <v>0</v>
      </c>
      <c r="K199">
        <f>NOT(hospitalityq!K199="")*(NOT(ISNUMBER(hospitalityq!K199+0)))</f>
        <v>0</v>
      </c>
      <c r="P199">
        <f>NOT(hospitalityq!P199="")*(NOT(IFERROR(INT(hospitalityq!P199)=VALUE(hospitalityq!P199),FALSE)))</f>
        <v>0</v>
      </c>
      <c r="Q199">
        <f>NOT(hospitalityq!Q199="")*(NOT(IFERROR(INT(hospitalityq!Q199)=VALUE(hospitalityq!Q199),FALSE)))</f>
        <v>0</v>
      </c>
      <c r="R199">
        <f>NOT(hospitalityq!R199="")*(NOT(IFERROR(ROUND(VALUE(hospitalityq!R199),2)=VALUE(hospitalityq!R199),FALSE)))</f>
        <v>0</v>
      </c>
    </row>
    <row r="200" spans="1:18" x14ac:dyDescent="0.25">
      <c r="A200">
        <f t="shared" si="3"/>
        <v>0</v>
      </c>
      <c r="C200">
        <f>NOT(hospitalityq!C200="")*(SUMPRODUCT(--(TRIM(hospitalityq!C6:C200)=TRIM(hospitalityq!C200)))&gt;1)</f>
        <v>0</v>
      </c>
      <c r="D200">
        <f>NOT(hospitalityq!D200="")*(COUNTIF(reference!$C$17:$C$18,TRIM(hospitalityq!D200))=0)</f>
        <v>0</v>
      </c>
      <c r="J200">
        <f>NOT(hospitalityq!J200="")*(NOT(ISNUMBER(hospitalityq!J200+0)))</f>
        <v>0</v>
      </c>
      <c r="K200">
        <f>NOT(hospitalityq!K200="")*(NOT(ISNUMBER(hospitalityq!K200+0)))</f>
        <v>0</v>
      </c>
      <c r="P200">
        <f>NOT(hospitalityq!P200="")*(NOT(IFERROR(INT(hospitalityq!P200)=VALUE(hospitalityq!P200),FALSE)))</f>
        <v>0</v>
      </c>
      <c r="Q200">
        <f>NOT(hospitalityq!Q200="")*(NOT(IFERROR(INT(hospitalityq!Q200)=VALUE(hospitalityq!Q200),FALSE)))</f>
        <v>0</v>
      </c>
      <c r="R200">
        <f>NOT(hospitalityq!R200="")*(NOT(IFERROR(ROUND(VALUE(hospitalityq!R200),2)=VALUE(hospitalityq!R200),FALSE)))</f>
        <v>0</v>
      </c>
    </row>
    <row r="201" spans="1:18" x14ac:dyDescent="0.25">
      <c r="A201">
        <f t="shared" si="3"/>
        <v>0</v>
      </c>
      <c r="C201">
        <f>NOT(hospitalityq!C201="")*(SUMPRODUCT(--(TRIM(hospitalityq!C6:C201)=TRIM(hospitalityq!C201)))&gt;1)</f>
        <v>0</v>
      </c>
      <c r="D201">
        <f>NOT(hospitalityq!D201="")*(COUNTIF(reference!$C$17:$C$18,TRIM(hospitalityq!D201))=0)</f>
        <v>0</v>
      </c>
      <c r="J201">
        <f>NOT(hospitalityq!J201="")*(NOT(ISNUMBER(hospitalityq!J201+0)))</f>
        <v>0</v>
      </c>
      <c r="K201">
        <f>NOT(hospitalityq!K201="")*(NOT(ISNUMBER(hospitalityq!K201+0)))</f>
        <v>0</v>
      </c>
      <c r="P201">
        <f>NOT(hospitalityq!P201="")*(NOT(IFERROR(INT(hospitalityq!P201)=VALUE(hospitalityq!P201),FALSE)))</f>
        <v>0</v>
      </c>
      <c r="Q201">
        <f>NOT(hospitalityq!Q201="")*(NOT(IFERROR(INT(hospitalityq!Q201)=VALUE(hospitalityq!Q201),FALSE)))</f>
        <v>0</v>
      </c>
      <c r="R201">
        <f>NOT(hospitalityq!R201="")*(NOT(IFERROR(ROUND(VALUE(hospitalityq!R201),2)=VALUE(hospitalityq!R201),FALSE)))</f>
        <v>0</v>
      </c>
    </row>
    <row r="202" spans="1:18" x14ac:dyDescent="0.25">
      <c r="A202">
        <f t="shared" si="3"/>
        <v>0</v>
      </c>
      <c r="C202">
        <f>NOT(hospitalityq!C202="")*(SUMPRODUCT(--(TRIM(hospitalityq!C6:C202)=TRIM(hospitalityq!C202)))&gt;1)</f>
        <v>0</v>
      </c>
      <c r="D202">
        <f>NOT(hospitalityq!D202="")*(COUNTIF(reference!$C$17:$C$18,TRIM(hospitalityq!D202))=0)</f>
        <v>0</v>
      </c>
      <c r="J202">
        <f>NOT(hospitalityq!J202="")*(NOT(ISNUMBER(hospitalityq!J202+0)))</f>
        <v>0</v>
      </c>
      <c r="K202">
        <f>NOT(hospitalityq!K202="")*(NOT(ISNUMBER(hospitalityq!K202+0)))</f>
        <v>0</v>
      </c>
      <c r="P202">
        <f>NOT(hospitalityq!P202="")*(NOT(IFERROR(INT(hospitalityq!P202)=VALUE(hospitalityq!P202),FALSE)))</f>
        <v>0</v>
      </c>
      <c r="Q202">
        <f>NOT(hospitalityq!Q202="")*(NOT(IFERROR(INT(hospitalityq!Q202)=VALUE(hospitalityq!Q202),FALSE)))</f>
        <v>0</v>
      </c>
      <c r="R202">
        <f>NOT(hospitalityq!R202="")*(NOT(IFERROR(ROUND(VALUE(hospitalityq!R202),2)=VALUE(hospitalityq!R202),FALSE)))</f>
        <v>0</v>
      </c>
    </row>
    <row r="203" spans="1:18" x14ac:dyDescent="0.25">
      <c r="A203">
        <f t="shared" si="3"/>
        <v>0</v>
      </c>
      <c r="C203">
        <f>NOT(hospitalityq!C203="")*(SUMPRODUCT(--(TRIM(hospitalityq!C6:C203)=TRIM(hospitalityq!C203)))&gt;1)</f>
        <v>0</v>
      </c>
      <c r="D203">
        <f>NOT(hospitalityq!D203="")*(COUNTIF(reference!$C$17:$C$18,TRIM(hospitalityq!D203))=0)</f>
        <v>0</v>
      </c>
      <c r="J203">
        <f>NOT(hospitalityq!J203="")*(NOT(ISNUMBER(hospitalityq!J203+0)))</f>
        <v>0</v>
      </c>
      <c r="K203">
        <f>NOT(hospitalityq!K203="")*(NOT(ISNUMBER(hospitalityq!K203+0)))</f>
        <v>0</v>
      </c>
      <c r="P203">
        <f>NOT(hospitalityq!P203="")*(NOT(IFERROR(INT(hospitalityq!P203)=VALUE(hospitalityq!P203),FALSE)))</f>
        <v>0</v>
      </c>
      <c r="Q203">
        <f>NOT(hospitalityq!Q203="")*(NOT(IFERROR(INT(hospitalityq!Q203)=VALUE(hospitalityq!Q203),FALSE)))</f>
        <v>0</v>
      </c>
      <c r="R203">
        <f>NOT(hospitalityq!R203="")*(NOT(IFERROR(ROUND(VALUE(hospitalityq!R203),2)=VALUE(hospitalityq!R203),FALSE)))</f>
        <v>0</v>
      </c>
    </row>
    <row r="204" spans="1:18" x14ac:dyDescent="0.25">
      <c r="A204">
        <f t="shared" si="3"/>
        <v>0</v>
      </c>
      <c r="C204">
        <f>NOT(hospitalityq!C204="")*(SUMPRODUCT(--(TRIM(hospitalityq!C6:C204)=TRIM(hospitalityq!C204)))&gt;1)</f>
        <v>0</v>
      </c>
      <c r="D204">
        <f>NOT(hospitalityq!D204="")*(COUNTIF(reference!$C$17:$C$18,TRIM(hospitalityq!D204))=0)</f>
        <v>0</v>
      </c>
      <c r="J204">
        <f>NOT(hospitalityq!J204="")*(NOT(ISNUMBER(hospitalityq!J204+0)))</f>
        <v>0</v>
      </c>
      <c r="K204">
        <f>NOT(hospitalityq!K204="")*(NOT(ISNUMBER(hospitalityq!K204+0)))</f>
        <v>0</v>
      </c>
      <c r="P204">
        <f>NOT(hospitalityq!P204="")*(NOT(IFERROR(INT(hospitalityq!P204)=VALUE(hospitalityq!P204),FALSE)))</f>
        <v>0</v>
      </c>
      <c r="Q204">
        <f>NOT(hospitalityq!Q204="")*(NOT(IFERROR(INT(hospitalityq!Q204)=VALUE(hospitalityq!Q204),FALSE)))</f>
        <v>0</v>
      </c>
      <c r="R204">
        <f>NOT(hospitalityq!R204="")*(NOT(IFERROR(ROUND(VALUE(hospitalityq!R204),2)=VALUE(hospitalityq!R204),FALSE)))</f>
        <v>0</v>
      </c>
    </row>
    <row r="205" spans="1:18" x14ac:dyDescent="0.25">
      <c r="A205">
        <f t="shared" si="3"/>
        <v>0</v>
      </c>
      <c r="C205">
        <f>NOT(hospitalityq!C205="")*(SUMPRODUCT(--(TRIM(hospitalityq!C6:C205)=TRIM(hospitalityq!C205)))&gt;1)</f>
        <v>0</v>
      </c>
      <c r="D205">
        <f>NOT(hospitalityq!D205="")*(COUNTIF(reference!$C$17:$C$18,TRIM(hospitalityq!D205))=0)</f>
        <v>0</v>
      </c>
      <c r="J205">
        <f>NOT(hospitalityq!J205="")*(NOT(ISNUMBER(hospitalityq!J205+0)))</f>
        <v>0</v>
      </c>
      <c r="K205">
        <f>NOT(hospitalityq!K205="")*(NOT(ISNUMBER(hospitalityq!K205+0)))</f>
        <v>0</v>
      </c>
      <c r="P205">
        <f>NOT(hospitalityq!P205="")*(NOT(IFERROR(INT(hospitalityq!P205)=VALUE(hospitalityq!P205),FALSE)))</f>
        <v>0</v>
      </c>
      <c r="Q205">
        <f>NOT(hospitalityq!Q205="")*(NOT(IFERROR(INT(hospitalityq!Q205)=VALUE(hospitalityq!Q205),FALSE)))</f>
        <v>0</v>
      </c>
      <c r="R205">
        <f>NOT(hospitalityq!R205="")*(NOT(IFERROR(ROUND(VALUE(hospitalityq!R205),2)=VALUE(hospitalityq!R205),FALSE)))</f>
        <v>0</v>
      </c>
    </row>
    <row r="206" spans="1:18" x14ac:dyDescent="0.25">
      <c r="A206">
        <f t="shared" si="3"/>
        <v>0</v>
      </c>
      <c r="C206">
        <f>NOT(hospitalityq!C206="")*(SUMPRODUCT(--(TRIM(hospitalityq!C6:C206)=TRIM(hospitalityq!C206)))&gt;1)</f>
        <v>0</v>
      </c>
      <c r="D206">
        <f>NOT(hospitalityq!D206="")*(COUNTIF(reference!$C$17:$C$18,TRIM(hospitalityq!D206))=0)</f>
        <v>0</v>
      </c>
      <c r="J206">
        <f>NOT(hospitalityq!J206="")*(NOT(ISNUMBER(hospitalityq!J206+0)))</f>
        <v>0</v>
      </c>
      <c r="K206">
        <f>NOT(hospitalityq!K206="")*(NOT(ISNUMBER(hospitalityq!K206+0)))</f>
        <v>0</v>
      </c>
      <c r="P206">
        <f>NOT(hospitalityq!P206="")*(NOT(IFERROR(INT(hospitalityq!P206)=VALUE(hospitalityq!P206),FALSE)))</f>
        <v>0</v>
      </c>
      <c r="Q206">
        <f>NOT(hospitalityq!Q206="")*(NOT(IFERROR(INT(hospitalityq!Q206)=VALUE(hospitalityq!Q206),FALSE)))</f>
        <v>0</v>
      </c>
      <c r="R206">
        <f>NOT(hospitalityq!R206="")*(NOT(IFERROR(ROUND(VALUE(hospitalityq!R206),2)=VALUE(hospitalityq!R206),FALSE)))</f>
        <v>0</v>
      </c>
    </row>
    <row r="207" spans="1:18" x14ac:dyDescent="0.25">
      <c r="A207">
        <f t="shared" si="3"/>
        <v>0</v>
      </c>
      <c r="C207">
        <f>NOT(hospitalityq!C207="")*(SUMPRODUCT(--(TRIM(hospitalityq!C6:C207)=TRIM(hospitalityq!C207)))&gt;1)</f>
        <v>0</v>
      </c>
      <c r="D207">
        <f>NOT(hospitalityq!D207="")*(COUNTIF(reference!$C$17:$C$18,TRIM(hospitalityq!D207))=0)</f>
        <v>0</v>
      </c>
      <c r="J207">
        <f>NOT(hospitalityq!J207="")*(NOT(ISNUMBER(hospitalityq!J207+0)))</f>
        <v>0</v>
      </c>
      <c r="K207">
        <f>NOT(hospitalityq!K207="")*(NOT(ISNUMBER(hospitalityq!K207+0)))</f>
        <v>0</v>
      </c>
      <c r="P207">
        <f>NOT(hospitalityq!P207="")*(NOT(IFERROR(INT(hospitalityq!P207)=VALUE(hospitalityq!P207),FALSE)))</f>
        <v>0</v>
      </c>
      <c r="Q207">
        <f>NOT(hospitalityq!Q207="")*(NOT(IFERROR(INT(hospitalityq!Q207)=VALUE(hospitalityq!Q207),FALSE)))</f>
        <v>0</v>
      </c>
      <c r="R207">
        <f>NOT(hospitalityq!R207="")*(NOT(IFERROR(ROUND(VALUE(hospitalityq!R207),2)=VALUE(hospitalityq!R207),FALSE)))</f>
        <v>0</v>
      </c>
    </row>
    <row r="208" spans="1:18" x14ac:dyDescent="0.25">
      <c r="A208">
        <f t="shared" si="3"/>
        <v>0</v>
      </c>
      <c r="C208">
        <f>NOT(hospitalityq!C208="")*(SUMPRODUCT(--(TRIM(hospitalityq!C6:C208)=TRIM(hospitalityq!C208)))&gt;1)</f>
        <v>0</v>
      </c>
      <c r="D208">
        <f>NOT(hospitalityq!D208="")*(COUNTIF(reference!$C$17:$C$18,TRIM(hospitalityq!D208))=0)</f>
        <v>0</v>
      </c>
      <c r="J208">
        <f>NOT(hospitalityq!J208="")*(NOT(ISNUMBER(hospitalityq!J208+0)))</f>
        <v>0</v>
      </c>
      <c r="K208">
        <f>NOT(hospitalityq!K208="")*(NOT(ISNUMBER(hospitalityq!K208+0)))</f>
        <v>0</v>
      </c>
      <c r="P208">
        <f>NOT(hospitalityq!P208="")*(NOT(IFERROR(INT(hospitalityq!P208)=VALUE(hospitalityq!P208),FALSE)))</f>
        <v>0</v>
      </c>
      <c r="Q208">
        <f>NOT(hospitalityq!Q208="")*(NOT(IFERROR(INT(hospitalityq!Q208)=VALUE(hospitalityq!Q208),FALSE)))</f>
        <v>0</v>
      </c>
      <c r="R208">
        <f>NOT(hospitalityq!R208="")*(NOT(IFERROR(ROUND(VALUE(hospitalityq!R208),2)=VALUE(hospitalityq!R208),FALSE)))</f>
        <v>0</v>
      </c>
    </row>
    <row r="209" spans="1:18" x14ac:dyDescent="0.25">
      <c r="A209">
        <f t="shared" si="3"/>
        <v>0</v>
      </c>
      <c r="C209">
        <f>NOT(hospitalityq!C209="")*(SUMPRODUCT(--(TRIM(hospitalityq!C6:C209)=TRIM(hospitalityq!C209)))&gt;1)</f>
        <v>0</v>
      </c>
      <c r="D209">
        <f>NOT(hospitalityq!D209="")*(COUNTIF(reference!$C$17:$C$18,TRIM(hospitalityq!D209))=0)</f>
        <v>0</v>
      </c>
      <c r="J209">
        <f>NOT(hospitalityq!J209="")*(NOT(ISNUMBER(hospitalityq!J209+0)))</f>
        <v>0</v>
      </c>
      <c r="K209">
        <f>NOT(hospitalityq!K209="")*(NOT(ISNUMBER(hospitalityq!K209+0)))</f>
        <v>0</v>
      </c>
      <c r="P209">
        <f>NOT(hospitalityq!P209="")*(NOT(IFERROR(INT(hospitalityq!P209)=VALUE(hospitalityq!P209),FALSE)))</f>
        <v>0</v>
      </c>
      <c r="Q209">
        <f>NOT(hospitalityq!Q209="")*(NOT(IFERROR(INT(hospitalityq!Q209)=VALUE(hospitalityq!Q209),FALSE)))</f>
        <v>0</v>
      </c>
      <c r="R209">
        <f>NOT(hospitalityq!R209="")*(NOT(IFERROR(ROUND(VALUE(hospitalityq!R209),2)=VALUE(hospitalityq!R209),FALSE)))</f>
        <v>0</v>
      </c>
    </row>
    <row r="210" spans="1:18" x14ac:dyDescent="0.25">
      <c r="A210">
        <f t="shared" si="3"/>
        <v>0</v>
      </c>
      <c r="C210">
        <f>NOT(hospitalityq!C210="")*(SUMPRODUCT(--(TRIM(hospitalityq!C6:C210)=TRIM(hospitalityq!C210)))&gt;1)</f>
        <v>0</v>
      </c>
      <c r="D210">
        <f>NOT(hospitalityq!D210="")*(COUNTIF(reference!$C$17:$C$18,TRIM(hospitalityq!D210))=0)</f>
        <v>0</v>
      </c>
      <c r="J210">
        <f>NOT(hospitalityq!J210="")*(NOT(ISNUMBER(hospitalityq!J210+0)))</f>
        <v>0</v>
      </c>
      <c r="K210">
        <f>NOT(hospitalityq!K210="")*(NOT(ISNUMBER(hospitalityq!K210+0)))</f>
        <v>0</v>
      </c>
      <c r="P210">
        <f>NOT(hospitalityq!P210="")*(NOT(IFERROR(INT(hospitalityq!P210)=VALUE(hospitalityq!P210),FALSE)))</f>
        <v>0</v>
      </c>
      <c r="Q210">
        <f>NOT(hospitalityq!Q210="")*(NOT(IFERROR(INT(hospitalityq!Q210)=VALUE(hospitalityq!Q210),FALSE)))</f>
        <v>0</v>
      </c>
      <c r="R210">
        <f>NOT(hospitalityq!R210="")*(NOT(IFERROR(ROUND(VALUE(hospitalityq!R210),2)=VALUE(hospitalityq!R210),FALSE)))</f>
        <v>0</v>
      </c>
    </row>
    <row r="211" spans="1:18" x14ac:dyDescent="0.25">
      <c r="A211">
        <f t="shared" si="3"/>
        <v>0</v>
      </c>
      <c r="C211">
        <f>NOT(hospitalityq!C211="")*(SUMPRODUCT(--(TRIM(hospitalityq!C6:C211)=TRIM(hospitalityq!C211)))&gt;1)</f>
        <v>0</v>
      </c>
      <c r="D211">
        <f>NOT(hospitalityq!D211="")*(COUNTIF(reference!$C$17:$C$18,TRIM(hospitalityq!D211))=0)</f>
        <v>0</v>
      </c>
      <c r="J211">
        <f>NOT(hospitalityq!J211="")*(NOT(ISNUMBER(hospitalityq!J211+0)))</f>
        <v>0</v>
      </c>
      <c r="K211">
        <f>NOT(hospitalityq!K211="")*(NOT(ISNUMBER(hospitalityq!K211+0)))</f>
        <v>0</v>
      </c>
      <c r="P211">
        <f>NOT(hospitalityq!P211="")*(NOT(IFERROR(INT(hospitalityq!P211)=VALUE(hospitalityq!P211),FALSE)))</f>
        <v>0</v>
      </c>
      <c r="Q211">
        <f>NOT(hospitalityq!Q211="")*(NOT(IFERROR(INT(hospitalityq!Q211)=VALUE(hospitalityq!Q211),FALSE)))</f>
        <v>0</v>
      </c>
      <c r="R211">
        <f>NOT(hospitalityq!R211="")*(NOT(IFERROR(ROUND(VALUE(hospitalityq!R211),2)=VALUE(hospitalityq!R211),FALSE)))</f>
        <v>0</v>
      </c>
    </row>
    <row r="212" spans="1:18" x14ac:dyDescent="0.25">
      <c r="A212">
        <f t="shared" si="3"/>
        <v>0</v>
      </c>
      <c r="C212">
        <f>NOT(hospitalityq!C212="")*(SUMPRODUCT(--(TRIM(hospitalityq!C6:C212)=TRIM(hospitalityq!C212)))&gt;1)</f>
        <v>0</v>
      </c>
      <c r="D212">
        <f>NOT(hospitalityq!D212="")*(COUNTIF(reference!$C$17:$C$18,TRIM(hospitalityq!D212))=0)</f>
        <v>0</v>
      </c>
      <c r="J212">
        <f>NOT(hospitalityq!J212="")*(NOT(ISNUMBER(hospitalityq!J212+0)))</f>
        <v>0</v>
      </c>
      <c r="K212">
        <f>NOT(hospitalityq!K212="")*(NOT(ISNUMBER(hospitalityq!K212+0)))</f>
        <v>0</v>
      </c>
      <c r="P212">
        <f>NOT(hospitalityq!P212="")*(NOT(IFERROR(INT(hospitalityq!P212)=VALUE(hospitalityq!P212),FALSE)))</f>
        <v>0</v>
      </c>
      <c r="Q212">
        <f>NOT(hospitalityq!Q212="")*(NOT(IFERROR(INT(hospitalityq!Q212)=VALUE(hospitalityq!Q212),FALSE)))</f>
        <v>0</v>
      </c>
      <c r="R212">
        <f>NOT(hospitalityq!R212="")*(NOT(IFERROR(ROUND(VALUE(hospitalityq!R212),2)=VALUE(hospitalityq!R212),FALSE)))</f>
        <v>0</v>
      </c>
    </row>
    <row r="213" spans="1:18" x14ac:dyDescent="0.25">
      <c r="A213">
        <f t="shared" si="3"/>
        <v>0</v>
      </c>
      <c r="C213">
        <f>NOT(hospitalityq!C213="")*(SUMPRODUCT(--(TRIM(hospitalityq!C6:C213)=TRIM(hospitalityq!C213)))&gt;1)</f>
        <v>0</v>
      </c>
      <c r="D213">
        <f>NOT(hospitalityq!D213="")*(COUNTIF(reference!$C$17:$C$18,TRIM(hospitalityq!D213))=0)</f>
        <v>0</v>
      </c>
      <c r="J213">
        <f>NOT(hospitalityq!J213="")*(NOT(ISNUMBER(hospitalityq!J213+0)))</f>
        <v>0</v>
      </c>
      <c r="K213">
        <f>NOT(hospitalityq!K213="")*(NOT(ISNUMBER(hospitalityq!K213+0)))</f>
        <v>0</v>
      </c>
      <c r="P213">
        <f>NOT(hospitalityq!P213="")*(NOT(IFERROR(INT(hospitalityq!P213)=VALUE(hospitalityq!P213),FALSE)))</f>
        <v>0</v>
      </c>
      <c r="Q213">
        <f>NOT(hospitalityq!Q213="")*(NOT(IFERROR(INT(hospitalityq!Q213)=VALUE(hospitalityq!Q213),FALSE)))</f>
        <v>0</v>
      </c>
      <c r="R213">
        <f>NOT(hospitalityq!R213="")*(NOT(IFERROR(ROUND(VALUE(hospitalityq!R213),2)=VALUE(hospitalityq!R213),FALSE)))</f>
        <v>0</v>
      </c>
    </row>
    <row r="214" spans="1:18" x14ac:dyDescent="0.25">
      <c r="A214">
        <f t="shared" si="3"/>
        <v>0</v>
      </c>
      <c r="C214">
        <f>NOT(hospitalityq!C214="")*(SUMPRODUCT(--(TRIM(hospitalityq!C6:C214)=TRIM(hospitalityq!C214)))&gt;1)</f>
        <v>0</v>
      </c>
      <c r="D214">
        <f>NOT(hospitalityq!D214="")*(COUNTIF(reference!$C$17:$C$18,TRIM(hospitalityq!D214))=0)</f>
        <v>0</v>
      </c>
      <c r="J214">
        <f>NOT(hospitalityq!J214="")*(NOT(ISNUMBER(hospitalityq!J214+0)))</f>
        <v>0</v>
      </c>
      <c r="K214">
        <f>NOT(hospitalityq!K214="")*(NOT(ISNUMBER(hospitalityq!K214+0)))</f>
        <v>0</v>
      </c>
      <c r="P214">
        <f>NOT(hospitalityq!P214="")*(NOT(IFERROR(INT(hospitalityq!P214)=VALUE(hospitalityq!P214),FALSE)))</f>
        <v>0</v>
      </c>
      <c r="Q214">
        <f>NOT(hospitalityq!Q214="")*(NOT(IFERROR(INT(hospitalityq!Q214)=VALUE(hospitalityq!Q214),FALSE)))</f>
        <v>0</v>
      </c>
      <c r="R214">
        <f>NOT(hospitalityq!R214="")*(NOT(IFERROR(ROUND(VALUE(hospitalityq!R214),2)=VALUE(hospitalityq!R214),FALSE)))</f>
        <v>0</v>
      </c>
    </row>
    <row r="215" spans="1:18" x14ac:dyDescent="0.25">
      <c r="A215">
        <f t="shared" si="3"/>
        <v>0</v>
      </c>
      <c r="C215">
        <f>NOT(hospitalityq!C215="")*(SUMPRODUCT(--(TRIM(hospitalityq!C6:C215)=TRIM(hospitalityq!C215)))&gt;1)</f>
        <v>0</v>
      </c>
      <c r="D215">
        <f>NOT(hospitalityq!D215="")*(COUNTIF(reference!$C$17:$C$18,TRIM(hospitalityq!D215))=0)</f>
        <v>0</v>
      </c>
      <c r="J215">
        <f>NOT(hospitalityq!J215="")*(NOT(ISNUMBER(hospitalityq!J215+0)))</f>
        <v>0</v>
      </c>
      <c r="K215">
        <f>NOT(hospitalityq!K215="")*(NOT(ISNUMBER(hospitalityq!K215+0)))</f>
        <v>0</v>
      </c>
      <c r="P215">
        <f>NOT(hospitalityq!P215="")*(NOT(IFERROR(INT(hospitalityq!P215)=VALUE(hospitalityq!P215),FALSE)))</f>
        <v>0</v>
      </c>
      <c r="Q215">
        <f>NOT(hospitalityq!Q215="")*(NOT(IFERROR(INT(hospitalityq!Q215)=VALUE(hospitalityq!Q215),FALSE)))</f>
        <v>0</v>
      </c>
      <c r="R215">
        <f>NOT(hospitalityq!R215="")*(NOT(IFERROR(ROUND(VALUE(hospitalityq!R215),2)=VALUE(hospitalityq!R215),FALSE)))</f>
        <v>0</v>
      </c>
    </row>
    <row r="216" spans="1:18" x14ac:dyDescent="0.25">
      <c r="A216">
        <f t="shared" si="3"/>
        <v>0</v>
      </c>
      <c r="C216">
        <f>NOT(hospitalityq!C216="")*(SUMPRODUCT(--(TRIM(hospitalityq!C6:C216)=TRIM(hospitalityq!C216)))&gt;1)</f>
        <v>0</v>
      </c>
      <c r="D216">
        <f>NOT(hospitalityq!D216="")*(COUNTIF(reference!$C$17:$C$18,TRIM(hospitalityq!D216))=0)</f>
        <v>0</v>
      </c>
      <c r="J216">
        <f>NOT(hospitalityq!J216="")*(NOT(ISNUMBER(hospitalityq!J216+0)))</f>
        <v>0</v>
      </c>
      <c r="K216">
        <f>NOT(hospitalityq!K216="")*(NOT(ISNUMBER(hospitalityq!K216+0)))</f>
        <v>0</v>
      </c>
      <c r="P216">
        <f>NOT(hospitalityq!P216="")*(NOT(IFERROR(INT(hospitalityq!P216)=VALUE(hospitalityq!P216),FALSE)))</f>
        <v>0</v>
      </c>
      <c r="Q216">
        <f>NOT(hospitalityq!Q216="")*(NOT(IFERROR(INT(hospitalityq!Q216)=VALUE(hospitalityq!Q216),FALSE)))</f>
        <v>0</v>
      </c>
      <c r="R216">
        <f>NOT(hospitalityq!R216="")*(NOT(IFERROR(ROUND(VALUE(hospitalityq!R216),2)=VALUE(hospitalityq!R216),FALSE)))</f>
        <v>0</v>
      </c>
    </row>
    <row r="217" spans="1:18" x14ac:dyDescent="0.25">
      <c r="A217">
        <f t="shared" si="3"/>
        <v>0</v>
      </c>
      <c r="C217">
        <f>NOT(hospitalityq!C217="")*(SUMPRODUCT(--(TRIM(hospitalityq!C6:C217)=TRIM(hospitalityq!C217)))&gt;1)</f>
        <v>0</v>
      </c>
      <c r="D217">
        <f>NOT(hospitalityq!D217="")*(COUNTIF(reference!$C$17:$C$18,TRIM(hospitalityq!D217))=0)</f>
        <v>0</v>
      </c>
      <c r="J217">
        <f>NOT(hospitalityq!J217="")*(NOT(ISNUMBER(hospitalityq!J217+0)))</f>
        <v>0</v>
      </c>
      <c r="K217">
        <f>NOT(hospitalityq!K217="")*(NOT(ISNUMBER(hospitalityq!K217+0)))</f>
        <v>0</v>
      </c>
      <c r="P217">
        <f>NOT(hospitalityq!P217="")*(NOT(IFERROR(INT(hospitalityq!P217)=VALUE(hospitalityq!P217),FALSE)))</f>
        <v>0</v>
      </c>
      <c r="Q217">
        <f>NOT(hospitalityq!Q217="")*(NOT(IFERROR(INT(hospitalityq!Q217)=VALUE(hospitalityq!Q217),FALSE)))</f>
        <v>0</v>
      </c>
      <c r="R217">
        <f>NOT(hospitalityq!R217="")*(NOT(IFERROR(ROUND(VALUE(hospitalityq!R217),2)=VALUE(hospitalityq!R217),FALSE)))</f>
        <v>0</v>
      </c>
    </row>
    <row r="218" spans="1:18" x14ac:dyDescent="0.25">
      <c r="A218">
        <f t="shared" si="3"/>
        <v>0</v>
      </c>
      <c r="C218">
        <f>NOT(hospitalityq!C218="")*(SUMPRODUCT(--(TRIM(hospitalityq!C6:C218)=TRIM(hospitalityq!C218)))&gt;1)</f>
        <v>0</v>
      </c>
      <c r="D218">
        <f>NOT(hospitalityq!D218="")*(COUNTIF(reference!$C$17:$C$18,TRIM(hospitalityq!D218))=0)</f>
        <v>0</v>
      </c>
      <c r="J218">
        <f>NOT(hospitalityq!J218="")*(NOT(ISNUMBER(hospitalityq!J218+0)))</f>
        <v>0</v>
      </c>
      <c r="K218">
        <f>NOT(hospitalityq!K218="")*(NOT(ISNUMBER(hospitalityq!K218+0)))</f>
        <v>0</v>
      </c>
      <c r="P218">
        <f>NOT(hospitalityq!P218="")*(NOT(IFERROR(INT(hospitalityq!P218)=VALUE(hospitalityq!P218),FALSE)))</f>
        <v>0</v>
      </c>
      <c r="Q218">
        <f>NOT(hospitalityq!Q218="")*(NOT(IFERROR(INT(hospitalityq!Q218)=VALUE(hospitalityq!Q218),FALSE)))</f>
        <v>0</v>
      </c>
      <c r="R218">
        <f>NOT(hospitalityq!R218="")*(NOT(IFERROR(ROUND(VALUE(hospitalityq!R218),2)=VALUE(hospitalityq!R218),FALSE)))</f>
        <v>0</v>
      </c>
    </row>
    <row r="219" spans="1:18" x14ac:dyDescent="0.25">
      <c r="A219">
        <f t="shared" si="3"/>
        <v>0</v>
      </c>
      <c r="C219">
        <f>NOT(hospitalityq!C219="")*(SUMPRODUCT(--(TRIM(hospitalityq!C6:C219)=TRIM(hospitalityq!C219)))&gt;1)</f>
        <v>0</v>
      </c>
      <c r="D219">
        <f>NOT(hospitalityq!D219="")*(COUNTIF(reference!$C$17:$C$18,TRIM(hospitalityq!D219))=0)</f>
        <v>0</v>
      </c>
      <c r="J219">
        <f>NOT(hospitalityq!J219="")*(NOT(ISNUMBER(hospitalityq!J219+0)))</f>
        <v>0</v>
      </c>
      <c r="K219">
        <f>NOT(hospitalityq!K219="")*(NOT(ISNUMBER(hospitalityq!K219+0)))</f>
        <v>0</v>
      </c>
      <c r="P219">
        <f>NOT(hospitalityq!P219="")*(NOT(IFERROR(INT(hospitalityq!P219)=VALUE(hospitalityq!P219),FALSE)))</f>
        <v>0</v>
      </c>
      <c r="Q219">
        <f>NOT(hospitalityq!Q219="")*(NOT(IFERROR(INT(hospitalityq!Q219)=VALUE(hospitalityq!Q219),FALSE)))</f>
        <v>0</v>
      </c>
      <c r="R219">
        <f>NOT(hospitalityq!R219="")*(NOT(IFERROR(ROUND(VALUE(hospitalityq!R219),2)=VALUE(hospitalityq!R219),FALSE)))</f>
        <v>0</v>
      </c>
    </row>
    <row r="220" spans="1:18" x14ac:dyDescent="0.25">
      <c r="A220">
        <f t="shared" si="3"/>
        <v>0</v>
      </c>
      <c r="C220">
        <f>NOT(hospitalityq!C220="")*(SUMPRODUCT(--(TRIM(hospitalityq!C6:C220)=TRIM(hospitalityq!C220)))&gt;1)</f>
        <v>0</v>
      </c>
      <c r="D220">
        <f>NOT(hospitalityq!D220="")*(COUNTIF(reference!$C$17:$C$18,TRIM(hospitalityq!D220))=0)</f>
        <v>0</v>
      </c>
      <c r="J220">
        <f>NOT(hospitalityq!J220="")*(NOT(ISNUMBER(hospitalityq!J220+0)))</f>
        <v>0</v>
      </c>
      <c r="K220">
        <f>NOT(hospitalityq!K220="")*(NOT(ISNUMBER(hospitalityq!K220+0)))</f>
        <v>0</v>
      </c>
      <c r="P220">
        <f>NOT(hospitalityq!P220="")*(NOT(IFERROR(INT(hospitalityq!P220)=VALUE(hospitalityq!P220),FALSE)))</f>
        <v>0</v>
      </c>
      <c r="Q220">
        <f>NOT(hospitalityq!Q220="")*(NOT(IFERROR(INT(hospitalityq!Q220)=VALUE(hospitalityq!Q220),FALSE)))</f>
        <v>0</v>
      </c>
      <c r="R220">
        <f>NOT(hospitalityq!R220="")*(NOT(IFERROR(ROUND(VALUE(hospitalityq!R220),2)=VALUE(hospitalityq!R220),FALSE)))</f>
        <v>0</v>
      </c>
    </row>
    <row r="221" spans="1:18" x14ac:dyDescent="0.25">
      <c r="A221">
        <f t="shared" si="3"/>
        <v>0</v>
      </c>
      <c r="C221">
        <f>NOT(hospitalityq!C221="")*(SUMPRODUCT(--(TRIM(hospitalityq!C6:C221)=TRIM(hospitalityq!C221)))&gt;1)</f>
        <v>0</v>
      </c>
      <c r="D221">
        <f>NOT(hospitalityq!D221="")*(COUNTIF(reference!$C$17:$C$18,TRIM(hospitalityq!D221))=0)</f>
        <v>0</v>
      </c>
      <c r="J221">
        <f>NOT(hospitalityq!J221="")*(NOT(ISNUMBER(hospitalityq!J221+0)))</f>
        <v>0</v>
      </c>
      <c r="K221">
        <f>NOT(hospitalityq!K221="")*(NOT(ISNUMBER(hospitalityq!K221+0)))</f>
        <v>0</v>
      </c>
      <c r="P221">
        <f>NOT(hospitalityq!P221="")*(NOT(IFERROR(INT(hospitalityq!P221)=VALUE(hospitalityq!P221),FALSE)))</f>
        <v>0</v>
      </c>
      <c r="Q221">
        <f>NOT(hospitalityq!Q221="")*(NOT(IFERROR(INT(hospitalityq!Q221)=VALUE(hospitalityq!Q221),FALSE)))</f>
        <v>0</v>
      </c>
      <c r="R221">
        <f>NOT(hospitalityq!R221="")*(NOT(IFERROR(ROUND(VALUE(hospitalityq!R221),2)=VALUE(hospitalityq!R221),FALSE)))</f>
        <v>0</v>
      </c>
    </row>
    <row r="222" spans="1:18" x14ac:dyDescent="0.25">
      <c r="A222">
        <f t="shared" si="3"/>
        <v>0</v>
      </c>
      <c r="C222">
        <f>NOT(hospitalityq!C222="")*(SUMPRODUCT(--(TRIM(hospitalityq!C6:C222)=TRIM(hospitalityq!C222)))&gt;1)</f>
        <v>0</v>
      </c>
      <c r="D222">
        <f>NOT(hospitalityq!D222="")*(COUNTIF(reference!$C$17:$C$18,TRIM(hospitalityq!D222))=0)</f>
        <v>0</v>
      </c>
      <c r="J222">
        <f>NOT(hospitalityq!J222="")*(NOT(ISNUMBER(hospitalityq!J222+0)))</f>
        <v>0</v>
      </c>
      <c r="K222">
        <f>NOT(hospitalityq!K222="")*(NOT(ISNUMBER(hospitalityq!K222+0)))</f>
        <v>0</v>
      </c>
      <c r="P222">
        <f>NOT(hospitalityq!P222="")*(NOT(IFERROR(INT(hospitalityq!P222)=VALUE(hospitalityq!P222),FALSE)))</f>
        <v>0</v>
      </c>
      <c r="Q222">
        <f>NOT(hospitalityq!Q222="")*(NOT(IFERROR(INT(hospitalityq!Q222)=VALUE(hospitalityq!Q222),FALSE)))</f>
        <v>0</v>
      </c>
      <c r="R222">
        <f>NOT(hospitalityq!R222="")*(NOT(IFERROR(ROUND(VALUE(hospitalityq!R222),2)=VALUE(hospitalityq!R222),FALSE)))</f>
        <v>0</v>
      </c>
    </row>
    <row r="223" spans="1:18" x14ac:dyDescent="0.25">
      <c r="A223">
        <f t="shared" si="3"/>
        <v>0</v>
      </c>
      <c r="C223">
        <f>NOT(hospitalityq!C223="")*(SUMPRODUCT(--(TRIM(hospitalityq!C6:C223)=TRIM(hospitalityq!C223)))&gt;1)</f>
        <v>0</v>
      </c>
      <c r="D223">
        <f>NOT(hospitalityq!D223="")*(COUNTIF(reference!$C$17:$C$18,TRIM(hospitalityq!D223))=0)</f>
        <v>0</v>
      </c>
      <c r="J223">
        <f>NOT(hospitalityq!J223="")*(NOT(ISNUMBER(hospitalityq!J223+0)))</f>
        <v>0</v>
      </c>
      <c r="K223">
        <f>NOT(hospitalityq!K223="")*(NOT(ISNUMBER(hospitalityq!K223+0)))</f>
        <v>0</v>
      </c>
      <c r="P223">
        <f>NOT(hospitalityq!P223="")*(NOT(IFERROR(INT(hospitalityq!P223)=VALUE(hospitalityq!P223),FALSE)))</f>
        <v>0</v>
      </c>
      <c r="Q223">
        <f>NOT(hospitalityq!Q223="")*(NOT(IFERROR(INT(hospitalityq!Q223)=VALUE(hospitalityq!Q223),FALSE)))</f>
        <v>0</v>
      </c>
      <c r="R223">
        <f>NOT(hospitalityq!R223="")*(NOT(IFERROR(ROUND(VALUE(hospitalityq!R223),2)=VALUE(hospitalityq!R223),FALSE)))</f>
        <v>0</v>
      </c>
    </row>
    <row r="224" spans="1:18" x14ac:dyDescent="0.25">
      <c r="A224">
        <f t="shared" si="3"/>
        <v>0</v>
      </c>
      <c r="C224">
        <f>NOT(hospitalityq!C224="")*(SUMPRODUCT(--(TRIM(hospitalityq!C6:C224)=TRIM(hospitalityq!C224)))&gt;1)</f>
        <v>0</v>
      </c>
      <c r="D224">
        <f>NOT(hospitalityq!D224="")*(COUNTIF(reference!$C$17:$C$18,TRIM(hospitalityq!D224))=0)</f>
        <v>0</v>
      </c>
      <c r="J224">
        <f>NOT(hospitalityq!J224="")*(NOT(ISNUMBER(hospitalityq!J224+0)))</f>
        <v>0</v>
      </c>
      <c r="K224">
        <f>NOT(hospitalityq!K224="")*(NOT(ISNUMBER(hospitalityq!K224+0)))</f>
        <v>0</v>
      </c>
      <c r="P224">
        <f>NOT(hospitalityq!P224="")*(NOT(IFERROR(INT(hospitalityq!P224)=VALUE(hospitalityq!P224),FALSE)))</f>
        <v>0</v>
      </c>
      <c r="Q224">
        <f>NOT(hospitalityq!Q224="")*(NOT(IFERROR(INT(hospitalityq!Q224)=VALUE(hospitalityq!Q224),FALSE)))</f>
        <v>0</v>
      </c>
      <c r="R224">
        <f>NOT(hospitalityq!R224="")*(NOT(IFERROR(ROUND(VALUE(hospitalityq!R224),2)=VALUE(hospitalityq!R224),FALSE)))</f>
        <v>0</v>
      </c>
    </row>
    <row r="225" spans="1:18" x14ac:dyDescent="0.25">
      <c r="A225">
        <f t="shared" si="3"/>
        <v>0</v>
      </c>
      <c r="C225">
        <f>NOT(hospitalityq!C225="")*(SUMPRODUCT(--(TRIM(hospitalityq!C6:C225)=TRIM(hospitalityq!C225)))&gt;1)</f>
        <v>0</v>
      </c>
      <c r="D225">
        <f>NOT(hospitalityq!D225="")*(COUNTIF(reference!$C$17:$C$18,TRIM(hospitalityq!D225))=0)</f>
        <v>0</v>
      </c>
      <c r="J225">
        <f>NOT(hospitalityq!J225="")*(NOT(ISNUMBER(hospitalityq!J225+0)))</f>
        <v>0</v>
      </c>
      <c r="K225">
        <f>NOT(hospitalityq!K225="")*(NOT(ISNUMBER(hospitalityq!K225+0)))</f>
        <v>0</v>
      </c>
      <c r="P225">
        <f>NOT(hospitalityq!P225="")*(NOT(IFERROR(INT(hospitalityq!P225)=VALUE(hospitalityq!P225),FALSE)))</f>
        <v>0</v>
      </c>
      <c r="Q225">
        <f>NOT(hospitalityq!Q225="")*(NOT(IFERROR(INT(hospitalityq!Q225)=VALUE(hospitalityq!Q225),FALSE)))</f>
        <v>0</v>
      </c>
      <c r="R225">
        <f>NOT(hospitalityq!R225="")*(NOT(IFERROR(ROUND(VALUE(hospitalityq!R225),2)=VALUE(hospitalityq!R225),FALSE)))</f>
        <v>0</v>
      </c>
    </row>
    <row r="226" spans="1:18" x14ac:dyDescent="0.25">
      <c r="A226">
        <f t="shared" si="3"/>
        <v>0</v>
      </c>
      <c r="C226">
        <f>NOT(hospitalityq!C226="")*(SUMPRODUCT(--(TRIM(hospitalityq!C6:C226)=TRIM(hospitalityq!C226)))&gt;1)</f>
        <v>0</v>
      </c>
      <c r="D226">
        <f>NOT(hospitalityq!D226="")*(COUNTIF(reference!$C$17:$C$18,TRIM(hospitalityq!D226))=0)</f>
        <v>0</v>
      </c>
      <c r="J226">
        <f>NOT(hospitalityq!J226="")*(NOT(ISNUMBER(hospitalityq!J226+0)))</f>
        <v>0</v>
      </c>
      <c r="K226">
        <f>NOT(hospitalityq!K226="")*(NOT(ISNUMBER(hospitalityq!K226+0)))</f>
        <v>0</v>
      </c>
      <c r="P226">
        <f>NOT(hospitalityq!P226="")*(NOT(IFERROR(INT(hospitalityq!P226)=VALUE(hospitalityq!P226),FALSE)))</f>
        <v>0</v>
      </c>
      <c r="Q226">
        <f>NOT(hospitalityq!Q226="")*(NOT(IFERROR(INT(hospitalityq!Q226)=VALUE(hospitalityq!Q226),FALSE)))</f>
        <v>0</v>
      </c>
      <c r="R226">
        <f>NOT(hospitalityq!R226="")*(NOT(IFERROR(ROUND(VALUE(hospitalityq!R226),2)=VALUE(hospitalityq!R226),FALSE)))</f>
        <v>0</v>
      </c>
    </row>
    <row r="227" spans="1:18" x14ac:dyDescent="0.25">
      <c r="A227">
        <f t="shared" si="3"/>
        <v>0</v>
      </c>
      <c r="C227">
        <f>NOT(hospitalityq!C227="")*(SUMPRODUCT(--(TRIM(hospitalityq!C6:C227)=TRIM(hospitalityq!C227)))&gt;1)</f>
        <v>0</v>
      </c>
      <c r="D227">
        <f>NOT(hospitalityq!D227="")*(COUNTIF(reference!$C$17:$C$18,TRIM(hospitalityq!D227))=0)</f>
        <v>0</v>
      </c>
      <c r="J227">
        <f>NOT(hospitalityq!J227="")*(NOT(ISNUMBER(hospitalityq!J227+0)))</f>
        <v>0</v>
      </c>
      <c r="K227">
        <f>NOT(hospitalityq!K227="")*(NOT(ISNUMBER(hospitalityq!K227+0)))</f>
        <v>0</v>
      </c>
      <c r="P227">
        <f>NOT(hospitalityq!P227="")*(NOT(IFERROR(INT(hospitalityq!P227)=VALUE(hospitalityq!P227),FALSE)))</f>
        <v>0</v>
      </c>
      <c r="Q227">
        <f>NOT(hospitalityq!Q227="")*(NOT(IFERROR(INT(hospitalityq!Q227)=VALUE(hospitalityq!Q227),FALSE)))</f>
        <v>0</v>
      </c>
      <c r="R227">
        <f>NOT(hospitalityq!R227="")*(NOT(IFERROR(ROUND(VALUE(hospitalityq!R227),2)=VALUE(hospitalityq!R227),FALSE)))</f>
        <v>0</v>
      </c>
    </row>
    <row r="228" spans="1:18" x14ac:dyDescent="0.25">
      <c r="A228">
        <f t="shared" si="3"/>
        <v>0</v>
      </c>
      <c r="C228">
        <f>NOT(hospitalityq!C228="")*(SUMPRODUCT(--(TRIM(hospitalityq!C6:C228)=TRIM(hospitalityq!C228)))&gt;1)</f>
        <v>0</v>
      </c>
      <c r="D228">
        <f>NOT(hospitalityq!D228="")*(COUNTIF(reference!$C$17:$C$18,TRIM(hospitalityq!D228))=0)</f>
        <v>0</v>
      </c>
      <c r="J228">
        <f>NOT(hospitalityq!J228="")*(NOT(ISNUMBER(hospitalityq!J228+0)))</f>
        <v>0</v>
      </c>
      <c r="K228">
        <f>NOT(hospitalityq!K228="")*(NOT(ISNUMBER(hospitalityq!K228+0)))</f>
        <v>0</v>
      </c>
      <c r="P228">
        <f>NOT(hospitalityq!P228="")*(NOT(IFERROR(INT(hospitalityq!P228)=VALUE(hospitalityq!P228),FALSE)))</f>
        <v>0</v>
      </c>
      <c r="Q228">
        <f>NOT(hospitalityq!Q228="")*(NOT(IFERROR(INT(hospitalityq!Q228)=VALUE(hospitalityq!Q228),FALSE)))</f>
        <v>0</v>
      </c>
      <c r="R228">
        <f>NOT(hospitalityq!R228="")*(NOT(IFERROR(ROUND(VALUE(hospitalityq!R228),2)=VALUE(hospitalityq!R228),FALSE)))</f>
        <v>0</v>
      </c>
    </row>
    <row r="229" spans="1:18" x14ac:dyDescent="0.25">
      <c r="A229">
        <f t="shared" si="3"/>
        <v>0</v>
      </c>
      <c r="C229">
        <f>NOT(hospitalityq!C229="")*(SUMPRODUCT(--(TRIM(hospitalityq!C6:C229)=TRIM(hospitalityq!C229)))&gt;1)</f>
        <v>0</v>
      </c>
      <c r="D229">
        <f>NOT(hospitalityq!D229="")*(COUNTIF(reference!$C$17:$C$18,TRIM(hospitalityq!D229))=0)</f>
        <v>0</v>
      </c>
      <c r="J229">
        <f>NOT(hospitalityq!J229="")*(NOT(ISNUMBER(hospitalityq!J229+0)))</f>
        <v>0</v>
      </c>
      <c r="K229">
        <f>NOT(hospitalityq!K229="")*(NOT(ISNUMBER(hospitalityq!K229+0)))</f>
        <v>0</v>
      </c>
      <c r="P229">
        <f>NOT(hospitalityq!P229="")*(NOT(IFERROR(INT(hospitalityq!P229)=VALUE(hospitalityq!P229),FALSE)))</f>
        <v>0</v>
      </c>
      <c r="Q229">
        <f>NOT(hospitalityq!Q229="")*(NOT(IFERROR(INT(hospitalityq!Q229)=VALUE(hospitalityq!Q229),FALSE)))</f>
        <v>0</v>
      </c>
      <c r="R229">
        <f>NOT(hospitalityq!R229="")*(NOT(IFERROR(ROUND(VALUE(hospitalityq!R229),2)=VALUE(hospitalityq!R229),FALSE)))</f>
        <v>0</v>
      </c>
    </row>
    <row r="230" spans="1:18" x14ac:dyDescent="0.25">
      <c r="A230">
        <f t="shared" si="3"/>
        <v>0</v>
      </c>
      <c r="C230">
        <f>NOT(hospitalityq!C230="")*(SUMPRODUCT(--(TRIM(hospitalityq!C6:C230)=TRIM(hospitalityq!C230)))&gt;1)</f>
        <v>0</v>
      </c>
      <c r="D230">
        <f>NOT(hospitalityq!D230="")*(COUNTIF(reference!$C$17:$C$18,TRIM(hospitalityq!D230))=0)</f>
        <v>0</v>
      </c>
      <c r="J230">
        <f>NOT(hospitalityq!J230="")*(NOT(ISNUMBER(hospitalityq!J230+0)))</f>
        <v>0</v>
      </c>
      <c r="K230">
        <f>NOT(hospitalityq!K230="")*(NOT(ISNUMBER(hospitalityq!K230+0)))</f>
        <v>0</v>
      </c>
      <c r="P230">
        <f>NOT(hospitalityq!P230="")*(NOT(IFERROR(INT(hospitalityq!P230)=VALUE(hospitalityq!P230),FALSE)))</f>
        <v>0</v>
      </c>
      <c r="Q230">
        <f>NOT(hospitalityq!Q230="")*(NOT(IFERROR(INT(hospitalityq!Q230)=VALUE(hospitalityq!Q230),FALSE)))</f>
        <v>0</v>
      </c>
      <c r="R230">
        <f>NOT(hospitalityq!R230="")*(NOT(IFERROR(ROUND(VALUE(hospitalityq!R230),2)=VALUE(hospitalityq!R230),FALSE)))</f>
        <v>0</v>
      </c>
    </row>
    <row r="231" spans="1:18" x14ac:dyDescent="0.25">
      <c r="A231">
        <f t="shared" si="3"/>
        <v>0</v>
      </c>
      <c r="C231">
        <f>NOT(hospitalityq!C231="")*(SUMPRODUCT(--(TRIM(hospitalityq!C6:C231)=TRIM(hospitalityq!C231)))&gt;1)</f>
        <v>0</v>
      </c>
      <c r="D231">
        <f>NOT(hospitalityq!D231="")*(COUNTIF(reference!$C$17:$C$18,TRIM(hospitalityq!D231))=0)</f>
        <v>0</v>
      </c>
      <c r="J231">
        <f>NOT(hospitalityq!J231="")*(NOT(ISNUMBER(hospitalityq!J231+0)))</f>
        <v>0</v>
      </c>
      <c r="K231">
        <f>NOT(hospitalityq!K231="")*(NOT(ISNUMBER(hospitalityq!K231+0)))</f>
        <v>0</v>
      </c>
      <c r="P231">
        <f>NOT(hospitalityq!P231="")*(NOT(IFERROR(INT(hospitalityq!P231)=VALUE(hospitalityq!P231),FALSE)))</f>
        <v>0</v>
      </c>
      <c r="Q231">
        <f>NOT(hospitalityq!Q231="")*(NOT(IFERROR(INT(hospitalityq!Q231)=VALUE(hospitalityq!Q231),FALSE)))</f>
        <v>0</v>
      </c>
      <c r="R231">
        <f>NOT(hospitalityq!R231="")*(NOT(IFERROR(ROUND(VALUE(hospitalityq!R231),2)=VALUE(hospitalityq!R231),FALSE)))</f>
        <v>0</v>
      </c>
    </row>
    <row r="232" spans="1:18" x14ac:dyDescent="0.25">
      <c r="A232">
        <f t="shared" si="3"/>
        <v>0</v>
      </c>
      <c r="C232">
        <f>NOT(hospitalityq!C232="")*(SUMPRODUCT(--(TRIM(hospitalityq!C6:C232)=TRIM(hospitalityq!C232)))&gt;1)</f>
        <v>0</v>
      </c>
      <c r="D232">
        <f>NOT(hospitalityq!D232="")*(COUNTIF(reference!$C$17:$C$18,TRIM(hospitalityq!D232))=0)</f>
        <v>0</v>
      </c>
      <c r="J232">
        <f>NOT(hospitalityq!J232="")*(NOT(ISNUMBER(hospitalityq!J232+0)))</f>
        <v>0</v>
      </c>
      <c r="K232">
        <f>NOT(hospitalityq!K232="")*(NOT(ISNUMBER(hospitalityq!K232+0)))</f>
        <v>0</v>
      </c>
      <c r="P232">
        <f>NOT(hospitalityq!P232="")*(NOT(IFERROR(INT(hospitalityq!P232)=VALUE(hospitalityq!P232),FALSE)))</f>
        <v>0</v>
      </c>
      <c r="Q232">
        <f>NOT(hospitalityq!Q232="")*(NOT(IFERROR(INT(hospitalityq!Q232)=VALUE(hospitalityq!Q232),FALSE)))</f>
        <v>0</v>
      </c>
      <c r="R232">
        <f>NOT(hospitalityq!R232="")*(NOT(IFERROR(ROUND(VALUE(hospitalityq!R232),2)=VALUE(hospitalityq!R232),FALSE)))</f>
        <v>0</v>
      </c>
    </row>
    <row r="233" spans="1:18" x14ac:dyDescent="0.25">
      <c r="A233">
        <f t="shared" si="3"/>
        <v>0</v>
      </c>
      <c r="C233">
        <f>NOT(hospitalityq!C233="")*(SUMPRODUCT(--(TRIM(hospitalityq!C6:C233)=TRIM(hospitalityq!C233)))&gt;1)</f>
        <v>0</v>
      </c>
      <c r="D233">
        <f>NOT(hospitalityq!D233="")*(COUNTIF(reference!$C$17:$C$18,TRIM(hospitalityq!D233))=0)</f>
        <v>0</v>
      </c>
      <c r="J233">
        <f>NOT(hospitalityq!J233="")*(NOT(ISNUMBER(hospitalityq!J233+0)))</f>
        <v>0</v>
      </c>
      <c r="K233">
        <f>NOT(hospitalityq!K233="")*(NOT(ISNUMBER(hospitalityq!K233+0)))</f>
        <v>0</v>
      </c>
      <c r="P233">
        <f>NOT(hospitalityq!P233="")*(NOT(IFERROR(INT(hospitalityq!P233)=VALUE(hospitalityq!P233),FALSE)))</f>
        <v>0</v>
      </c>
      <c r="Q233">
        <f>NOT(hospitalityq!Q233="")*(NOT(IFERROR(INT(hospitalityq!Q233)=VALUE(hospitalityq!Q233),FALSE)))</f>
        <v>0</v>
      </c>
      <c r="R233">
        <f>NOT(hospitalityq!R233="")*(NOT(IFERROR(ROUND(VALUE(hospitalityq!R233),2)=VALUE(hospitalityq!R233),FALSE)))</f>
        <v>0</v>
      </c>
    </row>
    <row r="234" spans="1:18" x14ac:dyDescent="0.25">
      <c r="A234">
        <f t="shared" si="3"/>
        <v>0</v>
      </c>
      <c r="C234">
        <f>NOT(hospitalityq!C234="")*(SUMPRODUCT(--(TRIM(hospitalityq!C6:C234)=TRIM(hospitalityq!C234)))&gt;1)</f>
        <v>0</v>
      </c>
      <c r="D234">
        <f>NOT(hospitalityq!D234="")*(COUNTIF(reference!$C$17:$C$18,TRIM(hospitalityq!D234))=0)</f>
        <v>0</v>
      </c>
      <c r="J234">
        <f>NOT(hospitalityq!J234="")*(NOT(ISNUMBER(hospitalityq!J234+0)))</f>
        <v>0</v>
      </c>
      <c r="K234">
        <f>NOT(hospitalityq!K234="")*(NOT(ISNUMBER(hospitalityq!K234+0)))</f>
        <v>0</v>
      </c>
      <c r="P234">
        <f>NOT(hospitalityq!P234="")*(NOT(IFERROR(INT(hospitalityq!P234)=VALUE(hospitalityq!P234),FALSE)))</f>
        <v>0</v>
      </c>
      <c r="Q234">
        <f>NOT(hospitalityq!Q234="")*(NOT(IFERROR(INT(hospitalityq!Q234)=VALUE(hospitalityq!Q234),FALSE)))</f>
        <v>0</v>
      </c>
      <c r="R234">
        <f>NOT(hospitalityq!R234="")*(NOT(IFERROR(ROUND(VALUE(hospitalityq!R234),2)=VALUE(hospitalityq!R234),FALSE)))</f>
        <v>0</v>
      </c>
    </row>
    <row r="235" spans="1:18" x14ac:dyDescent="0.25">
      <c r="A235">
        <f t="shared" si="3"/>
        <v>0</v>
      </c>
      <c r="C235">
        <f>NOT(hospitalityq!C235="")*(SUMPRODUCT(--(TRIM(hospitalityq!C6:C235)=TRIM(hospitalityq!C235)))&gt;1)</f>
        <v>0</v>
      </c>
      <c r="D235">
        <f>NOT(hospitalityq!D235="")*(COUNTIF(reference!$C$17:$C$18,TRIM(hospitalityq!D235))=0)</f>
        <v>0</v>
      </c>
      <c r="J235">
        <f>NOT(hospitalityq!J235="")*(NOT(ISNUMBER(hospitalityq!J235+0)))</f>
        <v>0</v>
      </c>
      <c r="K235">
        <f>NOT(hospitalityq!K235="")*(NOT(ISNUMBER(hospitalityq!K235+0)))</f>
        <v>0</v>
      </c>
      <c r="P235">
        <f>NOT(hospitalityq!P235="")*(NOT(IFERROR(INT(hospitalityq!P235)=VALUE(hospitalityq!P235),FALSE)))</f>
        <v>0</v>
      </c>
      <c r="Q235">
        <f>NOT(hospitalityq!Q235="")*(NOT(IFERROR(INT(hospitalityq!Q235)=VALUE(hospitalityq!Q235),FALSE)))</f>
        <v>0</v>
      </c>
      <c r="R235">
        <f>NOT(hospitalityq!R235="")*(NOT(IFERROR(ROUND(VALUE(hospitalityq!R235),2)=VALUE(hospitalityq!R235),FALSE)))</f>
        <v>0</v>
      </c>
    </row>
    <row r="236" spans="1:18" x14ac:dyDescent="0.25">
      <c r="A236">
        <f t="shared" si="3"/>
        <v>0</v>
      </c>
      <c r="C236">
        <f>NOT(hospitalityq!C236="")*(SUMPRODUCT(--(TRIM(hospitalityq!C6:C236)=TRIM(hospitalityq!C236)))&gt;1)</f>
        <v>0</v>
      </c>
      <c r="D236">
        <f>NOT(hospitalityq!D236="")*(COUNTIF(reference!$C$17:$C$18,TRIM(hospitalityq!D236))=0)</f>
        <v>0</v>
      </c>
      <c r="J236">
        <f>NOT(hospitalityq!J236="")*(NOT(ISNUMBER(hospitalityq!J236+0)))</f>
        <v>0</v>
      </c>
      <c r="K236">
        <f>NOT(hospitalityq!K236="")*(NOT(ISNUMBER(hospitalityq!K236+0)))</f>
        <v>0</v>
      </c>
      <c r="P236">
        <f>NOT(hospitalityq!P236="")*(NOT(IFERROR(INT(hospitalityq!P236)=VALUE(hospitalityq!P236),FALSE)))</f>
        <v>0</v>
      </c>
      <c r="Q236">
        <f>NOT(hospitalityq!Q236="")*(NOT(IFERROR(INT(hospitalityq!Q236)=VALUE(hospitalityq!Q236),FALSE)))</f>
        <v>0</v>
      </c>
      <c r="R236">
        <f>NOT(hospitalityq!R236="")*(NOT(IFERROR(ROUND(VALUE(hospitalityq!R236),2)=VALUE(hospitalityq!R236),FALSE)))</f>
        <v>0</v>
      </c>
    </row>
    <row r="237" spans="1:18" x14ac:dyDescent="0.25">
      <c r="A237">
        <f t="shared" si="3"/>
        <v>0</v>
      </c>
      <c r="C237">
        <f>NOT(hospitalityq!C237="")*(SUMPRODUCT(--(TRIM(hospitalityq!C6:C237)=TRIM(hospitalityq!C237)))&gt;1)</f>
        <v>0</v>
      </c>
      <c r="D237">
        <f>NOT(hospitalityq!D237="")*(COUNTIF(reference!$C$17:$C$18,TRIM(hospitalityq!D237))=0)</f>
        <v>0</v>
      </c>
      <c r="J237">
        <f>NOT(hospitalityq!J237="")*(NOT(ISNUMBER(hospitalityq!J237+0)))</f>
        <v>0</v>
      </c>
      <c r="K237">
        <f>NOT(hospitalityq!K237="")*(NOT(ISNUMBER(hospitalityq!K237+0)))</f>
        <v>0</v>
      </c>
      <c r="P237">
        <f>NOT(hospitalityq!P237="")*(NOT(IFERROR(INT(hospitalityq!P237)=VALUE(hospitalityq!P237),FALSE)))</f>
        <v>0</v>
      </c>
      <c r="Q237">
        <f>NOT(hospitalityq!Q237="")*(NOT(IFERROR(INT(hospitalityq!Q237)=VALUE(hospitalityq!Q237),FALSE)))</f>
        <v>0</v>
      </c>
      <c r="R237">
        <f>NOT(hospitalityq!R237="")*(NOT(IFERROR(ROUND(VALUE(hospitalityq!R237),2)=VALUE(hospitalityq!R237),FALSE)))</f>
        <v>0</v>
      </c>
    </row>
    <row r="238" spans="1:18" x14ac:dyDescent="0.25">
      <c r="A238">
        <f t="shared" si="3"/>
        <v>0</v>
      </c>
      <c r="C238">
        <f>NOT(hospitalityq!C238="")*(SUMPRODUCT(--(TRIM(hospitalityq!C6:C238)=TRIM(hospitalityq!C238)))&gt;1)</f>
        <v>0</v>
      </c>
      <c r="D238">
        <f>NOT(hospitalityq!D238="")*(COUNTIF(reference!$C$17:$C$18,TRIM(hospitalityq!D238))=0)</f>
        <v>0</v>
      </c>
      <c r="J238">
        <f>NOT(hospitalityq!J238="")*(NOT(ISNUMBER(hospitalityq!J238+0)))</f>
        <v>0</v>
      </c>
      <c r="K238">
        <f>NOT(hospitalityq!K238="")*(NOT(ISNUMBER(hospitalityq!K238+0)))</f>
        <v>0</v>
      </c>
      <c r="P238">
        <f>NOT(hospitalityq!P238="")*(NOT(IFERROR(INT(hospitalityq!P238)=VALUE(hospitalityq!P238),FALSE)))</f>
        <v>0</v>
      </c>
      <c r="Q238">
        <f>NOT(hospitalityq!Q238="")*(NOT(IFERROR(INT(hospitalityq!Q238)=VALUE(hospitalityq!Q238),FALSE)))</f>
        <v>0</v>
      </c>
      <c r="R238">
        <f>NOT(hospitalityq!R238="")*(NOT(IFERROR(ROUND(VALUE(hospitalityq!R238),2)=VALUE(hospitalityq!R238),FALSE)))</f>
        <v>0</v>
      </c>
    </row>
    <row r="239" spans="1:18" x14ac:dyDescent="0.25">
      <c r="A239">
        <f t="shared" si="3"/>
        <v>0</v>
      </c>
      <c r="C239">
        <f>NOT(hospitalityq!C239="")*(SUMPRODUCT(--(TRIM(hospitalityq!C6:C239)=TRIM(hospitalityq!C239)))&gt;1)</f>
        <v>0</v>
      </c>
      <c r="D239">
        <f>NOT(hospitalityq!D239="")*(COUNTIF(reference!$C$17:$C$18,TRIM(hospitalityq!D239))=0)</f>
        <v>0</v>
      </c>
      <c r="J239">
        <f>NOT(hospitalityq!J239="")*(NOT(ISNUMBER(hospitalityq!J239+0)))</f>
        <v>0</v>
      </c>
      <c r="K239">
        <f>NOT(hospitalityq!K239="")*(NOT(ISNUMBER(hospitalityq!K239+0)))</f>
        <v>0</v>
      </c>
      <c r="P239">
        <f>NOT(hospitalityq!P239="")*(NOT(IFERROR(INT(hospitalityq!P239)=VALUE(hospitalityq!P239),FALSE)))</f>
        <v>0</v>
      </c>
      <c r="Q239">
        <f>NOT(hospitalityq!Q239="")*(NOT(IFERROR(INT(hospitalityq!Q239)=VALUE(hospitalityq!Q239),FALSE)))</f>
        <v>0</v>
      </c>
      <c r="R239">
        <f>NOT(hospitalityq!R239="")*(NOT(IFERROR(ROUND(VALUE(hospitalityq!R239),2)=VALUE(hospitalityq!R239),FALSE)))</f>
        <v>0</v>
      </c>
    </row>
    <row r="240" spans="1:18" x14ac:dyDescent="0.25">
      <c r="A240">
        <f t="shared" si="3"/>
        <v>0</v>
      </c>
      <c r="C240">
        <f>NOT(hospitalityq!C240="")*(SUMPRODUCT(--(TRIM(hospitalityq!C6:C240)=TRIM(hospitalityq!C240)))&gt;1)</f>
        <v>0</v>
      </c>
      <c r="D240">
        <f>NOT(hospitalityq!D240="")*(COUNTIF(reference!$C$17:$C$18,TRIM(hospitalityq!D240))=0)</f>
        <v>0</v>
      </c>
      <c r="J240">
        <f>NOT(hospitalityq!J240="")*(NOT(ISNUMBER(hospitalityq!J240+0)))</f>
        <v>0</v>
      </c>
      <c r="K240">
        <f>NOT(hospitalityq!K240="")*(NOT(ISNUMBER(hospitalityq!K240+0)))</f>
        <v>0</v>
      </c>
      <c r="P240">
        <f>NOT(hospitalityq!P240="")*(NOT(IFERROR(INT(hospitalityq!P240)=VALUE(hospitalityq!P240),FALSE)))</f>
        <v>0</v>
      </c>
      <c r="Q240">
        <f>NOT(hospitalityq!Q240="")*(NOT(IFERROR(INT(hospitalityq!Q240)=VALUE(hospitalityq!Q240),FALSE)))</f>
        <v>0</v>
      </c>
      <c r="R240">
        <f>NOT(hospitalityq!R240="")*(NOT(IFERROR(ROUND(VALUE(hospitalityq!R240),2)=VALUE(hospitalityq!R240),FALSE)))</f>
        <v>0</v>
      </c>
    </row>
    <row r="241" spans="1:18" x14ac:dyDescent="0.25">
      <c r="A241">
        <f t="shared" si="3"/>
        <v>0</v>
      </c>
      <c r="C241">
        <f>NOT(hospitalityq!C241="")*(SUMPRODUCT(--(TRIM(hospitalityq!C6:C241)=TRIM(hospitalityq!C241)))&gt;1)</f>
        <v>0</v>
      </c>
      <c r="D241">
        <f>NOT(hospitalityq!D241="")*(COUNTIF(reference!$C$17:$C$18,TRIM(hospitalityq!D241))=0)</f>
        <v>0</v>
      </c>
      <c r="J241">
        <f>NOT(hospitalityq!J241="")*(NOT(ISNUMBER(hospitalityq!J241+0)))</f>
        <v>0</v>
      </c>
      <c r="K241">
        <f>NOT(hospitalityq!K241="")*(NOT(ISNUMBER(hospitalityq!K241+0)))</f>
        <v>0</v>
      </c>
      <c r="P241">
        <f>NOT(hospitalityq!P241="")*(NOT(IFERROR(INT(hospitalityq!P241)=VALUE(hospitalityq!P241),FALSE)))</f>
        <v>0</v>
      </c>
      <c r="Q241">
        <f>NOT(hospitalityq!Q241="")*(NOT(IFERROR(INT(hospitalityq!Q241)=VALUE(hospitalityq!Q241),FALSE)))</f>
        <v>0</v>
      </c>
      <c r="R241">
        <f>NOT(hospitalityq!R241="")*(NOT(IFERROR(ROUND(VALUE(hospitalityq!R241),2)=VALUE(hospitalityq!R241),FALSE)))</f>
        <v>0</v>
      </c>
    </row>
    <row r="242" spans="1:18" x14ac:dyDescent="0.25">
      <c r="A242">
        <f t="shared" si="3"/>
        <v>0</v>
      </c>
      <c r="C242">
        <f>NOT(hospitalityq!C242="")*(SUMPRODUCT(--(TRIM(hospitalityq!C6:C242)=TRIM(hospitalityq!C242)))&gt;1)</f>
        <v>0</v>
      </c>
      <c r="D242">
        <f>NOT(hospitalityq!D242="")*(COUNTIF(reference!$C$17:$C$18,TRIM(hospitalityq!D242))=0)</f>
        <v>0</v>
      </c>
      <c r="J242">
        <f>NOT(hospitalityq!J242="")*(NOT(ISNUMBER(hospitalityq!J242+0)))</f>
        <v>0</v>
      </c>
      <c r="K242">
        <f>NOT(hospitalityq!K242="")*(NOT(ISNUMBER(hospitalityq!K242+0)))</f>
        <v>0</v>
      </c>
      <c r="P242">
        <f>NOT(hospitalityq!P242="")*(NOT(IFERROR(INT(hospitalityq!P242)=VALUE(hospitalityq!P242),FALSE)))</f>
        <v>0</v>
      </c>
      <c r="Q242">
        <f>NOT(hospitalityq!Q242="")*(NOT(IFERROR(INT(hospitalityq!Q242)=VALUE(hospitalityq!Q242),FALSE)))</f>
        <v>0</v>
      </c>
      <c r="R242">
        <f>NOT(hospitalityq!R242="")*(NOT(IFERROR(ROUND(VALUE(hospitalityq!R242),2)=VALUE(hospitalityq!R242),FALSE)))</f>
        <v>0</v>
      </c>
    </row>
    <row r="243" spans="1:18" x14ac:dyDescent="0.25">
      <c r="A243">
        <f t="shared" si="3"/>
        <v>0</v>
      </c>
      <c r="C243">
        <f>NOT(hospitalityq!C243="")*(SUMPRODUCT(--(TRIM(hospitalityq!C6:C243)=TRIM(hospitalityq!C243)))&gt;1)</f>
        <v>0</v>
      </c>
      <c r="D243">
        <f>NOT(hospitalityq!D243="")*(COUNTIF(reference!$C$17:$C$18,TRIM(hospitalityq!D243))=0)</f>
        <v>0</v>
      </c>
      <c r="J243">
        <f>NOT(hospitalityq!J243="")*(NOT(ISNUMBER(hospitalityq!J243+0)))</f>
        <v>0</v>
      </c>
      <c r="K243">
        <f>NOT(hospitalityq!K243="")*(NOT(ISNUMBER(hospitalityq!K243+0)))</f>
        <v>0</v>
      </c>
      <c r="P243">
        <f>NOT(hospitalityq!P243="")*(NOT(IFERROR(INT(hospitalityq!P243)=VALUE(hospitalityq!P243),FALSE)))</f>
        <v>0</v>
      </c>
      <c r="Q243">
        <f>NOT(hospitalityq!Q243="")*(NOT(IFERROR(INT(hospitalityq!Q243)=VALUE(hospitalityq!Q243),FALSE)))</f>
        <v>0</v>
      </c>
      <c r="R243">
        <f>NOT(hospitalityq!R243="")*(NOT(IFERROR(ROUND(VALUE(hospitalityq!R243),2)=VALUE(hospitalityq!R243),FALSE)))</f>
        <v>0</v>
      </c>
    </row>
    <row r="244" spans="1:18" x14ac:dyDescent="0.25">
      <c r="A244">
        <f t="shared" si="3"/>
        <v>0</v>
      </c>
      <c r="C244">
        <f>NOT(hospitalityq!C244="")*(SUMPRODUCT(--(TRIM(hospitalityq!C6:C244)=TRIM(hospitalityq!C244)))&gt;1)</f>
        <v>0</v>
      </c>
      <c r="D244">
        <f>NOT(hospitalityq!D244="")*(COUNTIF(reference!$C$17:$C$18,TRIM(hospitalityq!D244))=0)</f>
        <v>0</v>
      </c>
      <c r="J244">
        <f>NOT(hospitalityq!J244="")*(NOT(ISNUMBER(hospitalityq!J244+0)))</f>
        <v>0</v>
      </c>
      <c r="K244">
        <f>NOT(hospitalityq!K244="")*(NOT(ISNUMBER(hospitalityq!K244+0)))</f>
        <v>0</v>
      </c>
      <c r="P244">
        <f>NOT(hospitalityq!P244="")*(NOT(IFERROR(INT(hospitalityq!P244)=VALUE(hospitalityq!P244),FALSE)))</f>
        <v>0</v>
      </c>
      <c r="Q244">
        <f>NOT(hospitalityq!Q244="")*(NOT(IFERROR(INT(hospitalityq!Q244)=VALUE(hospitalityq!Q244),FALSE)))</f>
        <v>0</v>
      </c>
      <c r="R244">
        <f>NOT(hospitalityq!R244="")*(NOT(IFERROR(ROUND(VALUE(hospitalityq!R244),2)=VALUE(hospitalityq!R244),FALSE)))</f>
        <v>0</v>
      </c>
    </row>
    <row r="245" spans="1:18" x14ac:dyDescent="0.25">
      <c r="A245">
        <f t="shared" si="3"/>
        <v>0</v>
      </c>
      <c r="C245">
        <f>NOT(hospitalityq!C245="")*(SUMPRODUCT(--(TRIM(hospitalityq!C6:C245)=TRIM(hospitalityq!C245)))&gt;1)</f>
        <v>0</v>
      </c>
      <c r="D245">
        <f>NOT(hospitalityq!D245="")*(COUNTIF(reference!$C$17:$C$18,TRIM(hospitalityq!D245))=0)</f>
        <v>0</v>
      </c>
      <c r="J245">
        <f>NOT(hospitalityq!J245="")*(NOT(ISNUMBER(hospitalityq!J245+0)))</f>
        <v>0</v>
      </c>
      <c r="K245">
        <f>NOT(hospitalityq!K245="")*(NOT(ISNUMBER(hospitalityq!K245+0)))</f>
        <v>0</v>
      </c>
      <c r="P245">
        <f>NOT(hospitalityq!P245="")*(NOT(IFERROR(INT(hospitalityq!P245)=VALUE(hospitalityq!P245),FALSE)))</f>
        <v>0</v>
      </c>
      <c r="Q245">
        <f>NOT(hospitalityq!Q245="")*(NOT(IFERROR(INT(hospitalityq!Q245)=VALUE(hospitalityq!Q245),FALSE)))</f>
        <v>0</v>
      </c>
      <c r="R245">
        <f>NOT(hospitalityq!R245="")*(NOT(IFERROR(ROUND(VALUE(hospitalityq!R245),2)=VALUE(hospitalityq!R245),FALSE)))</f>
        <v>0</v>
      </c>
    </row>
    <row r="246" spans="1:18" x14ac:dyDescent="0.25">
      <c r="A246">
        <f t="shared" si="3"/>
        <v>0</v>
      </c>
      <c r="C246">
        <f>NOT(hospitalityq!C246="")*(SUMPRODUCT(--(TRIM(hospitalityq!C6:C246)=TRIM(hospitalityq!C246)))&gt;1)</f>
        <v>0</v>
      </c>
      <c r="D246">
        <f>NOT(hospitalityq!D246="")*(COUNTIF(reference!$C$17:$C$18,TRIM(hospitalityq!D246))=0)</f>
        <v>0</v>
      </c>
      <c r="J246">
        <f>NOT(hospitalityq!J246="")*(NOT(ISNUMBER(hospitalityq!J246+0)))</f>
        <v>0</v>
      </c>
      <c r="K246">
        <f>NOT(hospitalityq!K246="")*(NOT(ISNUMBER(hospitalityq!K246+0)))</f>
        <v>0</v>
      </c>
      <c r="P246">
        <f>NOT(hospitalityq!P246="")*(NOT(IFERROR(INT(hospitalityq!P246)=VALUE(hospitalityq!P246),FALSE)))</f>
        <v>0</v>
      </c>
      <c r="Q246">
        <f>NOT(hospitalityq!Q246="")*(NOT(IFERROR(INT(hospitalityq!Q246)=VALUE(hospitalityq!Q246),FALSE)))</f>
        <v>0</v>
      </c>
      <c r="R246">
        <f>NOT(hospitalityq!R246="")*(NOT(IFERROR(ROUND(VALUE(hospitalityq!R246),2)=VALUE(hospitalityq!R246),FALSE)))</f>
        <v>0</v>
      </c>
    </row>
    <row r="247" spans="1:18" x14ac:dyDescent="0.25">
      <c r="A247">
        <f t="shared" si="3"/>
        <v>0</v>
      </c>
      <c r="C247">
        <f>NOT(hospitalityq!C247="")*(SUMPRODUCT(--(TRIM(hospitalityq!C6:C247)=TRIM(hospitalityq!C247)))&gt;1)</f>
        <v>0</v>
      </c>
      <c r="D247">
        <f>NOT(hospitalityq!D247="")*(COUNTIF(reference!$C$17:$C$18,TRIM(hospitalityq!D247))=0)</f>
        <v>0</v>
      </c>
      <c r="J247">
        <f>NOT(hospitalityq!J247="")*(NOT(ISNUMBER(hospitalityq!J247+0)))</f>
        <v>0</v>
      </c>
      <c r="K247">
        <f>NOT(hospitalityq!K247="")*(NOT(ISNUMBER(hospitalityq!K247+0)))</f>
        <v>0</v>
      </c>
      <c r="P247">
        <f>NOT(hospitalityq!P247="")*(NOT(IFERROR(INT(hospitalityq!P247)=VALUE(hospitalityq!P247),FALSE)))</f>
        <v>0</v>
      </c>
      <c r="Q247">
        <f>NOT(hospitalityq!Q247="")*(NOT(IFERROR(INT(hospitalityq!Q247)=VALUE(hospitalityq!Q247),FALSE)))</f>
        <v>0</v>
      </c>
      <c r="R247">
        <f>NOT(hospitalityq!R247="")*(NOT(IFERROR(ROUND(VALUE(hospitalityq!R247),2)=VALUE(hospitalityq!R247),FALSE)))</f>
        <v>0</v>
      </c>
    </row>
    <row r="248" spans="1:18" x14ac:dyDescent="0.25">
      <c r="A248">
        <f t="shared" si="3"/>
        <v>0</v>
      </c>
      <c r="C248">
        <f>NOT(hospitalityq!C248="")*(SUMPRODUCT(--(TRIM(hospitalityq!C6:C248)=TRIM(hospitalityq!C248)))&gt;1)</f>
        <v>0</v>
      </c>
      <c r="D248">
        <f>NOT(hospitalityq!D248="")*(COUNTIF(reference!$C$17:$C$18,TRIM(hospitalityq!D248))=0)</f>
        <v>0</v>
      </c>
      <c r="J248">
        <f>NOT(hospitalityq!J248="")*(NOT(ISNUMBER(hospitalityq!J248+0)))</f>
        <v>0</v>
      </c>
      <c r="K248">
        <f>NOT(hospitalityq!K248="")*(NOT(ISNUMBER(hospitalityq!K248+0)))</f>
        <v>0</v>
      </c>
      <c r="P248">
        <f>NOT(hospitalityq!P248="")*(NOT(IFERROR(INT(hospitalityq!P248)=VALUE(hospitalityq!P248),FALSE)))</f>
        <v>0</v>
      </c>
      <c r="Q248">
        <f>NOT(hospitalityq!Q248="")*(NOT(IFERROR(INT(hospitalityq!Q248)=VALUE(hospitalityq!Q248),FALSE)))</f>
        <v>0</v>
      </c>
      <c r="R248">
        <f>NOT(hospitalityq!R248="")*(NOT(IFERROR(ROUND(VALUE(hospitalityq!R248),2)=VALUE(hospitalityq!R248),FALSE)))</f>
        <v>0</v>
      </c>
    </row>
    <row r="249" spans="1:18" x14ac:dyDescent="0.25">
      <c r="A249">
        <f t="shared" si="3"/>
        <v>0</v>
      </c>
      <c r="C249">
        <f>NOT(hospitalityq!C249="")*(SUMPRODUCT(--(TRIM(hospitalityq!C6:C249)=TRIM(hospitalityq!C249)))&gt;1)</f>
        <v>0</v>
      </c>
      <c r="D249">
        <f>NOT(hospitalityq!D249="")*(COUNTIF(reference!$C$17:$C$18,TRIM(hospitalityq!D249))=0)</f>
        <v>0</v>
      </c>
      <c r="J249">
        <f>NOT(hospitalityq!J249="")*(NOT(ISNUMBER(hospitalityq!J249+0)))</f>
        <v>0</v>
      </c>
      <c r="K249">
        <f>NOT(hospitalityq!K249="")*(NOT(ISNUMBER(hospitalityq!K249+0)))</f>
        <v>0</v>
      </c>
      <c r="P249">
        <f>NOT(hospitalityq!P249="")*(NOT(IFERROR(INT(hospitalityq!P249)=VALUE(hospitalityq!P249),FALSE)))</f>
        <v>0</v>
      </c>
      <c r="Q249">
        <f>NOT(hospitalityq!Q249="")*(NOT(IFERROR(INT(hospitalityq!Q249)=VALUE(hospitalityq!Q249),FALSE)))</f>
        <v>0</v>
      </c>
      <c r="R249">
        <f>NOT(hospitalityq!R249="")*(NOT(IFERROR(ROUND(VALUE(hospitalityq!R249),2)=VALUE(hospitalityq!R249),FALSE)))</f>
        <v>0</v>
      </c>
    </row>
    <row r="250" spans="1:18" x14ac:dyDescent="0.25">
      <c r="A250">
        <f t="shared" si="3"/>
        <v>0</v>
      </c>
      <c r="C250">
        <f>NOT(hospitalityq!C250="")*(SUMPRODUCT(--(TRIM(hospitalityq!C6:C250)=TRIM(hospitalityq!C250)))&gt;1)</f>
        <v>0</v>
      </c>
      <c r="D250">
        <f>NOT(hospitalityq!D250="")*(COUNTIF(reference!$C$17:$C$18,TRIM(hospitalityq!D250))=0)</f>
        <v>0</v>
      </c>
      <c r="J250">
        <f>NOT(hospitalityq!J250="")*(NOT(ISNUMBER(hospitalityq!J250+0)))</f>
        <v>0</v>
      </c>
      <c r="K250">
        <f>NOT(hospitalityq!K250="")*(NOT(ISNUMBER(hospitalityq!K250+0)))</f>
        <v>0</v>
      </c>
      <c r="P250">
        <f>NOT(hospitalityq!P250="")*(NOT(IFERROR(INT(hospitalityq!P250)=VALUE(hospitalityq!P250),FALSE)))</f>
        <v>0</v>
      </c>
      <c r="Q250">
        <f>NOT(hospitalityq!Q250="")*(NOT(IFERROR(INT(hospitalityq!Q250)=VALUE(hospitalityq!Q250),FALSE)))</f>
        <v>0</v>
      </c>
      <c r="R250">
        <f>NOT(hospitalityq!R250="")*(NOT(IFERROR(ROUND(VALUE(hospitalityq!R250),2)=VALUE(hospitalityq!R250),FALSE)))</f>
        <v>0</v>
      </c>
    </row>
    <row r="251" spans="1:18" x14ac:dyDescent="0.25">
      <c r="A251">
        <f t="shared" si="3"/>
        <v>0</v>
      </c>
      <c r="C251">
        <f>NOT(hospitalityq!C251="")*(SUMPRODUCT(--(TRIM(hospitalityq!C6:C251)=TRIM(hospitalityq!C251)))&gt;1)</f>
        <v>0</v>
      </c>
      <c r="D251">
        <f>NOT(hospitalityq!D251="")*(COUNTIF(reference!$C$17:$C$18,TRIM(hospitalityq!D251))=0)</f>
        <v>0</v>
      </c>
      <c r="J251">
        <f>NOT(hospitalityq!J251="")*(NOT(ISNUMBER(hospitalityq!J251+0)))</f>
        <v>0</v>
      </c>
      <c r="K251">
        <f>NOT(hospitalityq!K251="")*(NOT(ISNUMBER(hospitalityq!K251+0)))</f>
        <v>0</v>
      </c>
      <c r="P251">
        <f>NOT(hospitalityq!P251="")*(NOT(IFERROR(INT(hospitalityq!P251)=VALUE(hospitalityq!P251),FALSE)))</f>
        <v>0</v>
      </c>
      <c r="Q251">
        <f>NOT(hospitalityq!Q251="")*(NOT(IFERROR(INT(hospitalityq!Q251)=VALUE(hospitalityq!Q251),FALSE)))</f>
        <v>0</v>
      </c>
      <c r="R251">
        <f>NOT(hospitalityq!R251="")*(NOT(IFERROR(ROUND(VALUE(hospitalityq!R251),2)=VALUE(hospitalityq!R251),FALSE)))</f>
        <v>0</v>
      </c>
    </row>
    <row r="252" spans="1:18" x14ac:dyDescent="0.25">
      <c r="A252">
        <f t="shared" si="3"/>
        <v>0</v>
      </c>
      <c r="C252">
        <f>NOT(hospitalityq!C252="")*(SUMPRODUCT(--(TRIM(hospitalityq!C6:C252)=TRIM(hospitalityq!C252)))&gt;1)</f>
        <v>0</v>
      </c>
      <c r="D252">
        <f>NOT(hospitalityq!D252="")*(COUNTIF(reference!$C$17:$C$18,TRIM(hospitalityq!D252))=0)</f>
        <v>0</v>
      </c>
      <c r="J252">
        <f>NOT(hospitalityq!J252="")*(NOT(ISNUMBER(hospitalityq!J252+0)))</f>
        <v>0</v>
      </c>
      <c r="K252">
        <f>NOT(hospitalityq!K252="")*(NOT(ISNUMBER(hospitalityq!K252+0)))</f>
        <v>0</v>
      </c>
      <c r="P252">
        <f>NOT(hospitalityq!P252="")*(NOT(IFERROR(INT(hospitalityq!P252)=VALUE(hospitalityq!P252),FALSE)))</f>
        <v>0</v>
      </c>
      <c r="Q252">
        <f>NOT(hospitalityq!Q252="")*(NOT(IFERROR(INT(hospitalityq!Q252)=VALUE(hospitalityq!Q252),FALSE)))</f>
        <v>0</v>
      </c>
      <c r="R252">
        <f>NOT(hospitalityq!R252="")*(NOT(IFERROR(ROUND(VALUE(hospitalityq!R252),2)=VALUE(hospitalityq!R252),FALSE)))</f>
        <v>0</v>
      </c>
    </row>
    <row r="253" spans="1:18" x14ac:dyDescent="0.25">
      <c r="A253">
        <f t="shared" si="3"/>
        <v>0</v>
      </c>
      <c r="C253">
        <f>NOT(hospitalityq!C253="")*(SUMPRODUCT(--(TRIM(hospitalityq!C6:C253)=TRIM(hospitalityq!C253)))&gt;1)</f>
        <v>0</v>
      </c>
      <c r="D253">
        <f>NOT(hospitalityq!D253="")*(COUNTIF(reference!$C$17:$C$18,TRIM(hospitalityq!D253))=0)</f>
        <v>0</v>
      </c>
      <c r="J253">
        <f>NOT(hospitalityq!J253="")*(NOT(ISNUMBER(hospitalityq!J253+0)))</f>
        <v>0</v>
      </c>
      <c r="K253">
        <f>NOT(hospitalityq!K253="")*(NOT(ISNUMBER(hospitalityq!K253+0)))</f>
        <v>0</v>
      </c>
      <c r="P253">
        <f>NOT(hospitalityq!P253="")*(NOT(IFERROR(INT(hospitalityq!P253)=VALUE(hospitalityq!P253),FALSE)))</f>
        <v>0</v>
      </c>
      <c r="Q253">
        <f>NOT(hospitalityq!Q253="")*(NOT(IFERROR(INT(hospitalityq!Q253)=VALUE(hospitalityq!Q253),FALSE)))</f>
        <v>0</v>
      </c>
      <c r="R253">
        <f>NOT(hospitalityq!R253="")*(NOT(IFERROR(ROUND(VALUE(hospitalityq!R253),2)=VALUE(hospitalityq!R253),FALSE)))</f>
        <v>0</v>
      </c>
    </row>
    <row r="254" spans="1:18" x14ac:dyDescent="0.25">
      <c r="A254">
        <f t="shared" si="3"/>
        <v>0</v>
      </c>
      <c r="C254">
        <f>NOT(hospitalityq!C254="")*(SUMPRODUCT(--(TRIM(hospitalityq!C6:C254)=TRIM(hospitalityq!C254)))&gt;1)</f>
        <v>0</v>
      </c>
      <c r="D254">
        <f>NOT(hospitalityq!D254="")*(COUNTIF(reference!$C$17:$C$18,TRIM(hospitalityq!D254))=0)</f>
        <v>0</v>
      </c>
      <c r="J254">
        <f>NOT(hospitalityq!J254="")*(NOT(ISNUMBER(hospitalityq!J254+0)))</f>
        <v>0</v>
      </c>
      <c r="K254">
        <f>NOT(hospitalityq!K254="")*(NOT(ISNUMBER(hospitalityq!K254+0)))</f>
        <v>0</v>
      </c>
      <c r="P254">
        <f>NOT(hospitalityq!P254="")*(NOT(IFERROR(INT(hospitalityq!P254)=VALUE(hospitalityq!P254),FALSE)))</f>
        <v>0</v>
      </c>
      <c r="Q254">
        <f>NOT(hospitalityq!Q254="")*(NOT(IFERROR(INT(hospitalityq!Q254)=VALUE(hospitalityq!Q254),FALSE)))</f>
        <v>0</v>
      </c>
      <c r="R254">
        <f>NOT(hospitalityq!R254="")*(NOT(IFERROR(ROUND(VALUE(hospitalityq!R254),2)=VALUE(hospitalityq!R254),FALSE)))</f>
        <v>0</v>
      </c>
    </row>
    <row r="255" spans="1:18" x14ac:dyDescent="0.25">
      <c r="A255">
        <f t="shared" si="3"/>
        <v>0</v>
      </c>
      <c r="C255">
        <f>NOT(hospitalityq!C255="")*(SUMPRODUCT(--(TRIM(hospitalityq!C6:C255)=TRIM(hospitalityq!C255)))&gt;1)</f>
        <v>0</v>
      </c>
      <c r="D255">
        <f>NOT(hospitalityq!D255="")*(COUNTIF(reference!$C$17:$C$18,TRIM(hospitalityq!D255))=0)</f>
        <v>0</v>
      </c>
      <c r="J255">
        <f>NOT(hospitalityq!J255="")*(NOT(ISNUMBER(hospitalityq!J255+0)))</f>
        <v>0</v>
      </c>
      <c r="K255">
        <f>NOT(hospitalityq!K255="")*(NOT(ISNUMBER(hospitalityq!K255+0)))</f>
        <v>0</v>
      </c>
      <c r="P255">
        <f>NOT(hospitalityq!P255="")*(NOT(IFERROR(INT(hospitalityq!P255)=VALUE(hospitalityq!P255),FALSE)))</f>
        <v>0</v>
      </c>
      <c r="Q255">
        <f>NOT(hospitalityq!Q255="")*(NOT(IFERROR(INT(hospitalityq!Q255)=VALUE(hospitalityq!Q255),FALSE)))</f>
        <v>0</v>
      </c>
      <c r="R255">
        <f>NOT(hospitalityq!R255="")*(NOT(IFERROR(ROUND(VALUE(hospitalityq!R255),2)=VALUE(hospitalityq!R255),FALSE)))</f>
        <v>0</v>
      </c>
    </row>
    <row r="256" spans="1:18" x14ac:dyDescent="0.25">
      <c r="A256">
        <f t="shared" si="3"/>
        <v>0</v>
      </c>
      <c r="C256">
        <f>NOT(hospitalityq!C256="")*(SUMPRODUCT(--(TRIM(hospitalityq!C6:C256)=TRIM(hospitalityq!C256)))&gt;1)</f>
        <v>0</v>
      </c>
      <c r="D256">
        <f>NOT(hospitalityq!D256="")*(COUNTIF(reference!$C$17:$C$18,TRIM(hospitalityq!D256))=0)</f>
        <v>0</v>
      </c>
      <c r="J256">
        <f>NOT(hospitalityq!J256="")*(NOT(ISNUMBER(hospitalityq!J256+0)))</f>
        <v>0</v>
      </c>
      <c r="K256">
        <f>NOT(hospitalityq!K256="")*(NOT(ISNUMBER(hospitalityq!K256+0)))</f>
        <v>0</v>
      </c>
      <c r="P256">
        <f>NOT(hospitalityq!P256="")*(NOT(IFERROR(INT(hospitalityq!P256)=VALUE(hospitalityq!P256),FALSE)))</f>
        <v>0</v>
      </c>
      <c r="Q256">
        <f>NOT(hospitalityq!Q256="")*(NOT(IFERROR(INT(hospitalityq!Q256)=VALUE(hospitalityq!Q256),FALSE)))</f>
        <v>0</v>
      </c>
      <c r="R256">
        <f>NOT(hospitalityq!R256="")*(NOT(IFERROR(ROUND(VALUE(hospitalityq!R256),2)=VALUE(hospitalityq!R256),FALSE)))</f>
        <v>0</v>
      </c>
    </row>
    <row r="257" spans="1:18" x14ac:dyDescent="0.25">
      <c r="A257">
        <f t="shared" si="3"/>
        <v>0</v>
      </c>
      <c r="C257">
        <f>NOT(hospitalityq!C257="")*(SUMPRODUCT(--(TRIM(hospitalityq!C6:C257)=TRIM(hospitalityq!C257)))&gt;1)</f>
        <v>0</v>
      </c>
      <c r="D257">
        <f>NOT(hospitalityq!D257="")*(COUNTIF(reference!$C$17:$C$18,TRIM(hospitalityq!D257))=0)</f>
        <v>0</v>
      </c>
      <c r="J257">
        <f>NOT(hospitalityq!J257="")*(NOT(ISNUMBER(hospitalityq!J257+0)))</f>
        <v>0</v>
      </c>
      <c r="K257">
        <f>NOT(hospitalityq!K257="")*(NOT(ISNUMBER(hospitalityq!K257+0)))</f>
        <v>0</v>
      </c>
      <c r="P257">
        <f>NOT(hospitalityq!P257="")*(NOT(IFERROR(INT(hospitalityq!P257)=VALUE(hospitalityq!P257),FALSE)))</f>
        <v>0</v>
      </c>
      <c r="Q257">
        <f>NOT(hospitalityq!Q257="")*(NOT(IFERROR(INT(hospitalityq!Q257)=VALUE(hospitalityq!Q257),FALSE)))</f>
        <v>0</v>
      </c>
      <c r="R257">
        <f>NOT(hospitalityq!R257="")*(NOT(IFERROR(ROUND(VALUE(hospitalityq!R257),2)=VALUE(hospitalityq!R257),FALSE)))</f>
        <v>0</v>
      </c>
    </row>
    <row r="258" spans="1:18" x14ac:dyDescent="0.25">
      <c r="A258">
        <f t="shared" si="3"/>
        <v>0</v>
      </c>
      <c r="C258">
        <f>NOT(hospitalityq!C258="")*(SUMPRODUCT(--(TRIM(hospitalityq!C6:C258)=TRIM(hospitalityq!C258)))&gt;1)</f>
        <v>0</v>
      </c>
      <c r="D258">
        <f>NOT(hospitalityq!D258="")*(COUNTIF(reference!$C$17:$C$18,TRIM(hospitalityq!D258))=0)</f>
        <v>0</v>
      </c>
      <c r="J258">
        <f>NOT(hospitalityq!J258="")*(NOT(ISNUMBER(hospitalityq!J258+0)))</f>
        <v>0</v>
      </c>
      <c r="K258">
        <f>NOT(hospitalityq!K258="")*(NOT(ISNUMBER(hospitalityq!K258+0)))</f>
        <v>0</v>
      </c>
      <c r="P258">
        <f>NOT(hospitalityq!P258="")*(NOT(IFERROR(INT(hospitalityq!P258)=VALUE(hospitalityq!P258),FALSE)))</f>
        <v>0</v>
      </c>
      <c r="Q258">
        <f>NOT(hospitalityq!Q258="")*(NOT(IFERROR(INT(hospitalityq!Q258)=VALUE(hospitalityq!Q258),FALSE)))</f>
        <v>0</v>
      </c>
      <c r="R258">
        <f>NOT(hospitalityq!R258="")*(NOT(IFERROR(ROUND(VALUE(hospitalityq!R258),2)=VALUE(hospitalityq!R258),FALSE)))</f>
        <v>0</v>
      </c>
    </row>
    <row r="259" spans="1:18" x14ac:dyDescent="0.25">
      <c r="A259">
        <f t="shared" si="3"/>
        <v>0</v>
      </c>
      <c r="C259">
        <f>NOT(hospitalityq!C259="")*(SUMPRODUCT(--(TRIM(hospitalityq!C6:C259)=TRIM(hospitalityq!C259)))&gt;1)</f>
        <v>0</v>
      </c>
      <c r="D259">
        <f>NOT(hospitalityq!D259="")*(COUNTIF(reference!$C$17:$C$18,TRIM(hospitalityq!D259))=0)</f>
        <v>0</v>
      </c>
      <c r="J259">
        <f>NOT(hospitalityq!J259="")*(NOT(ISNUMBER(hospitalityq!J259+0)))</f>
        <v>0</v>
      </c>
      <c r="K259">
        <f>NOT(hospitalityq!K259="")*(NOT(ISNUMBER(hospitalityq!K259+0)))</f>
        <v>0</v>
      </c>
      <c r="P259">
        <f>NOT(hospitalityq!P259="")*(NOT(IFERROR(INT(hospitalityq!P259)=VALUE(hospitalityq!P259),FALSE)))</f>
        <v>0</v>
      </c>
      <c r="Q259">
        <f>NOT(hospitalityq!Q259="")*(NOT(IFERROR(INT(hospitalityq!Q259)=VALUE(hospitalityq!Q259),FALSE)))</f>
        <v>0</v>
      </c>
      <c r="R259">
        <f>NOT(hospitalityq!R259="")*(NOT(IFERROR(ROUND(VALUE(hospitalityq!R259),2)=VALUE(hospitalityq!R259),FALSE)))</f>
        <v>0</v>
      </c>
    </row>
    <row r="260" spans="1:18" x14ac:dyDescent="0.25">
      <c r="A260">
        <f t="shared" si="3"/>
        <v>0</v>
      </c>
      <c r="C260">
        <f>NOT(hospitalityq!C260="")*(SUMPRODUCT(--(TRIM(hospitalityq!C6:C260)=TRIM(hospitalityq!C260)))&gt;1)</f>
        <v>0</v>
      </c>
      <c r="D260">
        <f>NOT(hospitalityq!D260="")*(COUNTIF(reference!$C$17:$C$18,TRIM(hospitalityq!D260))=0)</f>
        <v>0</v>
      </c>
      <c r="J260">
        <f>NOT(hospitalityq!J260="")*(NOT(ISNUMBER(hospitalityq!J260+0)))</f>
        <v>0</v>
      </c>
      <c r="K260">
        <f>NOT(hospitalityq!K260="")*(NOT(ISNUMBER(hospitalityq!K260+0)))</f>
        <v>0</v>
      </c>
      <c r="P260">
        <f>NOT(hospitalityq!P260="")*(NOT(IFERROR(INT(hospitalityq!P260)=VALUE(hospitalityq!P260),FALSE)))</f>
        <v>0</v>
      </c>
      <c r="Q260">
        <f>NOT(hospitalityq!Q260="")*(NOT(IFERROR(INT(hospitalityq!Q260)=VALUE(hospitalityq!Q260),FALSE)))</f>
        <v>0</v>
      </c>
      <c r="R260">
        <f>NOT(hospitalityq!R260="")*(NOT(IFERROR(ROUND(VALUE(hospitalityq!R260),2)=VALUE(hospitalityq!R260),FALSE)))</f>
        <v>0</v>
      </c>
    </row>
    <row r="261" spans="1:18" x14ac:dyDescent="0.25">
      <c r="A261">
        <f t="shared" si="3"/>
        <v>0</v>
      </c>
      <c r="C261">
        <f>NOT(hospitalityq!C261="")*(SUMPRODUCT(--(TRIM(hospitalityq!C6:C261)=TRIM(hospitalityq!C261)))&gt;1)</f>
        <v>0</v>
      </c>
      <c r="D261">
        <f>NOT(hospitalityq!D261="")*(COUNTIF(reference!$C$17:$C$18,TRIM(hospitalityq!D261))=0)</f>
        <v>0</v>
      </c>
      <c r="J261">
        <f>NOT(hospitalityq!J261="")*(NOT(ISNUMBER(hospitalityq!J261+0)))</f>
        <v>0</v>
      </c>
      <c r="K261">
        <f>NOT(hospitalityq!K261="")*(NOT(ISNUMBER(hospitalityq!K261+0)))</f>
        <v>0</v>
      </c>
      <c r="P261">
        <f>NOT(hospitalityq!P261="")*(NOT(IFERROR(INT(hospitalityq!P261)=VALUE(hospitalityq!P261),FALSE)))</f>
        <v>0</v>
      </c>
      <c r="Q261">
        <f>NOT(hospitalityq!Q261="")*(NOT(IFERROR(INT(hospitalityq!Q261)=VALUE(hospitalityq!Q261),FALSE)))</f>
        <v>0</v>
      </c>
      <c r="R261">
        <f>NOT(hospitalityq!R261="")*(NOT(IFERROR(ROUND(VALUE(hospitalityq!R261),2)=VALUE(hospitalityq!R261),FALSE)))</f>
        <v>0</v>
      </c>
    </row>
    <row r="262" spans="1:18" x14ac:dyDescent="0.25">
      <c r="A262">
        <f t="shared" ref="A262:A325" si="4">IFERROR(MATCH(TRUE,INDEX(C262:R262&lt;&gt;0,),)+2,0)</f>
        <v>0</v>
      </c>
      <c r="C262">
        <f>NOT(hospitalityq!C262="")*(SUMPRODUCT(--(TRIM(hospitalityq!C6:C262)=TRIM(hospitalityq!C262)))&gt;1)</f>
        <v>0</v>
      </c>
      <c r="D262">
        <f>NOT(hospitalityq!D262="")*(COUNTIF(reference!$C$17:$C$18,TRIM(hospitalityq!D262))=0)</f>
        <v>0</v>
      </c>
      <c r="J262">
        <f>NOT(hospitalityq!J262="")*(NOT(ISNUMBER(hospitalityq!J262+0)))</f>
        <v>0</v>
      </c>
      <c r="K262">
        <f>NOT(hospitalityq!K262="")*(NOT(ISNUMBER(hospitalityq!K262+0)))</f>
        <v>0</v>
      </c>
      <c r="P262">
        <f>NOT(hospitalityq!P262="")*(NOT(IFERROR(INT(hospitalityq!P262)=VALUE(hospitalityq!P262),FALSE)))</f>
        <v>0</v>
      </c>
      <c r="Q262">
        <f>NOT(hospitalityq!Q262="")*(NOT(IFERROR(INT(hospitalityq!Q262)=VALUE(hospitalityq!Q262),FALSE)))</f>
        <v>0</v>
      </c>
      <c r="R262">
        <f>NOT(hospitalityq!R262="")*(NOT(IFERROR(ROUND(VALUE(hospitalityq!R262),2)=VALUE(hospitalityq!R262),FALSE)))</f>
        <v>0</v>
      </c>
    </row>
    <row r="263" spans="1:18" x14ac:dyDescent="0.25">
      <c r="A263">
        <f t="shared" si="4"/>
        <v>0</v>
      </c>
      <c r="C263">
        <f>NOT(hospitalityq!C263="")*(SUMPRODUCT(--(TRIM(hospitalityq!C6:C263)=TRIM(hospitalityq!C263)))&gt;1)</f>
        <v>0</v>
      </c>
      <c r="D263">
        <f>NOT(hospitalityq!D263="")*(COUNTIF(reference!$C$17:$C$18,TRIM(hospitalityq!D263))=0)</f>
        <v>0</v>
      </c>
      <c r="J263">
        <f>NOT(hospitalityq!J263="")*(NOT(ISNUMBER(hospitalityq!J263+0)))</f>
        <v>0</v>
      </c>
      <c r="K263">
        <f>NOT(hospitalityq!K263="")*(NOT(ISNUMBER(hospitalityq!K263+0)))</f>
        <v>0</v>
      </c>
      <c r="P263">
        <f>NOT(hospitalityq!P263="")*(NOT(IFERROR(INT(hospitalityq!P263)=VALUE(hospitalityq!P263),FALSE)))</f>
        <v>0</v>
      </c>
      <c r="Q263">
        <f>NOT(hospitalityq!Q263="")*(NOT(IFERROR(INT(hospitalityq!Q263)=VALUE(hospitalityq!Q263),FALSE)))</f>
        <v>0</v>
      </c>
      <c r="R263">
        <f>NOT(hospitalityq!R263="")*(NOT(IFERROR(ROUND(VALUE(hospitalityq!R263),2)=VALUE(hospitalityq!R263),FALSE)))</f>
        <v>0</v>
      </c>
    </row>
    <row r="264" spans="1:18" x14ac:dyDescent="0.25">
      <c r="A264">
        <f t="shared" si="4"/>
        <v>0</v>
      </c>
      <c r="C264">
        <f>NOT(hospitalityq!C264="")*(SUMPRODUCT(--(TRIM(hospitalityq!C6:C264)=TRIM(hospitalityq!C264)))&gt;1)</f>
        <v>0</v>
      </c>
      <c r="D264">
        <f>NOT(hospitalityq!D264="")*(COUNTIF(reference!$C$17:$C$18,TRIM(hospitalityq!D264))=0)</f>
        <v>0</v>
      </c>
      <c r="J264">
        <f>NOT(hospitalityq!J264="")*(NOT(ISNUMBER(hospitalityq!J264+0)))</f>
        <v>0</v>
      </c>
      <c r="K264">
        <f>NOT(hospitalityq!K264="")*(NOT(ISNUMBER(hospitalityq!K264+0)))</f>
        <v>0</v>
      </c>
      <c r="P264">
        <f>NOT(hospitalityq!P264="")*(NOT(IFERROR(INT(hospitalityq!P264)=VALUE(hospitalityq!P264),FALSE)))</f>
        <v>0</v>
      </c>
      <c r="Q264">
        <f>NOT(hospitalityq!Q264="")*(NOT(IFERROR(INT(hospitalityq!Q264)=VALUE(hospitalityq!Q264),FALSE)))</f>
        <v>0</v>
      </c>
      <c r="R264">
        <f>NOT(hospitalityq!R264="")*(NOT(IFERROR(ROUND(VALUE(hospitalityq!R264),2)=VALUE(hospitalityq!R264),FALSE)))</f>
        <v>0</v>
      </c>
    </row>
    <row r="265" spans="1:18" x14ac:dyDescent="0.25">
      <c r="A265">
        <f t="shared" si="4"/>
        <v>0</v>
      </c>
      <c r="C265">
        <f>NOT(hospitalityq!C265="")*(SUMPRODUCT(--(TRIM(hospitalityq!C6:C265)=TRIM(hospitalityq!C265)))&gt;1)</f>
        <v>0</v>
      </c>
      <c r="D265">
        <f>NOT(hospitalityq!D265="")*(COUNTIF(reference!$C$17:$C$18,TRIM(hospitalityq!D265))=0)</f>
        <v>0</v>
      </c>
      <c r="J265">
        <f>NOT(hospitalityq!J265="")*(NOT(ISNUMBER(hospitalityq!J265+0)))</f>
        <v>0</v>
      </c>
      <c r="K265">
        <f>NOT(hospitalityq!K265="")*(NOT(ISNUMBER(hospitalityq!K265+0)))</f>
        <v>0</v>
      </c>
      <c r="P265">
        <f>NOT(hospitalityq!P265="")*(NOT(IFERROR(INT(hospitalityq!P265)=VALUE(hospitalityq!P265),FALSE)))</f>
        <v>0</v>
      </c>
      <c r="Q265">
        <f>NOT(hospitalityq!Q265="")*(NOT(IFERROR(INT(hospitalityq!Q265)=VALUE(hospitalityq!Q265),FALSE)))</f>
        <v>0</v>
      </c>
      <c r="R265">
        <f>NOT(hospitalityq!R265="")*(NOT(IFERROR(ROUND(VALUE(hospitalityq!R265),2)=VALUE(hospitalityq!R265),FALSE)))</f>
        <v>0</v>
      </c>
    </row>
    <row r="266" spans="1:18" x14ac:dyDescent="0.25">
      <c r="A266">
        <f t="shared" si="4"/>
        <v>0</v>
      </c>
      <c r="C266">
        <f>NOT(hospitalityq!C266="")*(SUMPRODUCT(--(TRIM(hospitalityq!C6:C266)=TRIM(hospitalityq!C266)))&gt;1)</f>
        <v>0</v>
      </c>
      <c r="D266">
        <f>NOT(hospitalityq!D266="")*(COUNTIF(reference!$C$17:$C$18,TRIM(hospitalityq!D266))=0)</f>
        <v>0</v>
      </c>
      <c r="J266">
        <f>NOT(hospitalityq!J266="")*(NOT(ISNUMBER(hospitalityq!J266+0)))</f>
        <v>0</v>
      </c>
      <c r="K266">
        <f>NOT(hospitalityq!K266="")*(NOT(ISNUMBER(hospitalityq!K266+0)))</f>
        <v>0</v>
      </c>
      <c r="P266">
        <f>NOT(hospitalityq!P266="")*(NOT(IFERROR(INT(hospitalityq!P266)=VALUE(hospitalityq!P266),FALSE)))</f>
        <v>0</v>
      </c>
      <c r="Q266">
        <f>NOT(hospitalityq!Q266="")*(NOT(IFERROR(INT(hospitalityq!Q266)=VALUE(hospitalityq!Q266),FALSE)))</f>
        <v>0</v>
      </c>
      <c r="R266">
        <f>NOT(hospitalityq!R266="")*(NOT(IFERROR(ROUND(VALUE(hospitalityq!R266),2)=VALUE(hospitalityq!R266),FALSE)))</f>
        <v>0</v>
      </c>
    </row>
    <row r="267" spans="1:18" x14ac:dyDescent="0.25">
      <c r="A267">
        <f t="shared" si="4"/>
        <v>0</v>
      </c>
      <c r="C267">
        <f>NOT(hospitalityq!C267="")*(SUMPRODUCT(--(TRIM(hospitalityq!C6:C267)=TRIM(hospitalityq!C267)))&gt;1)</f>
        <v>0</v>
      </c>
      <c r="D267">
        <f>NOT(hospitalityq!D267="")*(COUNTIF(reference!$C$17:$C$18,TRIM(hospitalityq!D267))=0)</f>
        <v>0</v>
      </c>
      <c r="J267">
        <f>NOT(hospitalityq!J267="")*(NOT(ISNUMBER(hospitalityq!J267+0)))</f>
        <v>0</v>
      </c>
      <c r="K267">
        <f>NOT(hospitalityq!K267="")*(NOT(ISNUMBER(hospitalityq!K267+0)))</f>
        <v>0</v>
      </c>
      <c r="P267">
        <f>NOT(hospitalityq!P267="")*(NOT(IFERROR(INT(hospitalityq!P267)=VALUE(hospitalityq!P267),FALSE)))</f>
        <v>0</v>
      </c>
      <c r="Q267">
        <f>NOT(hospitalityq!Q267="")*(NOT(IFERROR(INT(hospitalityq!Q267)=VALUE(hospitalityq!Q267),FALSE)))</f>
        <v>0</v>
      </c>
      <c r="R267">
        <f>NOT(hospitalityq!R267="")*(NOT(IFERROR(ROUND(VALUE(hospitalityq!R267),2)=VALUE(hospitalityq!R267),FALSE)))</f>
        <v>0</v>
      </c>
    </row>
    <row r="268" spans="1:18" x14ac:dyDescent="0.25">
      <c r="A268">
        <f t="shared" si="4"/>
        <v>0</v>
      </c>
      <c r="C268">
        <f>NOT(hospitalityq!C268="")*(SUMPRODUCT(--(TRIM(hospitalityq!C6:C268)=TRIM(hospitalityq!C268)))&gt;1)</f>
        <v>0</v>
      </c>
      <c r="D268">
        <f>NOT(hospitalityq!D268="")*(COUNTIF(reference!$C$17:$C$18,TRIM(hospitalityq!D268))=0)</f>
        <v>0</v>
      </c>
      <c r="J268">
        <f>NOT(hospitalityq!J268="")*(NOT(ISNUMBER(hospitalityq!J268+0)))</f>
        <v>0</v>
      </c>
      <c r="K268">
        <f>NOT(hospitalityq!K268="")*(NOT(ISNUMBER(hospitalityq!K268+0)))</f>
        <v>0</v>
      </c>
      <c r="P268">
        <f>NOT(hospitalityq!P268="")*(NOT(IFERROR(INT(hospitalityq!P268)=VALUE(hospitalityq!P268),FALSE)))</f>
        <v>0</v>
      </c>
      <c r="Q268">
        <f>NOT(hospitalityq!Q268="")*(NOT(IFERROR(INT(hospitalityq!Q268)=VALUE(hospitalityq!Q268),FALSE)))</f>
        <v>0</v>
      </c>
      <c r="R268">
        <f>NOT(hospitalityq!R268="")*(NOT(IFERROR(ROUND(VALUE(hospitalityq!R268),2)=VALUE(hospitalityq!R268),FALSE)))</f>
        <v>0</v>
      </c>
    </row>
    <row r="269" spans="1:18" x14ac:dyDescent="0.25">
      <c r="A269">
        <f t="shared" si="4"/>
        <v>0</v>
      </c>
      <c r="C269">
        <f>NOT(hospitalityq!C269="")*(SUMPRODUCT(--(TRIM(hospitalityq!C6:C269)=TRIM(hospitalityq!C269)))&gt;1)</f>
        <v>0</v>
      </c>
      <c r="D269">
        <f>NOT(hospitalityq!D269="")*(COUNTIF(reference!$C$17:$C$18,TRIM(hospitalityq!D269))=0)</f>
        <v>0</v>
      </c>
      <c r="J269">
        <f>NOT(hospitalityq!J269="")*(NOT(ISNUMBER(hospitalityq!J269+0)))</f>
        <v>0</v>
      </c>
      <c r="K269">
        <f>NOT(hospitalityq!K269="")*(NOT(ISNUMBER(hospitalityq!K269+0)))</f>
        <v>0</v>
      </c>
      <c r="P269">
        <f>NOT(hospitalityq!P269="")*(NOT(IFERROR(INT(hospitalityq!P269)=VALUE(hospitalityq!P269),FALSE)))</f>
        <v>0</v>
      </c>
      <c r="Q269">
        <f>NOT(hospitalityq!Q269="")*(NOT(IFERROR(INT(hospitalityq!Q269)=VALUE(hospitalityq!Q269),FALSE)))</f>
        <v>0</v>
      </c>
      <c r="R269">
        <f>NOT(hospitalityq!R269="")*(NOT(IFERROR(ROUND(VALUE(hospitalityq!R269),2)=VALUE(hospitalityq!R269),FALSE)))</f>
        <v>0</v>
      </c>
    </row>
    <row r="270" spans="1:18" x14ac:dyDescent="0.25">
      <c r="A270">
        <f t="shared" si="4"/>
        <v>0</v>
      </c>
      <c r="C270">
        <f>NOT(hospitalityq!C270="")*(SUMPRODUCT(--(TRIM(hospitalityq!C6:C270)=TRIM(hospitalityq!C270)))&gt;1)</f>
        <v>0</v>
      </c>
      <c r="D270">
        <f>NOT(hospitalityq!D270="")*(COUNTIF(reference!$C$17:$C$18,TRIM(hospitalityq!D270))=0)</f>
        <v>0</v>
      </c>
      <c r="J270">
        <f>NOT(hospitalityq!J270="")*(NOT(ISNUMBER(hospitalityq!J270+0)))</f>
        <v>0</v>
      </c>
      <c r="K270">
        <f>NOT(hospitalityq!K270="")*(NOT(ISNUMBER(hospitalityq!K270+0)))</f>
        <v>0</v>
      </c>
      <c r="P270">
        <f>NOT(hospitalityq!P270="")*(NOT(IFERROR(INT(hospitalityq!P270)=VALUE(hospitalityq!P270),FALSE)))</f>
        <v>0</v>
      </c>
      <c r="Q270">
        <f>NOT(hospitalityq!Q270="")*(NOT(IFERROR(INT(hospitalityq!Q270)=VALUE(hospitalityq!Q270),FALSE)))</f>
        <v>0</v>
      </c>
      <c r="R270">
        <f>NOT(hospitalityq!R270="")*(NOT(IFERROR(ROUND(VALUE(hospitalityq!R270),2)=VALUE(hospitalityq!R270),FALSE)))</f>
        <v>0</v>
      </c>
    </row>
    <row r="271" spans="1:18" x14ac:dyDescent="0.25">
      <c r="A271">
        <f t="shared" si="4"/>
        <v>0</v>
      </c>
      <c r="C271">
        <f>NOT(hospitalityq!C271="")*(SUMPRODUCT(--(TRIM(hospitalityq!C6:C271)=TRIM(hospitalityq!C271)))&gt;1)</f>
        <v>0</v>
      </c>
      <c r="D271">
        <f>NOT(hospitalityq!D271="")*(COUNTIF(reference!$C$17:$C$18,TRIM(hospitalityq!D271))=0)</f>
        <v>0</v>
      </c>
      <c r="J271">
        <f>NOT(hospitalityq!J271="")*(NOT(ISNUMBER(hospitalityq!J271+0)))</f>
        <v>0</v>
      </c>
      <c r="K271">
        <f>NOT(hospitalityq!K271="")*(NOT(ISNUMBER(hospitalityq!K271+0)))</f>
        <v>0</v>
      </c>
      <c r="P271">
        <f>NOT(hospitalityq!P271="")*(NOT(IFERROR(INT(hospitalityq!P271)=VALUE(hospitalityq!P271),FALSE)))</f>
        <v>0</v>
      </c>
      <c r="Q271">
        <f>NOT(hospitalityq!Q271="")*(NOT(IFERROR(INT(hospitalityq!Q271)=VALUE(hospitalityq!Q271),FALSE)))</f>
        <v>0</v>
      </c>
      <c r="R271">
        <f>NOT(hospitalityq!R271="")*(NOT(IFERROR(ROUND(VALUE(hospitalityq!R271),2)=VALUE(hospitalityq!R271),FALSE)))</f>
        <v>0</v>
      </c>
    </row>
    <row r="272" spans="1:18" x14ac:dyDescent="0.25">
      <c r="A272">
        <f t="shared" si="4"/>
        <v>0</v>
      </c>
      <c r="C272">
        <f>NOT(hospitalityq!C272="")*(SUMPRODUCT(--(TRIM(hospitalityq!C6:C272)=TRIM(hospitalityq!C272)))&gt;1)</f>
        <v>0</v>
      </c>
      <c r="D272">
        <f>NOT(hospitalityq!D272="")*(COUNTIF(reference!$C$17:$C$18,TRIM(hospitalityq!D272))=0)</f>
        <v>0</v>
      </c>
      <c r="J272">
        <f>NOT(hospitalityq!J272="")*(NOT(ISNUMBER(hospitalityq!J272+0)))</f>
        <v>0</v>
      </c>
      <c r="K272">
        <f>NOT(hospitalityq!K272="")*(NOT(ISNUMBER(hospitalityq!K272+0)))</f>
        <v>0</v>
      </c>
      <c r="P272">
        <f>NOT(hospitalityq!P272="")*(NOT(IFERROR(INT(hospitalityq!P272)=VALUE(hospitalityq!P272),FALSE)))</f>
        <v>0</v>
      </c>
      <c r="Q272">
        <f>NOT(hospitalityq!Q272="")*(NOT(IFERROR(INT(hospitalityq!Q272)=VALUE(hospitalityq!Q272),FALSE)))</f>
        <v>0</v>
      </c>
      <c r="R272">
        <f>NOT(hospitalityq!R272="")*(NOT(IFERROR(ROUND(VALUE(hospitalityq!R272),2)=VALUE(hospitalityq!R272),FALSE)))</f>
        <v>0</v>
      </c>
    </row>
    <row r="273" spans="1:18" x14ac:dyDescent="0.25">
      <c r="A273">
        <f t="shared" si="4"/>
        <v>0</v>
      </c>
      <c r="C273">
        <f>NOT(hospitalityq!C273="")*(SUMPRODUCT(--(TRIM(hospitalityq!C6:C273)=TRIM(hospitalityq!C273)))&gt;1)</f>
        <v>0</v>
      </c>
      <c r="D273">
        <f>NOT(hospitalityq!D273="")*(COUNTIF(reference!$C$17:$C$18,TRIM(hospitalityq!D273))=0)</f>
        <v>0</v>
      </c>
      <c r="J273">
        <f>NOT(hospitalityq!J273="")*(NOT(ISNUMBER(hospitalityq!J273+0)))</f>
        <v>0</v>
      </c>
      <c r="K273">
        <f>NOT(hospitalityq!K273="")*(NOT(ISNUMBER(hospitalityq!K273+0)))</f>
        <v>0</v>
      </c>
      <c r="P273">
        <f>NOT(hospitalityq!P273="")*(NOT(IFERROR(INT(hospitalityq!P273)=VALUE(hospitalityq!P273),FALSE)))</f>
        <v>0</v>
      </c>
      <c r="Q273">
        <f>NOT(hospitalityq!Q273="")*(NOT(IFERROR(INT(hospitalityq!Q273)=VALUE(hospitalityq!Q273),FALSE)))</f>
        <v>0</v>
      </c>
      <c r="R273">
        <f>NOT(hospitalityq!R273="")*(NOT(IFERROR(ROUND(VALUE(hospitalityq!R273),2)=VALUE(hospitalityq!R273),FALSE)))</f>
        <v>0</v>
      </c>
    </row>
    <row r="274" spans="1:18" x14ac:dyDescent="0.25">
      <c r="A274">
        <f t="shared" si="4"/>
        <v>0</v>
      </c>
      <c r="C274">
        <f>NOT(hospitalityq!C274="")*(SUMPRODUCT(--(TRIM(hospitalityq!C6:C274)=TRIM(hospitalityq!C274)))&gt;1)</f>
        <v>0</v>
      </c>
      <c r="D274">
        <f>NOT(hospitalityq!D274="")*(COUNTIF(reference!$C$17:$C$18,TRIM(hospitalityq!D274))=0)</f>
        <v>0</v>
      </c>
      <c r="J274">
        <f>NOT(hospitalityq!J274="")*(NOT(ISNUMBER(hospitalityq!J274+0)))</f>
        <v>0</v>
      </c>
      <c r="K274">
        <f>NOT(hospitalityq!K274="")*(NOT(ISNUMBER(hospitalityq!K274+0)))</f>
        <v>0</v>
      </c>
      <c r="P274">
        <f>NOT(hospitalityq!P274="")*(NOT(IFERROR(INT(hospitalityq!P274)=VALUE(hospitalityq!P274),FALSE)))</f>
        <v>0</v>
      </c>
      <c r="Q274">
        <f>NOT(hospitalityq!Q274="")*(NOT(IFERROR(INT(hospitalityq!Q274)=VALUE(hospitalityq!Q274),FALSE)))</f>
        <v>0</v>
      </c>
      <c r="R274">
        <f>NOT(hospitalityq!R274="")*(NOT(IFERROR(ROUND(VALUE(hospitalityq!R274),2)=VALUE(hospitalityq!R274),FALSE)))</f>
        <v>0</v>
      </c>
    </row>
    <row r="275" spans="1:18" x14ac:dyDescent="0.25">
      <c r="A275">
        <f t="shared" si="4"/>
        <v>0</v>
      </c>
      <c r="C275">
        <f>NOT(hospitalityq!C275="")*(SUMPRODUCT(--(TRIM(hospitalityq!C6:C275)=TRIM(hospitalityq!C275)))&gt;1)</f>
        <v>0</v>
      </c>
      <c r="D275">
        <f>NOT(hospitalityq!D275="")*(COUNTIF(reference!$C$17:$C$18,TRIM(hospitalityq!D275))=0)</f>
        <v>0</v>
      </c>
      <c r="J275">
        <f>NOT(hospitalityq!J275="")*(NOT(ISNUMBER(hospitalityq!J275+0)))</f>
        <v>0</v>
      </c>
      <c r="K275">
        <f>NOT(hospitalityq!K275="")*(NOT(ISNUMBER(hospitalityq!K275+0)))</f>
        <v>0</v>
      </c>
      <c r="P275">
        <f>NOT(hospitalityq!P275="")*(NOT(IFERROR(INT(hospitalityq!P275)=VALUE(hospitalityq!P275),FALSE)))</f>
        <v>0</v>
      </c>
      <c r="Q275">
        <f>NOT(hospitalityq!Q275="")*(NOT(IFERROR(INT(hospitalityq!Q275)=VALUE(hospitalityq!Q275),FALSE)))</f>
        <v>0</v>
      </c>
      <c r="R275">
        <f>NOT(hospitalityq!R275="")*(NOT(IFERROR(ROUND(VALUE(hospitalityq!R275),2)=VALUE(hospitalityq!R275),FALSE)))</f>
        <v>0</v>
      </c>
    </row>
    <row r="276" spans="1:18" x14ac:dyDescent="0.25">
      <c r="A276">
        <f t="shared" si="4"/>
        <v>0</v>
      </c>
      <c r="C276">
        <f>NOT(hospitalityq!C276="")*(SUMPRODUCT(--(TRIM(hospitalityq!C6:C276)=TRIM(hospitalityq!C276)))&gt;1)</f>
        <v>0</v>
      </c>
      <c r="D276">
        <f>NOT(hospitalityq!D276="")*(COUNTIF(reference!$C$17:$C$18,TRIM(hospitalityq!D276))=0)</f>
        <v>0</v>
      </c>
      <c r="J276">
        <f>NOT(hospitalityq!J276="")*(NOT(ISNUMBER(hospitalityq!J276+0)))</f>
        <v>0</v>
      </c>
      <c r="K276">
        <f>NOT(hospitalityq!K276="")*(NOT(ISNUMBER(hospitalityq!K276+0)))</f>
        <v>0</v>
      </c>
      <c r="P276">
        <f>NOT(hospitalityq!P276="")*(NOT(IFERROR(INT(hospitalityq!P276)=VALUE(hospitalityq!P276),FALSE)))</f>
        <v>0</v>
      </c>
      <c r="Q276">
        <f>NOT(hospitalityq!Q276="")*(NOT(IFERROR(INT(hospitalityq!Q276)=VALUE(hospitalityq!Q276),FALSE)))</f>
        <v>0</v>
      </c>
      <c r="R276">
        <f>NOT(hospitalityq!R276="")*(NOT(IFERROR(ROUND(VALUE(hospitalityq!R276),2)=VALUE(hospitalityq!R276),FALSE)))</f>
        <v>0</v>
      </c>
    </row>
    <row r="277" spans="1:18" x14ac:dyDescent="0.25">
      <c r="A277">
        <f t="shared" si="4"/>
        <v>0</v>
      </c>
      <c r="C277">
        <f>NOT(hospitalityq!C277="")*(SUMPRODUCT(--(TRIM(hospitalityq!C6:C277)=TRIM(hospitalityq!C277)))&gt;1)</f>
        <v>0</v>
      </c>
      <c r="D277">
        <f>NOT(hospitalityq!D277="")*(COUNTIF(reference!$C$17:$C$18,TRIM(hospitalityq!D277))=0)</f>
        <v>0</v>
      </c>
      <c r="J277">
        <f>NOT(hospitalityq!J277="")*(NOT(ISNUMBER(hospitalityq!J277+0)))</f>
        <v>0</v>
      </c>
      <c r="K277">
        <f>NOT(hospitalityq!K277="")*(NOT(ISNUMBER(hospitalityq!K277+0)))</f>
        <v>0</v>
      </c>
      <c r="P277">
        <f>NOT(hospitalityq!P277="")*(NOT(IFERROR(INT(hospitalityq!P277)=VALUE(hospitalityq!P277),FALSE)))</f>
        <v>0</v>
      </c>
      <c r="Q277">
        <f>NOT(hospitalityq!Q277="")*(NOT(IFERROR(INT(hospitalityq!Q277)=VALUE(hospitalityq!Q277),FALSE)))</f>
        <v>0</v>
      </c>
      <c r="R277">
        <f>NOT(hospitalityq!R277="")*(NOT(IFERROR(ROUND(VALUE(hospitalityq!R277),2)=VALUE(hospitalityq!R277),FALSE)))</f>
        <v>0</v>
      </c>
    </row>
    <row r="278" spans="1:18" x14ac:dyDescent="0.25">
      <c r="A278">
        <f t="shared" si="4"/>
        <v>0</v>
      </c>
      <c r="C278">
        <f>NOT(hospitalityq!C278="")*(SUMPRODUCT(--(TRIM(hospitalityq!C6:C278)=TRIM(hospitalityq!C278)))&gt;1)</f>
        <v>0</v>
      </c>
      <c r="D278">
        <f>NOT(hospitalityq!D278="")*(COUNTIF(reference!$C$17:$C$18,TRIM(hospitalityq!D278))=0)</f>
        <v>0</v>
      </c>
      <c r="J278">
        <f>NOT(hospitalityq!J278="")*(NOT(ISNUMBER(hospitalityq!J278+0)))</f>
        <v>0</v>
      </c>
      <c r="K278">
        <f>NOT(hospitalityq!K278="")*(NOT(ISNUMBER(hospitalityq!K278+0)))</f>
        <v>0</v>
      </c>
      <c r="P278">
        <f>NOT(hospitalityq!P278="")*(NOT(IFERROR(INT(hospitalityq!P278)=VALUE(hospitalityq!P278),FALSE)))</f>
        <v>0</v>
      </c>
      <c r="Q278">
        <f>NOT(hospitalityq!Q278="")*(NOT(IFERROR(INT(hospitalityq!Q278)=VALUE(hospitalityq!Q278),FALSE)))</f>
        <v>0</v>
      </c>
      <c r="R278">
        <f>NOT(hospitalityq!R278="")*(NOT(IFERROR(ROUND(VALUE(hospitalityq!R278),2)=VALUE(hospitalityq!R278),FALSE)))</f>
        <v>0</v>
      </c>
    </row>
    <row r="279" spans="1:18" x14ac:dyDescent="0.25">
      <c r="A279">
        <f t="shared" si="4"/>
        <v>0</v>
      </c>
      <c r="C279">
        <f>NOT(hospitalityq!C279="")*(SUMPRODUCT(--(TRIM(hospitalityq!C6:C279)=TRIM(hospitalityq!C279)))&gt;1)</f>
        <v>0</v>
      </c>
      <c r="D279">
        <f>NOT(hospitalityq!D279="")*(COUNTIF(reference!$C$17:$C$18,TRIM(hospitalityq!D279))=0)</f>
        <v>0</v>
      </c>
      <c r="J279">
        <f>NOT(hospitalityq!J279="")*(NOT(ISNUMBER(hospitalityq!J279+0)))</f>
        <v>0</v>
      </c>
      <c r="K279">
        <f>NOT(hospitalityq!K279="")*(NOT(ISNUMBER(hospitalityq!K279+0)))</f>
        <v>0</v>
      </c>
      <c r="P279">
        <f>NOT(hospitalityq!P279="")*(NOT(IFERROR(INT(hospitalityq!P279)=VALUE(hospitalityq!P279),FALSE)))</f>
        <v>0</v>
      </c>
      <c r="Q279">
        <f>NOT(hospitalityq!Q279="")*(NOT(IFERROR(INT(hospitalityq!Q279)=VALUE(hospitalityq!Q279),FALSE)))</f>
        <v>0</v>
      </c>
      <c r="R279">
        <f>NOT(hospitalityq!R279="")*(NOT(IFERROR(ROUND(VALUE(hospitalityq!R279),2)=VALUE(hospitalityq!R279),FALSE)))</f>
        <v>0</v>
      </c>
    </row>
    <row r="280" spans="1:18" x14ac:dyDescent="0.25">
      <c r="A280">
        <f t="shared" si="4"/>
        <v>0</v>
      </c>
      <c r="C280">
        <f>NOT(hospitalityq!C280="")*(SUMPRODUCT(--(TRIM(hospitalityq!C6:C280)=TRIM(hospitalityq!C280)))&gt;1)</f>
        <v>0</v>
      </c>
      <c r="D280">
        <f>NOT(hospitalityq!D280="")*(COUNTIF(reference!$C$17:$C$18,TRIM(hospitalityq!D280))=0)</f>
        <v>0</v>
      </c>
      <c r="J280">
        <f>NOT(hospitalityq!J280="")*(NOT(ISNUMBER(hospitalityq!J280+0)))</f>
        <v>0</v>
      </c>
      <c r="K280">
        <f>NOT(hospitalityq!K280="")*(NOT(ISNUMBER(hospitalityq!K280+0)))</f>
        <v>0</v>
      </c>
      <c r="P280">
        <f>NOT(hospitalityq!P280="")*(NOT(IFERROR(INT(hospitalityq!P280)=VALUE(hospitalityq!P280),FALSE)))</f>
        <v>0</v>
      </c>
      <c r="Q280">
        <f>NOT(hospitalityq!Q280="")*(NOT(IFERROR(INT(hospitalityq!Q280)=VALUE(hospitalityq!Q280),FALSE)))</f>
        <v>0</v>
      </c>
      <c r="R280">
        <f>NOT(hospitalityq!R280="")*(NOT(IFERROR(ROUND(VALUE(hospitalityq!R280),2)=VALUE(hospitalityq!R280),FALSE)))</f>
        <v>0</v>
      </c>
    </row>
    <row r="281" spans="1:18" x14ac:dyDescent="0.25">
      <c r="A281">
        <f t="shared" si="4"/>
        <v>0</v>
      </c>
      <c r="C281">
        <f>NOT(hospitalityq!C281="")*(SUMPRODUCT(--(TRIM(hospitalityq!C6:C281)=TRIM(hospitalityq!C281)))&gt;1)</f>
        <v>0</v>
      </c>
      <c r="D281">
        <f>NOT(hospitalityq!D281="")*(COUNTIF(reference!$C$17:$C$18,TRIM(hospitalityq!D281))=0)</f>
        <v>0</v>
      </c>
      <c r="J281">
        <f>NOT(hospitalityq!J281="")*(NOT(ISNUMBER(hospitalityq!J281+0)))</f>
        <v>0</v>
      </c>
      <c r="K281">
        <f>NOT(hospitalityq!K281="")*(NOT(ISNUMBER(hospitalityq!K281+0)))</f>
        <v>0</v>
      </c>
      <c r="P281">
        <f>NOT(hospitalityq!P281="")*(NOT(IFERROR(INT(hospitalityq!P281)=VALUE(hospitalityq!P281),FALSE)))</f>
        <v>0</v>
      </c>
      <c r="Q281">
        <f>NOT(hospitalityq!Q281="")*(NOT(IFERROR(INT(hospitalityq!Q281)=VALUE(hospitalityq!Q281),FALSE)))</f>
        <v>0</v>
      </c>
      <c r="R281">
        <f>NOT(hospitalityq!R281="")*(NOT(IFERROR(ROUND(VALUE(hospitalityq!R281),2)=VALUE(hospitalityq!R281),FALSE)))</f>
        <v>0</v>
      </c>
    </row>
    <row r="282" spans="1:18" x14ac:dyDescent="0.25">
      <c r="A282">
        <f t="shared" si="4"/>
        <v>0</v>
      </c>
      <c r="C282">
        <f>NOT(hospitalityq!C282="")*(SUMPRODUCT(--(TRIM(hospitalityq!C6:C282)=TRIM(hospitalityq!C282)))&gt;1)</f>
        <v>0</v>
      </c>
      <c r="D282">
        <f>NOT(hospitalityq!D282="")*(COUNTIF(reference!$C$17:$C$18,TRIM(hospitalityq!D282))=0)</f>
        <v>0</v>
      </c>
      <c r="J282">
        <f>NOT(hospitalityq!J282="")*(NOT(ISNUMBER(hospitalityq!J282+0)))</f>
        <v>0</v>
      </c>
      <c r="K282">
        <f>NOT(hospitalityq!K282="")*(NOT(ISNUMBER(hospitalityq!K282+0)))</f>
        <v>0</v>
      </c>
      <c r="P282">
        <f>NOT(hospitalityq!P282="")*(NOT(IFERROR(INT(hospitalityq!P282)=VALUE(hospitalityq!P282),FALSE)))</f>
        <v>0</v>
      </c>
      <c r="Q282">
        <f>NOT(hospitalityq!Q282="")*(NOT(IFERROR(INT(hospitalityq!Q282)=VALUE(hospitalityq!Q282),FALSE)))</f>
        <v>0</v>
      </c>
      <c r="R282">
        <f>NOT(hospitalityq!R282="")*(NOT(IFERROR(ROUND(VALUE(hospitalityq!R282),2)=VALUE(hospitalityq!R282),FALSE)))</f>
        <v>0</v>
      </c>
    </row>
    <row r="283" spans="1:18" x14ac:dyDescent="0.25">
      <c r="A283">
        <f t="shared" si="4"/>
        <v>0</v>
      </c>
      <c r="C283">
        <f>NOT(hospitalityq!C283="")*(SUMPRODUCT(--(TRIM(hospitalityq!C6:C283)=TRIM(hospitalityq!C283)))&gt;1)</f>
        <v>0</v>
      </c>
      <c r="D283">
        <f>NOT(hospitalityq!D283="")*(COUNTIF(reference!$C$17:$C$18,TRIM(hospitalityq!D283))=0)</f>
        <v>0</v>
      </c>
      <c r="J283">
        <f>NOT(hospitalityq!J283="")*(NOT(ISNUMBER(hospitalityq!J283+0)))</f>
        <v>0</v>
      </c>
      <c r="K283">
        <f>NOT(hospitalityq!K283="")*(NOT(ISNUMBER(hospitalityq!K283+0)))</f>
        <v>0</v>
      </c>
      <c r="P283">
        <f>NOT(hospitalityq!P283="")*(NOT(IFERROR(INT(hospitalityq!P283)=VALUE(hospitalityq!P283),FALSE)))</f>
        <v>0</v>
      </c>
      <c r="Q283">
        <f>NOT(hospitalityq!Q283="")*(NOT(IFERROR(INT(hospitalityq!Q283)=VALUE(hospitalityq!Q283),FALSE)))</f>
        <v>0</v>
      </c>
      <c r="R283">
        <f>NOT(hospitalityq!R283="")*(NOT(IFERROR(ROUND(VALUE(hospitalityq!R283),2)=VALUE(hospitalityq!R283),FALSE)))</f>
        <v>0</v>
      </c>
    </row>
    <row r="284" spans="1:18" x14ac:dyDescent="0.25">
      <c r="A284">
        <f t="shared" si="4"/>
        <v>0</v>
      </c>
      <c r="C284">
        <f>NOT(hospitalityq!C284="")*(SUMPRODUCT(--(TRIM(hospitalityq!C6:C284)=TRIM(hospitalityq!C284)))&gt;1)</f>
        <v>0</v>
      </c>
      <c r="D284">
        <f>NOT(hospitalityq!D284="")*(COUNTIF(reference!$C$17:$C$18,TRIM(hospitalityq!D284))=0)</f>
        <v>0</v>
      </c>
      <c r="J284">
        <f>NOT(hospitalityq!J284="")*(NOT(ISNUMBER(hospitalityq!J284+0)))</f>
        <v>0</v>
      </c>
      <c r="K284">
        <f>NOT(hospitalityq!K284="")*(NOT(ISNUMBER(hospitalityq!K284+0)))</f>
        <v>0</v>
      </c>
      <c r="P284">
        <f>NOT(hospitalityq!P284="")*(NOT(IFERROR(INT(hospitalityq!P284)=VALUE(hospitalityq!P284),FALSE)))</f>
        <v>0</v>
      </c>
      <c r="Q284">
        <f>NOT(hospitalityq!Q284="")*(NOT(IFERROR(INT(hospitalityq!Q284)=VALUE(hospitalityq!Q284),FALSE)))</f>
        <v>0</v>
      </c>
      <c r="R284">
        <f>NOT(hospitalityq!R284="")*(NOT(IFERROR(ROUND(VALUE(hospitalityq!R284),2)=VALUE(hospitalityq!R284),FALSE)))</f>
        <v>0</v>
      </c>
    </row>
    <row r="285" spans="1:18" x14ac:dyDescent="0.25">
      <c r="A285">
        <f t="shared" si="4"/>
        <v>0</v>
      </c>
      <c r="C285">
        <f>NOT(hospitalityq!C285="")*(SUMPRODUCT(--(TRIM(hospitalityq!C6:C285)=TRIM(hospitalityq!C285)))&gt;1)</f>
        <v>0</v>
      </c>
      <c r="D285">
        <f>NOT(hospitalityq!D285="")*(COUNTIF(reference!$C$17:$C$18,TRIM(hospitalityq!D285))=0)</f>
        <v>0</v>
      </c>
      <c r="J285">
        <f>NOT(hospitalityq!J285="")*(NOT(ISNUMBER(hospitalityq!J285+0)))</f>
        <v>0</v>
      </c>
      <c r="K285">
        <f>NOT(hospitalityq!K285="")*(NOT(ISNUMBER(hospitalityq!K285+0)))</f>
        <v>0</v>
      </c>
      <c r="P285">
        <f>NOT(hospitalityq!P285="")*(NOT(IFERROR(INT(hospitalityq!P285)=VALUE(hospitalityq!P285),FALSE)))</f>
        <v>0</v>
      </c>
      <c r="Q285">
        <f>NOT(hospitalityq!Q285="")*(NOT(IFERROR(INT(hospitalityq!Q285)=VALUE(hospitalityq!Q285),FALSE)))</f>
        <v>0</v>
      </c>
      <c r="R285">
        <f>NOT(hospitalityq!R285="")*(NOT(IFERROR(ROUND(VALUE(hospitalityq!R285),2)=VALUE(hospitalityq!R285),FALSE)))</f>
        <v>0</v>
      </c>
    </row>
    <row r="286" spans="1:18" x14ac:dyDescent="0.25">
      <c r="A286">
        <f t="shared" si="4"/>
        <v>0</v>
      </c>
      <c r="C286">
        <f>NOT(hospitalityq!C286="")*(SUMPRODUCT(--(TRIM(hospitalityq!C6:C286)=TRIM(hospitalityq!C286)))&gt;1)</f>
        <v>0</v>
      </c>
      <c r="D286">
        <f>NOT(hospitalityq!D286="")*(COUNTIF(reference!$C$17:$C$18,TRIM(hospitalityq!D286))=0)</f>
        <v>0</v>
      </c>
      <c r="J286">
        <f>NOT(hospitalityq!J286="")*(NOT(ISNUMBER(hospitalityq!J286+0)))</f>
        <v>0</v>
      </c>
      <c r="K286">
        <f>NOT(hospitalityq!K286="")*(NOT(ISNUMBER(hospitalityq!K286+0)))</f>
        <v>0</v>
      </c>
      <c r="P286">
        <f>NOT(hospitalityq!P286="")*(NOT(IFERROR(INT(hospitalityq!P286)=VALUE(hospitalityq!P286),FALSE)))</f>
        <v>0</v>
      </c>
      <c r="Q286">
        <f>NOT(hospitalityq!Q286="")*(NOT(IFERROR(INT(hospitalityq!Q286)=VALUE(hospitalityq!Q286),FALSE)))</f>
        <v>0</v>
      </c>
      <c r="R286">
        <f>NOT(hospitalityq!R286="")*(NOT(IFERROR(ROUND(VALUE(hospitalityq!R286),2)=VALUE(hospitalityq!R286),FALSE)))</f>
        <v>0</v>
      </c>
    </row>
    <row r="287" spans="1:18" x14ac:dyDescent="0.25">
      <c r="A287">
        <f t="shared" si="4"/>
        <v>0</v>
      </c>
      <c r="C287">
        <f>NOT(hospitalityq!C287="")*(SUMPRODUCT(--(TRIM(hospitalityq!C6:C287)=TRIM(hospitalityq!C287)))&gt;1)</f>
        <v>0</v>
      </c>
      <c r="D287">
        <f>NOT(hospitalityq!D287="")*(COUNTIF(reference!$C$17:$C$18,TRIM(hospitalityq!D287))=0)</f>
        <v>0</v>
      </c>
      <c r="J287">
        <f>NOT(hospitalityq!J287="")*(NOT(ISNUMBER(hospitalityq!J287+0)))</f>
        <v>0</v>
      </c>
      <c r="K287">
        <f>NOT(hospitalityq!K287="")*(NOT(ISNUMBER(hospitalityq!K287+0)))</f>
        <v>0</v>
      </c>
      <c r="P287">
        <f>NOT(hospitalityq!P287="")*(NOT(IFERROR(INT(hospitalityq!P287)=VALUE(hospitalityq!P287),FALSE)))</f>
        <v>0</v>
      </c>
      <c r="Q287">
        <f>NOT(hospitalityq!Q287="")*(NOT(IFERROR(INT(hospitalityq!Q287)=VALUE(hospitalityq!Q287),FALSE)))</f>
        <v>0</v>
      </c>
      <c r="R287">
        <f>NOT(hospitalityq!R287="")*(NOT(IFERROR(ROUND(VALUE(hospitalityq!R287),2)=VALUE(hospitalityq!R287),FALSE)))</f>
        <v>0</v>
      </c>
    </row>
    <row r="288" spans="1:18" x14ac:dyDescent="0.25">
      <c r="A288">
        <f t="shared" si="4"/>
        <v>0</v>
      </c>
      <c r="C288">
        <f>NOT(hospitalityq!C288="")*(SUMPRODUCT(--(TRIM(hospitalityq!C6:C288)=TRIM(hospitalityq!C288)))&gt;1)</f>
        <v>0</v>
      </c>
      <c r="D288">
        <f>NOT(hospitalityq!D288="")*(COUNTIF(reference!$C$17:$C$18,TRIM(hospitalityq!D288))=0)</f>
        <v>0</v>
      </c>
      <c r="J288">
        <f>NOT(hospitalityq!J288="")*(NOT(ISNUMBER(hospitalityq!J288+0)))</f>
        <v>0</v>
      </c>
      <c r="K288">
        <f>NOT(hospitalityq!K288="")*(NOT(ISNUMBER(hospitalityq!K288+0)))</f>
        <v>0</v>
      </c>
      <c r="P288">
        <f>NOT(hospitalityq!P288="")*(NOT(IFERROR(INT(hospitalityq!P288)=VALUE(hospitalityq!P288),FALSE)))</f>
        <v>0</v>
      </c>
      <c r="Q288">
        <f>NOT(hospitalityq!Q288="")*(NOT(IFERROR(INT(hospitalityq!Q288)=VALUE(hospitalityq!Q288),FALSE)))</f>
        <v>0</v>
      </c>
      <c r="R288">
        <f>NOT(hospitalityq!R288="")*(NOT(IFERROR(ROUND(VALUE(hospitalityq!R288),2)=VALUE(hospitalityq!R288),FALSE)))</f>
        <v>0</v>
      </c>
    </row>
    <row r="289" spans="1:18" x14ac:dyDescent="0.25">
      <c r="A289">
        <f t="shared" si="4"/>
        <v>0</v>
      </c>
      <c r="C289">
        <f>NOT(hospitalityq!C289="")*(SUMPRODUCT(--(TRIM(hospitalityq!C6:C289)=TRIM(hospitalityq!C289)))&gt;1)</f>
        <v>0</v>
      </c>
      <c r="D289">
        <f>NOT(hospitalityq!D289="")*(COUNTIF(reference!$C$17:$C$18,TRIM(hospitalityq!D289))=0)</f>
        <v>0</v>
      </c>
      <c r="J289">
        <f>NOT(hospitalityq!J289="")*(NOT(ISNUMBER(hospitalityq!J289+0)))</f>
        <v>0</v>
      </c>
      <c r="K289">
        <f>NOT(hospitalityq!K289="")*(NOT(ISNUMBER(hospitalityq!K289+0)))</f>
        <v>0</v>
      </c>
      <c r="P289">
        <f>NOT(hospitalityq!P289="")*(NOT(IFERROR(INT(hospitalityq!P289)=VALUE(hospitalityq!P289),FALSE)))</f>
        <v>0</v>
      </c>
      <c r="Q289">
        <f>NOT(hospitalityq!Q289="")*(NOT(IFERROR(INT(hospitalityq!Q289)=VALUE(hospitalityq!Q289),FALSE)))</f>
        <v>0</v>
      </c>
      <c r="R289">
        <f>NOT(hospitalityq!R289="")*(NOT(IFERROR(ROUND(VALUE(hospitalityq!R289),2)=VALUE(hospitalityq!R289),FALSE)))</f>
        <v>0</v>
      </c>
    </row>
    <row r="290" spans="1:18" x14ac:dyDescent="0.25">
      <c r="A290">
        <f t="shared" si="4"/>
        <v>0</v>
      </c>
      <c r="C290">
        <f>NOT(hospitalityq!C290="")*(SUMPRODUCT(--(TRIM(hospitalityq!C6:C290)=TRIM(hospitalityq!C290)))&gt;1)</f>
        <v>0</v>
      </c>
      <c r="D290">
        <f>NOT(hospitalityq!D290="")*(COUNTIF(reference!$C$17:$C$18,TRIM(hospitalityq!D290))=0)</f>
        <v>0</v>
      </c>
      <c r="J290">
        <f>NOT(hospitalityq!J290="")*(NOT(ISNUMBER(hospitalityq!J290+0)))</f>
        <v>0</v>
      </c>
      <c r="K290">
        <f>NOT(hospitalityq!K290="")*(NOT(ISNUMBER(hospitalityq!K290+0)))</f>
        <v>0</v>
      </c>
      <c r="P290">
        <f>NOT(hospitalityq!P290="")*(NOT(IFERROR(INT(hospitalityq!P290)=VALUE(hospitalityq!P290),FALSE)))</f>
        <v>0</v>
      </c>
      <c r="Q290">
        <f>NOT(hospitalityq!Q290="")*(NOT(IFERROR(INT(hospitalityq!Q290)=VALUE(hospitalityq!Q290),FALSE)))</f>
        <v>0</v>
      </c>
      <c r="R290">
        <f>NOT(hospitalityq!R290="")*(NOT(IFERROR(ROUND(VALUE(hospitalityq!R290),2)=VALUE(hospitalityq!R290),FALSE)))</f>
        <v>0</v>
      </c>
    </row>
    <row r="291" spans="1:18" x14ac:dyDescent="0.25">
      <c r="A291">
        <f t="shared" si="4"/>
        <v>0</v>
      </c>
      <c r="C291">
        <f>NOT(hospitalityq!C291="")*(SUMPRODUCT(--(TRIM(hospitalityq!C6:C291)=TRIM(hospitalityq!C291)))&gt;1)</f>
        <v>0</v>
      </c>
      <c r="D291">
        <f>NOT(hospitalityq!D291="")*(COUNTIF(reference!$C$17:$C$18,TRIM(hospitalityq!D291))=0)</f>
        <v>0</v>
      </c>
      <c r="J291">
        <f>NOT(hospitalityq!J291="")*(NOT(ISNUMBER(hospitalityq!J291+0)))</f>
        <v>0</v>
      </c>
      <c r="K291">
        <f>NOT(hospitalityq!K291="")*(NOT(ISNUMBER(hospitalityq!K291+0)))</f>
        <v>0</v>
      </c>
      <c r="P291">
        <f>NOT(hospitalityq!P291="")*(NOT(IFERROR(INT(hospitalityq!P291)=VALUE(hospitalityq!P291),FALSE)))</f>
        <v>0</v>
      </c>
      <c r="Q291">
        <f>NOT(hospitalityq!Q291="")*(NOT(IFERROR(INT(hospitalityq!Q291)=VALUE(hospitalityq!Q291),FALSE)))</f>
        <v>0</v>
      </c>
      <c r="R291">
        <f>NOT(hospitalityq!R291="")*(NOT(IFERROR(ROUND(VALUE(hospitalityq!R291),2)=VALUE(hospitalityq!R291),FALSE)))</f>
        <v>0</v>
      </c>
    </row>
    <row r="292" spans="1:18" x14ac:dyDescent="0.25">
      <c r="A292">
        <f t="shared" si="4"/>
        <v>0</v>
      </c>
      <c r="C292">
        <f>NOT(hospitalityq!C292="")*(SUMPRODUCT(--(TRIM(hospitalityq!C6:C292)=TRIM(hospitalityq!C292)))&gt;1)</f>
        <v>0</v>
      </c>
      <c r="D292">
        <f>NOT(hospitalityq!D292="")*(COUNTIF(reference!$C$17:$C$18,TRIM(hospitalityq!D292))=0)</f>
        <v>0</v>
      </c>
      <c r="J292">
        <f>NOT(hospitalityq!J292="")*(NOT(ISNUMBER(hospitalityq!J292+0)))</f>
        <v>0</v>
      </c>
      <c r="K292">
        <f>NOT(hospitalityq!K292="")*(NOT(ISNUMBER(hospitalityq!K292+0)))</f>
        <v>0</v>
      </c>
      <c r="P292">
        <f>NOT(hospitalityq!P292="")*(NOT(IFERROR(INT(hospitalityq!P292)=VALUE(hospitalityq!P292),FALSE)))</f>
        <v>0</v>
      </c>
      <c r="Q292">
        <f>NOT(hospitalityq!Q292="")*(NOT(IFERROR(INT(hospitalityq!Q292)=VALUE(hospitalityq!Q292),FALSE)))</f>
        <v>0</v>
      </c>
      <c r="R292">
        <f>NOT(hospitalityq!R292="")*(NOT(IFERROR(ROUND(VALUE(hospitalityq!R292),2)=VALUE(hospitalityq!R292),FALSE)))</f>
        <v>0</v>
      </c>
    </row>
    <row r="293" spans="1:18" x14ac:dyDescent="0.25">
      <c r="A293">
        <f t="shared" si="4"/>
        <v>0</v>
      </c>
      <c r="C293">
        <f>NOT(hospitalityq!C293="")*(SUMPRODUCT(--(TRIM(hospitalityq!C6:C293)=TRIM(hospitalityq!C293)))&gt;1)</f>
        <v>0</v>
      </c>
      <c r="D293">
        <f>NOT(hospitalityq!D293="")*(COUNTIF(reference!$C$17:$C$18,TRIM(hospitalityq!D293))=0)</f>
        <v>0</v>
      </c>
      <c r="J293">
        <f>NOT(hospitalityq!J293="")*(NOT(ISNUMBER(hospitalityq!J293+0)))</f>
        <v>0</v>
      </c>
      <c r="K293">
        <f>NOT(hospitalityq!K293="")*(NOT(ISNUMBER(hospitalityq!K293+0)))</f>
        <v>0</v>
      </c>
      <c r="P293">
        <f>NOT(hospitalityq!P293="")*(NOT(IFERROR(INT(hospitalityq!P293)=VALUE(hospitalityq!P293),FALSE)))</f>
        <v>0</v>
      </c>
      <c r="Q293">
        <f>NOT(hospitalityq!Q293="")*(NOT(IFERROR(INT(hospitalityq!Q293)=VALUE(hospitalityq!Q293),FALSE)))</f>
        <v>0</v>
      </c>
      <c r="R293">
        <f>NOT(hospitalityq!R293="")*(NOT(IFERROR(ROUND(VALUE(hospitalityq!R293),2)=VALUE(hospitalityq!R293),FALSE)))</f>
        <v>0</v>
      </c>
    </row>
    <row r="294" spans="1:18" x14ac:dyDescent="0.25">
      <c r="A294">
        <f t="shared" si="4"/>
        <v>0</v>
      </c>
      <c r="C294">
        <f>NOT(hospitalityq!C294="")*(SUMPRODUCT(--(TRIM(hospitalityq!C6:C294)=TRIM(hospitalityq!C294)))&gt;1)</f>
        <v>0</v>
      </c>
      <c r="D294">
        <f>NOT(hospitalityq!D294="")*(COUNTIF(reference!$C$17:$C$18,TRIM(hospitalityq!D294))=0)</f>
        <v>0</v>
      </c>
      <c r="J294">
        <f>NOT(hospitalityq!J294="")*(NOT(ISNUMBER(hospitalityq!J294+0)))</f>
        <v>0</v>
      </c>
      <c r="K294">
        <f>NOT(hospitalityq!K294="")*(NOT(ISNUMBER(hospitalityq!K294+0)))</f>
        <v>0</v>
      </c>
      <c r="P294">
        <f>NOT(hospitalityq!P294="")*(NOT(IFERROR(INT(hospitalityq!P294)=VALUE(hospitalityq!P294),FALSE)))</f>
        <v>0</v>
      </c>
      <c r="Q294">
        <f>NOT(hospitalityq!Q294="")*(NOT(IFERROR(INT(hospitalityq!Q294)=VALUE(hospitalityq!Q294),FALSE)))</f>
        <v>0</v>
      </c>
      <c r="R294">
        <f>NOT(hospitalityq!R294="")*(NOT(IFERROR(ROUND(VALUE(hospitalityq!R294),2)=VALUE(hospitalityq!R294),FALSE)))</f>
        <v>0</v>
      </c>
    </row>
    <row r="295" spans="1:18" x14ac:dyDescent="0.25">
      <c r="A295">
        <f t="shared" si="4"/>
        <v>0</v>
      </c>
      <c r="C295">
        <f>NOT(hospitalityq!C295="")*(SUMPRODUCT(--(TRIM(hospitalityq!C6:C295)=TRIM(hospitalityq!C295)))&gt;1)</f>
        <v>0</v>
      </c>
      <c r="D295">
        <f>NOT(hospitalityq!D295="")*(COUNTIF(reference!$C$17:$C$18,TRIM(hospitalityq!D295))=0)</f>
        <v>0</v>
      </c>
      <c r="J295">
        <f>NOT(hospitalityq!J295="")*(NOT(ISNUMBER(hospitalityq!J295+0)))</f>
        <v>0</v>
      </c>
      <c r="K295">
        <f>NOT(hospitalityq!K295="")*(NOT(ISNUMBER(hospitalityq!K295+0)))</f>
        <v>0</v>
      </c>
      <c r="P295">
        <f>NOT(hospitalityq!P295="")*(NOT(IFERROR(INT(hospitalityq!P295)=VALUE(hospitalityq!P295),FALSE)))</f>
        <v>0</v>
      </c>
      <c r="Q295">
        <f>NOT(hospitalityq!Q295="")*(NOT(IFERROR(INT(hospitalityq!Q295)=VALUE(hospitalityq!Q295),FALSE)))</f>
        <v>0</v>
      </c>
      <c r="R295">
        <f>NOT(hospitalityq!R295="")*(NOT(IFERROR(ROUND(VALUE(hospitalityq!R295),2)=VALUE(hospitalityq!R295),FALSE)))</f>
        <v>0</v>
      </c>
    </row>
    <row r="296" spans="1:18" x14ac:dyDescent="0.25">
      <c r="A296">
        <f t="shared" si="4"/>
        <v>0</v>
      </c>
      <c r="C296">
        <f>NOT(hospitalityq!C296="")*(SUMPRODUCT(--(TRIM(hospitalityq!C6:C296)=TRIM(hospitalityq!C296)))&gt;1)</f>
        <v>0</v>
      </c>
      <c r="D296">
        <f>NOT(hospitalityq!D296="")*(COUNTIF(reference!$C$17:$C$18,TRIM(hospitalityq!D296))=0)</f>
        <v>0</v>
      </c>
      <c r="J296">
        <f>NOT(hospitalityq!J296="")*(NOT(ISNUMBER(hospitalityq!J296+0)))</f>
        <v>0</v>
      </c>
      <c r="K296">
        <f>NOT(hospitalityq!K296="")*(NOT(ISNUMBER(hospitalityq!K296+0)))</f>
        <v>0</v>
      </c>
      <c r="P296">
        <f>NOT(hospitalityq!P296="")*(NOT(IFERROR(INT(hospitalityq!P296)=VALUE(hospitalityq!P296),FALSE)))</f>
        <v>0</v>
      </c>
      <c r="Q296">
        <f>NOT(hospitalityq!Q296="")*(NOT(IFERROR(INT(hospitalityq!Q296)=VALUE(hospitalityq!Q296),FALSE)))</f>
        <v>0</v>
      </c>
      <c r="R296">
        <f>NOT(hospitalityq!R296="")*(NOT(IFERROR(ROUND(VALUE(hospitalityq!R296),2)=VALUE(hospitalityq!R296),FALSE)))</f>
        <v>0</v>
      </c>
    </row>
    <row r="297" spans="1:18" x14ac:dyDescent="0.25">
      <c r="A297">
        <f t="shared" si="4"/>
        <v>0</v>
      </c>
      <c r="C297">
        <f>NOT(hospitalityq!C297="")*(SUMPRODUCT(--(TRIM(hospitalityq!C6:C297)=TRIM(hospitalityq!C297)))&gt;1)</f>
        <v>0</v>
      </c>
      <c r="D297">
        <f>NOT(hospitalityq!D297="")*(COUNTIF(reference!$C$17:$C$18,TRIM(hospitalityq!D297))=0)</f>
        <v>0</v>
      </c>
      <c r="J297">
        <f>NOT(hospitalityq!J297="")*(NOT(ISNUMBER(hospitalityq!J297+0)))</f>
        <v>0</v>
      </c>
      <c r="K297">
        <f>NOT(hospitalityq!K297="")*(NOT(ISNUMBER(hospitalityq!K297+0)))</f>
        <v>0</v>
      </c>
      <c r="P297">
        <f>NOT(hospitalityq!P297="")*(NOT(IFERROR(INT(hospitalityq!P297)=VALUE(hospitalityq!P297),FALSE)))</f>
        <v>0</v>
      </c>
      <c r="Q297">
        <f>NOT(hospitalityq!Q297="")*(NOT(IFERROR(INT(hospitalityq!Q297)=VALUE(hospitalityq!Q297),FALSE)))</f>
        <v>0</v>
      </c>
      <c r="R297">
        <f>NOT(hospitalityq!R297="")*(NOT(IFERROR(ROUND(VALUE(hospitalityq!R297),2)=VALUE(hospitalityq!R297),FALSE)))</f>
        <v>0</v>
      </c>
    </row>
    <row r="298" spans="1:18" x14ac:dyDescent="0.25">
      <c r="A298">
        <f t="shared" si="4"/>
        <v>0</v>
      </c>
      <c r="C298">
        <f>NOT(hospitalityq!C298="")*(SUMPRODUCT(--(TRIM(hospitalityq!C6:C298)=TRIM(hospitalityq!C298)))&gt;1)</f>
        <v>0</v>
      </c>
      <c r="D298">
        <f>NOT(hospitalityq!D298="")*(COUNTIF(reference!$C$17:$C$18,TRIM(hospitalityq!D298))=0)</f>
        <v>0</v>
      </c>
      <c r="J298">
        <f>NOT(hospitalityq!J298="")*(NOT(ISNUMBER(hospitalityq!J298+0)))</f>
        <v>0</v>
      </c>
      <c r="K298">
        <f>NOT(hospitalityq!K298="")*(NOT(ISNUMBER(hospitalityq!K298+0)))</f>
        <v>0</v>
      </c>
      <c r="P298">
        <f>NOT(hospitalityq!P298="")*(NOT(IFERROR(INT(hospitalityq!P298)=VALUE(hospitalityq!P298),FALSE)))</f>
        <v>0</v>
      </c>
      <c r="Q298">
        <f>NOT(hospitalityq!Q298="")*(NOT(IFERROR(INT(hospitalityq!Q298)=VALUE(hospitalityq!Q298),FALSE)))</f>
        <v>0</v>
      </c>
      <c r="R298">
        <f>NOT(hospitalityq!R298="")*(NOT(IFERROR(ROUND(VALUE(hospitalityq!R298),2)=VALUE(hospitalityq!R298),FALSE)))</f>
        <v>0</v>
      </c>
    </row>
    <row r="299" spans="1:18" x14ac:dyDescent="0.25">
      <c r="A299">
        <f t="shared" si="4"/>
        <v>0</v>
      </c>
      <c r="C299">
        <f>NOT(hospitalityq!C299="")*(SUMPRODUCT(--(TRIM(hospitalityq!C6:C299)=TRIM(hospitalityq!C299)))&gt;1)</f>
        <v>0</v>
      </c>
      <c r="D299">
        <f>NOT(hospitalityq!D299="")*(COUNTIF(reference!$C$17:$C$18,TRIM(hospitalityq!D299))=0)</f>
        <v>0</v>
      </c>
      <c r="J299">
        <f>NOT(hospitalityq!J299="")*(NOT(ISNUMBER(hospitalityq!J299+0)))</f>
        <v>0</v>
      </c>
      <c r="K299">
        <f>NOT(hospitalityq!K299="")*(NOT(ISNUMBER(hospitalityq!K299+0)))</f>
        <v>0</v>
      </c>
      <c r="P299">
        <f>NOT(hospitalityq!P299="")*(NOT(IFERROR(INT(hospitalityq!P299)=VALUE(hospitalityq!P299),FALSE)))</f>
        <v>0</v>
      </c>
      <c r="Q299">
        <f>NOT(hospitalityq!Q299="")*(NOT(IFERROR(INT(hospitalityq!Q299)=VALUE(hospitalityq!Q299),FALSE)))</f>
        <v>0</v>
      </c>
      <c r="R299">
        <f>NOT(hospitalityq!R299="")*(NOT(IFERROR(ROUND(VALUE(hospitalityq!R299),2)=VALUE(hospitalityq!R299),FALSE)))</f>
        <v>0</v>
      </c>
    </row>
    <row r="300" spans="1:18" x14ac:dyDescent="0.25">
      <c r="A300">
        <f t="shared" si="4"/>
        <v>0</v>
      </c>
      <c r="C300">
        <f>NOT(hospitalityq!C300="")*(SUMPRODUCT(--(TRIM(hospitalityq!C6:C300)=TRIM(hospitalityq!C300)))&gt;1)</f>
        <v>0</v>
      </c>
      <c r="D300">
        <f>NOT(hospitalityq!D300="")*(COUNTIF(reference!$C$17:$C$18,TRIM(hospitalityq!D300))=0)</f>
        <v>0</v>
      </c>
      <c r="J300">
        <f>NOT(hospitalityq!J300="")*(NOT(ISNUMBER(hospitalityq!J300+0)))</f>
        <v>0</v>
      </c>
      <c r="K300">
        <f>NOT(hospitalityq!K300="")*(NOT(ISNUMBER(hospitalityq!K300+0)))</f>
        <v>0</v>
      </c>
      <c r="P300">
        <f>NOT(hospitalityq!P300="")*(NOT(IFERROR(INT(hospitalityq!P300)=VALUE(hospitalityq!P300),FALSE)))</f>
        <v>0</v>
      </c>
      <c r="Q300">
        <f>NOT(hospitalityq!Q300="")*(NOT(IFERROR(INT(hospitalityq!Q300)=VALUE(hospitalityq!Q300),FALSE)))</f>
        <v>0</v>
      </c>
      <c r="R300">
        <f>NOT(hospitalityq!R300="")*(NOT(IFERROR(ROUND(VALUE(hospitalityq!R300),2)=VALUE(hospitalityq!R300),FALSE)))</f>
        <v>0</v>
      </c>
    </row>
    <row r="301" spans="1:18" x14ac:dyDescent="0.25">
      <c r="A301">
        <f t="shared" si="4"/>
        <v>0</v>
      </c>
      <c r="C301">
        <f>NOT(hospitalityq!C301="")*(SUMPRODUCT(--(TRIM(hospitalityq!C6:C301)=TRIM(hospitalityq!C301)))&gt;1)</f>
        <v>0</v>
      </c>
      <c r="D301">
        <f>NOT(hospitalityq!D301="")*(COUNTIF(reference!$C$17:$C$18,TRIM(hospitalityq!D301))=0)</f>
        <v>0</v>
      </c>
      <c r="J301">
        <f>NOT(hospitalityq!J301="")*(NOT(ISNUMBER(hospitalityq!J301+0)))</f>
        <v>0</v>
      </c>
      <c r="K301">
        <f>NOT(hospitalityq!K301="")*(NOT(ISNUMBER(hospitalityq!K301+0)))</f>
        <v>0</v>
      </c>
      <c r="P301">
        <f>NOT(hospitalityq!P301="")*(NOT(IFERROR(INT(hospitalityq!P301)=VALUE(hospitalityq!P301),FALSE)))</f>
        <v>0</v>
      </c>
      <c r="Q301">
        <f>NOT(hospitalityq!Q301="")*(NOT(IFERROR(INT(hospitalityq!Q301)=VALUE(hospitalityq!Q301),FALSE)))</f>
        <v>0</v>
      </c>
      <c r="R301">
        <f>NOT(hospitalityq!R301="")*(NOT(IFERROR(ROUND(VALUE(hospitalityq!R301),2)=VALUE(hospitalityq!R301),FALSE)))</f>
        <v>0</v>
      </c>
    </row>
    <row r="302" spans="1:18" x14ac:dyDescent="0.25">
      <c r="A302">
        <f t="shared" si="4"/>
        <v>0</v>
      </c>
      <c r="C302">
        <f>NOT(hospitalityq!C302="")*(SUMPRODUCT(--(TRIM(hospitalityq!C6:C302)=TRIM(hospitalityq!C302)))&gt;1)</f>
        <v>0</v>
      </c>
      <c r="D302">
        <f>NOT(hospitalityq!D302="")*(COUNTIF(reference!$C$17:$C$18,TRIM(hospitalityq!D302))=0)</f>
        <v>0</v>
      </c>
      <c r="J302">
        <f>NOT(hospitalityq!J302="")*(NOT(ISNUMBER(hospitalityq!J302+0)))</f>
        <v>0</v>
      </c>
      <c r="K302">
        <f>NOT(hospitalityq!K302="")*(NOT(ISNUMBER(hospitalityq!K302+0)))</f>
        <v>0</v>
      </c>
      <c r="P302">
        <f>NOT(hospitalityq!P302="")*(NOT(IFERROR(INT(hospitalityq!P302)=VALUE(hospitalityq!P302),FALSE)))</f>
        <v>0</v>
      </c>
      <c r="Q302">
        <f>NOT(hospitalityq!Q302="")*(NOT(IFERROR(INT(hospitalityq!Q302)=VALUE(hospitalityq!Q302),FALSE)))</f>
        <v>0</v>
      </c>
      <c r="R302">
        <f>NOT(hospitalityq!R302="")*(NOT(IFERROR(ROUND(VALUE(hospitalityq!R302),2)=VALUE(hospitalityq!R302),FALSE)))</f>
        <v>0</v>
      </c>
    </row>
    <row r="303" spans="1:18" x14ac:dyDescent="0.25">
      <c r="A303">
        <f t="shared" si="4"/>
        <v>0</v>
      </c>
      <c r="C303">
        <f>NOT(hospitalityq!C303="")*(SUMPRODUCT(--(TRIM(hospitalityq!C6:C303)=TRIM(hospitalityq!C303)))&gt;1)</f>
        <v>0</v>
      </c>
      <c r="D303">
        <f>NOT(hospitalityq!D303="")*(COUNTIF(reference!$C$17:$C$18,TRIM(hospitalityq!D303))=0)</f>
        <v>0</v>
      </c>
      <c r="J303">
        <f>NOT(hospitalityq!J303="")*(NOT(ISNUMBER(hospitalityq!J303+0)))</f>
        <v>0</v>
      </c>
      <c r="K303">
        <f>NOT(hospitalityq!K303="")*(NOT(ISNUMBER(hospitalityq!K303+0)))</f>
        <v>0</v>
      </c>
      <c r="P303">
        <f>NOT(hospitalityq!P303="")*(NOT(IFERROR(INT(hospitalityq!P303)=VALUE(hospitalityq!P303),FALSE)))</f>
        <v>0</v>
      </c>
      <c r="Q303">
        <f>NOT(hospitalityq!Q303="")*(NOT(IFERROR(INT(hospitalityq!Q303)=VALUE(hospitalityq!Q303),FALSE)))</f>
        <v>0</v>
      </c>
      <c r="R303">
        <f>NOT(hospitalityq!R303="")*(NOT(IFERROR(ROUND(VALUE(hospitalityq!R303),2)=VALUE(hospitalityq!R303),FALSE)))</f>
        <v>0</v>
      </c>
    </row>
    <row r="304" spans="1:18" x14ac:dyDescent="0.25">
      <c r="A304">
        <f t="shared" si="4"/>
        <v>0</v>
      </c>
      <c r="C304">
        <f>NOT(hospitalityq!C304="")*(SUMPRODUCT(--(TRIM(hospitalityq!C6:C304)=TRIM(hospitalityq!C304)))&gt;1)</f>
        <v>0</v>
      </c>
      <c r="D304">
        <f>NOT(hospitalityq!D304="")*(COUNTIF(reference!$C$17:$C$18,TRIM(hospitalityq!D304))=0)</f>
        <v>0</v>
      </c>
      <c r="J304">
        <f>NOT(hospitalityq!J304="")*(NOT(ISNUMBER(hospitalityq!J304+0)))</f>
        <v>0</v>
      </c>
      <c r="K304">
        <f>NOT(hospitalityq!K304="")*(NOT(ISNUMBER(hospitalityq!K304+0)))</f>
        <v>0</v>
      </c>
      <c r="P304">
        <f>NOT(hospitalityq!P304="")*(NOT(IFERROR(INT(hospitalityq!P304)=VALUE(hospitalityq!P304),FALSE)))</f>
        <v>0</v>
      </c>
      <c r="Q304">
        <f>NOT(hospitalityq!Q304="")*(NOT(IFERROR(INT(hospitalityq!Q304)=VALUE(hospitalityq!Q304),FALSE)))</f>
        <v>0</v>
      </c>
      <c r="R304">
        <f>NOT(hospitalityq!R304="")*(NOT(IFERROR(ROUND(VALUE(hospitalityq!R304),2)=VALUE(hospitalityq!R304),FALSE)))</f>
        <v>0</v>
      </c>
    </row>
    <row r="305" spans="1:18" x14ac:dyDescent="0.25">
      <c r="A305">
        <f t="shared" si="4"/>
        <v>0</v>
      </c>
      <c r="C305">
        <f>NOT(hospitalityq!C305="")*(SUMPRODUCT(--(TRIM(hospitalityq!C6:C305)=TRIM(hospitalityq!C305)))&gt;1)</f>
        <v>0</v>
      </c>
      <c r="D305">
        <f>NOT(hospitalityq!D305="")*(COUNTIF(reference!$C$17:$C$18,TRIM(hospitalityq!D305))=0)</f>
        <v>0</v>
      </c>
      <c r="J305">
        <f>NOT(hospitalityq!J305="")*(NOT(ISNUMBER(hospitalityq!J305+0)))</f>
        <v>0</v>
      </c>
      <c r="K305">
        <f>NOT(hospitalityq!K305="")*(NOT(ISNUMBER(hospitalityq!K305+0)))</f>
        <v>0</v>
      </c>
      <c r="P305">
        <f>NOT(hospitalityq!P305="")*(NOT(IFERROR(INT(hospitalityq!P305)=VALUE(hospitalityq!P305),FALSE)))</f>
        <v>0</v>
      </c>
      <c r="Q305">
        <f>NOT(hospitalityq!Q305="")*(NOT(IFERROR(INT(hospitalityq!Q305)=VALUE(hospitalityq!Q305),FALSE)))</f>
        <v>0</v>
      </c>
      <c r="R305">
        <f>NOT(hospitalityq!R305="")*(NOT(IFERROR(ROUND(VALUE(hospitalityq!R305),2)=VALUE(hospitalityq!R305),FALSE)))</f>
        <v>0</v>
      </c>
    </row>
    <row r="306" spans="1:18" x14ac:dyDescent="0.25">
      <c r="A306">
        <f t="shared" si="4"/>
        <v>0</v>
      </c>
      <c r="C306">
        <f>NOT(hospitalityq!C306="")*(SUMPRODUCT(--(TRIM(hospitalityq!C6:C306)=TRIM(hospitalityq!C306)))&gt;1)</f>
        <v>0</v>
      </c>
      <c r="D306">
        <f>NOT(hospitalityq!D306="")*(COUNTIF(reference!$C$17:$C$18,TRIM(hospitalityq!D306))=0)</f>
        <v>0</v>
      </c>
      <c r="J306">
        <f>NOT(hospitalityq!J306="")*(NOT(ISNUMBER(hospitalityq!J306+0)))</f>
        <v>0</v>
      </c>
      <c r="K306">
        <f>NOT(hospitalityq!K306="")*(NOT(ISNUMBER(hospitalityq!K306+0)))</f>
        <v>0</v>
      </c>
      <c r="P306">
        <f>NOT(hospitalityq!P306="")*(NOT(IFERROR(INT(hospitalityq!P306)=VALUE(hospitalityq!P306),FALSE)))</f>
        <v>0</v>
      </c>
      <c r="Q306">
        <f>NOT(hospitalityq!Q306="")*(NOT(IFERROR(INT(hospitalityq!Q306)=VALUE(hospitalityq!Q306),FALSE)))</f>
        <v>0</v>
      </c>
      <c r="R306">
        <f>NOT(hospitalityq!R306="")*(NOT(IFERROR(ROUND(VALUE(hospitalityq!R306),2)=VALUE(hospitalityq!R306),FALSE)))</f>
        <v>0</v>
      </c>
    </row>
    <row r="307" spans="1:18" x14ac:dyDescent="0.25">
      <c r="A307">
        <f t="shared" si="4"/>
        <v>0</v>
      </c>
      <c r="C307">
        <f>NOT(hospitalityq!C307="")*(SUMPRODUCT(--(TRIM(hospitalityq!C6:C307)=TRIM(hospitalityq!C307)))&gt;1)</f>
        <v>0</v>
      </c>
      <c r="D307">
        <f>NOT(hospitalityq!D307="")*(COUNTIF(reference!$C$17:$C$18,TRIM(hospitalityq!D307))=0)</f>
        <v>0</v>
      </c>
      <c r="J307">
        <f>NOT(hospitalityq!J307="")*(NOT(ISNUMBER(hospitalityq!J307+0)))</f>
        <v>0</v>
      </c>
      <c r="K307">
        <f>NOT(hospitalityq!K307="")*(NOT(ISNUMBER(hospitalityq!K307+0)))</f>
        <v>0</v>
      </c>
      <c r="P307">
        <f>NOT(hospitalityq!P307="")*(NOT(IFERROR(INT(hospitalityq!P307)=VALUE(hospitalityq!P307),FALSE)))</f>
        <v>0</v>
      </c>
      <c r="Q307">
        <f>NOT(hospitalityq!Q307="")*(NOT(IFERROR(INT(hospitalityq!Q307)=VALUE(hospitalityq!Q307),FALSE)))</f>
        <v>0</v>
      </c>
      <c r="R307">
        <f>NOT(hospitalityq!R307="")*(NOT(IFERROR(ROUND(VALUE(hospitalityq!R307),2)=VALUE(hospitalityq!R307),FALSE)))</f>
        <v>0</v>
      </c>
    </row>
    <row r="308" spans="1:18" x14ac:dyDescent="0.25">
      <c r="A308">
        <f t="shared" si="4"/>
        <v>0</v>
      </c>
      <c r="C308">
        <f>NOT(hospitalityq!C308="")*(SUMPRODUCT(--(TRIM(hospitalityq!C6:C308)=TRIM(hospitalityq!C308)))&gt;1)</f>
        <v>0</v>
      </c>
      <c r="D308">
        <f>NOT(hospitalityq!D308="")*(COUNTIF(reference!$C$17:$C$18,TRIM(hospitalityq!D308))=0)</f>
        <v>0</v>
      </c>
      <c r="J308">
        <f>NOT(hospitalityq!J308="")*(NOT(ISNUMBER(hospitalityq!J308+0)))</f>
        <v>0</v>
      </c>
      <c r="K308">
        <f>NOT(hospitalityq!K308="")*(NOT(ISNUMBER(hospitalityq!K308+0)))</f>
        <v>0</v>
      </c>
      <c r="P308">
        <f>NOT(hospitalityq!P308="")*(NOT(IFERROR(INT(hospitalityq!P308)=VALUE(hospitalityq!P308),FALSE)))</f>
        <v>0</v>
      </c>
      <c r="Q308">
        <f>NOT(hospitalityq!Q308="")*(NOT(IFERROR(INT(hospitalityq!Q308)=VALUE(hospitalityq!Q308),FALSE)))</f>
        <v>0</v>
      </c>
      <c r="R308">
        <f>NOT(hospitalityq!R308="")*(NOT(IFERROR(ROUND(VALUE(hospitalityq!R308),2)=VALUE(hospitalityq!R308),FALSE)))</f>
        <v>0</v>
      </c>
    </row>
    <row r="309" spans="1:18" x14ac:dyDescent="0.25">
      <c r="A309">
        <f t="shared" si="4"/>
        <v>0</v>
      </c>
      <c r="C309">
        <f>NOT(hospitalityq!C309="")*(SUMPRODUCT(--(TRIM(hospitalityq!C6:C309)=TRIM(hospitalityq!C309)))&gt;1)</f>
        <v>0</v>
      </c>
      <c r="D309">
        <f>NOT(hospitalityq!D309="")*(COUNTIF(reference!$C$17:$C$18,TRIM(hospitalityq!D309))=0)</f>
        <v>0</v>
      </c>
      <c r="J309">
        <f>NOT(hospitalityq!J309="")*(NOT(ISNUMBER(hospitalityq!J309+0)))</f>
        <v>0</v>
      </c>
      <c r="K309">
        <f>NOT(hospitalityq!K309="")*(NOT(ISNUMBER(hospitalityq!K309+0)))</f>
        <v>0</v>
      </c>
      <c r="P309">
        <f>NOT(hospitalityq!P309="")*(NOT(IFERROR(INT(hospitalityq!P309)=VALUE(hospitalityq!P309),FALSE)))</f>
        <v>0</v>
      </c>
      <c r="Q309">
        <f>NOT(hospitalityq!Q309="")*(NOT(IFERROR(INT(hospitalityq!Q309)=VALUE(hospitalityq!Q309),FALSE)))</f>
        <v>0</v>
      </c>
      <c r="R309">
        <f>NOT(hospitalityq!R309="")*(NOT(IFERROR(ROUND(VALUE(hospitalityq!R309),2)=VALUE(hospitalityq!R309),FALSE)))</f>
        <v>0</v>
      </c>
    </row>
    <row r="310" spans="1:18" x14ac:dyDescent="0.25">
      <c r="A310">
        <f t="shared" si="4"/>
        <v>0</v>
      </c>
      <c r="C310">
        <f>NOT(hospitalityq!C310="")*(SUMPRODUCT(--(TRIM(hospitalityq!C6:C310)=TRIM(hospitalityq!C310)))&gt;1)</f>
        <v>0</v>
      </c>
      <c r="D310">
        <f>NOT(hospitalityq!D310="")*(COUNTIF(reference!$C$17:$C$18,TRIM(hospitalityq!D310))=0)</f>
        <v>0</v>
      </c>
      <c r="J310">
        <f>NOT(hospitalityq!J310="")*(NOT(ISNUMBER(hospitalityq!J310+0)))</f>
        <v>0</v>
      </c>
      <c r="K310">
        <f>NOT(hospitalityq!K310="")*(NOT(ISNUMBER(hospitalityq!K310+0)))</f>
        <v>0</v>
      </c>
      <c r="P310">
        <f>NOT(hospitalityq!P310="")*(NOT(IFERROR(INT(hospitalityq!P310)=VALUE(hospitalityq!P310),FALSE)))</f>
        <v>0</v>
      </c>
      <c r="Q310">
        <f>NOT(hospitalityq!Q310="")*(NOT(IFERROR(INT(hospitalityq!Q310)=VALUE(hospitalityq!Q310),FALSE)))</f>
        <v>0</v>
      </c>
      <c r="R310">
        <f>NOT(hospitalityq!R310="")*(NOT(IFERROR(ROUND(VALUE(hospitalityq!R310),2)=VALUE(hospitalityq!R310),FALSE)))</f>
        <v>0</v>
      </c>
    </row>
    <row r="311" spans="1:18" x14ac:dyDescent="0.25">
      <c r="A311">
        <f t="shared" si="4"/>
        <v>0</v>
      </c>
      <c r="C311">
        <f>NOT(hospitalityq!C311="")*(SUMPRODUCT(--(TRIM(hospitalityq!C6:C311)=TRIM(hospitalityq!C311)))&gt;1)</f>
        <v>0</v>
      </c>
      <c r="D311">
        <f>NOT(hospitalityq!D311="")*(COUNTIF(reference!$C$17:$C$18,TRIM(hospitalityq!D311))=0)</f>
        <v>0</v>
      </c>
      <c r="J311">
        <f>NOT(hospitalityq!J311="")*(NOT(ISNUMBER(hospitalityq!J311+0)))</f>
        <v>0</v>
      </c>
      <c r="K311">
        <f>NOT(hospitalityq!K311="")*(NOT(ISNUMBER(hospitalityq!K311+0)))</f>
        <v>0</v>
      </c>
      <c r="P311">
        <f>NOT(hospitalityq!P311="")*(NOT(IFERROR(INT(hospitalityq!P311)=VALUE(hospitalityq!P311),FALSE)))</f>
        <v>0</v>
      </c>
      <c r="Q311">
        <f>NOT(hospitalityq!Q311="")*(NOT(IFERROR(INT(hospitalityq!Q311)=VALUE(hospitalityq!Q311),FALSE)))</f>
        <v>0</v>
      </c>
      <c r="R311">
        <f>NOT(hospitalityq!R311="")*(NOT(IFERROR(ROUND(VALUE(hospitalityq!R311),2)=VALUE(hospitalityq!R311),FALSE)))</f>
        <v>0</v>
      </c>
    </row>
    <row r="312" spans="1:18" x14ac:dyDescent="0.25">
      <c r="A312">
        <f t="shared" si="4"/>
        <v>0</v>
      </c>
      <c r="C312">
        <f>NOT(hospitalityq!C312="")*(SUMPRODUCT(--(TRIM(hospitalityq!C6:C312)=TRIM(hospitalityq!C312)))&gt;1)</f>
        <v>0</v>
      </c>
      <c r="D312">
        <f>NOT(hospitalityq!D312="")*(COUNTIF(reference!$C$17:$C$18,TRIM(hospitalityq!D312))=0)</f>
        <v>0</v>
      </c>
      <c r="J312">
        <f>NOT(hospitalityq!J312="")*(NOT(ISNUMBER(hospitalityq!J312+0)))</f>
        <v>0</v>
      </c>
      <c r="K312">
        <f>NOT(hospitalityq!K312="")*(NOT(ISNUMBER(hospitalityq!K312+0)))</f>
        <v>0</v>
      </c>
      <c r="P312">
        <f>NOT(hospitalityq!P312="")*(NOT(IFERROR(INT(hospitalityq!P312)=VALUE(hospitalityq!P312),FALSE)))</f>
        <v>0</v>
      </c>
      <c r="Q312">
        <f>NOT(hospitalityq!Q312="")*(NOT(IFERROR(INT(hospitalityq!Q312)=VALUE(hospitalityq!Q312),FALSE)))</f>
        <v>0</v>
      </c>
      <c r="R312">
        <f>NOT(hospitalityq!R312="")*(NOT(IFERROR(ROUND(VALUE(hospitalityq!R312),2)=VALUE(hospitalityq!R312),FALSE)))</f>
        <v>0</v>
      </c>
    </row>
    <row r="313" spans="1:18" x14ac:dyDescent="0.25">
      <c r="A313">
        <f t="shared" si="4"/>
        <v>0</v>
      </c>
      <c r="C313">
        <f>NOT(hospitalityq!C313="")*(SUMPRODUCT(--(TRIM(hospitalityq!C6:C313)=TRIM(hospitalityq!C313)))&gt;1)</f>
        <v>0</v>
      </c>
      <c r="D313">
        <f>NOT(hospitalityq!D313="")*(COUNTIF(reference!$C$17:$C$18,TRIM(hospitalityq!D313))=0)</f>
        <v>0</v>
      </c>
      <c r="J313">
        <f>NOT(hospitalityq!J313="")*(NOT(ISNUMBER(hospitalityq!J313+0)))</f>
        <v>0</v>
      </c>
      <c r="K313">
        <f>NOT(hospitalityq!K313="")*(NOT(ISNUMBER(hospitalityq!K313+0)))</f>
        <v>0</v>
      </c>
      <c r="P313">
        <f>NOT(hospitalityq!P313="")*(NOT(IFERROR(INT(hospitalityq!P313)=VALUE(hospitalityq!P313),FALSE)))</f>
        <v>0</v>
      </c>
      <c r="Q313">
        <f>NOT(hospitalityq!Q313="")*(NOT(IFERROR(INT(hospitalityq!Q313)=VALUE(hospitalityq!Q313),FALSE)))</f>
        <v>0</v>
      </c>
      <c r="R313">
        <f>NOT(hospitalityq!R313="")*(NOT(IFERROR(ROUND(VALUE(hospitalityq!R313),2)=VALUE(hospitalityq!R313),FALSE)))</f>
        <v>0</v>
      </c>
    </row>
    <row r="314" spans="1:18" x14ac:dyDescent="0.25">
      <c r="A314">
        <f t="shared" si="4"/>
        <v>0</v>
      </c>
      <c r="C314">
        <f>NOT(hospitalityq!C314="")*(SUMPRODUCT(--(TRIM(hospitalityq!C6:C314)=TRIM(hospitalityq!C314)))&gt;1)</f>
        <v>0</v>
      </c>
      <c r="D314">
        <f>NOT(hospitalityq!D314="")*(COUNTIF(reference!$C$17:$C$18,TRIM(hospitalityq!D314))=0)</f>
        <v>0</v>
      </c>
      <c r="J314">
        <f>NOT(hospitalityq!J314="")*(NOT(ISNUMBER(hospitalityq!J314+0)))</f>
        <v>0</v>
      </c>
      <c r="K314">
        <f>NOT(hospitalityq!K314="")*(NOT(ISNUMBER(hospitalityq!K314+0)))</f>
        <v>0</v>
      </c>
      <c r="P314">
        <f>NOT(hospitalityq!P314="")*(NOT(IFERROR(INT(hospitalityq!P314)=VALUE(hospitalityq!P314),FALSE)))</f>
        <v>0</v>
      </c>
      <c r="Q314">
        <f>NOT(hospitalityq!Q314="")*(NOT(IFERROR(INT(hospitalityq!Q314)=VALUE(hospitalityq!Q314),FALSE)))</f>
        <v>0</v>
      </c>
      <c r="R314">
        <f>NOT(hospitalityq!R314="")*(NOT(IFERROR(ROUND(VALUE(hospitalityq!R314),2)=VALUE(hospitalityq!R314),FALSE)))</f>
        <v>0</v>
      </c>
    </row>
    <row r="315" spans="1:18" x14ac:dyDescent="0.25">
      <c r="A315">
        <f t="shared" si="4"/>
        <v>0</v>
      </c>
      <c r="C315">
        <f>NOT(hospitalityq!C315="")*(SUMPRODUCT(--(TRIM(hospitalityq!C6:C315)=TRIM(hospitalityq!C315)))&gt;1)</f>
        <v>0</v>
      </c>
      <c r="D315">
        <f>NOT(hospitalityq!D315="")*(COUNTIF(reference!$C$17:$C$18,TRIM(hospitalityq!D315))=0)</f>
        <v>0</v>
      </c>
      <c r="J315">
        <f>NOT(hospitalityq!J315="")*(NOT(ISNUMBER(hospitalityq!J315+0)))</f>
        <v>0</v>
      </c>
      <c r="K315">
        <f>NOT(hospitalityq!K315="")*(NOT(ISNUMBER(hospitalityq!K315+0)))</f>
        <v>0</v>
      </c>
      <c r="P315">
        <f>NOT(hospitalityq!P315="")*(NOT(IFERROR(INT(hospitalityq!P315)=VALUE(hospitalityq!P315),FALSE)))</f>
        <v>0</v>
      </c>
      <c r="Q315">
        <f>NOT(hospitalityq!Q315="")*(NOT(IFERROR(INT(hospitalityq!Q315)=VALUE(hospitalityq!Q315),FALSE)))</f>
        <v>0</v>
      </c>
      <c r="R315">
        <f>NOT(hospitalityq!R315="")*(NOT(IFERROR(ROUND(VALUE(hospitalityq!R315),2)=VALUE(hospitalityq!R315),FALSE)))</f>
        <v>0</v>
      </c>
    </row>
    <row r="316" spans="1:18" x14ac:dyDescent="0.25">
      <c r="A316">
        <f t="shared" si="4"/>
        <v>0</v>
      </c>
      <c r="C316">
        <f>NOT(hospitalityq!C316="")*(SUMPRODUCT(--(TRIM(hospitalityq!C6:C316)=TRIM(hospitalityq!C316)))&gt;1)</f>
        <v>0</v>
      </c>
      <c r="D316">
        <f>NOT(hospitalityq!D316="")*(COUNTIF(reference!$C$17:$C$18,TRIM(hospitalityq!D316))=0)</f>
        <v>0</v>
      </c>
      <c r="J316">
        <f>NOT(hospitalityq!J316="")*(NOT(ISNUMBER(hospitalityq!J316+0)))</f>
        <v>0</v>
      </c>
      <c r="K316">
        <f>NOT(hospitalityq!K316="")*(NOT(ISNUMBER(hospitalityq!K316+0)))</f>
        <v>0</v>
      </c>
      <c r="P316">
        <f>NOT(hospitalityq!P316="")*(NOT(IFERROR(INT(hospitalityq!P316)=VALUE(hospitalityq!P316),FALSE)))</f>
        <v>0</v>
      </c>
      <c r="Q316">
        <f>NOT(hospitalityq!Q316="")*(NOT(IFERROR(INT(hospitalityq!Q316)=VALUE(hospitalityq!Q316),FALSE)))</f>
        <v>0</v>
      </c>
      <c r="R316">
        <f>NOT(hospitalityq!R316="")*(NOT(IFERROR(ROUND(VALUE(hospitalityq!R316),2)=VALUE(hospitalityq!R316),FALSE)))</f>
        <v>0</v>
      </c>
    </row>
    <row r="317" spans="1:18" x14ac:dyDescent="0.25">
      <c r="A317">
        <f t="shared" si="4"/>
        <v>0</v>
      </c>
      <c r="C317">
        <f>NOT(hospitalityq!C317="")*(SUMPRODUCT(--(TRIM(hospitalityq!C6:C317)=TRIM(hospitalityq!C317)))&gt;1)</f>
        <v>0</v>
      </c>
      <c r="D317">
        <f>NOT(hospitalityq!D317="")*(COUNTIF(reference!$C$17:$C$18,TRIM(hospitalityq!D317))=0)</f>
        <v>0</v>
      </c>
      <c r="J317">
        <f>NOT(hospitalityq!J317="")*(NOT(ISNUMBER(hospitalityq!J317+0)))</f>
        <v>0</v>
      </c>
      <c r="K317">
        <f>NOT(hospitalityq!K317="")*(NOT(ISNUMBER(hospitalityq!K317+0)))</f>
        <v>0</v>
      </c>
      <c r="P317">
        <f>NOT(hospitalityq!P317="")*(NOT(IFERROR(INT(hospitalityq!P317)=VALUE(hospitalityq!P317),FALSE)))</f>
        <v>0</v>
      </c>
      <c r="Q317">
        <f>NOT(hospitalityq!Q317="")*(NOT(IFERROR(INT(hospitalityq!Q317)=VALUE(hospitalityq!Q317),FALSE)))</f>
        <v>0</v>
      </c>
      <c r="R317">
        <f>NOT(hospitalityq!R317="")*(NOT(IFERROR(ROUND(VALUE(hospitalityq!R317),2)=VALUE(hospitalityq!R317),FALSE)))</f>
        <v>0</v>
      </c>
    </row>
    <row r="318" spans="1:18" x14ac:dyDescent="0.25">
      <c r="A318">
        <f t="shared" si="4"/>
        <v>0</v>
      </c>
      <c r="C318">
        <f>NOT(hospitalityq!C318="")*(SUMPRODUCT(--(TRIM(hospitalityq!C6:C318)=TRIM(hospitalityq!C318)))&gt;1)</f>
        <v>0</v>
      </c>
      <c r="D318">
        <f>NOT(hospitalityq!D318="")*(COUNTIF(reference!$C$17:$C$18,TRIM(hospitalityq!D318))=0)</f>
        <v>0</v>
      </c>
      <c r="J318">
        <f>NOT(hospitalityq!J318="")*(NOT(ISNUMBER(hospitalityq!J318+0)))</f>
        <v>0</v>
      </c>
      <c r="K318">
        <f>NOT(hospitalityq!K318="")*(NOT(ISNUMBER(hospitalityq!K318+0)))</f>
        <v>0</v>
      </c>
      <c r="P318">
        <f>NOT(hospitalityq!P318="")*(NOT(IFERROR(INT(hospitalityq!P318)=VALUE(hospitalityq!P318),FALSE)))</f>
        <v>0</v>
      </c>
      <c r="Q318">
        <f>NOT(hospitalityq!Q318="")*(NOT(IFERROR(INT(hospitalityq!Q318)=VALUE(hospitalityq!Q318),FALSE)))</f>
        <v>0</v>
      </c>
      <c r="R318">
        <f>NOT(hospitalityq!R318="")*(NOT(IFERROR(ROUND(VALUE(hospitalityq!R318),2)=VALUE(hospitalityq!R318),FALSE)))</f>
        <v>0</v>
      </c>
    </row>
    <row r="319" spans="1:18" x14ac:dyDescent="0.25">
      <c r="A319">
        <f t="shared" si="4"/>
        <v>0</v>
      </c>
      <c r="C319">
        <f>NOT(hospitalityq!C319="")*(SUMPRODUCT(--(TRIM(hospitalityq!C6:C319)=TRIM(hospitalityq!C319)))&gt;1)</f>
        <v>0</v>
      </c>
      <c r="D319">
        <f>NOT(hospitalityq!D319="")*(COUNTIF(reference!$C$17:$C$18,TRIM(hospitalityq!D319))=0)</f>
        <v>0</v>
      </c>
      <c r="J319">
        <f>NOT(hospitalityq!J319="")*(NOT(ISNUMBER(hospitalityq!J319+0)))</f>
        <v>0</v>
      </c>
      <c r="K319">
        <f>NOT(hospitalityq!K319="")*(NOT(ISNUMBER(hospitalityq!K319+0)))</f>
        <v>0</v>
      </c>
      <c r="P319">
        <f>NOT(hospitalityq!P319="")*(NOT(IFERROR(INT(hospitalityq!P319)=VALUE(hospitalityq!P319),FALSE)))</f>
        <v>0</v>
      </c>
      <c r="Q319">
        <f>NOT(hospitalityq!Q319="")*(NOT(IFERROR(INT(hospitalityq!Q319)=VALUE(hospitalityq!Q319),FALSE)))</f>
        <v>0</v>
      </c>
      <c r="R319">
        <f>NOT(hospitalityq!R319="")*(NOT(IFERROR(ROUND(VALUE(hospitalityq!R319),2)=VALUE(hospitalityq!R319),FALSE)))</f>
        <v>0</v>
      </c>
    </row>
    <row r="320" spans="1:18" x14ac:dyDescent="0.25">
      <c r="A320">
        <f t="shared" si="4"/>
        <v>0</v>
      </c>
      <c r="C320">
        <f>NOT(hospitalityq!C320="")*(SUMPRODUCT(--(TRIM(hospitalityq!C6:C320)=TRIM(hospitalityq!C320)))&gt;1)</f>
        <v>0</v>
      </c>
      <c r="D320">
        <f>NOT(hospitalityq!D320="")*(COUNTIF(reference!$C$17:$C$18,TRIM(hospitalityq!D320))=0)</f>
        <v>0</v>
      </c>
      <c r="J320">
        <f>NOT(hospitalityq!J320="")*(NOT(ISNUMBER(hospitalityq!J320+0)))</f>
        <v>0</v>
      </c>
      <c r="K320">
        <f>NOT(hospitalityq!K320="")*(NOT(ISNUMBER(hospitalityq!K320+0)))</f>
        <v>0</v>
      </c>
      <c r="P320">
        <f>NOT(hospitalityq!P320="")*(NOT(IFERROR(INT(hospitalityq!P320)=VALUE(hospitalityq!P320),FALSE)))</f>
        <v>0</v>
      </c>
      <c r="Q320">
        <f>NOT(hospitalityq!Q320="")*(NOT(IFERROR(INT(hospitalityq!Q320)=VALUE(hospitalityq!Q320),FALSE)))</f>
        <v>0</v>
      </c>
      <c r="R320">
        <f>NOT(hospitalityq!R320="")*(NOT(IFERROR(ROUND(VALUE(hospitalityq!R320),2)=VALUE(hospitalityq!R320),FALSE)))</f>
        <v>0</v>
      </c>
    </row>
    <row r="321" spans="1:18" x14ac:dyDescent="0.25">
      <c r="A321">
        <f t="shared" si="4"/>
        <v>0</v>
      </c>
      <c r="C321">
        <f>NOT(hospitalityq!C321="")*(SUMPRODUCT(--(TRIM(hospitalityq!C6:C321)=TRIM(hospitalityq!C321)))&gt;1)</f>
        <v>0</v>
      </c>
      <c r="D321">
        <f>NOT(hospitalityq!D321="")*(COUNTIF(reference!$C$17:$C$18,TRIM(hospitalityq!D321))=0)</f>
        <v>0</v>
      </c>
      <c r="J321">
        <f>NOT(hospitalityq!J321="")*(NOT(ISNUMBER(hospitalityq!J321+0)))</f>
        <v>0</v>
      </c>
      <c r="K321">
        <f>NOT(hospitalityq!K321="")*(NOT(ISNUMBER(hospitalityq!K321+0)))</f>
        <v>0</v>
      </c>
      <c r="P321">
        <f>NOT(hospitalityq!P321="")*(NOT(IFERROR(INT(hospitalityq!P321)=VALUE(hospitalityq!P321),FALSE)))</f>
        <v>0</v>
      </c>
      <c r="Q321">
        <f>NOT(hospitalityq!Q321="")*(NOT(IFERROR(INT(hospitalityq!Q321)=VALUE(hospitalityq!Q321),FALSE)))</f>
        <v>0</v>
      </c>
      <c r="R321">
        <f>NOT(hospitalityq!R321="")*(NOT(IFERROR(ROUND(VALUE(hospitalityq!R321),2)=VALUE(hospitalityq!R321),FALSE)))</f>
        <v>0</v>
      </c>
    </row>
    <row r="322" spans="1:18" x14ac:dyDescent="0.25">
      <c r="A322">
        <f t="shared" si="4"/>
        <v>0</v>
      </c>
      <c r="C322">
        <f>NOT(hospitalityq!C322="")*(SUMPRODUCT(--(TRIM(hospitalityq!C6:C322)=TRIM(hospitalityq!C322)))&gt;1)</f>
        <v>0</v>
      </c>
      <c r="D322">
        <f>NOT(hospitalityq!D322="")*(COUNTIF(reference!$C$17:$C$18,TRIM(hospitalityq!D322))=0)</f>
        <v>0</v>
      </c>
      <c r="J322">
        <f>NOT(hospitalityq!J322="")*(NOT(ISNUMBER(hospitalityq!J322+0)))</f>
        <v>0</v>
      </c>
      <c r="K322">
        <f>NOT(hospitalityq!K322="")*(NOT(ISNUMBER(hospitalityq!K322+0)))</f>
        <v>0</v>
      </c>
      <c r="P322">
        <f>NOT(hospitalityq!P322="")*(NOT(IFERROR(INT(hospitalityq!P322)=VALUE(hospitalityq!P322),FALSE)))</f>
        <v>0</v>
      </c>
      <c r="Q322">
        <f>NOT(hospitalityq!Q322="")*(NOT(IFERROR(INT(hospitalityq!Q322)=VALUE(hospitalityq!Q322),FALSE)))</f>
        <v>0</v>
      </c>
      <c r="R322">
        <f>NOT(hospitalityq!R322="")*(NOT(IFERROR(ROUND(VALUE(hospitalityq!R322),2)=VALUE(hospitalityq!R322),FALSE)))</f>
        <v>0</v>
      </c>
    </row>
    <row r="323" spans="1:18" x14ac:dyDescent="0.25">
      <c r="A323">
        <f t="shared" si="4"/>
        <v>0</v>
      </c>
      <c r="C323">
        <f>NOT(hospitalityq!C323="")*(SUMPRODUCT(--(TRIM(hospitalityq!C6:C323)=TRIM(hospitalityq!C323)))&gt;1)</f>
        <v>0</v>
      </c>
      <c r="D323">
        <f>NOT(hospitalityq!D323="")*(COUNTIF(reference!$C$17:$C$18,TRIM(hospitalityq!D323))=0)</f>
        <v>0</v>
      </c>
      <c r="J323">
        <f>NOT(hospitalityq!J323="")*(NOT(ISNUMBER(hospitalityq!J323+0)))</f>
        <v>0</v>
      </c>
      <c r="K323">
        <f>NOT(hospitalityq!K323="")*(NOT(ISNUMBER(hospitalityq!K323+0)))</f>
        <v>0</v>
      </c>
      <c r="P323">
        <f>NOT(hospitalityq!P323="")*(NOT(IFERROR(INT(hospitalityq!P323)=VALUE(hospitalityq!P323),FALSE)))</f>
        <v>0</v>
      </c>
      <c r="Q323">
        <f>NOT(hospitalityq!Q323="")*(NOT(IFERROR(INT(hospitalityq!Q323)=VALUE(hospitalityq!Q323),FALSE)))</f>
        <v>0</v>
      </c>
      <c r="R323">
        <f>NOT(hospitalityq!R323="")*(NOT(IFERROR(ROUND(VALUE(hospitalityq!R323),2)=VALUE(hospitalityq!R323),FALSE)))</f>
        <v>0</v>
      </c>
    </row>
    <row r="324" spans="1:18" x14ac:dyDescent="0.25">
      <c r="A324">
        <f t="shared" si="4"/>
        <v>0</v>
      </c>
      <c r="C324">
        <f>NOT(hospitalityq!C324="")*(SUMPRODUCT(--(TRIM(hospitalityq!C6:C324)=TRIM(hospitalityq!C324)))&gt;1)</f>
        <v>0</v>
      </c>
      <c r="D324">
        <f>NOT(hospitalityq!D324="")*(COUNTIF(reference!$C$17:$C$18,TRIM(hospitalityq!D324))=0)</f>
        <v>0</v>
      </c>
      <c r="J324">
        <f>NOT(hospitalityq!J324="")*(NOT(ISNUMBER(hospitalityq!J324+0)))</f>
        <v>0</v>
      </c>
      <c r="K324">
        <f>NOT(hospitalityq!K324="")*(NOT(ISNUMBER(hospitalityq!K324+0)))</f>
        <v>0</v>
      </c>
      <c r="P324">
        <f>NOT(hospitalityq!P324="")*(NOT(IFERROR(INT(hospitalityq!P324)=VALUE(hospitalityq!P324),FALSE)))</f>
        <v>0</v>
      </c>
      <c r="Q324">
        <f>NOT(hospitalityq!Q324="")*(NOT(IFERROR(INT(hospitalityq!Q324)=VALUE(hospitalityq!Q324),FALSE)))</f>
        <v>0</v>
      </c>
      <c r="R324">
        <f>NOT(hospitalityq!R324="")*(NOT(IFERROR(ROUND(VALUE(hospitalityq!R324),2)=VALUE(hospitalityq!R324),FALSE)))</f>
        <v>0</v>
      </c>
    </row>
    <row r="325" spans="1:18" x14ac:dyDescent="0.25">
      <c r="A325">
        <f t="shared" si="4"/>
        <v>0</v>
      </c>
      <c r="C325">
        <f>NOT(hospitalityq!C325="")*(SUMPRODUCT(--(TRIM(hospitalityq!C6:C325)=TRIM(hospitalityq!C325)))&gt;1)</f>
        <v>0</v>
      </c>
      <c r="D325">
        <f>NOT(hospitalityq!D325="")*(COUNTIF(reference!$C$17:$C$18,TRIM(hospitalityq!D325))=0)</f>
        <v>0</v>
      </c>
      <c r="J325">
        <f>NOT(hospitalityq!J325="")*(NOT(ISNUMBER(hospitalityq!J325+0)))</f>
        <v>0</v>
      </c>
      <c r="K325">
        <f>NOT(hospitalityq!K325="")*(NOT(ISNUMBER(hospitalityq!K325+0)))</f>
        <v>0</v>
      </c>
      <c r="P325">
        <f>NOT(hospitalityq!P325="")*(NOT(IFERROR(INT(hospitalityq!P325)=VALUE(hospitalityq!P325),FALSE)))</f>
        <v>0</v>
      </c>
      <c r="Q325">
        <f>NOT(hospitalityq!Q325="")*(NOT(IFERROR(INT(hospitalityq!Q325)=VALUE(hospitalityq!Q325),FALSE)))</f>
        <v>0</v>
      </c>
      <c r="R325">
        <f>NOT(hospitalityq!R325="")*(NOT(IFERROR(ROUND(VALUE(hospitalityq!R325),2)=VALUE(hospitalityq!R325),FALSE)))</f>
        <v>0</v>
      </c>
    </row>
    <row r="326" spans="1:18" x14ac:dyDescent="0.25">
      <c r="A326">
        <f t="shared" ref="A326:A389" si="5">IFERROR(MATCH(TRUE,INDEX(C326:R326&lt;&gt;0,),)+2,0)</f>
        <v>0</v>
      </c>
      <c r="C326">
        <f>NOT(hospitalityq!C326="")*(SUMPRODUCT(--(TRIM(hospitalityq!C6:C326)=TRIM(hospitalityq!C326)))&gt;1)</f>
        <v>0</v>
      </c>
      <c r="D326">
        <f>NOT(hospitalityq!D326="")*(COUNTIF(reference!$C$17:$C$18,TRIM(hospitalityq!D326))=0)</f>
        <v>0</v>
      </c>
      <c r="J326">
        <f>NOT(hospitalityq!J326="")*(NOT(ISNUMBER(hospitalityq!J326+0)))</f>
        <v>0</v>
      </c>
      <c r="K326">
        <f>NOT(hospitalityq!K326="")*(NOT(ISNUMBER(hospitalityq!K326+0)))</f>
        <v>0</v>
      </c>
      <c r="P326">
        <f>NOT(hospitalityq!P326="")*(NOT(IFERROR(INT(hospitalityq!P326)=VALUE(hospitalityq!P326),FALSE)))</f>
        <v>0</v>
      </c>
      <c r="Q326">
        <f>NOT(hospitalityq!Q326="")*(NOT(IFERROR(INT(hospitalityq!Q326)=VALUE(hospitalityq!Q326),FALSE)))</f>
        <v>0</v>
      </c>
      <c r="R326">
        <f>NOT(hospitalityq!R326="")*(NOT(IFERROR(ROUND(VALUE(hospitalityq!R326),2)=VALUE(hospitalityq!R326),FALSE)))</f>
        <v>0</v>
      </c>
    </row>
    <row r="327" spans="1:18" x14ac:dyDescent="0.25">
      <c r="A327">
        <f t="shared" si="5"/>
        <v>0</v>
      </c>
      <c r="C327">
        <f>NOT(hospitalityq!C327="")*(SUMPRODUCT(--(TRIM(hospitalityq!C6:C327)=TRIM(hospitalityq!C327)))&gt;1)</f>
        <v>0</v>
      </c>
      <c r="D327">
        <f>NOT(hospitalityq!D327="")*(COUNTIF(reference!$C$17:$C$18,TRIM(hospitalityq!D327))=0)</f>
        <v>0</v>
      </c>
      <c r="J327">
        <f>NOT(hospitalityq!J327="")*(NOT(ISNUMBER(hospitalityq!J327+0)))</f>
        <v>0</v>
      </c>
      <c r="K327">
        <f>NOT(hospitalityq!K327="")*(NOT(ISNUMBER(hospitalityq!K327+0)))</f>
        <v>0</v>
      </c>
      <c r="P327">
        <f>NOT(hospitalityq!P327="")*(NOT(IFERROR(INT(hospitalityq!P327)=VALUE(hospitalityq!P327),FALSE)))</f>
        <v>0</v>
      </c>
      <c r="Q327">
        <f>NOT(hospitalityq!Q327="")*(NOT(IFERROR(INT(hospitalityq!Q327)=VALUE(hospitalityq!Q327),FALSE)))</f>
        <v>0</v>
      </c>
      <c r="R327">
        <f>NOT(hospitalityq!R327="")*(NOT(IFERROR(ROUND(VALUE(hospitalityq!R327),2)=VALUE(hospitalityq!R327),FALSE)))</f>
        <v>0</v>
      </c>
    </row>
    <row r="328" spans="1:18" x14ac:dyDescent="0.25">
      <c r="A328">
        <f t="shared" si="5"/>
        <v>0</v>
      </c>
      <c r="C328">
        <f>NOT(hospitalityq!C328="")*(SUMPRODUCT(--(TRIM(hospitalityq!C6:C328)=TRIM(hospitalityq!C328)))&gt;1)</f>
        <v>0</v>
      </c>
      <c r="D328">
        <f>NOT(hospitalityq!D328="")*(COUNTIF(reference!$C$17:$C$18,TRIM(hospitalityq!D328))=0)</f>
        <v>0</v>
      </c>
      <c r="J328">
        <f>NOT(hospitalityq!J328="")*(NOT(ISNUMBER(hospitalityq!J328+0)))</f>
        <v>0</v>
      </c>
      <c r="K328">
        <f>NOT(hospitalityq!K328="")*(NOT(ISNUMBER(hospitalityq!K328+0)))</f>
        <v>0</v>
      </c>
      <c r="P328">
        <f>NOT(hospitalityq!P328="")*(NOT(IFERROR(INT(hospitalityq!P328)=VALUE(hospitalityq!P328),FALSE)))</f>
        <v>0</v>
      </c>
      <c r="Q328">
        <f>NOT(hospitalityq!Q328="")*(NOT(IFERROR(INT(hospitalityq!Q328)=VALUE(hospitalityq!Q328),FALSE)))</f>
        <v>0</v>
      </c>
      <c r="R328">
        <f>NOT(hospitalityq!R328="")*(NOT(IFERROR(ROUND(VALUE(hospitalityq!R328),2)=VALUE(hospitalityq!R328),FALSE)))</f>
        <v>0</v>
      </c>
    </row>
    <row r="329" spans="1:18" x14ac:dyDescent="0.25">
      <c r="A329">
        <f t="shared" si="5"/>
        <v>0</v>
      </c>
      <c r="C329">
        <f>NOT(hospitalityq!C329="")*(SUMPRODUCT(--(TRIM(hospitalityq!C6:C329)=TRIM(hospitalityq!C329)))&gt;1)</f>
        <v>0</v>
      </c>
      <c r="D329">
        <f>NOT(hospitalityq!D329="")*(COUNTIF(reference!$C$17:$C$18,TRIM(hospitalityq!D329))=0)</f>
        <v>0</v>
      </c>
      <c r="J329">
        <f>NOT(hospitalityq!J329="")*(NOT(ISNUMBER(hospitalityq!J329+0)))</f>
        <v>0</v>
      </c>
      <c r="K329">
        <f>NOT(hospitalityq!K329="")*(NOT(ISNUMBER(hospitalityq!K329+0)))</f>
        <v>0</v>
      </c>
      <c r="P329">
        <f>NOT(hospitalityq!P329="")*(NOT(IFERROR(INT(hospitalityq!P329)=VALUE(hospitalityq!P329),FALSE)))</f>
        <v>0</v>
      </c>
      <c r="Q329">
        <f>NOT(hospitalityq!Q329="")*(NOT(IFERROR(INT(hospitalityq!Q329)=VALUE(hospitalityq!Q329),FALSE)))</f>
        <v>0</v>
      </c>
      <c r="R329">
        <f>NOT(hospitalityq!R329="")*(NOT(IFERROR(ROUND(VALUE(hospitalityq!R329),2)=VALUE(hospitalityq!R329),FALSE)))</f>
        <v>0</v>
      </c>
    </row>
    <row r="330" spans="1:18" x14ac:dyDescent="0.25">
      <c r="A330">
        <f t="shared" si="5"/>
        <v>0</v>
      </c>
      <c r="C330">
        <f>NOT(hospitalityq!C330="")*(SUMPRODUCT(--(TRIM(hospitalityq!C6:C330)=TRIM(hospitalityq!C330)))&gt;1)</f>
        <v>0</v>
      </c>
      <c r="D330">
        <f>NOT(hospitalityq!D330="")*(COUNTIF(reference!$C$17:$C$18,TRIM(hospitalityq!D330))=0)</f>
        <v>0</v>
      </c>
      <c r="J330">
        <f>NOT(hospitalityq!J330="")*(NOT(ISNUMBER(hospitalityq!J330+0)))</f>
        <v>0</v>
      </c>
      <c r="K330">
        <f>NOT(hospitalityq!K330="")*(NOT(ISNUMBER(hospitalityq!K330+0)))</f>
        <v>0</v>
      </c>
      <c r="P330">
        <f>NOT(hospitalityq!P330="")*(NOT(IFERROR(INT(hospitalityq!P330)=VALUE(hospitalityq!P330),FALSE)))</f>
        <v>0</v>
      </c>
      <c r="Q330">
        <f>NOT(hospitalityq!Q330="")*(NOT(IFERROR(INT(hospitalityq!Q330)=VALUE(hospitalityq!Q330),FALSE)))</f>
        <v>0</v>
      </c>
      <c r="R330">
        <f>NOT(hospitalityq!R330="")*(NOT(IFERROR(ROUND(VALUE(hospitalityq!R330),2)=VALUE(hospitalityq!R330),FALSE)))</f>
        <v>0</v>
      </c>
    </row>
    <row r="331" spans="1:18" x14ac:dyDescent="0.25">
      <c r="A331">
        <f t="shared" si="5"/>
        <v>0</v>
      </c>
      <c r="C331">
        <f>NOT(hospitalityq!C331="")*(SUMPRODUCT(--(TRIM(hospitalityq!C6:C331)=TRIM(hospitalityq!C331)))&gt;1)</f>
        <v>0</v>
      </c>
      <c r="D331">
        <f>NOT(hospitalityq!D331="")*(COUNTIF(reference!$C$17:$C$18,TRIM(hospitalityq!D331))=0)</f>
        <v>0</v>
      </c>
      <c r="J331">
        <f>NOT(hospitalityq!J331="")*(NOT(ISNUMBER(hospitalityq!J331+0)))</f>
        <v>0</v>
      </c>
      <c r="K331">
        <f>NOT(hospitalityq!K331="")*(NOT(ISNUMBER(hospitalityq!K331+0)))</f>
        <v>0</v>
      </c>
      <c r="P331">
        <f>NOT(hospitalityq!P331="")*(NOT(IFERROR(INT(hospitalityq!P331)=VALUE(hospitalityq!P331),FALSE)))</f>
        <v>0</v>
      </c>
      <c r="Q331">
        <f>NOT(hospitalityq!Q331="")*(NOT(IFERROR(INT(hospitalityq!Q331)=VALUE(hospitalityq!Q331),FALSE)))</f>
        <v>0</v>
      </c>
      <c r="R331">
        <f>NOT(hospitalityq!R331="")*(NOT(IFERROR(ROUND(VALUE(hospitalityq!R331),2)=VALUE(hospitalityq!R331),FALSE)))</f>
        <v>0</v>
      </c>
    </row>
    <row r="332" spans="1:18" x14ac:dyDescent="0.25">
      <c r="A332">
        <f t="shared" si="5"/>
        <v>0</v>
      </c>
      <c r="C332">
        <f>NOT(hospitalityq!C332="")*(SUMPRODUCT(--(TRIM(hospitalityq!C6:C332)=TRIM(hospitalityq!C332)))&gt;1)</f>
        <v>0</v>
      </c>
      <c r="D332">
        <f>NOT(hospitalityq!D332="")*(COUNTIF(reference!$C$17:$C$18,TRIM(hospitalityq!D332))=0)</f>
        <v>0</v>
      </c>
      <c r="J332">
        <f>NOT(hospitalityq!J332="")*(NOT(ISNUMBER(hospitalityq!J332+0)))</f>
        <v>0</v>
      </c>
      <c r="K332">
        <f>NOT(hospitalityq!K332="")*(NOT(ISNUMBER(hospitalityq!K332+0)))</f>
        <v>0</v>
      </c>
      <c r="P332">
        <f>NOT(hospitalityq!P332="")*(NOT(IFERROR(INT(hospitalityq!P332)=VALUE(hospitalityq!P332),FALSE)))</f>
        <v>0</v>
      </c>
      <c r="Q332">
        <f>NOT(hospitalityq!Q332="")*(NOT(IFERROR(INT(hospitalityq!Q332)=VALUE(hospitalityq!Q332),FALSE)))</f>
        <v>0</v>
      </c>
      <c r="R332">
        <f>NOT(hospitalityq!R332="")*(NOT(IFERROR(ROUND(VALUE(hospitalityq!R332),2)=VALUE(hospitalityq!R332),FALSE)))</f>
        <v>0</v>
      </c>
    </row>
    <row r="333" spans="1:18" x14ac:dyDescent="0.25">
      <c r="A333">
        <f t="shared" si="5"/>
        <v>0</v>
      </c>
      <c r="C333">
        <f>NOT(hospitalityq!C333="")*(SUMPRODUCT(--(TRIM(hospitalityq!C6:C333)=TRIM(hospitalityq!C333)))&gt;1)</f>
        <v>0</v>
      </c>
      <c r="D333">
        <f>NOT(hospitalityq!D333="")*(COUNTIF(reference!$C$17:$C$18,TRIM(hospitalityq!D333))=0)</f>
        <v>0</v>
      </c>
      <c r="J333">
        <f>NOT(hospitalityq!J333="")*(NOT(ISNUMBER(hospitalityq!J333+0)))</f>
        <v>0</v>
      </c>
      <c r="K333">
        <f>NOT(hospitalityq!K333="")*(NOT(ISNUMBER(hospitalityq!K333+0)))</f>
        <v>0</v>
      </c>
      <c r="P333">
        <f>NOT(hospitalityq!P333="")*(NOT(IFERROR(INT(hospitalityq!P333)=VALUE(hospitalityq!P333),FALSE)))</f>
        <v>0</v>
      </c>
      <c r="Q333">
        <f>NOT(hospitalityq!Q333="")*(NOT(IFERROR(INT(hospitalityq!Q333)=VALUE(hospitalityq!Q333),FALSE)))</f>
        <v>0</v>
      </c>
      <c r="R333">
        <f>NOT(hospitalityq!R333="")*(NOT(IFERROR(ROUND(VALUE(hospitalityq!R333),2)=VALUE(hospitalityq!R333),FALSE)))</f>
        <v>0</v>
      </c>
    </row>
    <row r="334" spans="1:18" x14ac:dyDescent="0.25">
      <c r="A334">
        <f t="shared" si="5"/>
        <v>0</v>
      </c>
      <c r="C334">
        <f>NOT(hospitalityq!C334="")*(SUMPRODUCT(--(TRIM(hospitalityq!C6:C334)=TRIM(hospitalityq!C334)))&gt;1)</f>
        <v>0</v>
      </c>
      <c r="D334">
        <f>NOT(hospitalityq!D334="")*(COUNTIF(reference!$C$17:$C$18,TRIM(hospitalityq!D334))=0)</f>
        <v>0</v>
      </c>
      <c r="J334">
        <f>NOT(hospitalityq!J334="")*(NOT(ISNUMBER(hospitalityq!J334+0)))</f>
        <v>0</v>
      </c>
      <c r="K334">
        <f>NOT(hospitalityq!K334="")*(NOT(ISNUMBER(hospitalityq!K334+0)))</f>
        <v>0</v>
      </c>
      <c r="P334">
        <f>NOT(hospitalityq!P334="")*(NOT(IFERROR(INT(hospitalityq!P334)=VALUE(hospitalityq!P334),FALSE)))</f>
        <v>0</v>
      </c>
      <c r="Q334">
        <f>NOT(hospitalityq!Q334="")*(NOT(IFERROR(INT(hospitalityq!Q334)=VALUE(hospitalityq!Q334),FALSE)))</f>
        <v>0</v>
      </c>
      <c r="R334">
        <f>NOT(hospitalityq!R334="")*(NOT(IFERROR(ROUND(VALUE(hospitalityq!R334),2)=VALUE(hospitalityq!R334),FALSE)))</f>
        <v>0</v>
      </c>
    </row>
    <row r="335" spans="1:18" x14ac:dyDescent="0.25">
      <c r="A335">
        <f t="shared" si="5"/>
        <v>0</v>
      </c>
      <c r="C335">
        <f>NOT(hospitalityq!C335="")*(SUMPRODUCT(--(TRIM(hospitalityq!C6:C335)=TRIM(hospitalityq!C335)))&gt;1)</f>
        <v>0</v>
      </c>
      <c r="D335">
        <f>NOT(hospitalityq!D335="")*(COUNTIF(reference!$C$17:$C$18,TRIM(hospitalityq!D335))=0)</f>
        <v>0</v>
      </c>
      <c r="J335">
        <f>NOT(hospitalityq!J335="")*(NOT(ISNUMBER(hospitalityq!J335+0)))</f>
        <v>0</v>
      </c>
      <c r="K335">
        <f>NOT(hospitalityq!K335="")*(NOT(ISNUMBER(hospitalityq!K335+0)))</f>
        <v>0</v>
      </c>
      <c r="P335">
        <f>NOT(hospitalityq!P335="")*(NOT(IFERROR(INT(hospitalityq!P335)=VALUE(hospitalityq!P335),FALSE)))</f>
        <v>0</v>
      </c>
      <c r="Q335">
        <f>NOT(hospitalityq!Q335="")*(NOT(IFERROR(INT(hospitalityq!Q335)=VALUE(hospitalityq!Q335),FALSE)))</f>
        <v>0</v>
      </c>
      <c r="R335">
        <f>NOT(hospitalityq!R335="")*(NOT(IFERROR(ROUND(VALUE(hospitalityq!R335),2)=VALUE(hospitalityq!R335),FALSE)))</f>
        <v>0</v>
      </c>
    </row>
    <row r="336" spans="1:18" x14ac:dyDescent="0.25">
      <c r="A336">
        <f t="shared" si="5"/>
        <v>0</v>
      </c>
      <c r="C336">
        <f>NOT(hospitalityq!C336="")*(SUMPRODUCT(--(TRIM(hospitalityq!C6:C336)=TRIM(hospitalityq!C336)))&gt;1)</f>
        <v>0</v>
      </c>
      <c r="D336">
        <f>NOT(hospitalityq!D336="")*(COUNTIF(reference!$C$17:$C$18,TRIM(hospitalityq!D336))=0)</f>
        <v>0</v>
      </c>
      <c r="J336">
        <f>NOT(hospitalityq!J336="")*(NOT(ISNUMBER(hospitalityq!J336+0)))</f>
        <v>0</v>
      </c>
      <c r="K336">
        <f>NOT(hospitalityq!K336="")*(NOT(ISNUMBER(hospitalityq!K336+0)))</f>
        <v>0</v>
      </c>
      <c r="P336">
        <f>NOT(hospitalityq!P336="")*(NOT(IFERROR(INT(hospitalityq!P336)=VALUE(hospitalityq!P336),FALSE)))</f>
        <v>0</v>
      </c>
      <c r="Q336">
        <f>NOT(hospitalityq!Q336="")*(NOT(IFERROR(INT(hospitalityq!Q336)=VALUE(hospitalityq!Q336),FALSE)))</f>
        <v>0</v>
      </c>
      <c r="R336">
        <f>NOT(hospitalityq!R336="")*(NOT(IFERROR(ROUND(VALUE(hospitalityq!R336),2)=VALUE(hospitalityq!R336),FALSE)))</f>
        <v>0</v>
      </c>
    </row>
    <row r="337" spans="1:18" x14ac:dyDescent="0.25">
      <c r="A337">
        <f t="shared" si="5"/>
        <v>0</v>
      </c>
      <c r="C337">
        <f>NOT(hospitalityq!C337="")*(SUMPRODUCT(--(TRIM(hospitalityq!C6:C337)=TRIM(hospitalityq!C337)))&gt;1)</f>
        <v>0</v>
      </c>
      <c r="D337">
        <f>NOT(hospitalityq!D337="")*(COUNTIF(reference!$C$17:$C$18,TRIM(hospitalityq!D337))=0)</f>
        <v>0</v>
      </c>
      <c r="J337">
        <f>NOT(hospitalityq!J337="")*(NOT(ISNUMBER(hospitalityq!J337+0)))</f>
        <v>0</v>
      </c>
      <c r="K337">
        <f>NOT(hospitalityq!K337="")*(NOT(ISNUMBER(hospitalityq!K337+0)))</f>
        <v>0</v>
      </c>
      <c r="P337">
        <f>NOT(hospitalityq!P337="")*(NOT(IFERROR(INT(hospitalityq!P337)=VALUE(hospitalityq!P337),FALSE)))</f>
        <v>0</v>
      </c>
      <c r="Q337">
        <f>NOT(hospitalityq!Q337="")*(NOT(IFERROR(INT(hospitalityq!Q337)=VALUE(hospitalityq!Q337),FALSE)))</f>
        <v>0</v>
      </c>
      <c r="R337">
        <f>NOT(hospitalityq!R337="")*(NOT(IFERROR(ROUND(VALUE(hospitalityq!R337),2)=VALUE(hospitalityq!R337),FALSE)))</f>
        <v>0</v>
      </c>
    </row>
    <row r="338" spans="1:18" x14ac:dyDescent="0.25">
      <c r="A338">
        <f t="shared" si="5"/>
        <v>0</v>
      </c>
      <c r="C338">
        <f>NOT(hospitalityq!C338="")*(SUMPRODUCT(--(TRIM(hospitalityq!C6:C338)=TRIM(hospitalityq!C338)))&gt;1)</f>
        <v>0</v>
      </c>
      <c r="D338">
        <f>NOT(hospitalityq!D338="")*(COUNTIF(reference!$C$17:$C$18,TRIM(hospitalityq!D338))=0)</f>
        <v>0</v>
      </c>
      <c r="J338">
        <f>NOT(hospitalityq!J338="")*(NOT(ISNUMBER(hospitalityq!J338+0)))</f>
        <v>0</v>
      </c>
      <c r="K338">
        <f>NOT(hospitalityq!K338="")*(NOT(ISNUMBER(hospitalityq!K338+0)))</f>
        <v>0</v>
      </c>
      <c r="P338">
        <f>NOT(hospitalityq!P338="")*(NOT(IFERROR(INT(hospitalityq!P338)=VALUE(hospitalityq!P338),FALSE)))</f>
        <v>0</v>
      </c>
      <c r="Q338">
        <f>NOT(hospitalityq!Q338="")*(NOT(IFERROR(INT(hospitalityq!Q338)=VALUE(hospitalityq!Q338),FALSE)))</f>
        <v>0</v>
      </c>
      <c r="R338">
        <f>NOT(hospitalityq!R338="")*(NOT(IFERROR(ROUND(VALUE(hospitalityq!R338),2)=VALUE(hospitalityq!R338),FALSE)))</f>
        <v>0</v>
      </c>
    </row>
    <row r="339" spans="1:18" x14ac:dyDescent="0.25">
      <c r="A339">
        <f t="shared" si="5"/>
        <v>0</v>
      </c>
      <c r="C339">
        <f>NOT(hospitalityq!C339="")*(SUMPRODUCT(--(TRIM(hospitalityq!C6:C339)=TRIM(hospitalityq!C339)))&gt;1)</f>
        <v>0</v>
      </c>
      <c r="D339">
        <f>NOT(hospitalityq!D339="")*(COUNTIF(reference!$C$17:$C$18,TRIM(hospitalityq!D339))=0)</f>
        <v>0</v>
      </c>
      <c r="J339">
        <f>NOT(hospitalityq!J339="")*(NOT(ISNUMBER(hospitalityq!J339+0)))</f>
        <v>0</v>
      </c>
      <c r="K339">
        <f>NOT(hospitalityq!K339="")*(NOT(ISNUMBER(hospitalityq!K339+0)))</f>
        <v>0</v>
      </c>
      <c r="P339">
        <f>NOT(hospitalityq!P339="")*(NOT(IFERROR(INT(hospitalityq!P339)=VALUE(hospitalityq!P339),FALSE)))</f>
        <v>0</v>
      </c>
      <c r="Q339">
        <f>NOT(hospitalityq!Q339="")*(NOT(IFERROR(INT(hospitalityq!Q339)=VALUE(hospitalityq!Q339),FALSE)))</f>
        <v>0</v>
      </c>
      <c r="R339">
        <f>NOT(hospitalityq!R339="")*(NOT(IFERROR(ROUND(VALUE(hospitalityq!R339),2)=VALUE(hospitalityq!R339),FALSE)))</f>
        <v>0</v>
      </c>
    </row>
    <row r="340" spans="1:18" x14ac:dyDescent="0.25">
      <c r="A340">
        <f t="shared" si="5"/>
        <v>0</v>
      </c>
      <c r="C340">
        <f>NOT(hospitalityq!C340="")*(SUMPRODUCT(--(TRIM(hospitalityq!C6:C340)=TRIM(hospitalityq!C340)))&gt;1)</f>
        <v>0</v>
      </c>
      <c r="D340">
        <f>NOT(hospitalityq!D340="")*(COUNTIF(reference!$C$17:$C$18,TRIM(hospitalityq!D340))=0)</f>
        <v>0</v>
      </c>
      <c r="J340">
        <f>NOT(hospitalityq!J340="")*(NOT(ISNUMBER(hospitalityq!J340+0)))</f>
        <v>0</v>
      </c>
      <c r="K340">
        <f>NOT(hospitalityq!K340="")*(NOT(ISNUMBER(hospitalityq!K340+0)))</f>
        <v>0</v>
      </c>
      <c r="P340">
        <f>NOT(hospitalityq!P340="")*(NOT(IFERROR(INT(hospitalityq!P340)=VALUE(hospitalityq!P340),FALSE)))</f>
        <v>0</v>
      </c>
      <c r="Q340">
        <f>NOT(hospitalityq!Q340="")*(NOT(IFERROR(INT(hospitalityq!Q340)=VALUE(hospitalityq!Q340),FALSE)))</f>
        <v>0</v>
      </c>
      <c r="R340">
        <f>NOT(hospitalityq!R340="")*(NOT(IFERROR(ROUND(VALUE(hospitalityq!R340),2)=VALUE(hospitalityq!R340),FALSE)))</f>
        <v>0</v>
      </c>
    </row>
    <row r="341" spans="1:18" x14ac:dyDescent="0.25">
      <c r="A341">
        <f t="shared" si="5"/>
        <v>0</v>
      </c>
      <c r="C341">
        <f>NOT(hospitalityq!C341="")*(SUMPRODUCT(--(TRIM(hospitalityq!C6:C341)=TRIM(hospitalityq!C341)))&gt;1)</f>
        <v>0</v>
      </c>
      <c r="D341">
        <f>NOT(hospitalityq!D341="")*(COUNTIF(reference!$C$17:$C$18,TRIM(hospitalityq!D341))=0)</f>
        <v>0</v>
      </c>
      <c r="J341">
        <f>NOT(hospitalityq!J341="")*(NOT(ISNUMBER(hospitalityq!J341+0)))</f>
        <v>0</v>
      </c>
      <c r="K341">
        <f>NOT(hospitalityq!K341="")*(NOT(ISNUMBER(hospitalityq!K341+0)))</f>
        <v>0</v>
      </c>
      <c r="P341">
        <f>NOT(hospitalityq!P341="")*(NOT(IFERROR(INT(hospitalityq!P341)=VALUE(hospitalityq!P341),FALSE)))</f>
        <v>0</v>
      </c>
      <c r="Q341">
        <f>NOT(hospitalityq!Q341="")*(NOT(IFERROR(INT(hospitalityq!Q341)=VALUE(hospitalityq!Q341),FALSE)))</f>
        <v>0</v>
      </c>
      <c r="R341">
        <f>NOT(hospitalityq!R341="")*(NOT(IFERROR(ROUND(VALUE(hospitalityq!R341),2)=VALUE(hospitalityq!R341),FALSE)))</f>
        <v>0</v>
      </c>
    </row>
    <row r="342" spans="1:18" x14ac:dyDescent="0.25">
      <c r="A342">
        <f t="shared" si="5"/>
        <v>0</v>
      </c>
      <c r="C342">
        <f>NOT(hospitalityq!C342="")*(SUMPRODUCT(--(TRIM(hospitalityq!C6:C342)=TRIM(hospitalityq!C342)))&gt;1)</f>
        <v>0</v>
      </c>
      <c r="D342">
        <f>NOT(hospitalityq!D342="")*(COUNTIF(reference!$C$17:$C$18,TRIM(hospitalityq!D342))=0)</f>
        <v>0</v>
      </c>
      <c r="J342">
        <f>NOT(hospitalityq!J342="")*(NOT(ISNUMBER(hospitalityq!J342+0)))</f>
        <v>0</v>
      </c>
      <c r="K342">
        <f>NOT(hospitalityq!K342="")*(NOT(ISNUMBER(hospitalityq!K342+0)))</f>
        <v>0</v>
      </c>
      <c r="P342">
        <f>NOT(hospitalityq!P342="")*(NOT(IFERROR(INT(hospitalityq!P342)=VALUE(hospitalityq!P342),FALSE)))</f>
        <v>0</v>
      </c>
      <c r="Q342">
        <f>NOT(hospitalityq!Q342="")*(NOT(IFERROR(INT(hospitalityq!Q342)=VALUE(hospitalityq!Q342),FALSE)))</f>
        <v>0</v>
      </c>
      <c r="R342">
        <f>NOT(hospitalityq!R342="")*(NOT(IFERROR(ROUND(VALUE(hospitalityq!R342),2)=VALUE(hospitalityq!R342),FALSE)))</f>
        <v>0</v>
      </c>
    </row>
    <row r="343" spans="1:18" x14ac:dyDescent="0.25">
      <c r="A343">
        <f t="shared" si="5"/>
        <v>0</v>
      </c>
      <c r="C343">
        <f>NOT(hospitalityq!C343="")*(SUMPRODUCT(--(TRIM(hospitalityq!C6:C343)=TRIM(hospitalityq!C343)))&gt;1)</f>
        <v>0</v>
      </c>
      <c r="D343">
        <f>NOT(hospitalityq!D343="")*(COUNTIF(reference!$C$17:$C$18,TRIM(hospitalityq!D343))=0)</f>
        <v>0</v>
      </c>
      <c r="J343">
        <f>NOT(hospitalityq!J343="")*(NOT(ISNUMBER(hospitalityq!J343+0)))</f>
        <v>0</v>
      </c>
      <c r="K343">
        <f>NOT(hospitalityq!K343="")*(NOT(ISNUMBER(hospitalityq!K343+0)))</f>
        <v>0</v>
      </c>
      <c r="P343">
        <f>NOT(hospitalityq!P343="")*(NOT(IFERROR(INT(hospitalityq!P343)=VALUE(hospitalityq!P343),FALSE)))</f>
        <v>0</v>
      </c>
      <c r="Q343">
        <f>NOT(hospitalityq!Q343="")*(NOT(IFERROR(INT(hospitalityq!Q343)=VALUE(hospitalityq!Q343),FALSE)))</f>
        <v>0</v>
      </c>
      <c r="R343">
        <f>NOT(hospitalityq!R343="")*(NOT(IFERROR(ROUND(VALUE(hospitalityq!R343),2)=VALUE(hospitalityq!R343),FALSE)))</f>
        <v>0</v>
      </c>
    </row>
    <row r="344" spans="1:18" x14ac:dyDescent="0.25">
      <c r="A344">
        <f t="shared" si="5"/>
        <v>0</v>
      </c>
      <c r="C344">
        <f>NOT(hospitalityq!C344="")*(SUMPRODUCT(--(TRIM(hospitalityq!C6:C344)=TRIM(hospitalityq!C344)))&gt;1)</f>
        <v>0</v>
      </c>
      <c r="D344">
        <f>NOT(hospitalityq!D344="")*(COUNTIF(reference!$C$17:$C$18,TRIM(hospitalityq!D344))=0)</f>
        <v>0</v>
      </c>
      <c r="J344">
        <f>NOT(hospitalityq!J344="")*(NOT(ISNUMBER(hospitalityq!J344+0)))</f>
        <v>0</v>
      </c>
      <c r="K344">
        <f>NOT(hospitalityq!K344="")*(NOT(ISNUMBER(hospitalityq!K344+0)))</f>
        <v>0</v>
      </c>
      <c r="P344">
        <f>NOT(hospitalityq!P344="")*(NOT(IFERROR(INT(hospitalityq!P344)=VALUE(hospitalityq!P344),FALSE)))</f>
        <v>0</v>
      </c>
      <c r="Q344">
        <f>NOT(hospitalityq!Q344="")*(NOT(IFERROR(INT(hospitalityq!Q344)=VALUE(hospitalityq!Q344),FALSE)))</f>
        <v>0</v>
      </c>
      <c r="R344">
        <f>NOT(hospitalityq!R344="")*(NOT(IFERROR(ROUND(VALUE(hospitalityq!R344),2)=VALUE(hospitalityq!R344),FALSE)))</f>
        <v>0</v>
      </c>
    </row>
    <row r="345" spans="1:18" x14ac:dyDescent="0.25">
      <c r="A345">
        <f t="shared" si="5"/>
        <v>0</v>
      </c>
      <c r="C345">
        <f>NOT(hospitalityq!C345="")*(SUMPRODUCT(--(TRIM(hospitalityq!C6:C345)=TRIM(hospitalityq!C345)))&gt;1)</f>
        <v>0</v>
      </c>
      <c r="D345">
        <f>NOT(hospitalityq!D345="")*(COUNTIF(reference!$C$17:$C$18,TRIM(hospitalityq!D345))=0)</f>
        <v>0</v>
      </c>
      <c r="J345">
        <f>NOT(hospitalityq!J345="")*(NOT(ISNUMBER(hospitalityq!J345+0)))</f>
        <v>0</v>
      </c>
      <c r="K345">
        <f>NOT(hospitalityq!K345="")*(NOT(ISNUMBER(hospitalityq!K345+0)))</f>
        <v>0</v>
      </c>
      <c r="P345">
        <f>NOT(hospitalityq!P345="")*(NOT(IFERROR(INT(hospitalityq!P345)=VALUE(hospitalityq!P345),FALSE)))</f>
        <v>0</v>
      </c>
      <c r="Q345">
        <f>NOT(hospitalityq!Q345="")*(NOT(IFERROR(INT(hospitalityq!Q345)=VALUE(hospitalityq!Q345),FALSE)))</f>
        <v>0</v>
      </c>
      <c r="R345">
        <f>NOT(hospitalityq!R345="")*(NOT(IFERROR(ROUND(VALUE(hospitalityq!R345),2)=VALUE(hospitalityq!R345),FALSE)))</f>
        <v>0</v>
      </c>
    </row>
    <row r="346" spans="1:18" x14ac:dyDescent="0.25">
      <c r="A346">
        <f t="shared" si="5"/>
        <v>0</v>
      </c>
      <c r="C346">
        <f>NOT(hospitalityq!C346="")*(SUMPRODUCT(--(TRIM(hospitalityq!C6:C346)=TRIM(hospitalityq!C346)))&gt;1)</f>
        <v>0</v>
      </c>
      <c r="D346">
        <f>NOT(hospitalityq!D346="")*(COUNTIF(reference!$C$17:$C$18,TRIM(hospitalityq!D346))=0)</f>
        <v>0</v>
      </c>
      <c r="J346">
        <f>NOT(hospitalityq!J346="")*(NOT(ISNUMBER(hospitalityq!J346+0)))</f>
        <v>0</v>
      </c>
      <c r="K346">
        <f>NOT(hospitalityq!K346="")*(NOT(ISNUMBER(hospitalityq!K346+0)))</f>
        <v>0</v>
      </c>
      <c r="P346">
        <f>NOT(hospitalityq!P346="")*(NOT(IFERROR(INT(hospitalityq!P346)=VALUE(hospitalityq!P346),FALSE)))</f>
        <v>0</v>
      </c>
      <c r="Q346">
        <f>NOT(hospitalityq!Q346="")*(NOT(IFERROR(INT(hospitalityq!Q346)=VALUE(hospitalityq!Q346),FALSE)))</f>
        <v>0</v>
      </c>
      <c r="R346">
        <f>NOT(hospitalityq!R346="")*(NOT(IFERROR(ROUND(VALUE(hospitalityq!R346),2)=VALUE(hospitalityq!R346),FALSE)))</f>
        <v>0</v>
      </c>
    </row>
    <row r="347" spans="1:18" x14ac:dyDescent="0.25">
      <c r="A347">
        <f t="shared" si="5"/>
        <v>0</v>
      </c>
      <c r="C347">
        <f>NOT(hospitalityq!C347="")*(SUMPRODUCT(--(TRIM(hospitalityq!C6:C347)=TRIM(hospitalityq!C347)))&gt;1)</f>
        <v>0</v>
      </c>
      <c r="D347">
        <f>NOT(hospitalityq!D347="")*(COUNTIF(reference!$C$17:$C$18,TRIM(hospitalityq!D347))=0)</f>
        <v>0</v>
      </c>
      <c r="J347">
        <f>NOT(hospitalityq!J347="")*(NOT(ISNUMBER(hospitalityq!J347+0)))</f>
        <v>0</v>
      </c>
      <c r="K347">
        <f>NOT(hospitalityq!K347="")*(NOT(ISNUMBER(hospitalityq!K347+0)))</f>
        <v>0</v>
      </c>
      <c r="P347">
        <f>NOT(hospitalityq!P347="")*(NOT(IFERROR(INT(hospitalityq!P347)=VALUE(hospitalityq!P347),FALSE)))</f>
        <v>0</v>
      </c>
      <c r="Q347">
        <f>NOT(hospitalityq!Q347="")*(NOT(IFERROR(INT(hospitalityq!Q347)=VALUE(hospitalityq!Q347),FALSE)))</f>
        <v>0</v>
      </c>
      <c r="R347">
        <f>NOT(hospitalityq!R347="")*(NOT(IFERROR(ROUND(VALUE(hospitalityq!R347),2)=VALUE(hospitalityq!R347),FALSE)))</f>
        <v>0</v>
      </c>
    </row>
    <row r="348" spans="1:18" x14ac:dyDescent="0.25">
      <c r="A348">
        <f t="shared" si="5"/>
        <v>0</v>
      </c>
      <c r="C348">
        <f>NOT(hospitalityq!C348="")*(SUMPRODUCT(--(TRIM(hospitalityq!C6:C348)=TRIM(hospitalityq!C348)))&gt;1)</f>
        <v>0</v>
      </c>
      <c r="D348">
        <f>NOT(hospitalityq!D348="")*(COUNTIF(reference!$C$17:$C$18,TRIM(hospitalityq!D348))=0)</f>
        <v>0</v>
      </c>
      <c r="J348">
        <f>NOT(hospitalityq!J348="")*(NOT(ISNUMBER(hospitalityq!J348+0)))</f>
        <v>0</v>
      </c>
      <c r="K348">
        <f>NOT(hospitalityq!K348="")*(NOT(ISNUMBER(hospitalityq!K348+0)))</f>
        <v>0</v>
      </c>
      <c r="P348">
        <f>NOT(hospitalityq!P348="")*(NOT(IFERROR(INT(hospitalityq!P348)=VALUE(hospitalityq!P348),FALSE)))</f>
        <v>0</v>
      </c>
      <c r="Q348">
        <f>NOT(hospitalityq!Q348="")*(NOT(IFERROR(INT(hospitalityq!Q348)=VALUE(hospitalityq!Q348),FALSE)))</f>
        <v>0</v>
      </c>
      <c r="R348">
        <f>NOT(hospitalityq!R348="")*(NOT(IFERROR(ROUND(VALUE(hospitalityq!R348),2)=VALUE(hospitalityq!R348),FALSE)))</f>
        <v>0</v>
      </c>
    </row>
    <row r="349" spans="1:18" x14ac:dyDescent="0.25">
      <c r="A349">
        <f t="shared" si="5"/>
        <v>0</v>
      </c>
      <c r="C349">
        <f>NOT(hospitalityq!C349="")*(SUMPRODUCT(--(TRIM(hospitalityq!C6:C349)=TRIM(hospitalityq!C349)))&gt;1)</f>
        <v>0</v>
      </c>
      <c r="D349">
        <f>NOT(hospitalityq!D349="")*(COUNTIF(reference!$C$17:$C$18,TRIM(hospitalityq!D349))=0)</f>
        <v>0</v>
      </c>
      <c r="J349">
        <f>NOT(hospitalityq!J349="")*(NOT(ISNUMBER(hospitalityq!J349+0)))</f>
        <v>0</v>
      </c>
      <c r="K349">
        <f>NOT(hospitalityq!K349="")*(NOT(ISNUMBER(hospitalityq!K349+0)))</f>
        <v>0</v>
      </c>
      <c r="P349">
        <f>NOT(hospitalityq!P349="")*(NOT(IFERROR(INT(hospitalityq!P349)=VALUE(hospitalityq!P349),FALSE)))</f>
        <v>0</v>
      </c>
      <c r="Q349">
        <f>NOT(hospitalityq!Q349="")*(NOT(IFERROR(INT(hospitalityq!Q349)=VALUE(hospitalityq!Q349),FALSE)))</f>
        <v>0</v>
      </c>
      <c r="R349">
        <f>NOT(hospitalityq!R349="")*(NOT(IFERROR(ROUND(VALUE(hospitalityq!R349),2)=VALUE(hospitalityq!R349),FALSE)))</f>
        <v>0</v>
      </c>
    </row>
    <row r="350" spans="1:18" x14ac:dyDescent="0.25">
      <c r="A350">
        <f t="shared" si="5"/>
        <v>0</v>
      </c>
      <c r="C350">
        <f>NOT(hospitalityq!C350="")*(SUMPRODUCT(--(TRIM(hospitalityq!C6:C350)=TRIM(hospitalityq!C350)))&gt;1)</f>
        <v>0</v>
      </c>
      <c r="D350">
        <f>NOT(hospitalityq!D350="")*(COUNTIF(reference!$C$17:$C$18,TRIM(hospitalityq!D350))=0)</f>
        <v>0</v>
      </c>
      <c r="J350">
        <f>NOT(hospitalityq!J350="")*(NOT(ISNUMBER(hospitalityq!J350+0)))</f>
        <v>0</v>
      </c>
      <c r="K350">
        <f>NOT(hospitalityq!K350="")*(NOT(ISNUMBER(hospitalityq!K350+0)))</f>
        <v>0</v>
      </c>
      <c r="P350">
        <f>NOT(hospitalityq!P350="")*(NOT(IFERROR(INT(hospitalityq!P350)=VALUE(hospitalityq!P350),FALSE)))</f>
        <v>0</v>
      </c>
      <c r="Q350">
        <f>NOT(hospitalityq!Q350="")*(NOT(IFERROR(INT(hospitalityq!Q350)=VALUE(hospitalityq!Q350),FALSE)))</f>
        <v>0</v>
      </c>
      <c r="R350">
        <f>NOT(hospitalityq!R350="")*(NOT(IFERROR(ROUND(VALUE(hospitalityq!R350),2)=VALUE(hospitalityq!R350),FALSE)))</f>
        <v>0</v>
      </c>
    </row>
    <row r="351" spans="1:18" x14ac:dyDescent="0.25">
      <c r="A351">
        <f t="shared" si="5"/>
        <v>0</v>
      </c>
      <c r="C351">
        <f>NOT(hospitalityq!C351="")*(SUMPRODUCT(--(TRIM(hospitalityq!C6:C351)=TRIM(hospitalityq!C351)))&gt;1)</f>
        <v>0</v>
      </c>
      <c r="D351">
        <f>NOT(hospitalityq!D351="")*(COUNTIF(reference!$C$17:$C$18,TRIM(hospitalityq!D351))=0)</f>
        <v>0</v>
      </c>
      <c r="J351">
        <f>NOT(hospitalityq!J351="")*(NOT(ISNUMBER(hospitalityq!J351+0)))</f>
        <v>0</v>
      </c>
      <c r="K351">
        <f>NOT(hospitalityq!K351="")*(NOT(ISNUMBER(hospitalityq!K351+0)))</f>
        <v>0</v>
      </c>
      <c r="P351">
        <f>NOT(hospitalityq!P351="")*(NOT(IFERROR(INT(hospitalityq!P351)=VALUE(hospitalityq!P351),FALSE)))</f>
        <v>0</v>
      </c>
      <c r="Q351">
        <f>NOT(hospitalityq!Q351="")*(NOT(IFERROR(INT(hospitalityq!Q351)=VALUE(hospitalityq!Q351),FALSE)))</f>
        <v>0</v>
      </c>
      <c r="R351">
        <f>NOT(hospitalityq!R351="")*(NOT(IFERROR(ROUND(VALUE(hospitalityq!R351),2)=VALUE(hospitalityq!R351),FALSE)))</f>
        <v>0</v>
      </c>
    </row>
    <row r="352" spans="1:18" x14ac:dyDescent="0.25">
      <c r="A352">
        <f t="shared" si="5"/>
        <v>0</v>
      </c>
      <c r="C352">
        <f>NOT(hospitalityq!C352="")*(SUMPRODUCT(--(TRIM(hospitalityq!C6:C352)=TRIM(hospitalityq!C352)))&gt;1)</f>
        <v>0</v>
      </c>
      <c r="D352">
        <f>NOT(hospitalityq!D352="")*(COUNTIF(reference!$C$17:$C$18,TRIM(hospitalityq!D352))=0)</f>
        <v>0</v>
      </c>
      <c r="J352">
        <f>NOT(hospitalityq!J352="")*(NOT(ISNUMBER(hospitalityq!J352+0)))</f>
        <v>0</v>
      </c>
      <c r="K352">
        <f>NOT(hospitalityq!K352="")*(NOT(ISNUMBER(hospitalityq!K352+0)))</f>
        <v>0</v>
      </c>
      <c r="P352">
        <f>NOT(hospitalityq!P352="")*(NOT(IFERROR(INT(hospitalityq!P352)=VALUE(hospitalityq!P352),FALSE)))</f>
        <v>0</v>
      </c>
      <c r="Q352">
        <f>NOT(hospitalityq!Q352="")*(NOT(IFERROR(INT(hospitalityq!Q352)=VALUE(hospitalityq!Q352),FALSE)))</f>
        <v>0</v>
      </c>
      <c r="R352">
        <f>NOT(hospitalityq!R352="")*(NOT(IFERROR(ROUND(VALUE(hospitalityq!R352),2)=VALUE(hospitalityq!R352),FALSE)))</f>
        <v>0</v>
      </c>
    </row>
    <row r="353" spans="1:18" x14ac:dyDescent="0.25">
      <c r="A353">
        <f t="shared" si="5"/>
        <v>0</v>
      </c>
      <c r="C353">
        <f>NOT(hospitalityq!C353="")*(SUMPRODUCT(--(TRIM(hospitalityq!C6:C353)=TRIM(hospitalityq!C353)))&gt;1)</f>
        <v>0</v>
      </c>
      <c r="D353">
        <f>NOT(hospitalityq!D353="")*(COUNTIF(reference!$C$17:$C$18,TRIM(hospitalityq!D353))=0)</f>
        <v>0</v>
      </c>
      <c r="J353">
        <f>NOT(hospitalityq!J353="")*(NOT(ISNUMBER(hospitalityq!J353+0)))</f>
        <v>0</v>
      </c>
      <c r="K353">
        <f>NOT(hospitalityq!K353="")*(NOT(ISNUMBER(hospitalityq!K353+0)))</f>
        <v>0</v>
      </c>
      <c r="P353">
        <f>NOT(hospitalityq!P353="")*(NOT(IFERROR(INT(hospitalityq!P353)=VALUE(hospitalityq!P353),FALSE)))</f>
        <v>0</v>
      </c>
      <c r="Q353">
        <f>NOT(hospitalityq!Q353="")*(NOT(IFERROR(INT(hospitalityq!Q353)=VALUE(hospitalityq!Q353),FALSE)))</f>
        <v>0</v>
      </c>
      <c r="R353">
        <f>NOT(hospitalityq!R353="")*(NOT(IFERROR(ROUND(VALUE(hospitalityq!R353),2)=VALUE(hospitalityq!R353),FALSE)))</f>
        <v>0</v>
      </c>
    </row>
    <row r="354" spans="1:18" x14ac:dyDescent="0.25">
      <c r="A354">
        <f t="shared" si="5"/>
        <v>0</v>
      </c>
      <c r="C354">
        <f>NOT(hospitalityq!C354="")*(SUMPRODUCT(--(TRIM(hospitalityq!C6:C354)=TRIM(hospitalityq!C354)))&gt;1)</f>
        <v>0</v>
      </c>
      <c r="D354">
        <f>NOT(hospitalityq!D354="")*(COUNTIF(reference!$C$17:$C$18,TRIM(hospitalityq!D354))=0)</f>
        <v>0</v>
      </c>
      <c r="J354">
        <f>NOT(hospitalityq!J354="")*(NOT(ISNUMBER(hospitalityq!J354+0)))</f>
        <v>0</v>
      </c>
      <c r="K354">
        <f>NOT(hospitalityq!K354="")*(NOT(ISNUMBER(hospitalityq!K354+0)))</f>
        <v>0</v>
      </c>
      <c r="P354">
        <f>NOT(hospitalityq!P354="")*(NOT(IFERROR(INT(hospitalityq!P354)=VALUE(hospitalityq!P354),FALSE)))</f>
        <v>0</v>
      </c>
      <c r="Q354">
        <f>NOT(hospitalityq!Q354="")*(NOT(IFERROR(INT(hospitalityq!Q354)=VALUE(hospitalityq!Q354),FALSE)))</f>
        <v>0</v>
      </c>
      <c r="R354">
        <f>NOT(hospitalityq!R354="")*(NOT(IFERROR(ROUND(VALUE(hospitalityq!R354),2)=VALUE(hospitalityq!R354),FALSE)))</f>
        <v>0</v>
      </c>
    </row>
    <row r="355" spans="1:18" x14ac:dyDescent="0.25">
      <c r="A355">
        <f t="shared" si="5"/>
        <v>0</v>
      </c>
      <c r="C355">
        <f>NOT(hospitalityq!C355="")*(SUMPRODUCT(--(TRIM(hospitalityq!C6:C355)=TRIM(hospitalityq!C355)))&gt;1)</f>
        <v>0</v>
      </c>
      <c r="D355">
        <f>NOT(hospitalityq!D355="")*(COUNTIF(reference!$C$17:$C$18,TRIM(hospitalityq!D355))=0)</f>
        <v>0</v>
      </c>
      <c r="J355">
        <f>NOT(hospitalityq!J355="")*(NOT(ISNUMBER(hospitalityq!J355+0)))</f>
        <v>0</v>
      </c>
      <c r="K355">
        <f>NOT(hospitalityq!K355="")*(NOT(ISNUMBER(hospitalityq!K355+0)))</f>
        <v>0</v>
      </c>
      <c r="P355">
        <f>NOT(hospitalityq!P355="")*(NOT(IFERROR(INT(hospitalityq!P355)=VALUE(hospitalityq!P355),FALSE)))</f>
        <v>0</v>
      </c>
      <c r="Q355">
        <f>NOT(hospitalityq!Q355="")*(NOT(IFERROR(INT(hospitalityq!Q355)=VALUE(hospitalityq!Q355),FALSE)))</f>
        <v>0</v>
      </c>
      <c r="R355">
        <f>NOT(hospitalityq!R355="")*(NOT(IFERROR(ROUND(VALUE(hospitalityq!R355),2)=VALUE(hospitalityq!R355),FALSE)))</f>
        <v>0</v>
      </c>
    </row>
    <row r="356" spans="1:18" x14ac:dyDescent="0.25">
      <c r="A356">
        <f t="shared" si="5"/>
        <v>0</v>
      </c>
      <c r="C356">
        <f>NOT(hospitalityq!C356="")*(SUMPRODUCT(--(TRIM(hospitalityq!C6:C356)=TRIM(hospitalityq!C356)))&gt;1)</f>
        <v>0</v>
      </c>
      <c r="D356">
        <f>NOT(hospitalityq!D356="")*(COUNTIF(reference!$C$17:$C$18,TRIM(hospitalityq!D356))=0)</f>
        <v>0</v>
      </c>
      <c r="J356">
        <f>NOT(hospitalityq!J356="")*(NOT(ISNUMBER(hospitalityq!J356+0)))</f>
        <v>0</v>
      </c>
      <c r="K356">
        <f>NOT(hospitalityq!K356="")*(NOT(ISNUMBER(hospitalityq!K356+0)))</f>
        <v>0</v>
      </c>
      <c r="P356">
        <f>NOT(hospitalityq!P356="")*(NOT(IFERROR(INT(hospitalityq!P356)=VALUE(hospitalityq!P356),FALSE)))</f>
        <v>0</v>
      </c>
      <c r="Q356">
        <f>NOT(hospitalityq!Q356="")*(NOT(IFERROR(INT(hospitalityq!Q356)=VALUE(hospitalityq!Q356),FALSE)))</f>
        <v>0</v>
      </c>
      <c r="R356">
        <f>NOT(hospitalityq!R356="")*(NOT(IFERROR(ROUND(VALUE(hospitalityq!R356),2)=VALUE(hospitalityq!R356),FALSE)))</f>
        <v>0</v>
      </c>
    </row>
    <row r="357" spans="1:18" x14ac:dyDescent="0.25">
      <c r="A357">
        <f t="shared" si="5"/>
        <v>0</v>
      </c>
      <c r="C357">
        <f>NOT(hospitalityq!C357="")*(SUMPRODUCT(--(TRIM(hospitalityq!C6:C357)=TRIM(hospitalityq!C357)))&gt;1)</f>
        <v>0</v>
      </c>
      <c r="D357">
        <f>NOT(hospitalityq!D357="")*(COUNTIF(reference!$C$17:$C$18,TRIM(hospitalityq!D357))=0)</f>
        <v>0</v>
      </c>
      <c r="J357">
        <f>NOT(hospitalityq!J357="")*(NOT(ISNUMBER(hospitalityq!J357+0)))</f>
        <v>0</v>
      </c>
      <c r="K357">
        <f>NOT(hospitalityq!K357="")*(NOT(ISNUMBER(hospitalityq!K357+0)))</f>
        <v>0</v>
      </c>
      <c r="P357">
        <f>NOT(hospitalityq!P357="")*(NOT(IFERROR(INT(hospitalityq!P357)=VALUE(hospitalityq!P357),FALSE)))</f>
        <v>0</v>
      </c>
      <c r="Q357">
        <f>NOT(hospitalityq!Q357="")*(NOT(IFERROR(INT(hospitalityq!Q357)=VALUE(hospitalityq!Q357),FALSE)))</f>
        <v>0</v>
      </c>
      <c r="R357">
        <f>NOT(hospitalityq!R357="")*(NOT(IFERROR(ROUND(VALUE(hospitalityq!R357),2)=VALUE(hospitalityq!R357),FALSE)))</f>
        <v>0</v>
      </c>
    </row>
    <row r="358" spans="1:18" x14ac:dyDescent="0.25">
      <c r="A358">
        <f t="shared" si="5"/>
        <v>0</v>
      </c>
      <c r="C358">
        <f>NOT(hospitalityq!C358="")*(SUMPRODUCT(--(TRIM(hospitalityq!C6:C358)=TRIM(hospitalityq!C358)))&gt;1)</f>
        <v>0</v>
      </c>
      <c r="D358">
        <f>NOT(hospitalityq!D358="")*(COUNTIF(reference!$C$17:$C$18,TRIM(hospitalityq!D358))=0)</f>
        <v>0</v>
      </c>
      <c r="J358">
        <f>NOT(hospitalityq!J358="")*(NOT(ISNUMBER(hospitalityq!J358+0)))</f>
        <v>0</v>
      </c>
      <c r="K358">
        <f>NOT(hospitalityq!K358="")*(NOT(ISNUMBER(hospitalityq!K358+0)))</f>
        <v>0</v>
      </c>
      <c r="P358">
        <f>NOT(hospitalityq!P358="")*(NOT(IFERROR(INT(hospitalityq!P358)=VALUE(hospitalityq!P358),FALSE)))</f>
        <v>0</v>
      </c>
      <c r="Q358">
        <f>NOT(hospitalityq!Q358="")*(NOT(IFERROR(INT(hospitalityq!Q358)=VALUE(hospitalityq!Q358),FALSE)))</f>
        <v>0</v>
      </c>
      <c r="R358">
        <f>NOT(hospitalityq!R358="")*(NOT(IFERROR(ROUND(VALUE(hospitalityq!R358),2)=VALUE(hospitalityq!R358),FALSE)))</f>
        <v>0</v>
      </c>
    </row>
    <row r="359" spans="1:18" x14ac:dyDescent="0.25">
      <c r="A359">
        <f t="shared" si="5"/>
        <v>0</v>
      </c>
      <c r="C359">
        <f>NOT(hospitalityq!C359="")*(SUMPRODUCT(--(TRIM(hospitalityq!C6:C359)=TRIM(hospitalityq!C359)))&gt;1)</f>
        <v>0</v>
      </c>
      <c r="D359">
        <f>NOT(hospitalityq!D359="")*(COUNTIF(reference!$C$17:$C$18,TRIM(hospitalityq!D359))=0)</f>
        <v>0</v>
      </c>
      <c r="J359">
        <f>NOT(hospitalityq!J359="")*(NOT(ISNUMBER(hospitalityq!J359+0)))</f>
        <v>0</v>
      </c>
      <c r="K359">
        <f>NOT(hospitalityq!K359="")*(NOT(ISNUMBER(hospitalityq!K359+0)))</f>
        <v>0</v>
      </c>
      <c r="P359">
        <f>NOT(hospitalityq!P359="")*(NOT(IFERROR(INT(hospitalityq!P359)=VALUE(hospitalityq!P359),FALSE)))</f>
        <v>0</v>
      </c>
      <c r="Q359">
        <f>NOT(hospitalityq!Q359="")*(NOT(IFERROR(INT(hospitalityq!Q359)=VALUE(hospitalityq!Q359),FALSE)))</f>
        <v>0</v>
      </c>
      <c r="R359">
        <f>NOT(hospitalityq!R359="")*(NOT(IFERROR(ROUND(VALUE(hospitalityq!R359),2)=VALUE(hospitalityq!R359),FALSE)))</f>
        <v>0</v>
      </c>
    </row>
    <row r="360" spans="1:18" x14ac:dyDescent="0.25">
      <c r="A360">
        <f t="shared" si="5"/>
        <v>0</v>
      </c>
      <c r="C360">
        <f>NOT(hospitalityq!C360="")*(SUMPRODUCT(--(TRIM(hospitalityq!C6:C360)=TRIM(hospitalityq!C360)))&gt;1)</f>
        <v>0</v>
      </c>
      <c r="D360">
        <f>NOT(hospitalityq!D360="")*(COUNTIF(reference!$C$17:$C$18,TRIM(hospitalityq!D360))=0)</f>
        <v>0</v>
      </c>
      <c r="J360">
        <f>NOT(hospitalityq!J360="")*(NOT(ISNUMBER(hospitalityq!J360+0)))</f>
        <v>0</v>
      </c>
      <c r="K360">
        <f>NOT(hospitalityq!K360="")*(NOT(ISNUMBER(hospitalityq!K360+0)))</f>
        <v>0</v>
      </c>
      <c r="P360">
        <f>NOT(hospitalityq!P360="")*(NOT(IFERROR(INT(hospitalityq!P360)=VALUE(hospitalityq!P360),FALSE)))</f>
        <v>0</v>
      </c>
      <c r="Q360">
        <f>NOT(hospitalityq!Q360="")*(NOT(IFERROR(INT(hospitalityq!Q360)=VALUE(hospitalityq!Q360),FALSE)))</f>
        <v>0</v>
      </c>
      <c r="R360">
        <f>NOT(hospitalityq!R360="")*(NOT(IFERROR(ROUND(VALUE(hospitalityq!R360),2)=VALUE(hospitalityq!R360),FALSE)))</f>
        <v>0</v>
      </c>
    </row>
    <row r="361" spans="1:18" x14ac:dyDescent="0.25">
      <c r="A361">
        <f t="shared" si="5"/>
        <v>0</v>
      </c>
      <c r="C361">
        <f>NOT(hospitalityq!C361="")*(SUMPRODUCT(--(TRIM(hospitalityq!C6:C361)=TRIM(hospitalityq!C361)))&gt;1)</f>
        <v>0</v>
      </c>
      <c r="D361">
        <f>NOT(hospitalityq!D361="")*(COUNTIF(reference!$C$17:$C$18,TRIM(hospitalityq!D361))=0)</f>
        <v>0</v>
      </c>
      <c r="J361">
        <f>NOT(hospitalityq!J361="")*(NOT(ISNUMBER(hospitalityq!J361+0)))</f>
        <v>0</v>
      </c>
      <c r="K361">
        <f>NOT(hospitalityq!K361="")*(NOT(ISNUMBER(hospitalityq!K361+0)))</f>
        <v>0</v>
      </c>
      <c r="P361">
        <f>NOT(hospitalityq!P361="")*(NOT(IFERROR(INT(hospitalityq!P361)=VALUE(hospitalityq!P361),FALSE)))</f>
        <v>0</v>
      </c>
      <c r="Q361">
        <f>NOT(hospitalityq!Q361="")*(NOT(IFERROR(INT(hospitalityq!Q361)=VALUE(hospitalityq!Q361),FALSE)))</f>
        <v>0</v>
      </c>
      <c r="R361">
        <f>NOT(hospitalityq!R361="")*(NOT(IFERROR(ROUND(VALUE(hospitalityq!R361),2)=VALUE(hospitalityq!R361),FALSE)))</f>
        <v>0</v>
      </c>
    </row>
    <row r="362" spans="1:18" x14ac:dyDescent="0.25">
      <c r="A362">
        <f t="shared" si="5"/>
        <v>0</v>
      </c>
      <c r="C362">
        <f>NOT(hospitalityq!C362="")*(SUMPRODUCT(--(TRIM(hospitalityq!C6:C362)=TRIM(hospitalityq!C362)))&gt;1)</f>
        <v>0</v>
      </c>
      <c r="D362">
        <f>NOT(hospitalityq!D362="")*(COUNTIF(reference!$C$17:$C$18,TRIM(hospitalityq!D362))=0)</f>
        <v>0</v>
      </c>
      <c r="J362">
        <f>NOT(hospitalityq!J362="")*(NOT(ISNUMBER(hospitalityq!J362+0)))</f>
        <v>0</v>
      </c>
      <c r="K362">
        <f>NOT(hospitalityq!K362="")*(NOT(ISNUMBER(hospitalityq!K362+0)))</f>
        <v>0</v>
      </c>
      <c r="P362">
        <f>NOT(hospitalityq!P362="")*(NOT(IFERROR(INT(hospitalityq!P362)=VALUE(hospitalityq!P362),FALSE)))</f>
        <v>0</v>
      </c>
      <c r="Q362">
        <f>NOT(hospitalityq!Q362="")*(NOT(IFERROR(INT(hospitalityq!Q362)=VALUE(hospitalityq!Q362),FALSE)))</f>
        <v>0</v>
      </c>
      <c r="R362">
        <f>NOT(hospitalityq!R362="")*(NOT(IFERROR(ROUND(VALUE(hospitalityq!R362),2)=VALUE(hospitalityq!R362),FALSE)))</f>
        <v>0</v>
      </c>
    </row>
    <row r="363" spans="1:18" x14ac:dyDescent="0.25">
      <c r="A363">
        <f t="shared" si="5"/>
        <v>0</v>
      </c>
      <c r="C363">
        <f>NOT(hospitalityq!C363="")*(SUMPRODUCT(--(TRIM(hospitalityq!C6:C363)=TRIM(hospitalityq!C363)))&gt;1)</f>
        <v>0</v>
      </c>
      <c r="D363">
        <f>NOT(hospitalityq!D363="")*(COUNTIF(reference!$C$17:$C$18,TRIM(hospitalityq!D363))=0)</f>
        <v>0</v>
      </c>
      <c r="J363">
        <f>NOT(hospitalityq!J363="")*(NOT(ISNUMBER(hospitalityq!J363+0)))</f>
        <v>0</v>
      </c>
      <c r="K363">
        <f>NOT(hospitalityq!K363="")*(NOT(ISNUMBER(hospitalityq!K363+0)))</f>
        <v>0</v>
      </c>
      <c r="P363">
        <f>NOT(hospitalityq!P363="")*(NOT(IFERROR(INT(hospitalityq!P363)=VALUE(hospitalityq!P363),FALSE)))</f>
        <v>0</v>
      </c>
      <c r="Q363">
        <f>NOT(hospitalityq!Q363="")*(NOT(IFERROR(INT(hospitalityq!Q363)=VALUE(hospitalityq!Q363),FALSE)))</f>
        <v>0</v>
      </c>
      <c r="R363">
        <f>NOT(hospitalityq!R363="")*(NOT(IFERROR(ROUND(VALUE(hospitalityq!R363),2)=VALUE(hospitalityq!R363),FALSE)))</f>
        <v>0</v>
      </c>
    </row>
    <row r="364" spans="1:18" x14ac:dyDescent="0.25">
      <c r="A364">
        <f t="shared" si="5"/>
        <v>0</v>
      </c>
      <c r="C364">
        <f>NOT(hospitalityq!C364="")*(SUMPRODUCT(--(TRIM(hospitalityq!C6:C364)=TRIM(hospitalityq!C364)))&gt;1)</f>
        <v>0</v>
      </c>
      <c r="D364">
        <f>NOT(hospitalityq!D364="")*(COUNTIF(reference!$C$17:$C$18,TRIM(hospitalityq!D364))=0)</f>
        <v>0</v>
      </c>
      <c r="J364">
        <f>NOT(hospitalityq!J364="")*(NOT(ISNUMBER(hospitalityq!J364+0)))</f>
        <v>0</v>
      </c>
      <c r="K364">
        <f>NOT(hospitalityq!K364="")*(NOT(ISNUMBER(hospitalityq!K364+0)))</f>
        <v>0</v>
      </c>
      <c r="P364">
        <f>NOT(hospitalityq!P364="")*(NOT(IFERROR(INT(hospitalityq!P364)=VALUE(hospitalityq!P364),FALSE)))</f>
        <v>0</v>
      </c>
      <c r="Q364">
        <f>NOT(hospitalityq!Q364="")*(NOT(IFERROR(INT(hospitalityq!Q364)=VALUE(hospitalityq!Q364),FALSE)))</f>
        <v>0</v>
      </c>
      <c r="R364">
        <f>NOT(hospitalityq!R364="")*(NOT(IFERROR(ROUND(VALUE(hospitalityq!R364),2)=VALUE(hospitalityq!R364),FALSE)))</f>
        <v>0</v>
      </c>
    </row>
    <row r="365" spans="1:18" x14ac:dyDescent="0.25">
      <c r="A365">
        <f t="shared" si="5"/>
        <v>0</v>
      </c>
      <c r="C365">
        <f>NOT(hospitalityq!C365="")*(SUMPRODUCT(--(TRIM(hospitalityq!C6:C365)=TRIM(hospitalityq!C365)))&gt;1)</f>
        <v>0</v>
      </c>
      <c r="D365">
        <f>NOT(hospitalityq!D365="")*(COUNTIF(reference!$C$17:$C$18,TRIM(hospitalityq!D365))=0)</f>
        <v>0</v>
      </c>
      <c r="J365">
        <f>NOT(hospitalityq!J365="")*(NOT(ISNUMBER(hospitalityq!J365+0)))</f>
        <v>0</v>
      </c>
      <c r="K365">
        <f>NOT(hospitalityq!K365="")*(NOT(ISNUMBER(hospitalityq!K365+0)))</f>
        <v>0</v>
      </c>
      <c r="P365">
        <f>NOT(hospitalityq!P365="")*(NOT(IFERROR(INT(hospitalityq!P365)=VALUE(hospitalityq!P365),FALSE)))</f>
        <v>0</v>
      </c>
      <c r="Q365">
        <f>NOT(hospitalityq!Q365="")*(NOT(IFERROR(INT(hospitalityq!Q365)=VALUE(hospitalityq!Q365),FALSE)))</f>
        <v>0</v>
      </c>
      <c r="R365">
        <f>NOT(hospitalityq!R365="")*(NOT(IFERROR(ROUND(VALUE(hospitalityq!R365),2)=VALUE(hospitalityq!R365),FALSE)))</f>
        <v>0</v>
      </c>
    </row>
    <row r="366" spans="1:18" x14ac:dyDescent="0.25">
      <c r="A366">
        <f t="shared" si="5"/>
        <v>0</v>
      </c>
      <c r="C366">
        <f>NOT(hospitalityq!C366="")*(SUMPRODUCT(--(TRIM(hospitalityq!C6:C366)=TRIM(hospitalityq!C366)))&gt;1)</f>
        <v>0</v>
      </c>
      <c r="D366">
        <f>NOT(hospitalityq!D366="")*(COUNTIF(reference!$C$17:$C$18,TRIM(hospitalityq!D366))=0)</f>
        <v>0</v>
      </c>
      <c r="J366">
        <f>NOT(hospitalityq!J366="")*(NOT(ISNUMBER(hospitalityq!J366+0)))</f>
        <v>0</v>
      </c>
      <c r="K366">
        <f>NOT(hospitalityq!K366="")*(NOT(ISNUMBER(hospitalityq!K366+0)))</f>
        <v>0</v>
      </c>
      <c r="P366">
        <f>NOT(hospitalityq!P366="")*(NOT(IFERROR(INT(hospitalityq!P366)=VALUE(hospitalityq!P366),FALSE)))</f>
        <v>0</v>
      </c>
      <c r="Q366">
        <f>NOT(hospitalityq!Q366="")*(NOT(IFERROR(INT(hospitalityq!Q366)=VALUE(hospitalityq!Q366),FALSE)))</f>
        <v>0</v>
      </c>
      <c r="R366">
        <f>NOT(hospitalityq!R366="")*(NOT(IFERROR(ROUND(VALUE(hospitalityq!R366),2)=VALUE(hospitalityq!R366),FALSE)))</f>
        <v>0</v>
      </c>
    </row>
    <row r="367" spans="1:18" x14ac:dyDescent="0.25">
      <c r="A367">
        <f t="shared" si="5"/>
        <v>0</v>
      </c>
      <c r="C367">
        <f>NOT(hospitalityq!C367="")*(SUMPRODUCT(--(TRIM(hospitalityq!C6:C367)=TRIM(hospitalityq!C367)))&gt;1)</f>
        <v>0</v>
      </c>
      <c r="D367">
        <f>NOT(hospitalityq!D367="")*(COUNTIF(reference!$C$17:$C$18,TRIM(hospitalityq!D367))=0)</f>
        <v>0</v>
      </c>
      <c r="J367">
        <f>NOT(hospitalityq!J367="")*(NOT(ISNUMBER(hospitalityq!J367+0)))</f>
        <v>0</v>
      </c>
      <c r="K367">
        <f>NOT(hospitalityq!K367="")*(NOT(ISNUMBER(hospitalityq!K367+0)))</f>
        <v>0</v>
      </c>
      <c r="P367">
        <f>NOT(hospitalityq!P367="")*(NOT(IFERROR(INT(hospitalityq!P367)=VALUE(hospitalityq!P367),FALSE)))</f>
        <v>0</v>
      </c>
      <c r="Q367">
        <f>NOT(hospitalityq!Q367="")*(NOT(IFERROR(INT(hospitalityq!Q367)=VALUE(hospitalityq!Q367),FALSE)))</f>
        <v>0</v>
      </c>
      <c r="R367">
        <f>NOT(hospitalityq!R367="")*(NOT(IFERROR(ROUND(VALUE(hospitalityq!R367),2)=VALUE(hospitalityq!R367),FALSE)))</f>
        <v>0</v>
      </c>
    </row>
    <row r="368" spans="1:18" x14ac:dyDescent="0.25">
      <c r="A368">
        <f t="shared" si="5"/>
        <v>0</v>
      </c>
      <c r="C368">
        <f>NOT(hospitalityq!C368="")*(SUMPRODUCT(--(TRIM(hospitalityq!C6:C368)=TRIM(hospitalityq!C368)))&gt;1)</f>
        <v>0</v>
      </c>
      <c r="D368">
        <f>NOT(hospitalityq!D368="")*(COUNTIF(reference!$C$17:$C$18,TRIM(hospitalityq!D368))=0)</f>
        <v>0</v>
      </c>
      <c r="J368">
        <f>NOT(hospitalityq!J368="")*(NOT(ISNUMBER(hospitalityq!J368+0)))</f>
        <v>0</v>
      </c>
      <c r="K368">
        <f>NOT(hospitalityq!K368="")*(NOT(ISNUMBER(hospitalityq!K368+0)))</f>
        <v>0</v>
      </c>
      <c r="P368">
        <f>NOT(hospitalityq!P368="")*(NOT(IFERROR(INT(hospitalityq!P368)=VALUE(hospitalityq!P368),FALSE)))</f>
        <v>0</v>
      </c>
      <c r="Q368">
        <f>NOT(hospitalityq!Q368="")*(NOT(IFERROR(INT(hospitalityq!Q368)=VALUE(hospitalityq!Q368),FALSE)))</f>
        <v>0</v>
      </c>
      <c r="R368">
        <f>NOT(hospitalityq!R368="")*(NOT(IFERROR(ROUND(VALUE(hospitalityq!R368),2)=VALUE(hospitalityq!R368),FALSE)))</f>
        <v>0</v>
      </c>
    </row>
    <row r="369" spans="1:18" x14ac:dyDescent="0.25">
      <c r="A369">
        <f t="shared" si="5"/>
        <v>0</v>
      </c>
      <c r="C369">
        <f>NOT(hospitalityq!C369="")*(SUMPRODUCT(--(TRIM(hospitalityq!C6:C369)=TRIM(hospitalityq!C369)))&gt;1)</f>
        <v>0</v>
      </c>
      <c r="D369">
        <f>NOT(hospitalityq!D369="")*(COUNTIF(reference!$C$17:$C$18,TRIM(hospitalityq!D369))=0)</f>
        <v>0</v>
      </c>
      <c r="J369">
        <f>NOT(hospitalityq!J369="")*(NOT(ISNUMBER(hospitalityq!J369+0)))</f>
        <v>0</v>
      </c>
      <c r="K369">
        <f>NOT(hospitalityq!K369="")*(NOT(ISNUMBER(hospitalityq!K369+0)))</f>
        <v>0</v>
      </c>
      <c r="P369">
        <f>NOT(hospitalityq!P369="")*(NOT(IFERROR(INT(hospitalityq!P369)=VALUE(hospitalityq!P369),FALSE)))</f>
        <v>0</v>
      </c>
      <c r="Q369">
        <f>NOT(hospitalityq!Q369="")*(NOT(IFERROR(INT(hospitalityq!Q369)=VALUE(hospitalityq!Q369),FALSE)))</f>
        <v>0</v>
      </c>
      <c r="R369">
        <f>NOT(hospitalityq!R369="")*(NOT(IFERROR(ROUND(VALUE(hospitalityq!R369),2)=VALUE(hospitalityq!R369),FALSE)))</f>
        <v>0</v>
      </c>
    </row>
    <row r="370" spans="1:18" x14ac:dyDescent="0.25">
      <c r="A370">
        <f t="shared" si="5"/>
        <v>0</v>
      </c>
      <c r="C370">
        <f>NOT(hospitalityq!C370="")*(SUMPRODUCT(--(TRIM(hospitalityq!C6:C370)=TRIM(hospitalityq!C370)))&gt;1)</f>
        <v>0</v>
      </c>
      <c r="D370">
        <f>NOT(hospitalityq!D370="")*(COUNTIF(reference!$C$17:$C$18,TRIM(hospitalityq!D370))=0)</f>
        <v>0</v>
      </c>
      <c r="J370">
        <f>NOT(hospitalityq!J370="")*(NOT(ISNUMBER(hospitalityq!J370+0)))</f>
        <v>0</v>
      </c>
      <c r="K370">
        <f>NOT(hospitalityq!K370="")*(NOT(ISNUMBER(hospitalityq!K370+0)))</f>
        <v>0</v>
      </c>
      <c r="P370">
        <f>NOT(hospitalityq!P370="")*(NOT(IFERROR(INT(hospitalityq!P370)=VALUE(hospitalityq!P370),FALSE)))</f>
        <v>0</v>
      </c>
      <c r="Q370">
        <f>NOT(hospitalityq!Q370="")*(NOT(IFERROR(INT(hospitalityq!Q370)=VALUE(hospitalityq!Q370),FALSE)))</f>
        <v>0</v>
      </c>
      <c r="R370">
        <f>NOT(hospitalityq!R370="")*(NOT(IFERROR(ROUND(VALUE(hospitalityq!R370),2)=VALUE(hospitalityq!R370),FALSE)))</f>
        <v>0</v>
      </c>
    </row>
    <row r="371" spans="1:18" x14ac:dyDescent="0.25">
      <c r="A371">
        <f t="shared" si="5"/>
        <v>0</v>
      </c>
      <c r="C371">
        <f>NOT(hospitalityq!C371="")*(SUMPRODUCT(--(TRIM(hospitalityq!C6:C371)=TRIM(hospitalityq!C371)))&gt;1)</f>
        <v>0</v>
      </c>
      <c r="D371">
        <f>NOT(hospitalityq!D371="")*(COUNTIF(reference!$C$17:$C$18,TRIM(hospitalityq!D371))=0)</f>
        <v>0</v>
      </c>
      <c r="J371">
        <f>NOT(hospitalityq!J371="")*(NOT(ISNUMBER(hospitalityq!J371+0)))</f>
        <v>0</v>
      </c>
      <c r="K371">
        <f>NOT(hospitalityq!K371="")*(NOT(ISNUMBER(hospitalityq!K371+0)))</f>
        <v>0</v>
      </c>
      <c r="P371">
        <f>NOT(hospitalityq!P371="")*(NOT(IFERROR(INT(hospitalityq!P371)=VALUE(hospitalityq!P371),FALSE)))</f>
        <v>0</v>
      </c>
      <c r="Q371">
        <f>NOT(hospitalityq!Q371="")*(NOT(IFERROR(INT(hospitalityq!Q371)=VALUE(hospitalityq!Q371),FALSE)))</f>
        <v>0</v>
      </c>
      <c r="R371">
        <f>NOT(hospitalityq!R371="")*(NOT(IFERROR(ROUND(VALUE(hospitalityq!R371),2)=VALUE(hospitalityq!R371),FALSE)))</f>
        <v>0</v>
      </c>
    </row>
    <row r="372" spans="1:18" x14ac:dyDescent="0.25">
      <c r="A372">
        <f t="shared" si="5"/>
        <v>0</v>
      </c>
      <c r="C372">
        <f>NOT(hospitalityq!C372="")*(SUMPRODUCT(--(TRIM(hospitalityq!C6:C372)=TRIM(hospitalityq!C372)))&gt;1)</f>
        <v>0</v>
      </c>
      <c r="D372">
        <f>NOT(hospitalityq!D372="")*(COUNTIF(reference!$C$17:$C$18,TRIM(hospitalityq!D372))=0)</f>
        <v>0</v>
      </c>
      <c r="J372">
        <f>NOT(hospitalityq!J372="")*(NOT(ISNUMBER(hospitalityq!J372+0)))</f>
        <v>0</v>
      </c>
      <c r="K372">
        <f>NOT(hospitalityq!K372="")*(NOT(ISNUMBER(hospitalityq!K372+0)))</f>
        <v>0</v>
      </c>
      <c r="P372">
        <f>NOT(hospitalityq!P372="")*(NOT(IFERROR(INT(hospitalityq!P372)=VALUE(hospitalityq!P372),FALSE)))</f>
        <v>0</v>
      </c>
      <c r="Q372">
        <f>NOT(hospitalityq!Q372="")*(NOT(IFERROR(INT(hospitalityq!Q372)=VALUE(hospitalityq!Q372),FALSE)))</f>
        <v>0</v>
      </c>
      <c r="R372">
        <f>NOT(hospitalityq!R372="")*(NOT(IFERROR(ROUND(VALUE(hospitalityq!R372),2)=VALUE(hospitalityq!R372),FALSE)))</f>
        <v>0</v>
      </c>
    </row>
    <row r="373" spans="1:18" x14ac:dyDescent="0.25">
      <c r="A373">
        <f t="shared" si="5"/>
        <v>0</v>
      </c>
      <c r="C373">
        <f>NOT(hospitalityq!C373="")*(SUMPRODUCT(--(TRIM(hospitalityq!C6:C373)=TRIM(hospitalityq!C373)))&gt;1)</f>
        <v>0</v>
      </c>
      <c r="D373">
        <f>NOT(hospitalityq!D373="")*(COUNTIF(reference!$C$17:$C$18,TRIM(hospitalityq!D373))=0)</f>
        <v>0</v>
      </c>
      <c r="J373">
        <f>NOT(hospitalityq!J373="")*(NOT(ISNUMBER(hospitalityq!J373+0)))</f>
        <v>0</v>
      </c>
      <c r="K373">
        <f>NOT(hospitalityq!K373="")*(NOT(ISNUMBER(hospitalityq!K373+0)))</f>
        <v>0</v>
      </c>
      <c r="P373">
        <f>NOT(hospitalityq!P373="")*(NOT(IFERROR(INT(hospitalityq!P373)=VALUE(hospitalityq!P373),FALSE)))</f>
        <v>0</v>
      </c>
      <c r="Q373">
        <f>NOT(hospitalityq!Q373="")*(NOT(IFERROR(INT(hospitalityq!Q373)=VALUE(hospitalityq!Q373),FALSE)))</f>
        <v>0</v>
      </c>
      <c r="R373">
        <f>NOT(hospitalityq!R373="")*(NOT(IFERROR(ROUND(VALUE(hospitalityq!R373),2)=VALUE(hospitalityq!R373),FALSE)))</f>
        <v>0</v>
      </c>
    </row>
    <row r="374" spans="1:18" x14ac:dyDescent="0.25">
      <c r="A374">
        <f t="shared" si="5"/>
        <v>0</v>
      </c>
      <c r="C374">
        <f>NOT(hospitalityq!C374="")*(SUMPRODUCT(--(TRIM(hospitalityq!C6:C374)=TRIM(hospitalityq!C374)))&gt;1)</f>
        <v>0</v>
      </c>
      <c r="D374">
        <f>NOT(hospitalityq!D374="")*(COUNTIF(reference!$C$17:$C$18,TRIM(hospitalityq!D374))=0)</f>
        <v>0</v>
      </c>
      <c r="J374">
        <f>NOT(hospitalityq!J374="")*(NOT(ISNUMBER(hospitalityq!J374+0)))</f>
        <v>0</v>
      </c>
      <c r="K374">
        <f>NOT(hospitalityq!K374="")*(NOT(ISNUMBER(hospitalityq!K374+0)))</f>
        <v>0</v>
      </c>
      <c r="P374">
        <f>NOT(hospitalityq!P374="")*(NOT(IFERROR(INT(hospitalityq!P374)=VALUE(hospitalityq!P374),FALSE)))</f>
        <v>0</v>
      </c>
      <c r="Q374">
        <f>NOT(hospitalityq!Q374="")*(NOT(IFERROR(INT(hospitalityq!Q374)=VALUE(hospitalityq!Q374),FALSE)))</f>
        <v>0</v>
      </c>
      <c r="R374">
        <f>NOT(hospitalityq!R374="")*(NOT(IFERROR(ROUND(VALUE(hospitalityq!R374),2)=VALUE(hospitalityq!R374),FALSE)))</f>
        <v>0</v>
      </c>
    </row>
    <row r="375" spans="1:18" x14ac:dyDescent="0.25">
      <c r="A375">
        <f t="shared" si="5"/>
        <v>0</v>
      </c>
      <c r="C375">
        <f>NOT(hospitalityq!C375="")*(SUMPRODUCT(--(TRIM(hospitalityq!C6:C375)=TRIM(hospitalityq!C375)))&gt;1)</f>
        <v>0</v>
      </c>
      <c r="D375">
        <f>NOT(hospitalityq!D375="")*(COUNTIF(reference!$C$17:$C$18,TRIM(hospitalityq!D375))=0)</f>
        <v>0</v>
      </c>
      <c r="J375">
        <f>NOT(hospitalityq!J375="")*(NOT(ISNUMBER(hospitalityq!J375+0)))</f>
        <v>0</v>
      </c>
      <c r="K375">
        <f>NOT(hospitalityq!K375="")*(NOT(ISNUMBER(hospitalityq!K375+0)))</f>
        <v>0</v>
      </c>
      <c r="P375">
        <f>NOT(hospitalityq!P375="")*(NOT(IFERROR(INT(hospitalityq!P375)=VALUE(hospitalityq!P375),FALSE)))</f>
        <v>0</v>
      </c>
      <c r="Q375">
        <f>NOT(hospitalityq!Q375="")*(NOT(IFERROR(INT(hospitalityq!Q375)=VALUE(hospitalityq!Q375),FALSE)))</f>
        <v>0</v>
      </c>
      <c r="R375">
        <f>NOT(hospitalityq!R375="")*(NOT(IFERROR(ROUND(VALUE(hospitalityq!R375),2)=VALUE(hospitalityq!R375),FALSE)))</f>
        <v>0</v>
      </c>
    </row>
    <row r="376" spans="1:18" x14ac:dyDescent="0.25">
      <c r="A376">
        <f t="shared" si="5"/>
        <v>0</v>
      </c>
      <c r="C376">
        <f>NOT(hospitalityq!C376="")*(SUMPRODUCT(--(TRIM(hospitalityq!C6:C376)=TRIM(hospitalityq!C376)))&gt;1)</f>
        <v>0</v>
      </c>
      <c r="D376">
        <f>NOT(hospitalityq!D376="")*(COUNTIF(reference!$C$17:$C$18,TRIM(hospitalityq!D376))=0)</f>
        <v>0</v>
      </c>
      <c r="J376">
        <f>NOT(hospitalityq!J376="")*(NOT(ISNUMBER(hospitalityq!J376+0)))</f>
        <v>0</v>
      </c>
      <c r="K376">
        <f>NOT(hospitalityq!K376="")*(NOT(ISNUMBER(hospitalityq!K376+0)))</f>
        <v>0</v>
      </c>
      <c r="P376">
        <f>NOT(hospitalityq!P376="")*(NOT(IFERROR(INT(hospitalityq!P376)=VALUE(hospitalityq!P376),FALSE)))</f>
        <v>0</v>
      </c>
      <c r="Q376">
        <f>NOT(hospitalityq!Q376="")*(NOT(IFERROR(INT(hospitalityq!Q376)=VALUE(hospitalityq!Q376),FALSE)))</f>
        <v>0</v>
      </c>
      <c r="R376">
        <f>NOT(hospitalityq!R376="")*(NOT(IFERROR(ROUND(VALUE(hospitalityq!R376),2)=VALUE(hospitalityq!R376),FALSE)))</f>
        <v>0</v>
      </c>
    </row>
    <row r="377" spans="1:18" x14ac:dyDescent="0.25">
      <c r="A377">
        <f t="shared" si="5"/>
        <v>0</v>
      </c>
      <c r="C377">
        <f>NOT(hospitalityq!C377="")*(SUMPRODUCT(--(TRIM(hospitalityq!C6:C377)=TRIM(hospitalityq!C377)))&gt;1)</f>
        <v>0</v>
      </c>
      <c r="D377">
        <f>NOT(hospitalityq!D377="")*(COUNTIF(reference!$C$17:$C$18,TRIM(hospitalityq!D377))=0)</f>
        <v>0</v>
      </c>
      <c r="J377">
        <f>NOT(hospitalityq!J377="")*(NOT(ISNUMBER(hospitalityq!J377+0)))</f>
        <v>0</v>
      </c>
      <c r="K377">
        <f>NOT(hospitalityq!K377="")*(NOT(ISNUMBER(hospitalityq!K377+0)))</f>
        <v>0</v>
      </c>
      <c r="P377">
        <f>NOT(hospitalityq!P377="")*(NOT(IFERROR(INT(hospitalityq!P377)=VALUE(hospitalityq!P377),FALSE)))</f>
        <v>0</v>
      </c>
      <c r="Q377">
        <f>NOT(hospitalityq!Q377="")*(NOT(IFERROR(INT(hospitalityq!Q377)=VALUE(hospitalityq!Q377),FALSE)))</f>
        <v>0</v>
      </c>
      <c r="R377">
        <f>NOT(hospitalityq!R377="")*(NOT(IFERROR(ROUND(VALUE(hospitalityq!R377),2)=VALUE(hospitalityq!R377),FALSE)))</f>
        <v>0</v>
      </c>
    </row>
    <row r="378" spans="1:18" x14ac:dyDescent="0.25">
      <c r="A378">
        <f t="shared" si="5"/>
        <v>0</v>
      </c>
      <c r="C378">
        <f>NOT(hospitalityq!C378="")*(SUMPRODUCT(--(TRIM(hospitalityq!C6:C378)=TRIM(hospitalityq!C378)))&gt;1)</f>
        <v>0</v>
      </c>
      <c r="D378">
        <f>NOT(hospitalityq!D378="")*(COUNTIF(reference!$C$17:$C$18,TRIM(hospitalityq!D378))=0)</f>
        <v>0</v>
      </c>
      <c r="J378">
        <f>NOT(hospitalityq!J378="")*(NOT(ISNUMBER(hospitalityq!J378+0)))</f>
        <v>0</v>
      </c>
      <c r="K378">
        <f>NOT(hospitalityq!K378="")*(NOT(ISNUMBER(hospitalityq!K378+0)))</f>
        <v>0</v>
      </c>
      <c r="P378">
        <f>NOT(hospitalityq!P378="")*(NOT(IFERROR(INT(hospitalityq!P378)=VALUE(hospitalityq!P378),FALSE)))</f>
        <v>0</v>
      </c>
      <c r="Q378">
        <f>NOT(hospitalityq!Q378="")*(NOT(IFERROR(INT(hospitalityq!Q378)=VALUE(hospitalityq!Q378),FALSE)))</f>
        <v>0</v>
      </c>
      <c r="R378">
        <f>NOT(hospitalityq!R378="")*(NOT(IFERROR(ROUND(VALUE(hospitalityq!R378),2)=VALUE(hospitalityq!R378),FALSE)))</f>
        <v>0</v>
      </c>
    </row>
    <row r="379" spans="1:18" x14ac:dyDescent="0.25">
      <c r="A379">
        <f t="shared" si="5"/>
        <v>0</v>
      </c>
      <c r="C379">
        <f>NOT(hospitalityq!C379="")*(SUMPRODUCT(--(TRIM(hospitalityq!C6:C379)=TRIM(hospitalityq!C379)))&gt;1)</f>
        <v>0</v>
      </c>
      <c r="D379">
        <f>NOT(hospitalityq!D379="")*(COUNTIF(reference!$C$17:$C$18,TRIM(hospitalityq!D379))=0)</f>
        <v>0</v>
      </c>
      <c r="J379">
        <f>NOT(hospitalityq!J379="")*(NOT(ISNUMBER(hospitalityq!J379+0)))</f>
        <v>0</v>
      </c>
      <c r="K379">
        <f>NOT(hospitalityq!K379="")*(NOT(ISNUMBER(hospitalityq!K379+0)))</f>
        <v>0</v>
      </c>
      <c r="P379">
        <f>NOT(hospitalityq!P379="")*(NOT(IFERROR(INT(hospitalityq!P379)=VALUE(hospitalityq!P379),FALSE)))</f>
        <v>0</v>
      </c>
      <c r="Q379">
        <f>NOT(hospitalityq!Q379="")*(NOT(IFERROR(INT(hospitalityq!Q379)=VALUE(hospitalityq!Q379),FALSE)))</f>
        <v>0</v>
      </c>
      <c r="R379">
        <f>NOT(hospitalityq!R379="")*(NOT(IFERROR(ROUND(VALUE(hospitalityq!R379),2)=VALUE(hospitalityq!R379),FALSE)))</f>
        <v>0</v>
      </c>
    </row>
    <row r="380" spans="1:18" x14ac:dyDescent="0.25">
      <c r="A380">
        <f t="shared" si="5"/>
        <v>0</v>
      </c>
      <c r="C380">
        <f>NOT(hospitalityq!C380="")*(SUMPRODUCT(--(TRIM(hospitalityq!C6:C380)=TRIM(hospitalityq!C380)))&gt;1)</f>
        <v>0</v>
      </c>
      <c r="D380">
        <f>NOT(hospitalityq!D380="")*(COUNTIF(reference!$C$17:$C$18,TRIM(hospitalityq!D380))=0)</f>
        <v>0</v>
      </c>
      <c r="J380">
        <f>NOT(hospitalityq!J380="")*(NOT(ISNUMBER(hospitalityq!J380+0)))</f>
        <v>0</v>
      </c>
      <c r="K380">
        <f>NOT(hospitalityq!K380="")*(NOT(ISNUMBER(hospitalityq!K380+0)))</f>
        <v>0</v>
      </c>
      <c r="P380">
        <f>NOT(hospitalityq!P380="")*(NOT(IFERROR(INT(hospitalityq!P380)=VALUE(hospitalityq!P380),FALSE)))</f>
        <v>0</v>
      </c>
      <c r="Q380">
        <f>NOT(hospitalityq!Q380="")*(NOT(IFERROR(INT(hospitalityq!Q380)=VALUE(hospitalityq!Q380),FALSE)))</f>
        <v>0</v>
      </c>
      <c r="R380">
        <f>NOT(hospitalityq!R380="")*(NOT(IFERROR(ROUND(VALUE(hospitalityq!R380),2)=VALUE(hospitalityq!R380),FALSE)))</f>
        <v>0</v>
      </c>
    </row>
    <row r="381" spans="1:18" x14ac:dyDescent="0.25">
      <c r="A381">
        <f t="shared" si="5"/>
        <v>0</v>
      </c>
      <c r="C381">
        <f>NOT(hospitalityq!C381="")*(SUMPRODUCT(--(TRIM(hospitalityq!C6:C381)=TRIM(hospitalityq!C381)))&gt;1)</f>
        <v>0</v>
      </c>
      <c r="D381">
        <f>NOT(hospitalityq!D381="")*(COUNTIF(reference!$C$17:$C$18,TRIM(hospitalityq!D381))=0)</f>
        <v>0</v>
      </c>
      <c r="J381">
        <f>NOT(hospitalityq!J381="")*(NOT(ISNUMBER(hospitalityq!J381+0)))</f>
        <v>0</v>
      </c>
      <c r="K381">
        <f>NOT(hospitalityq!K381="")*(NOT(ISNUMBER(hospitalityq!K381+0)))</f>
        <v>0</v>
      </c>
      <c r="P381">
        <f>NOT(hospitalityq!P381="")*(NOT(IFERROR(INT(hospitalityq!P381)=VALUE(hospitalityq!P381),FALSE)))</f>
        <v>0</v>
      </c>
      <c r="Q381">
        <f>NOT(hospitalityq!Q381="")*(NOT(IFERROR(INT(hospitalityq!Q381)=VALUE(hospitalityq!Q381),FALSE)))</f>
        <v>0</v>
      </c>
      <c r="R381">
        <f>NOT(hospitalityq!R381="")*(NOT(IFERROR(ROUND(VALUE(hospitalityq!R381),2)=VALUE(hospitalityq!R381),FALSE)))</f>
        <v>0</v>
      </c>
    </row>
    <row r="382" spans="1:18" x14ac:dyDescent="0.25">
      <c r="A382">
        <f t="shared" si="5"/>
        <v>0</v>
      </c>
      <c r="C382">
        <f>NOT(hospitalityq!C382="")*(SUMPRODUCT(--(TRIM(hospitalityq!C6:C382)=TRIM(hospitalityq!C382)))&gt;1)</f>
        <v>0</v>
      </c>
      <c r="D382">
        <f>NOT(hospitalityq!D382="")*(COUNTIF(reference!$C$17:$C$18,TRIM(hospitalityq!D382))=0)</f>
        <v>0</v>
      </c>
      <c r="J382">
        <f>NOT(hospitalityq!J382="")*(NOT(ISNUMBER(hospitalityq!J382+0)))</f>
        <v>0</v>
      </c>
      <c r="K382">
        <f>NOT(hospitalityq!K382="")*(NOT(ISNUMBER(hospitalityq!K382+0)))</f>
        <v>0</v>
      </c>
      <c r="P382">
        <f>NOT(hospitalityq!P382="")*(NOT(IFERROR(INT(hospitalityq!P382)=VALUE(hospitalityq!P382),FALSE)))</f>
        <v>0</v>
      </c>
      <c r="Q382">
        <f>NOT(hospitalityq!Q382="")*(NOT(IFERROR(INT(hospitalityq!Q382)=VALUE(hospitalityq!Q382),FALSE)))</f>
        <v>0</v>
      </c>
      <c r="R382">
        <f>NOT(hospitalityq!R382="")*(NOT(IFERROR(ROUND(VALUE(hospitalityq!R382),2)=VALUE(hospitalityq!R382),FALSE)))</f>
        <v>0</v>
      </c>
    </row>
    <row r="383" spans="1:18" x14ac:dyDescent="0.25">
      <c r="A383">
        <f t="shared" si="5"/>
        <v>0</v>
      </c>
      <c r="C383">
        <f>NOT(hospitalityq!C383="")*(SUMPRODUCT(--(TRIM(hospitalityq!C6:C383)=TRIM(hospitalityq!C383)))&gt;1)</f>
        <v>0</v>
      </c>
      <c r="D383">
        <f>NOT(hospitalityq!D383="")*(COUNTIF(reference!$C$17:$C$18,TRIM(hospitalityq!D383))=0)</f>
        <v>0</v>
      </c>
      <c r="J383">
        <f>NOT(hospitalityq!J383="")*(NOT(ISNUMBER(hospitalityq!J383+0)))</f>
        <v>0</v>
      </c>
      <c r="K383">
        <f>NOT(hospitalityq!K383="")*(NOT(ISNUMBER(hospitalityq!K383+0)))</f>
        <v>0</v>
      </c>
      <c r="P383">
        <f>NOT(hospitalityq!P383="")*(NOT(IFERROR(INT(hospitalityq!P383)=VALUE(hospitalityq!P383),FALSE)))</f>
        <v>0</v>
      </c>
      <c r="Q383">
        <f>NOT(hospitalityq!Q383="")*(NOT(IFERROR(INT(hospitalityq!Q383)=VALUE(hospitalityq!Q383),FALSE)))</f>
        <v>0</v>
      </c>
      <c r="R383">
        <f>NOT(hospitalityq!R383="")*(NOT(IFERROR(ROUND(VALUE(hospitalityq!R383),2)=VALUE(hospitalityq!R383),FALSE)))</f>
        <v>0</v>
      </c>
    </row>
    <row r="384" spans="1:18" x14ac:dyDescent="0.25">
      <c r="A384">
        <f t="shared" si="5"/>
        <v>0</v>
      </c>
      <c r="C384">
        <f>NOT(hospitalityq!C384="")*(SUMPRODUCT(--(TRIM(hospitalityq!C6:C384)=TRIM(hospitalityq!C384)))&gt;1)</f>
        <v>0</v>
      </c>
      <c r="D384">
        <f>NOT(hospitalityq!D384="")*(COUNTIF(reference!$C$17:$C$18,TRIM(hospitalityq!D384))=0)</f>
        <v>0</v>
      </c>
      <c r="J384">
        <f>NOT(hospitalityq!J384="")*(NOT(ISNUMBER(hospitalityq!J384+0)))</f>
        <v>0</v>
      </c>
      <c r="K384">
        <f>NOT(hospitalityq!K384="")*(NOT(ISNUMBER(hospitalityq!K384+0)))</f>
        <v>0</v>
      </c>
      <c r="P384">
        <f>NOT(hospitalityq!P384="")*(NOT(IFERROR(INT(hospitalityq!P384)=VALUE(hospitalityq!P384),FALSE)))</f>
        <v>0</v>
      </c>
      <c r="Q384">
        <f>NOT(hospitalityq!Q384="")*(NOT(IFERROR(INT(hospitalityq!Q384)=VALUE(hospitalityq!Q384),FALSE)))</f>
        <v>0</v>
      </c>
      <c r="R384">
        <f>NOT(hospitalityq!R384="")*(NOT(IFERROR(ROUND(VALUE(hospitalityq!R384),2)=VALUE(hospitalityq!R384),FALSE)))</f>
        <v>0</v>
      </c>
    </row>
    <row r="385" spans="1:18" x14ac:dyDescent="0.25">
      <c r="A385">
        <f t="shared" si="5"/>
        <v>0</v>
      </c>
      <c r="C385">
        <f>NOT(hospitalityq!C385="")*(SUMPRODUCT(--(TRIM(hospitalityq!C6:C385)=TRIM(hospitalityq!C385)))&gt;1)</f>
        <v>0</v>
      </c>
      <c r="D385">
        <f>NOT(hospitalityq!D385="")*(COUNTIF(reference!$C$17:$C$18,TRIM(hospitalityq!D385))=0)</f>
        <v>0</v>
      </c>
      <c r="J385">
        <f>NOT(hospitalityq!J385="")*(NOT(ISNUMBER(hospitalityq!J385+0)))</f>
        <v>0</v>
      </c>
      <c r="K385">
        <f>NOT(hospitalityq!K385="")*(NOT(ISNUMBER(hospitalityq!K385+0)))</f>
        <v>0</v>
      </c>
      <c r="P385">
        <f>NOT(hospitalityq!P385="")*(NOT(IFERROR(INT(hospitalityq!P385)=VALUE(hospitalityq!P385),FALSE)))</f>
        <v>0</v>
      </c>
      <c r="Q385">
        <f>NOT(hospitalityq!Q385="")*(NOT(IFERROR(INT(hospitalityq!Q385)=VALUE(hospitalityq!Q385),FALSE)))</f>
        <v>0</v>
      </c>
      <c r="R385">
        <f>NOT(hospitalityq!R385="")*(NOT(IFERROR(ROUND(VALUE(hospitalityq!R385),2)=VALUE(hospitalityq!R385),FALSE)))</f>
        <v>0</v>
      </c>
    </row>
    <row r="386" spans="1:18" x14ac:dyDescent="0.25">
      <c r="A386">
        <f t="shared" si="5"/>
        <v>0</v>
      </c>
      <c r="C386">
        <f>NOT(hospitalityq!C386="")*(SUMPRODUCT(--(TRIM(hospitalityq!C6:C386)=TRIM(hospitalityq!C386)))&gt;1)</f>
        <v>0</v>
      </c>
      <c r="D386">
        <f>NOT(hospitalityq!D386="")*(COUNTIF(reference!$C$17:$C$18,TRIM(hospitalityq!D386))=0)</f>
        <v>0</v>
      </c>
      <c r="J386">
        <f>NOT(hospitalityq!J386="")*(NOT(ISNUMBER(hospitalityq!J386+0)))</f>
        <v>0</v>
      </c>
      <c r="K386">
        <f>NOT(hospitalityq!K386="")*(NOT(ISNUMBER(hospitalityq!K386+0)))</f>
        <v>0</v>
      </c>
      <c r="P386">
        <f>NOT(hospitalityq!P386="")*(NOT(IFERROR(INT(hospitalityq!P386)=VALUE(hospitalityq!P386),FALSE)))</f>
        <v>0</v>
      </c>
      <c r="Q386">
        <f>NOT(hospitalityq!Q386="")*(NOT(IFERROR(INT(hospitalityq!Q386)=VALUE(hospitalityq!Q386),FALSE)))</f>
        <v>0</v>
      </c>
      <c r="R386">
        <f>NOT(hospitalityq!R386="")*(NOT(IFERROR(ROUND(VALUE(hospitalityq!R386),2)=VALUE(hospitalityq!R386),FALSE)))</f>
        <v>0</v>
      </c>
    </row>
    <row r="387" spans="1:18" x14ac:dyDescent="0.25">
      <c r="A387">
        <f t="shared" si="5"/>
        <v>0</v>
      </c>
      <c r="C387">
        <f>NOT(hospitalityq!C387="")*(SUMPRODUCT(--(TRIM(hospitalityq!C6:C387)=TRIM(hospitalityq!C387)))&gt;1)</f>
        <v>0</v>
      </c>
      <c r="D387">
        <f>NOT(hospitalityq!D387="")*(COUNTIF(reference!$C$17:$C$18,TRIM(hospitalityq!D387))=0)</f>
        <v>0</v>
      </c>
      <c r="J387">
        <f>NOT(hospitalityq!J387="")*(NOT(ISNUMBER(hospitalityq!J387+0)))</f>
        <v>0</v>
      </c>
      <c r="K387">
        <f>NOT(hospitalityq!K387="")*(NOT(ISNUMBER(hospitalityq!K387+0)))</f>
        <v>0</v>
      </c>
      <c r="P387">
        <f>NOT(hospitalityq!P387="")*(NOT(IFERROR(INT(hospitalityq!P387)=VALUE(hospitalityq!P387),FALSE)))</f>
        <v>0</v>
      </c>
      <c r="Q387">
        <f>NOT(hospitalityq!Q387="")*(NOT(IFERROR(INT(hospitalityq!Q387)=VALUE(hospitalityq!Q387),FALSE)))</f>
        <v>0</v>
      </c>
      <c r="R387">
        <f>NOT(hospitalityq!R387="")*(NOT(IFERROR(ROUND(VALUE(hospitalityq!R387),2)=VALUE(hospitalityq!R387),FALSE)))</f>
        <v>0</v>
      </c>
    </row>
    <row r="388" spans="1:18" x14ac:dyDescent="0.25">
      <c r="A388">
        <f t="shared" si="5"/>
        <v>0</v>
      </c>
      <c r="C388">
        <f>NOT(hospitalityq!C388="")*(SUMPRODUCT(--(TRIM(hospitalityq!C6:C388)=TRIM(hospitalityq!C388)))&gt;1)</f>
        <v>0</v>
      </c>
      <c r="D388">
        <f>NOT(hospitalityq!D388="")*(COUNTIF(reference!$C$17:$C$18,TRIM(hospitalityq!D388))=0)</f>
        <v>0</v>
      </c>
      <c r="J388">
        <f>NOT(hospitalityq!J388="")*(NOT(ISNUMBER(hospitalityq!J388+0)))</f>
        <v>0</v>
      </c>
      <c r="K388">
        <f>NOT(hospitalityq!K388="")*(NOT(ISNUMBER(hospitalityq!K388+0)))</f>
        <v>0</v>
      </c>
      <c r="P388">
        <f>NOT(hospitalityq!P388="")*(NOT(IFERROR(INT(hospitalityq!P388)=VALUE(hospitalityq!P388),FALSE)))</f>
        <v>0</v>
      </c>
      <c r="Q388">
        <f>NOT(hospitalityq!Q388="")*(NOT(IFERROR(INT(hospitalityq!Q388)=VALUE(hospitalityq!Q388),FALSE)))</f>
        <v>0</v>
      </c>
      <c r="R388">
        <f>NOT(hospitalityq!R388="")*(NOT(IFERROR(ROUND(VALUE(hospitalityq!R388),2)=VALUE(hospitalityq!R388),FALSE)))</f>
        <v>0</v>
      </c>
    </row>
    <row r="389" spans="1:18" x14ac:dyDescent="0.25">
      <c r="A389">
        <f t="shared" si="5"/>
        <v>0</v>
      </c>
      <c r="C389">
        <f>NOT(hospitalityq!C389="")*(SUMPRODUCT(--(TRIM(hospitalityq!C6:C389)=TRIM(hospitalityq!C389)))&gt;1)</f>
        <v>0</v>
      </c>
      <c r="D389">
        <f>NOT(hospitalityq!D389="")*(COUNTIF(reference!$C$17:$C$18,TRIM(hospitalityq!D389))=0)</f>
        <v>0</v>
      </c>
      <c r="J389">
        <f>NOT(hospitalityq!J389="")*(NOT(ISNUMBER(hospitalityq!J389+0)))</f>
        <v>0</v>
      </c>
      <c r="K389">
        <f>NOT(hospitalityq!K389="")*(NOT(ISNUMBER(hospitalityq!K389+0)))</f>
        <v>0</v>
      </c>
      <c r="P389">
        <f>NOT(hospitalityq!P389="")*(NOT(IFERROR(INT(hospitalityq!P389)=VALUE(hospitalityq!P389),FALSE)))</f>
        <v>0</v>
      </c>
      <c r="Q389">
        <f>NOT(hospitalityq!Q389="")*(NOT(IFERROR(INT(hospitalityq!Q389)=VALUE(hospitalityq!Q389),FALSE)))</f>
        <v>0</v>
      </c>
      <c r="R389">
        <f>NOT(hospitalityq!R389="")*(NOT(IFERROR(ROUND(VALUE(hospitalityq!R389),2)=VALUE(hospitalityq!R389),FALSE)))</f>
        <v>0</v>
      </c>
    </row>
    <row r="390" spans="1:18" x14ac:dyDescent="0.25">
      <c r="A390">
        <f t="shared" ref="A390:A453" si="6">IFERROR(MATCH(TRUE,INDEX(C390:R390&lt;&gt;0,),)+2,0)</f>
        <v>0</v>
      </c>
      <c r="C390">
        <f>NOT(hospitalityq!C390="")*(SUMPRODUCT(--(TRIM(hospitalityq!C6:C390)=TRIM(hospitalityq!C390)))&gt;1)</f>
        <v>0</v>
      </c>
      <c r="D390">
        <f>NOT(hospitalityq!D390="")*(COUNTIF(reference!$C$17:$C$18,TRIM(hospitalityq!D390))=0)</f>
        <v>0</v>
      </c>
      <c r="J390">
        <f>NOT(hospitalityq!J390="")*(NOT(ISNUMBER(hospitalityq!J390+0)))</f>
        <v>0</v>
      </c>
      <c r="K390">
        <f>NOT(hospitalityq!K390="")*(NOT(ISNUMBER(hospitalityq!K390+0)))</f>
        <v>0</v>
      </c>
      <c r="P390">
        <f>NOT(hospitalityq!P390="")*(NOT(IFERROR(INT(hospitalityq!P390)=VALUE(hospitalityq!P390),FALSE)))</f>
        <v>0</v>
      </c>
      <c r="Q390">
        <f>NOT(hospitalityq!Q390="")*(NOT(IFERROR(INT(hospitalityq!Q390)=VALUE(hospitalityq!Q390),FALSE)))</f>
        <v>0</v>
      </c>
      <c r="R390">
        <f>NOT(hospitalityq!R390="")*(NOT(IFERROR(ROUND(VALUE(hospitalityq!R390),2)=VALUE(hospitalityq!R390),FALSE)))</f>
        <v>0</v>
      </c>
    </row>
    <row r="391" spans="1:18" x14ac:dyDescent="0.25">
      <c r="A391">
        <f t="shared" si="6"/>
        <v>0</v>
      </c>
      <c r="C391">
        <f>NOT(hospitalityq!C391="")*(SUMPRODUCT(--(TRIM(hospitalityq!C6:C391)=TRIM(hospitalityq!C391)))&gt;1)</f>
        <v>0</v>
      </c>
      <c r="D391">
        <f>NOT(hospitalityq!D391="")*(COUNTIF(reference!$C$17:$C$18,TRIM(hospitalityq!D391))=0)</f>
        <v>0</v>
      </c>
      <c r="J391">
        <f>NOT(hospitalityq!J391="")*(NOT(ISNUMBER(hospitalityq!J391+0)))</f>
        <v>0</v>
      </c>
      <c r="K391">
        <f>NOT(hospitalityq!K391="")*(NOT(ISNUMBER(hospitalityq!K391+0)))</f>
        <v>0</v>
      </c>
      <c r="P391">
        <f>NOT(hospitalityq!P391="")*(NOT(IFERROR(INT(hospitalityq!P391)=VALUE(hospitalityq!P391),FALSE)))</f>
        <v>0</v>
      </c>
      <c r="Q391">
        <f>NOT(hospitalityq!Q391="")*(NOT(IFERROR(INT(hospitalityq!Q391)=VALUE(hospitalityq!Q391),FALSE)))</f>
        <v>0</v>
      </c>
      <c r="R391">
        <f>NOT(hospitalityq!R391="")*(NOT(IFERROR(ROUND(VALUE(hospitalityq!R391),2)=VALUE(hospitalityq!R391),FALSE)))</f>
        <v>0</v>
      </c>
    </row>
    <row r="392" spans="1:18" x14ac:dyDescent="0.25">
      <c r="A392">
        <f t="shared" si="6"/>
        <v>0</v>
      </c>
      <c r="C392">
        <f>NOT(hospitalityq!C392="")*(SUMPRODUCT(--(TRIM(hospitalityq!C6:C392)=TRIM(hospitalityq!C392)))&gt;1)</f>
        <v>0</v>
      </c>
      <c r="D392">
        <f>NOT(hospitalityq!D392="")*(COUNTIF(reference!$C$17:$C$18,TRIM(hospitalityq!D392))=0)</f>
        <v>0</v>
      </c>
      <c r="J392">
        <f>NOT(hospitalityq!J392="")*(NOT(ISNUMBER(hospitalityq!J392+0)))</f>
        <v>0</v>
      </c>
      <c r="K392">
        <f>NOT(hospitalityq!K392="")*(NOT(ISNUMBER(hospitalityq!K392+0)))</f>
        <v>0</v>
      </c>
      <c r="P392">
        <f>NOT(hospitalityq!P392="")*(NOT(IFERROR(INT(hospitalityq!P392)=VALUE(hospitalityq!P392),FALSE)))</f>
        <v>0</v>
      </c>
      <c r="Q392">
        <f>NOT(hospitalityq!Q392="")*(NOT(IFERROR(INT(hospitalityq!Q392)=VALUE(hospitalityq!Q392),FALSE)))</f>
        <v>0</v>
      </c>
      <c r="R392">
        <f>NOT(hospitalityq!R392="")*(NOT(IFERROR(ROUND(VALUE(hospitalityq!R392),2)=VALUE(hospitalityq!R392),FALSE)))</f>
        <v>0</v>
      </c>
    </row>
    <row r="393" spans="1:18" x14ac:dyDescent="0.25">
      <c r="A393">
        <f t="shared" si="6"/>
        <v>0</v>
      </c>
      <c r="C393">
        <f>NOT(hospitalityq!C393="")*(SUMPRODUCT(--(TRIM(hospitalityq!C6:C393)=TRIM(hospitalityq!C393)))&gt;1)</f>
        <v>0</v>
      </c>
      <c r="D393">
        <f>NOT(hospitalityq!D393="")*(COUNTIF(reference!$C$17:$C$18,TRIM(hospitalityq!D393))=0)</f>
        <v>0</v>
      </c>
      <c r="J393">
        <f>NOT(hospitalityq!J393="")*(NOT(ISNUMBER(hospitalityq!J393+0)))</f>
        <v>0</v>
      </c>
      <c r="K393">
        <f>NOT(hospitalityq!K393="")*(NOT(ISNUMBER(hospitalityq!K393+0)))</f>
        <v>0</v>
      </c>
      <c r="P393">
        <f>NOT(hospitalityq!P393="")*(NOT(IFERROR(INT(hospitalityq!P393)=VALUE(hospitalityq!P393),FALSE)))</f>
        <v>0</v>
      </c>
      <c r="Q393">
        <f>NOT(hospitalityq!Q393="")*(NOT(IFERROR(INT(hospitalityq!Q393)=VALUE(hospitalityq!Q393),FALSE)))</f>
        <v>0</v>
      </c>
      <c r="R393">
        <f>NOT(hospitalityq!R393="")*(NOT(IFERROR(ROUND(VALUE(hospitalityq!R393),2)=VALUE(hospitalityq!R393),FALSE)))</f>
        <v>0</v>
      </c>
    </row>
    <row r="394" spans="1:18" x14ac:dyDescent="0.25">
      <c r="A394">
        <f t="shared" si="6"/>
        <v>0</v>
      </c>
      <c r="C394">
        <f>NOT(hospitalityq!C394="")*(SUMPRODUCT(--(TRIM(hospitalityq!C6:C394)=TRIM(hospitalityq!C394)))&gt;1)</f>
        <v>0</v>
      </c>
      <c r="D394">
        <f>NOT(hospitalityq!D394="")*(COUNTIF(reference!$C$17:$C$18,TRIM(hospitalityq!D394))=0)</f>
        <v>0</v>
      </c>
      <c r="J394">
        <f>NOT(hospitalityq!J394="")*(NOT(ISNUMBER(hospitalityq!J394+0)))</f>
        <v>0</v>
      </c>
      <c r="K394">
        <f>NOT(hospitalityq!K394="")*(NOT(ISNUMBER(hospitalityq!K394+0)))</f>
        <v>0</v>
      </c>
      <c r="P394">
        <f>NOT(hospitalityq!P394="")*(NOT(IFERROR(INT(hospitalityq!P394)=VALUE(hospitalityq!P394),FALSE)))</f>
        <v>0</v>
      </c>
      <c r="Q394">
        <f>NOT(hospitalityq!Q394="")*(NOT(IFERROR(INT(hospitalityq!Q394)=VALUE(hospitalityq!Q394),FALSE)))</f>
        <v>0</v>
      </c>
      <c r="R394">
        <f>NOT(hospitalityq!R394="")*(NOT(IFERROR(ROUND(VALUE(hospitalityq!R394),2)=VALUE(hospitalityq!R394),FALSE)))</f>
        <v>0</v>
      </c>
    </row>
    <row r="395" spans="1:18" x14ac:dyDescent="0.25">
      <c r="A395">
        <f t="shared" si="6"/>
        <v>0</v>
      </c>
      <c r="C395">
        <f>NOT(hospitalityq!C395="")*(SUMPRODUCT(--(TRIM(hospitalityq!C6:C395)=TRIM(hospitalityq!C395)))&gt;1)</f>
        <v>0</v>
      </c>
      <c r="D395">
        <f>NOT(hospitalityq!D395="")*(COUNTIF(reference!$C$17:$C$18,TRIM(hospitalityq!D395))=0)</f>
        <v>0</v>
      </c>
      <c r="J395">
        <f>NOT(hospitalityq!J395="")*(NOT(ISNUMBER(hospitalityq!J395+0)))</f>
        <v>0</v>
      </c>
      <c r="K395">
        <f>NOT(hospitalityq!K395="")*(NOT(ISNUMBER(hospitalityq!K395+0)))</f>
        <v>0</v>
      </c>
      <c r="P395">
        <f>NOT(hospitalityq!P395="")*(NOT(IFERROR(INT(hospitalityq!P395)=VALUE(hospitalityq!P395),FALSE)))</f>
        <v>0</v>
      </c>
      <c r="Q395">
        <f>NOT(hospitalityq!Q395="")*(NOT(IFERROR(INT(hospitalityq!Q395)=VALUE(hospitalityq!Q395),FALSE)))</f>
        <v>0</v>
      </c>
      <c r="R395">
        <f>NOT(hospitalityq!R395="")*(NOT(IFERROR(ROUND(VALUE(hospitalityq!R395),2)=VALUE(hospitalityq!R395),FALSE)))</f>
        <v>0</v>
      </c>
    </row>
    <row r="396" spans="1:18" x14ac:dyDescent="0.25">
      <c r="A396">
        <f t="shared" si="6"/>
        <v>0</v>
      </c>
      <c r="C396">
        <f>NOT(hospitalityq!C396="")*(SUMPRODUCT(--(TRIM(hospitalityq!C6:C396)=TRIM(hospitalityq!C396)))&gt;1)</f>
        <v>0</v>
      </c>
      <c r="D396">
        <f>NOT(hospitalityq!D396="")*(COUNTIF(reference!$C$17:$C$18,TRIM(hospitalityq!D396))=0)</f>
        <v>0</v>
      </c>
      <c r="J396">
        <f>NOT(hospitalityq!J396="")*(NOT(ISNUMBER(hospitalityq!J396+0)))</f>
        <v>0</v>
      </c>
      <c r="K396">
        <f>NOT(hospitalityq!K396="")*(NOT(ISNUMBER(hospitalityq!K396+0)))</f>
        <v>0</v>
      </c>
      <c r="P396">
        <f>NOT(hospitalityq!P396="")*(NOT(IFERROR(INT(hospitalityq!P396)=VALUE(hospitalityq!P396),FALSE)))</f>
        <v>0</v>
      </c>
      <c r="Q396">
        <f>NOT(hospitalityq!Q396="")*(NOT(IFERROR(INT(hospitalityq!Q396)=VALUE(hospitalityq!Q396),FALSE)))</f>
        <v>0</v>
      </c>
      <c r="R396">
        <f>NOT(hospitalityq!R396="")*(NOT(IFERROR(ROUND(VALUE(hospitalityq!R396),2)=VALUE(hospitalityq!R396),FALSE)))</f>
        <v>0</v>
      </c>
    </row>
    <row r="397" spans="1:18" x14ac:dyDescent="0.25">
      <c r="A397">
        <f t="shared" si="6"/>
        <v>0</v>
      </c>
      <c r="C397">
        <f>NOT(hospitalityq!C397="")*(SUMPRODUCT(--(TRIM(hospitalityq!C6:C397)=TRIM(hospitalityq!C397)))&gt;1)</f>
        <v>0</v>
      </c>
      <c r="D397">
        <f>NOT(hospitalityq!D397="")*(COUNTIF(reference!$C$17:$C$18,TRIM(hospitalityq!D397))=0)</f>
        <v>0</v>
      </c>
      <c r="J397">
        <f>NOT(hospitalityq!J397="")*(NOT(ISNUMBER(hospitalityq!J397+0)))</f>
        <v>0</v>
      </c>
      <c r="K397">
        <f>NOT(hospitalityq!K397="")*(NOT(ISNUMBER(hospitalityq!K397+0)))</f>
        <v>0</v>
      </c>
      <c r="P397">
        <f>NOT(hospitalityq!P397="")*(NOT(IFERROR(INT(hospitalityq!P397)=VALUE(hospitalityq!P397),FALSE)))</f>
        <v>0</v>
      </c>
      <c r="Q397">
        <f>NOT(hospitalityq!Q397="")*(NOT(IFERROR(INT(hospitalityq!Q397)=VALUE(hospitalityq!Q397),FALSE)))</f>
        <v>0</v>
      </c>
      <c r="R397">
        <f>NOT(hospitalityq!R397="")*(NOT(IFERROR(ROUND(VALUE(hospitalityq!R397),2)=VALUE(hospitalityq!R397),FALSE)))</f>
        <v>0</v>
      </c>
    </row>
    <row r="398" spans="1:18" x14ac:dyDescent="0.25">
      <c r="A398">
        <f t="shared" si="6"/>
        <v>0</v>
      </c>
      <c r="C398">
        <f>NOT(hospitalityq!C398="")*(SUMPRODUCT(--(TRIM(hospitalityq!C6:C398)=TRIM(hospitalityq!C398)))&gt;1)</f>
        <v>0</v>
      </c>
      <c r="D398">
        <f>NOT(hospitalityq!D398="")*(COUNTIF(reference!$C$17:$C$18,TRIM(hospitalityq!D398))=0)</f>
        <v>0</v>
      </c>
      <c r="J398">
        <f>NOT(hospitalityq!J398="")*(NOT(ISNUMBER(hospitalityq!J398+0)))</f>
        <v>0</v>
      </c>
      <c r="K398">
        <f>NOT(hospitalityq!K398="")*(NOT(ISNUMBER(hospitalityq!K398+0)))</f>
        <v>0</v>
      </c>
      <c r="P398">
        <f>NOT(hospitalityq!P398="")*(NOT(IFERROR(INT(hospitalityq!P398)=VALUE(hospitalityq!P398),FALSE)))</f>
        <v>0</v>
      </c>
      <c r="Q398">
        <f>NOT(hospitalityq!Q398="")*(NOT(IFERROR(INT(hospitalityq!Q398)=VALUE(hospitalityq!Q398),FALSE)))</f>
        <v>0</v>
      </c>
      <c r="R398">
        <f>NOT(hospitalityq!R398="")*(NOT(IFERROR(ROUND(VALUE(hospitalityq!R398),2)=VALUE(hospitalityq!R398),FALSE)))</f>
        <v>0</v>
      </c>
    </row>
    <row r="399" spans="1:18" x14ac:dyDescent="0.25">
      <c r="A399">
        <f t="shared" si="6"/>
        <v>0</v>
      </c>
      <c r="C399">
        <f>NOT(hospitalityq!C399="")*(SUMPRODUCT(--(TRIM(hospitalityq!C6:C399)=TRIM(hospitalityq!C399)))&gt;1)</f>
        <v>0</v>
      </c>
      <c r="D399">
        <f>NOT(hospitalityq!D399="")*(COUNTIF(reference!$C$17:$C$18,TRIM(hospitalityq!D399))=0)</f>
        <v>0</v>
      </c>
      <c r="J399">
        <f>NOT(hospitalityq!J399="")*(NOT(ISNUMBER(hospitalityq!J399+0)))</f>
        <v>0</v>
      </c>
      <c r="K399">
        <f>NOT(hospitalityq!K399="")*(NOT(ISNUMBER(hospitalityq!K399+0)))</f>
        <v>0</v>
      </c>
      <c r="P399">
        <f>NOT(hospitalityq!P399="")*(NOT(IFERROR(INT(hospitalityq!P399)=VALUE(hospitalityq!P399),FALSE)))</f>
        <v>0</v>
      </c>
      <c r="Q399">
        <f>NOT(hospitalityq!Q399="")*(NOT(IFERROR(INT(hospitalityq!Q399)=VALUE(hospitalityq!Q399),FALSE)))</f>
        <v>0</v>
      </c>
      <c r="R399">
        <f>NOT(hospitalityq!R399="")*(NOT(IFERROR(ROUND(VALUE(hospitalityq!R399),2)=VALUE(hospitalityq!R399),FALSE)))</f>
        <v>0</v>
      </c>
    </row>
    <row r="400" spans="1:18" x14ac:dyDescent="0.25">
      <c r="A400">
        <f t="shared" si="6"/>
        <v>0</v>
      </c>
      <c r="C400">
        <f>NOT(hospitalityq!C400="")*(SUMPRODUCT(--(TRIM(hospitalityq!C6:C400)=TRIM(hospitalityq!C400)))&gt;1)</f>
        <v>0</v>
      </c>
      <c r="D400">
        <f>NOT(hospitalityq!D400="")*(COUNTIF(reference!$C$17:$C$18,TRIM(hospitalityq!D400))=0)</f>
        <v>0</v>
      </c>
      <c r="J400">
        <f>NOT(hospitalityq!J400="")*(NOT(ISNUMBER(hospitalityq!J400+0)))</f>
        <v>0</v>
      </c>
      <c r="K400">
        <f>NOT(hospitalityq!K400="")*(NOT(ISNUMBER(hospitalityq!K400+0)))</f>
        <v>0</v>
      </c>
      <c r="P400">
        <f>NOT(hospitalityq!P400="")*(NOT(IFERROR(INT(hospitalityq!P400)=VALUE(hospitalityq!P400),FALSE)))</f>
        <v>0</v>
      </c>
      <c r="Q400">
        <f>NOT(hospitalityq!Q400="")*(NOT(IFERROR(INT(hospitalityq!Q400)=VALUE(hospitalityq!Q400),FALSE)))</f>
        <v>0</v>
      </c>
      <c r="R400">
        <f>NOT(hospitalityq!R400="")*(NOT(IFERROR(ROUND(VALUE(hospitalityq!R400),2)=VALUE(hospitalityq!R400),FALSE)))</f>
        <v>0</v>
      </c>
    </row>
    <row r="401" spans="1:18" x14ac:dyDescent="0.25">
      <c r="A401">
        <f t="shared" si="6"/>
        <v>0</v>
      </c>
      <c r="C401">
        <f>NOT(hospitalityq!C401="")*(SUMPRODUCT(--(TRIM(hospitalityq!C6:C401)=TRIM(hospitalityq!C401)))&gt;1)</f>
        <v>0</v>
      </c>
      <c r="D401">
        <f>NOT(hospitalityq!D401="")*(COUNTIF(reference!$C$17:$C$18,TRIM(hospitalityq!D401))=0)</f>
        <v>0</v>
      </c>
      <c r="J401">
        <f>NOT(hospitalityq!J401="")*(NOT(ISNUMBER(hospitalityq!J401+0)))</f>
        <v>0</v>
      </c>
      <c r="K401">
        <f>NOT(hospitalityq!K401="")*(NOT(ISNUMBER(hospitalityq!K401+0)))</f>
        <v>0</v>
      </c>
      <c r="P401">
        <f>NOT(hospitalityq!P401="")*(NOT(IFERROR(INT(hospitalityq!P401)=VALUE(hospitalityq!P401),FALSE)))</f>
        <v>0</v>
      </c>
      <c r="Q401">
        <f>NOT(hospitalityq!Q401="")*(NOT(IFERROR(INT(hospitalityq!Q401)=VALUE(hospitalityq!Q401),FALSE)))</f>
        <v>0</v>
      </c>
      <c r="R401">
        <f>NOT(hospitalityq!R401="")*(NOT(IFERROR(ROUND(VALUE(hospitalityq!R401),2)=VALUE(hospitalityq!R401),FALSE)))</f>
        <v>0</v>
      </c>
    </row>
    <row r="402" spans="1:18" x14ac:dyDescent="0.25">
      <c r="A402">
        <f t="shared" si="6"/>
        <v>0</v>
      </c>
      <c r="C402">
        <f>NOT(hospitalityq!C402="")*(SUMPRODUCT(--(TRIM(hospitalityq!C6:C402)=TRIM(hospitalityq!C402)))&gt;1)</f>
        <v>0</v>
      </c>
      <c r="D402">
        <f>NOT(hospitalityq!D402="")*(COUNTIF(reference!$C$17:$C$18,TRIM(hospitalityq!D402))=0)</f>
        <v>0</v>
      </c>
      <c r="J402">
        <f>NOT(hospitalityq!J402="")*(NOT(ISNUMBER(hospitalityq!J402+0)))</f>
        <v>0</v>
      </c>
      <c r="K402">
        <f>NOT(hospitalityq!K402="")*(NOT(ISNUMBER(hospitalityq!K402+0)))</f>
        <v>0</v>
      </c>
      <c r="P402">
        <f>NOT(hospitalityq!P402="")*(NOT(IFERROR(INT(hospitalityq!P402)=VALUE(hospitalityq!P402),FALSE)))</f>
        <v>0</v>
      </c>
      <c r="Q402">
        <f>NOT(hospitalityq!Q402="")*(NOT(IFERROR(INT(hospitalityq!Q402)=VALUE(hospitalityq!Q402),FALSE)))</f>
        <v>0</v>
      </c>
      <c r="R402">
        <f>NOT(hospitalityq!R402="")*(NOT(IFERROR(ROUND(VALUE(hospitalityq!R402),2)=VALUE(hospitalityq!R402),FALSE)))</f>
        <v>0</v>
      </c>
    </row>
    <row r="403" spans="1:18" x14ac:dyDescent="0.25">
      <c r="A403">
        <f t="shared" si="6"/>
        <v>0</v>
      </c>
      <c r="C403">
        <f>NOT(hospitalityq!C403="")*(SUMPRODUCT(--(TRIM(hospitalityq!C6:C403)=TRIM(hospitalityq!C403)))&gt;1)</f>
        <v>0</v>
      </c>
      <c r="D403">
        <f>NOT(hospitalityq!D403="")*(COUNTIF(reference!$C$17:$C$18,TRIM(hospitalityq!D403))=0)</f>
        <v>0</v>
      </c>
      <c r="J403">
        <f>NOT(hospitalityq!J403="")*(NOT(ISNUMBER(hospitalityq!J403+0)))</f>
        <v>0</v>
      </c>
      <c r="K403">
        <f>NOT(hospitalityq!K403="")*(NOT(ISNUMBER(hospitalityq!K403+0)))</f>
        <v>0</v>
      </c>
      <c r="P403">
        <f>NOT(hospitalityq!P403="")*(NOT(IFERROR(INT(hospitalityq!P403)=VALUE(hospitalityq!P403),FALSE)))</f>
        <v>0</v>
      </c>
      <c r="Q403">
        <f>NOT(hospitalityq!Q403="")*(NOT(IFERROR(INT(hospitalityq!Q403)=VALUE(hospitalityq!Q403),FALSE)))</f>
        <v>0</v>
      </c>
      <c r="R403">
        <f>NOT(hospitalityq!R403="")*(NOT(IFERROR(ROUND(VALUE(hospitalityq!R403),2)=VALUE(hospitalityq!R403),FALSE)))</f>
        <v>0</v>
      </c>
    </row>
    <row r="404" spans="1:18" x14ac:dyDescent="0.25">
      <c r="A404">
        <f t="shared" si="6"/>
        <v>0</v>
      </c>
      <c r="C404">
        <f>NOT(hospitalityq!C404="")*(SUMPRODUCT(--(TRIM(hospitalityq!C6:C404)=TRIM(hospitalityq!C404)))&gt;1)</f>
        <v>0</v>
      </c>
      <c r="D404">
        <f>NOT(hospitalityq!D404="")*(COUNTIF(reference!$C$17:$C$18,TRIM(hospitalityq!D404))=0)</f>
        <v>0</v>
      </c>
      <c r="J404">
        <f>NOT(hospitalityq!J404="")*(NOT(ISNUMBER(hospitalityq!J404+0)))</f>
        <v>0</v>
      </c>
      <c r="K404">
        <f>NOT(hospitalityq!K404="")*(NOT(ISNUMBER(hospitalityq!K404+0)))</f>
        <v>0</v>
      </c>
      <c r="P404">
        <f>NOT(hospitalityq!P404="")*(NOT(IFERROR(INT(hospitalityq!P404)=VALUE(hospitalityq!P404),FALSE)))</f>
        <v>0</v>
      </c>
      <c r="Q404">
        <f>NOT(hospitalityq!Q404="")*(NOT(IFERROR(INT(hospitalityq!Q404)=VALUE(hospitalityq!Q404),FALSE)))</f>
        <v>0</v>
      </c>
      <c r="R404">
        <f>NOT(hospitalityq!R404="")*(NOT(IFERROR(ROUND(VALUE(hospitalityq!R404),2)=VALUE(hospitalityq!R404),FALSE)))</f>
        <v>0</v>
      </c>
    </row>
    <row r="405" spans="1:18" x14ac:dyDescent="0.25">
      <c r="A405">
        <f t="shared" si="6"/>
        <v>0</v>
      </c>
      <c r="C405">
        <f>NOT(hospitalityq!C405="")*(SUMPRODUCT(--(TRIM(hospitalityq!C6:C405)=TRIM(hospitalityq!C405)))&gt;1)</f>
        <v>0</v>
      </c>
      <c r="D405">
        <f>NOT(hospitalityq!D405="")*(COUNTIF(reference!$C$17:$C$18,TRIM(hospitalityq!D405))=0)</f>
        <v>0</v>
      </c>
      <c r="J405">
        <f>NOT(hospitalityq!J405="")*(NOT(ISNUMBER(hospitalityq!J405+0)))</f>
        <v>0</v>
      </c>
      <c r="K405">
        <f>NOT(hospitalityq!K405="")*(NOT(ISNUMBER(hospitalityq!K405+0)))</f>
        <v>0</v>
      </c>
      <c r="P405">
        <f>NOT(hospitalityq!P405="")*(NOT(IFERROR(INT(hospitalityq!P405)=VALUE(hospitalityq!P405),FALSE)))</f>
        <v>0</v>
      </c>
      <c r="Q405">
        <f>NOT(hospitalityq!Q405="")*(NOT(IFERROR(INT(hospitalityq!Q405)=VALUE(hospitalityq!Q405),FALSE)))</f>
        <v>0</v>
      </c>
      <c r="R405">
        <f>NOT(hospitalityq!R405="")*(NOT(IFERROR(ROUND(VALUE(hospitalityq!R405),2)=VALUE(hospitalityq!R405),FALSE)))</f>
        <v>0</v>
      </c>
    </row>
    <row r="406" spans="1:18" x14ac:dyDescent="0.25">
      <c r="A406">
        <f t="shared" si="6"/>
        <v>0</v>
      </c>
      <c r="C406">
        <f>NOT(hospitalityq!C406="")*(SUMPRODUCT(--(TRIM(hospitalityq!C6:C406)=TRIM(hospitalityq!C406)))&gt;1)</f>
        <v>0</v>
      </c>
      <c r="D406">
        <f>NOT(hospitalityq!D406="")*(COUNTIF(reference!$C$17:$C$18,TRIM(hospitalityq!D406))=0)</f>
        <v>0</v>
      </c>
      <c r="J406">
        <f>NOT(hospitalityq!J406="")*(NOT(ISNUMBER(hospitalityq!J406+0)))</f>
        <v>0</v>
      </c>
      <c r="K406">
        <f>NOT(hospitalityq!K406="")*(NOT(ISNUMBER(hospitalityq!K406+0)))</f>
        <v>0</v>
      </c>
      <c r="P406">
        <f>NOT(hospitalityq!P406="")*(NOT(IFERROR(INT(hospitalityq!P406)=VALUE(hospitalityq!P406),FALSE)))</f>
        <v>0</v>
      </c>
      <c r="Q406">
        <f>NOT(hospitalityq!Q406="")*(NOT(IFERROR(INT(hospitalityq!Q406)=VALUE(hospitalityq!Q406),FALSE)))</f>
        <v>0</v>
      </c>
      <c r="R406">
        <f>NOT(hospitalityq!R406="")*(NOT(IFERROR(ROUND(VALUE(hospitalityq!R406),2)=VALUE(hospitalityq!R406),FALSE)))</f>
        <v>0</v>
      </c>
    </row>
    <row r="407" spans="1:18" x14ac:dyDescent="0.25">
      <c r="A407">
        <f t="shared" si="6"/>
        <v>0</v>
      </c>
      <c r="C407">
        <f>NOT(hospitalityq!C407="")*(SUMPRODUCT(--(TRIM(hospitalityq!C6:C407)=TRIM(hospitalityq!C407)))&gt;1)</f>
        <v>0</v>
      </c>
      <c r="D407">
        <f>NOT(hospitalityq!D407="")*(COUNTIF(reference!$C$17:$C$18,TRIM(hospitalityq!D407))=0)</f>
        <v>0</v>
      </c>
      <c r="J407">
        <f>NOT(hospitalityq!J407="")*(NOT(ISNUMBER(hospitalityq!J407+0)))</f>
        <v>0</v>
      </c>
      <c r="K407">
        <f>NOT(hospitalityq!K407="")*(NOT(ISNUMBER(hospitalityq!K407+0)))</f>
        <v>0</v>
      </c>
      <c r="P407">
        <f>NOT(hospitalityq!P407="")*(NOT(IFERROR(INT(hospitalityq!P407)=VALUE(hospitalityq!P407),FALSE)))</f>
        <v>0</v>
      </c>
      <c r="Q407">
        <f>NOT(hospitalityq!Q407="")*(NOT(IFERROR(INT(hospitalityq!Q407)=VALUE(hospitalityq!Q407),FALSE)))</f>
        <v>0</v>
      </c>
      <c r="R407">
        <f>NOT(hospitalityq!R407="")*(NOT(IFERROR(ROUND(VALUE(hospitalityq!R407),2)=VALUE(hospitalityq!R407),FALSE)))</f>
        <v>0</v>
      </c>
    </row>
    <row r="408" spans="1:18" x14ac:dyDescent="0.25">
      <c r="A408">
        <f t="shared" si="6"/>
        <v>0</v>
      </c>
      <c r="C408">
        <f>NOT(hospitalityq!C408="")*(SUMPRODUCT(--(TRIM(hospitalityq!C6:C408)=TRIM(hospitalityq!C408)))&gt;1)</f>
        <v>0</v>
      </c>
      <c r="D408">
        <f>NOT(hospitalityq!D408="")*(COUNTIF(reference!$C$17:$C$18,TRIM(hospitalityq!D408))=0)</f>
        <v>0</v>
      </c>
      <c r="J408">
        <f>NOT(hospitalityq!J408="")*(NOT(ISNUMBER(hospitalityq!J408+0)))</f>
        <v>0</v>
      </c>
      <c r="K408">
        <f>NOT(hospitalityq!K408="")*(NOT(ISNUMBER(hospitalityq!K408+0)))</f>
        <v>0</v>
      </c>
      <c r="P408">
        <f>NOT(hospitalityq!P408="")*(NOT(IFERROR(INT(hospitalityq!P408)=VALUE(hospitalityq!P408),FALSE)))</f>
        <v>0</v>
      </c>
      <c r="Q408">
        <f>NOT(hospitalityq!Q408="")*(NOT(IFERROR(INT(hospitalityq!Q408)=VALUE(hospitalityq!Q408),FALSE)))</f>
        <v>0</v>
      </c>
      <c r="R408">
        <f>NOT(hospitalityq!R408="")*(NOT(IFERROR(ROUND(VALUE(hospitalityq!R408),2)=VALUE(hospitalityq!R408),FALSE)))</f>
        <v>0</v>
      </c>
    </row>
    <row r="409" spans="1:18" x14ac:dyDescent="0.25">
      <c r="A409">
        <f t="shared" si="6"/>
        <v>0</v>
      </c>
      <c r="C409">
        <f>NOT(hospitalityq!C409="")*(SUMPRODUCT(--(TRIM(hospitalityq!C6:C409)=TRIM(hospitalityq!C409)))&gt;1)</f>
        <v>0</v>
      </c>
      <c r="D409">
        <f>NOT(hospitalityq!D409="")*(COUNTIF(reference!$C$17:$C$18,TRIM(hospitalityq!D409))=0)</f>
        <v>0</v>
      </c>
      <c r="J409">
        <f>NOT(hospitalityq!J409="")*(NOT(ISNUMBER(hospitalityq!J409+0)))</f>
        <v>0</v>
      </c>
      <c r="K409">
        <f>NOT(hospitalityq!K409="")*(NOT(ISNUMBER(hospitalityq!K409+0)))</f>
        <v>0</v>
      </c>
      <c r="P409">
        <f>NOT(hospitalityq!P409="")*(NOT(IFERROR(INT(hospitalityq!P409)=VALUE(hospitalityq!P409),FALSE)))</f>
        <v>0</v>
      </c>
      <c r="Q409">
        <f>NOT(hospitalityq!Q409="")*(NOT(IFERROR(INT(hospitalityq!Q409)=VALUE(hospitalityq!Q409),FALSE)))</f>
        <v>0</v>
      </c>
      <c r="R409">
        <f>NOT(hospitalityq!R409="")*(NOT(IFERROR(ROUND(VALUE(hospitalityq!R409),2)=VALUE(hospitalityq!R409),FALSE)))</f>
        <v>0</v>
      </c>
    </row>
    <row r="410" spans="1:18" x14ac:dyDescent="0.25">
      <c r="A410">
        <f t="shared" si="6"/>
        <v>0</v>
      </c>
      <c r="C410">
        <f>NOT(hospitalityq!C410="")*(SUMPRODUCT(--(TRIM(hospitalityq!C6:C410)=TRIM(hospitalityq!C410)))&gt;1)</f>
        <v>0</v>
      </c>
      <c r="D410">
        <f>NOT(hospitalityq!D410="")*(COUNTIF(reference!$C$17:$C$18,TRIM(hospitalityq!D410))=0)</f>
        <v>0</v>
      </c>
      <c r="J410">
        <f>NOT(hospitalityq!J410="")*(NOT(ISNUMBER(hospitalityq!J410+0)))</f>
        <v>0</v>
      </c>
      <c r="K410">
        <f>NOT(hospitalityq!K410="")*(NOT(ISNUMBER(hospitalityq!K410+0)))</f>
        <v>0</v>
      </c>
      <c r="P410">
        <f>NOT(hospitalityq!P410="")*(NOT(IFERROR(INT(hospitalityq!P410)=VALUE(hospitalityq!P410),FALSE)))</f>
        <v>0</v>
      </c>
      <c r="Q410">
        <f>NOT(hospitalityq!Q410="")*(NOT(IFERROR(INT(hospitalityq!Q410)=VALUE(hospitalityq!Q410),FALSE)))</f>
        <v>0</v>
      </c>
      <c r="R410">
        <f>NOT(hospitalityq!R410="")*(NOT(IFERROR(ROUND(VALUE(hospitalityq!R410),2)=VALUE(hospitalityq!R410),FALSE)))</f>
        <v>0</v>
      </c>
    </row>
    <row r="411" spans="1:18" x14ac:dyDescent="0.25">
      <c r="A411">
        <f t="shared" si="6"/>
        <v>0</v>
      </c>
      <c r="C411">
        <f>NOT(hospitalityq!C411="")*(SUMPRODUCT(--(TRIM(hospitalityq!C6:C411)=TRIM(hospitalityq!C411)))&gt;1)</f>
        <v>0</v>
      </c>
      <c r="D411">
        <f>NOT(hospitalityq!D411="")*(COUNTIF(reference!$C$17:$C$18,TRIM(hospitalityq!D411))=0)</f>
        <v>0</v>
      </c>
      <c r="J411">
        <f>NOT(hospitalityq!J411="")*(NOT(ISNUMBER(hospitalityq!J411+0)))</f>
        <v>0</v>
      </c>
      <c r="K411">
        <f>NOT(hospitalityq!K411="")*(NOT(ISNUMBER(hospitalityq!K411+0)))</f>
        <v>0</v>
      </c>
      <c r="P411">
        <f>NOT(hospitalityq!P411="")*(NOT(IFERROR(INT(hospitalityq!P411)=VALUE(hospitalityq!P411),FALSE)))</f>
        <v>0</v>
      </c>
      <c r="Q411">
        <f>NOT(hospitalityq!Q411="")*(NOT(IFERROR(INT(hospitalityq!Q411)=VALUE(hospitalityq!Q411),FALSE)))</f>
        <v>0</v>
      </c>
      <c r="R411">
        <f>NOT(hospitalityq!R411="")*(NOT(IFERROR(ROUND(VALUE(hospitalityq!R411),2)=VALUE(hospitalityq!R411),FALSE)))</f>
        <v>0</v>
      </c>
    </row>
    <row r="412" spans="1:18" x14ac:dyDescent="0.25">
      <c r="A412">
        <f t="shared" si="6"/>
        <v>0</v>
      </c>
      <c r="C412">
        <f>NOT(hospitalityq!C412="")*(SUMPRODUCT(--(TRIM(hospitalityq!C6:C412)=TRIM(hospitalityq!C412)))&gt;1)</f>
        <v>0</v>
      </c>
      <c r="D412">
        <f>NOT(hospitalityq!D412="")*(COUNTIF(reference!$C$17:$C$18,TRIM(hospitalityq!D412))=0)</f>
        <v>0</v>
      </c>
      <c r="J412">
        <f>NOT(hospitalityq!J412="")*(NOT(ISNUMBER(hospitalityq!J412+0)))</f>
        <v>0</v>
      </c>
      <c r="K412">
        <f>NOT(hospitalityq!K412="")*(NOT(ISNUMBER(hospitalityq!K412+0)))</f>
        <v>0</v>
      </c>
      <c r="P412">
        <f>NOT(hospitalityq!P412="")*(NOT(IFERROR(INT(hospitalityq!P412)=VALUE(hospitalityq!P412),FALSE)))</f>
        <v>0</v>
      </c>
      <c r="Q412">
        <f>NOT(hospitalityq!Q412="")*(NOT(IFERROR(INT(hospitalityq!Q412)=VALUE(hospitalityq!Q412),FALSE)))</f>
        <v>0</v>
      </c>
      <c r="R412">
        <f>NOT(hospitalityq!R412="")*(NOT(IFERROR(ROUND(VALUE(hospitalityq!R412),2)=VALUE(hospitalityq!R412),FALSE)))</f>
        <v>0</v>
      </c>
    </row>
    <row r="413" spans="1:18" x14ac:dyDescent="0.25">
      <c r="A413">
        <f t="shared" si="6"/>
        <v>0</v>
      </c>
      <c r="C413">
        <f>NOT(hospitalityq!C413="")*(SUMPRODUCT(--(TRIM(hospitalityq!C6:C413)=TRIM(hospitalityq!C413)))&gt;1)</f>
        <v>0</v>
      </c>
      <c r="D413">
        <f>NOT(hospitalityq!D413="")*(COUNTIF(reference!$C$17:$C$18,TRIM(hospitalityq!D413))=0)</f>
        <v>0</v>
      </c>
      <c r="J413">
        <f>NOT(hospitalityq!J413="")*(NOT(ISNUMBER(hospitalityq!J413+0)))</f>
        <v>0</v>
      </c>
      <c r="K413">
        <f>NOT(hospitalityq!K413="")*(NOT(ISNUMBER(hospitalityq!K413+0)))</f>
        <v>0</v>
      </c>
      <c r="P413">
        <f>NOT(hospitalityq!P413="")*(NOT(IFERROR(INT(hospitalityq!P413)=VALUE(hospitalityq!P413),FALSE)))</f>
        <v>0</v>
      </c>
      <c r="Q413">
        <f>NOT(hospitalityq!Q413="")*(NOT(IFERROR(INT(hospitalityq!Q413)=VALUE(hospitalityq!Q413),FALSE)))</f>
        <v>0</v>
      </c>
      <c r="R413">
        <f>NOT(hospitalityq!R413="")*(NOT(IFERROR(ROUND(VALUE(hospitalityq!R413),2)=VALUE(hospitalityq!R413),FALSE)))</f>
        <v>0</v>
      </c>
    </row>
    <row r="414" spans="1:18" x14ac:dyDescent="0.25">
      <c r="A414">
        <f t="shared" si="6"/>
        <v>0</v>
      </c>
      <c r="C414">
        <f>NOT(hospitalityq!C414="")*(SUMPRODUCT(--(TRIM(hospitalityq!C6:C414)=TRIM(hospitalityq!C414)))&gt;1)</f>
        <v>0</v>
      </c>
      <c r="D414">
        <f>NOT(hospitalityq!D414="")*(COUNTIF(reference!$C$17:$C$18,TRIM(hospitalityq!D414))=0)</f>
        <v>0</v>
      </c>
      <c r="J414">
        <f>NOT(hospitalityq!J414="")*(NOT(ISNUMBER(hospitalityq!J414+0)))</f>
        <v>0</v>
      </c>
      <c r="K414">
        <f>NOT(hospitalityq!K414="")*(NOT(ISNUMBER(hospitalityq!K414+0)))</f>
        <v>0</v>
      </c>
      <c r="P414">
        <f>NOT(hospitalityq!P414="")*(NOT(IFERROR(INT(hospitalityq!P414)=VALUE(hospitalityq!P414),FALSE)))</f>
        <v>0</v>
      </c>
      <c r="Q414">
        <f>NOT(hospitalityq!Q414="")*(NOT(IFERROR(INT(hospitalityq!Q414)=VALUE(hospitalityq!Q414),FALSE)))</f>
        <v>0</v>
      </c>
      <c r="R414">
        <f>NOT(hospitalityq!R414="")*(NOT(IFERROR(ROUND(VALUE(hospitalityq!R414),2)=VALUE(hospitalityq!R414),FALSE)))</f>
        <v>0</v>
      </c>
    </row>
    <row r="415" spans="1:18" x14ac:dyDescent="0.25">
      <c r="A415">
        <f t="shared" si="6"/>
        <v>0</v>
      </c>
      <c r="C415">
        <f>NOT(hospitalityq!C415="")*(SUMPRODUCT(--(TRIM(hospitalityq!C6:C415)=TRIM(hospitalityq!C415)))&gt;1)</f>
        <v>0</v>
      </c>
      <c r="D415">
        <f>NOT(hospitalityq!D415="")*(COUNTIF(reference!$C$17:$C$18,TRIM(hospitalityq!D415))=0)</f>
        <v>0</v>
      </c>
      <c r="J415">
        <f>NOT(hospitalityq!J415="")*(NOT(ISNUMBER(hospitalityq!J415+0)))</f>
        <v>0</v>
      </c>
      <c r="K415">
        <f>NOT(hospitalityq!K415="")*(NOT(ISNUMBER(hospitalityq!K415+0)))</f>
        <v>0</v>
      </c>
      <c r="P415">
        <f>NOT(hospitalityq!P415="")*(NOT(IFERROR(INT(hospitalityq!P415)=VALUE(hospitalityq!P415),FALSE)))</f>
        <v>0</v>
      </c>
      <c r="Q415">
        <f>NOT(hospitalityq!Q415="")*(NOT(IFERROR(INT(hospitalityq!Q415)=VALUE(hospitalityq!Q415),FALSE)))</f>
        <v>0</v>
      </c>
      <c r="R415">
        <f>NOT(hospitalityq!R415="")*(NOT(IFERROR(ROUND(VALUE(hospitalityq!R415),2)=VALUE(hospitalityq!R415),FALSE)))</f>
        <v>0</v>
      </c>
    </row>
    <row r="416" spans="1:18" x14ac:dyDescent="0.25">
      <c r="A416">
        <f t="shared" si="6"/>
        <v>0</v>
      </c>
      <c r="C416">
        <f>NOT(hospitalityq!C416="")*(SUMPRODUCT(--(TRIM(hospitalityq!C6:C416)=TRIM(hospitalityq!C416)))&gt;1)</f>
        <v>0</v>
      </c>
      <c r="D416">
        <f>NOT(hospitalityq!D416="")*(COUNTIF(reference!$C$17:$C$18,TRIM(hospitalityq!D416))=0)</f>
        <v>0</v>
      </c>
      <c r="J416">
        <f>NOT(hospitalityq!J416="")*(NOT(ISNUMBER(hospitalityq!J416+0)))</f>
        <v>0</v>
      </c>
      <c r="K416">
        <f>NOT(hospitalityq!K416="")*(NOT(ISNUMBER(hospitalityq!K416+0)))</f>
        <v>0</v>
      </c>
      <c r="P416">
        <f>NOT(hospitalityq!P416="")*(NOT(IFERROR(INT(hospitalityq!P416)=VALUE(hospitalityq!P416),FALSE)))</f>
        <v>0</v>
      </c>
      <c r="Q416">
        <f>NOT(hospitalityq!Q416="")*(NOT(IFERROR(INT(hospitalityq!Q416)=VALUE(hospitalityq!Q416),FALSE)))</f>
        <v>0</v>
      </c>
      <c r="R416">
        <f>NOT(hospitalityq!R416="")*(NOT(IFERROR(ROUND(VALUE(hospitalityq!R416),2)=VALUE(hospitalityq!R416),FALSE)))</f>
        <v>0</v>
      </c>
    </row>
    <row r="417" spans="1:18" x14ac:dyDescent="0.25">
      <c r="A417">
        <f t="shared" si="6"/>
        <v>0</v>
      </c>
      <c r="C417">
        <f>NOT(hospitalityq!C417="")*(SUMPRODUCT(--(TRIM(hospitalityq!C6:C417)=TRIM(hospitalityq!C417)))&gt;1)</f>
        <v>0</v>
      </c>
      <c r="D417">
        <f>NOT(hospitalityq!D417="")*(COUNTIF(reference!$C$17:$C$18,TRIM(hospitalityq!D417))=0)</f>
        <v>0</v>
      </c>
      <c r="J417">
        <f>NOT(hospitalityq!J417="")*(NOT(ISNUMBER(hospitalityq!J417+0)))</f>
        <v>0</v>
      </c>
      <c r="K417">
        <f>NOT(hospitalityq!K417="")*(NOT(ISNUMBER(hospitalityq!K417+0)))</f>
        <v>0</v>
      </c>
      <c r="P417">
        <f>NOT(hospitalityq!P417="")*(NOT(IFERROR(INT(hospitalityq!P417)=VALUE(hospitalityq!P417),FALSE)))</f>
        <v>0</v>
      </c>
      <c r="Q417">
        <f>NOT(hospitalityq!Q417="")*(NOT(IFERROR(INT(hospitalityq!Q417)=VALUE(hospitalityq!Q417),FALSE)))</f>
        <v>0</v>
      </c>
      <c r="R417">
        <f>NOT(hospitalityq!R417="")*(NOT(IFERROR(ROUND(VALUE(hospitalityq!R417),2)=VALUE(hospitalityq!R417),FALSE)))</f>
        <v>0</v>
      </c>
    </row>
    <row r="418" spans="1:18" x14ac:dyDescent="0.25">
      <c r="A418">
        <f t="shared" si="6"/>
        <v>0</v>
      </c>
      <c r="C418">
        <f>NOT(hospitalityq!C418="")*(SUMPRODUCT(--(TRIM(hospitalityq!C6:C418)=TRIM(hospitalityq!C418)))&gt;1)</f>
        <v>0</v>
      </c>
      <c r="D418">
        <f>NOT(hospitalityq!D418="")*(COUNTIF(reference!$C$17:$C$18,TRIM(hospitalityq!D418))=0)</f>
        <v>0</v>
      </c>
      <c r="J418">
        <f>NOT(hospitalityq!J418="")*(NOT(ISNUMBER(hospitalityq!J418+0)))</f>
        <v>0</v>
      </c>
      <c r="K418">
        <f>NOT(hospitalityq!K418="")*(NOT(ISNUMBER(hospitalityq!K418+0)))</f>
        <v>0</v>
      </c>
      <c r="P418">
        <f>NOT(hospitalityq!P418="")*(NOT(IFERROR(INT(hospitalityq!P418)=VALUE(hospitalityq!P418),FALSE)))</f>
        <v>0</v>
      </c>
      <c r="Q418">
        <f>NOT(hospitalityq!Q418="")*(NOT(IFERROR(INT(hospitalityq!Q418)=VALUE(hospitalityq!Q418),FALSE)))</f>
        <v>0</v>
      </c>
      <c r="R418">
        <f>NOT(hospitalityq!R418="")*(NOT(IFERROR(ROUND(VALUE(hospitalityq!R418),2)=VALUE(hospitalityq!R418),FALSE)))</f>
        <v>0</v>
      </c>
    </row>
    <row r="419" spans="1:18" x14ac:dyDescent="0.25">
      <c r="A419">
        <f t="shared" si="6"/>
        <v>0</v>
      </c>
      <c r="C419">
        <f>NOT(hospitalityq!C419="")*(SUMPRODUCT(--(TRIM(hospitalityq!C6:C419)=TRIM(hospitalityq!C419)))&gt;1)</f>
        <v>0</v>
      </c>
      <c r="D419">
        <f>NOT(hospitalityq!D419="")*(COUNTIF(reference!$C$17:$C$18,TRIM(hospitalityq!D419))=0)</f>
        <v>0</v>
      </c>
      <c r="J419">
        <f>NOT(hospitalityq!J419="")*(NOT(ISNUMBER(hospitalityq!J419+0)))</f>
        <v>0</v>
      </c>
      <c r="K419">
        <f>NOT(hospitalityq!K419="")*(NOT(ISNUMBER(hospitalityq!K419+0)))</f>
        <v>0</v>
      </c>
      <c r="P419">
        <f>NOT(hospitalityq!P419="")*(NOT(IFERROR(INT(hospitalityq!P419)=VALUE(hospitalityq!P419),FALSE)))</f>
        <v>0</v>
      </c>
      <c r="Q419">
        <f>NOT(hospitalityq!Q419="")*(NOT(IFERROR(INT(hospitalityq!Q419)=VALUE(hospitalityq!Q419),FALSE)))</f>
        <v>0</v>
      </c>
      <c r="R419">
        <f>NOT(hospitalityq!R419="")*(NOT(IFERROR(ROUND(VALUE(hospitalityq!R419),2)=VALUE(hospitalityq!R419),FALSE)))</f>
        <v>0</v>
      </c>
    </row>
    <row r="420" spans="1:18" x14ac:dyDescent="0.25">
      <c r="A420">
        <f t="shared" si="6"/>
        <v>0</v>
      </c>
      <c r="C420">
        <f>NOT(hospitalityq!C420="")*(SUMPRODUCT(--(TRIM(hospitalityq!C6:C420)=TRIM(hospitalityq!C420)))&gt;1)</f>
        <v>0</v>
      </c>
      <c r="D420">
        <f>NOT(hospitalityq!D420="")*(COUNTIF(reference!$C$17:$C$18,TRIM(hospitalityq!D420))=0)</f>
        <v>0</v>
      </c>
      <c r="J420">
        <f>NOT(hospitalityq!J420="")*(NOT(ISNUMBER(hospitalityq!J420+0)))</f>
        <v>0</v>
      </c>
      <c r="K420">
        <f>NOT(hospitalityq!K420="")*(NOT(ISNUMBER(hospitalityq!K420+0)))</f>
        <v>0</v>
      </c>
      <c r="P420">
        <f>NOT(hospitalityq!P420="")*(NOT(IFERROR(INT(hospitalityq!P420)=VALUE(hospitalityq!P420),FALSE)))</f>
        <v>0</v>
      </c>
      <c r="Q420">
        <f>NOT(hospitalityq!Q420="")*(NOT(IFERROR(INT(hospitalityq!Q420)=VALUE(hospitalityq!Q420),FALSE)))</f>
        <v>0</v>
      </c>
      <c r="R420">
        <f>NOT(hospitalityq!R420="")*(NOT(IFERROR(ROUND(VALUE(hospitalityq!R420),2)=VALUE(hospitalityq!R420),FALSE)))</f>
        <v>0</v>
      </c>
    </row>
    <row r="421" spans="1:18" x14ac:dyDescent="0.25">
      <c r="A421">
        <f t="shared" si="6"/>
        <v>0</v>
      </c>
      <c r="C421">
        <f>NOT(hospitalityq!C421="")*(SUMPRODUCT(--(TRIM(hospitalityq!C6:C421)=TRIM(hospitalityq!C421)))&gt;1)</f>
        <v>0</v>
      </c>
      <c r="D421">
        <f>NOT(hospitalityq!D421="")*(COUNTIF(reference!$C$17:$C$18,TRIM(hospitalityq!D421))=0)</f>
        <v>0</v>
      </c>
      <c r="J421">
        <f>NOT(hospitalityq!J421="")*(NOT(ISNUMBER(hospitalityq!J421+0)))</f>
        <v>0</v>
      </c>
      <c r="K421">
        <f>NOT(hospitalityq!K421="")*(NOT(ISNUMBER(hospitalityq!K421+0)))</f>
        <v>0</v>
      </c>
      <c r="P421">
        <f>NOT(hospitalityq!P421="")*(NOT(IFERROR(INT(hospitalityq!P421)=VALUE(hospitalityq!P421),FALSE)))</f>
        <v>0</v>
      </c>
      <c r="Q421">
        <f>NOT(hospitalityq!Q421="")*(NOT(IFERROR(INT(hospitalityq!Q421)=VALUE(hospitalityq!Q421),FALSE)))</f>
        <v>0</v>
      </c>
      <c r="R421">
        <f>NOT(hospitalityq!R421="")*(NOT(IFERROR(ROUND(VALUE(hospitalityq!R421),2)=VALUE(hospitalityq!R421),FALSE)))</f>
        <v>0</v>
      </c>
    </row>
    <row r="422" spans="1:18" x14ac:dyDescent="0.25">
      <c r="A422">
        <f t="shared" si="6"/>
        <v>0</v>
      </c>
      <c r="C422">
        <f>NOT(hospitalityq!C422="")*(SUMPRODUCT(--(TRIM(hospitalityq!C6:C422)=TRIM(hospitalityq!C422)))&gt;1)</f>
        <v>0</v>
      </c>
      <c r="D422">
        <f>NOT(hospitalityq!D422="")*(COUNTIF(reference!$C$17:$C$18,TRIM(hospitalityq!D422))=0)</f>
        <v>0</v>
      </c>
      <c r="J422">
        <f>NOT(hospitalityq!J422="")*(NOT(ISNUMBER(hospitalityq!J422+0)))</f>
        <v>0</v>
      </c>
      <c r="K422">
        <f>NOT(hospitalityq!K422="")*(NOT(ISNUMBER(hospitalityq!K422+0)))</f>
        <v>0</v>
      </c>
      <c r="P422">
        <f>NOT(hospitalityq!P422="")*(NOT(IFERROR(INT(hospitalityq!P422)=VALUE(hospitalityq!P422),FALSE)))</f>
        <v>0</v>
      </c>
      <c r="Q422">
        <f>NOT(hospitalityq!Q422="")*(NOT(IFERROR(INT(hospitalityq!Q422)=VALUE(hospitalityq!Q422),FALSE)))</f>
        <v>0</v>
      </c>
      <c r="R422">
        <f>NOT(hospitalityq!R422="")*(NOT(IFERROR(ROUND(VALUE(hospitalityq!R422),2)=VALUE(hospitalityq!R422),FALSE)))</f>
        <v>0</v>
      </c>
    </row>
    <row r="423" spans="1:18" x14ac:dyDescent="0.25">
      <c r="A423">
        <f t="shared" si="6"/>
        <v>0</v>
      </c>
      <c r="C423">
        <f>NOT(hospitalityq!C423="")*(SUMPRODUCT(--(TRIM(hospitalityq!C6:C423)=TRIM(hospitalityq!C423)))&gt;1)</f>
        <v>0</v>
      </c>
      <c r="D423">
        <f>NOT(hospitalityq!D423="")*(COUNTIF(reference!$C$17:$C$18,TRIM(hospitalityq!D423))=0)</f>
        <v>0</v>
      </c>
      <c r="J423">
        <f>NOT(hospitalityq!J423="")*(NOT(ISNUMBER(hospitalityq!J423+0)))</f>
        <v>0</v>
      </c>
      <c r="K423">
        <f>NOT(hospitalityq!K423="")*(NOT(ISNUMBER(hospitalityq!K423+0)))</f>
        <v>0</v>
      </c>
      <c r="P423">
        <f>NOT(hospitalityq!P423="")*(NOT(IFERROR(INT(hospitalityq!P423)=VALUE(hospitalityq!P423),FALSE)))</f>
        <v>0</v>
      </c>
      <c r="Q423">
        <f>NOT(hospitalityq!Q423="")*(NOT(IFERROR(INT(hospitalityq!Q423)=VALUE(hospitalityq!Q423),FALSE)))</f>
        <v>0</v>
      </c>
      <c r="R423">
        <f>NOT(hospitalityq!R423="")*(NOT(IFERROR(ROUND(VALUE(hospitalityq!R423),2)=VALUE(hospitalityq!R423),FALSE)))</f>
        <v>0</v>
      </c>
    </row>
    <row r="424" spans="1:18" x14ac:dyDescent="0.25">
      <c r="A424">
        <f t="shared" si="6"/>
        <v>0</v>
      </c>
      <c r="C424">
        <f>NOT(hospitalityq!C424="")*(SUMPRODUCT(--(TRIM(hospitalityq!C6:C424)=TRIM(hospitalityq!C424)))&gt;1)</f>
        <v>0</v>
      </c>
      <c r="D424">
        <f>NOT(hospitalityq!D424="")*(COUNTIF(reference!$C$17:$C$18,TRIM(hospitalityq!D424))=0)</f>
        <v>0</v>
      </c>
      <c r="J424">
        <f>NOT(hospitalityq!J424="")*(NOT(ISNUMBER(hospitalityq!J424+0)))</f>
        <v>0</v>
      </c>
      <c r="K424">
        <f>NOT(hospitalityq!K424="")*(NOT(ISNUMBER(hospitalityq!K424+0)))</f>
        <v>0</v>
      </c>
      <c r="P424">
        <f>NOT(hospitalityq!P424="")*(NOT(IFERROR(INT(hospitalityq!P424)=VALUE(hospitalityq!P424),FALSE)))</f>
        <v>0</v>
      </c>
      <c r="Q424">
        <f>NOT(hospitalityq!Q424="")*(NOT(IFERROR(INT(hospitalityq!Q424)=VALUE(hospitalityq!Q424),FALSE)))</f>
        <v>0</v>
      </c>
      <c r="R424">
        <f>NOT(hospitalityq!R424="")*(NOT(IFERROR(ROUND(VALUE(hospitalityq!R424),2)=VALUE(hospitalityq!R424),FALSE)))</f>
        <v>0</v>
      </c>
    </row>
    <row r="425" spans="1:18" x14ac:dyDescent="0.25">
      <c r="A425">
        <f t="shared" si="6"/>
        <v>0</v>
      </c>
      <c r="C425">
        <f>NOT(hospitalityq!C425="")*(SUMPRODUCT(--(TRIM(hospitalityq!C6:C425)=TRIM(hospitalityq!C425)))&gt;1)</f>
        <v>0</v>
      </c>
      <c r="D425">
        <f>NOT(hospitalityq!D425="")*(COUNTIF(reference!$C$17:$C$18,TRIM(hospitalityq!D425))=0)</f>
        <v>0</v>
      </c>
      <c r="J425">
        <f>NOT(hospitalityq!J425="")*(NOT(ISNUMBER(hospitalityq!J425+0)))</f>
        <v>0</v>
      </c>
      <c r="K425">
        <f>NOT(hospitalityq!K425="")*(NOT(ISNUMBER(hospitalityq!K425+0)))</f>
        <v>0</v>
      </c>
      <c r="P425">
        <f>NOT(hospitalityq!P425="")*(NOT(IFERROR(INT(hospitalityq!P425)=VALUE(hospitalityq!P425),FALSE)))</f>
        <v>0</v>
      </c>
      <c r="Q425">
        <f>NOT(hospitalityq!Q425="")*(NOT(IFERROR(INT(hospitalityq!Q425)=VALUE(hospitalityq!Q425),FALSE)))</f>
        <v>0</v>
      </c>
      <c r="R425">
        <f>NOT(hospitalityq!R425="")*(NOT(IFERROR(ROUND(VALUE(hospitalityq!R425),2)=VALUE(hospitalityq!R425),FALSE)))</f>
        <v>0</v>
      </c>
    </row>
    <row r="426" spans="1:18" x14ac:dyDescent="0.25">
      <c r="A426">
        <f t="shared" si="6"/>
        <v>0</v>
      </c>
      <c r="C426">
        <f>NOT(hospitalityq!C426="")*(SUMPRODUCT(--(TRIM(hospitalityq!C6:C426)=TRIM(hospitalityq!C426)))&gt;1)</f>
        <v>0</v>
      </c>
      <c r="D426">
        <f>NOT(hospitalityq!D426="")*(COUNTIF(reference!$C$17:$C$18,TRIM(hospitalityq!D426))=0)</f>
        <v>0</v>
      </c>
      <c r="J426">
        <f>NOT(hospitalityq!J426="")*(NOT(ISNUMBER(hospitalityq!J426+0)))</f>
        <v>0</v>
      </c>
      <c r="K426">
        <f>NOT(hospitalityq!K426="")*(NOT(ISNUMBER(hospitalityq!K426+0)))</f>
        <v>0</v>
      </c>
      <c r="P426">
        <f>NOT(hospitalityq!P426="")*(NOT(IFERROR(INT(hospitalityq!P426)=VALUE(hospitalityq!P426),FALSE)))</f>
        <v>0</v>
      </c>
      <c r="Q426">
        <f>NOT(hospitalityq!Q426="")*(NOT(IFERROR(INT(hospitalityq!Q426)=VALUE(hospitalityq!Q426),FALSE)))</f>
        <v>0</v>
      </c>
      <c r="R426">
        <f>NOT(hospitalityq!R426="")*(NOT(IFERROR(ROUND(VALUE(hospitalityq!R426),2)=VALUE(hospitalityq!R426),FALSE)))</f>
        <v>0</v>
      </c>
    </row>
    <row r="427" spans="1:18" x14ac:dyDescent="0.25">
      <c r="A427">
        <f t="shared" si="6"/>
        <v>0</v>
      </c>
      <c r="C427">
        <f>NOT(hospitalityq!C427="")*(SUMPRODUCT(--(TRIM(hospitalityq!C6:C427)=TRIM(hospitalityq!C427)))&gt;1)</f>
        <v>0</v>
      </c>
      <c r="D427">
        <f>NOT(hospitalityq!D427="")*(COUNTIF(reference!$C$17:$C$18,TRIM(hospitalityq!D427))=0)</f>
        <v>0</v>
      </c>
      <c r="J427">
        <f>NOT(hospitalityq!J427="")*(NOT(ISNUMBER(hospitalityq!J427+0)))</f>
        <v>0</v>
      </c>
      <c r="K427">
        <f>NOT(hospitalityq!K427="")*(NOT(ISNUMBER(hospitalityq!K427+0)))</f>
        <v>0</v>
      </c>
      <c r="P427">
        <f>NOT(hospitalityq!P427="")*(NOT(IFERROR(INT(hospitalityq!P427)=VALUE(hospitalityq!P427),FALSE)))</f>
        <v>0</v>
      </c>
      <c r="Q427">
        <f>NOT(hospitalityq!Q427="")*(NOT(IFERROR(INT(hospitalityq!Q427)=VALUE(hospitalityq!Q427),FALSE)))</f>
        <v>0</v>
      </c>
      <c r="R427">
        <f>NOT(hospitalityq!R427="")*(NOT(IFERROR(ROUND(VALUE(hospitalityq!R427),2)=VALUE(hospitalityq!R427),FALSE)))</f>
        <v>0</v>
      </c>
    </row>
    <row r="428" spans="1:18" x14ac:dyDescent="0.25">
      <c r="A428">
        <f t="shared" si="6"/>
        <v>0</v>
      </c>
      <c r="C428">
        <f>NOT(hospitalityq!C428="")*(SUMPRODUCT(--(TRIM(hospitalityq!C6:C428)=TRIM(hospitalityq!C428)))&gt;1)</f>
        <v>0</v>
      </c>
      <c r="D428">
        <f>NOT(hospitalityq!D428="")*(COUNTIF(reference!$C$17:$C$18,TRIM(hospitalityq!D428))=0)</f>
        <v>0</v>
      </c>
      <c r="J428">
        <f>NOT(hospitalityq!J428="")*(NOT(ISNUMBER(hospitalityq!J428+0)))</f>
        <v>0</v>
      </c>
      <c r="K428">
        <f>NOT(hospitalityq!K428="")*(NOT(ISNUMBER(hospitalityq!K428+0)))</f>
        <v>0</v>
      </c>
      <c r="P428">
        <f>NOT(hospitalityq!P428="")*(NOT(IFERROR(INT(hospitalityq!P428)=VALUE(hospitalityq!P428),FALSE)))</f>
        <v>0</v>
      </c>
      <c r="Q428">
        <f>NOT(hospitalityq!Q428="")*(NOT(IFERROR(INT(hospitalityq!Q428)=VALUE(hospitalityq!Q428),FALSE)))</f>
        <v>0</v>
      </c>
      <c r="R428">
        <f>NOT(hospitalityq!R428="")*(NOT(IFERROR(ROUND(VALUE(hospitalityq!R428),2)=VALUE(hospitalityq!R428),FALSE)))</f>
        <v>0</v>
      </c>
    </row>
    <row r="429" spans="1:18" x14ac:dyDescent="0.25">
      <c r="A429">
        <f t="shared" si="6"/>
        <v>0</v>
      </c>
      <c r="C429">
        <f>NOT(hospitalityq!C429="")*(SUMPRODUCT(--(TRIM(hospitalityq!C6:C429)=TRIM(hospitalityq!C429)))&gt;1)</f>
        <v>0</v>
      </c>
      <c r="D429">
        <f>NOT(hospitalityq!D429="")*(COUNTIF(reference!$C$17:$C$18,TRIM(hospitalityq!D429))=0)</f>
        <v>0</v>
      </c>
      <c r="J429">
        <f>NOT(hospitalityq!J429="")*(NOT(ISNUMBER(hospitalityq!J429+0)))</f>
        <v>0</v>
      </c>
      <c r="K429">
        <f>NOT(hospitalityq!K429="")*(NOT(ISNUMBER(hospitalityq!K429+0)))</f>
        <v>0</v>
      </c>
      <c r="P429">
        <f>NOT(hospitalityq!P429="")*(NOT(IFERROR(INT(hospitalityq!P429)=VALUE(hospitalityq!P429),FALSE)))</f>
        <v>0</v>
      </c>
      <c r="Q429">
        <f>NOT(hospitalityq!Q429="")*(NOT(IFERROR(INT(hospitalityq!Q429)=VALUE(hospitalityq!Q429),FALSE)))</f>
        <v>0</v>
      </c>
      <c r="R429">
        <f>NOT(hospitalityq!R429="")*(NOT(IFERROR(ROUND(VALUE(hospitalityq!R429),2)=VALUE(hospitalityq!R429),FALSE)))</f>
        <v>0</v>
      </c>
    </row>
    <row r="430" spans="1:18" x14ac:dyDescent="0.25">
      <c r="A430">
        <f t="shared" si="6"/>
        <v>0</v>
      </c>
      <c r="C430">
        <f>NOT(hospitalityq!C430="")*(SUMPRODUCT(--(TRIM(hospitalityq!C6:C430)=TRIM(hospitalityq!C430)))&gt;1)</f>
        <v>0</v>
      </c>
      <c r="D430">
        <f>NOT(hospitalityq!D430="")*(COUNTIF(reference!$C$17:$C$18,TRIM(hospitalityq!D430))=0)</f>
        <v>0</v>
      </c>
      <c r="J430">
        <f>NOT(hospitalityq!J430="")*(NOT(ISNUMBER(hospitalityq!J430+0)))</f>
        <v>0</v>
      </c>
      <c r="K430">
        <f>NOT(hospitalityq!K430="")*(NOT(ISNUMBER(hospitalityq!K430+0)))</f>
        <v>0</v>
      </c>
      <c r="P430">
        <f>NOT(hospitalityq!P430="")*(NOT(IFERROR(INT(hospitalityq!P430)=VALUE(hospitalityq!P430),FALSE)))</f>
        <v>0</v>
      </c>
      <c r="Q430">
        <f>NOT(hospitalityq!Q430="")*(NOT(IFERROR(INT(hospitalityq!Q430)=VALUE(hospitalityq!Q430),FALSE)))</f>
        <v>0</v>
      </c>
      <c r="R430">
        <f>NOT(hospitalityq!R430="")*(NOT(IFERROR(ROUND(VALUE(hospitalityq!R430),2)=VALUE(hospitalityq!R430),FALSE)))</f>
        <v>0</v>
      </c>
    </row>
    <row r="431" spans="1:18" x14ac:dyDescent="0.25">
      <c r="A431">
        <f t="shared" si="6"/>
        <v>0</v>
      </c>
      <c r="C431">
        <f>NOT(hospitalityq!C431="")*(SUMPRODUCT(--(TRIM(hospitalityq!C6:C431)=TRIM(hospitalityq!C431)))&gt;1)</f>
        <v>0</v>
      </c>
      <c r="D431">
        <f>NOT(hospitalityq!D431="")*(COUNTIF(reference!$C$17:$C$18,TRIM(hospitalityq!D431))=0)</f>
        <v>0</v>
      </c>
      <c r="J431">
        <f>NOT(hospitalityq!J431="")*(NOT(ISNUMBER(hospitalityq!J431+0)))</f>
        <v>0</v>
      </c>
      <c r="K431">
        <f>NOT(hospitalityq!K431="")*(NOT(ISNUMBER(hospitalityq!K431+0)))</f>
        <v>0</v>
      </c>
      <c r="P431">
        <f>NOT(hospitalityq!P431="")*(NOT(IFERROR(INT(hospitalityq!P431)=VALUE(hospitalityq!P431),FALSE)))</f>
        <v>0</v>
      </c>
      <c r="Q431">
        <f>NOT(hospitalityq!Q431="")*(NOT(IFERROR(INT(hospitalityq!Q431)=VALUE(hospitalityq!Q431),FALSE)))</f>
        <v>0</v>
      </c>
      <c r="R431">
        <f>NOT(hospitalityq!R431="")*(NOT(IFERROR(ROUND(VALUE(hospitalityq!R431),2)=VALUE(hospitalityq!R431),FALSE)))</f>
        <v>0</v>
      </c>
    </row>
    <row r="432" spans="1:18" x14ac:dyDescent="0.25">
      <c r="A432">
        <f t="shared" si="6"/>
        <v>0</v>
      </c>
      <c r="C432">
        <f>NOT(hospitalityq!C432="")*(SUMPRODUCT(--(TRIM(hospitalityq!C6:C432)=TRIM(hospitalityq!C432)))&gt;1)</f>
        <v>0</v>
      </c>
      <c r="D432">
        <f>NOT(hospitalityq!D432="")*(COUNTIF(reference!$C$17:$C$18,TRIM(hospitalityq!D432))=0)</f>
        <v>0</v>
      </c>
      <c r="J432">
        <f>NOT(hospitalityq!J432="")*(NOT(ISNUMBER(hospitalityq!J432+0)))</f>
        <v>0</v>
      </c>
      <c r="K432">
        <f>NOT(hospitalityq!K432="")*(NOT(ISNUMBER(hospitalityq!K432+0)))</f>
        <v>0</v>
      </c>
      <c r="P432">
        <f>NOT(hospitalityq!P432="")*(NOT(IFERROR(INT(hospitalityq!P432)=VALUE(hospitalityq!P432),FALSE)))</f>
        <v>0</v>
      </c>
      <c r="Q432">
        <f>NOT(hospitalityq!Q432="")*(NOT(IFERROR(INT(hospitalityq!Q432)=VALUE(hospitalityq!Q432),FALSE)))</f>
        <v>0</v>
      </c>
      <c r="R432">
        <f>NOT(hospitalityq!R432="")*(NOT(IFERROR(ROUND(VALUE(hospitalityq!R432),2)=VALUE(hospitalityq!R432),FALSE)))</f>
        <v>0</v>
      </c>
    </row>
    <row r="433" spans="1:18" x14ac:dyDescent="0.25">
      <c r="A433">
        <f t="shared" si="6"/>
        <v>0</v>
      </c>
      <c r="C433">
        <f>NOT(hospitalityq!C433="")*(SUMPRODUCT(--(TRIM(hospitalityq!C6:C433)=TRIM(hospitalityq!C433)))&gt;1)</f>
        <v>0</v>
      </c>
      <c r="D433">
        <f>NOT(hospitalityq!D433="")*(COUNTIF(reference!$C$17:$C$18,TRIM(hospitalityq!D433))=0)</f>
        <v>0</v>
      </c>
      <c r="J433">
        <f>NOT(hospitalityq!J433="")*(NOT(ISNUMBER(hospitalityq!J433+0)))</f>
        <v>0</v>
      </c>
      <c r="K433">
        <f>NOT(hospitalityq!K433="")*(NOT(ISNUMBER(hospitalityq!K433+0)))</f>
        <v>0</v>
      </c>
      <c r="P433">
        <f>NOT(hospitalityq!P433="")*(NOT(IFERROR(INT(hospitalityq!P433)=VALUE(hospitalityq!P433),FALSE)))</f>
        <v>0</v>
      </c>
      <c r="Q433">
        <f>NOT(hospitalityq!Q433="")*(NOT(IFERROR(INT(hospitalityq!Q433)=VALUE(hospitalityq!Q433),FALSE)))</f>
        <v>0</v>
      </c>
      <c r="R433">
        <f>NOT(hospitalityq!R433="")*(NOT(IFERROR(ROUND(VALUE(hospitalityq!R433),2)=VALUE(hospitalityq!R433),FALSE)))</f>
        <v>0</v>
      </c>
    </row>
    <row r="434" spans="1:18" x14ac:dyDescent="0.25">
      <c r="A434">
        <f t="shared" si="6"/>
        <v>0</v>
      </c>
      <c r="C434">
        <f>NOT(hospitalityq!C434="")*(SUMPRODUCT(--(TRIM(hospitalityq!C6:C434)=TRIM(hospitalityq!C434)))&gt;1)</f>
        <v>0</v>
      </c>
      <c r="D434">
        <f>NOT(hospitalityq!D434="")*(COUNTIF(reference!$C$17:$C$18,TRIM(hospitalityq!D434))=0)</f>
        <v>0</v>
      </c>
      <c r="J434">
        <f>NOT(hospitalityq!J434="")*(NOT(ISNUMBER(hospitalityq!J434+0)))</f>
        <v>0</v>
      </c>
      <c r="K434">
        <f>NOT(hospitalityq!K434="")*(NOT(ISNUMBER(hospitalityq!K434+0)))</f>
        <v>0</v>
      </c>
      <c r="P434">
        <f>NOT(hospitalityq!P434="")*(NOT(IFERROR(INT(hospitalityq!P434)=VALUE(hospitalityq!P434),FALSE)))</f>
        <v>0</v>
      </c>
      <c r="Q434">
        <f>NOT(hospitalityq!Q434="")*(NOT(IFERROR(INT(hospitalityq!Q434)=VALUE(hospitalityq!Q434),FALSE)))</f>
        <v>0</v>
      </c>
      <c r="R434">
        <f>NOT(hospitalityq!R434="")*(NOT(IFERROR(ROUND(VALUE(hospitalityq!R434),2)=VALUE(hospitalityq!R434),FALSE)))</f>
        <v>0</v>
      </c>
    </row>
    <row r="435" spans="1:18" x14ac:dyDescent="0.25">
      <c r="A435">
        <f t="shared" si="6"/>
        <v>0</v>
      </c>
      <c r="C435">
        <f>NOT(hospitalityq!C435="")*(SUMPRODUCT(--(TRIM(hospitalityq!C6:C435)=TRIM(hospitalityq!C435)))&gt;1)</f>
        <v>0</v>
      </c>
      <c r="D435">
        <f>NOT(hospitalityq!D435="")*(COUNTIF(reference!$C$17:$C$18,TRIM(hospitalityq!D435))=0)</f>
        <v>0</v>
      </c>
      <c r="J435">
        <f>NOT(hospitalityq!J435="")*(NOT(ISNUMBER(hospitalityq!J435+0)))</f>
        <v>0</v>
      </c>
      <c r="K435">
        <f>NOT(hospitalityq!K435="")*(NOT(ISNUMBER(hospitalityq!K435+0)))</f>
        <v>0</v>
      </c>
      <c r="P435">
        <f>NOT(hospitalityq!P435="")*(NOT(IFERROR(INT(hospitalityq!P435)=VALUE(hospitalityq!P435),FALSE)))</f>
        <v>0</v>
      </c>
      <c r="Q435">
        <f>NOT(hospitalityq!Q435="")*(NOT(IFERROR(INT(hospitalityq!Q435)=VALUE(hospitalityq!Q435),FALSE)))</f>
        <v>0</v>
      </c>
      <c r="R435">
        <f>NOT(hospitalityq!R435="")*(NOT(IFERROR(ROUND(VALUE(hospitalityq!R435),2)=VALUE(hospitalityq!R435),FALSE)))</f>
        <v>0</v>
      </c>
    </row>
    <row r="436" spans="1:18" x14ac:dyDescent="0.25">
      <c r="A436">
        <f t="shared" si="6"/>
        <v>0</v>
      </c>
      <c r="C436">
        <f>NOT(hospitalityq!C436="")*(SUMPRODUCT(--(TRIM(hospitalityq!C6:C436)=TRIM(hospitalityq!C436)))&gt;1)</f>
        <v>0</v>
      </c>
      <c r="D436">
        <f>NOT(hospitalityq!D436="")*(COUNTIF(reference!$C$17:$C$18,TRIM(hospitalityq!D436))=0)</f>
        <v>0</v>
      </c>
      <c r="J436">
        <f>NOT(hospitalityq!J436="")*(NOT(ISNUMBER(hospitalityq!J436+0)))</f>
        <v>0</v>
      </c>
      <c r="K436">
        <f>NOT(hospitalityq!K436="")*(NOT(ISNUMBER(hospitalityq!K436+0)))</f>
        <v>0</v>
      </c>
      <c r="P436">
        <f>NOT(hospitalityq!P436="")*(NOT(IFERROR(INT(hospitalityq!P436)=VALUE(hospitalityq!P436),FALSE)))</f>
        <v>0</v>
      </c>
      <c r="Q436">
        <f>NOT(hospitalityq!Q436="")*(NOT(IFERROR(INT(hospitalityq!Q436)=VALUE(hospitalityq!Q436),FALSE)))</f>
        <v>0</v>
      </c>
      <c r="R436">
        <f>NOT(hospitalityq!R436="")*(NOT(IFERROR(ROUND(VALUE(hospitalityq!R436),2)=VALUE(hospitalityq!R436),FALSE)))</f>
        <v>0</v>
      </c>
    </row>
    <row r="437" spans="1:18" x14ac:dyDescent="0.25">
      <c r="A437">
        <f t="shared" si="6"/>
        <v>0</v>
      </c>
      <c r="C437">
        <f>NOT(hospitalityq!C437="")*(SUMPRODUCT(--(TRIM(hospitalityq!C6:C437)=TRIM(hospitalityq!C437)))&gt;1)</f>
        <v>0</v>
      </c>
      <c r="D437">
        <f>NOT(hospitalityq!D437="")*(COUNTIF(reference!$C$17:$C$18,TRIM(hospitalityq!D437))=0)</f>
        <v>0</v>
      </c>
      <c r="J437">
        <f>NOT(hospitalityq!J437="")*(NOT(ISNUMBER(hospitalityq!J437+0)))</f>
        <v>0</v>
      </c>
      <c r="K437">
        <f>NOT(hospitalityq!K437="")*(NOT(ISNUMBER(hospitalityq!K437+0)))</f>
        <v>0</v>
      </c>
      <c r="P437">
        <f>NOT(hospitalityq!P437="")*(NOT(IFERROR(INT(hospitalityq!P437)=VALUE(hospitalityq!P437),FALSE)))</f>
        <v>0</v>
      </c>
      <c r="Q437">
        <f>NOT(hospitalityq!Q437="")*(NOT(IFERROR(INT(hospitalityq!Q437)=VALUE(hospitalityq!Q437),FALSE)))</f>
        <v>0</v>
      </c>
      <c r="R437">
        <f>NOT(hospitalityq!R437="")*(NOT(IFERROR(ROUND(VALUE(hospitalityq!R437),2)=VALUE(hospitalityq!R437),FALSE)))</f>
        <v>0</v>
      </c>
    </row>
    <row r="438" spans="1:18" x14ac:dyDescent="0.25">
      <c r="A438">
        <f t="shared" si="6"/>
        <v>0</v>
      </c>
      <c r="C438">
        <f>NOT(hospitalityq!C438="")*(SUMPRODUCT(--(TRIM(hospitalityq!C6:C438)=TRIM(hospitalityq!C438)))&gt;1)</f>
        <v>0</v>
      </c>
      <c r="D438">
        <f>NOT(hospitalityq!D438="")*(COUNTIF(reference!$C$17:$C$18,TRIM(hospitalityq!D438))=0)</f>
        <v>0</v>
      </c>
      <c r="J438">
        <f>NOT(hospitalityq!J438="")*(NOT(ISNUMBER(hospitalityq!J438+0)))</f>
        <v>0</v>
      </c>
      <c r="K438">
        <f>NOT(hospitalityq!K438="")*(NOT(ISNUMBER(hospitalityq!K438+0)))</f>
        <v>0</v>
      </c>
      <c r="P438">
        <f>NOT(hospitalityq!P438="")*(NOT(IFERROR(INT(hospitalityq!P438)=VALUE(hospitalityq!P438),FALSE)))</f>
        <v>0</v>
      </c>
      <c r="Q438">
        <f>NOT(hospitalityq!Q438="")*(NOT(IFERROR(INT(hospitalityq!Q438)=VALUE(hospitalityq!Q438),FALSE)))</f>
        <v>0</v>
      </c>
      <c r="R438">
        <f>NOT(hospitalityq!R438="")*(NOT(IFERROR(ROUND(VALUE(hospitalityq!R438),2)=VALUE(hospitalityq!R438),FALSE)))</f>
        <v>0</v>
      </c>
    </row>
    <row r="439" spans="1:18" x14ac:dyDescent="0.25">
      <c r="A439">
        <f t="shared" si="6"/>
        <v>0</v>
      </c>
      <c r="C439">
        <f>NOT(hospitalityq!C439="")*(SUMPRODUCT(--(TRIM(hospitalityq!C6:C439)=TRIM(hospitalityq!C439)))&gt;1)</f>
        <v>0</v>
      </c>
      <c r="D439">
        <f>NOT(hospitalityq!D439="")*(COUNTIF(reference!$C$17:$C$18,TRIM(hospitalityq!D439))=0)</f>
        <v>0</v>
      </c>
      <c r="J439">
        <f>NOT(hospitalityq!J439="")*(NOT(ISNUMBER(hospitalityq!J439+0)))</f>
        <v>0</v>
      </c>
      <c r="K439">
        <f>NOT(hospitalityq!K439="")*(NOT(ISNUMBER(hospitalityq!K439+0)))</f>
        <v>0</v>
      </c>
      <c r="P439">
        <f>NOT(hospitalityq!P439="")*(NOT(IFERROR(INT(hospitalityq!P439)=VALUE(hospitalityq!P439),FALSE)))</f>
        <v>0</v>
      </c>
      <c r="Q439">
        <f>NOT(hospitalityq!Q439="")*(NOT(IFERROR(INT(hospitalityq!Q439)=VALUE(hospitalityq!Q439),FALSE)))</f>
        <v>0</v>
      </c>
      <c r="R439">
        <f>NOT(hospitalityq!R439="")*(NOT(IFERROR(ROUND(VALUE(hospitalityq!R439),2)=VALUE(hospitalityq!R439),FALSE)))</f>
        <v>0</v>
      </c>
    </row>
    <row r="440" spans="1:18" x14ac:dyDescent="0.25">
      <c r="A440">
        <f t="shared" si="6"/>
        <v>0</v>
      </c>
      <c r="C440">
        <f>NOT(hospitalityq!C440="")*(SUMPRODUCT(--(TRIM(hospitalityq!C6:C440)=TRIM(hospitalityq!C440)))&gt;1)</f>
        <v>0</v>
      </c>
      <c r="D440">
        <f>NOT(hospitalityq!D440="")*(COUNTIF(reference!$C$17:$C$18,TRIM(hospitalityq!D440))=0)</f>
        <v>0</v>
      </c>
      <c r="J440">
        <f>NOT(hospitalityq!J440="")*(NOT(ISNUMBER(hospitalityq!J440+0)))</f>
        <v>0</v>
      </c>
      <c r="K440">
        <f>NOT(hospitalityq!K440="")*(NOT(ISNUMBER(hospitalityq!K440+0)))</f>
        <v>0</v>
      </c>
      <c r="P440">
        <f>NOT(hospitalityq!P440="")*(NOT(IFERROR(INT(hospitalityq!P440)=VALUE(hospitalityq!P440),FALSE)))</f>
        <v>0</v>
      </c>
      <c r="Q440">
        <f>NOT(hospitalityq!Q440="")*(NOT(IFERROR(INT(hospitalityq!Q440)=VALUE(hospitalityq!Q440),FALSE)))</f>
        <v>0</v>
      </c>
      <c r="R440">
        <f>NOT(hospitalityq!R440="")*(NOT(IFERROR(ROUND(VALUE(hospitalityq!R440),2)=VALUE(hospitalityq!R440),FALSE)))</f>
        <v>0</v>
      </c>
    </row>
    <row r="441" spans="1:18" x14ac:dyDescent="0.25">
      <c r="A441">
        <f t="shared" si="6"/>
        <v>0</v>
      </c>
      <c r="C441">
        <f>NOT(hospitalityq!C441="")*(SUMPRODUCT(--(TRIM(hospitalityq!C6:C441)=TRIM(hospitalityq!C441)))&gt;1)</f>
        <v>0</v>
      </c>
      <c r="D441">
        <f>NOT(hospitalityq!D441="")*(COUNTIF(reference!$C$17:$C$18,TRIM(hospitalityq!D441))=0)</f>
        <v>0</v>
      </c>
      <c r="J441">
        <f>NOT(hospitalityq!J441="")*(NOT(ISNUMBER(hospitalityq!J441+0)))</f>
        <v>0</v>
      </c>
      <c r="K441">
        <f>NOT(hospitalityq!K441="")*(NOT(ISNUMBER(hospitalityq!K441+0)))</f>
        <v>0</v>
      </c>
      <c r="P441">
        <f>NOT(hospitalityq!P441="")*(NOT(IFERROR(INT(hospitalityq!P441)=VALUE(hospitalityq!P441),FALSE)))</f>
        <v>0</v>
      </c>
      <c r="Q441">
        <f>NOT(hospitalityq!Q441="")*(NOT(IFERROR(INT(hospitalityq!Q441)=VALUE(hospitalityq!Q441),FALSE)))</f>
        <v>0</v>
      </c>
      <c r="R441">
        <f>NOT(hospitalityq!R441="")*(NOT(IFERROR(ROUND(VALUE(hospitalityq!R441),2)=VALUE(hospitalityq!R441),FALSE)))</f>
        <v>0</v>
      </c>
    </row>
    <row r="442" spans="1:18" x14ac:dyDescent="0.25">
      <c r="A442">
        <f t="shared" si="6"/>
        <v>0</v>
      </c>
      <c r="C442">
        <f>NOT(hospitalityq!C442="")*(SUMPRODUCT(--(TRIM(hospitalityq!C6:C442)=TRIM(hospitalityq!C442)))&gt;1)</f>
        <v>0</v>
      </c>
      <c r="D442">
        <f>NOT(hospitalityq!D442="")*(COUNTIF(reference!$C$17:$C$18,TRIM(hospitalityq!D442))=0)</f>
        <v>0</v>
      </c>
      <c r="J442">
        <f>NOT(hospitalityq!J442="")*(NOT(ISNUMBER(hospitalityq!J442+0)))</f>
        <v>0</v>
      </c>
      <c r="K442">
        <f>NOT(hospitalityq!K442="")*(NOT(ISNUMBER(hospitalityq!K442+0)))</f>
        <v>0</v>
      </c>
      <c r="P442">
        <f>NOT(hospitalityq!P442="")*(NOT(IFERROR(INT(hospitalityq!P442)=VALUE(hospitalityq!P442),FALSE)))</f>
        <v>0</v>
      </c>
      <c r="Q442">
        <f>NOT(hospitalityq!Q442="")*(NOT(IFERROR(INT(hospitalityq!Q442)=VALUE(hospitalityq!Q442),FALSE)))</f>
        <v>0</v>
      </c>
      <c r="R442">
        <f>NOT(hospitalityq!R442="")*(NOT(IFERROR(ROUND(VALUE(hospitalityq!R442),2)=VALUE(hospitalityq!R442),FALSE)))</f>
        <v>0</v>
      </c>
    </row>
    <row r="443" spans="1:18" x14ac:dyDescent="0.25">
      <c r="A443">
        <f t="shared" si="6"/>
        <v>0</v>
      </c>
      <c r="C443">
        <f>NOT(hospitalityq!C443="")*(SUMPRODUCT(--(TRIM(hospitalityq!C6:C443)=TRIM(hospitalityq!C443)))&gt;1)</f>
        <v>0</v>
      </c>
      <c r="D443">
        <f>NOT(hospitalityq!D443="")*(COUNTIF(reference!$C$17:$C$18,TRIM(hospitalityq!D443))=0)</f>
        <v>0</v>
      </c>
      <c r="J443">
        <f>NOT(hospitalityq!J443="")*(NOT(ISNUMBER(hospitalityq!J443+0)))</f>
        <v>0</v>
      </c>
      <c r="K443">
        <f>NOT(hospitalityq!K443="")*(NOT(ISNUMBER(hospitalityq!K443+0)))</f>
        <v>0</v>
      </c>
      <c r="P443">
        <f>NOT(hospitalityq!P443="")*(NOT(IFERROR(INT(hospitalityq!P443)=VALUE(hospitalityq!P443),FALSE)))</f>
        <v>0</v>
      </c>
      <c r="Q443">
        <f>NOT(hospitalityq!Q443="")*(NOT(IFERROR(INT(hospitalityq!Q443)=VALUE(hospitalityq!Q443),FALSE)))</f>
        <v>0</v>
      </c>
      <c r="R443">
        <f>NOT(hospitalityq!R443="")*(NOT(IFERROR(ROUND(VALUE(hospitalityq!R443),2)=VALUE(hospitalityq!R443),FALSE)))</f>
        <v>0</v>
      </c>
    </row>
    <row r="444" spans="1:18" x14ac:dyDescent="0.25">
      <c r="A444">
        <f t="shared" si="6"/>
        <v>0</v>
      </c>
      <c r="C444">
        <f>NOT(hospitalityq!C444="")*(SUMPRODUCT(--(TRIM(hospitalityq!C6:C444)=TRIM(hospitalityq!C444)))&gt;1)</f>
        <v>0</v>
      </c>
      <c r="D444">
        <f>NOT(hospitalityq!D444="")*(COUNTIF(reference!$C$17:$C$18,TRIM(hospitalityq!D444))=0)</f>
        <v>0</v>
      </c>
      <c r="J444">
        <f>NOT(hospitalityq!J444="")*(NOT(ISNUMBER(hospitalityq!J444+0)))</f>
        <v>0</v>
      </c>
      <c r="K444">
        <f>NOT(hospitalityq!K444="")*(NOT(ISNUMBER(hospitalityq!K444+0)))</f>
        <v>0</v>
      </c>
      <c r="P444">
        <f>NOT(hospitalityq!P444="")*(NOT(IFERROR(INT(hospitalityq!P444)=VALUE(hospitalityq!P444),FALSE)))</f>
        <v>0</v>
      </c>
      <c r="Q444">
        <f>NOT(hospitalityq!Q444="")*(NOT(IFERROR(INT(hospitalityq!Q444)=VALUE(hospitalityq!Q444),FALSE)))</f>
        <v>0</v>
      </c>
      <c r="R444">
        <f>NOT(hospitalityq!R444="")*(NOT(IFERROR(ROUND(VALUE(hospitalityq!R444),2)=VALUE(hospitalityq!R444),FALSE)))</f>
        <v>0</v>
      </c>
    </row>
    <row r="445" spans="1:18" x14ac:dyDescent="0.25">
      <c r="A445">
        <f t="shared" si="6"/>
        <v>0</v>
      </c>
      <c r="C445">
        <f>NOT(hospitalityq!C445="")*(SUMPRODUCT(--(TRIM(hospitalityq!C6:C445)=TRIM(hospitalityq!C445)))&gt;1)</f>
        <v>0</v>
      </c>
      <c r="D445">
        <f>NOT(hospitalityq!D445="")*(COUNTIF(reference!$C$17:$C$18,TRIM(hospitalityq!D445))=0)</f>
        <v>0</v>
      </c>
      <c r="J445">
        <f>NOT(hospitalityq!J445="")*(NOT(ISNUMBER(hospitalityq!J445+0)))</f>
        <v>0</v>
      </c>
      <c r="K445">
        <f>NOT(hospitalityq!K445="")*(NOT(ISNUMBER(hospitalityq!K445+0)))</f>
        <v>0</v>
      </c>
      <c r="P445">
        <f>NOT(hospitalityq!P445="")*(NOT(IFERROR(INT(hospitalityq!P445)=VALUE(hospitalityq!P445),FALSE)))</f>
        <v>0</v>
      </c>
      <c r="Q445">
        <f>NOT(hospitalityq!Q445="")*(NOT(IFERROR(INT(hospitalityq!Q445)=VALUE(hospitalityq!Q445),FALSE)))</f>
        <v>0</v>
      </c>
      <c r="R445">
        <f>NOT(hospitalityq!R445="")*(NOT(IFERROR(ROUND(VALUE(hospitalityq!R445),2)=VALUE(hospitalityq!R445),FALSE)))</f>
        <v>0</v>
      </c>
    </row>
    <row r="446" spans="1:18" x14ac:dyDescent="0.25">
      <c r="A446">
        <f t="shared" si="6"/>
        <v>0</v>
      </c>
      <c r="C446">
        <f>NOT(hospitalityq!C446="")*(SUMPRODUCT(--(TRIM(hospitalityq!C6:C446)=TRIM(hospitalityq!C446)))&gt;1)</f>
        <v>0</v>
      </c>
      <c r="D446">
        <f>NOT(hospitalityq!D446="")*(COUNTIF(reference!$C$17:$C$18,TRIM(hospitalityq!D446))=0)</f>
        <v>0</v>
      </c>
      <c r="J446">
        <f>NOT(hospitalityq!J446="")*(NOT(ISNUMBER(hospitalityq!J446+0)))</f>
        <v>0</v>
      </c>
      <c r="K446">
        <f>NOT(hospitalityq!K446="")*(NOT(ISNUMBER(hospitalityq!K446+0)))</f>
        <v>0</v>
      </c>
      <c r="P446">
        <f>NOT(hospitalityq!P446="")*(NOT(IFERROR(INT(hospitalityq!P446)=VALUE(hospitalityq!P446),FALSE)))</f>
        <v>0</v>
      </c>
      <c r="Q446">
        <f>NOT(hospitalityq!Q446="")*(NOT(IFERROR(INT(hospitalityq!Q446)=VALUE(hospitalityq!Q446),FALSE)))</f>
        <v>0</v>
      </c>
      <c r="R446">
        <f>NOT(hospitalityq!R446="")*(NOT(IFERROR(ROUND(VALUE(hospitalityq!R446),2)=VALUE(hospitalityq!R446),FALSE)))</f>
        <v>0</v>
      </c>
    </row>
    <row r="447" spans="1:18" x14ac:dyDescent="0.25">
      <c r="A447">
        <f t="shared" si="6"/>
        <v>0</v>
      </c>
      <c r="C447">
        <f>NOT(hospitalityq!C447="")*(SUMPRODUCT(--(TRIM(hospitalityq!C6:C447)=TRIM(hospitalityq!C447)))&gt;1)</f>
        <v>0</v>
      </c>
      <c r="D447">
        <f>NOT(hospitalityq!D447="")*(COUNTIF(reference!$C$17:$C$18,TRIM(hospitalityq!D447))=0)</f>
        <v>0</v>
      </c>
      <c r="J447">
        <f>NOT(hospitalityq!J447="")*(NOT(ISNUMBER(hospitalityq!J447+0)))</f>
        <v>0</v>
      </c>
      <c r="K447">
        <f>NOT(hospitalityq!K447="")*(NOT(ISNUMBER(hospitalityq!K447+0)))</f>
        <v>0</v>
      </c>
      <c r="P447">
        <f>NOT(hospitalityq!P447="")*(NOT(IFERROR(INT(hospitalityq!P447)=VALUE(hospitalityq!P447),FALSE)))</f>
        <v>0</v>
      </c>
      <c r="Q447">
        <f>NOT(hospitalityq!Q447="")*(NOT(IFERROR(INT(hospitalityq!Q447)=VALUE(hospitalityq!Q447),FALSE)))</f>
        <v>0</v>
      </c>
      <c r="R447">
        <f>NOT(hospitalityq!R447="")*(NOT(IFERROR(ROUND(VALUE(hospitalityq!R447),2)=VALUE(hospitalityq!R447),FALSE)))</f>
        <v>0</v>
      </c>
    </row>
    <row r="448" spans="1:18" x14ac:dyDescent="0.25">
      <c r="A448">
        <f t="shared" si="6"/>
        <v>0</v>
      </c>
      <c r="C448">
        <f>NOT(hospitalityq!C448="")*(SUMPRODUCT(--(TRIM(hospitalityq!C6:C448)=TRIM(hospitalityq!C448)))&gt;1)</f>
        <v>0</v>
      </c>
      <c r="D448">
        <f>NOT(hospitalityq!D448="")*(COUNTIF(reference!$C$17:$C$18,TRIM(hospitalityq!D448))=0)</f>
        <v>0</v>
      </c>
      <c r="J448">
        <f>NOT(hospitalityq!J448="")*(NOT(ISNUMBER(hospitalityq!J448+0)))</f>
        <v>0</v>
      </c>
      <c r="K448">
        <f>NOT(hospitalityq!K448="")*(NOT(ISNUMBER(hospitalityq!K448+0)))</f>
        <v>0</v>
      </c>
      <c r="P448">
        <f>NOT(hospitalityq!P448="")*(NOT(IFERROR(INT(hospitalityq!P448)=VALUE(hospitalityq!P448),FALSE)))</f>
        <v>0</v>
      </c>
      <c r="Q448">
        <f>NOT(hospitalityq!Q448="")*(NOT(IFERROR(INT(hospitalityq!Q448)=VALUE(hospitalityq!Q448),FALSE)))</f>
        <v>0</v>
      </c>
      <c r="R448">
        <f>NOT(hospitalityq!R448="")*(NOT(IFERROR(ROUND(VALUE(hospitalityq!R448),2)=VALUE(hospitalityq!R448),FALSE)))</f>
        <v>0</v>
      </c>
    </row>
    <row r="449" spans="1:18" x14ac:dyDescent="0.25">
      <c r="A449">
        <f t="shared" si="6"/>
        <v>0</v>
      </c>
      <c r="C449">
        <f>NOT(hospitalityq!C449="")*(SUMPRODUCT(--(TRIM(hospitalityq!C6:C449)=TRIM(hospitalityq!C449)))&gt;1)</f>
        <v>0</v>
      </c>
      <c r="D449">
        <f>NOT(hospitalityq!D449="")*(COUNTIF(reference!$C$17:$C$18,TRIM(hospitalityq!D449))=0)</f>
        <v>0</v>
      </c>
      <c r="J449">
        <f>NOT(hospitalityq!J449="")*(NOT(ISNUMBER(hospitalityq!J449+0)))</f>
        <v>0</v>
      </c>
      <c r="K449">
        <f>NOT(hospitalityq!K449="")*(NOT(ISNUMBER(hospitalityq!K449+0)))</f>
        <v>0</v>
      </c>
      <c r="P449">
        <f>NOT(hospitalityq!P449="")*(NOT(IFERROR(INT(hospitalityq!P449)=VALUE(hospitalityq!P449),FALSE)))</f>
        <v>0</v>
      </c>
      <c r="Q449">
        <f>NOT(hospitalityq!Q449="")*(NOT(IFERROR(INT(hospitalityq!Q449)=VALUE(hospitalityq!Q449),FALSE)))</f>
        <v>0</v>
      </c>
      <c r="R449">
        <f>NOT(hospitalityq!R449="")*(NOT(IFERROR(ROUND(VALUE(hospitalityq!R449),2)=VALUE(hospitalityq!R449),FALSE)))</f>
        <v>0</v>
      </c>
    </row>
    <row r="450" spans="1:18" x14ac:dyDescent="0.25">
      <c r="A450">
        <f t="shared" si="6"/>
        <v>0</v>
      </c>
      <c r="C450">
        <f>NOT(hospitalityq!C450="")*(SUMPRODUCT(--(TRIM(hospitalityq!C6:C450)=TRIM(hospitalityq!C450)))&gt;1)</f>
        <v>0</v>
      </c>
      <c r="D450">
        <f>NOT(hospitalityq!D450="")*(COUNTIF(reference!$C$17:$C$18,TRIM(hospitalityq!D450))=0)</f>
        <v>0</v>
      </c>
      <c r="J450">
        <f>NOT(hospitalityq!J450="")*(NOT(ISNUMBER(hospitalityq!J450+0)))</f>
        <v>0</v>
      </c>
      <c r="K450">
        <f>NOT(hospitalityq!K450="")*(NOT(ISNUMBER(hospitalityq!K450+0)))</f>
        <v>0</v>
      </c>
      <c r="P450">
        <f>NOT(hospitalityq!P450="")*(NOT(IFERROR(INT(hospitalityq!P450)=VALUE(hospitalityq!P450),FALSE)))</f>
        <v>0</v>
      </c>
      <c r="Q450">
        <f>NOT(hospitalityq!Q450="")*(NOT(IFERROR(INT(hospitalityq!Q450)=VALUE(hospitalityq!Q450),FALSE)))</f>
        <v>0</v>
      </c>
      <c r="R450">
        <f>NOT(hospitalityq!R450="")*(NOT(IFERROR(ROUND(VALUE(hospitalityq!R450),2)=VALUE(hospitalityq!R450),FALSE)))</f>
        <v>0</v>
      </c>
    </row>
    <row r="451" spans="1:18" x14ac:dyDescent="0.25">
      <c r="A451">
        <f t="shared" si="6"/>
        <v>0</v>
      </c>
      <c r="C451">
        <f>NOT(hospitalityq!C451="")*(SUMPRODUCT(--(TRIM(hospitalityq!C6:C451)=TRIM(hospitalityq!C451)))&gt;1)</f>
        <v>0</v>
      </c>
      <c r="D451">
        <f>NOT(hospitalityq!D451="")*(COUNTIF(reference!$C$17:$C$18,TRIM(hospitalityq!D451))=0)</f>
        <v>0</v>
      </c>
      <c r="J451">
        <f>NOT(hospitalityq!J451="")*(NOT(ISNUMBER(hospitalityq!J451+0)))</f>
        <v>0</v>
      </c>
      <c r="K451">
        <f>NOT(hospitalityq!K451="")*(NOT(ISNUMBER(hospitalityq!K451+0)))</f>
        <v>0</v>
      </c>
      <c r="P451">
        <f>NOT(hospitalityq!P451="")*(NOT(IFERROR(INT(hospitalityq!P451)=VALUE(hospitalityq!P451),FALSE)))</f>
        <v>0</v>
      </c>
      <c r="Q451">
        <f>NOT(hospitalityq!Q451="")*(NOT(IFERROR(INT(hospitalityq!Q451)=VALUE(hospitalityq!Q451),FALSE)))</f>
        <v>0</v>
      </c>
      <c r="R451">
        <f>NOT(hospitalityq!R451="")*(NOT(IFERROR(ROUND(VALUE(hospitalityq!R451),2)=VALUE(hospitalityq!R451),FALSE)))</f>
        <v>0</v>
      </c>
    </row>
    <row r="452" spans="1:18" x14ac:dyDescent="0.25">
      <c r="A452">
        <f t="shared" si="6"/>
        <v>0</v>
      </c>
      <c r="C452">
        <f>NOT(hospitalityq!C452="")*(SUMPRODUCT(--(TRIM(hospitalityq!C6:C452)=TRIM(hospitalityq!C452)))&gt;1)</f>
        <v>0</v>
      </c>
      <c r="D452">
        <f>NOT(hospitalityq!D452="")*(COUNTIF(reference!$C$17:$C$18,TRIM(hospitalityq!D452))=0)</f>
        <v>0</v>
      </c>
      <c r="J452">
        <f>NOT(hospitalityq!J452="")*(NOT(ISNUMBER(hospitalityq!J452+0)))</f>
        <v>0</v>
      </c>
      <c r="K452">
        <f>NOT(hospitalityq!K452="")*(NOT(ISNUMBER(hospitalityq!K452+0)))</f>
        <v>0</v>
      </c>
      <c r="P452">
        <f>NOT(hospitalityq!P452="")*(NOT(IFERROR(INT(hospitalityq!P452)=VALUE(hospitalityq!P452),FALSE)))</f>
        <v>0</v>
      </c>
      <c r="Q452">
        <f>NOT(hospitalityq!Q452="")*(NOT(IFERROR(INT(hospitalityq!Q452)=VALUE(hospitalityq!Q452),FALSE)))</f>
        <v>0</v>
      </c>
      <c r="R452">
        <f>NOT(hospitalityq!R452="")*(NOT(IFERROR(ROUND(VALUE(hospitalityq!R452),2)=VALUE(hospitalityq!R452),FALSE)))</f>
        <v>0</v>
      </c>
    </row>
    <row r="453" spans="1:18" x14ac:dyDescent="0.25">
      <c r="A453">
        <f t="shared" si="6"/>
        <v>0</v>
      </c>
      <c r="C453">
        <f>NOT(hospitalityq!C453="")*(SUMPRODUCT(--(TRIM(hospitalityq!C6:C453)=TRIM(hospitalityq!C453)))&gt;1)</f>
        <v>0</v>
      </c>
      <c r="D453">
        <f>NOT(hospitalityq!D453="")*(COUNTIF(reference!$C$17:$C$18,TRIM(hospitalityq!D453))=0)</f>
        <v>0</v>
      </c>
      <c r="J453">
        <f>NOT(hospitalityq!J453="")*(NOT(ISNUMBER(hospitalityq!J453+0)))</f>
        <v>0</v>
      </c>
      <c r="K453">
        <f>NOT(hospitalityq!K453="")*(NOT(ISNUMBER(hospitalityq!K453+0)))</f>
        <v>0</v>
      </c>
      <c r="P453">
        <f>NOT(hospitalityq!P453="")*(NOT(IFERROR(INT(hospitalityq!P453)=VALUE(hospitalityq!P453),FALSE)))</f>
        <v>0</v>
      </c>
      <c r="Q453">
        <f>NOT(hospitalityq!Q453="")*(NOT(IFERROR(INT(hospitalityq!Q453)=VALUE(hospitalityq!Q453),FALSE)))</f>
        <v>0</v>
      </c>
      <c r="R453">
        <f>NOT(hospitalityq!R453="")*(NOT(IFERROR(ROUND(VALUE(hospitalityq!R453),2)=VALUE(hospitalityq!R453),FALSE)))</f>
        <v>0</v>
      </c>
    </row>
    <row r="454" spans="1:18" x14ac:dyDescent="0.25">
      <c r="A454">
        <f t="shared" ref="A454:A517" si="7">IFERROR(MATCH(TRUE,INDEX(C454:R454&lt;&gt;0,),)+2,0)</f>
        <v>0</v>
      </c>
      <c r="C454">
        <f>NOT(hospitalityq!C454="")*(SUMPRODUCT(--(TRIM(hospitalityq!C6:C454)=TRIM(hospitalityq!C454)))&gt;1)</f>
        <v>0</v>
      </c>
      <c r="D454">
        <f>NOT(hospitalityq!D454="")*(COUNTIF(reference!$C$17:$C$18,TRIM(hospitalityq!D454))=0)</f>
        <v>0</v>
      </c>
      <c r="J454">
        <f>NOT(hospitalityq!J454="")*(NOT(ISNUMBER(hospitalityq!J454+0)))</f>
        <v>0</v>
      </c>
      <c r="K454">
        <f>NOT(hospitalityq!K454="")*(NOT(ISNUMBER(hospitalityq!K454+0)))</f>
        <v>0</v>
      </c>
      <c r="P454">
        <f>NOT(hospitalityq!P454="")*(NOT(IFERROR(INT(hospitalityq!P454)=VALUE(hospitalityq!P454),FALSE)))</f>
        <v>0</v>
      </c>
      <c r="Q454">
        <f>NOT(hospitalityq!Q454="")*(NOT(IFERROR(INT(hospitalityq!Q454)=VALUE(hospitalityq!Q454),FALSE)))</f>
        <v>0</v>
      </c>
      <c r="R454">
        <f>NOT(hospitalityq!R454="")*(NOT(IFERROR(ROUND(VALUE(hospitalityq!R454),2)=VALUE(hospitalityq!R454),FALSE)))</f>
        <v>0</v>
      </c>
    </row>
    <row r="455" spans="1:18" x14ac:dyDescent="0.25">
      <c r="A455">
        <f t="shared" si="7"/>
        <v>0</v>
      </c>
      <c r="C455">
        <f>NOT(hospitalityq!C455="")*(SUMPRODUCT(--(TRIM(hospitalityq!C6:C455)=TRIM(hospitalityq!C455)))&gt;1)</f>
        <v>0</v>
      </c>
      <c r="D455">
        <f>NOT(hospitalityq!D455="")*(COUNTIF(reference!$C$17:$C$18,TRIM(hospitalityq!D455))=0)</f>
        <v>0</v>
      </c>
      <c r="J455">
        <f>NOT(hospitalityq!J455="")*(NOT(ISNUMBER(hospitalityq!J455+0)))</f>
        <v>0</v>
      </c>
      <c r="K455">
        <f>NOT(hospitalityq!K455="")*(NOT(ISNUMBER(hospitalityq!K455+0)))</f>
        <v>0</v>
      </c>
      <c r="P455">
        <f>NOT(hospitalityq!P455="")*(NOT(IFERROR(INT(hospitalityq!P455)=VALUE(hospitalityq!P455),FALSE)))</f>
        <v>0</v>
      </c>
      <c r="Q455">
        <f>NOT(hospitalityq!Q455="")*(NOT(IFERROR(INT(hospitalityq!Q455)=VALUE(hospitalityq!Q455),FALSE)))</f>
        <v>0</v>
      </c>
      <c r="R455">
        <f>NOT(hospitalityq!R455="")*(NOT(IFERROR(ROUND(VALUE(hospitalityq!R455),2)=VALUE(hospitalityq!R455),FALSE)))</f>
        <v>0</v>
      </c>
    </row>
    <row r="456" spans="1:18" x14ac:dyDescent="0.25">
      <c r="A456">
        <f t="shared" si="7"/>
        <v>0</v>
      </c>
      <c r="C456">
        <f>NOT(hospitalityq!C456="")*(SUMPRODUCT(--(TRIM(hospitalityq!C6:C456)=TRIM(hospitalityq!C456)))&gt;1)</f>
        <v>0</v>
      </c>
      <c r="D456">
        <f>NOT(hospitalityq!D456="")*(COUNTIF(reference!$C$17:$C$18,TRIM(hospitalityq!D456))=0)</f>
        <v>0</v>
      </c>
      <c r="J456">
        <f>NOT(hospitalityq!J456="")*(NOT(ISNUMBER(hospitalityq!J456+0)))</f>
        <v>0</v>
      </c>
      <c r="K456">
        <f>NOT(hospitalityq!K456="")*(NOT(ISNUMBER(hospitalityq!K456+0)))</f>
        <v>0</v>
      </c>
      <c r="P456">
        <f>NOT(hospitalityq!P456="")*(NOT(IFERROR(INT(hospitalityq!P456)=VALUE(hospitalityq!P456),FALSE)))</f>
        <v>0</v>
      </c>
      <c r="Q456">
        <f>NOT(hospitalityq!Q456="")*(NOT(IFERROR(INT(hospitalityq!Q456)=VALUE(hospitalityq!Q456),FALSE)))</f>
        <v>0</v>
      </c>
      <c r="R456">
        <f>NOT(hospitalityq!R456="")*(NOT(IFERROR(ROUND(VALUE(hospitalityq!R456),2)=VALUE(hospitalityq!R456),FALSE)))</f>
        <v>0</v>
      </c>
    </row>
    <row r="457" spans="1:18" x14ac:dyDescent="0.25">
      <c r="A457">
        <f t="shared" si="7"/>
        <v>0</v>
      </c>
      <c r="C457">
        <f>NOT(hospitalityq!C457="")*(SUMPRODUCT(--(TRIM(hospitalityq!C6:C457)=TRIM(hospitalityq!C457)))&gt;1)</f>
        <v>0</v>
      </c>
      <c r="D457">
        <f>NOT(hospitalityq!D457="")*(COUNTIF(reference!$C$17:$C$18,TRIM(hospitalityq!D457))=0)</f>
        <v>0</v>
      </c>
      <c r="J457">
        <f>NOT(hospitalityq!J457="")*(NOT(ISNUMBER(hospitalityq!J457+0)))</f>
        <v>0</v>
      </c>
      <c r="K457">
        <f>NOT(hospitalityq!K457="")*(NOT(ISNUMBER(hospitalityq!K457+0)))</f>
        <v>0</v>
      </c>
      <c r="P457">
        <f>NOT(hospitalityq!P457="")*(NOT(IFERROR(INT(hospitalityq!P457)=VALUE(hospitalityq!P457),FALSE)))</f>
        <v>0</v>
      </c>
      <c r="Q457">
        <f>NOT(hospitalityq!Q457="")*(NOT(IFERROR(INT(hospitalityq!Q457)=VALUE(hospitalityq!Q457),FALSE)))</f>
        <v>0</v>
      </c>
      <c r="R457">
        <f>NOT(hospitalityq!R457="")*(NOT(IFERROR(ROUND(VALUE(hospitalityq!R457),2)=VALUE(hospitalityq!R457),FALSE)))</f>
        <v>0</v>
      </c>
    </row>
    <row r="458" spans="1:18" x14ac:dyDescent="0.25">
      <c r="A458">
        <f t="shared" si="7"/>
        <v>0</v>
      </c>
      <c r="C458">
        <f>NOT(hospitalityq!C458="")*(SUMPRODUCT(--(TRIM(hospitalityq!C6:C458)=TRIM(hospitalityq!C458)))&gt;1)</f>
        <v>0</v>
      </c>
      <c r="D458">
        <f>NOT(hospitalityq!D458="")*(COUNTIF(reference!$C$17:$C$18,TRIM(hospitalityq!D458))=0)</f>
        <v>0</v>
      </c>
      <c r="J458">
        <f>NOT(hospitalityq!J458="")*(NOT(ISNUMBER(hospitalityq!J458+0)))</f>
        <v>0</v>
      </c>
      <c r="K458">
        <f>NOT(hospitalityq!K458="")*(NOT(ISNUMBER(hospitalityq!K458+0)))</f>
        <v>0</v>
      </c>
      <c r="P458">
        <f>NOT(hospitalityq!P458="")*(NOT(IFERROR(INT(hospitalityq!P458)=VALUE(hospitalityq!P458),FALSE)))</f>
        <v>0</v>
      </c>
      <c r="Q458">
        <f>NOT(hospitalityq!Q458="")*(NOT(IFERROR(INT(hospitalityq!Q458)=VALUE(hospitalityq!Q458),FALSE)))</f>
        <v>0</v>
      </c>
      <c r="R458">
        <f>NOT(hospitalityq!R458="")*(NOT(IFERROR(ROUND(VALUE(hospitalityq!R458),2)=VALUE(hospitalityq!R458),FALSE)))</f>
        <v>0</v>
      </c>
    </row>
    <row r="459" spans="1:18" x14ac:dyDescent="0.25">
      <c r="A459">
        <f t="shared" si="7"/>
        <v>0</v>
      </c>
      <c r="C459">
        <f>NOT(hospitalityq!C459="")*(SUMPRODUCT(--(TRIM(hospitalityq!C6:C459)=TRIM(hospitalityq!C459)))&gt;1)</f>
        <v>0</v>
      </c>
      <c r="D459">
        <f>NOT(hospitalityq!D459="")*(COUNTIF(reference!$C$17:$C$18,TRIM(hospitalityq!D459))=0)</f>
        <v>0</v>
      </c>
      <c r="J459">
        <f>NOT(hospitalityq!J459="")*(NOT(ISNUMBER(hospitalityq!J459+0)))</f>
        <v>0</v>
      </c>
      <c r="K459">
        <f>NOT(hospitalityq!K459="")*(NOT(ISNUMBER(hospitalityq!K459+0)))</f>
        <v>0</v>
      </c>
      <c r="P459">
        <f>NOT(hospitalityq!P459="")*(NOT(IFERROR(INT(hospitalityq!P459)=VALUE(hospitalityq!P459),FALSE)))</f>
        <v>0</v>
      </c>
      <c r="Q459">
        <f>NOT(hospitalityq!Q459="")*(NOT(IFERROR(INT(hospitalityq!Q459)=VALUE(hospitalityq!Q459),FALSE)))</f>
        <v>0</v>
      </c>
      <c r="R459">
        <f>NOT(hospitalityq!R459="")*(NOT(IFERROR(ROUND(VALUE(hospitalityq!R459),2)=VALUE(hospitalityq!R459),FALSE)))</f>
        <v>0</v>
      </c>
    </row>
    <row r="460" spans="1:18" x14ac:dyDescent="0.25">
      <c r="A460">
        <f t="shared" si="7"/>
        <v>0</v>
      </c>
      <c r="C460">
        <f>NOT(hospitalityq!C460="")*(SUMPRODUCT(--(TRIM(hospitalityq!C6:C460)=TRIM(hospitalityq!C460)))&gt;1)</f>
        <v>0</v>
      </c>
      <c r="D460">
        <f>NOT(hospitalityq!D460="")*(COUNTIF(reference!$C$17:$C$18,TRIM(hospitalityq!D460))=0)</f>
        <v>0</v>
      </c>
      <c r="J460">
        <f>NOT(hospitalityq!J460="")*(NOT(ISNUMBER(hospitalityq!J460+0)))</f>
        <v>0</v>
      </c>
      <c r="K460">
        <f>NOT(hospitalityq!K460="")*(NOT(ISNUMBER(hospitalityq!K460+0)))</f>
        <v>0</v>
      </c>
      <c r="P460">
        <f>NOT(hospitalityq!P460="")*(NOT(IFERROR(INT(hospitalityq!P460)=VALUE(hospitalityq!P460),FALSE)))</f>
        <v>0</v>
      </c>
      <c r="Q460">
        <f>NOT(hospitalityq!Q460="")*(NOT(IFERROR(INT(hospitalityq!Q460)=VALUE(hospitalityq!Q460),FALSE)))</f>
        <v>0</v>
      </c>
      <c r="R460">
        <f>NOT(hospitalityq!R460="")*(NOT(IFERROR(ROUND(VALUE(hospitalityq!R460),2)=VALUE(hospitalityq!R460),FALSE)))</f>
        <v>0</v>
      </c>
    </row>
    <row r="461" spans="1:18" x14ac:dyDescent="0.25">
      <c r="A461">
        <f t="shared" si="7"/>
        <v>0</v>
      </c>
      <c r="C461">
        <f>NOT(hospitalityq!C461="")*(SUMPRODUCT(--(TRIM(hospitalityq!C6:C461)=TRIM(hospitalityq!C461)))&gt;1)</f>
        <v>0</v>
      </c>
      <c r="D461">
        <f>NOT(hospitalityq!D461="")*(COUNTIF(reference!$C$17:$C$18,TRIM(hospitalityq!D461))=0)</f>
        <v>0</v>
      </c>
      <c r="J461">
        <f>NOT(hospitalityq!J461="")*(NOT(ISNUMBER(hospitalityq!J461+0)))</f>
        <v>0</v>
      </c>
      <c r="K461">
        <f>NOT(hospitalityq!K461="")*(NOT(ISNUMBER(hospitalityq!K461+0)))</f>
        <v>0</v>
      </c>
      <c r="P461">
        <f>NOT(hospitalityq!P461="")*(NOT(IFERROR(INT(hospitalityq!P461)=VALUE(hospitalityq!P461),FALSE)))</f>
        <v>0</v>
      </c>
      <c r="Q461">
        <f>NOT(hospitalityq!Q461="")*(NOT(IFERROR(INT(hospitalityq!Q461)=VALUE(hospitalityq!Q461),FALSE)))</f>
        <v>0</v>
      </c>
      <c r="R461">
        <f>NOT(hospitalityq!R461="")*(NOT(IFERROR(ROUND(VALUE(hospitalityq!R461),2)=VALUE(hospitalityq!R461),FALSE)))</f>
        <v>0</v>
      </c>
    </row>
    <row r="462" spans="1:18" x14ac:dyDescent="0.25">
      <c r="A462">
        <f t="shared" si="7"/>
        <v>0</v>
      </c>
      <c r="C462">
        <f>NOT(hospitalityq!C462="")*(SUMPRODUCT(--(TRIM(hospitalityq!C6:C462)=TRIM(hospitalityq!C462)))&gt;1)</f>
        <v>0</v>
      </c>
      <c r="D462">
        <f>NOT(hospitalityq!D462="")*(COUNTIF(reference!$C$17:$C$18,TRIM(hospitalityq!D462))=0)</f>
        <v>0</v>
      </c>
      <c r="J462">
        <f>NOT(hospitalityq!J462="")*(NOT(ISNUMBER(hospitalityq!J462+0)))</f>
        <v>0</v>
      </c>
      <c r="K462">
        <f>NOT(hospitalityq!K462="")*(NOT(ISNUMBER(hospitalityq!K462+0)))</f>
        <v>0</v>
      </c>
      <c r="P462">
        <f>NOT(hospitalityq!P462="")*(NOT(IFERROR(INT(hospitalityq!P462)=VALUE(hospitalityq!P462),FALSE)))</f>
        <v>0</v>
      </c>
      <c r="Q462">
        <f>NOT(hospitalityq!Q462="")*(NOT(IFERROR(INT(hospitalityq!Q462)=VALUE(hospitalityq!Q462),FALSE)))</f>
        <v>0</v>
      </c>
      <c r="R462">
        <f>NOT(hospitalityq!R462="")*(NOT(IFERROR(ROUND(VALUE(hospitalityq!R462),2)=VALUE(hospitalityq!R462),FALSE)))</f>
        <v>0</v>
      </c>
    </row>
    <row r="463" spans="1:18" x14ac:dyDescent="0.25">
      <c r="A463">
        <f t="shared" si="7"/>
        <v>0</v>
      </c>
      <c r="C463">
        <f>NOT(hospitalityq!C463="")*(SUMPRODUCT(--(TRIM(hospitalityq!C6:C463)=TRIM(hospitalityq!C463)))&gt;1)</f>
        <v>0</v>
      </c>
      <c r="D463">
        <f>NOT(hospitalityq!D463="")*(COUNTIF(reference!$C$17:$C$18,TRIM(hospitalityq!D463))=0)</f>
        <v>0</v>
      </c>
      <c r="J463">
        <f>NOT(hospitalityq!J463="")*(NOT(ISNUMBER(hospitalityq!J463+0)))</f>
        <v>0</v>
      </c>
      <c r="K463">
        <f>NOT(hospitalityq!K463="")*(NOT(ISNUMBER(hospitalityq!K463+0)))</f>
        <v>0</v>
      </c>
      <c r="P463">
        <f>NOT(hospitalityq!P463="")*(NOT(IFERROR(INT(hospitalityq!P463)=VALUE(hospitalityq!P463),FALSE)))</f>
        <v>0</v>
      </c>
      <c r="Q463">
        <f>NOT(hospitalityq!Q463="")*(NOT(IFERROR(INT(hospitalityq!Q463)=VALUE(hospitalityq!Q463),FALSE)))</f>
        <v>0</v>
      </c>
      <c r="R463">
        <f>NOT(hospitalityq!R463="")*(NOT(IFERROR(ROUND(VALUE(hospitalityq!R463),2)=VALUE(hospitalityq!R463),FALSE)))</f>
        <v>0</v>
      </c>
    </row>
    <row r="464" spans="1:18" x14ac:dyDescent="0.25">
      <c r="A464">
        <f t="shared" si="7"/>
        <v>0</v>
      </c>
      <c r="C464">
        <f>NOT(hospitalityq!C464="")*(SUMPRODUCT(--(TRIM(hospitalityq!C6:C464)=TRIM(hospitalityq!C464)))&gt;1)</f>
        <v>0</v>
      </c>
      <c r="D464">
        <f>NOT(hospitalityq!D464="")*(COUNTIF(reference!$C$17:$C$18,TRIM(hospitalityq!D464))=0)</f>
        <v>0</v>
      </c>
      <c r="J464">
        <f>NOT(hospitalityq!J464="")*(NOT(ISNUMBER(hospitalityq!J464+0)))</f>
        <v>0</v>
      </c>
      <c r="K464">
        <f>NOT(hospitalityq!K464="")*(NOT(ISNUMBER(hospitalityq!K464+0)))</f>
        <v>0</v>
      </c>
      <c r="P464">
        <f>NOT(hospitalityq!P464="")*(NOT(IFERROR(INT(hospitalityq!P464)=VALUE(hospitalityq!P464),FALSE)))</f>
        <v>0</v>
      </c>
      <c r="Q464">
        <f>NOT(hospitalityq!Q464="")*(NOT(IFERROR(INT(hospitalityq!Q464)=VALUE(hospitalityq!Q464),FALSE)))</f>
        <v>0</v>
      </c>
      <c r="R464">
        <f>NOT(hospitalityq!R464="")*(NOT(IFERROR(ROUND(VALUE(hospitalityq!R464),2)=VALUE(hospitalityq!R464),FALSE)))</f>
        <v>0</v>
      </c>
    </row>
    <row r="465" spans="1:18" x14ac:dyDescent="0.25">
      <c r="A465">
        <f t="shared" si="7"/>
        <v>0</v>
      </c>
      <c r="C465">
        <f>NOT(hospitalityq!C465="")*(SUMPRODUCT(--(TRIM(hospitalityq!C6:C465)=TRIM(hospitalityq!C465)))&gt;1)</f>
        <v>0</v>
      </c>
      <c r="D465">
        <f>NOT(hospitalityq!D465="")*(COUNTIF(reference!$C$17:$C$18,TRIM(hospitalityq!D465))=0)</f>
        <v>0</v>
      </c>
      <c r="J465">
        <f>NOT(hospitalityq!J465="")*(NOT(ISNUMBER(hospitalityq!J465+0)))</f>
        <v>0</v>
      </c>
      <c r="K465">
        <f>NOT(hospitalityq!K465="")*(NOT(ISNUMBER(hospitalityq!K465+0)))</f>
        <v>0</v>
      </c>
      <c r="P465">
        <f>NOT(hospitalityq!P465="")*(NOT(IFERROR(INT(hospitalityq!P465)=VALUE(hospitalityq!P465),FALSE)))</f>
        <v>0</v>
      </c>
      <c r="Q465">
        <f>NOT(hospitalityq!Q465="")*(NOT(IFERROR(INT(hospitalityq!Q465)=VALUE(hospitalityq!Q465),FALSE)))</f>
        <v>0</v>
      </c>
      <c r="R465">
        <f>NOT(hospitalityq!R465="")*(NOT(IFERROR(ROUND(VALUE(hospitalityq!R465),2)=VALUE(hospitalityq!R465),FALSE)))</f>
        <v>0</v>
      </c>
    </row>
    <row r="466" spans="1:18" x14ac:dyDescent="0.25">
      <c r="A466">
        <f t="shared" si="7"/>
        <v>0</v>
      </c>
      <c r="C466">
        <f>NOT(hospitalityq!C466="")*(SUMPRODUCT(--(TRIM(hospitalityq!C6:C466)=TRIM(hospitalityq!C466)))&gt;1)</f>
        <v>0</v>
      </c>
      <c r="D466">
        <f>NOT(hospitalityq!D466="")*(COUNTIF(reference!$C$17:$C$18,TRIM(hospitalityq!D466))=0)</f>
        <v>0</v>
      </c>
      <c r="J466">
        <f>NOT(hospitalityq!J466="")*(NOT(ISNUMBER(hospitalityq!J466+0)))</f>
        <v>0</v>
      </c>
      <c r="K466">
        <f>NOT(hospitalityq!K466="")*(NOT(ISNUMBER(hospitalityq!K466+0)))</f>
        <v>0</v>
      </c>
      <c r="P466">
        <f>NOT(hospitalityq!P466="")*(NOT(IFERROR(INT(hospitalityq!P466)=VALUE(hospitalityq!P466),FALSE)))</f>
        <v>0</v>
      </c>
      <c r="Q466">
        <f>NOT(hospitalityq!Q466="")*(NOT(IFERROR(INT(hospitalityq!Q466)=VALUE(hospitalityq!Q466),FALSE)))</f>
        <v>0</v>
      </c>
      <c r="R466">
        <f>NOT(hospitalityq!R466="")*(NOT(IFERROR(ROUND(VALUE(hospitalityq!R466),2)=VALUE(hospitalityq!R466),FALSE)))</f>
        <v>0</v>
      </c>
    </row>
    <row r="467" spans="1:18" x14ac:dyDescent="0.25">
      <c r="A467">
        <f t="shared" si="7"/>
        <v>0</v>
      </c>
      <c r="C467">
        <f>NOT(hospitalityq!C467="")*(SUMPRODUCT(--(TRIM(hospitalityq!C6:C467)=TRIM(hospitalityq!C467)))&gt;1)</f>
        <v>0</v>
      </c>
      <c r="D467">
        <f>NOT(hospitalityq!D467="")*(COUNTIF(reference!$C$17:$C$18,TRIM(hospitalityq!D467))=0)</f>
        <v>0</v>
      </c>
      <c r="J467">
        <f>NOT(hospitalityq!J467="")*(NOT(ISNUMBER(hospitalityq!J467+0)))</f>
        <v>0</v>
      </c>
      <c r="K467">
        <f>NOT(hospitalityq!K467="")*(NOT(ISNUMBER(hospitalityq!K467+0)))</f>
        <v>0</v>
      </c>
      <c r="P467">
        <f>NOT(hospitalityq!P467="")*(NOT(IFERROR(INT(hospitalityq!P467)=VALUE(hospitalityq!P467),FALSE)))</f>
        <v>0</v>
      </c>
      <c r="Q467">
        <f>NOT(hospitalityq!Q467="")*(NOT(IFERROR(INT(hospitalityq!Q467)=VALUE(hospitalityq!Q467),FALSE)))</f>
        <v>0</v>
      </c>
      <c r="R467">
        <f>NOT(hospitalityq!R467="")*(NOT(IFERROR(ROUND(VALUE(hospitalityq!R467),2)=VALUE(hospitalityq!R467),FALSE)))</f>
        <v>0</v>
      </c>
    </row>
    <row r="468" spans="1:18" x14ac:dyDescent="0.25">
      <c r="A468">
        <f t="shared" si="7"/>
        <v>0</v>
      </c>
      <c r="C468">
        <f>NOT(hospitalityq!C468="")*(SUMPRODUCT(--(TRIM(hospitalityq!C6:C468)=TRIM(hospitalityq!C468)))&gt;1)</f>
        <v>0</v>
      </c>
      <c r="D468">
        <f>NOT(hospitalityq!D468="")*(COUNTIF(reference!$C$17:$C$18,TRIM(hospitalityq!D468))=0)</f>
        <v>0</v>
      </c>
      <c r="J468">
        <f>NOT(hospitalityq!J468="")*(NOT(ISNUMBER(hospitalityq!J468+0)))</f>
        <v>0</v>
      </c>
      <c r="K468">
        <f>NOT(hospitalityq!K468="")*(NOT(ISNUMBER(hospitalityq!K468+0)))</f>
        <v>0</v>
      </c>
      <c r="P468">
        <f>NOT(hospitalityq!P468="")*(NOT(IFERROR(INT(hospitalityq!P468)=VALUE(hospitalityq!P468),FALSE)))</f>
        <v>0</v>
      </c>
      <c r="Q468">
        <f>NOT(hospitalityq!Q468="")*(NOT(IFERROR(INT(hospitalityq!Q468)=VALUE(hospitalityq!Q468),FALSE)))</f>
        <v>0</v>
      </c>
      <c r="R468">
        <f>NOT(hospitalityq!R468="")*(NOT(IFERROR(ROUND(VALUE(hospitalityq!R468),2)=VALUE(hospitalityq!R468),FALSE)))</f>
        <v>0</v>
      </c>
    </row>
    <row r="469" spans="1:18" x14ac:dyDescent="0.25">
      <c r="A469">
        <f t="shared" si="7"/>
        <v>0</v>
      </c>
      <c r="C469">
        <f>NOT(hospitalityq!C469="")*(SUMPRODUCT(--(TRIM(hospitalityq!C6:C469)=TRIM(hospitalityq!C469)))&gt;1)</f>
        <v>0</v>
      </c>
      <c r="D469">
        <f>NOT(hospitalityq!D469="")*(COUNTIF(reference!$C$17:$C$18,TRIM(hospitalityq!D469))=0)</f>
        <v>0</v>
      </c>
      <c r="J469">
        <f>NOT(hospitalityq!J469="")*(NOT(ISNUMBER(hospitalityq!J469+0)))</f>
        <v>0</v>
      </c>
      <c r="K469">
        <f>NOT(hospitalityq!K469="")*(NOT(ISNUMBER(hospitalityq!K469+0)))</f>
        <v>0</v>
      </c>
      <c r="P469">
        <f>NOT(hospitalityq!P469="")*(NOT(IFERROR(INT(hospitalityq!P469)=VALUE(hospitalityq!P469),FALSE)))</f>
        <v>0</v>
      </c>
      <c r="Q469">
        <f>NOT(hospitalityq!Q469="")*(NOT(IFERROR(INT(hospitalityq!Q469)=VALUE(hospitalityq!Q469),FALSE)))</f>
        <v>0</v>
      </c>
      <c r="R469">
        <f>NOT(hospitalityq!R469="")*(NOT(IFERROR(ROUND(VALUE(hospitalityq!R469),2)=VALUE(hospitalityq!R469),FALSE)))</f>
        <v>0</v>
      </c>
    </row>
    <row r="470" spans="1:18" x14ac:dyDescent="0.25">
      <c r="A470">
        <f t="shared" si="7"/>
        <v>0</v>
      </c>
      <c r="C470">
        <f>NOT(hospitalityq!C470="")*(SUMPRODUCT(--(TRIM(hospitalityq!C6:C470)=TRIM(hospitalityq!C470)))&gt;1)</f>
        <v>0</v>
      </c>
      <c r="D470">
        <f>NOT(hospitalityq!D470="")*(COUNTIF(reference!$C$17:$C$18,TRIM(hospitalityq!D470))=0)</f>
        <v>0</v>
      </c>
      <c r="J470">
        <f>NOT(hospitalityq!J470="")*(NOT(ISNUMBER(hospitalityq!J470+0)))</f>
        <v>0</v>
      </c>
      <c r="K470">
        <f>NOT(hospitalityq!K470="")*(NOT(ISNUMBER(hospitalityq!K470+0)))</f>
        <v>0</v>
      </c>
      <c r="P470">
        <f>NOT(hospitalityq!P470="")*(NOT(IFERROR(INT(hospitalityq!P470)=VALUE(hospitalityq!P470),FALSE)))</f>
        <v>0</v>
      </c>
      <c r="Q470">
        <f>NOT(hospitalityq!Q470="")*(NOT(IFERROR(INT(hospitalityq!Q470)=VALUE(hospitalityq!Q470),FALSE)))</f>
        <v>0</v>
      </c>
      <c r="R470">
        <f>NOT(hospitalityq!R470="")*(NOT(IFERROR(ROUND(VALUE(hospitalityq!R470),2)=VALUE(hospitalityq!R470),FALSE)))</f>
        <v>0</v>
      </c>
    </row>
    <row r="471" spans="1:18" x14ac:dyDescent="0.25">
      <c r="A471">
        <f t="shared" si="7"/>
        <v>0</v>
      </c>
      <c r="C471">
        <f>NOT(hospitalityq!C471="")*(SUMPRODUCT(--(TRIM(hospitalityq!C6:C471)=TRIM(hospitalityq!C471)))&gt;1)</f>
        <v>0</v>
      </c>
      <c r="D471">
        <f>NOT(hospitalityq!D471="")*(COUNTIF(reference!$C$17:$C$18,TRIM(hospitalityq!D471))=0)</f>
        <v>0</v>
      </c>
      <c r="J471">
        <f>NOT(hospitalityq!J471="")*(NOT(ISNUMBER(hospitalityq!J471+0)))</f>
        <v>0</v>
      </c>
      <c r="K471">
        <f>NOT(hospitalityq!K471="")*(NOT(ISNUMBER(hospitalityq!K471+0)))</f>
        <v>0</v>
      </c>
      <c r="P471">
        <f>NOT(hospitalityq!P471="")*(NOT(IFERROR(INT(hospitalityq!P471)=VALUE(hospitalityq!P471),FALSE)))</f>
        <v>0</v>
      </c>
      <c r="Q471">
        <f>NOT(hospitalityq!Q471="")*(NOT(IFERROR(INT(hospitalityq!Q471)=VALUE(hospitalityq!Q471),FALSE)))</f>
        <v>0</v>
      </c>
      <c r="R471">
        <f>NOT(hospitalityq!R471="")*(NOT(IFERROR(ROUND(VALUE(hospitalityq!R471),2)=VALUE(hospitalityq!R471),FALSE)))</f>
        <v>0</v>
      </c>
    </row>
    <row r="472" spans="1:18" x14ac:dyDescent="0.25">
      <c r="A472">
        <f t="shared" si="7"/>
        <v>0</v>
      </c>
      <c r="C472">
        <f>NOT(hospitalityq!C472="")*(SUMPRODUCT(--(TRIM(hospitalityq!C6:C472)=TRIM(hospitalityq!C472)))&gt;1)</f>
        <v>0</v>
      </c>
      <c r="D472">
        <f>NOT(hospitalityq!D472="")*(COUNTIF(reference!$C$17:$C$18,TRIM(hospitalityq!D472))=0)</f>
        <v>0</v>
      </c>
      <c r="J472">
        <f>NOT(hospitalityq!J472="")*(NOT(ISNUMBER(hospitalityq!J472+0)))</f>
        <v>0</v>
      </c>
      <c r="K472">
        <f>NOT(hospitalityq!K472="")*(NOT(ISNUMBER(hospitalityq!K472+0)))</f>
        <v>0</v>
      </c>
      <c r="P472">
        <f>NOT(hospitalityq!P472="")*(NOT(IFERROR(INT(hospitalityq!P472)=VALUE(hospitalityq!P472),FALSE)))</f>
        <v>0</v>
      </c>
      <c r="Q472">
        <f>NOT(hospitalityq!Q472="")*(NOT(IFERROR(INT(hospitalityq!Q472)=VALUE(hospitalityq!Q472),FALSE)))</f>
        <v>0</v>
      </c>
      <c r="R472">
        <f>NOT(hospitalityq!R472="")*(NOT(IFERROR(ROUND(VALUE(hospitalityq!R472),2)=VALUE(hospitalityq!R472),FALSE)))</f>
        <v>0</v>
      </c>
    </row>
    <row r="473" spans="1:18" x14ac:dyDescent="0.25">
      <c r="A473">
        <f t="shared" si="7"/>
        <v>0</v>
      </c>
      <c r="C473">
        <f>NOT(hospitalityq!C473="")*(SUMPRODUCT(--(TRIM(hospitalityq!C6:C473)=TRIM(hospitalityq!C473)))&gt;1)</f>
        <v>0</v>
      </c>
      <c r="D473">
        <f>NOT(hospitalityq!D473="")*(COUNTIF(reference!$C$17:$C$18,TRIM(hospitalityq!D473))=0)</f>
        <v>0</v>
      </c>
      <c r="J473">
        <f>NOT(hospitalityq!J473="")*(NOT(ISNUMBER(hospitalityq!J473+0)))</f>
        <v>0</v>
      </c>
      <c r="K473">
        <f>NOT(hospitalityq!K473="")*(NOT(ISNUMBER(hospitalityq!K473+0)))</f>
        <v>0</v>
      </c>
      <c r="P473">
        <f>NOT(hospitalityq!P473="")*(NOT(IFERROR(INT(hospitalityq!P473)=VALUE(hospitalityq!P473),FALSE)))</f>
        <v>0</v>
      </c>
      <c r="Q473">
        <f>NOT(hospitalityq!Q473="")*(NOT(IFERROR(INT(hospitalityq!Q473)=VALUE(hospitalityq!Q473),FALSE)))</f>
        <v>0</v>
      </c>
      <c r="R473">
        <f>NOT(hospitalityq!R473="")*(NOT(IFERROR(ROUND(VALUE(hospitalityq!R473),2)=VALUE(hospitalityq!R473),FALSE)))</f>
        <v>0</v>
      </c>
    </row>
    <row r="474" spans="1:18" x14ac:dyDescent="0.25">
      <c r="A474">
        <f t="shared" si="7"/>
        <v>0</v>
      </c>
      <c r="C474">
        <f>NOT(hospitalityq!C474="")*(SUMPRODUCT(--(TRIM(hospitalityq!C6:C474)=TRIM(hospitalityq!C474)))&gt;1)</f>
        <v>0</v>
      </c>
      <c r="D474">
        <f>NOT(hospitalityq!D474="")*(COUNTIF(reference!$C$17:$C$18,TRIM(hospitalityq!D474))=0)</f>
        <v>0</v>
      </c>
      <c r="J474">
        <f>NOT(hospitalityq!J474="")*(NOT(ISNUMBER(hospitalityq!J474+0)))</f>
        <v>0</v>
      </c>
      <c r="K474">
        <f>NOT(hospitalityq!K474="")*(NOT(ISNUMBER(hospitalityq!K474+0)))</f>
        <v>0</v>
      </c>
      <c r="P474">
        <f>NOT(hospitalityq!P474="")*(NOT(IFERROR(INT(hospitalityq!P474)=VALUE(hospitalityq!P474),FALSE)))</f>
        <v>0</v>
      </c>
      <c r="Q474">
        <f>NOT(hospitalityq!Q474="")*(NOT(IFERROR(INT(hospitalityq!Q474)=VALUE(hospitalityq!Q474),FALSE)))</f>
        <v>0</v>
      </c>
      <c r="R474">
        <f>NOT(hospitalityq!R474="")*(NOT(IFERROR(ROUND(VALUE(hospitalityq!R474),2)=VALUE(hospitalityq!R474),FALSE)))</f>
        <v>0</v>
      </c>
    </row>
    <row r="475" spans="1:18" x14ac:dyDescent="0.25">
      <c r="A475">
        <f t="shared" si="7"/>
        <v>0</v>
      </c>
      <c r="C475">
        <f>NOT(hospitalityq!C475="")*(SUMPRODUCT(--(TRIM(hospitalityq!C6:C475)=TRIM(hospitalityq!C475)))&gt;1)</f>
        <v>0</v>
      </c>
      <c r="D475">
        <f>NOT(hospitalityq!D475="")*(COUNTIF(reference!$C$17:$C$18,TRIM(hospitalityq!D475))=0)</f>
        <v>0</v>
      </c>
      <c r="J475">
        <f>NOT(hospitalityq!J475="")*(NOT(ISNUMBER(hospitalityq!J475+0)))</f>
        <v>0</v>
      </c>
      <c r="K475">
        <f>NOT(hospitalityq!K475="")*(NOT(ISNUMBER(hospitalityq!K475+0)))</f>
        <v>0</v>
      </c>
      <c r="P475">
        <f>NOT(hospitalityq!P475="")*(NOT(IFERROR(INT(hospitalityq!P475)=VALUE(hospitalityq!P475),FALSE)))</f>
        <v>0</v>
      </c>
      <c r="Q475">
        <f>NOT(hospitalityq!Q475="")*(NOT(IFERROR(INT(hospitalityq!Q475)=VALUE(hospitalityq!Q475),FALSE)))</f>
        <v>0</v>
      </c>
      <c r="R475">
        <f>NOT(hospitalityq!R475="")*(NOT(IFERROR(ROUND(VALUE(hospitalityq!R475),2)=VALUE(hospitalityq!R475),FALSE)))</f>
        <v>0</v>
      </c>
    </row>
    <row r="476" spans="1:18" x14ac:dyDescent="0.25">
      <c r="A476">
        <f t="shared" si="7"/>
        <v>0</v>
      </c>
      <c r="C476">
        <f>NOT(hospitalityq!C476="")*(SUMPRODUCT(--(TRIM(hospitalityq!C6:C476)=TRIM(hospitalityq!C476)))&gt;1)</f>
        <v>0</v>
      </c>
      <c r="D476">
        <f>NOT(hospitalityq!D476="")*(COUNTIF(reference!$C$17:$C$18,TRIM(hospitalityq!D476))=0)</f>
        <v>0</v>
      </c>
      <c r="J476">
        <f>NOT(hospitalityq!J476="")*(NOT(ISNUMBER(hospitalityq!J476+0)))</f>
        <v>0</v>
      </c>
      <c r="K476">
        <f>NOT(hospitalityq!K476="")*(NOT(ISNUMBER(hospitalityq!K476+0)))</f>
        <v>0</v>
      </c>
      <c r="P476">
        <f>NOT(hospitalityq!P476="")*(NOT(IFERROR(INT(hospitalityq!P476)=VALUE(hospitalityq!P476),FALSE)))</f>
        <v>0</v>
      </c>
      <c r="Q476">
        <f>NOT(hospitalityq!Q476="")*(NOT(IFERROR(INT(hospitalityq!Q476)=VALUE(hospitalityq!Q476),FALSE)))</f>
        <v>0</v>
      </c>
      <c r="R476">
        <f>NOT(hospitalityq!R476="")*(NOT(IFERROR(ROUND(VALUE(hospitalityq!R476),2)=VALUE(hospitalityq!R476),FALSE)))</f>
        <v>0</v>
      </c>
    </row>
    <row r="477" spans="1:18" x14ac:dyDescent="0.25">
      <c r="A477">
        <f t="shared" si="7"/>
        <v>0</v>
      </c>
      <c r="C477">
        <f>NOT(hospitalityq!C477="")*(SUMPRODUCT(--(TRIM(hospitalityq!C6:C477)=TRIM(hospitalityq!C477)))&gt;1)</f>
        <v>0</v>
      </c>
      <c r="D477">
        <f>NOT(hospitalityq!D477="")*(COUNTIF(reference!$C$17:$C$18,TRIM(hospitalityq!D477))=0)</f>
        <v>0</v>
      </c>
      <c r="J477">
        <f>NOT(hospitalityq!J477="")*(NOT(ISNUMBER(hospitalityq!J477+0)))</f>
        <v>0</v>
      </c>
      <c r="K477">
        <f>NOT(hospitalityq!K477="")*(NOT(ISNUMBER(hospitalityq!K477+0)))</f>
        <v>0</v>
      </c>
      <c r="P477">
        <f>NOT(hospitalityq!P477="")*(NOT(IFERROR(INT(hospitalityq!P477)=VALUE(hospitalityq!P477),FALSE)))</f>
        <v>0</v>
      </c>
      <c r="Q477">
        <f>NOT(hospitalityq!Q477="")*(NOT(IFERROR(INT(hospitalityq!Q477)=VALUE(hospitalityq!Q477),FALSE)))</f>
        <v>0</v>
      </c>
      <c r="R477">
        <f>NOT(hospitalityq!R477="")*(NOT(IFERROR(ROUND(VALUE(hospitalityq!R477),2)=VALUE(hospitalityq!R477),FALSE)))</f>
        <v>0</v>
      </c>
    </row>
    <row r="478" spans="1:18" x14ac:dyDescent="0.25">
      <c r="A478">
        <f t="shared" si="7"/>
        <v>0</v>
      </c>
      <c r="C478">
        <f>NOT(hospitalityq!C478="")*(SUMPRODUCT(--(TRIM(hospitalityq!C6:C478)=TRIM(hospitalityq!C478)))&gt;1)</f>
        <v>0</v>
      </c>
      <c r="D478">
        <f>NOT(hospitalityq!D478="")*(COUNTIF(reference!$C$17:$C$18,TRIM(hospitalityq!D478))=0)</f>
        <v>0</v>
      </c>
      <c r="J478">
        <f>NOT(hospitalityq!J478="")*(NOT(ISNUMBER(hospitalityq!J478+0)))</f>
        <v>0</v>
      </c>
      <c r="K478">
        <f>NOT(hospitalityq!K478="")*(NOT(ISNUMBER(hospitalityq!K478+0)))</f>
        <v>0</v>
      </c>
      <c r="P478">
        <f>NOT(hospitalityq!P478="")*(NOT(IFERROR(INT(hospitalityq!P478)=VALUE(hospitalityq!P478),FALSE)))</f>
        <v>0</v>
      </c>
      <c r="Q478">
        <f>NOT(hospitalityq!Q478="")*(NOT(IFERROR(INT(hospitalityq!Q478)=VALUE(hospitalityq!Q478),FALSE)))</f>
        <v>0</v>
      </c>
      <c r="R478">
        <f>NOT(hospitalityq!R478="")*(NOT(IFERROR(ROUND(VALUE(hospitalityq!R478),2)=VALUE(hospitalityq!R478),FALSE)))</f>
        <v>0</v>
      </c>
    </row>
    <row r="479" spans="1:18" x14ac:dyDescent="0.25">
      <c r="A479">
        <f t="shared" si="7"/>
        <v>0</v>
      </c>
      <c r="C479">
        <f>NOT(hospitalityq!C479="")*(SUMPRODUCT(--(TRIM(hospitalityq!C6:C479)=TRIM(hospitalityq!C479)))&gt;1)</f>
        <v>0</v>
      </c>
      <c r="D479">
        <f>NOT(hospitalityq!D479="")*(COUNTIF(reference!$C$17:$C$18,TRIM(hospitalityq!D479))=0)</f>
        <v>0</v>
      </c>
      <c r="J479">
        <f>NOT(hospitalityq!J479="")*(NOT(ISNUMBER(hospitalityq!J479+0)))</f>
        <v>0</v>
      </c>
      <c r="K479">
        <f>NOT(hospitalityq!K479="")*(NOT(ISNUMBER(hospitalityq!K479+0)))</f>
        <v>0</v>
      </c>
      <c r="P479">
        <f>NOT(hospitalityq!P479="")*(NOT(IFERROR(INT(hospitalityq!P479)=VALUE(hospitalityq!P479),FALSE)))</f>
        <v>0</v>
      </c>
      <c r="Q479">
        <f>NOT(hospitalityq!Q479="")*(NOT(IFERROR(INT(hospitalityq!Q479)=VALUE(hospitalityq!Q479),FALSE)))</f>
        <v>0</v>
      </c>
      <c r="R479">
        <f>NOT(hospitalityq!R479="")*(NOT(IFERROR(ROUND(VALUE(hospitalityq!R479),2)=VALUE(hospitalityq!R479),FALSE)))</f>
        <v>0</v>
      </c>
    </row>
    <row r="480" spans="1:18" x14ac:dyDescent="0.25">
      <c r="A480">
        <f t="shared" si="7"/>
        <v>0</v>
      </c>
      <c r="C480">
        <f>NOT(hospitalityq!C480="")*(SUMPRODUCT(--(TRIM(hospitalityq!C6:C480)=TRIM(hospitalityq!C480)))&gt;1)</f>
        <v>0</v>
      </c>
      <c r="D480">
        <f>NOT(hospitalityq!D480="")*(COUNTIF(reference!$C$17:$C$18,TRIM(hospitalityq!D480))=0)</f>
        <v>0</v>
      </c>
      <c r="J480">
        <f>NOT(hospitalityq!J480="")*(NOT(ISNUMBER(hospitalityq!J480+0)))</f>
        <v>0</v>
      </c>
      <c r="K480">
        <f>NOT(hospitalityq!K480="")*(NOT(ISNUMBER(hospitalityq!K480+0)))</f>
        <v>0</v>
      </c>
      <c r="P480">
        <f>NOT(hospitalityq!P480="")*(NOT(IFERROR(INT(hospitalityq!P480)=VALUE(hospitalityq!P480),FALSE)))</f>
        <v>0</v>
      </c>
      <c r="Q480">
        <f>NOT(hospitalityq!Q480="")*(NOT(IFERROR(INT(hospitalityq!Q480)=VALUE(hospitalityq!Q480),FALSE)))</f>
        <v>0</v>
      </c>
      <c r="R480">
        <f>NOT(hospitalityq!R480="")*(NOT(IFERROR(ROUND(VALUE(hospitalityq!R480),2)=VALUE(hospitalityq!R480),FALSE)))</f>
        <v>0</v>
      </c>
    </row>
    <row r="481" spans="1:18" x14ac:dyDescent="0.25">
      <c r="A481">
        <f t="shared" si="7"/>
        <v>0</v>
      </c>
      <c r="C481">
        <f>NOT(hospitalityq!C481="")*(SUMPRODUCT(--(TRIM(hospitalityq!C6:C481)=TRIM(hospitalityq!C481)))&gt;1)</f>
        <v>0</v>
      </c>
      <c r="D481">
        <f>NOT(hospitalityq!D481="")*(COUNTIF(reference!$C$17:$C$18,TRIM(hospitalityq!D481))=0)</f>
        <v>0</v>
      </c>
      <c r="J481">
        <f>NOT(hospitalityq!J481="")*(NOT(ISNUMBER(hospitalityq!J481+0)))</f>
        <v>0</v>
      </c>
      <c r="K481">
        <f>NOT(hospitalityq!K481="")*(NOT(ISNUMBER(hospitalityq!K481+0)))</f>
        <v>0</v>
      </c>
      <c r="P481">
        <f>NOT(hospitalityq!P481="")*(NOT(IFERROR(INT(hospitalityq!P481)=VALUE(hospitalityq!P481),FALSE)))</f>
        <v>0</v>
      </c>
      <c r="Q481">
        <f>NOT(hospitalityq!Q481="")*(NOT(IFERROR(INT(hospitalityq!Q481)=VALUE(hospitalityq!Q481),FALSE)))</f>
        <v>0</v>
      </c>
      <c r="R481">
        <f>NOT(hospitalityq!R481="")*(NOT(IFERROR(ROUND(VALUE(hospitalityq!R481),2)=VALUE(hospitalityq!R481),FALSE)))</f>
        <v>0</v>
      </c>
    </row>
    <row r="482" spans="1:18" x14ac:dyDescent="0.25">
      <c r="A482">
        <f t="shared" si="7"/>
        <v>0</v>
      </c>
      <c r="C482">
        <f>NOT(hospitalityq!C482="")*(SUMPRODUCT(--(TRIM(hospitalityq!C6:C482)=TRIM(hospitalityq!C482)))&gt;1)</f>
        <v>0</v>
      </c>
      <c r="D482">
        <f>NOT(hospitalityq!D482="")*(COUNTIF(reference!$C$17:$C$18,TRIM(hospitalityq!D482))=0)</f>
        <v>0</v>
      </c>
      <c r="J482">
        <f>NOT(hospitalityq!J482="")*(NOT(ISNUMBER(hospitalityq!J482+0)))</f>
        <v>0</v>
      </c>
      <c r="K482">
        <f>NOT(hospitalityq!K482="")*(NOT(ISNUMBER(hospitalityq!K482+0)))</f>
        <v>0</v>
      </c>
      <c r="P482">
        <f>NOT(hospitalityq!P482="")*(NOT(IFERROR(INT(hospitalityq!P482)=VALUE(hospitalityq!P482),FALSE)))</f>
        <v>0</v>
      </c>
      <c r="Q482">
        <f>NOT(hospitalityq!Q482="")*(NOT(IFERROR(INT(hospitalityq!Q482)=VALUE(hospitalityq!Q482),FALSE)))</f>
        <v>0</v>
      </c>
      <c r="R482">
        <f>NOT(hospitalityq!R482="")*(NOT(IFERROR(ROUND(VALUE(hospitalityq!R482),2)=VALUE(hospitalityq!R482),FALSE)))</f>
        <v>0</v>
      </c>
    </row>
    <row r="483" spans="1:18" x14ac:dyDescent="0.25">
      <c r="A483">
        <f t="shared" si="7"/>
        <v>0</v>
      </c>
      <c r="C483">
        <f>NOT(hospitalityq!C483="")*(SUMPRODUCT(--(TRIM(hospitalityq!C6:C483)=TRIM(hospitalityq!C483)))&gt;1)</f>
        <v>0</v>
      </c>
      <c r="D483">
        <f>NOT(hospitalityq!D483="")*(COUNTIF(reference!$C$17:$C$18,TRIM(hospitalityq!D483))=0)</f>
        <v>0</v>
      </c>
      <c r="J483">
        <f>NOT(hospitalityq!J483="")*(NOT(ISNUMBER(hospitalityq!J483+0)))</f>
        <v>0</v>
      </c>
      <c r="K483">
        <f>NOT(hospitalityq!K483="")*(NOT(ISNUMBER(hospitalityq!K483+0)))</f>
        <v>0</v>
      </c>
      <c r="P483">
        <f>NOT(hospitalityq!P483="")*(NOT(IFERROR(INT(hospitalityq!P483)=VALUE(hospitalityq!P483),FALSE)))</f>
        <v>0</v>
      </c>
      <c r="Q483">
        <f>NOT(hospitalityq!Q483="")*(NOT(IFERROR(INT(hospitalityq!Q483)=VALUE(hospitalityq!Q483),FALSE)))</f>
        <v>0</v>
      </c>
      <c r="R483">
        <f>NOT(hospitalityq!R483="")*(NOT(IFERROR(ROUND(VALUE(hospitalityq!R483),2)=VALUE(hospitalityq!R483),FALSE)))</f>
        <v>0</v>
      </c>
    </row>
    <row r="484" spans="1:18" x14ac:dyDescent="0.25">
      <c r="A484">
        <f t="shared" si="7"/>
        <v>0</v>
      </c>
      <c r="C484">
        <f>NOT(hospitalityq!C484="")*(SUMPRODUCT(--(TRIM(hospitalityq!C6:C484)=TRIM(hospitalityq!C484)))&gt;1)</f>
        <v>0</v>
      </c>
      <c r="D484">
        <f>NOT(hospitalityq!D484="")*(COUNTIF(reference!$C$17:$C$18,TRIM(hospitalityq!D484))=0)</f>
        <v>0</v>
      </c>
      <c r="J484">
        <f>NOT(hospitalityq!J484="")*(NOT(ISNUMBER(hospitalityq!J484+0)))</f>
        <v>0</v>
      </c>
      <c r="K484">
        <f>NOT(hospitalityq!K484="")*(NOT(ISNUMBER(hospitalityq!K484+0)))</f>
        <v>0</v>
      </c>
      <c r="P484">
        <f>NOT(hospitalityq!P484="")*(NOT(IFERROR(INT(hospitalityq!P484)=VALUE(hospitalityq!P484),FALSE)))</f>
        <v>0</v>
      </c>
      <c r="Q484">
        <f>NOT(hospitalityq!Q484="")*(NOT(IFERROR(INT(hospitalityq!Q484)=VALUE(hospitalityq!Q484),FALSE)))</f>
        <v>0</v>
      </c>
      <c r="R484">
        <f>NOT(hospitalityq!R484="")*(NOT(IFERROR(ROUND(VALUE(hospitalityq!R484),2)=VALUE(hospitalityq!R484),FALSE)))</f>
        <v>0</v>
      </c>
    </row>
    <row r="485" spans="1:18" x14ac:dyDescent="0.25">
      <c r="A485">
        <f t="shared" si="7"/>
        <v>0</v>
      </c>
      <c r="C485">
        <f>NOT(hospitalityq!C485="")*(SUMPRODUCT(--(TRIM(hospitalityq!C6:C485)=TRIM(hospitalityq!C485)))&gt;1)</f>
        <v>0</v>
      </c>
      <c r="D485">
        <f>NOT(hospitalityq!D485="")*(COUNTIF(reference!$C$17:$C$18,TRIM(hospitalityq!D485))=0)</f>
        <v>0</v>
      </c>
      <c r="J485">
        <f>NOT(hospitalityq!J485="")*(NOT(ISNUMBER(hospitalityq!J485+0)))</f>
        <v>0</v>
      </c>
      <c r="K485">
        <f>NOT(hospitalityq!K485="")*(NOT(ISNUMBER(hospitalityq!K485+0)))</f>
        <v>0</v>
      </c>
      <c r="P485">
        <f>NOT(hospitalityq!P485="")*(NOT(IFERROR(INT(hospitalityq!P485)=VALUE(hospitalityq!P485),FALSE)))</f>
        <v>0</v>
      </c>
      <c r="Q485">
        <f>NOT(hospitalityq!Q485="")*(NOT(IFERROR(INT(hospitalityq!Q485)=VALUE(hospitalityq!Q485),FALSE)))</f>
        <v>0</v>
      </c>
      <c r="R485">
        <f>NOT(hospitalityq!R485="")*(NOT(IFERROR(ROUND(VALUE(hospitalityq!R485),2)=VALUE(hospitalityq!R485),FALSE)))</f>
        <v>0</v>
      </c>
    </row>
    <row r="486" spans="1:18" x14ac:dyDescent="0.25">
      <c r="A486">
        <f t="shared" si="7"/>
        <v>0</v>
      </c>
      <c r="C486">
        <f>NOT(hospitalityq!C486="")*(SUMPRODUCT(--(TRIM(hospitalityq!C6:C486)=TRIM(hospitalityq!C486)))&gt;1)</f>
        <v>0</v>
      </c>
      <c r="D486">
        <f>NOT(hospitalityq!D486="")*(COUNTIF(reference!$C$17:$C$18,TRIM(hospitalityq!D486))=0)</f>
        <v>0</v>
      </c>
      <c r="J486">
        <f>NOT(hospitalityq!J486="")*(NOT(ISNUMBER(hospitalityq!J486+0)))</f>
        <v>0</v>
      </c>
      <c r="K486">
        <f>NOT(hospitalityq!K486="")*(NOT(ISNUMBER(hospitalityq!K486+0)))</f>
        <v>0</v>
      </c>
      <c r="P486">
        <f>NOT(hospitalityq!P486="")*(NOT(IFERROR(INT(hospitalityq!P486)=VALUE(hospitalityq!P486),FALSE)))</f>
        <v>0</v>
      </c>
      <c r="Q486">
        <f>NOT(hospitalityq!Q486="")*(NOT(IFERROR(INT(hospitalityq!Q486)=VALUE(hospitalityq!Q486),FALSE)))</f>
        <v>0</v>
      </c>
      <c r="R486">
        <f>NOT(hospitalityq!R486="")*(NOT(IFERROR(ROUND(VALUE(hospitalityq!R486),2)=VALUE(hospitalityq!R486),FALSE)))</f>
        <v>0</v>
      </c>
    </row>
    <row r="487" spans="1:18" x14ac:dyDescent="0.25">
      <c r="A487">
        <f t="shared" si="7"/>
        <v>0</v>
      </c>
      <c r="C487">
        <f>NOT(hospitalityq!C487="")*(SUMPRODUCT(--(TRIM(hospitalityq!C6:C487)=TRIM(hospitalityq!C487)))&gt;1)</f>
        <v>0</v>
      </c>
      <c r="D487">
        <f>NOT(hospitalityq!D487="")*(COUNTIF(reference!$C$17:$C$18,TRIM(hospitalityq!D487))=0)</f>
        <v>0</v>
      </c>
      <c r="J487">
        <f>NOT(hospitalityq!J487="")*(NOT(ISNUMBER(hospitalityq!J487+0)))</f>
        <v>0</v>
      </c>
      <c r="K487">
        <f>NOT(hospitalityq!K487="")*(NOT(ISNUMBER(hospitalityq!K487+0)))</f>
        <v>0</v>
      </c>
      <c r="P487">
        <f>NOT(hospitalityq!P487="")*(NOT(IFERROR(INT(hospitalityq!P487)=VALUE(hospitalityq!P487),FALSE)))</f>
        <v>0</v>
      </c>
      <c r="Q487">
        <f>NOT(hospitalityq!Q487="")*(NOT(IFERROR(INT(hospitalityq!Q487)=VALUE(hospitalityq!Q487),FALSE)))</f>
        <v>0</v>
      </c>
      <c r="R487">
        <f>NOT(hospitalityq!R487="")*(NOT(IFERROR(ROUND(VALUE(hospitalityq!R487),2)=VALUE(hospitalityq!R487),FALSE)))</f>
        <v>0</v>
      </c>
    </row>
    <row r="488" spans="1:18" x14ac:dyDescent="0.25">
      <c r="A488">
        <f t="shared" si="7"/>
        <v>0</v>
      </c>
      <c r="C488">
        <f>NOT(hospitalityq!C488="")*(SUMPRODUCT(--(TRIM(hospitalityq!C6:C488)=TRIM(hospitalityq!C488)))&gt;1)</f>
        <v>0</v>
      </c>
      <c r="D488">
        <f>NOT(hospitalityq!D488="")*(COUNTIF(reference!$C$17:$C$18,TRIM(hospitalityq!D488))=0)</f>
        <v>0</v>
      </c>
      <c r="J488">
        <f>NOT(hospitalityq!J488="")*(NOT(ISNUMBER(hospitalityq!J488+0)))</f>
        <v>0</v>
      </c>
      <c r="K488">
        <f>NOT(hospitalityq!K488="")*(NOT(ISNUMBER(hospitalityq!K488+0)))</f>
        <v>0</v>
      </c>
      <c r="P488">
        <f>NOT(hospitalityq!P488="")*(NOT(IFERROR(INT(hospitalityq!P488)=VALUE(hospitalityq!P488),FALSE)))</f>
        <v>0</v>
      </c>
      <c r="Q488">
        <f>NOT(hospitalityq!Q488="")*(NOT(IFERROR(INT(hospitalityq!Q488)=VALUE(hospitalityq!Q488),FALSE)))</f>
        <v>0</v>
      </c>
      <c r="R488">
        <f>NOT(hospitalityq!R488="")*(NOT(IFERROR(ROUND(VALUE(hospitalityq!R488),2)=VALUE(hospitalityq!R488),FALSE)))</f>
        <v>0</v>
      </c>
    </row>
    <row r="489" spans="1:18" x14ac:dyDescent="0.25">
      <c r="A489">
        <f t="shared" si="7"/>
        <v>0</v>
      </c>
      <c r="C489">
        <f>NOT(hospitalityq!C489="")*(SUMPRODUCT(--(TRIM(hospitalityq!C6:C489)=TRIM(hospitalityq!C489)))&gt;1)</f>
        <v>0</v>
      </c>
      <c r="D489">
        <f>NOT(hospitalityq!D489="")*(COUNTIF(reference!$C$17:$C$18,TRIM(hospitalityq!D489))=0)</f>
        <v>0</v>
      </c>
      <c r="J489">
        <f>NOT(hospitalityq!J489="")*(NOT(ISNUMBER(hospitalityq!J489+0)))</f>
        <v>0</v>
      </c>
      <c r="K489">
        <f>NOT(hospitalityq!K489="")*(NOT(ISNUMBER(hospitalityq!K489+0)))</f>
        <v>0</v>
      </c>
      <c r="P489">
        <f>NOT(hospitalityq!P489="")*(NOT(IFERROR(INT(hospitalityq!P489)=VALUE(hospitalityq!P489),FALSE)))</f>
        <v>0</v>
      </c>
      <c r="Q489">
        <f>NOT(hospitalityq!Q489="")*(NOT(IFERROR(INT(hospitalityq!Q489)=VALUE(hospitalityq!Q489),FALSE)))</f>
        <v>0</v>
      </c>
      <c r="R489">
        <f>NOT(hospitalityq!R489="")*(NOT(IFERROR(ROUND(VALUE(hospitalityq!R489),2)=VALUE(hospitalityq!R489),FALSE)))</f>
        <v>0</v>
      </c>
    </row>
    <row r="490" spans="1:18" x14ac:dyDescent="0.25">
      <c r="A490">
        <f t="shared" si="7"/>
        <v>0</v>
      </c>
      <c r="C490">
        <f>NOT(hospitalityq!C490="")*(SUMPRODUCT(--(TRIM(hospitalityq!C6:C490)=TRIM(hospitalityq!C490)))&gt;1)</f>
        <v>0</v>
      </c>
      <c r="D490">
        <f>NOT(hospitalityq!D490="")*(COUNTIF(reference!$C$17:$C$18,TRIM(hospitalityq!D490))=0)</f>
        <v>0</v>
      </c>
      <c r="J490">
        <f>NOT(hospitalityq!J490="")*(NOT(ISNUMBER(hospitalityq!J490+0)))</f>
        <v>0</v>
      </c>
      <c r="K490">
        <f>NOT(hospitalityq!K490="")*(NOT(ISNUMBER(hospitalityq!K490+0)))</f>
        <v>0</v>
      </c>
      <c r="P490">
        <f>NOT(hospitalityq!P490="")*(NOT(IFERROR(INT(hospitalityq!P490)=VALUE(hospitalityq!P490),FALSE)))</f>
        <v>0</v>
      </c>
      <c r="Q490">
        <f>NOT(hospitalityq!Q490="")*(NOT(IFERROR(INT(hospitalityq!Q490)=VALUE(hospitalityq!Q490),FALSE)))</f>
        <v>0</v>
      </c>
      <c r="R490">
        <f>NOT(hospitalityq!R490="")*(NOT(IFERROR(ROUND(VALUE(hospitalityq!R490),2)=VALUE(hospitalityq!R490),FALSE)))</f>
        <v>0</v>
      </c>
    </row>
    <row r="491" spans="1:18" x14ac:dyDescent="0.25">
      <c r="A491">
        <f t="shared" si="7"/>
        <v>0</v>
      </c>
      <c r="C491">
        <f>NOT(hospitalityq!C491="")*(SUMPRODUCT(--(TRIM(hospitalityq!C6:C491)=TRIM(hospitalityq!C491)))&gt;1)</f>
        <v>0</v>
      </c>
      <c r="D491">
        <f>NOT(hospitalityq!D491="")*(COUNTIF(reference!$C$17:$C$18,TRIM(hospitalityq!D491))=0)</f>
        <v>0</v>
      </c>
      <c r="J491">
        <f>NOT(hospitalityq!J491="")*(NOT(ISNUMBER(hospitalityq!J491+0)))</f>
        <v>0</v>
      </c>
      <c r="K491">
        <f>NOT(hospitalityq!K491="")*(NOT(ISNUMBER(hospitalityq!K491+0)))</f>
        <v>0</v>
      </c>
      <c r="P491">
        <f>NOT(hospitalityq!P491="")*(NOT(IFERROR(INT(hospitalityq!P491)=VALUE(hospitalityq!P491),FALSE)))</f>
        <v>0</v>
      </c>
      <c r="Q491">
        <f>NOT(hospitalityq!Q491="")*(NOT(IFERROR(INT(hospitalityq!Q491)=VALUE(hospitalityq!Q491),FALSE)))</f>
        <v>0</v>
      </c>
      <c r="R491">
        <f>NOT(hospitalityq!R491="")*(NOT(IFERROR(ROUND(VALUE(hospitalityq!R491),2)=VALUE(hospitalityq!R491),FALSE)))</f>
        <v>0</v>
      </c>
    </row>
    <row r="492" spans="1:18" x14ac:dyDescent="0.25">
      <c r="A492">
        <f t="shared" si="7"/>
        <v>0</v>
      </c>
      <c r="C492">
        <f>NOT(hospitalityq!C492="")*(SUMPRODUCT(--(TRIM(hospitalityq!C6:C492)=TRIM(hospitalityq!C492)))&gt;1)</f>
        <v>0</v>
      </c>
      <c r="D492">
        <f>NOT(hospitalityq!D492="")*(COUNTIF(reference!$C$17:$C$18,TRIM(hospitalityq!D492))=0)</f>
        <v>0</v>
      </c>
      <c r="J492">
        <f>NOT(hospitalityq!J492="")*(NOT(ISNUMBER(hospitalityq!J492+0)))</f>
        <v>0</v>
      </c>
      <c r="K492">
        <f>NOT(hospitalityq!K492="")*(NOT(ISNUMBER(hospitalityq!K492+0)))</f>
        <v>0</v>
      </c>
      <c r="P492">
        <f>NOT(hospitalityq!P492="")*(NOT(IFERROR(INT(hospitalityq!P492)=VALUE(hospitalityq!P492),FALSE)))</f>
        <v>0</v>
      </c>
      <c r="Q492">
        <f>NOT(hospitalityq!Q492="")*(NOT(IFERROR(INT(hospitalityq!Q492)=VALUE(hospitalityq!Q492),FALSE)))</f>
        <v>0</v>
      </c>
      <c r="R492">
        <f>NOT(hospitalityq!R492="")*(NOT(IFERROR(ROUND(VALUE(hospitalityq!R492),2)=VALUE(hospitalityq!R492),FALSE)))</f>
        <v>0</v>
      </c>
    </row>
    <row r="493" spans="1:18" x14ac:dyDescent="0.25">
      <c r="A493">
        <f t="shared" si="7"/>
        <v>0</v>
      </c>
      <c r="C493">
        <f>NOT(hospitalityq!C493="")*(SUMPRODUCT(--(TRIM(hospitalityq!C6:C493)=TRIM(hospitalityq!C493)))&gt;1)</f>
        <v>0</v>
      </c>
      <c r="D493">
        <f>NOT(hospitalityq!D493="")*(COUNTIF(reference!$C$17:$C$18,TRIM(hospitalityq!D493))=0)</f>
        <v>0</v>
      </c>
      <c r="J493">
        <f>NOT(hospitalityq!J493="")*(NOT(ISNUMBER(hospitalityq!J493+0)))</f>
        <v>0</v>
      </c>
      <c r="K493">
        <f>NOT(hospitalityq!K493="")*(NOT(ISNUMBER(hospitalityq!K493+0)))</f>
        <v>0</v>
      </c>
      <c r="P493">
        <f>NOT(hospitalityq!P493="")*(NOT(IFERROR(INT(hospitalityq!P493)=VALUE(hospitalityq!P493),FALSE)))</f>
        <v>0</v>
      </c>
      <c r="Q493">
        <f>NOT(hospitalityq!Q493="")*(NOT(IFERROR(INT(hospitalityq!Q493)=VALUE(hospitalityq!Q493),FALSE)))</f>
        <v>0</v>
      </c>
      <c r="R493">
        <f>NOT(hospitalityq!R493="")*(NOT(IFERROR(ROUND(VALUE(hospitalityq!R493),2)=VALUE(hospitalityq!R493),FALSE)))</f>
        <v>0</v>
      </c>
    </row>
    <row r="494" spans="1:18" x14ac:dyDescent="0.25">
      <c r="A494">
        <f t="shared" si="7"/>
        <v>0</v>
      </c>
      <c r="C494">
        <f>NOT(hospitalityq!C494="")*(SUMPRODUCT(--(TRIM(hospitalityq!C6:C494)=TRIM(hospitalityq!C494)))&gt;1)</f>
        <v>0</v>
      </c>
      <c r="D494">
        <f>NOT(hospitalityq!D494="")*(COUNTIF(reference!$C$17:$C$18,TRIM(hospitalityq!D494))=0)</f>
        <v>0</v>
      </c>
      <c r="J494">
        <f>NOT(hospitalityq!J494="")*(NOT(ISNUMBER(hospitalityq!J494+0)))</f>
        <v>0</v>
      </c>
      <c r="K494">
        <f>NOT(hospitalityq!K494="")*(NOT(ISNUMBER(hospitalityq!K494+0)))</f>
        <v>0</v>
      </c>
      <c r="P494">
        <f>NOT(hospitalityq!P494="")*(NOT(IFERROR(INT(hospitalityq!P494)=VALUE(hospitalityq!P494),FALSE)))</f>
        <v>0</v>
      </c>
      <c r="Q494">
        <f>NOT(hospitalityq!Q494="")*(NOT(IFERROR(INT(hospitalityq!Q494)=VALUE(hospitalityq!Q494),FALSE)))</f>
        <v>0</v>
      </c>
      <c r="R494">
        <f>NOT(hospitalityq!R494="")*(NOT(IFERROR(ROUND(VALUE(hospitalityq!R494),2)=VALUE(hospitalityq!R494),FALSE)))</f>
        <v>0</v>
      </c>
    </row>
    <row r="495" spans="1:18" x14ac:dyDescent="0.25">
      <c r="A495">
        <f t="shared" si="7"/>
        <v>0</v>
      </c>
      <c r="C495">
        <f>NOT(hospitalityq!C495="")*(SUMPRODUCT(--(TRIM(hospitalityq!C6:C495)=TRIM(hospitalityq!C495)))&gt;1)</f>
        <v>0</v>
      </c>
      <c r="D495">
        <f>NOT(hospitalityq!D495="")*(COUNTIF(reference!$C$17:$C$18,TRIM(hospitalityq!D495))=0)</f>
        <v>0</v>
      </c>
      <c r="J495">
        <f>NOT(hospitalityq!J495="")*(NOT(ISNUMBER(hospitalityq!J495+0)))</f>
        <v>0</v>
      </c>
      <c r="K495">
        <f>NOT(hospitalityq!K495="")*(NOT(ISNUMBER(hospitalityq!K495+0)))</f>
        <v>0</v>
      </c>
      <c r="P495">
        <f>NOT(hospitalityq!P495="")*(NOT(IFERROR(INT(hospitalityq!P495)=VALUE(hospitalityq!P495),FALSE)))</f>
        <v>0</v>
      </c>
      <c r="Q495">
        <f>NOT(hospitalityq!Q495="")*(NOT(IFERROR(INT(hospitalityq!Q495)=VALUE(hospitalityq!Q495),FALSE)))</f>
        <v>0</v>
      </c>
      <c r="R495">
        <f>NOT(hospitalityq!R495="")*(NOT(IFERROR(ROUND(VALUE(hospitalityq!R495),2)=VALUE(hospitalityq!R495),FALSE)))</f>
        <v>0</v>
      </c>
    </row>
    <row r="496" spans="1:18" x14ac:dyDescent="0.25">
      <c r="A496">
        <f t="shared" si="7"/>
        <v>0</v>
      </c>
      <c r="C496">
        <f>NOT(hospitalityq!C496="")*(SUMPRODUCT(--(TRIM(hospitalityq!C6:C496)=TRIM(hospitalityq!C496)))&gt;1)</f>
        <v>0</v>
      </c>
      <c r="D496">
        <f>NOT(hospitalityq!D496="")*(COUNTIF(reference!$C$17:$C$18,TRIM(hospitalityq!D496))=0)</f>
        <v>0</v>
      </c>
      <c r="J496">
        <f>NOT(hospitalityq!J496="")*(NOT(ISNUMBER(hospitalityq!J496+0)))</f>
        <v>0</v>
      </c>
      <c r="K496">
        <f>NOT(hospitalityq!K496="")*(NOT(ISNUMBER(hospitalityq!K496+0)))</f>
        <v>0</v>
      </c>
      <c r="P496">
        <f>NOT(hospitalityq!P496="")*(NOT(IFERROR(INT(hospitalityq!P496)=VALUE(hospitalityq!P496),FALSE)))</f>
        <v>0</v>
      </c>
      <c r="Q496">
        <f>NOT(hospitalityq!Q496="")*(NOT(IFERROR(INT(hospitalityq!Q496)=VALUE(hospitalityq!Q496),FALSE)))</f>
        <v>0</v>
      </c>
      <c r="R496">
        <f>NOT(hospitalityq!R496="")*(NOT(IFERROR(ROUND(VALUE(hospitalityq!R496),2)=VALUE(hospitalityq!R496),FALSE)))</f>
        <v>0</v>
      </c>
    </row>
    <row r="497" spans="1:18" x14ac:dyDescent="0.25">
      <c r="A497">
        <f t="shared" si="7"/>
        <v>0</v>
      </c>
      <c r="C497">
        <f>NOT(hospitalityq!C497="")*(SUMPRODUCT(--(TRIM(hospitalityq!C6:C497)=TRIM(hospitalityq!C497)))&gt;1)</f>
        <v>0</v>
      </c>
      <c r="D497">
        <f>NOT(hospitalityq!D497="")*(COUNTIF(reference!$C$17:$C$18,TRIM(hospitalityq!D497))=0)</f>
        <v>0</v>
      </c>
      <c r="J497">
        <f>NOT(hospitalityq!J497="")*(NOT(ISNUMBER(hospitalityq!J497+0)))</f>
        <v>0</v>
      </c>
      <c r="K497">
        <f>NOT(hospitalityq!K497="")*(NOT(ISNUMBER(hospitalityq!K497+0)))</f>
        <v>0</v>
      </c>
      <c r="P497">
        <f>NOT(hospitalityq!P497="")*(NOT(IFERROR(INT(hospitalityq!P497)=VALUE(hospitalityq!P497),FALSE)))</f>
        <v>0</v>
      </c>
      <c r="Q497">
        <f>NOT(hospitalityq!Q497="")*(NOT(IFERROR(INT(hospitalityq!Q497)=VALUE(hospitalityq!Q497),FALSE)))</f>
        <v>0</v>
      </c>
      <c r="R497">
        <f>NOT(hospitalityq!R497="")*(NOT(IFERROR(ROUND(VALUE(hospitalityq!R497),2)=VALUE(hospitalityq!R497),FALSE)))</f>
        <v>0</v>
      </c>
    </row>
    <row r="498" spans="1:18" x14ac:dyDescent="0.25">
      <c r="A498">
        <f t="shared" si="7"/>
        <v>0</v>
      </c>
      <c r="C498">
        <f>NOT(hospitalityq!C498="")*(SUMPRODUCT(--(TRIM(hospitalityq!C6:C498)=TRIM(hospitalityq!C498)))&gt;1)</f>
        <v>0</v>
      </c>
      <c r="D498">
        <f>NOT(hospitalityq!D498="")*(COUNTIF(reference!$C$17:$C$18,TRIM(hospitalityq!D498))=0)</f>
        <v>0</v>
      </c>
      <c r="J498">
        <f>NOT(hospitalityq!J498="")*(NOT(ISNUMBER(hospitalityq!J498+0)))</f>
        <v>0</v>
      </c>
      <c r="K498">
        <f>NOT(hospitalityq!K498="")*(NOT(ISNUMBER(hospitalityq!K498+0)))</f>
        <v>0</v>
      </c>
      <c r="P498">
        <f>NOT(hospitalityq!P498="")*(NOT(IFERROR(INT(hospitalityq!P498)=VALUE(hospitalityq!P498),FALSE)))</f>
        <v>0</v>
      </c>
      <c r="Q498">
        <f>NOT(hospitalityq!Q498="")*(NOT(IFERROR(INT(hospitalityq!Q498)=VALUE(hospitalityq!Q498),FALSE)))</f>
        <v>0</v>
      </c>
      <c r="R498">
        <f>NOT(hospitalityq!R498="")*(NOT(IFERROR(ROUND(VALUE(hospitalityq!R498),2)=VALUE(hospitalityq!R498),FALSE)))</f>
        <v>0</v>
      </c>
    </row>
    <row r="499" spans="1:18" x14ac:dyDescent="0.25">
      <c r="A499">
        <f t="shared" si="7"/>
        <v>0</v>
      </c>
      <c r="C499">
        <f>NOT(hospitalityq!C499="")*(SUMPRODUCT(--(TRIM(hospitalityq!C6:C499)=TRIM(hospitalityq!C499)))&gt;1)</f>
        <v>0</v>
      </c>
      <c r="D499">
        <f>NOT(hospitalityq!D499="")*(COUNTIF(reference!$C$17:$C$18,TRIM(hospitalityq!D499))=0)</f>
        <v>0</v>
      </c>
      <c r="J499">
        <f>NOT(hospitalityq!J499="")*(NOT(ISNUMBER(hospitalityq!J499+0)))</f>
        <v>0</v>
      </c>
      <c r="K499">
        <f>NOT(hospitalityq!K499="")*(NOT(ISNUMBER(hospitalityq!K499+0)))</f>
        <v>0</v>
      </c>
      <c r="P499">
        <f>NOT(hospitalityq!P499="")*(NOT(IFERROR(INT(hospitalityq!P499)=VALUE(hospitalityq!P499),FALSE)))</f>
        <v>0</v>
      </c>
      <c r="Q499">
        <f>NOT(hospitalityq!Q499="")*(NOT(IFERROR(INT(hospitalityq!Q499)=VALUE(hospitalityq!Q499),FALSE)))</f>
        <v>0</v>
      </c>
      <c r="R499">
        <f>NOT(hospitalityq!R499="")*(NOT(IFERROR(ROUND(VALUE(hospitalityq!R499),2)=VALUE(hospitalityq!R499),FALSE)))</f>
        <v>0</v>
      </c>
    </row>
    <row r="500" spans="1:18" x14ac:dyDescent="0.25">
      <c r="A500">
        <f t="shared" si="7"/>
        <v>0</v>
      </c>
      <c r="C500">
        <f>NOT(hospitalityq!C500="")*(SUMPRODUCT(--(TRIM(hospitalityq!C6:C500)=TRIM(hospitalityq!C500)))&gt;1)</f>
        <v>0</v>
      </c>
      <c r="D500">
        <f>NOT(hospitalityq!D500="")*(COUNTIF(reference!$C$17:$C$18,TRIM(hospitalityq!D500))=0)</f>
        <v>0</v>
      </c>
      <c r="J500">
        <f>NOT(hospitalityq!J500="")*(NOT(ISNUMBER(hospitalityq!J500+0)))</f>
        <v>0</v>
      </c>
      <c r="K500">
        <f>NOT(hospitalityq!K500="")*(NOT(ISNUMBER(hospitalityq!K500+0)))</f>
        <v>0</v>
      </c>
      <c r="P500">
        <f>NOT(hospitalityq!P500="")*(NOT(IFERROR(INT(hospitalityq!P500)=VALUE(hospitalityq!P500),FALSE)))</f>
        <v>0</v>
      </c>
      <c r="Q500">
        <f>NOT(hospitalityq!Q500="")*(NOT(IFERROR(INT(hospitalityq!Q500)=VALUE(hospitalityq!Q500),FALSE)))</f>
        <v>0</v>
      </c>
      <c r="R500">
        <f>NOT(hospitalityq!R500="")*(NOT(IFERROR(ROUND(VALUE(hospitalityq!R500),2)=VALUE(hospitalityq!R500),FALSE)))</f>
        <v>0</v>
      </c>
    </row>
    <row r="501" spans="1:18" x14ac:dyDescent="0.25">
      <c r="A501">
        <f t="shared" si="7"/>
        <v>0</v>
      </c>
      <c r="C501">
        <f>NOT(hospitalityq!C501="")*(SUMPRODUCT(--(TRIM(hospitalityq!C6:C501)=TRIM(hospitalityq!C501)))&gt;1)</f>
        <v>0</v>
      </c>
      <c r="D501">
        <f>NOT(hospitalityq!D501="")*(COUNTIF(reference!$C$17:$C$18,TRIM(hospitalityq!D501))=0)</f>
        <v>0</v>
      </c>
      <c r="J501">
        <f>NOT(hospitalityq!J501="")*(NOT(ISNUMBER(hospitalityq!J501+0)))</f>
        <v>0</v>
      </c>
      <c r="K501">
        <f>NOT(hospitalityq!K501="")*(NOT(ISNUMBER(hospitalityq!K501+0)))</f>
        <v>0</v>
      </c>
      <c r="P501">
        <f>NOT(hospitalityq!P501="")*(NOT(IFERROR(INT(hospitalityq!P501)=VALUE(hospitalityq!P501),FALSE)))</f>
        <v>0</v>
      </c>
      <c r="Q501">
        <f>NOT(hospitalityq!Q501="")*(NOT(IFERROR(INT(hospitalityq!Q501)=VALUE(hospitalityq!Q501),FALSE)))</f>
        <v>0</v>
      </c>
      <c r="R501">
        <f>NOT(hospitalityq!R501="")*(NOT(IFERROR(ROUND(VALUE(hospitalityq!R501),2)=VALUE(hospitalityq!R501),FALSE)))</f>
        <v>0</v>
      </c>
    </row>
    <row r="502" spans="1:18" x14ac:dyDescent="0.25">
      <c r="A502">
        <f t="shared" si="7"/>
        <v>0</v>
      </c>
      <c r="C502">
        <f>NOT(hospitalityq!C502="")*(SUMPRODUCT(--(TRIM(hospitalityq!C6:C502)=TRIM(hospitalityq!C502)))&gt;1)</f>
        <v>0</v>
      </c>
      <c r="D502">
        <f>NOT(hospitalityq!D502="")*(COUNTIF(reference!$C$17:$C$18,TRIM(hospitalityq!D502))=0)</f>
        <v>0</v>
      </c>
      <c r="J502">
        <f>NOT(hospitalityq!J502="")*(NOT(ISNUMBER(hospitalityq!J502+0)))</f>
        <v>0</v>
      </c>
      <c r="K502">
        <f>NOT(hospitalityq!K502="")*(NOT(ISNUMBER(hospitalityq!K502+0)))</f>
        <v>0</v>
      </c>
      <c r="P502">
        <f>NOT(hospitalityq!P502="")*(NOT(IFERROR(INT(hospitalityq!P502)=VALUE(hospitalityq!P502),FALSE)))</f>
        <v>0</v>
      </c>
      <c r="Q502">
        <f>NOT(hospitalityq!Q502="")*(NOT(IFERROR(INT(hospitalityq!Q502)=VALUE(hospitalityq!Q502),FALSE)))</f>
        <v>0</v>
      </c>
      <c r="R502">
        <f>NOT(hospitalityq!R502="")*(NOT(IFERROR(ROUND(VALUE(hospitalityq!R502),2)=VALUE(hospitalityq!R502),FALSE)))</f>
        <v>0</v>
      </c>
    </row>
    <row r="503" spans="1:18" x14ac:dyDescent="0.25">
      <c r="A503">
        <f t="shared" si="7"/>
        <v>0</v>
      </c>
      <c r="C503">
        <f>NOT(hospitalityq!C503="")*(SUMPRODUCT(--(TRIM(hospitalityq!C6:C503)=TRIM(hospitalityq!C503)))&gt;1)</f>
        <v>0</v>
      </c>
      <c r="D503">
        <f>NOT(hospitalityq!D503="")*(COUNTIF(reference!$C$17:$C$18,TRIM(hospitalityq!D503))=0)</f>
        <v>0</v>
      </c>
      <c r="J503">
        <f>NOT(hospitalityq!J503="")*(NOT(ISNUMBER(hospitalityq!J503+0)))</f>
        <v>0</v>
      </c>
      <c r="K503">
        <f>NOT(hospitalityq!K503="")*(NOT(ISNUMBER(hospitalityq!K503+0)))</f>
        <v>0</v>
      </c>
      <c r="P503">
        <f>NOT(hospitalityq!P503="")*(NOT(IFERROR(INT(hospitalityq!P503)=VALUE(hospitalityq!P503),FALSE)))</f>
        <v>0</v>
      </c>
      <c r="Q503">
        <f>NOT(hospitalityq!Q503="")*(NOT(IFERROR(INT(hospitalityq!Q503)=VALUE(hospitalityq!Q503),FALSE)))</f>
        <v>0</v>
      </c>
      <c r="R503">
        <f>NOT(hospitalityq!R503="")*(NOT(IFERROR(ROUND(VALUE(hospitalityq!R503),2)=VALUE(hospitalityq!R503),FALSE)))</f>
        <v>0</v>
      </c>
    </row>
    <row r="504" spans="1:18" x14ac:dyDescent="0.25">
      <c r="A504">
        <f t="shared" si="7"/>
        <v>0</v>
      </c>
      <c r="C504">
        <f>NOT(hospitalityq!C504="")*(SUMPRODUCT(--(TRIM(hospitalityq!C6:C504)=TRIM(hospitalityq!C504)))&gt;1)</f>
        <v>0</v>
      </c>
      <c r="D504">
        <f>NOT(hospitalityq!D504="")*(COUNTIF(reference!$C$17:$C$18,TRIM(hospitalityq!D504))=0)</f>
        <v>0</v>
      </c>
      <c r="J504">
        <f>NOT(hospitalityq!J504="")*(NOT(ISNUMBER(hospitalityq!J504+0)))</f>
        <v>0</v>
      </c>
      <c r="K504">
        <f>NOT(hospitalityq!K504="")*(NOT(ISNUMBER(hospitalityq!K504+0)))</f>
        <v>0</v>
      </c>
      <c r="P504">
        <f>NOT(hospitalityq!P504="")*(NOT(IFERROR(INT(hospitalityq!P504)=VALUE(hospitalityq!P504),FALSE)))</f>
        <v>0</v>
      </c>
      <c r="Q504">
        <f>NOT(hospitalityq!Q504="")*(NOT(IFERROR(INT(hospitalityq!Q504)=VALUE(hospitalityq!Q504),FALSE)))</f>
        <v>0</v>
      </c>
      <c r="R504">
        <f>NOT(hospitalityq!R504="")*(NOT(IFERROR(ROUND(VALUE(hospitalityq!R504),2)=VALUE(hospitalityq!R504),FALSE)))</f>
        <v>0</v>
      </c>
    </row>
    <row r="505" spans="1:18" x14ac:dyDescent="0.25">
      <c r="A505">
        <f t="shared" si="7"/>
        <v>0</v>
      </c>
      <c r="C505">
        <f>NOT(hospitalityq!C505="")*(SUMPRODUCT(--(TRIM(hospitalityq!C6:C505)=TRIM(hospitalityq!C505)))&gt;1)</f>
        <v>0</v>
      </c>
      <c r="D505">
        <f>NOT(hospitalityq!D505="")*(COUNTIF(reference!$C$17:$C$18,TRIM(hospitalityq!D505))=0)</f>
        <v>0</v>
      </c>
      <c r="J505">
        <f>NOT(hospitalityq!J505="")*(NOT(ISNUMBER(hospitalityq!J505+0)))</f>
        <v>0</v>
      </c>
      <c r="K505">
        <f>NOT(hospitalityq!K505="")*(NOT(ISNUMBER(hospitalityq!K505+0)))</f>
        <v>0</v>
      </c>
      <c r="P505">
        <f>NOT(hospitalityq!P505="")*(NOT(IFERROR(INT(hospitalityq!P505)=VALUE(hospitalityq!P505),FALSE)))</f>
        <v>0</v>
      </c>
      <c r="Q505">
        <f>NOT(hospitalityq!Q505="")*(NOT(IFERROR(INT(hospitalityq!Q505)=VALUE(hospitalityq!Q505),FALSE)))</f>
        <v>0</v>
      </c>
      <c r="R505">
        <f>NOT(hospitalityq!R505="")*(NOT(IFERROR(ROUND(VALUE(hospitalityq!R505),2)=VALUE(hospitalityq!R505),FALSE)))</f>
        <v>0</v>
      </c>
    </row>
    <row r="506" spans="1:18" x14ac:dyDescent="0.25">
      <c r="A506">
        <f t="shared" si="7"/>
        <v>0</v>
      </c>
      <c r="C506">
        <f>NOT(hospitalityq!C506="")*(SUMPRODUCT(--(TRIM(hospitalityq!C6:C506)=TRIM(hospitalityq!C506)))&gt;1)</f>
        <v>0</v>
      </c>
      <c r="D506">
        <f>NOT(hospitalityq!D506="")*(COUNTIF(reference!$C$17:$C$18,TRIM(hospitalityq!D506))=0)</f>
        <v>0</v>
      </c>
      <c r="J506">
        <f>NOT(hospitalityq!J506="")*(NOT(ISNUMBER(hospitalityq!J506+0)))</f>
        <v>0</v>
      </c>
      <c r="K506">
        <f>NOT(hospitalityq!K506="")*(NOT(ISNUMBER(hospitalityq!K506+0)))</f>
        <v>0</v>
      </c>
      <c r="P506">
        <f>NOT(hospitalityq!P506="")*(NOT(IFERROR(INT(hospitalityq!P506)=VALUE(hospitalityq!P506),FALSE)))</f>
        <v>0</v>
      </c>
      <c r="Q506">
        <f>NOT(hospitalityq!Q506="")*(NOT(IFERROR(INT(hospitalityq!Q506)=VALUE(hospitalityq!Q506),FALSE)))</f>
        <v>0</v>
      </c>
      <c r="R506">
        <f>NOT(hospitalityq!R506="")*(NOT(IFERROR(ROUND(VALUE(hospitalityq!R506),2)=VALUE(hospitalityq!R506),FALSE)))</f>
        <v>0</v>
      </c>
    </row>
    <row r="507" spans="1:18" x14ac:dyDescent="0.25">
      <c r="A507">
        <f t="shared" si="7"/>
        <v>0</v>
      </c>
      <c r="C507">
        <f>NOT(hospitalityq!C507="")*(SUMPRODUCT(--(TRIM(hospitalityq!C6:C507)=TRIM(hospitalityq!C507)))&gt;1)</f>
        <v>0</v>
      </c>
      <c r="D507">
        <f>NOT(hospitalityq!D507="")*(COUNTIF(reference!$C$17:$C$18,TRIM(hospitalityq!D507))=0)</f>
        <v>0</v>
      </c>
      <c r="J507">
        <f>NOT(hospitalityq!J507="")*(NOT(ISNUMBER(hospitalityq!J507+0)))</f>
        <v>0</v>
      </c>
      <c r="K507">
        <f>NOT(hospitalityq!K507="")*(NOT(ISNUMBER(hospitalityq!K507+0)))</f>
        <v>0</v>
      </c>
      <c r="P507">
        <f>NOT(hospitalityq!P507="")*(NOT(IFERROR(INT(hospitalityq!P507)=VALUE(hospitalityq!P507),FALSE)))</f>
        <v>0</v>
      </c>
      <c r="Q507">
        <f>NOT(hospitalityq!Q507="")*(NOT(IFERROR(INT(hospitalityq!Q507)=VALUE(hospitalityq!Q507),FALSE)))</f>
        <v>0</v>
      </c>
      <c r="R507">
        <f>NOT(hospitalityq!R507="")*(NOT(IFERROR(ROUND(VALUE(hospitalityq!R507),2)=VALUE(hospitalityq!R507),FALSE)))</f>
        <v>0</v>
      </c>
    </row>
    <row r="508" spans="1:18" x14ac:dyDescent="0.25">
      <c r="A508">
        <f t="shared" si="7"/>
        <v>0</v>
      </c>
      <c r="C508">
        <f>NOT(hospitalityq!C508="")*(SUMPRODUCT(--(TRIM(hospitalityq!C6:C508)=TRIM(hospitalityq!C508)))&gt;1)</f>
        <v>0</v>
      </c>
      <c r="D508">
        <f>NOT(hospitalityq!D508="")*(COUNTIF(reference!$C$17:$C$18,TRIM(hospitalityq!D508))=0)</f>
        <v>0</v>
      </c>
      <c r="J508">
        <f>NOT(hospitalityq!J508="")*(NOT(ISNUMBER(hospitalityq!J508+0)))</f>
        <v>0</v>
      </c>
      <c r="K508">
        <f>NOT(hospitalityq!K508="")*(NOT(ISNUMBER(hospitalityq!K508+0)))</f>
        <v>0</v>
      </c>
      <c r="P508">
        <f>NOT(hospitalityq!P508="")*(NOT(IFERROR(INT(hospitalityq!P508)=VALUE(hospitalityq!P508),FALSE)))</f>
        <v>0</v>
      </c>
      <c r="Q508">
        <f>NOT(hospitalityq!Q508="")*(NOT(IFERROR(INT(hospitalityq!Q508)=VALUE(hospitalityq!Q508),FALSE)))</f>
        <v>0</v>
      </c>
      <c r="R508">
        <f>NOT(hospitalityq!R508="")*(NOT(IFERROR(ROUND(VALUE(hospitalityq!R508),2)=VALUE(hospitalityq!R508),FALSE)))</f>
        <v>0</v>
      </c>
    </row>
    <row r="509" spans="1:18" x14ac:dyDescent="0.25">
      <c r="A509">
        <f t="shared" si="7"/>
        <v>0</v>
      </c>
      <c r="C509">
        <f>NOT(hospitalityq!C509="")*(SUMPRODUCT(--(TRIM(hospitalityq!C6:C509)=TRIM(hospitalityq!C509)))&gt;1)</f>
        <v>0</v>
      </c>
      <c r="D509">
        <f>NOT(hospitalityq!D509="")*(COUNTIF(reference!$C$17:$C$18,TRIM(hospitalityq!D509))=0)</f>
        <v>0</v>
      </c>
      <c r="J509">
        <f>NOT(hospitalityq!J509="")*(NOT(ISNUMBER(hospitalityq!J509+0)))</f>
        <v>0</v>
      </c>
      <c r="K509">
        <f>NOT(hospitalityq!K509="")*(NOT(ISNUMBER(hospitalityq!K509+0)))</f>
        <v>0</v>
      </c>
      <c r="P509">
        <f>NOT(hospitalityq!P509="")*(NOT(IFERROR(INT(hospitalityq!P509)=VALUE(hospitalityq!P509),FALSE)))</f>
        <v>0</v>
      </c>
      <c r="Q509">
        <f>NOT(hospitalityq!Q509="")*(NOT(IFERROR(INT(hospitalityq!Q509)=VALUE(hospitalityq!Q509),FALSE)))</f>
        <v>0</v>
      </c>
      <c r="R509">
        <f>NOT(hospitalityq!R509="")*(NOT(IFERROR(ROUND(VALUE(hospitalityq!R509),2)=VALUE(hospitalityq!R509),FALSE)))</f>
        <v>0</v>
      </c>
    </row>
    <row r="510" spans="1:18" x14ac:dyDescent="0.25">
      <c r="A510">
        <f t="shared" si="7"/>
        <v>0</v>
      </c>
      <c r="C510">
        <f>NOT(hospitalityq!C510="")*(SUMPRODUCT(--(TRIM(hospitalityq!C6:C510)=TRIM(hospitalityq!C510)))&gt;1)</f>
        <v>0</v>
      </c>
      <c r="D510">
        <f>NOT(hospitalityq!D510="")*(COUNTIF(reference!$C$17:$C$18,TRIM(hospitalityq!D510))=0)</f>
        <v>0</v>
      </c>
      <c r="J510">
        <f>NOT(hospitalityq!J510="")*(NOT(ISNUMBER(hospitalityq!J510+0)))</f>
        <v>0</v>
      </c>
      <c r="K510">
        <f>NOT(hospitalityq!K510="")*(NOT(ISNUMBER(hospitalityq!K510+0)))</f>
        <v>0</v>
      </c>
      <c r="P510">
        <f>NOT(hospitalityq!P510="")*(NOT(IFERROR(INT(hospitalityq!P510)=VALUE(hospitalityq!P510),FALSE)))</f>
        <v>0</v>
      </c>
      <c r="Q510">
        <f>NOT(hospitalityq!Q510="")*(NOT(IFERROR(INT(hospitalityq!Q510)=VALUE(hospitalityq!Q510),FALSE)))</f>
        <v>0</v>
      </c>
      <c r="R510">
        <f>NOT(hospitalityq!R510="")*(NOT(IFERROR(ROUND(VALUE(hospitalityq!R510),2)=VALUE(hospitalityq!R510),FALSE)))</f>
        <v>0</v>
      </c>
    </row>
    <row r="511" spans="1:18" x14ac:dyDescent="0.25">
      <c r="A511">
        <f t="shared" si="7"/>
        <v>0</v>
      </c>
      <c r="C511">
        <f>NOT(hospitalityq!C511="")*(SUMPRODUCT(--(TRIM(hospitalityq!C6:C511)=TRIM(hospitalityq!C511)))&gt;1)</f>
        <v>0</v>
      </c>
      <c r="D511">
        <f>NOT(hospitalityq!D511="")*(COUNTIF(reference!$C$17:$C$18,TRIM(hospitalityq!D511))=0)</f>
        <v>0</v>
      </c>
      <c r="J511">
        <f>NOT(hospitalityq!J511="")*(NOT(ISNUMBER(hospitalityq!J511+0)))</f>
        <v>0</v>
      </c>
      <c r="K511">
        <f>NOT(hospitalityq!K511="")*(NOT(ISNUMBER(hospitalityq!K511+0)))</f>
        <v>0</v>
      </c>
      <c r="P511">
        <f>NOT(hospitalityq!P511="")*(NOT(IFERROR(INT(hospitalityq!P511)=VALUE(hospitalityq!P511),FALSE)))</f>
        <v>0</v>
      </c>
      <c r="Q511">
        <f>NOT(hospitalityq!Q511="")*(NOT(IFERROR(INT(hospitalityq!Q511)=VALUE(hospitalityq!Q511),FALSE)))</f>
        <v>0</v>
      </c>
      <c r="R511">
        <f>NOT(hospitalityq!R511="")*(NOT(IFERROR(ROUND(VALUE(hospitalityq!R511),2)=VALUE(hospitalityq!R511),FALSE)))</f>
        <v>0</v>
      </c>
    </row>
    <row r="512" spans="1:18" x14ac:dyDescent="0.25">
      <c r="A512">
        <f t="shared" si="7"/>
        <v>0</v>
      </c>
      <c r="C512">
        <f>NOT(hospitalityq!C512="")*(SUMPRODUCT(--(TRIM(hospitalityq!C6:C512)=TRIM(hospitalityq!C512)))&gt;1)</f>
        <v>0</v>
      </c>
      <c r="D512">
        <f>NOT(hospitalityq!D512="")*(COUNTIF(reference!$C$17:$C$18,TRIM(hospitalityq!D512))=0)</f>
        <v>0</v>
      </c>
      <c r="J512">
        <f>NOT(hospitalityq!J512="")*(NOT(ISNUMBER(hospitalityq!J512+0)))</f>
        <v>0</v>
      </c>
      <c r="K512">
        <f>NOT(hospitalityq!K512="")*(NOT(ISNUMBER(hospitalityq!K512+0)))</f>
        <v>0</v>
      </c>
      <c r="P512">
        <f>NOT(hospitalityq!P512="")*(NOT(IFERROR(INT(hospitalityq!P512)=VALUE(hospitalityq!P512),FALSE)))</f>
        <v>0</v>
      </c>
      <c r="Q512">
        <f>NOT(hospitalityq!Q512="")*(NOT(IFERROR(INT(hospitalityq!Q512)=VALUE(hospitalityq!Q512),FALSE)))</f>
        <v>0</v>
      </c>
      <c r="R512">
        <f>NOT(hospitalityq!R512="")*(NOT(IFERROR(ROUND(VALUE(hospitalityq!R512),2)=VALUE(hospitalityq!R512),FALSE)))</f>
        <v>0</v>
      </c>
    </row>
    <row r="513" spans="1:18" x14ac:dyDescent="0.25">
      <c r="A513">
        <f t="shared" si="7"/>
        <v>0</v>
      </c>
      <c r="C513">
        <f>NOT(hospitalityq!C513="")*(SUMPRODUCT(--(TRIM(hospitalityq!C6:C513)=TRIM(hospitalityq!C513)))&gt;1)</f>
        <v>0</v>
      </c>
      <c r="D513">
        <f>NOT(hospitalityq!D513="")*(COUNTIF(reference!$C$17:$C$18,TRIM(hospitalityq!D513))=0)</f>
        <v>0</v>
      </c>
      <c r="J513">
        <f>NOT(hospitalityq!J513="")*(NOT(ISNUMBER(hospitalityq!J513+0)))</f>
        <v>0</v>
      </c>
      <c r="K513">
        <f>NOT(hospitalityq!K513="")*(NOT(ISNUMBER(hospitalityq!K513+0)))</f>
        <v>0</v>
      </c>
      <c r="P513">
        <f>NOT(hospitalityq!P513="")*(NOT(IFERROR(INT(hospitalityq!P513)=VALUE(hospitalityq!P513),FALSE)))</f>
        <v>0</v>
      </c>
      <c r="Q513">
        <f>NOT(hospitalityq!Q513="")*(NOT(IFERROR(INT(hospitalityq!Q513)=VALUE(hospitalityq!Q513),FALSE)))</f>
        <v>0</v>
      </c>
      <c r="R513">
        <f>NOT(hospitalityq!R513="")*(NOT(IFERROR(ROUND(VALUE(hospitalityq!R513),2)=VALUE(hospitalityq!R513),FALSE)))</f>
        <v>0</v>
      </c>
    </row>
    <row r="514" spans="1:18" x14ac:dyDescent="0.25">
      <c r="A514">
        <f t="shared" si="7"/>
        <v>0</v>
      </c>
      <c r="C514">
        <f>NOT(hospitalityq!C514="")*(SUMPRODUCT(--(TRIM(hospitalityq!C6:C514)=TRIM(hospitalityq!C514)))&gt;1)</f>
        <v>0</v>
      </c>
      <c r="D514">
        <f>NOT(hospitalityq!D514="")*(COUNTIF(reference!$C$17:$C$18,TRIM(hospitalityq!D514))=0)</f>
        <v>0</v>
      </c>
      <c r="J514">
        <f>NOT(hospitalityq!J514="")*(NOT(ISNUMBER(hospitalityq!J514+0)))</f>
        <v>0</v>
      </c>
      <c r="K514">
        <f>NOT(hospitalityq!K514="")*(NOT(ISNUMBER(hospitalityq!K514+0)))</f>
        <v>0</v>
      </c>
      <c r="P514">
        <f>NOT(hospitalityq!P514="")*(NOT(IFERROR(INT(hospitalityq!P514)=VALUE(hospitalityq!P514),FALSE)))</f>
        <v>0</v>
      </c>
      <c r="Q514">
        <f>NOT(hospitalityq!Q514="")*(NOT(IFERROR(INT(hospitalityq!Q514)=VALUE(hospitalityq!Q514),FALSE)))</f>
        <v>0</v>
      </c>
      <c r="R514">
        <f>NOT(hospitalityq!R514="")*(NOT(IFERROR(ROUND(VALUE(hospitalityq!R514),2)=VALUE(hospitalityq!R514),FALSE)))</f>
        <v>0</v>
      </c>
    </row>
    <row r="515" spans="1:18" x14ac:dyDescent="0.25">
      <c r="A515">
        <f t="shared" si="7"/>
        <v>0</v>
      </c>
      <c r="C515">
        <f>NOT(hospitalityq!C515="")*(SUMPRODUCT(--(TRIM(hospitalityq!C6:C515)=TRIM(hospitalityq!C515)))&gt;1)</f>
        <v>0</v>
      </c>
      <c r="D515">
        <f>NOT(hospitalityq!D515="")*(COUNTIF(reference!$C$17:$C$18,TRIM(hospitalityq!D515))=0)</f>
        <v>0</v>
      </c>
      <c r="J515">
        <f>NOT(hospitalityq!J515="")*(NOT(ISNUMBER(hospitalityq!J515+0)))</f>
        <v>0</v>
      </c>
      <c r="K515">
        <f>NOT(hospitalityq!K515="")*(NOT(ISNUMBER(hospitalityq!K515+0)))</f>
        <v>0</v>
      </c>
      <c r="P515">
        <f>NOT(hospitalityq!P515="")*(NOT(IFERROR(INT(hospitalityq!P515)=VALUE(hospitalityq!P515),FALSE)))</f>
        <v>0</v>
      </c>
      <c r="Q515">
        <f>NOT(hospitalityq!Q515="")*(NOT(IFERROR(INT(hospitalityq!Q515)=VALUE(hospitalityq!Q515),FALSE)))</f>
        <v>0</v>
      </c>
      <c r="R515">
        <f>NOT(hospitalityq!R515="")*(NOT(IFERROR(ROUND(VALUE(hospitalityq!R515),2)=VALUE(hospitalityq!R515),FALSE)))</f>
        <v>0</v>
      </c>
    </row>
    <row r="516" spans="1:18" x14ac:dyDescent="0.25">
      <c r="A516">
        <f t="shared" si="7"/>
        <v>0</v>
      </c>
      <c r="C516">
        <f>NOT(hospitalityq!C516="")*(SUMPRODUCT(--(TRIM(hospitalityq!C6:C516)=TRIM(hospitalityq!C516)))&gt;1)</f>
        <v>0</v>
      </c>
      <c r="D516">
        <f>NOT(hospitalityq!D516="")*(COUNTIF(reference!$C$17:$C$18,TRIM(hospitalityq!D516))=0)</f>
        <v>0</v>
      </c>
      <c r="J516">
        <f>NOT(hospitalityq!J516="")*(NOT(ISNUMBER(hospitalityq!J516+0)))</f>
        <v>0</v>
      </c>
      <c r="K516">
        <f>NOT(hospitalityq!K516="")*(NOT(ISNUMBER(hospitalityq!K516+0)))</f>
        <v>0</v>
      </c>
      <c r="P516">
        <f>NOT(hospitalityq!P516="")*(NOT(IFERROR(INT(hospitalityq!P516)=VALUE(hospitalityq!P516),FALSE)))</f>
        <v>0</v>
      </c>
      <c r="Q516">
        <f>NOT(hospitalityq!Q516="")*(NOT(IFERROR(INT(hospitalityq!Q516)=VALUE(hospitalityq!Q516),FALSE)))</f>
        <v>0</v>
      </c>
      <c r="R516">
        <f>NOT(hospitalityq!R516="")*(NOT(IFERROR(ROUND(VALUE(hospitalityq!R516),2)=VALUE(hospitalityq!R516),FALSE)))</f>
        <v>0</v>
      </c>
    </row>
    <row r="517" spans="1:18" x14ac:dyDescent="0.25">
      <c r="A517">
        <f t="shared" si="7"/>
        <v>0</v>
      </c>
      <c r="C517">
        <f>NOT(hospitalityq!C517="")*(SUMPRODUCT(--(TRIM(hospitalityq!C6:C517)=TRIM(hospitalityq!C517)))&gt;1)</f>
        <v>0</v>
      </c>
      <c r="D517">
        <f>NOT(hospitalityq!D517="")*(COUNTIF(reference!$C$17:$C$18,TRIM(hospitalityq!D517))=0)</f>
        <v>0</v>
      </c>
      <c r="J517">
        <f>NOT(hospitalityq!J517="")*(NOT(ISNUMBER(hospitalityq!J517+0)))</f>
        <v>0</v>
      </c>
      <c r="K517">
        <f>NOT(hospitalityq!K517="")*(NOT(ISNUMBER(hospitalityq!K517+0)))</f>
        <v>0</v>
      </c>
      <c r="P517">
        <f>NOT(hospitalityq!P517="")*(NOT(IFERROR(INT(hospitalityq!P517)=VALUE(hospitalityq!P517),FALSE)))</f>
        <v>0</v>
      </c>
      <c r="Q517">
        <f>NOT(hospitalityq!Q517="")*(NOT(IFERROR(INT(hospitalityq!Q517)=VALUE(hospitalityq!Q517),FALSE)))</f>
        <v>0</v>
      </c>
      <c r="R517">
        <f>NOT(hospitalityq!R517="")*(NOT(IFERROR(ROUND(VALUE(hospitalityq!R517),2)=VALUE(hospitalityq!R517),FALSE)))</f>
        <v>0</v>
      </c>
    </row>
    <row r="518" spans="1:18" x14ac:dyDescent="0.25">
      <c r="A518">
        <f t="shared" ref="A518:A581" si="8">IFERROR(MATCH(TRUE,INDEX(C518:R518&lt;&gt;0,),)+2,0)</f>
        <v>0</v>
      </c>
      <c r="C518">
        <f>NOT(hospitalityq!C518="")*(SUMPRODUCT(--(TRIM(hospitalityq!C6:C518)=TRIM(hospitalityq!C518)))&gt;1)</f>
        <v>0</v>
      </c>
      <c r="D518">
        <f>NOT(hospitalityq!D518="")*(COUNTIF(reference!$C$17:$C$18,TRIM(hospitalityq!D518))=0)</f>
        <v>0</v>
      </c>
      <c r="J518">
        <f>NOT(hospitalityq!J518="")*(NOT(ISNUMBER(hospitalityq!J518+0)))</f>
        <v>0</v>
      </c>
      <c r="K518">
        <f>NOT(hospitalityq!K518="")*(NOT(ISNUMBER(hospitalityq!K518+0)))</f>
        <v>0</v>
      </c>
      <c r="P518">
        <f>NOT(hospitalityq!P518="")*(NOT(IFERROR(INT(hospitalityq!P518)=VALUE(hospitalityq!P518),FALSE)))</f>
        <v>0</v>
      </c>
      <c r="Q518">
        <f>NOT(hospitalityq!Q518="")*(NOT(IFERROR(INT(hospitalityq!Q518)=VALUE(hospitalityq!Q518),FALSE)))</f>
        <v>0</v>
      </c>
      <c r="R518">
        <f>NOT(hospitalityq!R518="")*(NOT(IFERROR(ROUND(VALUE(hospitalityq!R518),2)=VALUE(hospitalityq!R518),FALSE)))</f>
        <v>0</v>
      </c>
    </row>
    <row r="519" spans="1:18" x14ac:dyDescent="0.25">
      <c r="A519">
        <f t="shared" si="8"/>
        <v>0</v>
      </c>
      <c r="C519">
        <f>NOT(hospitalityq!C519="")*(SUMPRODUCT(--(TRIM(hospitalityq!C6:C519)=TRIM(hospitalityq!C519)))&gt;1)</f>
        <v>0</v>
      </c>
      <c r="D519">
        <f>NOT(hospitalityq!D519="")*(COUNTIF(reference!$C$17:$C$18,TRIM(hospitalityq!D519))=0)</f>
        <v>0</v>
      </c>
      <c r="J519">
        <f>NOT(hospitalityq!J519="")*(NOT(ISNUMBER(hospitalityq!J519+0)))</f>
        <v>0</v>
      </c>
      <c r="K519">
        <f>NOT(hospitalityq!K519="")*(NOT(ISNUMBER(hospitalityq!K519+0)))</f>
        <v>0</v>
      </c>
      <c r="P519">
        <f>NOT(hospitalityq!P519="")*(NOT(IFERROR(INT(hospitalityq!P519)=VALUE(hospitalityq!P519),FALSE)))</f>
        <v>0</v>
      </c>
      <c r="Q519">
        <f>NOT(hospitalityq!Q519="")*(NOT(IFERROR(INT(hospitalityq!Q519)=VALUE(hospitalityq!Q519),FALSE)))</f>
        <v>0</v>
      </c>
      <c r="R519">
        <f>NOT(hospitalityq!R519="")*(NOT(IFERROR(ROUND(VALUE(hospitalityq!R519),2)=VALUE(hospitalityq!R519),FALSE)))</f>
        <v>0</v>
      </c>
    </row>
    <row r="520" spans="1:18" x14ac:dyDescent="0.25">
      <c r="A520">
        <f t="shared" si="8"/>
        <v>0</v>
      </c>
      <c r="C520">
        <f>NOT(hospitalityq!C520="")*(SUMPRODUCT(--(TRIM(hospitalityq!C6:C520)=TRIM(hospitalityq!C520)))&gt;1)</f>
        <v>0</v>
      </c>
      <c r="D520">
        <f>NOT(hospitalityq!D520="")*(COUNTIF(reference!$C$17:$C$18,TRIM(hospitalityq!D520))=0)</f>
        <v>0</v>
      </c>
      <c r="J520">
        <f>NOT(hospitalityq!J520="")*(NOT(ISNUMBER(hospitalityq!J520+0)))</f>
        <v>0</v>
      </c>
      <c r="K520">
        <f>NOT(hospitalityq!K520="")*(NOT(ISNUMBER(hospitalityq!K520+0)))</f>
        <v>0</v>
      </c>
      <c r="P520">
        <f>NOT(hospitalityq!P520="")*(NOT(IFERROR(INT(hospitalityq!P520)=VALUE(hospitalityq!P520),FALSE)))</f>
        <v>0</v>
      </c>
      <c r="Q520">
        <f>NOT(hospitalityq!Q520="")*(NOT(IFERROR(INT(hospitalityq!Q520)=VALUE(hospitalityq!Q520),FALSE)))</f>
        <v>0</v>
      </c>
      <c r="R520">
        <f>NOT(hospitalityq!R520="")*(NOT(IFERROR(ROUND(VALUE(hospitalityq!R520),2)=VALUE(hospitalityq!R520),FALSE)))</f>
        <v>0</v>
      </c>
    </row>
    <row r="521" spans="1:18" x14ac:dyDescent="0.25">
      <c r="A521">
        <f t="shared" si="8"/>
        <v>0</v>
      </c>
      <c r="C521">
        <f>NOT(hospitalityq!C521="")*(SUMPRODUCT(--(TRIM(hospitalityq!C6:C521)=TRIM(hospitalityq!C521)))&gt;1)</f>
        <v>0</v>
      </c>
      <c r="D521">
        <f>NOT(hospitalityq!D521="")*(COUNTIF(reference!$C$17:$C$18,TRIM(hospitalityq!D521))=0)</f>
        <v>0</v>
      </c>
      <c r="J521">
        <f>NOT(hospitalityq!J521="")*(NOT(ISNUMBER(hospitalityq!J521+0)))</f>
        <v>0</v>
      </c>
      <c r="K521">
        <f>NOT(hospitalityq!K521="")*(NOT(ISNUMBER(hospitalityq!K521+0)))</f>
        <v>0</v>
      </c>
      <c r="P521">
        <f>NOT(hospitalityq!P521="")*(NOT(IFERROR(INT(hospitalityq!P521)=VALUE(hospitalityq!P521),FALSE)))</f>
        <v>0</v>
      </c>
      <c r="Q521">
        <f>NOT(hospitalityq!Q521="")*(NOT(IFERROR(INT(hospitalityq!Q521)=VALUE(hospitalityq!Q521),FALSE)))</f>
        <v>0</v>
      </c>
      <c r="R521">
        <f>NOT(hospitalityq!R521="")*(NOT(IFERROR(ROUND(VALUE(hospitalityq!R521),2)=VALUE(hospitalityq!R521),FALSE)))</f>
        <v>0</v>
      </c>
    </row>
    <row r="522" spans="1:18" x14ac:dyDescent="0.25">
      <c r="A522">
        <f t="shared" si="8"/>
        <v>0</v>
      </c>
      <c r="C522">
        <f>NOT(hospitalityq!C522="")*(SUMPRODUCT(--(TRIM(hospitalityq!C6:C522)=TRIM(hospitalityq!C522)))&gt;1)</f>
        <v>0</v>
      </c>
      <c r="D522">
        <f>NOT(hospitalityq!D522="")*(COUNTIF(reference!$C$17:$C$18,TRIM(hospitalityq!D522))=0)</f>
        <v>0</v>
      </c>
      <c r="J522">
        <f>NOT(hospitalityq!J522="")*(NOT(ISNUMBER(hospitalityq!J522+0)))</f>
        <v>0</v>
      </c>
      <c r="K522">
        <f>NOT(hospitalityq!K522="")*(NOT(ISNUMBER(hospitalityq!K522+0)))</f>
        <v>0</v>
      </c>
      <c r="P522">
        <f>NOT(hospitalityq!P522="")*(NOT(IFERROR(INT(hospitalityq!P522)=VALUE(hospitalityq!P522),FALSE)))</f>
        <v>0</v>
      </c>
      <c r="Q522">
        <f>NOT(hospitalityq!Q522="")*(NOT(IFERROR(INT(hospitalityq!Q522)=VALUE(hospitalityq!Q522),FALSE)))</f>
        <v>0</v>
      </c>
      <c r="R522">
        <f>NOT(hospitalityq!R522="")*(NOT(IFERROR(ROUND(VALUE(hospitalityq!R522),2)=VALUE(hospitalityq!R522),FALSE)))</f>
        <v>0</v>
      </c>
    </row>
    <row r="523" spans="1:18" x14ac:dyDescent="0.25">
      <c r="A523">
        <f t="shared" si="8"/>
        <v>0</v>
      </c>
      <c r="C523">
        <f>NOT(hospitalityq!C523="")*(SUMPRODUCT(--(TRIM(hospitalityq!C6:C523)=TRIM(hospitalityq!C523)))&gt;1)</f>
        <v>0</v>
      </c>
      <c r="D523">
        <f>NOT(hospitalityq!D523="")*(COUNTIF(reference!$C$17:$C$18,TRIM(hospitalityq!D523))=0)</f>
        <v>0</v>
      </c>
      <c r="J523">
        <f>NOT(hospitalityq!J523="")*(NOT(ISNUMBER(hospitalityq!J523+0)))</f>
        <v>0</v>
      </c>
      <c r="K523">
        <f>NOT(hospitalityq!K523="")*(NOT(ISNUMBER(hospitalityq!K523+0)))</f>
        <v>0</v>
      </c>
      <c r="P523">
        <f>NOT(hospitalityq!P523="")*(NOT(IFERROR(INT(hospitalityq!P523)=VALUE(hospitalityq!P523),FALSE)))</f>
        <v>0</v>
      </c>
      <c r="Q523">
        <f>NOT(hospitalityq!Q523="")*(NOT(IFERROR(INT(hospitalityq!Q523)=VALUE(hospitalityq!Q523),FALSE)))</f>
        <v>0</v>
      </c>
      <c r="R523">
        <f>NOT(hospitalityq!R523="")*(NOT(IFERROR(ROUND(VALUE(hospitalityq!R523),2)=VALUE(hospitalityq!R523),FALSE)))</f>
        <v>0</v>
      </c>
    </row>
    <row r="524" spans="1:18" x14ac:dyDescent="0.25">
      <c r="A524">
        <f t="shared" si="8"/>
        <v>0</v>
      </c>
      <c r="C524">
        <f>NOT(hospitalityq!C524="")*(SUMPRODUCT(--(TRIM(hospitalityq!C6:C524)=TRIM(hospitalityq!C524)))&gt;1)</f>
        <v>0</v>
      </c>
      <c r="D524">
        <f>NOT(hospitalityq!D524="")*(COUNTIF(reference!$C$17:$C$18,TRIM(hospitalityq!D524))=0)</f>
        <v>0</v>
      </c>
      <c r="J524">
        <f>NOT(hospitalityq!J524="")*(NOT(ISNUMBER(hospitalityq!J524+0)))</f>
        <v>0</v>
      </c>
      <c r="K524">
        <f>NOT(hospitalityq!K524="")*(NOT(ISNUMBER(hospitalityq!K524+0)))</f>
        <v>0</v>
      </c>
      <c r="P524">
        <f>NOT(hospitalityq!P524="")*(NOT(IFERROR(INT(hospitalityq!P524)=VALUE(hospitalityq!P524),FALSE)))</f>
        <v>0</v>
      </c>
      <c r="Q524">
        <f>NOT(hospitalityq!Q524="")*(NOT(IFERROR(INT(hospitalityq!Q524)=VALUE(hospitalityq!Q524),FALSE)))</f>
        <v>0</v>
      </c>
      <c r="R524">
        <f>NOT(hospitalityq!R524="")*(NOT(IFERROR(ROUND(VALUE(hospitalityq!R524),2)=VALUE(hospitalityq!R524),FALSE)))</f>
        <v>0</v>
      </c>
    </row>
    <row r="525" spans="1:18" x14ac:dyDescent="0.25">
      <c r="A525">
        <f t="shared" si="8"/>
        <v>0</v>
      </c>
      <c r="C525">
        <f>NOT(hospitalityq!C525="")*(SUMPRODUCT(--(TRIM(hospitalityq!C6:C525)=TRIM(hospitalityq!C525)))&gt;1)</f>
        <v>0</v>
      </c>
      <c r="D525">
        <f>NOT(hospitalityq!D525="")*(COUNTIF(reference!$C$17:$C$18,TRIM(hospitalityq!D525))=0)</f>
        <v>0</v>
      </c>
      <c r="J525">
        <f>NOT(hospitalityq!J525="")*(NOT(ISNUMBER(hospitalityq!J525+0)))</f>
        <v>0</v>
      </c>
      <c r="K525">
        <f>NOT(hospitalityq!K525="")*(NOT(ISNUMBER(hospitalityq!K525+0)))</f>
        <v>0</v>
      </c>
      <c r="P525">
        <f>NOT(hospitalityq!P525="")*(NOT(IFERROR(INT(hospitalityq!P525)=VALUE(hospitalityq!P525),FALSE)))</f>
        <v>0</v>
      </c>
      <c r="Q525">
        <f>NOT(hospitalityq!Q525="")*(NOT(IFERROR(INT(hospitalityq!Q525)=VALUE(hospitalityq!Q525),FALSE)))</f>
        <v>0</v>
      </c>
      <c r="R525">
        <f>NOT(hospitalityq!R525="")*(NOT(IFERROR(ROUND(VALUE(hospitalityq!R525),2)=VALUE(hospitalityq!R525),FALSE)))</f>
        <v>0</v>
      </c>
    </row>
    <row r="526" spans="1:18" x14ac:dyDescent="0.25">
      <c r="A526">
        <f t="shared" si="8"/>
        <v>0</v>
      </c>
      <c r="C526">
        <f>NOT(hospitalityq!C526="")*(SUMPRODUCT(--(TRIM(hospitalityq!C6:C526)=TRIM(hospitalityq!C526)))&gt;1)</f>
        <v>0</v>
      </c>
      <c r="D526">
        <f>NOT(hospitalityq!D526="")*(COUNTIF(reference!$C$17:$C$18,TRIM(hospitalityq!D526))=0)</f>
        <v>0</v>
      </c>
      <c r="J526">
        <f>NOT(hospitalityq!J526="")*(NOT(ISNUMBER(hospitalityq!J526+0)))</f>
        <v>0</v>
      </c>
      <c r="K526">
        <f>NOT(hospitalityq!K526="")*(NOT(ISNUMBER(hospitalityq!K526+0)))</f>
        <v>0</v>
      </c>
      <c r="P526">
        <f>NOT(hospitalityq!P526="")*(NOT(IFERROR(INT(hospitalityq!P526)=VALUE(hospitalityq!P526),FALSE)))</f>
        <v>0</v>
      </c>
      <c r="Q526">
        <f>NOT(hospitalityq!Q526="")*(NOT(IFERROR(INT(hospitalityq!Q526)=VALUE(hospitalityq!Q526),FALSE)))</f>
        <v>0</v>
      </c>
      <c r="R526">
        <f>NOT(hospitalityq!R526="")*(NOT(IFERROR(ROUND(VALUE(hospitalityq!R526),2)=VALUE(hospitalityq!R526),FALSE)))</f>
        <v>0</v>
      </c>
    </row>
    <row r="527" spans="1:18" x14ac:dyDescent="0.25">
      <c r="A527">
        <f t="shared" si="8"/>
        <v>0</v>
      </c>
      <c r="C527">
        <f>NOT(hospitalityq!C527="")*(SUMPRODUCT(--(TRIM(hospitalityq!C6:C527)=TRIM(hospitalityq!C527)))&gt;1)</f>
        <v>0</v>
      </c>
      <c r="D527">
        <f>NOT(hospitalityq!D527="")*(COUNTIF(reference!$C$17:$C$18,TRIM(hospitalityq!D527))=0)</f>
        <v>0</v>
      </c>
      <c r="J527">
        <f>NOT(hospitalityq!J527="")*(NOT(ISNUMBER(hospitalityq!J527+0)))</f>
        <v>0</v>
      </c>
      <c r="K527">
        <f>NOT(hospitalityq!K527="")*(NOT(ISNUMBER(hospitalityq!K527+0)))</f>
        <v>0</v>
      </c>
      <c r="P527">
        <f>NOT(hospitalityq!P527="")*(NOT(IFERROR(INT(hospitalityq!P527)=VALUE(hospitalityq!P527),FALSE)))</f>
        <v>0</v>
      </c>
      <c r="Q527">
        <f>NOT(hospitalityq!Q527="")*(NOT(IFERROR(INT(hospitalityq!Q527)=VALUE(hospitalityq!Q527),FALSE)))</f>
        <v>0</v>
      </c>
      <c r="R527">
        <f>NOT(hospitalityq!R527="")*(NOT(IFERROR(ROUND(VALUE(hospitalityq!R527),2)=VALUE(hospitalityq!R527),FALSE)))</f>
        <v>0</v>
      </c>
    </row>
    <row r="528" spans="1:18" x14ac:dyDescent="0.25">
      <c r="A528">
        <f t="shared" si="8"/>
        <v>0</v>
      </c>
      <c r="C528">
        <f>NOT(hospitalityq!C528="")*(SUMPRODUCT(--(TRIM(hospitalityq!C6:C528)=TRIM(hospitalityq!C528)))&gt;1)</f>
        <v>0</v>
      </c>
      <c r="D528">
        <f>NOT(hospitalityq!D528="")*(COUNTIF(reference!$C$17:$C$18,TRIM(hospitalityq!D528))=0)</f>
        <v>0</v>
      </c>
      <c r="J528">
        <f>NOT(hospitalityq!J528="")*(NOT(ISNUMBER(hospitalityq!J528+0)))</f>
        <v>0</v>
      </c>
      <c r="K528">
        <f>NOT(hospitalityq!K528="")*(NOT(ISNUMBER(hospitalityq!K528+0)))</f>
        <v>0</v>
      </c>
      <c r="P528">
        <f>NOT(hospitalityq!P528="")*(NOT(IFERROR(INT(hospitalityq!P528)=VALUE(hospitalityq!P528),FALSE)))</f>
        <v>0</v>
      </c>
      <c r="Q528">
        <f>NOT(hospitalityq!Q528="")*(NOT(IFERROR(INT(hospitalityq!Q528)=VALUE(hospitalityq!Q528),FALSE)))</f>
        <v>0</v>
      </c>
      <c r="R528">
        <f>NOT(hospitalityq!R528="")*(NOT(IFERROR(ROUND(VALUE(hospitalityq!R528),2)=VALUE(hospitalityq!R528),FALSE)))</f>
        <v>0</v>
      </c>
    </row>
    <row r="529" spans="1:18" x14ac:dyDescent="0.25">
      <c r="A529">
        <f t="shared" si="8"/>
        <v>0</v>
      </c>
      <c r="C529">
        <f>NOT(hospitalityq!C529="")*(SUMPRODUCT(--(TRIM(hospitalityq!C6:C529)=TRIM(hospitalityq!C529)))&gt;1)</f>
        <v>0</v>
      </c>
      <c r="D529">
        <f>NOT(hospitalityq!D529="")*(COUNTIF(reference!$C$17:$C$18,TRIM(hospitalityq!D529))=0)</f>
        <v>0</v>
      </c>
      <c r="J529">
        <f>NOT(hospitalityq!J529="")*(NOT(ISNUMBER(hospitalityq!J529+0)))</f>
        <v>0</v>
      </c>
      <c r="K529">
        <f>NOT(hospitalityq!K529="")*(NOT(ISNUMBER(hospitalityq!K529+0)))</f>
        <v>0</v>
      </c>
      <c r="P529">
        <f>NOT(hospitalityq!P529="")*(NOT(IFERROR(INT(hospitalityq!P529)=VALUE(hospitalityq!P529),FALSE)))</f>
        <v>0</v>
      </c>
      <c r="Q529">
        <f>NOT(hospitalityq!Q529="")*(NOT(IFERROR(INT(hospitalityq!Q529)=VALUE(hospitalityq!Q529),FALSE)))</f>
        <v>0</v>
      </c>
      <c r="R529">
        <f>NOT(hospitalityq!R529="")*(NOT(IFERROR(ROUND(VALUE(hospitalityq!R529),2)=VALUE(hospitalityq!R529),FALSE)))</f>
        <v>0</v>
      </c>
    </row>
    <row r="530" spans="1:18" x14ac:dyDescent="0.25">
      <c r="A530">
        <f t="shared" si="8"/>
        <v>0</v>
      </c>
      <c r="C530">
        <f>NOT(hospitalityq!C530="")*(SUMPRODUCT(--(TRIM(hospitalityq!C6:C530)=TRIM(hospitalityq!C530)))&gt;1)</f>
        <v>0</v>
      </c>
      <c r="D530">
        <f>NOT(hospitalityq!D530="")*(COUNTIF(reference!$C$17:$C$18,TRIM(hospitalityq!D530))=0)</f>
        <v>0</v>
      </c>
      <c r="J530">
        <f>NOT(hospitalityq!J530="")*(NOT(ISNUMBER(hospitalityq!J530+0)))</f>
        <v>0</v>
      </c>
      <c r="K530">
        <f>NOT(hospitalityq!K530="")*(NOT(ISNUMBER(hospitalityq!K530+0)))</f>
        <v>0</v>
      </c>
      <c r="P530">
        <f>NOT(hospitalityq!P530="")*(NOT(IFERROR(INT(hospitalityq!P530)=VALUE(hospitalityq!P530),FALSE)))</f>
        <v>0</v>
      </c>
      <c r="Q530">
        <f>NOT(hospitalityq!Q530="")*(NOT(IFERROR(INT(hospitalityq!Q530)=VALUE(hospitalityq!Q530),FALSE)))</f>
        <v>0</v>
      </c>
      <c r="R530">
        <f>NOT(hospitalityq!R530="")*(NOT(IFERROR(ROUND(VALUE(hospitalityq!R530),2)=VALUE(hospitalityq!R530),FALSE)))</f>
        <v>0</v>
      </c>
    </row>
    <row r="531" spans="1:18" x14ac:dyDescent="0.25">
      <c r="A531">
        <f t="shared" si="8"/>
        <v>0</v>
      </c>
      <c r="C531">
        <f>NOT(hospitalityq!C531="")*(SUMPRODUCT(--(TRIM(hospitalityq!C6:C531)=TRIM(hospitalityq!C531)))&gt;1)</f>
        <v>0</v>
      </c>
      <c r="D531">
        <f>NOT(hospitalityq!D531="")*(COUNTIF(reference!$C$17:$C$18,TRIM(hospitalityq!D531))=0)</f>
        <v>0</v>
      </c>
      <c r="J531">
        <f>NOT(hospitalityq!J531="")*(NOT(ISNUMBER(hospitalityq!J531+0)))</f>
        <v>0</v>
      </c>
      <c r="K531">
        <f>NOT(hospitalityq!K531="")*(NOT(ISNUMBER(hospitalityq!K531+0)))</f>
        <v>0</v>
      </c>
      <c r="P531">
        <f>NOT(hospitalityq!P531="")*(NOT(IFERROR(INT(hospitalityq!P531)=VALUE(hospitalityq!P531),FALSE)))</f>
        <v>0</v>
      </c>
      <c r="Q531">
        <f>NOT(hospitalityq!Q531="")*(NOT(IFERROR(INT(hospitalityq!Q531)=VALUE(hospitalityq!Q531),FALSE)))</f>
        <v>0</v>
      </c>
      <c r="R531">
        <f>NOT(hospitalityq!R531="")*(NOT(IFERROR(ROUND(VALUE(hospitalityq!R531),2)=VALUE(hospitalityq!R531),FALSE)))</f>
        <v>0</v>
      </c>
    </row>
    <row r="532" spans="1:18" x14ac:dyDescent="0.25">
      <c r="A532">
        <f t="shared" si="8"/>
        <v>0</v>
      </c>
      <c r="C532">
        <f>NOT(hospitalityq!C532="")*(SUMPRODUCT(--(TRIM(hospitalityq!C6:C532)=TRIM(hospitalityq!C532)))&gt;1)</f>
        <v>0</v>
      </c>
      <c r="D532">
        <f>NOT(hospitalityq!D532="")*(COUNTIF(reference!$C$17:$C$18,TRIM(hospitalityq!D532))=0)</f>
        <v>0</v>
      </c>
      <c r="J532">
        <f>NOT(hospitalityq!J532="")*(NOT(ISNUMBER(hospitalityq!J532+0)))</f>
        <v>0</v>
      </c>
      <c r="K532">
        <f>NOT(hospitalityq!K532="")*(NOT(ISNUMBER(hospitalityq!K532+0)))</f>
        <v>0</v>
      </c>
      <c r="P532">
        <f>NOT(hospitalityq!P532="")*(NOT(IFERROR(INT(hospitalityq!P532)=VALUE(hospitalityq!P532),FALSE)))</f>
        <v>0</v>
      </c>
      <c r="Q532">
        <f>NOT(hospitalityq!Q532="")*(NOT(IFERROR(INT(hospitalityq!Q532)=VALUE(hospitalityq!Q532),FALSE)))</f>
        <v>0</v>
      </c>
      <c r="R532">
        <f>NOT(hospitalityq!R532="")*(NOT(IFERROR(ROUND(VALUE(hospitalityq!R532),2)=VALUE(hospitalityq!R532),FALSE)))</f>
        <v>0</v>
      </c>
    </row>
    <row r="533" spans="1:18" x14ac:dyDescent="0.25">
      <c r="A533">
        <f t="shared" si="8"/>
        <v>0</v>
      </c>
      <c r="C533">
        <f>NOT(hospitalityq!C533="")*(SUMPRODUCT(--(TRIM(hospitalityq!C6:C533)=TRIM(hospitalityq!C533)))&gt;1)</f>
        <v>0</v>
      </c>
      <c r="D533">
        <f>NOT(hospitalityq!D533="")*(COUNTIF(reference!$C$17:$C$18,TRIM(hospitalityq!D533))=0)</f>
        <v>0</v>
      </c>
      <c r="J533">
        <f>NOT(hospitalityq!J533="")*(NOT(ISNUMBER(hospitalityq!J533+0)))</f>
        <v>0</v>
      </c>
      <c r="K533">
        <f>NOT(hospitalityq!K533="")*(NOT(ISNUMBER(hospitalityq!K533+0)))</f>
        <v>0</v>
      </c>
      <c r="P533">
        <f>NOT(hospitalityq!P533="")*(NOT(IFERROR(INT(hospitalityq!P533)=VALUE(hospitalityq!P533),FALSE)))</f>
        <v>0</v>
      </c>
      <c r="Q533">
        <f>NOT(hospitalityq!Q533="")*(NOT(IFERROR(INT(hospitalityq!Q533)=VALUE(hospitalityq!Q533),FALSE)))</f>
        <v>0</v>
      </c>
      <c r="R533">
        <f>NOT(hospitalityq!R533="")*(NOT(IFERROR(ROUND(VALUE(hospitalityq!R533),2)=VALUE(hospitalityq!R533),FALSE)))</f>
        <v>0</v>
      </c>
    </row>
    <row r="534" spans="1:18" x14ac:dyDescent="0.25">
      <c r="A534">
        <f t="shared" si="8"/>
        <v>0</v>
      </c>
      <c r="C534">
        <f>NOT(hospitalityq!C534="")*(SUMPRODUCT(--(TRIM(hospitalityq!C6:C534)=TRIM(hospitalityq!C534)))&gt;1)</f>
        <v>0</v>
      </c>
      <c r="D534">
        <f>NOT(hospitalityq!D534="")*(COUNTIF(reference!$C$17:$C$18,TRIM(hospitalityq!D534))=0)</f>
        <v>0</v>
      </c>
      <c r="J534">
        <f>NOT(hospitalityq!J534="")*(NOT(ISNUMBER(hospitalityq!J534+0)))</f>
        <v>0</v>
      </c>
      <c r="K534">
        <f>NOT(hospitalityq!K534="")*(NOT(ISNUMBER(hospitalityq!K534+0)))</f>
        <v>0</v>
      </c>
      <c r="P534">
        <f>NOT(hospitalityq!P534="")*(NOT(IFERROR(INT(hospitalityq!P534)=VALUE(hospitalityq!P534),FALSE)))</f>
        <v>0</v>
      </c>
      <c r="Q534">
        <f>NOT(hospitalityq!Q534="")*(NOT(IFERROR(INT(hospitalityq!Q534)=VALUE(hospitalityq!Q534),FALSE)))</f>
        <v>0</v>
      </c>
      <c r="R534">
        <f>NOT(hospitalityq!R534="")*(NOT(IFERROR(ROUND(VALUE(hospitalityq!R534),2)=VALUE(hospitalityq!R534),FALSE)))</f>
        <v>0</v>
      </c>
    </row>
    <row r="535" spans="1:18" x14ac:dyDescent="0.25">
      <c r="A535">
        <f t="shared" si="8"/>
        <v>0</v>
      </c>
      <c r="C535">
        <f>NOT(hospitalityq!C535="")*(SUMPRODUCT(--(TRIM(hospitalityq!C6:C535)=TRIM(hospitalityq!C535)))&gt;1)</f>
        <v>0</v>
      </c>
      <c r="D535">
        <f>NOT(hospitalityq!D535="")*(COUNTIF(reference!$C$17:$C$18,TRIM(hospitalityq!D535))=0)</f>
        <v>0</v>
      </c>
      <c r="J535">
        <f>NOT(hospitalityq!J535="")*(NOT(ISNUMBER(hospitalityq!J535+0)))</f>
        <v>0</v>
      </c>
      <c r="K535">
        <f>NOT(hospitalityq!K535="")*(NOT(ISNUMBER(hospitalityq!K535+0)))</f>
        <v>0</v>
      </c>
      <c r="P535">
        <f>NOT(hospitalityq!P535="")*(NOT(IFERROR(INT(hospitalityq!P535)=VALUE(hospitalityq!P535),FALSE)))</f>
        <v>0</v>
      </c>
      <c r="Q535">
        <f>NOT(hospitalityq!Q535="")*(NOT(IFERROR(INT(hospitalityq!Q535)=VALUE(hospitalityq!Q535),FALSE)))</f>
        <v>0</v>
      </c>
      <c r="R535">
        <f>NOT(hospitalityq!R535="")*(NOT(IFERROR(ROUND(VALUE(hospitalityq!R535),2)=VALUE(hospitalityq!R535),FALSE)))</f>
        <v>0</v>
      </c>
    </row>
    <row r="536" spans="1:18" x14ac:dyDescent="0.25">
      <c r="A536">
        <f t="shared" si="8"/>
        <v>0</v>
      </c>
      <c r="C536">
        <f>NOT(hospitalityq!C536="")*(SUMPRODUCT(--(TRIM(hospitalityq!C6:C536)=TRIM(hospitalityq!C536)))&gt;1)</f>
        <v>0</v>
      </c>
      <c r="D536">
        <f>NOT(hospitalityq!D536="")*(COUNTIF(reference!$C$17:$C$18,TRIM(hospitalityq!D536))=0)</f>
        <v>0</v>
      </c>
      <c r="J536">
        <f>NOT(hospitalityq!J536="")*(NOT(ISNUMBER(hospitalityq!J536+0)))</f>
        <v>0</v>
      </c>
      <c r="K536">
        <f>NOT(hospitalityq!K536="")*(NOT(ISNUMBER(hospitalityq!K536+0)))</f>
        <v>0</v>
      </c>
      <c r="P536">
        <f>NOT(hospitalityq!P536="")*(NOT(IFERROR(INT(hospitalityq!P536)=VALUE(hospitalityq!P536),FALSE)))</f>
        <v>0</v>
      </c>
      <c r="Q536">
        <f>NOT(hospitalityq!Q536="")*(NOT(IFERROR(INT(hospitalityq!Q536)=VALUE(hospitalityq!Q536),FALSE)))</f>
        <v>0</v>
      </c>
      <c r="R536">
        <f>NOT(hospitalityq!R536="")*(NOT(IFERROR(ROUND(VALUE(hospitalityq!R536),2)=VALUE(hospitalityq!R536),FALSE)))</f>
        <v>0</v>
      </c>
    </row>
    <row r="537" spans="1:18" x14ac:dyDescent="0.25">
      <c r="A537">
        <f t="shared" si="8"/>
        <v>0</v>
      </c>
      <c r="C537">
        <f>NOT(hospitalityq!C537="")*(SUMPRODUCT(--(TRIM(hospitalityq!C6:C537)=TRIM(hospitalityq!C537)))&gt;1)</f>
        <v>0</v>
      </c>
      <c r="D537">
        <f>NOT(hospitalityq!D537="")*(COUNTIF(reference!$C$17:$C$18,TRIM(hospitalityq!D537))=0)</f>
        <v>0</v>
      </c>
      <c r="J537">
        <f>NOT(hospitalityq!J537="")*(NOT(ISNUMBER(hospitalityq!J537+0)))</f>
        <v>0</v>
      </c>
      <c r="K537">
        <f>NOT(hospitalityq!K537="")*(NOT(ISNUMBER(hospitalityq!K537+0)))</f>
        <v>0</v>
      </c>
      <c r="P537">
        <f>NOT(hospitalityq!P537="")*(NOT(IFERROR(INT(hospitalityq!P537)=VALUE(hospitalityq!P537),FALSE)))</f>
        <v>0</v>
      </c>
      <c r="Q537">
        <f>NOT(hospitalityq!Q537="")*(NOT(IFERROR(INT(hospitalityq!Q537)=VALUE(hospitalityq!Q537),FALSE)))</f>
        <v>0</v>
      </c>
      <c r="R537">
        <f>NOT(hospitalityq!R537="")*(NOT(IFERROR(ROUND(VALUE(hospitalityq!R537),2)=VALUE(hospitalityq!R537),FALSE)))</f>
        <v>0</v>
      </c>
    </row>
    <row r="538" spans="1:18" x14ac:dyDescent="0.25">
      <c r="A538">
        <f t="shared" si="8"/>
        <v>0</v>
      </c>
      <c r="C538">
        <f>NOT(hospitalityq!C538="")*(SUMPRODUCT(--(TRIM(hospitalityq!C6:C538)=TRIM(hospitalityq!C538)))&gt;1)</f>
        <v>0</v>
      </c>
      <c r="D538">
        <f>NOT(hospitalityq!D538="")*(COUNTIF(reference!$C$17:$C$18,TRIM(hospitalityq!D538))=0)</f>
        <v>0</v>
      </c>
      <c r="J538">
        <f>NOT(hospitalityq!J538="")*(NOT(ISNUMBER(hospitalityq!J538+0)))</f>
        <v>0</v>
      </c>
      <c r="K538">
        <f>NOT(hospitalityq!K538="")*(NOT(ISNUMBER(hospitalityq!K538+0)))</f>
        <v>0</v>
      </c>
      <c r="P538">
        <f>NOT(hospitalityq!P538="")*(NOT(IFERROR(INT(hospitalityq!P538)=VALUE(hospitalityq!P538),FALSE)))</f>
        <v>0</v>
      </c>
      <c r="Q538">
        <f>NOT(hospitalityq!Q538="")*(NOT(IFERROR(INT(hospitalityq!Q538)=VALUE(hospitalityq!Q538),FALSE)))</f>
        <v>0</v>
      </c>
      <c r="R538">
        <f>NOT(hospitalityq!R538="")*(NOT(IFERROR(ROUND(VALUE(hospitalityq!R538),2)=VALUE(hospitalityq!R538),FALSE)))</f>
        <v>0</v>
      </c>
    </row>
    <row r="539" spans="1:18" x14ac:dyDescent="0.25">
      <c r="A539">
        <f t="shared" si="8"/>
        <v>0</v>
      </c>
      <c r="C539">
        <f>NOT(hospitalityq!C539="")*(SUMPRODUCT(--(TRIM(hospitalityq!C6:C539)=TRIM(hospitalityq!C539)))&gt;1)</f>
        <v>0</v>
      </c>
      <c r="D539">
        <f>NOT(hospitalityq!D539="")*(COUNTIF(reference!$C$17:$C$18,TRIM(hospitalityq!D539))=0)</f>
        <v>0</v>
      </c>
      <c r="J539">
        <f>NOT(hospitalityq!J539="")*(NOT(ISNUMBER(hospitalityq!J539+0)))</f>
        <v>0</v>
      </c>
      <c r="K539">
        <f>NOT(hospitalityq!K539="")*(NOT(ISNUMBER(hospitalityq!K539+0)))</f>
        <v>0</v>
      </c>
      <c r="P539">
        <f>NOT(hospitalityq!P539="")*(NOT(IFERROR(INT(hospitalityq!P539)=VALUE(hospitalityq!P539),FALSE)))</f>
        <v>0</v>
      </c>
      <c r="Q539">
        <f>NOT(hospitalityq!Q539="")*(NOT(IFERROR(INT(hospitalityq!Q539)=VALUE(hospitalityq!Q539),FALSE)))</f>
        <v>0</v>
      </c>
      <c r="R539">
        <f>NOT(hospitalityq!R539="")*(NOT(IFERROR(ROUND(VALUE(hospitalityq!R539),2)=VALUE(hospitalityq!R539),FALSE)))</f>
        <v>0</v>
      </c>
    </row>
    <row r="540" spans="1:18" x14ac:dyDescent="0.25">
      <c r="A540">
        <f t="shared" si="8"/>
        <v>0</v>
      </c>
      <c r="C540">
        <f>NOT(hospitalityq!C540="")*(SUMPRODUCT(--(TRIM(hospitalityq!C6:C540)=TRIM(hospitalityq!C540)))&gt;1)</f>
        <v>0</v>
      </c>
      <c r="D540">
        <f>NOT(hospitalityq!D540="")*(COUNTIF(reference!$C$17:$C$18,TRIM(hospitalityq!D540))=0)</f>
        <v>0</v>
      </c>
      <c r="J540">
        <f>NOT(hospitalityq!J540="")*(NOT(ISNUMBER(hospitalityq!J540+0)))</f>
        <v>0</v>
      </c>
      <c r="K540">
        <f>NOT(hospitalityq!K540="")*(NOT(ISNUMBER(hospitalityq!K540+0)))</f>
        <v>0</v>
      </c>
      <c r="P540">
        <f>NOT(hospitalityq!P540="")*(NOT(IFERROR(INT(hospitalityq!P540)=VALUE(hospitalityq!P540),FALSE)))</f>
        <v>0</v>
      </c>
      <c r="Q540">
        <f>NOT(hospitalityq!Q540="")*(NOT(IFERROR(INT(hospitalityq!Q540)=VALUE(hospitalityq!Q540),FALSE)))</f>
        <v>0</v>
      </c>
      <c r="R540">
        <f>NOT(hospitalityq!R540="")*(NOT(IFERROR(ROUND(VALUE(hospitalityq!R540),2)=VALUE(hospitalityq!R540),FALSE)))</f>
        <v>0</v>
      </c>
    </row>
    <row r="541" spans="1:18" x14ac:dyDescent="0.25">
      <c r="A541">
        <f t="shared" si="8"/>
        <v>0</v>
      </c>
      <c r="C541">
        <f>NOT(hospitalityq!C541="")*(SUMPRODUCT(--(TRIM(hospitalityq!C6:C541)=TRIM(hospitalityq!C541)))&gt;1)</f>
        <v>0</v>
      </c>
      <c r="D541">
        <f>NOT(hospitalityq!D541="")*(COUNTIF(reference!$C$17:$C$18,TRIM(hospitalityq!D541))=0)</f>
        <v>0</v>
      </c>
      <c r="J541">
        <f>NOT(hospitalityq!J541="")*(NOT(ISNUMBER(hospitalityq!J541+0)))</f>
        <v>0</v>
      </c>
      <c r="K541">
        <f>NOT(hospitalityq!K541="")*(NOT(ISNUMBER(hospitalityq!K541+0)))</f>
        <v>0</v>
      </c>
      <c r="P541">
        <f>NOT(hospitalityq!P541="")*(NOT(IFERROR(INT(hospitalityq!P541)=VALUE(hospitalityq!P541),FALSE)))</f>
        <v>0</v>
      </c>
      <c r="Q541">
        <f>NOT(hospitalityq!Q541="")*(NOT(IFERROR(INT(hospitalityq!Q541)=VALUE(hospitalityq!Q541),FALSE)))</f>
        <v>0</v>
      </c>
      <c r="R541">
        <f>NOT(hospitalityq!R541="")*(NOT(IFERROR(ROUND(VALUE(hospitalityq!R541),2)=VALUE(hospitalityq!R541),FALSE)))</f>
        <v>0</v>
      </c>
    </row>
    <row r="542" spans="1:18" x14ac:dyDescent="0.25">
      <c r="A542">
        <f t="shared" si="8"/>
        <v>0</v>
      </c>
      <c r="C542">
        <f>NOT(hospitalityq!C542="")*(SUMPRODUCT(--(TRIM(hospitalityq!C6:C542)=TRIM(hospitalityq!C542)))&gt;1)</f>
        <v>0</v>
      </c>
      <c r="D542">
        <f>NOT(hospitalityq!D542="")*(COUNTIF(reference!$C$17:$C$18,TRIM(hospitalityq!D542))=0)</f>
        <v>0</v>
      </c>
      <c r="J542">
        <f>NOT(hospitalityq!J542="")*(NOT(ISNUMBER(hospitalityq!J542+0)))</f>
        <v>0</v>
      </c>
      <c r="K542">
        <f>NOT(hospitalityq!K542="")*(NOT(ISNUMBER(hospitalityq!K542+0)))</f>
        <v>0</v>
      </c>
      <c r="P542">
        <f>NOT(hospitalityq!P542="")*(NOT(IFERROR(INT(hospitalityq!P542)=VALUE(hospitalityq!P542),FALSE)))</f>
        <v>0</v>
      </c>
      <c r="Q542">
        <f>NOT(hospitalityq!Q542="")*(NOT(IFERROR(INT(hospitalityq!Q542)=VALUE(hospitalityq!Q542),FALSE)))</f>
        <v>0</v>
      </c>
      <c r="R542">
        <f>NOT(hospitalityq!R542="")*(NOT(IFERROR(ROUND(VALUE(hospitalityq!R542),2)=VALUE(hospitalityq!R542),FALSE)))</f>
        <v>0</v>
      </c>
    </row>
    <row r="543" spans="1:18" x14ac:dyDescent="0.25">
      <c r="A543">
        <f t="shared" si="8"/>
        <v>0</v>
      </c>
      <c r="C543">
        <f>NOT(hospitalityq!C543="")*(SUMPRODUCT(--(TRIM(hospitalityq!C6:C543)=TRIM(hospitalityq!C543)))&gt;1)</f>
        <v>0</v>
      </c>
      <c r="D543">
        <f>NOT(hospitalityq!D543="")*(COUNTIF(reference!$C$17:$C$18,TRIM(hospitalityq!D543))=0)</f>
        <v>0</v>
      </c>
      <c r="J543">
        <f>NOT(hospitalityq!J543="")*(NOT(ISNUMBER(hospitalityq!J543+0)))</f>
        <v>0</v>
      </c>
      <c r="K543">
        <f>NOT(hospitalityq!K543="")*(NOT(ISNUMBER(hospitalityq!K543+0)))</f>
        <v>0</v>
      </c>
      <c r="P543">
        <f>NOT(hospitalityq!P543="")*(NOT(IFERROR(INT(hospitalityq!P543)=VALUE(hospitalityq!P543),FALSE)))</f>
        <v>0</v>
      </c>
      <c r="Q543">
        <f>NOT(hospitalityq!Q543="")*(NOT(IFERROR(INT(hospitalityq!Q543)=VALUE(hospitalityq!Q543),FALSE)))</f>
        <v>0</v>
      </c>
      <c r="R543">
        <f>NOT(hospitalityq!R543="")*(NOT(IFERROR(ROUND(VALUE(hospitalityq!R543),2)=VALUE(hospitalityq!R543),FALSE)))</f>
        <v>0</v>
      </c>
    </row>
    <row r="544" spans="1:18" x14ac:dyDescent="0.25">
      <c r="A544">
        <f t="shared" si="8"/>
        <v>0</v>
      </c>
      <c r="C544">
        <f>NOT(hospitalityq!C544="")*(SUMPRODUCT(--(TRIM(hospitalityq!C6:C544)=TRIM(hospitalityq!C544)))&gt;1)</f>
        <v>0</v>
      </c>
      <c r="D544">
        <f>NOT(hospitalityq!D544="")*(COUNTIF(reference!$C$17:$C$18,TRIM(hospitalityq!D544))=0)</f>
        <v>0</v>
      </c>
      <c r="J544">
        <f>NOT(hospitalityq!J544="")*(NOT(ISNUMBER(hospitalityq!J544+0)))</f>
        <v>0</v>
      </c>
      <c r="K544">
        <f>NOT(hospitalityq!K544="")*(NOT(ISNUMBER(hospitalityq!K544+0)))</f>
        <v>0</v>
      </c>
      <c r="P544">
        <f>NOT(hospitalityq!P544="")*(NOT(IFERROR(INT(hospitalityq!P544)=VALUE(hospitalityq!P544),FALSE)))</f>
        <v>0</v>
      </c>
      <c r="Q544">
        <f>NOT(hospitalityq!Q544="")*(NOT(IFERROR(INT(hospitalityq!Q544)=VALUE(hospitalityq!Q544),FALSE)))</f>
        <v>0</v>
      </c>
      <c r="R544">
        <f>NOT(hospitalityq!R544="")*(NOT(IFERROR(ROUND(VALUE(hospitalityq!R544),2)=VALUE(hospitalityq!R544),FALSE)))</f>
        <v>0</v>
      </c>
    </row>
    <row r="545" spans="1:18" x14ac:dyDescent="0.25">
      <c r="A545">
        <f t="shared" si="8"/>
        <v>0</v>
      </c>
      <c r="C545">
        <f>NOT(hospitalityq!C545="")*(SUMPRODUCT(--(TRIM(hospitalityq!C6:C545)=TRIM(hospitalityq!C545)))&gt;1)</f>
        <v>0</v>
      </c>
      <c r="D545">
        <f>NOT(hospitalityq!D545="")*(COUNTIF(reference!$C$17:$C$18,TRIM(hospitalityq!D545))=0)</f>
        <v>0</v>
      </c>
      <c r="J545">
        <f>NOT(hospitalityq!J545="")*(NOT(ISNUMBER(hospitalityq!J545+0)))</f>
        <v>0</v>
      </c>
      <c r="K545">
        <f>NOT(hospitalityq!K545="")*(NOT(ISNUMBER(hospitalityq!K545+0)))</f>
        <v>0</v>
      </c>
      <c r="P545">
        <f>NOT(hospitalityq!P545="")*(NOT(IFERROR(INT(hospitalityq!P545)=VALUE(hospitalityq!P545),FALSE)))</f>
        <v>0</v>
      </c>
      <c r="Q545">
        <f>NOT(hospitalityq!Q545="")*(NOT(IFERROR(INT(hospitalityq!Q545)=VALUE(hospitalityq!Q545),FALSE)))</f>
        <v>0</v>
      </c>
      <c r="R545">
        <f>NOT(hospitalityq!R545="")*(NOT(IFERROR(ROUND(VALUE(hospitalityq!R545),2)=VALUE(hospitalityq!R545),FALSE)))</f>
        <v>0</v>
      </c>
    </row>
    <row r="546" spans="1:18" x14ac:dyDescent="0.25">
      <c r="A546">
        <f t="shared" si="8"/>
        <v>0</v>
      </c>
      <c r="C546">
        <f>NOT(hospitalityq!C546="")*(SUMPRODUCT(--(TRIM(hospitalityq!C6:C546)=TRIM(hospitalityq!C546)))&gt;1)</f>
        <v>0</v>
      </c>
      <c r="D546">
        <f>NOT(hospitalityq!D546="")*(COUNTIF(reference!$C$17:$C$18,TRIM(hospitalityq!D546))=0)</f>
        <v>0</v>
      </c>
      <c r="J546">
        <f>NOT(hospitalityq!J546="")*(NOT(ISNUMBER(hospitalityq!J546+0)))</f>
        <v>0</v>
      </c>
      <c r="K546">
        <f>NOT(hospitalityq!K546="")*(NOT(ISNUMBER(hospitalityq!K546+0)))</f>
        <v>0</v>
      </c>
      <c r="P546">
        <f>NOT(hospitalityq!P546="")*(NOT(IFERROR(INT(hospitalityq!P546)=VALUE(hospitalityq!P546),FALSE)))</f>
        <v>0</v>
      </c>
      <c r="Q546">
        <f>NOT(hospitalityq!Q546="")*(NOT(IFERROR(INT(hospitalityq!Q546)=VALUE(hospitalityq!Q546),FALSE)))</f>
        <v>0</v>
      </c>
      <c r="R546">
        <f>NOT(hospitalityq!R546="")*(NOT(IFERROR(ROUND(VALUE(hospitalityq!R546),2)=VALUE(hospitalityq!R546),FALSE)))</f>
        <v>0</v>
      </c>
    </row>
    <row r="547" spans="1:18" x14ac:dyDescent="0.25">
      <c r="A547">
        <f t="shared" si="8"/>
        <v>0</v>
      </c>
      <c r="C547">
        <f>NOT(hospitalityq!C547="")*(SUMPRODUCT(--(TRIM(hospitalityq!C6:C547)=TRIM(hospitalityq!C547)))&gt;1)</f>
        <v>0</v>
      </c>
      <c r="D547">
        <f>NOT(hospitalityq!D547="")*(COUNTIF(reference!$C$17:$C$18,TRIM(hospitalityq!D547))=0)</f>
        <v>0</v>
      </c>
      <c r="J547">
        <f>NOT(hospitalityq!J547="")*(NOT(ISNUMBER(hospitalityq!J547+0)))</f>
        <v>0</v>
      </c>
      <c r="K547">
        <f>NOT(hospitalityq!K547="")*(NOT(ISNUMBER(hospitalityq!K547+0)))</f>
        <v>0</v>
      </c>
      <c r="P547">
        <f>NOT(hospitalityq!P547="")*(NOT(IFERROR(INT(hospitalityq!P547)=VALUE(hospitalityq!P547),FALSE)))</f>
        <v>0</v>
      </c>
      <c r="Q547">
        <f>NOT(hospitalityq!Q547="")*(NOT(IFERROR(INT(hospitalityq!Q547)=VALUE(hospitalityq!Q547),FALSE)))</f>
        <v>0</v>
      </c>
      <c r="R547">
        <f>NOT(hospitalityq!R547="")*(NOT(IFERROR(ROUND(VALUE(hospitalityq!R547),2)=VALUE(hospitalityq!R547),FALSE)))</f>
        <v>0</v>
      </c>
    </row>
    <row r="548" spans="1:18" x14ac:dyDescent="0.25">
      <c r="A548">
        <f t="shared" si="8"/>
        <v>0</v>
      </c>
      <c r="C548">
        <f>NOT(hospitalityq!C548="")*(SUMPRODUCT(--(TRIM(hospitalityq!C6:C548)=TRIM(hospitalityq!C548)))&gt;1)</f>
        <v>0</v>
      </c>
      <c r="D548">
        <f>NOT(hospitalityq!D548="")*(COUNTIF(reference!$C$17:$C$18,TRIM(hospitalityq!D548))=0)</f>
        <v>0</v>
      </c>
      <c r="J548">
        <f>NOT(hospitalityq!J548="")*(NOT(ISNUMBER(hospitalityq!J548+0)))</f>
        <v>0</v>
      </c>
      <c r="K548">
        <f>NOT(hospitalityq!K548="")*(NOT(ISNUMBER(hospitalityq!K548+0)))</f>
        <v>0</v>
      </c>
      <c r="P548">
        <f>NOT(hospitalityq!P548="")*(NOT(IFERROR(INT(hospitalityq!P548)=VALUE(hospitalityq!P548),FALSE)))</f>
        <v>0</v>
      </c>
      <c r="Q548">
        <f>NOT(hospitalityq!Q548="")*(NOT(IFERROR(INT(hospitalityq!Q548)=VALUE(hospitalityq!Q548),FALSE)))</f>
        <v>0</v>
      </c>
      <c r="R548">
        <f>NOT(hospitalityq!R548="")*(NOT(IFERROR(ROUND(VALUE(hospitalityq!R548),2)=VALUE(hospitalityq!R548),FALSE)))</f>
        <v>0</v>
      </c>
    </row>
    <row r="549" spans="1:18" x14ac:dyDescent="0.25">
      <c r="A549">
        <f t="shared" si="8"/>
        <v>0</v>
      </c>
      <c r="C549">
        <f>NOT(hospitalityq!C549="")*(SUMPRODUCT(--(TRIM(hospitalityq!C6:C549)=TRIM(hospitalityq!C549)))&gt;1)</f>
        <v>0</v>
      </c>
      <c r="D549">
        <f>NOT(hospitalityq!D549="")*(COUNTIF(reference!$C$17:$C$18,TRIM(hospitalityq!D549))=0)</f>
        <v>0</v>
      </c>
      <c r="J549">
        <f>NOT(hospitalityq!J549="")*(NOT(ISNUMBER(hospitalityq!J549+0)))</f>
        <v>0</v>
      </c>
      <c r="K549">
        <f>NOT(hospitalityq!K549="")*(NOT(ISNUMBER(hospitalityq!K549+0)))</f>
        <v>0</v>
      </c>
      <c r="P549">
        <f>NOT(hospitalityq!P549="")*(NOT(IFERROR(INT(hospitalityq!P549)=VALUE(hospitalityq!P549),FALSE)))</f>
        <v>0</v>
      </c>
      <c r="Q549">
        <f>NOT(hospitalityq!Q549="")*(NOT(IFERROR(INT(hospitalityq!Q549)=VALUE(hospitalityq!Q549),FALSE)))</f>
        <v>0</v>
      </c>
      <c r="R549">
        <f>NOT(hospitalityq!R549="")*(NOT(IFERROR(ROUND(VALUE(hospitalityq!R549),2)=VALUE(hospitalityq!R549),FALSE)))</f>
        <v>0</v>
      </c>
    </row>
    <row r="550" spans="1:18" x14ac:dyDescent="0.25">
      <c r="A550">
        <f t="shared" si="8"/>
        <v>0</v>
      </c>
      <c r="C550">
        <f>NOT(hospitalityq!C550="")*(SUMPRODUCT(--(TRIM(hospitalityq!C6:C550)=TRIM(hospitalityq!C550)))&gt;1)</f>
        <v>0</v>
      </c>
      <c r="D550">
        <f>NOT(hospitalityq!D550="")*(COUNTIF(reference!$C$17:$C$18,TRIM(hospitalityq!D550))=0)</f>
        <v>0</v>
      </c>
      <c r="J550">
        <f>NOT(hospitalityq!J550="")*(NOT(ISNUMBER(hospitalityq!J550+0)))</f>
        <v>0</v>
      </c>
      <c r="K550">
        <f>NOT(hospitalityq!K550="")*(NOT(ISNUMBER(hospitalityq!K550+0)))</f>
        <v>0</v>
      </c>
      <c r="P550">
        <f>NOT(hospitalityq!P550="")*(NOT(IFERROR(INT(hospitalityq!P550)=VALUE(hospitalityq!P550),FALSE)))</f>
        <v>0</v>
      </c>
      <c r="Q550">
        <f>NOT(hospitalityq!Q550="")*(NOT(IFERROR(INT(hospitalityq!Q550)=VALUE(hospitalityq!Q550),FALSE)))</f>
        <v>0</v>
      </c>
      <c r="R550">
        <f>NOT(hospitalityq!R550="")*(NOT(IFERROR(ROUND(VALUE(hospitalityq!R550),2)=VALUE(hospitalityq!R550),FALSE)))</f>
        <v>0</v>
      </c>
    </row>
    <row r="551" spans="1:18" x14ac:dyDescent="0.25">
      <c r="A551">
        <f t="shared" si="8"/>
        <v>0</v>
      </c>
      <c r="C551">
        <f>NOT(hospitalityq!C551="")*(SUMPRODUCT(--(TRIM(hospitalityq!C6:C551)=TRIM(hospitalityq!C551)))&gt;1)</f>
        <v>0</v>
      </c>
      <c r="D551">
        <f>NOT(hospitalityq!D551="")*(COUNTIF(reference!$C$17:$C$18,TRIM(hospitalityq!D551))=0)</f>
        <v>0</v>
      </c>
      <c r="J551">
        <f>NOT(hospitalityq!J551="")*(NOT(ISNUMBER(hospitalityq!J551+0)))</f>
        <v>0</v>
      </c>
      <c r="K551">
        <f>NOT(hospitalityq!K551="")*(NOT(ISNUMBER(hospitalityq!K551+0)))</f>
        <v>0</v>
      </c>
      <c r="P551">
        <f>NOT(hospitalityq!P551="")*(NOT(IFERROR(INT(hospitalityq!P551)=VALUE(hospitalityq!P551),FALSE)))</f>
        <v>0</v>
      </c>
      <c r="Q551">
        <f>NOT(hospitalityq!Q551="")*(NOT(IFERROR(INT(hospitalityq!Q551)=VALUE(hospitalityq!Q551),FALSE)))</f>
        <v>0</v>
      </c>
      <c r="R551">
        <f>NOT(hospitalityq!R551="")*(NOT(IFERROR(ROUND(VALUE(hospitalityq!R551),2)=VALUE(hospitalityq!R551),FALSE)))</f>
        <v>0</v>
      </c>
    </row>
    <row r="552" spans="1:18" x14ac:dyDescent="0.25">
      <c r="A552">
        <f t="shared" si="8"/>
        <v>0</v>
      </c>
      <c r="C552">
        <f>NOT(hospitalityq!C552="")*(SUMPRODUCT(--(TRIM(hospitalityq!C6:C552)=TRIM(hospitalityq!C552)))&gt;1)</f>
        <v>0</v>
      </c>
      <c r="D552">
        <f>NOT(hospitalityq!D552="")*(COUNTIF(reference!$C$17:$C$18,TRIM(hospitalityq!D552))=0)</f>
        <v>0</v>
      </c>
      <c r="J552">
        <f>NOT(hospitalityq!J552="")*(NOT(ISNUMBER(hospitalityq!J552+0)))</f>
        <v>0</v>
      </c>
      <c r="K552">
        <f>NOT(hospitalityq!K552="")*(NOT(ISNUMBER(hospitalityq!K552+0)))</f>
        <v>0</v>
      </c>
      <c r="P552">
        <f>NOT(hospitalityq!P552="")*(NOT(IFERROR(INT(hospitalityq!P552)=VALUE(hospitalityq!P552),FALSE)))</f>
        <v>0</v>
      </c>
      <c r="Q552">
        <f>NOT(hospitalityq!Q552="")*(NOT(IFERROR(INT(hospitalityq!Q552)=VALUE(hospitalityq!Q552),FALSE)))</f>
        <v>0</v>
      </c>
      <c r="R552">
        <f>NOT(hospitalityq!R552="")*(NOT(IFERROR(ROUND(VALUE(hospitalityq!R552),2)=VALUE(hospitalityq!R552),FALSE)))</f>
        <v>0</v>
      </c>
    </row>
    <row r="553" spans="1:18" x14ac:dyDescent="0.25">
      <c r="A553">
        <f t="shared" si="8"/>
        <v>0</v>
      </c>
      <c r="C553">
        <f>NOT(hospitalityq!C553="")*(SUMPRODUCT(--(TRIM(hospitalityq!C6:C553)=TRIM(hospitalityq!C553)))&gt;1)</f>
        <v>0</v>
      </c>
      <c r="D553">
        <f>NOT(hospitalityq!D553="")*(COUNTIF(reference!$C$17:$C$18,TRIM(hospitalityq!D553))=0)</f>
        <v>0</v>
      </c>
      <c r="J553">
        <f>NOT(hospitalityq!J553="")*(NOT(ISNUMBER(hospitalityq!J553+0)))</f>
        <v>0</v>
      </c>
      <c r="K553">
        <f>NOT(hospitalityq!K553="")*(NOT(ISNUMBER(hospitalityq!K553+0)))</f>
        <v>0</v>
      </c>
      <c r="P553">
        <f>NOT(hospitalityq!P553="")*(NOT(IFERROR(INT(hospitalityq!P553)=VALUE(hospitalityq!P553),FALSE)))</f>
        <v>0</v>
      </c>
      <c r="Q553">
        <f>NOT(hospitalityq!Q553="")*(NOT(IFERROR(INT(hospitalityq!Q553)=VALUE(hospitalityq!Q553),FALSE)))</f>
        <v>0</v>
      </c>
      <c r="R553">
        <f>NOT(hospitalityq!R553="")*(NOT(IFERROR(ROUND(VALUE(hospitalityq!R553),2)=VALUE(hospitalityq!R553),FALSE)))</f>
        <v>0</v>
      </c>
    </row>
    <row r="554" spans="1:18" x14ac:dyDescent="0.25">
      <c r="A554">
        <f t="shared" si="8"/>
        <v>0</v>
      </c>
      <c r="C554">
        <f>NOT(hospitalityq!C554="")*(SUMPRODUCT(--(TRIM(hospitalityq!C6:C554)=TRIM(hospitalityq!C554)))&gt;1)</f>
        <v>0</v>
      </c>
      <c r="D554">
        <f>NOT(hospitalityq!D554="")*(COUNTIF(reference!$C$17:$C$18,TRIM(hospitalityq!D554))=0)</f>
        <v>0</v>
      </c>
      <c r="J554">
        <f>NOT(hospitalityq!J554="")*(NOT(ISNUMBER(hospitalityq!J554+0)))</f>
        <v>0</v>
      </c>
      <c r="K554">
        <f>NOT(hospitalityq!K554="")*(NOT(ISNUMBER(hospitalityq!K554+0)))</f>
        <v>0</v>
      </c>
      <c r="P554">
        <f>NOT(hospitalityq!P554="")*(NOT(IFERROR(INT(hospitalityq!P554)=VALUE(hospitalityq!P554),FALSE)))</f>
        <v>0</v>
      </c>
      <c r="Q554">
        <f>NOT(hospitalityq!Q554="")*(NOT(IFERROR(INT(hospitalityq!Q554)=VALUE(hospitalityq!Q554),FALSE)))</f>
        <v>0</v>
      </c>
      <c r="R554">
        <f>NOT(hospitalityq!R554="")*(NOT(IFERROR(ROUND(VALUE(hospitalityq!R554),2)=VALUE(hospitalityq!R554),FALSE)))</f>
        <v>0</v>
      </c>
    </row>
    <row r="555" spans="1:18" x14ac:dyDescent="0.25">
      <c r="A555">
        <f t="shared" si="8"/>
        <v>0</v>
      </c>
      <c r="C555">
        <f>NOT(hospitalityq!C555="")*(SUMPRODUCT(--(TRIM(hospitalityq!C6:C555)=TRIM(hospitalityq!C555)))&gt;1)</f>
        <v>0</v>
      </c>
      <c r="D555">
        <f>NOT(hospitalityq!D555="")*(COUNTIF(reference!$C$17:$C$18,TRIM(hospitalityq!D555))=0)</f>
        <v>0</v>
      </c>
      <c r="J555">
        <f>NOT(hospitalityq!J555="")*(NOT(ISNUMBER(hospitalityq!J555+0)))</f>
        <v>0</v>
      </c>
      <c r="K555">
        <f>NOT(hospitalityq!K555="")*(NOT(ISNUMBER(hospitalityq!K555+0)))</f>
        <v>0</v>
      </c>
      <c r="P555">
        <f>NOT(hospitalityq!P555="")*(NOT(IFERROR(INT(hospitalityq!P555)=VALUE(hospitalityq!P555),FALSE)))</f>
        <v>0</v>
      </c>
      <c r="Q555">
        <f>NOT(hospitalityq!Q555="")*(NOT(IFERROR(INT(hospitalityq!Q555)=VALUE(hospitalityq!Q555),FALSE)))</f>
        <v>0</v>
      </c>
      <c r="R555">
        <f>NOT(hospitalityq!R555="")*(NOT(IFERROR(ROUND(VALUE(hospitalityq!R555),2)=VALUE(hospitalityq!R555),FALSE)))</f>
        <v>0</v>
      </c>
    </row>
    <row r="556" spans="1:18" x14ac:dyDescent="0.25">
      <c r="A556">
        <f t="shared" si="8"/>
        <v>0</v>
      </c>
      <c r="C556">
        <f>NOT(hospitalityq!C556="")*(SUMPRODUCT(--(TRIM(hospitalityq!C6:C556)=TRIM(hospitalityq!C556)))&gt;1)</f>
        <v>0</v>
      </c>
      <c r="D556">
        <f>NOT(hospitalityq!D556="")*(COUNTIF(reference!$C$17:$C$18,TRIM(hospitalityq!D556))=0)</f>
        <v>0</v>
      </c>
      <c r="J556">
        <f>NOT(hospitalityq!J556="")*(NOT(ISNUMBER(hospitalityq!J556+0)))</f>
        <v>0</v>
      </c>
      <c r="K556">
        <f>NOT(hospitalityq!K556="")*(NOT(ISNUMBER(hospitalityq!K556+0)))</f>
        <v>0</v>
      </c>
      <c r="P556">
        <f>NOT(hospitalityq!P556="")*(NOT(IFERROR(INT(hospitalityq!P556)=VALUE(hospitalityq!P556),FALSE)))</f>
        <v>0</v>
      </c>
      <c r="Q556">
        <f>NOT(hospitalityq!Q556="")*(NOT(IFERROR(INT(hospitalityq!Q556)=VALUE(hospitalityq!Q556),FALSE)))</f>
        <v>0</v>
      </c>
      <c r="R556">
        <f>NOT(hospitalityq!R556="")*(NOT(IFERROR(ROUND(VALUE(hospitalityq!R556),2)=VALUE(hospitalityq!R556),FALSE)))</f>
        <v>0</v>
      </c>
    </row>
    <row r="557" spans="1:18" x14ac:dyDescent="0.25">
      <c r="A557">
        <f t="shared" si="8"/>
        <v>0</v>
      </c>
      <c r="C557">
        <f>NOT(hospitalityq!C557="")*(SUMPRODUCT(--(TRIM(hospitalityq!C6:C557)=TRIM(hospitalityq!C557)))&gt;1)</f>
        <v>0</v>
      </c>
      <c r="D557">
        <f>NOT(hospitalityq!D557="")*(COUNTIF(reference!$C$17:$C$18,TRIM(hospitalityq!D557))=0)</f>
        <v>0</v>
      </c>
      <c r="J557">
        <f>NOT(hospitalityq!J557="")*(NOT(ISNUMBER(hospitalityq!J557+0)))</f>
        <v>0</v>
      </c>
      <c r="K557">
        <f>NOT(hospitalityq!K557="")*(NOT(ISNUMBER(hospitalityq!K557+0)))</f>
        <v>0</v>
      </c>
      <c r="P557">
        <f>NOT(hospitalityq!P557="")*(NOT(IFERROR(INT(hospitalityq!P557)=VALUE(hospitalityq!P557),FALSE)))</f>
        <v>0</v>
      </c>
      <c r="Q557">
        <f>NOT(hospitalityq!Q557="")*(NOT(IFERROR(INT(hospitalityq!Q557)=VALUE(hospitalityq!Q557),FALSE)))</f>
        <v>0</v>
      </c>
      <c r="R557">
        <f>NOT(hospitalityq!R557="")*(NOT(IFERROR(ROUND(VALUE(hospitalityq!R557),2)=VALUE(hospitalityq!R557),FALSE)))</f>
        <v>0</v>
      </c>
    </row>
    <row r="558" spans="1:18" x14ac:dyDescent="0.25">
      <c r="A558">
        <f t="shared" si="8"/>
        <v>0</v>
      </c>
      <c r="C558">
        <f>NOT(hospitalityq!C558="")*(SUMPRODUCT(--(TRIM(hospitalityq!C6:C558)=TRIM(hospitalityq!C558)))&gt;1)</f>
        <v>0</v>
      </c>
      <c r="D558">
        <f>NOT(hospitalityq!D558="")*(COUNTIF(reference!$C$17:$C$18,TRIM(hospitalityq!D558))=0)</f>
        <v>0</v>
      </c>
      <c r="J558">
        <f>NOT(hospitalityq!J558="")*(NOT(ISNUMBER(hospitalityq!J558+0)))</f>
        <v>0</v>
      </c>
      <c r="K558">
        <f>NOT(hospitalityq!K558="")*(NOT(ISNUMBER(hospitalityq!K558+0)))</f>
        <v>0</v>
      </c>
      <c r="P558">
        <f>NOT(hospitalityq!P558="")*(NOT(IFERROR(INT(hospitalityq!P558)=VALUE(hospitalityq!P558),FALSE)))</f>
        <v>0</v>
      </c>
      <c r="Q558">
        <f>NOT(hospitalityq!Q558="")*(NOT(IFERROR(INT(hospitalityq!Q558)=VALUE(hospitalityq!Q558),FALSE)))</f>
        <v>0</v>
      </c>
      <c r="R558">
        <f>NOT(hospitalityq!R558="")*(NOT(IFERROR(ROUND(VALUE(hospitalityq!R558),2)=VALUE(hospitalityq!R558),FALSE)))</f>
        <v>0</v>
      </c>
    </row>
    <row r="559" spans="1:18" x14ac:dyDescent="0.25">
      <c r="A559">
        <f t="shared" si="8"/>
        <v>0</v>
      </c>
      <c r="C559">
        <f>NOT(hospitalityq!C559="")*(SUMPRODUCT(--(TRIM(hospitalityq!C6:C559)=TRIM(hospitalityq!C559)))&gt;1)</f>
        <v>0</v>
      </c>
      <c r="D559">
        <f>NOT(hospitalityq!D559="")*(COUNTIF(reference!$C$17:$C$18,TRIM(hospitalityq!D559))=0)</f>
        <v>0</v>
      </c>
      <c r="J559">
        <f>NOT(hospitalityq!J559="")*(NOT(ISNUMBER(hospitalityq!J559+0)))</f>
        <v>0</v>
      </c>
      <c r="K559">
        <f>NOT(hospitalityq!K559="")*(NOT(ISNUMBER(hospitalityq!K559+0)))</f>
        <v>0</v>
      </c>
      <c r="P559">
        <f>NOT(hospitalityq!P559="")*(NOT(IFERROR(INT(hospitalityq!P559)=VALUE(hospitalityq!P559),FALSE)))</f>
        <v>0</v>
      </c>
      <c r="Q559">
        <f>NOT(hospitalityq!Q559="")*(NOT(IFERROR(INT(hospitalityq!Q559)=VALUE(hospitalityq!Q559),FALSE)))</f>
        <v>0</v>
      </c>
      <c r="R559">
        <f>NOT(hospitalityq!R559="")*(NOT(IFERROR(ROUND(VALUE(hospitalityq!R559),2)=VALUE(hospitalityq!R559),FALSE)))</f>
        <v>0</v>
      </c>
    </row>
    <row r="560" spans="1:18" x14ac:dyDescent="0.25">
      <c r="A560">
        <f t="shared" si="8"/>
        <v>0</v>
      </c>
      <c r="C560">
        <f>NOT(hospitalityq!C560="")*(SUMPRODUCT(--(TRIM(hospitalityq!C6:C560)=TRIM(hospitalityq!C560)))&gt;1)</f>
        <v>0</v>
      </c>
      <c r="D560">
        <f>NOT(hospitalityq!D560="")*(COUNTIF(reference!$C$17:$C$18,TRIM(hospitalityq!D560))=0)</f>
        <v>0</v>
      </c>
      <c r="J560">
        <f>NOT(hospitalityq!J560="")*(NOT(ISNUMBER(hospitalityq!J560+0)))</f>
        <v>0</v>
      </c>
      <c r="K560">
        <f>NOT(hospitalityq!K560="")*(NOT(ISNUMBER(hospitalityq!K560+0)))</f>
        <v>0</v>
      </c>
      <c r="P560">
        <f>NOT(hospitalityq!P560="")*(NOT(IFERROR(INT(hospitalityq!P560)=VALUE(hospitalityq!P560),FALSE)))</f>
        <v>0</v>
      </c>
      <c r="Q560">
        <f>NOT(hospitalityq!Q560="")*(NOT(IFERROR(INT(hospitalityq!Q560)=VALUE(hospitalityq!Q560),FALSE)))</f>
        <v>0</v>
      </c>
      <c r="R560">
        <f>NOT(hospitalityq!R560="")*(NOT(IFERROR(ROUND(VALUE(hospitalityq!R560),2)=VALUE(hospitalityq!R560),FALSE)))</f>
        <v>0</v>
      </c>
    </row>
    <row r="561" spans="1:18" x14ac:dyDescent="0.25">
      <c r="A561">
        <f t="shared" si="8"/>
        <v>0</v>
      </c>
      <c r="C561">
        <f>NOT(hospitalityq!C561="")*(SUMPRODUCT(--(TRIM(hospitalityq!C6:C561)=TRIM(hospitalityq!C561)))&gt;1)</f>
        <v>0</v>
      </c>
      <c r="D561">
        <f>NOT(hospitalityq!D561="")*(COUNTIF(reference!$C$17:$C$18,TRIM(hospitalityq!D561))=0)</f>
        <v>0</v>
      </c>
      <c r="J561">
        <f>NOT(hospitalityq!J561="")*(NOT(ISNUMBER(hospitalityq!J561+0)))</f>
        <v>0</v>
      </c>
      <c r="K561">
        <f>NOT(hospitalityq!K561="")*(NOT(ISNUMBER(hospitalityq!K561+0)))</f>
        <v>0</v>
      </c>
      <c r="P561">
        <f>NOT(hospitalityq!P561="")*(NOT(IFERROR(INT(hospitalityq!P561)=VALUE(hospitalityq!P561),FALSE)))</f>
        <v>0</v>
      </c>
      <c r="Q561">
        <f>NOT(hospitalityq!Q561="")*(NOT(IFERROR(INT(hospitalityq!Q561)=VALUE(hospitalityq!Q561),FALSE)))</f>
        <v>0</v>
      </c>
      <c r="R561">
        <f>NOT(hospitalityq!R561="")*(NOT(IFERROR(ROUND(VALUE(hospitalityq!R561),2)=VALUE(hospitalityq!R561),FALSE)))</f>
        <v>0</v>
      </c>
    </row>
    <row r="562" spans="1:18" x14ac:dyDescent="0.25">
      <c r="A562">
        <f t="shared" si="8"/>
        <v>0</v>
      </c>
      <c r="C562">
        <f>NOT(hospitalityq!C562="")*(SUMPRODUCT(--(TRIM(hospitalityq!C6:C562)=TRIM(hospitalityq!C562)))&gt;1)</f>
        <v>0</v>
      </c>
      <c r="D562">
        <f>NOT(hospitalityq!D562="")*(COUNTIF(reference!$C$17:$C$18,TRIM(hospitalityq!D562))=0)</f>
        <v>0</v>
      </c>
      <c r="J562">
        <f>NOT(hospitalityq!J562="")*(NOT(ISNUMBER(hospitalityq!J562+0)))</f>
        <v>0</v>
      </c>
      <c r="K562">
        <f>NOT(hospitalityq!K562="")*(NOT(ISNUMBER(hospitalityq!K562+0)))</f>
        <v>0</v>
      </c>
      <c r="P562">
        <f>NOT(hospitalityq!P562="")*(NOT(IFERROR(INT(hospitalityq!P562)=VALUE(hospitalityq!P562),FALSE)))</f>
        <v>0</v>
      </c>
      <c r="Q562">
        <f>NOT(hospitalityq!Q562="")*(NOT(IFERROR(INT(hospitalityq!Q562)=VALUE(hospitalityq!Q562),FALSE)))</f>
        <v>0</v>
      </c>
      <c r="R562">
        <f>NOT(hospitalityq!R562="")*(NOT(IFERROR(ROUND(VALUE(hospitalityq!R562),2)=VALUE(hospitalityq!R562),FALSE)))</f>
        <v>0</v>
      </c>
    </row>
    <row r="563" spans="1:18" x14ac:dyDescent="0.25">
      <c r="A563">
        <f t="shared" si="8"/>
        <v>0</v>
      </c>
      <c r="C563">
        <f>NOT(hospitalityq!C563="")*(SUMPRODUCT(--(TRIM(hospitalityq!C6:C563)=TRIM(hospitalityq!C563)))&gt;1)</f>
        <v>0</v>
      </c>
      <c r="D563">
        <f>NOT(hospitalityq!D563="")*(COUNTIF(reference!$C$17:$C$18,TRIM(hospitalityq!D563))=0)</f>
        <v>0</v>
      </c>
      <c r="J563">
        <f>NOT(hospitalityq!J563="")*(NOT(ISNUMBER(hospitalityq!J563+0)))</f>
        <v>0</v>
      </c>
      <c r="K563">
        <f>NOT(hospitalityq!K563="")*(NOT(ISNUMBER(hospitalityq!K563+0)))</f>
        <v>0</v>
      </c>
      <c r="P563">
        <f>NOT(hospitalityq!P563="")*(NOT(IFERROR(INT(hospitalityq!P563)=VALUE(hospitalityq!P563),FALSE)))</f>
        <v>0</v>
      </c>
      <c r="Q563">
        <f>NOT(hospitalityq!Q563="")*(NOT(IFERROR(INT(hospitalityq!Q563)=VALUE(hospitalityq!Q563),FALSE)))</f>
        <v>0</v>
      </c>
      <c r="R563">
        <f>NOT(hospitalityq!R563="")*(NOT(IFERROR(ROUND(VALUE(hospitalityq!R563),2)=VALUE(hospitalityq!R563),FALSE)))</f>
        <v>0</v>
      </c>
    </row>
    <row r="564" spans="1:18" x14ac:dyDescent="0.25">
      <c r="A564">
        <f t="shared" si="8"/>
        <v>0</v>
      </c>
      <c r="C564">
        <f>NOT(hospitalityq!C564="")*(SUMPRODUCT(--(TRIM(hospitalityq!C6:C564)=TRIM(hospitalityq!C564)))&gt;1)</f>
        <v>0</v>
      </c>
      <c r="D564">
        <f>NOT(hospitalityq!D564="")*(COUNTIF(reference!$C$17:$C$18,TRIM(hospitalityq!D564))=0)</f>
        <v>0</v>
      </c>
      <c r="J564">
        <f>NOT(hospitalityq!J564="")*(NOT(ISNUMBER(hospitalityq!J564+0)))</f>
        <v>0</v>
      </c>
      <c r="K564">
        <f>NOT(hospitalityq!K564="")*(NOT(ISNUMBER(hospitalityq!K564+0)))</f>
        <v>0</v>
      </c>
      <c r="P564">
        <f>NOT(hospitalityq!P564="")*(NOT(IFERROR(INT(hospitalityq!P564)=VALUE(hospitalityq!P564),FALSE)))</f>
        <v>0</v>
      </c>
      <c r="Q564">
        <f>NOT(hospitalityq!Q564="")*(NOT(IFERROR(INT(hospitalityq!Q564)=VALUE(hospitalityq!Q564),FALSE)))</f>
        <v>0</v>
      </c>
      <c r="R564">
        <f>NOT(hospitalityq!R564="")*(NOT(IFERROR(ROUND(VALUE(hospitalityq!R564),2)=VALUE(hospitalityq!R564),FALSE)))</f>
        <v>0</v>
      </c>
    </row>
    <row r="565" spans="1:18" x14ac:dyDescent="0.25">
      <c r="A565">
        <f t="shared" si="8"/>
        <v>0</v>
      </c>
      <c r="C565">
        <f>NOT(hospitalityq!C565="")*(SUMPRODUCT(--(TRIM(hospitalityq!C6:C565)=TRIM(hospitalityq!C565)))&gt;1)</f>
        <v>0</v>
      </c>
      <c r="D565">
        <f>NOT(hospitalityq!D565="")*(COUNTIF(reference!$C$17:$C$18,TRIM(hospitalityq!D565))=0)</f>
        <v>0</v>
      </c>
      <c r="J565">
        <f>NOT(hospitalityq!J565="")*(NOT(ISNUMBER(hospitalityq!J565+0)))</f>
        <v>0</v>
      </c>
      <c r="K565">
        <f>NOT(hospitalityq!K565="")*(NOT(ISNUMBER(hospitalityq!K565+0)))</f>
        <v>0</v>
      </c>
      <c r="P565">
        <f>NOT(hospitalityq!P565="")*(NOT(IFERROR(INT(hospitalityq!P565)=VALUE(hospitalityq!P565),FALSE)))</f>
        <v>0</v>
      </c>
      <c r="Q565">
        <f>NOT(hospitalityq!Q565="")*(NOT(IFERROR(INT(hospitalityq!Q565)=VALUE(hospitalityq!Q565),FALSE)))</f>
        <v>0</v>
      </c>
      <c r="R565">
        <f>NOT(hospitalityq!R565="")*(NOT(IFERROR(ROUND(VALUE(hospitalityq!R565),2)=VALUE(hospitalityq!R565),FALSE)))</f>
        <v>0</v>
      </c>
    </row>
    <row r="566" spans="1:18" x14ac:dyDescent="0.25">
      <c r="A566">
        <f t="shared" si="8"/>
        <v>0</v>
      </c>
      <c r="C566">
        <f>NOT(hospitalityq!C566="")*(SUMPRODUCT(--(TRIM(hospitalityq!C6:C566)=TRIM(hospitalityq!C566)))&gt;1)</f>
        <v>0</v>
      </c>
      <c r="D566">
        <f>NOT(hospitalityq!D566="")*(COUNTIF(reference!$C$17:$C$18,TRIM(hospitalityq!D566))=0)</f>
        <v>0</v>
      </c>
      <c r="J566">
        <f>NOT(hospitalityq!J566="")*(NOT(ISNUMBER(hospitalityq!J566+0)))</f>
        <v>0</v>
      </c>
      <c r="K566">
        <f>NOT(hospitalityq!K566="")*(NOT(ISNUMBER(hospitalityq!K566+0)))</f>
        <v>0</v>
      </c>
      <c r="P566">
        <f>NOT(hospitalityq!P566="")*(NOT(IFERROR(INT(hospitalityq!P566)=VALUE(hospitalityq!P566),FALSE)))</f>
        <v>0</v>
      </c>
      <c r="Q566">
        <f>NOT(hospitalityq!Q566="")*(NOT(IFERROR(INT(hospitalityq!Q566)=VALUE(hospitalityq!Q566),FALSE)))</f>
        <v>0</v>
      </c>
      <c r="R566">
        <f>NOT(hospitalityq!R566="")*(NOT(IFERROR(ROUND(VALUE(hospitalityq!R566),2)=VALUE(hospitalityq!R566),FALSE)))</f>
        <v>0</v>
      </c>
    </row>
    <row r="567" spans="1:18" x14ac:dyDescent="0.25">
      <c r="A567">
        <f t="shared" si="8"/>
        <v>0</v>
      </c>
      <c r="C567">
        <f>NOT(hospitalityq!C567="")*(SUMPRODUCT(--(TRIM(hospitalityq!C6:C567)=TRIM(hospitalityq!C567)))&gt;1)</f>
        <v>0</v>
      </c>
      <c r="D567">
        <f>NOT(hospitalityq!D567="")*(COUNTIF(reference!$C$17:$C$18,TRIM(hospitalityq!D567))=0)</f>
        <v>0</v>
      </c>
      <c r="J567">
        <f>NOT(hospitalityq!J567="")*(NOT(ISNUMBER(hospitalityq!J567+0)))</f>
        <v>0</v>
      </c>
      <c r="K567">
        <f>NOT(hospitalityq!K567="")*(NOT(ISNUMBER(hospitalityq!K567+0)))</f>
        <v>0</v>
      </c>
      <c r="P567">
        <f>NOT(hospitalityq!P567="")*(NOT(IFERROR(INT(hospitalityq!P567)=VALUE(hospitalityq!P567),FALSE)))</f>
        <v>0</v>
      </c>
      <c r="Q567">
        <f>NOT(hospitalityq!Q567="")*(NOT(IFERROR(INT(hospitalityq!Q567)=VALUE(hospitalityq!Q567),FALSE)))</f>
        <v>0</v>
      </c>
      <c r="R567">
        <f>NOT(hospitalityq!R567="")*(NOT(IFERROR(ROUND(VALUE(hospitalityq!R567),2)=VALUE(hospitalityq!R567),FALSE)))</f>
        <v>0</v>
      </c>
    </row>
    <row r="568" spans="1:18" x14ac:dyDescent="0.25">
      <c r="A568">
        <f t="shared" si="8"/>
        <v>0</v>
      </c>
      <c r="C568">
        <f>NOT(hospitalityq!C568="")*(SUMPRODUCT(--(TRIM(hospitalityq!C6:C568)=TRIM(hospitalityq!C568)))&gt;1)</f>
        <v>0</v>
      </c>
      <c r="D568">
        <f>NOT(hospitalityq!D568="")*(COUNTIF(reference!$C$17:$C$18,TRIM(hospitalityq!D568))=0)</f>
        <v>0</v>
      </c>
      <c r="J568">
        <f>NOT(hospitalityq!J568="")*(NOT(ISNUMBER(hospitalityq!J568+0)))</f>
        <v>0</v>
      </c>
      <c r="K568">
        <f>NOT(hospitalityq!K568="")*(NOT(ISNUMBER(hospitalityq!K568+0)))</f>
        <v>0</v>
      </c>
      <c r="P568">
        <f>NOT(hospitalityq!P568="")*(NOT(IFERROR(INT(hospitalityq!P568)=VALUE(hospitalityq!P568),FALSE)))</f>
        <v>0</v>
      </c>
      <c r="Q568">
        <f>NOT(hospitalityq!Q568="")*(NOT(IFERROR(INT(hospitalityq!Q568)=VALUE(hospitalityq!Q568),FALSE)))</f>
        <v>0</v>
      </c>
      <c r="R568">
        <f>NOT(hospitalityq!R568="")*(NOT(IFERROR(ROUND(VALUE(hospitalityq!R568),2)=VALUE(hospitalityq!R568),FALSE)))</f>
        <v>0</v>
      </c>
    </row>
    <row r="569" spans="1:18" x14ac:dyDescent="0.25">
      <c r="A569">
        <f t="shared" si="8"/>
        <v>0</v>
      </c>
      <c r="C569">
        <f>NOT(hospitalityq!C569="")*(SUMPRODUCT(--(TRIM(hospitalityq!C6:C569)=TRIM(hospitalityq!C569)))&gt;1)</f>
        <v>0</v>
      </c>
      <c r="D569">
        <f>NOT(hospitalityq!D569="")*(COUNTIF(reference!$C$17:$C$18,TRIM(hospitalityq!D569))=0)</f>
        <v>0</v>
      </c>
      <c r="J569">
        <f>NOT(hospitalityq!J569="")*(NOT(ISNUMBER(hospitalityq!J569+0)))</f>
        <v>0</v>
      </c>
      <c r="K569">
        <f>NOT(hospitalityq!K569="")*(NOT(ISNUMBER(hospitalityq!K569+0)))</f>
        <v>0</v>
      </c>
      <c r="P569">
        <f>NOT(hospitalityq!P569="")*(NOT(IFERROR(INT(hospitalityq!P569)=VALUE(hospitalityq!P569),FALSE)))</f>
        <v>0</v>
      </c>
      <c r="Q569">
        <f>NOT(hospitalityq!Q569="")*(NOT(IFERROR(INT(hospitalityq!Q569)=VALUE(hospitalityq!Q569),FALSE)))</f>
        <v>0</v>
      </c>
      <c r="R569">
        <f>NOT(hospitalityq!R569="")*(NOT(IFERROR(ROUND(VALUE(hospitalityq!R569),2)=VALUE(hospitalityq!R569),FALSE)))</f>
        <v>0</v>
      </c>
    </row>
    <row r="570" spans="1:18" x14ac:dyDescent="0.25">
      <c r="A570">
        <f t="shared" si="8"/>
        <v>0</v>
      </c>
      <c r="C570">
        <f>NOT(hospitalityq!C570="")*(SUMPRODUCT(--(TRIM(hospitalityq!C6:C570)=TRIM(hospitalityq!C570)))&gt;1)</f>
        <v>0</v>
      </c>
      <c r="D570">
        <f>NOT(hospitalityq!D570="")*(COUNTIF(reference!$C$17:$C$18,TRIM(hospitalityq!D570))=0)</f>
        <v>0</v>
      </c>
      <c r="J570">
        <f>NOT(hospitalityq!J570="")*(NOT(ISNUMBER(hospitalityq!J570+0)))</f>
        <v>0</v>
      </c>
      <c r="K570">
        <f>NOT(hospitalityq!K570="")*(NOT(ISNUMBER(hospitalityq!K570+0)))</f>
        <v>0</v>
      </c>
      <c r="P570">
        <f>NOT(hospitalityq!P570="")*(NOT(IFERROR(INT(hospitalityq!P570)=VALUE(hospitalityq!P570),FALSE)))</f>
        <v>0</v>
      </c>
      <c r="Q570">
        <f>NOT(hospitalityq!Q570="")*(NOT(IFERROR(INT(hospitalityq!Q570)=VALUE(hospitalityq!Q570),FALSE)))</f>
        <v>0</v>
      </c>
      <c r="R570">
        <f>NOT(hospitalityq!R570="")*(NOT(IFERROR(ROUND(VALUE(hospitalityq!R570),2)=VALUE(hospitalityq!R570),FALSE)))</f>
        <v>0</v>
      </c>
    </row>
    <row r="571" spans="1:18" x14ac:dyDescent="0.25">
      <c r="A571">
        <f t="shared" si="8"/>
        <v>0</v>
      </c>
      <c r="C571">
        <f>NOT(hospitalityq!C571="")*(SUMPRODUCT(--(TRIM(hospitalityq!C6:C571)=TRIM(hospitalityq!C571)))&gt;1)</f>
        <v>0</v>
      </c>
      <c r="D571">
        <f>NOT(hospitalityq!D571="")*(COUNTIF(reference!$C$17:$C$18,TRIM(hospitalityq!D571))=0)</f>
        <v>0</v>
      </c>
      <c r="J571">
        <f>NOT(hospitalityq!J571="")*(NOT(ISNUMBER(hospitalityq!J571+0)))</f>
        <v>0</v>
      </c>
      <c r="K571">
        <f>NOT(hospitalityq!K571="")*(NOT(ISNUMBER(hospitalityq!K571+0)))</f>
        <v>0</v>
      </c>
      <c r="P571">
        <f>NOT(hospitalityq!P571="")*(NOT(IFERROR(INT(hospitalityq!P571)=VALUE(hospitalityq!P571),FALSE)))</f>
        <v>0</v>
      </c>
      <c r="Q571">
        <f>NOT(hospitalityq!Q571="")*(NOT(IFERROR(INT(hospitalityq!Q571)=VALUE(hospitalityq!Q571),FALSE)))</f>
        <v>0</v>
      </c>
      <c r="R571">
        <f>NOT(hospitalityq!R571="")*(NOT(IFERROR(ROUND(VALUE(hospitalityq!R571),2)=VALUE(hospitalityq!R571),FALSE)))</f>
        <v>0</v>
      </c>
    </row>
    <row r="572" spans="1:18" x14ac:dyDescent="0.25">
      <c r="A572">
        <f t="shared" si="8"/>
        <v>0</v>
      </c>
      <c r="C572">
        <f>NOT(hospitalityq!C572="")*(SUMPRODUCT(--(TRIM(hospitalityq!C6:C572)=TRIM(hospitalityq!C572)))&gt;1)</f>
        <v>0</v>
      </c>
      <c r="D572">
        <f>NOT(hospitalityq!D572="")*(COUNTIF(reference!$C$17:$C$18,TRIM(hospitalityq!D572))=0)</f>
        <v>0</v>
      </c>
      <c r="J572">
        <f>NOT(hospitalityq!J572="")*(NOT(ISNUMBER(hospitalityq!J572+0)))</f>
        <v>0</v>
      </c>
      <c r="K572">
        <f>NOT(hospitalityq!K572="")*(NOT(ISNUMBER(hospitalityq!K572+0)))</f>
        <v>0</v>
      </c>
      <c r="P572">
        <f>NOT(hospitalityq!P572="")*(NOT(IFERROR(INT(hospitalityq!P572)=VALUE(hospitalityq!P572),FALSE)))</f>
        <v>0</v>
      </c>
      <c r="Q572">
        <f>NOT(hospitalityq!Q572="")*(NOT(IFERROR(INT(hospitalityq!Q572)=VALUE(hospitalityq!Q572),FALSE)))</f>
        <v>0</v>
      </c>
      <c r="R572">
        <f>NOT(hospitalityq!R572="")*(NOT(IFERROR(ROUND(VALUE(hospitalityq!R572),2)=VALUE(hospitalityq!R572),FALSE)))</f>
        <v>0</v>
      </c>
    </row>
    <row r="573" spans="1:18" x14ac:dyDescent="0.25">
      <c r="A573">
        <f t="shared" si="8"/>
        <v>0</v>
      </c>
      <c r="C573">
        <f>NOT(hospitalityq!C573="")*(SUMPRODUCT(--(TRIM(hospitalityq!C6:C573)=TRIM(hospitalityq!C573)))&gt;1)</f>
        <v>0</v>
      </c>
      <c r="D573">
        <f>NOT(hospitalityq!D573="")*(COUNTIF(reference!$C$17:$C$18,TRIM(hospitalityq!D573))=0)</f>
        <v>0</v>
      </c>
      <c r="J573">
        <f>NOT(hospitalityq!J573="")*(NOT(ISNUMBER(hospitalityq!J573+0)))</f>
        <v>0</v>
      </c>
      <c r="K573">
        <f>NOT(hospitalityq!K573="")*(NOT(ISNUMBER(hospitalityq!K573+0)))</f>
        <v>0</v>
      </c>
      <c r="P573">
        <f>NOT(hospitalityq!P573="")*(NOT(IFERROR(INT(hospitalityq!P573)=VALUE(hospitalityq!P573),FALSE)))</f>
        <v>0</v>
      </c>
      <c r="Q573">
        <f>NOT(hospitalityq!Q573="")*(NOT(IFERROR(INT(hospitalityq!Q573)=VALUE(hospitalityq!Q573),FALSE)))</f>
        <v>0</v>
      </c>
      <c r="R573">
        <f>NOT(hospitalityq!R573="")*(NOT(IFERROR(ROUND(VALUE(hospitalityq!R573),2)=VALUE(hospitalityq!R573),FALSE)))</f>
        <v>0</v>
      </c>
    </row>
    <row r="574" spans="1:18" x14ac:dyDescent="0.25">
      <c r="A574">
        <f t="shared" si="8"/>
        <v>0</v>
      </c>
      <c r="C574">
        <f>NOT(hospitalityq!C574="")*(SUMPRODUCT(--(TRIM(hospitalityq!C6:C574)=TRIM(hospitalityq!C574)))&gt;1)</f>
        <v>0</v>
      </c>
      <c r="D574">
        <f>NOT(hospitalityq!D574="")*(COUNTIF(reference!$C$17:$C$18,TRIM(hospitalityq!D574))=0)</f>
        <v>0</v>
      </c>
      <c r="J574">
        <f>NOT(hospitalityq!J574="")*(NOT(ISNUMBER(hospitalityq!J574+0)))</f>
        <v>0</v>
      </c>
      <c r="K574">
        <f>NOT(hospitalityq!K574="")*(NOT(ISNUMBER(hospitalityq!K574+0)))</f>
        <v>0</v>
      </c>
      <c r="P574">
        <f>NOT(hospitalityq!P574="")*(NOT(IFERROR(INT(hospitalityq!P574)=VALUE(hospitalityq!P574),FALSE)))</f>
        <v>0</v>
      </c>
      <c r="Q574">
        <f>NOT(hospitalityq!Q574="")*(NOT(IFERROR(INT(hospitalityq!Q574)=VALUE(hospitalityq!Q574),FALSE)))</f>
        <v>0</v>
      </c>
      <c r="R574">
        <f>NOT(hospitalityq!R574="")*(NOT(IFERROR(ROUND(VALUE(hospitalityq!R574),2)=VALUE(hospitalityq!R574),FALSE)))</f>
        <v>0</v>
      </c>
    </row>
    <row r="575" spans="1:18" x14ac:dyDescent="0.25">
      <c r="A575">
        <f t="shared" si="8"/>
        <v>0</v>
      </c>
      <c r="C575">
        <f>NOT(hospitalityq!C575="")*(SUMPRODUCT(--(TRIM(hospitalityq!C6:C575)=TRIM(hospitalityq!C575)))&gt;1)</f>
        <v>0</v>
      </c>
      <c r="D575">
        <f>NOT(hospitalityq!D575="")*(COUNTIF(reference!$C$17:$C$18,TRIM(hospitalityq!D575))=0)</f>
        <v>0</v>
      </c>
      <c r="J575">
        <f>NOT(hospitalityq!J575="")*(NOT(ISNUMBER(hospitalityq!J575+0)))</f>
        <v>0</v>
      </c>
      <c r="K575">
        <f>NOT(hospitalityq!K575="")*(NOT(ISNUMBER(hospitalityq!K575+0)))</f>
        <v>0</v>
      </c>
      <c r="P575">
        <f>NOT(hospitalityq!P575="")*(NOT(IFERROR(INT(hospitalityq!P575)=VALUE(hospitalityq!P575),FALSE)))</f>
        <v>0</v>
      </c>
      <c r="Q575">
        <f>NOT(hospitalityq!Q575="")*(NOT(IFERROR(INT(hospitalityq!Q575)=VALUE(hospitalityq!Q575),FALSE)))</f>
        <v>0</v>
      </c>
      <c r="R575">
        <f>NOT(hospitalityq!R575="")*(NOT(IFERROR(ROUND(VALUE(hospitalityq!R575),2)=VALUE(hospitalityq!R575),FALSE)))</f>
        <v>0</v>
      </c>
    </row>
    <row r="576" spans="1:18" x14ac:dyDescent="0.25">
      <c r="A576">
        <f t="shared" si="8"/>
        <v>0</v>
      </c>
      <c r="C576">
        <f>NOT(hospitalityq!C576="")*(SUMPRODUCT(--(TRIM(hospitalityq!C6:C576)=TRIM(hospitalityq!C576)))&gt;1)</f>
        <v>0</v>
      </c>
      <c r="D576">
        <f>NOT(hospitalityq!D576="")*(COUNTIF(reference!$C$17:$C$18,TRIM(hospitalityq!D576))=0)</f>
        <v>0</v>
      </c>
      <c r="J576">
        <f>NOT(hospitalityq!J576="")*(NOT(ISNUMBER(hospitalityq!J576+0)))</f>
        <v>0</v>
      </c>
      <c r="K576">
        <f>NOT(hospitalityq!K576="")*(NOT(ISNUMBER(hospitalityq!K576+0)))</f>
        <v>0</v>
      </c>
      <c r="P576">
        <f>NOT(hospitalityq!P576="")*(NOT(IFERROR(INT(hospitalityq!P576)=VALUE(hospitalityq!P576),FALSE)))</f>
        <v>0</v>
      </c>
      <c r="Q576">
        <f>NOT(hospitalityq!Q576="")*(NOT(IFERROR(INT(hospitalityq!Q576)=VALUE(hospitalityq!Q576),FALSE)))</f>
        <v>0</v>
      </c>
      <c r="R576">
        <f>NOT(hospitalityq!R576="")*(NOT(IFERROR(ROUND(VALUE(hospitalityq!R576),2)=VALUE(hospitalityq!R576),FALSE)))</f>
        <v>0</v>
      </c>
    </row>
    <row r="577" spans="1:18" x14ac:dyDescent="0.25">
      <c r="A577">
        <f t="shared" si="8"/>
        <v>0</v>
      </c>
      <c r="C577">
        <f>NOT(hospitalityq!C577="")*(SUMPRODUCT(--(TRIM(hospitalityq!C6:C577)=TRIM(hospitalityq!C577)))&gt;1)</f>
        <v>0</v>
      </c>
      <c r="D577">
        <f>NOT(hospitalityq!D577="")*(COUNTIF(reference!$C$17:$C$18,TRIM(hospitalityq!D577))=0)</f>
        <v>0</v>
      </c>
      <c r="J577">
        <f>NOT(hospitalityq!J577="")*(NOT(ISNUMBER(hospitalityq!J577+0)))</f>
        <v>0</v>
      </c>
      <c r="K577">
        <f>NOT(hospitalityq!K577="")*(NOT(ISNUMBER(hospitalityq!K577+0)))</f>
        <v>0</v>
      </c>
      <c r="P577">
        <f>NOT(hospitalityq!P577="")*(NOT(IFERROR(INT(hospitalityq!P577)=VALUE(hospitalityq!P577),FALSE)))</f>
        <v>0</v>
      </c>
      <c r="Q577">
        <f>NOT(hospitalityq!Q577="")*(NOT(IFERROR(INT(hospitalityq!Q577)=VALUE(hospitalityq!Q577),FALSE)))</f>
        <v>0</v>
      </c>
      <c r="R577">
        <f>NOT(hospitalityq!R577="")*(NOT(IFERROR(ROUND(VALUE(hospitalityq!R577),2)=VALUE(hospitalityq!R577),FALSE)))</f>
        <v>0</v>
      </c>
    </row>
    <row r="578" spans="1:18" x14ac:dyDescent="0.25">
      <c r="A578">
        <f t="shared" si="8"/>
        <v>0</v>
      </c>
      <c r="C578">
        <f>NOT(hospitalityq!C578="")*(SUMPRODUCT(--(TRIM(hospitalityq!C6:C578)=TRIM(hospitalityq!C578)))&gt;1)</f>
        <v>0</v>
      </c>
      <c r="D578">
        <f>NOT(hospitalityq!D578="")*(COUNTIF(reference!$C$17:$C$18,TRIM(hospitalityq!D578))=0)</f>
        <v>0</v>
      </c>
      <c r="J578">
        <f>NOT(hospitalityq!J578="")*(NOT(ISNUMBER(hospitalityq!J578+0)))</f>
        <v>0</v>
      </c>
      <c r="K578">
        <f>NOT(hospitalityq!K578="")*(NOT(ISNUMBER(hospitalityq!K578+0)))</f>
        <v>0</v>
      </c>
      <c r="P578">
        <f>NOT(hospitalityq!P578="")*(NOT(IFERROR(INT(hospitalityq!P578)=VALUE(hospitalityq!P578),FALSE)))</f>
        <v>0</v>
      </c>
      <c r="Q578">
        <f>NOT(hospitalityq!Q578="")*(NOT(IFERROR(INT(hospitalityq!Q578)=VALUE(hospitalityq!Q578),FALSE)))</f>
        <v>0</v>
      </c>
      <c r="R578">
        <f>NOT(hospitalityq!R578="")*(NOT(IFERROR(ROUND(VALUE(hospitalityq!R578),2)=VALUE(hospitalityq!R578),FALSE)))</f>
        <v>0</v>
      </c>
    </row>
    <row r="579" spans="1:18" x14ac:dyDescent="0.25">
      <c r="A579">
        <f t="shared" si="8"/>
        <v>0</v>
      </c>
      <c r="C579">
        <f>NOT(hospitalityq!C579="")*(SUMPRODUCT(--(TRIM(hospitalityq!C6:C579)=TRIM(hospitalityq!C579)))&gt;1)</f>
        <v>0</v>
      </c>
      <c r="D579">
        <f>NOT(hospitalityq!D579="")*(COUNTIF(reference!$C$17:$C$18,TRIM(hospitalityq!D579))=0)</f>
        <v>0</v>
      </c>
      <c r="J579">
        <f>NOT(hospitalityq!J579="")*(NOT(ISNUMBER(hospitalityq!J579+0)))</f>
        <v>0</v>
      </c>
      <c r="K579">
        <f>NOT(hospitalityq!K579="")*(NOT(ISNUMBER(hospitalityq!K579+0)))</f>
        <v>0</v>
      </c>
      <c r="P579">
        <f>NOT(hospitalityq!P579="")*(NOT(IFERROR(INT(hospitalityq!P579)=VALUE(hospitalityq!P579),FALSE)))</f>
        <v>0</v>
      </c>
      <c r="Q579">
        <f>NOT(hospitalityq!Q579="")*(NOT(IFERROR(INT(hospitalityq!Q579)=VALUE(hospitalityq!Q579),FALSE)))</f>
        <v>0</v>
      </c>
      <c r="R579">
        <f>NOT(hospitalityq!R579="")*(NOT(IFERROR(ROUND(VALUE(hospitalityq!R579),2)=VALUE(hospitalityq!R579),FALSE)))</f>
        <v>0</v>
      </c>
    </row>
    <row r="580" spans="1:18" x14ac:dyDescent="0.25">
      <c r="A580">
        <f t="shared" si="8"/>
        <v>0</v>
      </c>
      <c r="C580">
        <f>NOT(hospitalityq!C580="")*(SUMPRODUCT(--(TRIM(hospitalityq!C6:C580)=TRIM(hospitalityq!C580)))&gt;1)</f>
        <v>0</v>
      </c>
      <c r="D580">
        <f>NOT(hospitalityq!D580="")*(COUNTIF(reference!$C$17:$C$18,TRIM(hospitalityq!D580))=0)</f>
        <v>0</v>
      </c>
      <c r="J580">
        <f>NOT(hospitalityq!J580="")*(NOT(ISNUMBER(hospitalityq!J580+0)))</f>
        <v>0</v>
      </c>
      <c r="K580">
        <f>NOT(hospitalityq!K580="")*(NOT(ISNUMBER(hospitalityq!K580+0)))</f>
        <v>0</v>
      </c>
      <c r="P580">
        <f>NOT(hospitalityq!P580="")*(NOT(IFERROR(INT(hospitalityq!P580)=VALUE(hospitalityq!P580),FALSE)))</f>
        <v>0</v>
      </c>
      <c r="Q580">
        <f>NOT(hospitalityq!Q580="")*(NOT(IFERROR(INT(hospitalityq!Q580)=VALUE(hospitalityq!Q580),FALSE)))</f>
        <v>0</v>
      </c>
      <c r="R580">
        <f>NOT(hospitalityq!R580="")*(NOT(IFERROR(ROUND(VALUE(hospitalityq!R580),2)=VALUE(hospitalityq!R580),FALSE)))</f>
        <v>0</v>
      </c>
    </row>
    <row r="581" spans="1:18" x14ac:dyDescent="0.25">
      <c r="A581">
        <f t="shared" si="8"/>
        <v>0</v>
      </c>
      <c r="C581">
        <f>NOT(hospitalityq!C581="")*(SUMPRODUCT(--(TRIM(hospitalityq!C6:C581)=TRIM(hospitalityq!C581)))&gt;1)</f>
        <v>0</v>
      </c>
      <c r="D581">
        <f>NOT(hospitalityq!D581="")*(COUNTIF(reference!$C$17:$C$18,TRIM(hospitalityq!D581))=0)</f>
        <v>0</v>
      </c>
      <c r="J581">
        <f>NOT(hospitalityq!J581="")*(NOT(ISNUMBER(hospitalityq!J581+0)))</f>
        <v>0</v>
      </c>
      <c r="K581">
        <f>NOT(hospitalityq!K581="")*(NOT(ISNUMBER(hospitalityq!K581+0)))</f>
        <v>0</v>
      </c>
      <c r="P581">
        <f>NOT(hospitalityq!P581="")*(NOT(IFERROR(INT(hospitalityq!P581)=VALUE(hospitalityq!P581),FALSE)))</f>
        <v>0</v>
      </c>
      <c r="Q581">
        <f>NOT(hospitalityq!Q581="")*(NOT(IFERROR(INT(hospitalityq!Q581)=VALUE(hospitalityq!Q581),FALSE)))</f>
        <v>0</v>
      </c>
      <c r="R581">
        <f>NOT(hospitalityq!R581="")*(NOT(IFERROR(ROUND(VALUE(hospitalityq!R581),2)=VALUE(hospitalityq!R581),FALSE)))</f>
        <v>0</v>
      </c>
    </row>
    <row r="582" spans="1:18" x14ac:dyDescent="0.25">
      <c r="A582">
        <f t="shared" ref="A582:A645" si="9">IFERROR(MATCH(TRUE,INDEX(C582:R582&lt;&gt;0,),)+2,0)</f>
        <v>0</v>
      </c>
      <c r="C582">
        <f>NOT(hospitalityq!C582="")*(SUMPRODUCT(--(TRIM(hospitalityq!C6:C582)=TRIM(hospitalityq!C582)))&gt;1)</f>
        <v>0</v>
      </c>
      <c r="D582">
        <f>NOT(hospitalityq!D582="")*(COUNTIF(reference!$C$17:$C$18,TRIM(hospitalityq!D582))=0)</f>
        <v>0</v>
      </c>
      <c r="J582">
        <f>NOT(hospitalityq!J582="")*(NOT(ISNUMBER(hospitalityq!J582+0)))</f>
        <v>0</v>
      </c>
      <c r="K582">
        <f>NOT(hospitalityq!K582="")*(NOT(ISNUMBER(hospitalityq!K582+0)))</f>
        <v>0</v>
      </c>
      <c r="P582">
        <f>NOT(hospitalityq!P582="")*(NOT(IFERROR(INT(hospitalityq!P582)=VALUE(hospitalityq!P582),FALSE)))</f>
        <v>0</v>
      </c>
      <c r="Q582">
        <f>NOT(hospitalityq!Q582="")*(NOT(IFERROR(INT(hospitalityq!Q582)=VALUE(hospitalityq!Q582),FALSE)))</f>
        <v>0</v>
      </c>
      <c r="R582">
        <f>NOT(hospitalityq!R582="")*(NOT(IFERROR(ROUND(VALUE(hospitalityq!R582),2)=VALUE(hospitalityq!R582),FALSE)))</f>
        <v>0</v>
      </c>
    </row>
    <row r="583" spans="1:18" x14ac:dyDescent="0.25">
      <c r="A583">
        <f t="shared" si="9"/>
        <v>0</v>
      </c>
      <c r="C583">
        <f>NOT(hospitalityq!C583="")*(SUMPRODUCT(--(TRIM(hospitalityq!C6:C583)=TRIM(hospitalityq!C583)))&gt;1)</f>
        <v>0</v>
      </c>
      <c r="D583">
        <f>NOT(hospitalityq!D583="")*(COUNTIF(reference!$C$17:$C$18,TRIM(hospitalityq!D583))=0)</f>
        <v>0</v>
      </c>
      <c r="J583">
        <f>NOT(hospitalityq!J583="")*(NOT(ISNUMBER(hospitalityq!J583+0)))</f>
        <v>0</v>
      </c>
      <c r="K583">
        <f>NOT(hospitalityq!K583="")*(NOT(ISNUMBER(hospitalityq!K583+0)))</f>
        <v>0</v>
      </c>
      <c r="P583">
        <f>NOT(hospitalityq!P583="")*(NOT(IFERROR(INT(hospitalityq!P583)=VALUE(hospitalityq!P583),FALSE)))</f>
        <v>0</v>
      </c>
      <c r="Q583">
        <f>NOT(hospitalityq!Q583="")*(NOT(IFERROR(INT(hospitalityq!Q583)=VALUE(hospitalityq!Q583),FALSE)))</f>
        <v>0</v>
      </c>
      <c r="R583">
        <f>NOT(hospitalityq!R583="")*(NOT(IFERROR(ROUND(VALUE(hospitalityq!R583),2)=VALUE(hospitalityq!R583),FALSE)))</f>
        <v>0</v>
      </c>
    </row>
    <row r="584" spans="1:18" x14ac:dyDescent="0.25">
      <c r="A584">
        <f t="shared" si="9"/>
        <v>0</v>
      </c>
      <c r="C584">
        <f>NOT(hospitalityq!C584="")*(SUMPRODUCT(--(TRIM(hospitalityq!C6:C584)=TRIM(hospitalityq!C584)))&gt;1)</f>
        <v>0</v>
      </c>
      <c r="D584">
        <f>NOT(hospitalityq!D584="")*(COUNTIF(reference!$C$17:$C$18,TRIM(hospitalityq!D584))=0)</f>
        <v>0</v>
      </c>
      <c r="J584">
        <f>NOT(hospitalityq!J584="")*(NOT(ISNUMBER(hospitalityq!J584+0)))</f>
        <v>0</v>
      </c>
      <c r="K584">
        <f>NOT(hospitalityq!K584="")*(NOT(ISNUMBER(hospitalityq!K584+0)))</f>
        <v>0</v>
      </c>
      <c r="P584">
        <f>NOT(hospitalityq!P584="")*(NOT(IFERROR(INT(hospitalityq!P584)=VALUE(hospitalityq!P584),FALSE)))</f>
        <v>0</v>
      </c>
      <c r="Q584">
        <f>NOT(hospitalityq!Q584="")*(NOT(IFERROR(INT(hospitalityq!Q584)=VALUE(hospitalityq!Q584),FALSE)))</f>
        <v>0</v>
      </c>
      <c r="R584">
        <f>NOT(hospitalityq!R584="")*(NOT(IFERROR(ROUND(VALUE(hospitalityq!R584),2)=VALUE(hospitalityq!R584),FALSE)))</f>
        <v>0</v>
      </c>
    </row>
    <row r="585" spans="1:18" x14ac:dyDescent="0.25">
      <c r="A585">
        <f t="shared" si="9"/>
        <v>0</v>
      </c>
      <c r="C585">
        <f>NOT(hospitalityq!C585="")*(SUMPRODUCT(--(TRIM(hospitalityq!C6:C585)=TRIM(hospitalityq!C585)))&gt;1)</f>
        <v>0</v>
      </c>
      <c r="D585">
        <f>NOT(hospitalityq!D585="")*(COUNTIF(reference!$C$17:$C$18,TRIM(hospitalityq!D585))=0)</f>
        <v>0</v>
      </c>
      <c r="J585">
        <f>NOT(hospitalityq!J585="")*(NOT(ISNUMBER(hospitalityq!J585+0)))</f>
        <v>0</v>
      </c>
      <c r="K585">
        <f>NOT(hospitalityq!K585="")*(NOT(ISNUMBER(hospitalityq!K585+0)))</f>
        <v>0</v>
      </c>
      <c r="P585">
        <f>NOT(hospitalityq!P585="")*(NOT(IFERROR(INT(hospitalityq!P585)=VALUE(hospitalityq!P585),FALSE)))</f>
        <v>0</v>
      </c>
      <c r="Q585">
        <f>NOT(hospitalityq!Q585="")*(NOT(IFERROR(INT(hospitalityq!Q585)=VALUE(hospitalityq!Q585),FALSE)))</f>
        <v>0</v>
      </c>
      <c r="R585">
        <f>NOT(hospitalityq!R585="")*(NOT(IFERROR(ROUND(VALUE(hospitalityq!R585),2)=VALUE(hospitalityq!R585),FALSE)))</f>
        <v>0</v>
      </c>
    </row>
    <row r="586" spans="1:18" x14ac:dyDescent="0.25">
      <c r="A586">
        <f t="shared" si="9"/>
        <v>0</v>
      </c>
      <c r="C586">
        <f>NOT(hospitalityq!C586="")*(SUMPRODUCT(--(TRIM(hospitalityq!C6:C586)=TRIM(hospitalityq!C586)))&gt;1)</f>
        <v>0</v>
      </c>
      <c r="D586">
        <f>NOT(hospitalityq!D586="")*(COUNTIF(reference!$C$17:$C$18,TRIM(hospitalityq!D586))=0)</f>
        <v>0</v>
      </c>
      <c r="J586">
        <f>NOT(hospitalityq!J586="")*(NOT(ISNUMBER(hospitalityq!J586+0)))</f>
        <v>0</v>
      </c>
      <c r="K586">
        <f>NOT(hospitalityq!K586="")*(NOT(ISNUMBER(hospitalityq!K586+0)))</f>
        <v>0</v>
      </c>
      <c r="P586">
        <f>NOT(hospitalityq!P586="")*(NOT(IFERROR(INT(hospitalityq!P586)=VALUE(hospitalityq!P586),FALSE)))</f>
        <v>0</v>
      </c>
      <c r="Q586">
        <f>NOT(hospitalityq!Q586="")*(NOT(IFERROR(INT(hospitalityq!Q586)=VALUE(hospitalityq!Q586),FALSE)))</f>
        <v>0</v>
      </c>
      <c r="R586">
        <f>NOT(hospitalityq!R586="")*(NOT(IFERROR(ROUND(VALUE(hospitalityq!R586),2)=VALUE(hospitalityq!R586),FALSE)))</f>
        <v>0</v>
      </c>
    </row>
    <row r="587" spans="1:18" x14ac:dyDescent="0.25">
      <c r="A587">
        <f t="shared" si="9"/>
        <v>0</v>
      </c>
      <c r="C587">
        <f>NOT(hospitalityq!C587="")*(SUMPRODUCT(--(TRIM(hospitalityq!C6:C587)=TRIM(hospitalityq!C587)))&gt;1)</f>
        <v>0</v>
      </c>
      <c r="D587">
        <f>NOT(hospitalityq!D587="")*(COUNTIF(reference!$C$17:$C$18,TRIM(hospitalityq!D587))=0)</f>
        <v>0</v>
      </c>
      <c r="J587">
        <f>NOT(hospitalityq!J587="")*(NOT(ISNUMBER(hospitalityq!J587+0)))</f>
        <v>0</v>
      </c>
      <c r="K587">
        <f>NOT(hospitalityq!K587="")*(NOT(ISNUMBER(hospitalityq!K587+0)))</f>
        <v>0</v>
      </c>
      <c r="P587">
        <f>NOT(hospitalityq!P587="")*(NOT(IFERROR(INT(hospitalityq!P587)=VALUE(hospitalityq!P587),FALSE)))</f>
        <v>0</v>
      </c>
      <c r="Q587">
        <f>NOT(hospitalityq!Q587="")*(NOT(IFERROR(INT(hospitalityq!Q587)=VALUE(hospitalityq!Q587),FALSE)))</f>
        <v>0</v>
      </c>
      <c r="R587">
        <f>NOT(hospitalityq!R587="")*(NOT(IFERROR(ROUND(VALUE(hospitalityq!R587),2)=VALUE(hospitalityq!R587),FALSE)))</f>
        <v>0</v>
      </c>
    </row>
    <row r="588" spans="1:18" x14ac:dyDescent="0.25">
      <c r="A588">
        <f t="shared" si="9"/>
        <v>0</v>
      </c>
      <c r="C588">
        <f>NOT(hospitalityq!C588="")*(SUMPRODUCT(--(TRIM(hospitalityq!C6:C588)=TRIM(hospitalityq!C588)))&gt;1)</f>
        <v>0</v>
      </c>
      <c r="D588">
        <f>NOT(hospitalityq!D588="")*(COUNTIF(reference!$C$17:$C$18,TRIM(hospitalityq!D588))=0)</f>
        <v>0</v>
      </c>
      <c r="J588">
        <f>NOT(hospitalityq!J588="")*(NOT(ISNUMBER(hospitalityq!J588+0)))</f>
        <v>0</v>
      </c>
      <c r="K588">
        <f>NOT(hospitalityq!K588="")*(NOT(ISNUMBER(hospitalityq!K588+0)))</f>
        <v>0</v>
      </c>
      <c r="P588">
        <f>NOT(hospitalityq!P588="")*(NOT(IFERROR(INT(hospitalityq!P588)=VALUE(hospitalityq!P588),FALSE)))</f>
        <v>0</v>
      </c>
      <c r="Q588">
        <f>NOT(hospitalityq!Q588="")*(NOT(IFERROR(INT(hospitalityq!Q588)=VALUE(hospitalityq!Q588),FALSE)))</f>
        <v>0</v>
      </c>
      <c r="R588">
        <f>NOT(hospitalityq!R588="")*(NOT(IFERROR(ROUND(VALUE(hospitalityq!R588),2)=VALUE(hospitalityq!R588),FALSE)))</f>
        <v>0</v>
      </c>
    </row>
    <row r="589" spans="1:18" x14ac:dyDescent="0.25">
      <c r="A589">
        <f t="shared" si="9"/>
        <v>0</v>
      </c>
      <c r="C589">
        <f>NOT(hospitalityq!C589="")*(SUMPRODUCT(--(TRIM(hospitalityq!C6:C589)=TRIM(hospitalityq!C589)))&gt;1)</f>
        <v>0</v>
      </c>
      <c r="D589">
        <f>NOT(hospitalityq!D589="")*(COUNTIF(reference!$C$17:$C$18,TRIM(hospitalityq!D589))=0)</f>
        <v>0</v>
      </c>
      <c r="J589">
        <f>NOT(hospitalityq!J589="")*(NOT(ISNUMBER(hospitalityq!J589+0)))</f>
        <v>0</v>
      </c>
      <c r="K589">
        <f>NOT(hospitalityq!K589="")*(NOT(ISNUMBER(hospitalityq!K589+0)))</f>
        <v>0</v>
      </c>
      <c r="P589">
        <f>NOT(hospitalityq!P589="")*(NOT(IFERROR(INT(hospitalityq!P589)=VALUE(hospitalityq!P589),FALSE)))</f>
        <v>0</v>
      </c>
      <c r="Q589">
        <f>NOT(hospitalityq!Q589="")*(NOT(IFERROR(INT(hospitalityq!Q589)=VALUE(hospitalityq!Q589),FALSE)))</f>
        <v>0</v>
      </c>
      <c r="R589">
        <f>NOT(hospitalityq!R589="")*(NOT(IFERROR(ROUND(VALUE(hospitalityq!R589),2)=VALUE(hospitalityq!R589),FALSE)))</f>
        <v>0</v>
      </c>
    </row>
    <row r="590" spans="1:18" x14ac:dyDescent="0.25">
      <c r="A590">
        <f t="shared" si="9"/>
        <v>0</v>
      </c>
      <c r="C590">
        <f>NOT(hospitalityq!C590="")*(SUMPRODUCT(--(TRIM(hospitalityq!C6:C590)=TRIM(hospitalityq!C590)))&gt;1)</f>
        <v>0</v>
      </c>
      <c r="D590">
        <f>NOT(hospitalityq!D590="")*(COUNTIF(reference!$C$17:$C$18,TRIM(hospitalityq!D590))=0)</f>
        <v>0</v>
      </c>
      <c r="J590">
        <f>NOT(hospitalityq!J590="")*(NOT(ISNUMBER(hospitalityq!J590+0)))</f>
        <v>0</v>
      </c>
      <c r="K590">
        <f>NOT(hospitalityq!K590="")*(NOT(ISNUMBER(hospitalityq!K590+0)))</f>
        <v>0</v>
      </c>
      <c r="P590">
        <f>NOT(hospitalityq!P590="")*(NOT(IFERROR(INT(hospitalityq!P590)=VALUE(hospitalityq!P590),FALSE)))</f>
        <v>0</v>
      </c>
      <c r="Q590">
        <f>NOT(hospitalityq!Q590="")*(NOT(IFERROR(INT(hospitalityq!Q590)=VALUE(hospitalityq!Q590),FALSE)))</f>
        <v>0</v>
      </c>
      <c r="R590">
        <f>NOT(hospitalityq!R590="")*(NOT(IFERROR(ROUND(VALUE(hospitalityq!R590),2)=VALUE(hospitalityq!R590),FALSE)))</f>
        <v>0</v>
      </c>
    </row>
    <row r="591" spans="1:18" x14ac:dyDescent="0.25">
      <c r="A591">
        <f t="shared" si="9"/>
        <v>0</v>
      </c>
      <c r="C591">
        <f>NOT(hospitalityq!C591="")*(SUMPRODUCT(--(TRIM(hospitalityq!C6:C591)=TRIM(hospitalityq!C591)))&gt;1)</f>
        <v>0</v>
      </c>
      <c r="D591">
        <f>NOT(hospitalityq!D591="")*(COUNTIF(reference!$C$17:$C$18,TRIM(hospitalityq!D591))=0)</f>
        <v>0</v>
      </c>
      <c r="J591">
        <f>NOT(hospitalityq!J591="")*(NOT(ISNUMBER(hospitalityq!J591+0)))</f>
        <v>0</v>
      </c>
      <c r="K591">
        <f>NOT(hospitalityq!K591="")*(NOT(ISNUMBER(hospitalityq!K591+0)))</f>
        <v>0</v>
      </c>
      <c r="P591">
        <f>NOT(hospitalityq!P591="")*(NOT(IFERROR(INT(hospitalityq!P591)=VALUE(hospitalityq!P591),FALSE)))</f>
        <v>0</v>
      </c>
      <c r="Q591">
        <f>NOT(hospitalityq!Q591="")*(NOT(IFERROR(INT(hospitalityq!Q591)=VALUE(hospitalityq!Q591),FALSE)))</f>
        <v>0</v>
      </c>
      <c r="R591">
        <f>NOT(hospitalityq!R591="")*(NOT(IFERROR(ROUND(VALUE(hospitalityq!R591),2)=VALUE(hospitalityq!R591),FALSE)))</f>
        <v>0</v>
      </c>
    </row>
    <row r="592" spans="1:18" x14ac:dyDescent="0.25">
      <c r="A592">
        <f t="shared" si="9"/>
        <v>0</v>
      </c>
      <c r="C592">
        <f>NOT(hospitalityq!C592="")*(SUMPRODUCT(--(TRIM(hospitalityq!C6:C592)=TRIM(hospitalityq!C592)))&gt;1)</f>
        <v>0</v>
      </c>
      <c r="D592">
        <f>NOT(hospitalityq!D592="")*(COUNTIF(reference!$C$17:$C$18,TRIM(hospitalityq!D592))=0)</f>
        <v>0</v>
      </c>
      <c r="J592">
        <f>NOT(hospitalityq!J592="")*(NOT(ISNUMBER(hospitalityq!J592+0)))</f>
        <v>0</v>
      </c>
      <c r="K592">
        <f>NOT(hospitalityq!K592="")*(NOT(ISNUMBER(hospitalityq!K592+0)))</f>
        <v>0</v>
      </c>
      <c r="P592">
        <f>NOT(hospitalityq!P592="")*(NOT(IFERROR(INT(hospitalityq!P592)=VALUE(hospitalityq!P592),FALSE)))</f>
        <v>0</v>
      </c>
      <c r="Q592">
        <f>NOT(hospitalityq!Q592="")*(NOT(IFERROR(INT(hospitalityq!Q592)=VALUE(hospitalityq!Q592),FALSE)))</f>
        <v>0</v>
      </c>
      <c r="R592">
        <f>NOT(hospitalityq!R592="")*(NOT(IFERROR(ROUND(VALUE(hospitalityq!R592),2)=VALUE(hospitalityq!R592),FALSE)))</f>
        <v>0</v>
      </c>
    </row>
    <row r="593" spans="1:18" x14ac:dyDescent="0.25">
      <c r="A593">
        <f t="shared" si="9"/>
        <v>0</v>
      </c>
      <c r="C593">
        <f>NOT(hospitalityq!C593="")*(SUMPRODUCT(--(TRIM(hospitalityq!C6:C593)=TRIM(hospitalityq!C593)))&gt;1)</f>
        <v>0</v>
      </c>
      <c r="D593">
        <f>NOT(hospitalityq!D593="")*(COUNTIF(reference!$C$17:$C$18,TRIM(hospitalityq!D593))=0)</f>
        <v>0</v>
      </c>
      <c r="J593">
        <f>NOT(hospitalityq!J593="")*(NOT(ISNUMBER(hospitalityq!J593+0)))</f>
        <v>0</v>
      </c>
      <c r="K593">
        <f>NOT(hospitalityq!K593="")*(NOT(ISNUMBER(hospitalityq!K593+0)))</f>
        <v>0</v>
      </c>
      <c r="P593">
        <f>NOT(hospitalityq!P593="")*(NOT(IFERROR(INT(hospitalityq!P593)=VALUE(hospitalityq!P593),FALSE)))</f>
        <v>0</v>
      </c>
      <c r="Q593">
        <f>NOT(hospitalityq!Q593="")*(NOT(IFERROR(INT(hospitalityq!Q593)=VALUE(hospitalityq!Q593),FALSE)))</f>
        <v>0</v>
      </c>
      <c r="R593">
        <f>NOT(hospitalityq!R593="")*(NOT(IFERROR(ROUND(VALUE(hospitalityq!R593),2)=VALUE(hospitalityq!R593),FALSE)))</f>
        <v>0</v>
      </c>
    </row>
    <row r="594" spans="1:18" x14ac:dyDescent="0.25">
      <c r="A594">
        <f t="shared" si="9"/>
        <v>0</v>
      </c>
      <c r="C594">
        <f>NOT(hospitalityq!C594="")*(SUMPRODUCT(--(TRIM(hospitalityq!C6:C594)=TRIM(hospitalityq!C594)))&gt;1)</f>
        <v>0</v>
      </c>
      <c r="D594">
        <f>NOT(hospitalityq!D594="")*(COUNTIF(reference!$C$17:$C$18,TRIM(hospitalityq!D594))=0)</f>
        <v>0</v>
      </c>
      <c r="J594">
        <f>NOT(hospitalityq!J594="")*(NOT(ISNUMBER(hospitalityq!J594+0)))</f>
        <v>0</v>
      </c>
      <c r="K594">
        <f>NOT(hospitalityq!K594="")*(NOT(ISNUMBER(hospitalityq!K594+0)))</f>
        <v>0</v>
      </c>
      <c r="P594">
        <f>NOT(hospitalityq!P594="")*(NOT(IFERROR(INT(hospitalityq!P594)=VALUE(hospitalityq!P594),FALSE)))</f>
        <v>0</v>
      </c>
      <c r="Q594">
        <f>NOT(hospitalityq!Q594="")*(NOT(IFERROR(INT(hospitalityq!Q594)=VALUE(hospitalityq!Q594),FALSE)))</f>
        <v>0</v>
      </c>
      <c r="R594">
        <f>NOT(hospitalityq!R594="")*(NOT(IFERROR(ROUND(VALUE(hospitalityq!R594),2)=VALUE(hospitalityq!R594),FALSE)))</f>
        <v>0</v>
      </c>
    </row>
    <row r="595" spans="1:18" x14ac:dyDescent="0.25">
      <c r="A595">
        <f t="shared" si="9"/>
        <v>0</v>
      </c>
      <c r="C595">
        <f>NOT(hospitalityq!C595="")*(SUMPRODUCT(--(TRIM(hospitalityq!C6:C595)=TRIM(hospitalityq!C595)))&gt;1)</f>
        <v>0</v>
      </c>
      <c r="D595">
        <f>NOT(hospitalityq!D595="")*(COUNTIF(reference!$C$17:$C$18,TRIM(hospitalityq!D595))=0)</f>
        <v>0</v>
      </c>
      <c r="J595">
        <f>NOT(hospitalityq!J595="")*(NOT(ISNUMBER(hospitalityq!J595+0)))</f>
        <v>0</v>
      </c>
      <c r="K595">
        <f>NOT(hospitalityq!K595="")*(NOT(ISNUMBER(hospitalityq!K595+0)))</f>
        <v>0</v>
      </c>
      <c r="P595">
        <f>NOT(hospitalityq!P595="")*(NOT(IFERROR(INT(hospitalityq!P595)=VALUE(hospitalityq!P595),FALSE)))</f>
        <v>0</v>
      </c>
      <c r="Q595">
        <f>NOT(hospitalityq!Q595="")*(NOT(IFERROR(INT(hospitalityq!Q595)=VALUE(hospitalityq!Q595),FALSE)))</f>
        <v>0</v>
      </c>
      <c r="R595">
        <f>NOT(hospitalityq!R595="")*(NOT(IFERROR(ROUND(VALUE(hospitalityq!R595),2)=VALUE(hospitalityq!R595),FALSE)))</f>
        <v>0</v>
      </c>
    </row>
    <row r="596" spans="1:18" x14ac:dyDescent="0.25">
      <c r="A596">
        <f t="shared" si="9"/>
        <v>0</v>
      </c>
      <c r="C596">
        <f>NOT(hospitalityq!C596="")*(SUMPRODUCT(--(TRIM(hospitalityq!C6:C596)=TRIM(hospitalityq!C596)))&gt;1)</f>
        <v>0</v>
      </c>
      <c r="D596">
        <f>NOT(hospitalityq!D596="")*(COUNTIF(reference!$C$17:$C$18,TRIM(hospitalityq!D596))=0)</f>
        <v>0</v>
      </c>
      <c r="J596">
        <f>NOT(hospitalityq!J596="")*(NOT(ISNUMBER(hospitalityq!J596+0)))</f>
        <v>0</v>
      </c>
      <c r="K596">
        <f>NOT(hospitalityq!K596="")*(NOT(ISNUMBER(hospitalityq!K596+0)))</f>
        <v>0</v>
      </c>
      <c r="P596">
        <f>NOT(hospitalityq!P596="")*(NOT(IFERROR(INT(hospitalityq!P596)=VALUE(hospitalityq!P596),FALSE)))</f>
        <v>0</v>
      </c>
      <c r="Q596">
        <f>NOT(hospitalityq!Q596="")*(NOT(IFERROR(INT(hospitalityq!Q596)=VALUE(hospitalityq!Q596),FALSE)))</f>
        <v>0</v>
      </c>
      <c r="R596">
        <f>NOT(hospitalityq!R596="")*(NOT(IFERROR(ROUND(VALUE(hospitalityq!R596),2)=VALUE(hospitalityq!R596),FALSE)))</f>
        <v>0</v>
      </c>
    </row>
    <row r="597" spans="1:18" x14ac:dyDescent="0.25">
      <c r="A597">
        <f t="shared" si="9"/>
        <v>0</v>
      </c>
      <c r="C597">
        <f>NOT(hospitalityq!C597="")*(SUMPRODUCT(--(TRIM(hospitalityq!C6:C597)=TRIM(hospitalityq!C597)))&gt;1)</f>
        <v>0</v>
      </c>
      <c r="D597">
        <f>NOT(hospitalityq!D597="")*(COUNTIF(reference!$C$17:$C$18,TRIM(hospitalityq!D597))=0)</f>
        <v>0</v>
      </c>
      <c r="J597">
        <f>NOT(hospitalityq!J597="")*(NOT(ISNUMBER(hospitalityq!J597+0)))</f>
        <v>0</v>
      </c>
      <c r="K597">
        <f>NOT(hospitalityq!K597="")*(NOT(ISNUMBER(hospitalityq!K597+0)))</f>
        <v>0</v>
      </c>
      <c r="P597">
        <f>NOT(hospitalityq!P597="")*(NOT(IFERROR(INT(hospitalityq!P597)=VALUE(hospitalityq!P597),FALSE)))</f>
        <v>0</v>
      </c>
      <c r="Q597">
        <f>NOT(hospitalityq!Q597="")*(NOT(IFERROR(INT(hospitalityq!Q597)=VALUE(hospitalityq!Q597),FALSE)))</f>
        <v>0</v>
      </c>
      <c r="R597">
        <f>NOT(hospitalityq!R597="")*(NOT(IFERROR(ROUND(VALUE(hospitalityq!R597),2)=VALUE(hospitalityq!R597),FALSE)))</f>
        <v>0</v>
      </c>
    </row>
    <row r="598" spans="1:18" x14ac:dyDescent="0.25">
      <c r="A598">
        <f t="shared" si="9"/>
        <v>0</v>
      </c>
      <c r="C598">
        <f>NOT(hospitalityq!C598="")*(SUMPRODUCT(--(TRIM(hospitalityq!C6:C598)=TRIM(hospitalityq!C598)))&gt;1)</f>
        <v>0</v>
      </c>
      <c r="D598">
        <f>NOT(hospitalityq!D598="")*(COUNTIF(reference!$C$17:$C$18,TRIM(hospitalityq!D598))=0)</f>
        <v>0</v>
      </c>
      <c r="J598">
        <f>NOT(hospitalityq!J598="")*(NOT(ISNUMBER(hospitalityq!J598+0)))</f>
        <v>0</v>
      </c>
      <c r="K598">
        <f>NOT(hospitalityq!K598="")*(NOT(ISNUMBER(hospitalityq!K598+0)))</f>
        <v>0</v>
      </c>
      <c r="P598">
        <f>NOT(hospitalityq!P598="")*(NOT(IFERROR(INT(hospitalityq!P598)=VALUE(hospitalityq!P598),FALSE)))</f>
        <v>0</v>
      </c>
      <c r="Q598">
        <f>NOT(hospitalityq!Q598="")*(NOT(IFERROR(INT(hospitalityq!Q598)=VALUE(hospitalityq!Q598),FALSE)))</f>
        <v>0</v>
      </c>
      <c r="R598">
        <f>NOT(hospitalityq!R598="")*(NOT(IFERROR(ROUND(VALUE(hospitalityq!R598),2)=VALUE(hospitalityq!R598),FALSE)))</f>
        <v>0</v>
      </c>
    </row>
    <row r="599" spans="1:18" x14ac:dyDescent="0.25">
      <c r="A599">
        <f t="shared" si="9"/>
        <v>0</v>
      </c>
      <c r="C599">
        <f>NOT(hospitalityq!C599="")*(SUMPRODUCT(--(TRIM(hospitalityq!C6:C599)=TRIM(hospitalityq!C599)))&gt;1)</f>
        <v>0</v>
      </c>
      <c r="D599">
        <f>NOT(hospitalityq!D599="")*(COUNTIF(reference!$C$17:$C$18,TRIM(hospitalityq!D599))=0)</f>
        <v>0</v>
      </c>
      <c r="J599">
        <f>NOT(hospitalityq!J599="")*(NOT(ISNUMBER(hospitalityq!J599+0)))</f>
        <v>0</v>
      </c>
      <c r="K599">
        <f>NOT(hospitalityq!K599="")*(NOT(ISNUMBER(hospitalityq!K599+0)))</f>
        <v>0</v>
      </c>
      <c r="P599">
        <f>NOT(hospitalityq!P599="")*(NOT(IFERROR(INT(hospitalityq!P599)=VALUE(hospitalityq!P599),FALSE)))</f>
        <v>0</v>
      </c>
      <c r="Q599">
        <f>NOT(hospitalityq!Q599="")*(NOT(IFERROR(INT(hospitalityq!Q599)=VALUE(hospitalityq!Q599),FALSE)))</f>
        <v>0</v>
      </c>
      <c r="R599">
        <f>NOT(hospitalityq!R599="")*(NOT(IFERROR(ROUND(VALUE(hospitalityq!R599),2)=VALUE(hospitalityq!R599),FALSE)))</f>
        <v>0</v>
      </c>
    </row>
    <row r="600" spans="1:18" x14ac:dyDescent="0.25">
      <c r="A600">
        <f t="shared" si="9"/>
        <v>0</v>
      </c>
      <c r="C600">
        <f>NOT(hospitalityq!C600="")*(SUMPRODUCT(--(TRIM(hospitalityq!C6:C600)=TRIM(hospitalityq!C600)))&gt;1)</f>
        <v>0</v>
      </c>
      <c r="D600">
        <f>NOT(hospitalityq!D600="")*(COUNTIF(reference!$C$17:$C$18,TRIM(hospitalityq!D600))=0)</f>
        <v>0</v>
      </c>
      <c r="J600">
        <f>NOT(hospitalityq!J600="")*(NOT(ISNUMBER(hospitalityq!J600+0)))</f>
        <v>0</v>
      </c>
      <c r="K600">
        <f>NOT(hospitalityq!K600="")*(NOT(ISNUMBER(hospitalityq!K600+0)))</f>
        <v>0</v>
      </c>
      <c r="P600">
        <f>NOT(hospitalityq!P600="")*(NOT(IFERROR(INT(hospitalityq!P600)=VALUE(hospitalityq!P600),FALSE)))</f>
        <v>0</v>
      </c>
      <c r="Q600">
        <f>NOT(hospitalityq!Q600="")*(NOT(IFERROR(INT(hospitalityq!Q600)=VALUE(hospitalityq!Q600),FALSE)))</f>
        <v>0</v>
      </c>
      <c r="R600">
        <f>NOT(hospitalityq!R600="")*(NOT(IFERROR(ROUND(VALUE(hospitalityq!R600),2)=VALUE(hospitalityq!R600),FALSE)))</f>
        <v>0</v>
      </c>
    </row>
    <row r="601" spans="1:18" x14ac:dyDescent="0.25">
      <c r="A601">
        <f t="shared" si="9"/>
        <v>0</v>
      </c>
      <c r="C601">
        <f>NOT(hospitalityq!C601="")*(SUMPRODUCT(--(TRIM(hospitalityq!C6:C601)=TRIM(hospitalityq!C601)))&gt;1)</f>
        <v>0</v>
      </c>
      <c r="D601">
        <f>NOT(hospitalityq!D601="")*(COUNTIF(reference!$C$17:$C$18,TRIM(hospitalityq!D601))=0)</f>
        <v>0</v>
      </c>
      <c r="J601">
        <f>NOT(hospitalityq!J601="")*(NOT(ISNUMBER(hospitalityq!J601+0)))</f>
        <v>0</v>
      </c>
      <c r="K601">
        <f>NOT(hospitalityq!K601="")*(NOT(ISNUMBER(hospitalityq!K601+0)))</f>
        <v>0</v>
      </c>
      <c r="P601">
        <f>NOT(hospitalityq!P601="")*(NOT(IFERROR(INT(hospitalityq!P601)=VALUE(hospitalityq!P601),FALSE)))</f>
        <v>0</v>
      </c>
      <c r="Q601">
        <f>NOT(hospitalityq!Q601="")*(NOT(IFERROR(INT(hospitalityq!Q601)=VALUE(hospitalityq!Q601),FALSE)))</f>
        <v>0</v>
      </c>
      <c r="R601">
        <f>NOT(hospitalityq!R601="")*(NOT(IFERROR(ROUND(VALUE(hospitalityq!R601),2)=VALUE(hospitalityq!R601),FALSE)))</f>
        <v>0</v>
      </c>
    </row>
    <row r="602" spans="1:18" x14ac:dyDescent="0.25">
      <c r="A602">
        <f t="shared" si="9"/>
        <v>0</v>
      </c>
      <c r="C602">
        <f>NOT(hospitalityq!C602="")*(SUMPRODUCT(--(TRIM(hospitalityq!C6:C602)=TRIM(hospitalityq!C602)))&gt;1)</f>
        <v>0</v>
      </c>
      <c r="D602">
        <f>NOT(hospitalityq!D602="")*(COUNTIF(reference!$C$17:$C$18,TRIM(hospitalityq!D602))=0)</f>
        <v>0</v>
      </c>
      <c r="J602">
        <f>NOT(hospitalityq!J602="")*(NOT(ISNUMBER(hospitalityq!J602+0)))</f>
        <v>0</v>
      </c>
      <c r="K602">
        <f>NOT(hospitalityq!K602="")*(NOT(ISNUMBER(hospitalityq!K602+0)))</f>
        <v>0</v>
      </c>
      <c r="P602">
        <f>NOT(hospitalityq!P602="")*(NOT(IFERROR(INT(hospitalityq!P602)=VALUE(hospitalityq!P602),FALSE)))</f>
        <v>0</v>
      </c>
      <c r="Q602">
        <f>NOT(hospitalityq!Q602="")*(NOT(IFERROR(INT(hospitalityq!Q602)=VALUE(hospitalityq!Q602),FALSE)))</f>
        <v>0</v>
      </c>
      <c r="R602">
        <f>NOT(hospitalityq!R602="")*(NOT(IFERROR(ROUND(VALUE(hospitalityq!R602),2)=VALUE(hospitalityq!R602),FALSE)))</f>
        <v>0</v>
      </c>
    </row>
    <row r="603" spans="1:18" x14ac:dyDescent="0.25">
      <c r="A603">
        <f t="shared" si="9"/>
        <v>0</v>
      </c>
      <c r="C603">
        <f>NOT(hospitalityq!C603="")*(SUMPRODUCT(--(TRIM(hospitalityq!C6:C603)=TRIM(hospitalityq!C603)))&gt;1)</f>
        <v>0</v>
      </c>
      <c r="D603">
        <f>NOT(hospitalityq!D603="")*(COUNTIF(reference!$C$17:$C$18,TRIM(hospitalityq!D603))=0)</f>
        <v>0</v>
      </c>
      <c r="J603">
        <f>NOT(hospitalityq!J603="")*(NOT(ISNUMBER(hospitalityq!J603+0)))</f>
        <v>0</v>
      </c>
      <c r="K603">
        <f>NOT(hospitalityq!K603="")*(NOT(ISNUMBER(hospitalityq!K603+0)))</f>
        <v>0</v>
      </c>
      <c r="P603">
        <f>NOT(hospitalityq!P603="")*(NOT(IFERROR(INT(hospitalityq!P603)=VALUE(hospitalityq!P603),FALSE)))</f>
        <v>0</v>
      </c>
      <c r="Q603">
        <f>NOT(hospitalityq!Q603="")*(NOT(IFERROR(INT(hospitalityq!Q603)=VALUE(hospitalityq!Q603),FALSE)))</f>
        <v>0</v>
      </c>
      <c r="R603">
        <f>NOT(hospitalityq!R603="")*(NOT(IFERROR(ROUND(VALUE(hospitalityq!R603),2)=VALUE(hospitalityq!R603),FALSE)))</f>
        <v>0</v>
      </c>
    </row>
    <row r="604" spans="1:18" x14ac:dyDescent="0.25">
      <c r="A604">
        <f t="shared" si="9"/>
        <v>0</v>
      </c>
      <c r="C604">
        <f>NOT(hospitalityq!C604="")*(SUMPRODUCT(--(TRIM(hospitalityq!C6:C604)=TRIM(hospitalityq!C604)))&gt;1)</f>
        <v>0</v>
      </c>
      <c r="D604">
        <f>NOT(hospitalityq!D604="")*(COUNTIF(reference!$C$17:$C$18,TRIM(hospitalityq!D604))=0)</f>
        <v>0</v>
      </c>
      <c r="J604">
        <f>NOT(hospitalityq!J604="")*(NOT(ISNUMBER(hospitalityq!J604+0)))</f>
        <v>0</v>
      </c>
      <c r="K604">
        <f>NOT(hospitalityq!K604="")*(NOT(ISNUMBER(hospitalityq!K604+0)))</f>
        <v>0</v>
      </c>
      <c r="P604">
        <f>NOT(hospitalityq!P604="")*(NOT(IFERROR(INT(hospitalityq!P604)=VALUE(hospitalityq!P604),FALSE)))</f>
        <v>0</v>
      </c>
      <c r="Q604">
        <f>NOT(hospitalityq!Q604="")*(NOT(IFERROR(INT(hospitalityq!Q604)=VALUE(hospitalityq!Q604),FALSE)))</f>
        <v>0</v>
      </c>
      <c r="R604">
        <f>NOT(hospitalityq!R604="")*(NOT(IFERROR(ROUND(VALUE(hospitalityq!R604),2)=VALUE(hospitalityq!R604),FALSE)))</f>
        <v>0</v>
      </c>
    </row>
    <row r="605" spans="1:18" x14ac:dyDescent="0.25">
      <c r="A605">
        <f t="shared" si="9"/>
        <v>0</v>
      </c>
      <c r="C605">
        <f>NOT(hospitalityq!C605="")*(SUMPRODUCT(--(TRIM(hospitalityq!C6:C605)=TRIM(hospitalityq!C605)))&gt;1)</f>
        <v>0</v>
      </c>
      <c r="D605">
        <f>NOT(hospitalityq!D605="")*(COUNTIF(reference!$C$17:$C$18,TRIM(hospitalityq!D605))=0)</f>
        <v>0</v>
      </c>
      <c r="J605">
        <f>NOT(hospitalityq!J605="")*(NOT(ISNUMBER(hospitalityq!J605+0)))</f>
        <v>0</v>
      </c>
      <c r="K605">
        <f>NOT(hospitalityq!K605="")*(NOT(ISNUMBER(hospitalityq!K605+0)))</f>
        <v>0</v>
      </c>
      <c r="P605">
        <f>NOT(hospitalityq!P605="")*(NOT(IFERROR(INT(hospitalityq!P605)=VALUE(hospitalityq!P605),FALSE)))</f>
        <v>0</v>
      </c>
      <c r="Q605">
        <f>NOT(hospitalityq!Q605="")*(NOT(IFERROR(INT(hospitalityq!Q605)=VALUE(hospitalityq!Q605),FALSE)))</f>
        <v>0</v>
      </c>
      <c r="R605">
        <f>NOT(hospitalityq!R605="")*(NOT(IFERROR(ROUND(VALUE(hospitalityq!R605),2)=VALUE(hospitalityq!R605),FALSE)))</f>
        <v>0</v>
      </c>
    </row>
    <row r="606" spans="1:18" x14ac:dyDescent="0.25">
      <c r="A606">
        <f t="shared" si="9"/>
        <v>0</v>
      </c>
      <c r="C606">
        <f>NOT(hospitalityq!C606="")*(SUMPRODUCT(--(TRIM(hospitalityq!C6:C606)=TRIM(hospitalityq!C606)))&gt;1)</f>
        <v>0</v>
      </c>
      <c r="D606">
        <f>NOT(hospitalityq!D606="")*(COUNTIF(reference!$C$17:$C$18,TRIM(hospitalityq!D606))=0)</f>
        <v>0</v>
      </c>
      <c r="J606">
        <f>NOT(hospitalityq!J606="")*(NOT(ISNUMBER(hospitalityq!J606+0)))</f>
        <v>0</v>
      </c>
      <c r="K606">
        <f>NOT(hospitalityq!K606="")*(NOT(ISNUMBER(hospitalityq!K606+0)))</f>
        <v>0</v>
      </c>
      <c r="P606">
        <f>NOT(hospitalityq!P606="")*(NOT(IFERROR(INT(hospitalityq!P606)=VALUE(hospitalityq!P606),FALSE)))</f>
        <v>0</v>
      </c>
      <c r="Q606">
        <f>NOT(hospitalityq!Q606="")*(NOT(IFERROR(INT(hospitalityq!Q606)=VALUE(hospitalityq!Q606),FALSE)))</f>
        <v>0</v>
      </c>
      <c r="R606">
        <f>NOT(hospitalityq!R606="")*(NOT(IFERROR(ROUND(VALUE(hospitalityq!R606),2)=VALUE(hospitalityq!R606),FALSE)))</f>
        <v>0</v>
      </c>
    </row>
    <row r="607" spans="1:18" x14ac:dyDescent="0.25">
      <c r="A607">
        <f t="shared" si="9"/>
        <v>0</v>
      </c>
      <c r="C607">
        <f>NOT(hospitalityq!C607="")*(SUMPRODUCT(--(TRIM(hospitalityq!C6:C607)=TRIM(hospitalityq!C607)))&gt;1)</f>
        <v>0</v>
      </c>
      <c r="D607">
        <f>NOT(hospitalityq!D607="")*(COUNTIF(reference!$C$17:$C$18,TRIM(hospitalityq!D607))=0)</f>
        <v>0</v>
      </c>
      <c r="J607">
        <f>NOT(hospitalityq!J607="")*(NOT(ISNUMBER(hospitalityq!J607+0)))</f>
        <v>0</v>
      </c>
      <c r="K607">
        <f>NOT(hospitalityq!K607="")*(NOT(ISNUMBER(hospitalityq!K607+0)))</f>
        <v>0</v>
      </c>
      <c r="P607">
        <f>NOT(hospitalityq!P607="")*(NOT(IFERROR(INT(hospitalityq!P607)=VALUE(hospitalityq!P607),FALSE)))</f>
        <v>0</v>
      </c>
      <c r="Q607">
        <f>NOT(hospitalityq!Q607="")*(NOT(IFERROR(INT(hospitalityq!Q607)=VALUE(hospitalityq!Q607),FALSE)))</f>
        <v>0</v>
      </c>
      <c r="R607">
        <f>NOT(hospitalityq!R607="")*(NOT(IFERROR(ROUND(VALUE(hospitalityq!R607),2)=VALUE(hospitalityq!R607),FALSE)))</f>
        <v>0</v>
      </c>
    </row>
    <row r="608" spans="1:18" x14ac:dyDescent="0.25">
      <c r="A608">
        <f t="shared" si="9"/>
        <v>0</v>
      </c>
      <c r="C608">
        <f>NOT(hospitalityq!C608="")*(SUMPRODUCT(--(TRIM(hospitalityq!C6:C608)=TRIM(hospitalityq!C608)))&gt;1)</f>
        <v>0</v>
      </c>
      <c r="D608">
        <f>NOT(hospitalityq!D608="")*(COUNTIF(reference!$C$17:$C$18,TRIM(hospitalityq!D608))=0)</f>
        <v>0</v>
      </c>
      <c r="J608">
        <f>NOT(hospitalityq!J608="")*(NOT(ISNUMBER(hospitalityq!J608+0)))</f>
        <v>0</v>
      </c>
      <c r="K608">
        <f>NOT(hospitalityq!K608="")*(NOT(ISNUMBER(hospitalityq!K608+0)))</f>
        <v>0</v>
      </c>
      <c r="P608">
        <f>NOT(hospitalityq!P608="")*(NOT(IFERROR(INT(hospitalityq!P608)=VALUE(hospitalityq!P608),FALSE)))</f>
        <v>0</v>
      </c>
      <c r="Q608">
        <f>NOT(hospitalityq!Q608="")*(NOT(IFERROR(INT(hospitalityq!Q608)=VALUE(hospitalityq!Q608),FALSE)))</f>
        <v>0</v>
      </c>
      <c r="R608">
        <f>NOT(hospitalityq!R608="")*(NOT(IFERROR(ROUND(VALUE(hospitalityq!R608),2)=VALUE(hospitalityq!R608),FALSE)))</f>
        <v>0</v>
      </c>
    </row>
    <row r="609" spans="1:18" x14ac:dyDescent="0.25">
      <c r="A609">
        <f t="shared" si="9"/>
        <v>0</v>
      </c>
      <c r="C609">
        <f>NOT(hospitalityq!C609="")*(SUMPRODUCT(--(TRIM(hospitalityq!C6:C609)=TRIM(hospitalityq!C609)))&gt;1)</f>
        <v>0</v>
      </c>
      <c r="D609">
        <f>NOT(hospitalityq!D609="")*(COUNTIF(reference!$C$17:$C$18,TRIM(hospitalityq!D609))=0)</f>
        <v>0</v>
      </c>
      <c r="J609">
        <f>NOT(hospitalityq!J609="")*(NOT(ISNUMBER(hospitalityq!J609+0)))</f>
        <v>0</v>
      </c>
      <c r="K609">
        <f>NOT(hospitalityq!K609="")*(NOT(ISNUMBER(hospitalityq!K609+0)))</f>
        <v>0</v>
      </c>
      <c r="P609">
        <f>NOT(hospitalityq!P609="")*(NOT(IFERROR(INT(hospitalityq!P609)=VALUE(hospitalityq!P609),FALSE)))</f>
        <v>0</v>
      </c>
      <c r="Q609">
        <f>NOT(hospitalityq!Q609="")*(NOT(IFERROR(INT(hospitalityq!Q609)=VALUE(hospitalityq!Q609),FALSE)))</f>
        <v>0</v>
      </c>
      <c r="R609">
        <f>NOT(hospitalityq!R609="")*(NOT(IFERROR(ROUND(VALUE(hospitalityq!R609),2)=VALUE(hospitalityq!R609),FALSE)))</f>
        <v>0</v>
      </c>
    </row>
    <row r="610" spans="1:18" x14ac:dyDescent="0.25">
      <c r="A610">
        <f t="shared" si="9"/>
        <v>0</v>
      </c>
      <c r="C610">
        <f>NOT(hospitalityq!C610="")*(SUMPRODUCT(--(TRIM(hospitalityq!C6:C610)=TRIM(hospitalityq!C610)))&gt;1)</f>
        <v>0</v>
      </c>
      <c r="D610">
        <f>NOT(hospitalityq!D610="")*(COUNTIF(reference!$C$17:$C$18,TRIM(hospitalityq!D610))=0)</f>
        <v>0</v>
      </c>
      <c r="J610">
        <f>NOT(hospitalityq!J610="")*(NOT(ISNUMBER(hospitalityq!J610+0)))</f>
        <v>0</v>
      </c>
      <c r="K610">
        <f>NOT(hospitalityq!K610="")*(NOT(ISNUMBER(hospitalityq!K610+0)))</f>
        <v>0</v>
      </c>
      <c r="P610">
        <f>NOT(hospitalityq!P610="")*(NOT(IFERROR(INT(hospitalityq!P610)=VALUE(hospitalityq!P610),FALSE)))</f>
        <v>0</v>
      </c>
      <c r="Q610">
        <f>NOT(hospitalityq!Q610="")*(NOT(IFERROR(INT(hospitalityq!Q610)=VALUE(hospitalityq!Q610),FALSE)))</f>
        <v>0</v>
      </c>
      <c r="R610">
        <f>NOT(hospitalityq!R610="")*(NOT(IFERROR(ROUND(VALUE(hospitalityq!R610),2)=VALUE(hospitalityq!R610),FALSE)))</f>
        <v>0</v>
      </c>
    </row>
    <row r="611" spans="1:18" x14ac:dyDescent="0.25">
      <c r="A611">
        <f t="shared" si="9"/>
        <v>0</v>
      </c>
      <c r="C611">
        <f>NOT(hospitalityq!C611="")*(SUMPRODUCT(--(TRIM(hospitalityq!C6:C611)=TRIM(hospitalityq!C611)))&gt;1)</f>
        <v>0</v>
      </c>
      <c r="D611">
        <f>NOT(hospitalityq!D611="")*(COUNTIF(reference!$C$17:$C$18,TRIM(hospitalityq!D611))=0)</f>
        <v>0</v>
      </c>
      <c r="J611">
        <f>NOT(hospitalityq!J611="")*(NOT(ISNUMBER(hospitalityq!J611+0)))</f>
        <v>0</v>
      </c>
      <c r="K611">
        <f>NOT(hospitalityq!K611="")*(NOT(ISNUMBER(hospitalityq!K611+0)))</f>
        <v>0</v>
      </c>
      <c r="P611">
        <f>NOT(hospitalityq!P611="")*(NOT(IFERROR(INT(hospitalityq!P611)=VALUE(hospitalityq!P611),FALSE)))</f>
        <v>0</v>
      </c>
      <c r="Q611">
        <f>NOT(hospitalityq!Q611="")*(NOT(IFERROR(INT(hospitalityq!Q611)=VALUE(hospitalityq!Q611),FALSE)))</f>
        <v>0</v>
      </c>
      <c r="R611">
        <f>NOT(hospitalityq!R611="")*(NOT(IFERROR(ROUND(VALUE(hospitalityq!R611),2)=VALUE(hospitalityq!R611),FALSE)))</f>
        <v>0</v>
      </c>
    </row>
    <row r="612" spans="1:18" x14ac:dyDescent="0.25">
      <c r="A612">
        <f t="shared" si="9"/>
        <v>0</v>
      </c>
      <c r="C612">
        <f>NOT(hospitalityq!C612="")*(SUMPRODUCT(--(TRIM(hospitalityq!C6:C612)=TRIM(hospitalityq!C612)))&gt;1)</f>
        <v>0</v>
      </c>
      <c r="D612">
        <f>NOT(hospitalityq!D612="")*(COUNTIF(reference!$C$17:$C$18,TRIM(hospitalityq!D612))=0)</f>
        <v>0</v>
      </c>
      <c r="J612">
        <f>NOT(hospitalityq!J612="")*(NOT(ISNUMBER(hospitalityq!J612+0)))</f>
        <v>0</v>
      </c>
      <c r="K612">
        <f>NOT(hospitalityq!K612="")*(NOT(ISNUMBER(hospitalityq!K612+0)))</f>
        <v>0</v>
      </c>
      <c r="P612">
        <f>NOT(hospitalityq!P612="")*(NOT(IFERROR(INT(hospitalityq!P612)=VALUE(hospitalityq!P612),FALSE)))</f>
        <v>0</v>
      </c>
      <c r="Q612">
        <f>NOT(hospitalityq!Q612="")*(NOT(IFERROR(INT(hospitalityq!Q612)=VALUE(hospitalityq!Q612),FALSE)))</f>
        <v>0</v>
      </c>
      <c r="R612">
        <f>NOT(hospitalityq!R612="")*(NOT(IFERROR(ROUND(VALUE(hospitalityq!R612),2)=VALUE(hospitalityq!R612),FALSE)))</f>
        <v>0</v>
      </c>
    </row>
    <row r="613" spans="1:18" x14ac:dyDescent="0.25">
      <c r="A613">
        <f t="shared" si="9"/>
        <v>0</v>
      </c>
      <c r="C613">
        <f>NOT(hospitalityq!C613="")*(SUMPRODUCT(--(TRIM(hospitalityq!C6:C613)=TRIM(hospitalityq!C613)))&gt;1)</f>
        <v>0</v>
      </c>
      <c r="D613">
        <f>NOT(hospitalityq!D613="")*(COUNTIF(reference!$C$17:$C$18,TRIM(hospitalityq!D613))=0)</f>
        <v>0</v>
      </c>
      <c r="J613">
        <f>NOT(hospitalityq!J613="")*(NOT(ISNUMBER(hospitalityq!J613+0)))</f>
        <v>0</v>
      </c>
      <c r="K613">
        <f>NOT(hospitalityq!K613="")*(NOT(ISNUMBER(hospitalityq!K613+0)))</f>
        <v>0</v>
      </c>
      <c r="P613">
        <f>NOT(hospitalityq!P613="")*(NOT(IFERROR(INT(hospitalityq!P613)=VALUE(hospitalityq!P613),FALSE)))</f>
        <v>0</v>
      </c>
      <c r="Q613">
        <f>NOT(hospitalityq!Q613="")*(NOT(IFERROR(INT(hospitalityq!Q613)=VALUE(hospitalityq!Q613),FALSE)))</f>
        <v>0</v>
      </c>
      <c r="R613">
        <f>NOT(hospitalityq!R613="")*(NOT(IFERROR(ROUND(VALUE(hospitalityq!R613),2)=VALUE(hospitalityq!R613),FALSE)))</f>
        <v>0</v>
      </c>
    </row>
    <row r="614" spans="1:18" x14ac:dyDescent="0.25">
      <c r="A614">
        <f t="shared" si="9"/>
        <v>0</v>
      </c>
      <c r="C614">
        <f>NOT(hospitalityq!C614="")*(SUMPRODUCT(--(TRIM(hospitalityq!C6:C614)=TRIM(hospitalityq!C614)))&gt;1)</f>
        <v>0</v>
      </c>
      <c r="D614">
        <f>NOT(hospitalityq!D614="")*(COUNTIF(reference!$C$17:$C$18,TRIM(hospitalityq!D614))=0)</f>
        <v>0</v>
      </c>
      <c r="J614">
        <f>NOT(hospitalityq!J614="")*(NOT(ISNUMBER(hospitalityq!J614+0)))</f>
        <v>0</v>
      </c>
      <c r="K614">
        <f>NOT(hospitalityq!K614="")*(NOT(ISNUMBER(hospitalityq!K614+0)))</f>
        <v>0</v>
      </c>
      <c r="P614">
        <f>NOT(hospitalityq!P614="")*(NOT(IFERROR(INT(hospitalityq!P614)=VALUE(hospitalityq!P614),FALSE)))</f>
        <v>0</v>
      </c>
      <c r="Q614">
        <f>NOT(hospitalityq!Q614="")*(NOT(IFERROR(INT(hospitalityq!Q614)=VALUE(hospitalityq!Q614),FALSE)))</f>
        <v>0</v>
      </c>
      <c r="R614">
        <f>NOT(hospitalityq!R614="")*(NOT(IFERROR(ROUND(VALUE(hospitalityq!R614),2)=VALUE(hospitalityq!R614),FALSE)))</f>
        <v>0</v>
      </c>
    </row>
    <row r="615" spans="1:18" x14ac:dyDescent="0.25">
      <c r="A615">
        <f t="shared" si="9"/>
        <v>0</v>
      </c>
      <c r="C615">
        <f>NOT(hospitalityq!C615="")*(SUMPRODUCT(--(TRIM(hospitalityq!C6:C615)=TRIM(hospitalityq!C615)))&gt;1)</f>
        <v>0</v>
      </c>
      <c r="D615">
        <f>NOT(hospitalityq!D615="")*(COUNTIF(reference!$C$17:$C$18,TRIM(hospitalityq!D615))=0)</f>
        <v>0</v>
      </c>
      <c r="J615">
        <f>NOT(hospitalityq!J615="")*(NOT(ISNUMBER(hospitalityq!J615+0)))</f>
        <v>0</v>
      </c>
      <c r="K615">
        <f>NOT(hospitalityq!K615="")*(NOT(ISNUMBER(hospitalityq!K615+0)))</f>
        <v>0</v>
      </c>
      <c r="P615">
        <f>NOT(hospitalityq!P615="")*(NOT(IFERROR(INT(hospitalityq!P615)=VALUE(hospitalityq!P615),FALSE)))</f>
        <v>0</v>
      </c>
      <c r="Q615">
        <f>NOT(hospitalityq!Q615="")*(NOT(IFERROR(INT(hospitalityq!Q615)=VALUE(hospitalityq!Q615),FALSE)))</f>
        <v>0</v>
      </c>
      <c r="R615">
        <f>NOT(hospitalityq!R615="")*(NOT(IFERROR(ROUND(VALUE(hospitalityq!R615),2)=VALUE(hospitalityq!R615),FALSE)))</f>
        <v>0</v>
      </c>
    </row>
    <row r="616" spans="1:18" x14ac:dyDescent="0.25">
      <c r="A616">
        <f t="shared" si="9"/>
        <v>0</v>
      </c>
      <c r="C616">
        <f>NOT(hospitalityq!C616="")*(SUMPRODUCT(--(TRIM(hospitalityq!C6:C616)=TRIM(hospitalityq!C616)))&gt;1)</f>
        <v>0</v>
      </c>
      <c r="D616">
        <f>NOT(hospitalityq!D616="")*(COUNTIF(reference!$C$17:$C$18,TRIM(hospitalityq!D616))=0)</f>
        <v>0</v>
      </c>
      <c r="J616">
        <f>NOT(hospitalityq!J616="")*(NOT(ISNUMBER(hospitalityq!J616+0)))</f>
        <v>0</v>
      </c>
      <c r="K616">
        <f>NOT(hospitalityq!K616="")*(NOT(ISNUMBER(hospitalityq!K616+0)))</f>
        <v>0</v>
      </c>
      <c r="P616">
        <f>NOT(hospitalityq!P616="")*(NOT(IFERROR(INT(hospitalityq!P616)=VALUE(hospitalityq!P616),FALSE)))</f>
        <v>0</v>
      </c>
      <c r="Q616">
        <f>NOT(hospitalityq!Q616="")*(NOT(IFERROR(INT(hospitalityq!Q616)=VALUE(hospitalityq!Q616),FALSE)))</f>
        <v>0</v>
      </c>
      <c r="R616">
        <f>NOT(hospitalityq!R616="")*(NOT(IFERROR(ROUND(VALUE(hospitalityq!R616),2)=VALUE(hospitalityq!R616),FALSE)))</f>
        <v>0</v>
      </c>
    </row>
    <row r="617" spans="1:18" x14ac:dyDescent="0.25">
      <c r="A617">
        <f t="shared" si="9"/>
        <v>0</v>
      </c>
      <c r="C617">
        <f>NOT(hospitalityq!C617="")*(SUMPRODUCT(--(TRIM(hospitalityq!C6:C617)=TRIM(hospitalityq!C617)))&gt;1)</f>
        <v>0</v>
      </c>
      <c r="D617">
        <f>NOT(hospitalityq!D617="")*(COUNTIF(reference!$C$17:$C$18,TRIM(hospitalityq!D617))=0)</f>
        <v>0</v>
      </c>
      <c r="J617">
        <f>NOT(hospitalityq!J617="")*(NOT(ISNUMBER(hospitalityq!J617+0)))</f>
        <v>0</v>
      </c>
      <c r="K617">
        <f>NOT(hospitalityq!K617="")*(NOT(ISNUMBER(hospitalityq!K617+0)))</f>
        <v>0</v>
      </c>
      <c r="P617">
        <f>NOT(hospitalityq!P617="")*(NOT(IFERROR(INT(hospitalityq!P617)=VALUE(hospitalityq!P617),FALSE)))</f>
        <v>0</v>
      </c>
      <c r="Q617">
        <f>NOT(hospitalityq!Q617="")*(NOT(IFERROR(INT(hospitalityq!Q617)=VALUE(hospitalityq!Q617),FALSE)))</f>
        <v>0</v>
      </c>
      <c r="R617">
        <f>NOT(hospitalityq!R617="")*(NOT(IFERROR(ROUND(VALUE(hospitalityq!R617),2)=VALUE(hospitalityq!R617),FALSE)))</f>
        <v>0</v>
      </c>
    </row>
    <row r="618" spans="1:18" x14ac:dyDescent="0.25">
      <c r="A618">
        <f t="shared" si="9"/>
        <v>0</v>
      </c>
      <c r="C618">
        <f>NOT(hospitalityq!C618="")*(SUMPRODUCT(--(TRIM(hospitalityq!C6:C618)=TRIM(hospitalityq!C618)))&gt;1)</f>
        <v>0</v>
      </c>
      <c r="D618">
        <f>NOT(hospitalityq!D618="")*(COUNTIF(reference!$C$17:$C$18,TRIM(hospitalityq!D618))=0)</f>
        <v>0</v>
      </c>
      <c r="J618">
        <f>NOT(hospitalityq!J618="")*(NOT(ISNUMBER(hospitalityq!J618+0)))</f>
        <v>0</v>
      </c>
      <c r="K618">
        <f>NOT(hospitalityq!K618="")*(NOT(ISNUMBER(hospitalityq!K618+0)))</f>
        <v>0</v>
      </c>
      <c r="P618">
        <f>NOT(hospitalityq!P618="")*(NOT(IFERROR(INT(hospitalityq!P618)=VALUE(hospitalityq!P618),FALSE)))</f>
        <v>0</v>
      </c>
      <c r="Q618">
        <f>NOT(hospitalityq!Q618="")*(NOT(IFERROR(INT(hospitalityq!Q618)=VALUE(hospitalityq!Q618),FALSE)))</f>
        <v>0</v>
      </c>
      <c r="R618">
        <f>NOT(hospitalityq!R618="")*(NOT(IFERROR(ROUND(VALUE(hospitalityq!R618),2)=VALUE(hospitalityq!R618),FALSE)))</f>
        <v>0</v>
      </c>
    </row>
    <row r="619" spans="1:18" x14ac:dyDescent="0.25">
      <c r="A619">
        <f t="shared" si="9"/>
        <v>0</v>
      </c>
      <c r="C619">
        <f>NOT(hospitalityq!C619="")*(SUMPRODUCT(--(TRIM(hospitalityq!C6:C619)=TRIM(hospitalityq!C619)))&gt;1)</f>
        <v>0</v>
      </c>
      <c r="D619">
        <f>NOT(hospitalityq!D619="")*(COUNTIF(reference!$C$17:$C$18,TRIM(hospitalityq!D619))=0)</f>
        <v>0</v>
      </c>
      <c r="J619">
        <f>NOT(hospitalityq!J619="")*(NOT(ISNUMBER(hospitalityq!J619+0)))</f>
        <v>0</v>
      </c>
      <c r="K619">
        <f>NOT(hospitalityq!K619="")*(NOT(ISNUMBER(hospitalityq!K619+0)))</f>
        <v>0</v>
      </c>
      <c r="P619">
        <f>NOT(hospitalityq!P619="")*(NOT(IFERROR(INT(hospitalityq!P619)=VALUE(hospitalityq!P619),FALSE)))</f>
        <v>0</v>
      </c>
      <c r="Q619">
        <f>NOT(hospitalityq!Q619="")*(NOT(IFERROR(INT(hospitalityq!Q619)=VALUE(hospitalityq!Q619),FALSE)))</f>
        <v>0</v>
      </c>
      <c r="R619">
        <f>NOT(hospitalityq!R619="")*(NOT(IFERROR(ROUND(VALUE(hospitalityq!R619),2)=VALUE(hospitalityq!R619),FALSE)))</f>
        <v>0</v>
      </c>
    </row>
    <row r="620" spans="1:18" x14ac:dyDescent="0.25">
      <c r="A620">
        <f t="shared" si="9"/>
        <v>0</v>
      </c>
      <c r="C620">
        <f>NOT(hospitalityq!C620="")*(SUMPRODUCT(--(TRIM(hospitalityq!C6:C620)=TRIM(hospitalityq!C620)))&gt;1)</f>
        <v>0</v>
      </c>
      <c r="D620">
        <f>NOT(hospitalityq!D620="")*(COUNTIF(reference!$C$17:$C$18,TRIM(hospitalityq!D620))=0)</f>
        <v>0</v>
      </c>
      <c r="J620">
        <f>NOT(hospitalityq!J620="")*(NOT(ISNUMBER(hospitalityq!J620+0)))</f>
        <v>0</v>
      </c>
      <c r="K620">
        <f>NOT(hospitalityq!K620="")*(NOT(ISNUMBER(hospitalityq!K620+0)))</f>
        <v>0</v>
      </c>
      <c r="P620">
        <f>NOT(hospitalityq!P620="")*(NOT(IFERROR(INT(hospitalityq!P620)=VALUE(hospitalityq!P620),FALSE)))</f>
        <v>0</v>
      </c>
      <c r="Q620">
        <f>NOT(hospitalityq!Q620="")*(NOT(IFERROR(INT(hospitalityq!Q620)=VALUE(hospitalityq!Q620),FALSE)))</f>
        <v>0</v>
      </c>
      <c r="R620">
        <f>NOT(hospitalityq!R620="")*(NOT(IFERROR(ROUND(VALUE(hospitalityq!R620),2)=VALUE(hospitalityq!R620),FALSE)))</f>
        <v>0</v>
      </c>
    </row>
    <row r="621" spans="1:18" x14ac:dyDescent="0.25">
      <c r="A621">
        <f t="shared" si="9"/>
        <v>0</v>
      </c>
      <c r="C621">
        <f>NOT(hospitalityq!C621="")*(SUMPRODUCT(--(TRIM(hospitalityq!C6:C621)=TRIM(hospitalityq!C621)))&gt;1)</f>
        <v>0</v>
      </c>
      <c r="D621">
        <f>NOT(hospitalityq!D621="")*(COUNTIF(reference!$C$17:$C$18,TRIM(hospitalityq!D621))=0)</f>
        <v>0</v>
      </c>
      <c r="J621">
        <f>NOT(hospitalityq!J621="")*(NOT(ISNUMBER(hospitalityq!J621+0)))</f>
        <v>0</v>
      </c>
      <c r="K621">
        <f>NOT(hospitalityq!K621="")*(NOT(ISNUMBER(hospitalityq!K621+0)))</f>
        <v>0</v>
      </c>
      <c r="P621">
        <f>NOT(hospitalityq!P621="")*(NOT(IFERROR(INT(hospitalityq!P621)=VALUE(hospitalityq!P621),FALSE)))</f>
        <v>0</v>
      </c>
      <c r="Q621">
        <f>NOT(hospitalityq!Q621="")*(NOT(IFERROR(INT(hospitalityq!Q621)=VALUE(hospitalityq!Q621),FALSE)))</f>
        <v>0</v>
      </c>
      <c r="R621">
        <f>NOT(hospitalityq!R621="")*(NOT(IFERROR(ROUND(VALUE(hospitalityq!R621),2)=VALUE(hospitalityq!R621),FALSE)))</f>
        <v>0</v>
      </c>
    </row>
    <row r="622" spans="1:18" x14ac:dyDescent="0.25">
      <c r="A622">
        <f t="shared" si="9"/>
        <v>0</v>
      </c>
      <c r="C622">
        <f>NOT(hospitalityq!C622="")*(SUMPRODUCT(--(TRIM(hospitalityq!C6:C622)=TRIM(hospitalityq!C622)))&gt;1)</f>
        <v>0</v>
      </c>
      <c r="D622">
        <f>NOT(hospitalityq!D622="")*(COUNTIF(reference!$C$17:$C$18,TRIM(hospitalityq!D622))=0)</f>
        <v>0</v>
      </c>
      <c r="J622">
        <f>NOT(hospitalityq!J622="")*(NOT(ISNUMBER(hospitalityq!J622+0)))</f>
        <v>0</v>
      </c>
      <c r="K622">
        <f>NOT(hospitalityq!K622="")*(NOT(ISNUMBER(hospitalityq!K622+0)))</f>
        <v>0</v>
      </c>
      <c r="P622">
        <f>NOT(hospitalityq!P622="")*(NOT(IFERROR(INT(hospitalityq!P622)=VALUE(hospitalityq!P622),FALSE)))</f>
        <v>0</v>
      </c>
      <c r="Q622">
        <f>NOT(hospitalityq!Q622="")*(NOT(IFERROR(INT(hospitalityq!Q622)=VALUE(hospitalityq!Q622),FALSE)))</f>
        <v>0</v>
      </c>
      <c r="R622">
        <f>NOT(hospitalityq!R622="")*(NOT(IFERROR(ROUND(VALUE(hospitalityq!R622),2)=VALUE(hospitalityq!R622),FALSE)))</f>
        <v>0</v>
      </c>
    </row>
    <row r="623" spans="1:18" x14ac:dyDescent="0.25">
      <c r="A623">
        <f t="shared" si="9"/>
        <v>0</v>
      </c>
      <c r="C623">
        <f>NOT(hospitalityq!C623="")*(SUMPRODUCT(--(TRIM(hospitalityq!C6:C623)=TRIM(hospitalityq!C623)))&gt;1)</f>
        <v>0</v>
      </c>
      <c r="D623">
        <f>NOT(hospitalityq!D623="")*(COUNTIF(reference!$C$17:$C$18,TRIM(hospitalityq!D623))=0)</f>
        <v>0</v>
      </c>
      <c r="J623">
        <f>NOT(hospitalityq!J623="")*(NOT(ISNUMBER(hospitalityq!J623+0)))</f>
        <v>0</v>
      </c>
      <c r="K623">
        <f>NOT(hospitalityq!K623="")*(NOT(ISNUMBER(hospitalityq!K623+0)))</f>
        <v>0</v>
      </c>
      <c r="P623">
        <f>NOT(hospitalityq!P623="")*(NOT(IFERROR(INT(hospitalityq!P623)=VALUE(hospitalityq!P623),FALSE)))</f>
        <v>0</v>
      </c>
      <c r="Q623">
        <f>NOT(hospitalityq!Q623="")*(NOT(IFERROR(INT(hospitalityq!Q623)=VALUE(hospitalityq!Q623),FALSE)))</f>
        <v>0</v>
      </c>
      <c r="R623">
        <f>NOT(hospitalityq!R623="")*(NOT(IFERROR(ROUND(VALUE(hospitalityq!R623),2)=VALUE(hospitalityq!R623),FALSE)))</f>
        <v>0</v>
      </c>
    </row>
    <row r="624" spans="1:18" x14ac:dyDescent="0.25">
      <c r="A624">
        <f t="shared" si="9"/>
        <v>0</v>
      </c>
      <c r="C624">
        <f>NOT(hospitalityq!C624="")*(SUMPRODUCT(--(TRIM(hospitalityq!C6:C624)=TRIM(hospitalityq!C624)))&gt;1)</f>
        <v>0</v>
      </c>
      <c r="D624">
        <f>NOT(hospitalityq!D624="")*(COUNTIF(reference!$C$17:$C$18,TRIM(hospitalityq!D624))=0)</f>
        <v>0</v>
      </c>
      <c r="J624">
        <f>NOT(hospitalityq!J624="")*(NOT(ISNUMBER(hospitalityq!J624+0)))</f>
        <v>0</v>
      </c>
      <c r="K624">
        <f>NOT(hospitalityq!K624="")*(NOT(ISNUMBER(hospitalityq!K624+0)))</f>
        <v>0</v>
      </c>
      <c r="P624">
        <f>NOT(hospitalityq!P624="")*(NOT(IFERROR(INT(hospitalityq!P624)=VALUE(hospitalityq!P624),FALSE)))</f>
        <v>0</v>
      </c>
      <c r="Q624">
        <f>NOT(hospitalityq!Q624="")*(NOT(IFERROR(INT(hospitalityq!Q624)=VALUE(hospitalityq!Q624),FALSE)))</f>
        <v>0</v>
      </c>
      <c r="R624">
        <f>NOT(hospitalityq!R624="")*(NOT(IFERROR(ROUND(VALUE(hospitalityq!R624),2)=VALUE(hospitalityq!R624),FALSE)))</f>
        <v>0</v>
      </c>
    </row>
    <row r="625" spans="1:18" x14ac:dyDescent="0.25">
      <c r="A625">
        <f t="shared" si="9"/>
        <v>0</v>
      </c>
      <c r="C625">
        <f>NOT(hospitalityq!C625="")*(SUMPRODUCT(--(TRIM(hospitalityq!C6:C625)=TRIM(hospitalityq!C625)))&gt;1)</f>
        <v>0</v>
      </c>
      <c r="D625">
        <f>NOT(hospitalityq!D625="")*(COUNTIF(reference!$C$17:$C$18,TRIM(hospitalityq!D625))=0)</f>
        <v>0</v>
      </c>
      <c r="J625">
        <f>NOT(hospitalityq!J625="")*(NOT(ISNUMBER(hospitalityq!J625+0)))</f>
        <v>0</v>
      </c>
      <c r="K625">
        <f>NOT(hospitalityq!K625="")*(NOT(ISNUMBER(hospitalityq!K625+0)))</f>
        <v>0</v>
      </c>
      <c r="P625">
        <f>NOT(hospitalityq!P625="")*(NOT(IFERROR(INT(hospitalityq!P625)=VALUE(hospitalityq!P625),FALSE)))</f>
        <v>0</v>
      </c>
      <c r="Q625">
        <f>NOT(hospitalityq!Q625="")*(NOT(IFERROR(INT(hospitalityq!Q625)=VALUE(hospitalityq!Q625),FALSE)))</f>
        <v>0</v>
      </c>
      <c r="R625">
        <f>NOT(hospitalityq!R625="")*(NOT(IFERROR(ROUND(VALUE(hospitalityq!R625),2)=VALUE(hospitalityq!R625),FALSE)))</f>
        <v>0</v>
      </c>
    </row>
    <row r="626" spans="1:18" x14ac:dyDescent="0.25">
      <c r="A626">
        <f t="shared" si="9"/>
        <v>0</v>
      </c>
      <c r="C626">
        <f>NOT(hospitalityq!C626="")*(SUMPRODUCT(--(TRIM(hospitalityq!C6:C626)=TRIM(hospitalityq!C626)))&gt;1)</f>
        <v>0</v>
      </c>
      <c r="D626">
        <f>NOT(hospitalityq!D626="")*(COUNTIF(reference!$C$17:$C$18,TRIM(hospitalityq!D626))=0)</f>
        <v>0</v>
      </c>
      <c r="J626">
        <f>NOT(hospitalityq!J626="")*(NOT(ISNUMBER(hospitalityq!J626+0)))</f>
        <v>0</v>
      </c>
      <c r="K626">
        <f>NOT(hospitalityq!K626="")*(NOT(ISNUMBER(hospitalityq!K626+0)))</f>
        <v>0</v>
      </c>
      <c r="P626">
        <f>NOT(hospitalityq!P626="")*(NOT(IFERROR(INT(hospitalityq!P626)=VALUE(hospitalityq!P626),FALSE)))</f>
        <v>0</v>
      </c>
      <c r="Q626">
        <f>NOT(hospitalityq!Q626="")*(NOT(IFERROR(INT(hospitalityq!Q626)=VALUE(hospitalityq!Q626),FALSE)))</f>
        <v>0</v>
      </c>
      <c r="R626">
        <f>NOT(hospitalityq!R626="")*(NOT(IFERROR(ROUND(VALUE(hospitalityq!R626),2)=VALUE(hospitalityq!R626),FALSE)))</f>
        <v>0</v>
      </c>
    </row>
    <row r="627" spans="1:18" x14ac:dyDescent="0.25">
      <c r="A627">
        <f t="shared" si="9"/>
        <v>0</v>
      </c>
      <c r="C627">
        <f>NOT(hospitalityq!C627="")*(SUMPRODUCT(--(TRIM(hospitalityq!C6:C627)=TRIM(hospitalityq!C627)))&gt;1)</f>
        <v>0</v>
      </c>
      <c r="D627">
        <f>NOT(hospitalityq!D627="")*(COUNTIF(reference!$C$17:$C$18,TRIM(hospitalityq!D627))=0)</f>
        <v>0</v>
      </c>
      <c r="J627">
        <f>NOT(hospitalityq!J627="")*(NOT(ISNUMBER(hospitalityq!J627+0)))</f>
        <v>0</v>
      </c>
      <c r="K627">
        <f>NOT(hospitalityq!K627="")*(NOT(ISNUMBER(hospitalityq!K627+0)))</f>
        <v>0</v>
      </c>
      <c r="P627">
        <f>NOT(hospitalityq!P627="")*(NOT(IFERROR(INT(hospitalityq!P627)=VALUE(hospitalityq!P627),FALSE)))</f>
        <v>0</v>
      </c>
      <c r="Q627">
        <f>NOT(hospitalityq!Q627="")*(NOT(IFERROR(INT(hospitalityq!Q627)=VALUE(hospitalityq!Q627),FALSE)))</f>
        <v>0</v>
      </c>
      <c r="R627">
        <f>NOT(hospitalityq!R627="")*(NOT(IFERROR(ROUND(VALUE(hospitalityq!R627),2)=VALUE(hospitalityq!R627),FALSE)))</f>
        <v>0</v>
      </c>
    </row>
    <row r="628" spans="1:18" x14ac:dyDescent="0.25">
      <c r="A628">
        <f t="shared" si="9"/>
        <v>0</v>
      </c>
      <c r="C628">
        <f>NOT(hospitalityq!C628="")*(SUMPRODUCT(--(TRIM(hospitalityq!C6:C628)=TRIM(hospitalityq!C628)))&gt;1)</f>
        <v>0</v>
      </c>
      <c r="D628">
        <f>NOT(hospitalityq!D628="")*(COUNTIF(reference!$C$17:$C$18,TRIM(hospitalityq!D628))=0)</f>
        <v>0</v>
      </c>
      <c r="J628">
        <f>NOT(hospitalityq!J628="")*(NOT(ISNUMBER(hospitalityq!J628+0)))</f>
        <v>0</v>
      </c>
      <c r="K628">
        <f>NOT(hospitalityq!K628="")*(NOT(ISNUMBER(hospitalityq!K628+0)))</f>
        <v>0</v>
      </c>
      <c r="P628">
        <f>NOT(hospitalityq!P628="")*(NOT(IFERROR(INT(hospitalityq!P628)=VALUE(hospitalityq!P628),FALSE)))</f>
        <v>0</v>
      </c>
      <c r="Q628">
        <f>NOT(hospitalityq!Q628="")*(NOT(IFERROR(INT(hospitalityq!Q628)=VALUE(hospitalityq!Q628),FALSE)))</f>
        <v>0</v>
      </c>
      <c r="R628">
        <f>NOT(hospitalityq!R628="")*(NOT(IFERROR(ROUND(VALUE(hospitalityq!R628),2)=VALUE(hospitalityq!R628),FALSE)))</f>
        <v>0</v>
      </c>
    </row>
    <row r="629" spans="1:18" x14ac:dyDescent="0.25">
      <c r="A629">
        <f t="shared" si="9"/>
        <v>0</v>
      </c>
      <c r="C629">
        <f>NOT(hospitalityq!C629="")*(SUMPRODUCT(--(TRIM(hospitalityq!C6:C629)=TRIM(hospitalityq!C629)))&gt;1)</f>
        <v>0</v>
      </c>
      <c r="D629">
        <f>NOT(hospitalityq!D629="")*(COUNTIF(reference!$C$17:$C$18,TRIM(hospitalityq!D629))=0)</f>
        <v>0</v>
      </c>
      <c r="J629">
        <f>NOT(hospitalityq!J629="")*(NOT(ISNUMBER(hospitalityq!J629+0)))</f>
        <v>0</v>
      </c>
      <c r="K629">
        <f>NOT(hospitalityq!K629="")*(NOT(ISNUMBER(hospitalityq!K629+0)))</f>
        <v>0</v>
      </c>
      <c r="P629">
        <f>NOT(hospitalityq!P629="")*(NOT(IFERROR(INT(hospitalityq!P629)=VALUE(hospitalityq!P629),FALSE)))</f>
        <v>0</v>
      </c>
      <c r="Q629">
        <f>NOT(hospitalityq!Q629="")*(NOT(IFERROR(INT(hospitalityq!Q629)=VALUE(hospitalityq!Q629),FALSE)))</f>
        <v>0</v>
      </c>
      <c r="R629">
        <f>NOT(hospitalityq!R629="")*(NOT(IFERROR(ROUND(VALUE(hospitalityq!R629),2)=VALUE(hospitalityq!R629),FALSE)))</f>
        <v>0</v>
      </c>
    </row>
    <row r="630" spans="1:18" x14ac:dyDescent="0.25">
      <c r="A630">
        <f t="shared" si="9"/>
        <v>0</v>
      </c>
      <c r="C630">
        <f>NOT(hospitalityq!C630="")*(SUMPRODUCT(--(TRIM(hospitalityq!C6:C630)=TRIM(hospitalityq!C630)))&gt;1)</f>
        <v>0</v>
      </c>
      <c r="D630">
        <f>NOT(hospitalityq!D630="")*(COUNTIF(reference!$C$17:$C$18,TRIM(hospitalityq!D630))=0)</f>
        <v>0</v>
      </c>
      <c r="J630">
        <f>NOT(hospitalityq!J630="")*(NOT(ISNUMBER(hospitalityq!J630+0)))</f>
        <v>0</v>
      </c>
      <c r="K630">
        <f>NOT(hospitalityq!K630="")*(NOT(ISNUMBER(hospitalityq!K630+0)))</f>
        <v>0</v>
      </c>
      <c r="P630">
        <f>NOT(hospitalityq!P630="")*(NOT(IFERROR(INT(hospitalityq!P630)=VALUE(hospitalityq!P630),FALSE)))</f>
        <v>0</v>
      </c>
      <c r="Q630">
        <f>NOT(hospitalityq!Q630="")*(NOT(IFERROR(INT(hospitalityq!Q630)=VALUE(hospitalityq!Q630),FALSE)))</f>
        <v>0</v>
      </c>
      <c r="R630">
        <f>NOT(hospitalityq!R630="")*(NOT(IFERROR(ROUND(VALUE(hospitalityq!R630),2)=VALUE(hospitalityq!R630),FALSE)))</f>
        <v>0</v>
      </c>
    </row>
    <row r="631" spans="1:18" x14ac:dyDescent="0.25">
      <c r="A631">
        <f t="shared" si="9"/>
        <v>0</v>
      </c>
      <c r="C631">
        <f>NOT(hospitalityq!C631="")*(SUMPRODUCT(--(TRIM(hospitalityq!C6:C631)=TRIM(hospitalityq!C631)))&gt;1)</f>
        <v>0</v>
      </c>
      <c r="D631">
        <f>NOT(hospitalityq!D631="")*(COUNTIF(reference!$C$17:$C$18,TRIM(hospitalityq!D631))=0)</f>
        <v>0</v>
      </c>
      <c r="J631">
        <f>NOT(hospitalityq!J631="")*(NOT(ISNUMBER(hospitalityq!J631+0)))</f>
        <v>0</v>
      </c>
      <c r="K631">
        <f>NOT(hospitalityq!K631="")*(NOT(ISNUMBER(hospitalityq!K631+0)))</f>
        <v>0</v>
      </c>
      <c r="P631">
        <f>NOT(hospitalityq!P631="")*(NOT(IFERROR(INT(hospitalityq!P631)=VALUE(hospitalityq!P631),FALSE)))</f>
        <v>0</v>
      </c>
      <c r="Q631">
        <f>NOT(hospitalityq!Q631="")*(NOT(IFERROR(INT(hospitalityq!Q631)=VALUE(hospitalityq!Q631),FALSE)))</f>
        <v>0</v>
      </c>
      <c r="R631">
        <f>NOT(hospitalityq!R631="")*(NOT(IFERROR(ROUND(VALUE(hospitalityq!R631),2)=VALUE(hospitalityq!R631),FALSE)))</f>
        <v>0</v>
      </c>
    </row>
    <row r="632" spans="1:18" x14ac:dyDescent="0.25">
      <c r="A632">
        <f t="shared" si="9"/>
        <v>0</v>
      </c>
      <c r="C632">
        <f>NOT(hospitalityq!C632="")*(SUMPRODUCT(--(TRIM(hospitalityq!C6:C632)=TRIM(hospitalityq!C632)))&gt;1)</f>
        <v>0</v>
      </c>
      <c r="D632">
        <f>NOT(hospitalityq!D632="")*(COUNTIF(reference!$C$17:$C$18,TRIM(hospitalityq!D632))=0)</f>
        <v>0</v>
      </c>
      <c r="J632">
        <f>NOT(hospitalityq!J632="")*(NOT(ISNUMBER(hospitalityq!J632+0)))</f>
        <v>0</v>
      </c>
      <c r="K632">
        <f>NOT(hospitalityq!K632="")*(NOT(ISNUMBER(hospitalityq!K632+0)))</f>
        <v>0</v>
      </c>
      <c r="P632">
        <f>NOT(hospitalityq!P632="")*(NOT(IFERROR(INT(hospitalityq!P632)=VALUE(hospitalityq!P632),FALSE)))</f>
        <v>0</v>
      </c>
      <c r="Q632">
        <f>NOT(hospitalityq!Q632="")*(NOT(IFERROR(INT(hospitalityq!Q632)=VALUE(hospitalityq!Q632),FALSE)))</f>
        <v>0</v>
      </c>
      <c r="R632">
        <f>NOT(hospitalityq!R632="")*(NOT(IFERROR(ROUND(VALUE(hospitalityq!R632),2)=VALUE(hospitalityq!R632),FALSE)))</f>
        <v>0</v>
      </c>
    </row>
    <row r="633" spans="1:18" x14ac:dyDescent="0.25">
      <c r="A633">
        <f t="shared" si="9"/>
        <v>0</v>
      </c>
      <c r="C633">
        <f>NOT(hospitalityq!C633="")*(SUMPRODUCT(--(TRIM(hospitalityq!C6:C633)=TRIM(hospitalityq!C633)))&gt;1)</f>
        <v>0</v>
      </c>
      <c r="D633">
        <f>NOT(hospitalityq!D633="")*(COUNTIF(reference!$C$17:$C$18,TRIM(hospitalityq!D633))=0)</f>
        <v>0</v>
      </c>
      <c r="J633">
        <f>NOT(hospitalityq!J633="")*(NOT(ISNUMBER(hospitalityq!J633+0)))</f>
        <v>0</v>
      </c>
      <c r="K633">
        <f>NOT(hospitalityq!K633="")*(NOT(ISNUMBER(hospitalityq!K633+0)))</f>
        <v>0</v>
      </c>
      <c r="P633">
        <f>NOT(hospitalityq!P633="")*(NOT(IFERROR(INT(hospitalityq!P633)=VALUE(hospitalityq!P633),FALSE)))</f>
        <v>0</v>
      </c>
      <c r="Q633">
        <f>NOT(hospitalityq!Q633="")*(NOT(IFERROR(INT(hospitalityq!Q633)=VALUE(hospitalityq!Q633),FALSE)))</f>
        <v>0</v>
      </c>
      <c r="R633">
        <f>NOT(hospitalityq!R633="")*(NOT(IFERROR(ROUND(VALUE(hospitalityq!R633),2)=VALUE(hospitalityq!R633),FALSE)))</f>
        <v>0</v>
      </c>
    </row>
    <row r="634" spans="1:18" x14ac:dyDescent="0.25">
      <c r="A634">
        <f t="shared" si="9"/>
        <v>0</v>
      </c>
      <c r="C634">
        <f>NOT(hospitalityq!C634="")*(SUMPRODUCT(--(TRIM(hospitalityq!C6:C634)=TRIM(hospitalityq!C634)))&gt;1)</f>
        <v>0</v>
      </c>
      <c r="D634">
        <f>NOT(hospitalityq!D634="")*(COUNTIF(reference!$C$17:$C$18,TRIM(hospitalityq!D634))=0)</f>
        <v>0</v>
      </c>
      <c r="J634">
        <f>NOT(hospitalityq!J634="")*(NOT(ISNUMBER(hospitalityq!J634+0)))</f>
        <v>0</v>
      </c>
      <c r="K634">
        <f>NOT(hospitalityq!K634="")*(NOT(ISNUMBER(hospitalityq!K634+0)))</f>
        <v>0</v>
      </c>
      <c r="P634">
        <f>NOT(hospitalityq!P634="")*(NOT(IFERROR(INT(hospitalityq!P634)=VALUE(hospitalityq!P634),FALSE)))</f>
        <v>0</v>
      </c>
      <c r="Q634">
        <f>NOT(hospitalityq!Q634="")*(NOT(IFERROR(INT(hospitalityq!Q634)=VALUE(hospitalityq!Q634),FALSE)))</f>
        <v>0</v>
      </c>
      <c r="R634">
        <f>NOT(hospitalityq!R634="")*(NOT(IFERROR(ROUND(VALUE(hospitalityq!R634),2)=VALUE(hospitalityq!R634),FALSE)))</f>
        <v>0</v>
      </c>
    </row>
    <row r="635" spans="1:18" x14ac:dyDescent="0.25">
      <c r="A635">
        <f t="shared" si="9"/>
        <v>0</v>
      </c>
      <c r="C635">
        <f>NOT(hospitalityq!C635="")*(SUMPRODUCT(--(TRIM(hospitalityq!C6:C635)=TRIM(hospitalityq!C635)))&gt;1)</f>
        <v>0</v>
      </c>
      <c r="D635">
        <f>NOT(hospitalityq!D635="")*(COUNTIF(reference!$C$17:$C$18,TRIM(hospitalityq!D635))=0)</f>
        <v>0</v>
      </c>
      <c r="J635">
        <f>NOT(hospitalityq!J635="")*(NOT(ISNUMBER(hospitalityq!J635+0)))</f>
        <v>0</v>
      </c>
      <c r="K635">
        <f>NOT(hospitalityq!K635="")*(NOT(ISNUMBER(hospitalityq!K635+0)))</f>
        <v>0</v>
      </c>
      <c r="P635">
        <f>NOT(hospitalityq!P635="")*(NOT(IFERROR(INT(hospitalityq!P635)=VALUE(hospitalityq!P635),FALSE)))</f>
        <v>0</v>
      </c>
      <c r="Q635">
        <f>NOT(hospitalityq!Q635="")*(NOT(IFERROR(INT(hospitalityq!Q635)=VALUE(hospitalityq!Q635),FALSE)))</f>
        <v>0</v>
      </c>
      <c r="R635">
        <f>NOT(hospitalityq!R635="")*(NOT(IFERROR(ROUND(VALUE(hospitalityq!R635),2)=VALUE(hospitalityq!R635),FALSE)))</f>
        <v>0</v>
      </c>
    </row>
    <row r="636" spans="1:18" x14ac:dyDescent="0.25">
      <c r="A636">
        <f t="shared" si="9"/>
        <v>0</v>
      </c>
      <c r="C636">
        <f>NOT(hospitalityq!C636="")*(SUMPRODUCT(--(TRIM(hospitalityq!C6:C636)=TRIM(hospitalityq!C636)))&gt;1)</f>
        <v>0</v>
      </c>
      <c r="D636">
        <f>NOT(hospitalityq!D636="")*(COUNTIF(reference!$C$17:$C$18,TRIM(hospitalityq!D636))=0)</f>
        <v>0</v>
      </c>
      <c r="J636">
        <f>NOT(hospitalityq!J636="")*(NOT(ISNUMBER(hospitalityq!J636+0)))</f>
        <v>0</v>
      </c>
      <c r="K636">
        <f>NOT(hospitalityq!K636="")*(NOT(ISNUMBER(hospitalityq!K636+0)))</f>
        <v>0</v>
      </c>
      <c r="P636">
        <f>NOT(hospitalityq!P636="")*(NOT(IFERROR(INT(hospitalityq!P636)=VALUE(hospitalityq!P636),FALSE)))</f>
        <v>0</v>
      </c>
      <c r="Q636">
        <f>NOT(hospitalityq!Q636="")*(NOT(IFERROR(INT(hospitalityq!Q636)=VALUE(hospitalityq!Q636),FALSE)))</f>
        <v>0</v>
      </c>
      <c r="R636">
        <f>NOT(hospitalityq!R636="")*(NOT(IFERROR(ROUND(VALUE(hospitalityq!R636),2)=VALUE(hospitalityq!R636),FALSE)))</f>
        <v>0</v>
      </c>
    </row>
    <row r="637" spans="1:18" x14ac:dyDescent="0.25">
      <c r="A637">
        <f t="shared" si="9"/>
        <v>0</v>
      </c>
      <c r="C637">
        <f>NOT(hospitalityq!C637="")*(SUMPRODUCT(--(TRIM(hospitalityq!C6:C637)=TRIM(hospitalityq!C637)))&gt;1)</f>
        <v>0</v>
      </c>
      <c r="D637">
        <f>NOT(hospitalityq!D637="")*(COUNTIF(reference!$C$17:$C$18,TRIM(hospitalityq!D637))=0)</f>
        <v>0</v>
      </c>
      <c r="J637">
        <f>NOT(hospitalityq!J637="")*(NOT(ISNUMBER(hospitalityq!J637+0)))</f>
        <v>0</v>
      </c>
      <c r="K637">
        <f>NOT(hospitalityq!K637="")*(NOT(ISNUMBER(hospitalityq!K637+0)))</f>
        <v>0</v>
      </c>
      <c r="P637">
        <f>NOT(hospitalityq!P637="")*(NOT(IFERROR(INT(hospitalityq!P637)=VALUE(hospitalityq!P637),FALSE)))</f>
        <v>0</v>
      </c>
      <c r="Q637">
        <f>NOT(hospitalityq!Q637="")*(NOT(IFERROR(INT(hospitalityq!Q637)=VALUE(hospitalityq!Q637),FALSE)))</f>
        <v>0</v>
      </c>
      <c r="R637">
        <f>NOT(hospitalityq!R637="")*(NOT(IFERROR(ROUND(VALUE(hospitalityq!R637),2)=VALUE(hospitalityq!R637),FALSE)))</f>
        <v>0</v>
      </c>
    </row>
    <row r="638" spans="1:18" x14ac:dyDescent="0.25">
      <c r="A638">
        <f t="shared" si="9"/>
        <v>0</v>
      </c>
      <c r="C638">
        <f>NOT(hospitalityq!C638="")*(SUMPRODUCT(--(TRIM(hospitalityq!C6:C638)=TRIM(hospitalityq!C638)))&gt;1)</f>
        <v>0</v>
      </c>
      <c r="D638">
        <f>NOT(hospitalityq!D638="")*(COUNTIF(reference!$C$17:$C$18,TRIM(hospitalityq!D638))=0)</f>
        <v>0</v>
      </c>
      <c r="J638">
        <f>NOT(hospitalityq!J638="")*(NOT(ISNUMBER(hospitalityq!J638+0)))</f>
        <v>0</v>
      </c>
      <c r="K638">
        <f>NOT(hospitalityq!K638="")*(NOT(ISNUMBER(hospitalityq!K638+0)))</f>
        <v>0</v>
      </c>
      <c r="P638">
        <f>NOT(hospitalityq!P638="")*(NOT(IFERROR(INT(hospitalityq!P638)=VALUE(hospitalityq!P638),FALSE)))</f>
        <v>0</v>
      </c>
      <c r="Q638">
        <f>NOT(hospitalityq!Q638="")*(NOT(IFERROR(INT(hospitalityq!Q638)=VALUE(hospitalityq!Q638),FALSE)))</f>
        <v>0</v>
      </c>
      <c r="R638">
        <f>NOT(hospitalityq!R638="")*(NOT(IFERROR(ROUND(VALUE(hospitalityq!R638),2)=VALUE(hospitalityq!R638),FALSE)))</f>
        <v>0</v>
      </c>
    </row>
    <row r="639" spans="1:18" x14ac:dyDescent="0.25">
      <c r="A639">
        <f t="shared" si="9"/>
        <v>0</v>
      </c>
      <c r="C639">
        <f>NOT(hospitalityq!C639="")*(SUMPRODUCT(--(TRIM(hospitalityq!C6:C639)=TRIM(hospitalityq!C639)))&gt;1)</f>
        <v>0</v>
      </c>
      <c r="D639">
        <f>NOT(hospitalityq!D639="")*(COUNTIF(reference!$C$17:$C$18,TRIM(hospitalityq!D639))=0)</f>
        <v>0</v>
      </c>
      <c r="J639">
        <f>NOT(hospitalityq!J639="")*(NOT(ISNUMBER(hospitalityq!J639+0)))</f>
        <v>0</v>
      </c>
      <c r="K639">
        <f>NOT(hospitalityq!K639="")*(NOT(ISNUMBER(hospitalityq!K639+0)))</f>
        <v>0</v>
      </c>
      <c r="P639">
        <f>NOT(hospitalityq!P639="")*(NOT(IFERROR(INT(hospitalityq!P639)=VALUE(hospitalityq!P639),FALSE)))</f>
        <v>0</v>
      </c>
      <c r="Q639">
        <f>NOT(hospitalityq!Q639="")*(NOT(IFERROR(INT(hospitalityq!Q639)=VALUE(hospitalityq!Q639),FALSE)))</f>
        <v>0</v>
      </c>
      <c r="R639">
        <f>NOT(hospitalityq!R639="")*(NOT(IFERROR(ROUND(VALUE(hospitalityq!R639),2)=VALUE(hospitalityq!R639),FALSE)))</f>
        <v>0</v>
      </c>
    </row>
    <row r="640" spans="1:18" x14ac:dyDescent="0.25">
      <c r="A640">
        <f t="shared" si="9"/>
        <v>0</v>
      </c>
      <c r="C640">
        <f>NOT(hospitalityq!C640="")*(SUMPRODUCT(--(TRIM(hospitalityq!C6:C640)=TRIM(hospitalityq!C640)))&gt;1)</f>
        <v>0</v>
      </c>
      <c r="D640">
        <f>NOT(hospitalityq!D640="")*(COUNTIF(reference!$C$17:$C$18,TRIM(hospitalityq!D640))=0)</f>
        <v>0</v>
      </c>
      <c r="J640">
        <f>NOT(hospitalityq!J640="")*(NOT(ISNUMBER(hospitalityq!J640+0)))</f>
        <v>0</v>
      </c>
      <c r="K640">
        <f>NOT(hospitalityq!K640="")*(NOT(ISNUMBER(hospitalityq!K640+0)))</f>
        <v>0</v>
      </c>
      <c r="P640">
        <f>NOT(hospitalityq!P640="")*(NOT(IFERROR(INT(hospitalityq!P640)=VALUE(hospitalityq!P640),FALSE)))</f>
        <v>0</v>
      </c>
      <c r="Q640">
        <f>NOT(hospitalityq!Q640="")*(NOT(IFERROR(INT(hospitalityq!Q640)=VALUE(hospitalityq!Q640),FALSE)))</f>
        <v>0</v>
      </c>
      <c r="R640">
        <f>NOT(hospitalityq!R640="")*(NOT(IFERROR(ROUND(VALUE(hospitalityq!R640),2)=VALUE(hospitalityq!R640),FALSE)))</f>
        <v>0</v>
      </c>
    </row>
    <row r="641" spans="1:18" x14ac:dyDescent="0.25">
      <c r="A641">
        <f t="shared" si="9"/>
        <v>0</v>
      </c>
      <c r="C641">
        <f>NOT(hospitalityq!C641="")*(SUMPRODUCT(--(TRIM(hospitalityq!C6:C641)=TRIM(hospitalityq!C641)))&gt;1)</f>
        <v>0</v>
      </c>
      <c r="D641">
        <f>NOT(hospitalityq!D641="")*(COUNTIF(reference!$C$17:$C$18,TRIM(hospitalityq!D641))=0)</f>
        <v>0</v>
      </c>
      <c r="J641">
        <f>NOT(hospitalityq!J641="")*(NOT(ISNUMBER(hospitalityq!J641+0)))</f>
        <v>0</v>
      </c>
      <c r="K641">
        <f>NOT(hospitalityq!K641="")*(NOT(ISNUMBER(hospitalityq!K641+0)))</f>
        <v>0</v>
      </c>
      <c r="P641">
        <f>NOT(hospitalityq!P641="")*(NOT(IFERROR(INT(hospitalityq!P641)=VALUE(hospitalityq!P641),FALSE)))</f>
        <v>0</v>
      </c>
      <c r="Q641">
        <f>NOT(hospitalityq!Q641="")*(NOT(IFERROR(INT(hospitalityq!Q641)=VALUE(hospitalityq!Q641),FALSE)))</f>
        <v>0</v>
      </c>
      <c r="R641">
        <f>NOT(hospitalityq!R641="")*(NOT(IFERROR(ROUND(VALUE(hospitalityq!R641),2)=VALUE(hospitalityq!R641),FALSE)))</f>
        <v>0</v>
      </c>
    </row>
    <row r="642" spans="1:18" x14ac:dyDescent="0.25">
      <c r="A642">
        <f t="shared" si="9"/>
        <v>0</v>
      </c>
      <c r="C642">
        <f>NOT(hospitalityq!C642="")*(SUMPRODUCT(--(TRIM(hospitalityq!C6:C642)=TRIM(hospitalityq!C642)))&gt;1)</f>
        <v>0</v>
      </c>
      <c r="D642">
        <f>NOT(hospitalityq!D642="")*(COUNTIF(reference!$C$17:$C$18,TRIM(hospitalityq!D642))=0)</f>
        <v>0</v>
      </c>
      <c r="J642">
        <f>NOT(hospitalityq!J642="")*(NOT(ISNUMBER(hospitalityq!J642+0)))</f>
        <v>0</v>
      </c>
      <c r="K642">
        <f>NOT(hospitalityq!K642="")*(NOT(ISNUMBER(hospitalityq!K642+0)))</f>
        <v>0</v>
      </c>
      <c r="P642">
        <f>NOT(hospitalityq!P642="")*(NOT(IFERROR(INT(hospitalityq!P642)=VALUE(hospitalityq!P642),FALSE)))</f>
        <v>0</v>
      </c>
      <c r="Q642">
        <f>NOT(hospitalityq!Q642="")*(NOT(IFERROR(INT(hospitalityq!Q642)=VALUE(hospitalityq!Q642),FALSE)))</f>
        <v>0</v>
      </c>
      <c r="R642">
        <f>NOT(hospitalityq!R642="")*(NOT(IFERROR(ROUND(VALUE(hospitalityq!R642),2)=VALUE(hospitalityq!R642),FALSE)))</f>
        <v>0</v>
      </c>
    </row>
    <row r="643" spans="1:18" x14ac:dyDescent="0.25">
      <c r="A643">
        <f t="shared" si="9"/>
        <v>0</v>
      </c>
      <c r="C643">
        <f>NOT(hospitalityq!C643="")*(SUMPRODUCT(--(TRIM(hospitalityq!C6:C643)=TRIM(hospitalityq!C643)))&gt;1)</f>
        <v>0</v>
      </c>
      <c r="D643">
        <f>NOT(hospitalityq!D643="")*(COUNTIF(reference!$C$17:$C$18,TRIM(hospitalityq!D643))=0)</f>
        <v>0</v>
      </c>
      <c r="J643">
        <f>NOT(hospitalityq!J643="")*(NOT(ISNUMBER(hospitalityq!J643+0)))</f>
        <v>0</v>
      </c>
      <c r="K643">
        <f>NOT(hospitalityq!K643="")*(NOT(ISNUMBER(hospitalityq!K643+0)))</f>
        <v>0</v>
      </c>
      <c r="P643">
        <f>NOT(hospitalityq!P643="")*(NOT(IFERROR(INT(hospitalityq!P643)=VALUE(hospitalityq!P643),FALSE)))</f>
        <v>0</v>
      </c>
      <c r="Q643">
        <f>NOT(hospitalityq!Q643="")*(NOT(IFERROR(INT(hospitalityq!Q643)=VALUE(hospitalityq!Q643),FALSE)))</f>
        <v>0</v>
      </c>
      <c r="R643">
        <f>NOT(hospitalityq!R643="")*(NOT(IFERROR(ROUND(VALUE(hospitalityq!R643),2)=VALUE(hospitalityq!R643),FALSE)))</f>
        <v>0</v>
      </c>
    </row>
    <row r="644" spans="1:18" x14ac:dyDescent="0.25">
      <c r="A644">
        <f t="shared" si="9"/>
        <v>0</v>
      </c>
      <c r="C644">
        <f>NOT(hospitalityq!C644="")*(SUMPRODUCT(--(TRIM(hospitalityq!C6:C644)=TRIM(hospitalityq!C644)))&gt;1)</f>
        <v>0</v>
      </c>
      <c r="D644">
        <f>NOT(hospitalityq!D644="")*(COUNTIF(reference!$C$17:$C$18,TRIM(hospitalityq!D644))=0)</f>
        <v>0</v>
      </c>
      <c r="J644">
        <f>NOT(hospitalityq!J644="")*(NOT(ISNUMBER(hospitalityq!J644+0)))</f>
        <v>0</v>
      </c>
      <c r="K644">
        <f>NOT(hospitalityq!K644="")*(NOT(ISNUMBER(hospitalityq!K644+0)))</f>
        <v>0</v>
      </c>
      <c r="P644">
        <f>NOT(hospitalityq!P644="")*(NOT(IFERROR(INT(hospitalityq!P644)=VALUE(hospitalityq!P644),FALSE)))</f>
        <v>0</v>
      </c>
      <c r="Q644">
        <f>NOT(hospitalityq!Q644="")*(NOT(IFERROR(INT(hospitalityq!Q644)=VALUE(hospitalityq!Q644),FALSE)))</f>
        <v>0</v>
      </c>
      <c r="R644">
        <f>NOT(hospitalityq!R644="")*(NOT(IFERROR(ROUND(VALUE(hospitalityq!R644),2)=VALUE(hospitalityq!R644),FALSE)))</f>
        <v>0</v>
      </c>
    </row>
    <row r="645" spans="1:18" x14ac:dyDescent="0.25">
      <c r="A645">
        <f t="shared" si="9"/>
        <v>0</v>
      </c>
      <c r="C645">
        <f>NOT(hospitalityq!C645="")*(SUMPRODUCT(--(TRIM(hospitalityq!C6:C645)=TRIM(hospitalityq!C645)))&gt;1)</f>
        <v>0</v>
      </c>
      <c r="D645">
        <f>NOT(hospitalityq!D645="")*(COUNTIF(reference!$C$17:$C$18,TRIM(hospitalityq!D645))=0)</f>
        <v>0</v>
      </c>
      <c r="J645">
        <f>NOT(hospitalityq!J645="")*(NOT(ISNUMBER(hospitalityq!J645+0)))</f>
        <v>0</v>
      </c>
      <c r="K645">
        <f>NOT(hospitalityq!K645="")*(NOT(ISNUMBER(hospitalityq!K645+0)))</f>
        <v>0</v>
      </c>
      <c r="P645">
        <f>NOT(hospitalityq!P645="")*(NOT(IFERROR(INT(hospitalityq!P645)=VALUE(hospitalityq!P645),FALSE)))</f>
        <v>0</v>
      </c>
      <c r="Q645">
        <f>NOT(hospitalityq!Q645="")*(NOT(IFERROR(INT(hospitalityq!Q645)=VALUE(hospitalityq!Q645),FALSE)))</f>
        <v>0</v>
      </c>
      <c r="R645">
        <f>NOT(hospitalityq!R645="")*(NOT(IFERROR(ROUND(VALUE(hospitalityq!R645),2)=VALUE(hospitalityq!R645),FALSE)))</f>
        <v>0</v>
      </c>
    </row>
    <row r="646" spans="1:18" x14ac:dyDescent="0.25">
      <c r="A646">
        <f t="shared" ref="A646:A709" si="10">IFERROR(MATCH(TRUE,INDEX(C646:R646&lt;&gt;0,),)+2,0)</f>
        <v>0</v>
      </c>
      <c r="C646">
        <f>NOT(hospitalityq!C646="")*(SUMPRODUCT(--(TRIM(hospitalityq!C6:C646)=TRIM(hospitalityq!C646)))&gt;1)</f>
        <v>0</v>
      </c>
      <c r="D646">
        <f>NOT(hospitalityq!D646="")*(COUNTIF(reference!$C$17:$C$18,TRIM(hospitalityq!D646))=0)</f>
        <v>0</v>
      </c>
      <c r="J646">
        <f>NOT(hospitalityq!J646="")*(NOT(ISNUMBER(hospitalityq!J646+0)))</f>
        <v>0</v>
      </c>
      <c r="K646">
        <f>NOT(hospitalityq!K646="")*(NOT(ISNUMBER(hospitalityq!K646+0)))</f>
        <v>0</v>
      </c>
      <c r="P646">
        <f>NOT(hospitalityq!P646="")*(NOT(IFERROR(INT(hospitalityq!P646)=VALUE(hospitalityq!P646),FALSE)))</f>
        <v>0</v>
      </c>
      <c r="Q646">
        <f>NOT(hospitalityq!Q646="")*(NOT(IFERROR(INT(hospitalityq!Q646)=VALUE(hospitalityq!Q646),FALSE)))</f>
        <v>0</v>
      </c>
      <c r="R646">
        <f>NOT(hospitalityq!R646="")*(NOT(IFERROR(ROUND(VALUE(hospitalityq!R646),2)=VALUE(hospitalityq!R646),FALSE)))</f>
        <v>0</v>
      </c>
    </row>
    <row r="647" spans="1:18" x14ac:dyDescent="0.25">
      <c r="A647">
        <f t="shared" si="10"/>
        <v>0</v>
      </c>
      <c r="C647">
        <f>NOT(hospitalityq!C647="")*(SUMPRODUCT(--(TRIM(hospitalityq!C6:C647)=TRIM(hospitalityq!C647)))&gt;1)</f>
        <v>0</v>
      </c>
      <c r="D647">
        <f>NOT(hospitalityq!D647="")*(COUNTIF(reference!$C$17:$C$18,TRIM(hospitalityq!D647))=0)</f>
        <v>0</v>
      </c>
      <c r="J647">
        <f>NOT(hospitalityq!J647="")*(NOT(ISNUMBER(hospitalityq!J647+0)))</f>
        <v>0</v>
      </c>
      <c r="K647">
        <f>NOT(hospitalityq!K647="")*(NOT(ISNUMBER(hospitalityq!K647+0)))</f>
        <v>0</v>
      </c>
      <c r="P647">
        <f>NOT(hospitalityq!P647="")*(NOT(IFERROR(INT(hospitalityq!P647)=VALUE(hospitalityq!P647),FALSE)))</f>
        <v>0</v>
      </c>
      <c r="Q647">
        <f>NOT(hospitalityq!Q647="")*(NOT(IFERROR(INT(hospitalityq!Q647)=VALUE(hospitalityq!Q647),FALSE)))</f>
        <v>0</v>
      </c>
      <c r="R647">
        <f>NOT(hospitalityq!R647="")*(NOT(IFERROR(ROUND(VALUE(hospitalityq!R647),2)=VALUE(hospitalityq!R647),FALSE)))</f>
        <v>0</v>
      </c>
    </row>
    <row r="648" spans="1:18" x14ac:dyDescent="0.25">
      <c r="A648">
        <f t="shared" si="10"/>
        <v>0</v>
      </c>
      <c r="C648">
        <f>NOT(hospitalityq!C648="")*(SUMPRODUCT(--(TRIM(hospitalityq!C6:C648)=TRIM(hospitalityq!C648)))&gt;1)</f>
        <v>0</v>
      </c>
      <c r="D648">
        <f>NOT(hospitalityq!D648="")*(COUNTIF(reference!$C$17:$C$18,TRIM(hospitalityq!D648))=0)</f>
        <v>0</v>
      </c>
      <c r="J648">
        <f>NOT(hospitalityq!J648="")*(NOT(ISNUMBER(hospitalityq!J648+0)))</f>
        <v>0</v>
      </c>
      <c r="K648">
        <f>NOT(hospitalityq!K648="")*(NOT(ISNUMBER(hospitalityq!K648+0)))</f>
        <v>0</v>
      </c>
      <c r="P648">
        <f>NOT(hospitalityq!P648="")*(NOT(IFERROR(INT(hospitalityq!P648)=VALUE(hospitalityq!P648),FALSE)))</f>
        <v>0</v>
      </c>
      <c r="Q648">
        <f>NOT(hospitalityq!Q648="")*(NOT(IFERROR(INT(hospitalityq!Q648)=VALUE(hospitalityq!Q648),FALSE)))</f>
        <v>0</v>
      </c>
      <c r="R648">
        <f>NOT(hospitalityq!R648="")*(NOT(IFERROR(ROUND(VALUE(hospitalityq!R648),2)=VALUE(hospitalityq!R648),FALSE)))</f>
        <v>0</v>
      </c>
    </row>
    <row r="649" spans="1:18" x14ac:dyDescent="0.25">
      <c r="A649">
        <f t="shared" si="10"/>
        <v>0</v>
      </c>
      <c r="C649">
        <f>NOT(hospitalityq!C649="")*(SUMPRODUCT(--(TRIM(hospitalityq!C6:C649)=TRIM(hospitalityq!C649)))&gt;1)</f>
        <v>0</v>
      </c>
      <c r="D649">
        <f>NOT(hospitalityq!D649="")*(COUNTIF(reference!$C$17:$C$18,TRIM(hospitalityq!D649))=0)</f>
        <v>0</v>
      </c>
      <c r="J649">
        <f>NOT(hospitalityq!J649="")*(NOT(ISNUMBER(hospitalityq!J649+0)))</f>
        <v>0</v>
      </c>
      <c r="K649">
        <f>NOT(hospitalityq!K649="")*(NOT(ISNUMBER(hospitalityq!K649+0)))</f>
        <v>0</v>
      </c>
      <c r="P649">
        <f>NOT(hospitalityq!P649="")*(NOT(IFERROR(INT(hospitalityq!P649)=VALUE(hospitalityq!P649),FALSE)))</f>
        <v>0</v>
      </c>
      <c r="Q649">
        <f>NOT(hospitalityq!Q649="")*(NOT(IFERROR(INT(hospitalityq!Q649)=VALUE(hospitalityq!Q649),FALSE)))</f>
        <v>0</v>
      </c>
      <c r="R649">
        <f>NOT(hospitalityq!R649="")*(NOT(IFERROR(ROUND(VALUE(hospitalityq!R649),2)=VALUE(hospitalityq!R649),FALSE)))</f>
        <v>0</v>
      </c>
    </row>
    <row r="650" spans="1:18" x14ac:dyDescent="0.25">
      <c r="A650">
        <f t="shared" si="10"/>
        <v>0</v>
      </c>
      <c r="C650">
        <f>NOT(hospitalityq!C650="")*(SUMPRODUCT(--(TRIM(hospitalityq!C6:C650)=TRIM(hospitalityq!C650)))&gt;1)</f>
        <v>0</v>
      </c>
      <c r="D650">
        <f>NOT(hospitalityq!D650="")*(COUNTIF(reference!$C$17:$C$18,TRIM(hospitalityq!D650))=0)</f>
        <v>0</v>
      </c>
      <c r="J650">
        <f>NOT(hospitalityq!J650="")*(NOT(ISNUMBER(hospitalityq!J650+0)))</f>
        <v>0</v>
      </c>
      <c r="K650">
        <f>NOT(hospitalityq!K650="")*(NOT(ISNUMBER(hospitalityq!K650+0)))</f>
        <v>0</v>
      </c>
      <c r="P650">
        <f>NOT(hospitalityq!P650="")*(NOT(IFERROR(INT(hospitalityq!P650)=VALUE(hospitalityq!P650),FALSE)))</f>
        <v>0</v>
      </c>
      <c r="Q650">
        <f>NOT(hospitalityq!Q650="")*(NOT(IFERROR(INT(hospitalityq!Q650)=VALUE(hospitalityq!Q650),FALSE)))</f>
        <v>0</v>
      </c>
      <c r="R650">
        <f>NOT(hospitalityq!R650="")*(NOT(IFERROR(ROUND(VALUE(hospitalityq!R650),2)=VALUE(hospitalityq!R650),FALSE)))</f>
        <v>0</v>
      </c>
    </row>
    <row r="651" spans="1:18" x14ac:dyDescent="0.25">
      <c r="A651">
        <f t="shared" si="10"/>
        <v>0</v>
      </c>
      <c r="C651">
        <f>NOT(hospitalityq!C651="")*(SUMPRODUCT(--(TRIM(hospitalityq!C6:C651)=TRIM(hospitalityq!C651)))&gt;1)</f>
        <v>0</v>
      </c>
      <c r="D651">
        <f>NOT(hospitalityq!D651="")*(COUNTIF(reference!$C$17:$C$18,TRIM(hospitalityq!D651))=0)</f>
        <v>0</v>
      </c>
      <c r="J651">
        <f>NOT(hospitalityq!J651="")*(NOT(ISNUMBER(hospitalityq!J651+0)))</f>
        <v>0</v>
      </c>
      <c r="K651">
        <f>NOT(hospitalityq!K651="")*(NOT(ISNUMBER(hospitalityq!K651+0)))</f>
        <v>0</v>
      </c>
      <c r="P651">
        <f>NOT(hospitalityq!P651="")*(NOT(IFERROR(INT(hospitalityq!P651)=VALUE(hospitalityq!P651),FALSE)))</f>
        <v>0</v>
      </c>
      <c r="Q651">
        <f>NOT(hospitalityq!Q651="")*(NOT(IFERROR(INT(hospitalityq!Q651)=VALUE(hospitalityq!Q651),FALSE)))</f>
        <v>0</v>
      </c>
      <c r="R651">
        <f>NOT(hospitalityq!R651="")*(NOT(IFERROR(ROUND(VALUE(hospitalityq!R651),2)=VALUE(hospitalityq!R651),FALSE)))</f>
        <v>0</v>
      </c>
    </row>
    <row r="652" spans="1:18" x14ac:dyDescent="0.25">
      <c r="A652">
        <f t="shared" si="10"/>
        <v>0</v>
      </c>
      <c r="C652">
        <f>NOT(hospitalityq!C652="")*(SUMPRODUCT(--(TRIM(hospitalityq!C6:C652)=TRIM(hospitalityq!C652)))&gt;1)</f>
        <v>0</v>
      </c>
      <c r="D652">
        <f>NOT(hospitalityq!D652="")*(COUNTIF(reference!$C$17:$C$18,TRIM(hospitalityq!D652))=0)</f>
        <v>0</v>
      </c>
      <c r="J652">
        <f>NOT(hospitalityq!J652="")*(NOT(ISNUMBER(hospitalityq!J652+0)))</f>
        <v>0</v>
      </c>
      <c r="K652">
        <f>NOT(hospitalityq!K652="")*(NOT(ISNUMBER(hospitalityq!K652+0)))</f>
        <v>0</v>
      </c>
      <c r="P652">
        <f>NOT(hospitalityq!P652="")*(NOT(IFERROR(INT(hospitalityq!P652)=VALUE(hospitalityq!P652),FALSE)))</f>
        <v>0</v>
      </c>
      <c r="Q652">
        <f>NOT(hospitalityq!Q652="")*(NOT(IFERROR(INT(hospitalityq!Q652)=VALUE(hospitalityq!Q652),FALSE)))</f>
        <v>0</v>
      </c>
      <c r="R652">
        <f>NOT(hospitalityq!R652="")*(NOT(IFERROR(ROUND(VALUE(hospitalityq!R652),2)=VALUE(hospitalityq!R652),FALSE)))</f>
        <v>0</v>
      </c>
    </row>
    <row r="653" spans="1:18" x14ac:dyDescent="0.25">
      <c r="A653">
        <f t="shared" si="10"/>
        <v>0</v>
      </c>
      <c r="C653">
        <f>NOT(hospitalityq!C653="")*(SUMPRODUCT(--(TRIM(hospitalityq!C6:C653)=TRIM(hospitalityq!C653)))&gt;1)</f>
        <v>0</v>
      </c>
      <c r="D653">
        <f>NOT(hospitalityq!D653="")*(COUNTIF(reference!$C$17:$C$18,TRIM(hospitalityq!D653))=0)</f>
        <v>0</v>
      </c>
      <c r="J653">
        <f>NOT(hospitalityq!J653="")*(NOT(ISNUMBER(hospitalityq!J653+0)))</f>
        <v>0</v>
      </c>
      <c r="K653">
        <f>NOT(hospitalityq!K653="")*(NOT(ISNUMBER(hospitalityq!K653+0)))</f>
        <v>0</v>
      </c>
      <c r="P653">
        <f>NOT(hospitalityq!P653="")*(NOT(IFERROR(INT(hospitalityq!P653)=VALUE(hospitalityq!P653),FALSE)))</f>
        <v>0</v>
      </c>
      <c r="Q653">
        <f>NOT(hospitalityq!Q653="")*(NOT(IFERROR(INT(hospitalityq!Q653)=VALUE(hospitalityq!Q653),FALSE)))</f>
        <v>0</v>
      </c>
      <c r="R653">
        <f>NOT(hospitalityq!R653="")*(NOT(IFERROR(ROUND(VALUE(hospitalityq!R653),2)=VALUE(hospitalityq!R653),FALSE)))</f>
        <v>0</v>
      </c>
    </row>
    <row r="654" spans="1:18" x14ac:dyDescent="0.25">
      <c r="A654">
        <f t="shared" si="10"/>
        <v>0</v>
      </c>
      <c r="C654">
        <f>NOT(hospitalityq!C654="")*(SUMPRODUCT(--(TRIM(hospitalityq!C6:C654)=TRIM(hospitalityq!C654)))&gt;1)</f>
        <v>0</v>
      </c>
      <c r="D654">
        <f>NOT(hospitalityq!D654="")*(COUNTIF(reference!$C$17:$C$18,TRIM(hospitalityq!D654))=0)</f>
        <v>0</v>
      </c>
      <c r="J654">
        <f>NOT(hospitalityq!J654="")*(NOT(ISNUMBER(hospitalityq!J654+0)))</f>
        <v>0</v>
      </c>
      <c r="K654">
        <f>NOT(hospitalityq!K654="")*(NOT(ISNUMBER(hospitalityq!K654+0)))</f>
        <v>0</v>
      </c>
      <c r="P654">
        <f>NOT(hospitalityq!P654="")*(NOT(IFERROR(INT(hospitalityq!P654)=VALUE(hospitalityq!P654),FALSE)))</f>
        <v>0</v>
      </c>
      <c r="Q654">
        <f>NOT(hospitalityq!Q654="")*(NOT(IFERROR(INT(hospitalityq!Q654)=VALUE(hospitalityq!Q654),FALSE)))</f>
        <v>0</v>
      </c>
      <c r="R654">
        <f>NOT(hospitalityq!R654="")*(NOT(IFERROR(ROUND(VALUE(hospitalityq!R654),2)=VALUE(hospitalityq!R654),FALSE)))</f>
        <v>0</v>
      </c>
    </row>
    <row r="655" spans="1:18" x14ac:dyDescent="0.25">
      <c r="A655">
        <f t="shared" si="10"/>
        <v>0</v>
      </c>
      <c r="C655">
        <f>NOT(hospitalityq!C655="")*(SUMPRODUCT(--(TRIM(hospitalityq!C6:C655)=TRIM(hospitalityq!C655)))&gt;1)</f>
        <v>0</v>
      </c>
      <c r="D655">
        <f>NOT(hospitalityq!D655="")*(COUNTIF(reference!$C$17:$C$18,TRIM(hospitalityq!D655))=0)</f>
        <v>0</v>
      </c>
      <c r="J655">
        <f>NOT(hospitalityq!J655="")*(NOT(ISNUMBER(hospitalityq!J655+0)))</f>
        <v>0</v>
      </c>
      <c r="K655">
        <f>NOT(hospitalityq!K655="")*(NOT(ISNUMBER(hospitalityq!K655+0)))</f>
        <v>0</v>
      </c>
      <c r="P655">
        <f>NOT(hospitalityq!P655="")*(NOT(IFERROR(INT(hospitalityq!P655)=VALUE(hospitalityq!P655),FALSE)))</f>
        <v>0</v>
      </c>
      <c r="Q655">
        <f>NOT(hospitalityq!Q655="")*(NOT(IFERROR(INT(hospitalityq!Q655)=VALUE(hospitalityq!Q655),FALSE)))</f>
        <v>0</v>
      </c>
      <c r="R655">
        <f>NOT(hospitalityq!R655="")*(NOT(IFERROR(ROUND(VALUE(hospitalityq!R655),2)=VALUE(hospitalityq!R655),FALSE)))</f>
        <v>0</v>
      </c>
    </row>
    <row r="656" spans="1:18" x14ac:dyDescent="0.25">
      <c r="A656">
        <f t="shared" si="10"/>
        <v>0</v>
      </c>
      <c r="C656">
        <f>NOT(hospitalityq!C656="")*(SUMPRODUCT(--(TRIM(hospitalityq!C6:C656)=TRIM(hospitalityq!C656)))&gt;1)</f>
        <v>0</v>
      </c>
      <c r="D656">
        <f>NOT(hospitalityq!D656="")*(COUNTIF(reference!$C$17:$C$18,TRIM(hospitalityq!D656))=0)</f>
        <v>0</v>
      </c>
      <c r="J656">
        <f>NOT(hospitalityq!J656="")*(NOT(ISNUMBER(hospitalityq!J656+0)))</f>
        <v>0</v>
      </c>
      <c r="K656">
        <f>NOT(hospitalityq!K656="")*(NOT(ISNUMBER(hospitalityq!K656+0)))</f>
        <v>0</v>
      </c>
      <c r="P656">
        <f>NOT(hospitalityq!P656="")*(NOT(IFERROR(INT(hospitalityq!P656)=VALUE(hospitalityq!P656),FALSE)))</f>
        <v>0</v>
      </c>
      <c r="Q656">
        <f>NOT(hospitalityq!Q656="")*(NOT(IFERROR(INT(hospitalityq!Q656)=VALUE(hospitalityq!Q656),FALSE)))</f>
        <v>0</v>
      </c>
      <c r="R656">
        <f>NOT(hospitalityq!R656="")*(NOT(IFERROR(ROUND(VALUE(hospitalityq!R656),2)=VALUE(hospitalityq!R656),FALSE)))</f>
        <v>0</v>
      </c>
    </row>
    <row r="657" spans="1:18" x14ac:dyDescent="0.25">
      <c r="A657">
        <f t="shared" si="10"/>
        <v>0</v>
      </c>
      <c r="C657">
        <f>NOT(hospitalityq!C657="")*(SUMPRODUCT(--(TRIM(hospitalityq!C6:C657)=TRIM(hospitalityq!C657)))&gt;1)</f>
        <v>0</v>
      </c>
      <c r="D657">
        <f>NOT(hospitalityq!D657="")*(COUNTIF(reference!$C$17:$C$18,TRIM(hospitalityq!D657))=0)</f>
        <v>0</v>
      </c>
      <c r="J657">
        <f>NOT(hospitalityq!J657="")*(NOT(ISNUMBER(hospitalityq!J657+0)))</f>
        <v>0</v>
      </c>
      <c r="K657">
        <f>NOT(hospitalityq!K657="")*(NOT(ISNUMBER(hospitalityq!K657+0)))</f>
        <v>0</v>
      </c>
      <c r="P657">
        <f>NOT(hospitalityq!P657="")*(NOT(IFERROR(INT(hospitalityq!P657)=VALUE(hospitalityq!P657),FALSE)))</f>
        <v>0</v>
      </c>
      <c r="Q657">
        <f>NOT(hospitalityq!Q657="")*(NOT(IFERROR(INT(hospitalityq!Q657)=VALUE(hospitalityq!Q657),FALSE)))</f>
        <v>0</v>
      </c>
      <c r="R657">
        <f>NOT(hospitalityq!R657="")*(NOT(IFERROR(ROUND(VALUE(hospitalityq!R657),2)=VALUE(hospitalityq!R657),FALSE)))</f>
        <v>0</v>
      </c>
    </row>
    <row r="658" spans="1:18" x14ac:dyDescent="0.25">
      <c r="A658">
        <f t="shared" si="10"/>
        <v>0</v>
      </c>
      <c r="C658">
        <f>NOT(hospitalityq!C658="")*(SUMPRODUCT(--(TRIM(hospitalityq!C6:C658)=TRIM(hospitalityq!C658)))&gt;1)</f>
        <v>0</v>
      </c>
      <c r="D658">
        <f>NOT(hospitalityq!D658="")*(COUNTIF(reference!$C$17:$C$18,TRIM(hospitalityq!D658))=0)</f>
        <v>0</v>
      </c>
      <c r="J658">
        <f>NOT(hospitalityq!J658="")*(NOT(ISNUMBER(hospitalityq!J658+0)))</f>
        <v>0</v>
      </c>
      <c r="K658">
        <f>NOT(hospitalityq!K658="")*(NOT(ISNUMBER(hospitalityq!K658+0)))</f>
        <v>0</v>
      </c>
      <c r="P658">
        <f>NOT(hospitalityq!P658="")*(NOT(IFERROR(INT(hospitalityq!P658)=VALUE(hospitalityq!P658),FALSE)))</f>
        <v>0</v>
      </c>
      <c r="Q658">
        <f>NOT(hospitalityq!Q658="")*(NOT(IFERROR(INT(hospitalityq!Q658)=VALUE(hospitalityq!Q658),FALSE)))</f>
        <v>0</v>
      </c>
      <c r="R658">
        <f>NOT(hospitalityq!R658="")*(NOT(IFERROR(ROUND(VALUE(hospitalityq!R658),2)=VALUE(hospitalityq!R658),FALSE)))</f>
        <v>0</v>
      </c>
    </row>
    <row r="659" spans="1:18" x14ac:dyDescent="0.25">
      <c r="A659">
        <f t="shared" si="10"/>
        <v>0</v>
      </c>
      <c r="C659">
        <f>NOT(hospitalityq!C659="")*(SUMPRODUCT(--(TRIM(hospitalityq!C6:C659)=TRIM(hospitalityq!C659)))&gt;1)</f>
        <v>0</v>
      </c>
      <c r="D659">
        <f>NOT(hospitalityq!D659="")*(COUNTIF(reference!$C$17:$C$18,TRIM(hospitalityq!D659))=0)</f>
        <v>0</v>
      </c>
      <c r="J659">
        <f>NOT(hospitalityq!J659="")*(NOT(ISNUMBER(hospitalityq!J659+0)))</f>
        <v>0</v>
      </c>
      <c r="K659">
        <f>NOT(hospitalityq!K659="")*(NOT(ISNUMBER(hospitalityq!K659+0)))</f>
        <v>0</v>
      </c>
      <c r="P659">
        <f>NOT(hospitalityq!P659="")*(NOT(IFERROR(INT(hospitalityq!P659)=VALUE(hospitalityq!P659),FALSE)))</f>
        <v>0</v>
      </c>
      <c r="Q659">
        <f>NOT(hospitalityq!Q659="")*(NOT(IFERROR(INT(hospitalityq!Q659)=VALUE(hospitalityq!Q659),FALSE)))</f>
        <v>0</v>
      </c>
      <c r="R659">
        <f>NOT(hospitalityq!R659="")*(NOT(IFERROR(ROUND(VALUE(hospitalityq!R659),2)=VALUE(hospitalityq!R659),FALSE)))</f>
        <v>0</v>
      </c>
    </row>
    <row r="660" spans="1:18" x14ac:dyDescent="0.25">
      <c r="A660">
        <f t="shared" si="10"/>
        <v>0</v>
      </c>
      <c r="C660">
        <f>NOT(hospitalityq!C660="")*(SUMPRODUCT(--(TRIM(hospitalityq!C6:C660)=TRIM(hospitalityq!C660)))&gt;1)</f>
        <v>0</v>
      </c>
      <c r="D660">
        <f>NOT(hospitalityq!D660="")*(COUNTIF(reference!$C$17:$C$18,TRIM(hospitalityq!D660))=0)</f>
        <v>0</v>
      </c>
      <c r="J660">
        <f>NOT(hospitalityq!J660="")*(NOT(ISNUMBER(hospitalityq!J660+0)))</f>
        <v>0</v>
      </c>
      <c r="K660">
        <f>NOT(hospitalityq!K660="")*(NOT(ISNUMBER(hospitalityq!K660+0)))</f>
        <v>0</v>
      </c>
      <c r="P660">
        <f>NOT(hospitalityq!P660="")*(NOT(IFERROR(INT(hospitalityq!P660)=VALUE(hospitalityq!P660),FALSE)))</f>
        <v>0</v>
      </c>
      <c r="Q660">
        <f>NOT(hospitalityq!Q660="")*(NOT(IFERROR(INT(hospitalityq!Q660)=VALUE(hospitalityq!Q660),FALSE)))</f>
        <v>0</v>
      </c>
      <c r="R660">
        <f>NOT(hospitalityq!R660="")*(NOT(IFERROR(ROUND(VALUE(hospitalityq!R660),2)=VALUE(hospitalityq!R660),FALSE)))</f>
        <v>0</v>
      </c>
    </row>
    <row r="661" spans="1:18" x14ac:dyDescent="0.25">
      <c r="A661">
        <f t="shared" si="10"/>
        <v>0</v>
      </c>
      <c r="C661">
        <f>NOT(hospitalityq!C661="")*(SUMPRODUCT(--(TRIM(hospitalityq!C6:C661)=TRIM(hospitalityq!C661)))&gt;1)</f>
        <v>0</v>
      </c>
      <c r="D661">
        <f>NOT(hospitalityq!D661="")*(COUNTIF(reference!$C$17:$C$18,TRIM(hospitalityq!D661))=0)</f>
        <v>0</v>
      </c>
      <c r="J661">
        <f>NOT(hospitalityq!J661="")*(NOT(ISNUMBER(hospitalityq!J661+0)))</f>
        <v>0</v>
      </c>
      <c r="K661">
        <f>NOT(hospitalityq!K661="")*(NOT(ISNUMBER(hospitalityq!K661+0)))</f>
        <v>0</v>
      </c>
      <c r="P661">
        <f>NOT(hospitalityq!P661="")*(NOT(IFERROR(INT(hospitalityq!P661)=VALUE(hospitalityq!P661),FALSE)))</f>
        <v>0</v>
      </c>
      <c r="Q661">
        <f>NOT(hospitalityq!Q661="")*(NOT(IFERROR(INT(hospitalityq!Q661)=VALUE(hospitalityq!Q661),FALSE)))</f>
        <v>0</v>
      </c>
      <c r="R661">
        <f>NOT(hospitalityq!R661="")*(NOT(IFERROR(ROUND(VALUE(hospitalityq!R661),2)=VALUE(hospitalityq!R661),FALSE)))</f>
        <v>0</v>
      </c>
    </row>
    <row r="662" spans="1:18" x14ac:dyDescent="0.25">
      <c r="A662">
        <f t="shared" si="10"/>
        <v>0</v>
      </c>
      <c r="C662">
        <f>NOT(hospitalityq!C662="")*(SUMPRODUCT(--(TRIM(hospitalityq!C6:C662)=TRIM(hospitalityq!C662)))&gt;1)</f>
        <v>0</v>
      </c>
      <c r="D662">
        <f>NOT(hospitalityq!D662="")*(COUNTIF(reference!$C$17:$C$18,TRIM(hospitalityq!D662))=0)</f>
        <v>0</v>
      </c>
      <c r="J662">
        <f>NOT(hospitalityq!J662="")*(NOT(ISNUMBER(hospitalityq!J662+0)))</f>
        <v>0</v>
      </c>
      <c r="K662">
        <f>NOT(hospitalityq!K662="")*(NOT(ISNUMBER(hospitalityq!K662+0)))</f>
        <v>0</v>
      </c>
      <c r="P662">
        <f>NOT(hospitalityq!P662="")*(NOT(IFERROR(INT(hospitalityq!P662)=VALUE(hospitalityq!P662),FALSE)))</f>
        <v>0</v>
      </c>
      <c r="Q662">
        <f>NOT(hospitalityq!Q662="")*(NOT(IFERROR(INT(hospitalityq!Q662)=VALUE(hospitalityq!Q662),FALSE)))</f>
        <v>0</v>
      </c>
      <c r="R662">
        <f>NOT(hospitalityq!R662="")*(NOT(IFERROR(ROUND(VALUE(hospitalityq!R662),2)=VALUE(hospitalityq!R662),FALSE)))</f>
        <v>0</v>
      </c>
    </row>
    <row r="663" spans="1:18" x14ac:dyDescent="0.25">
      <c r="A663">
        <f t="shared" si="10"/>
        <v>0</v>
      </c>
      <c r="C663">
        <f>NOT(hospitalityq!C663="")*(SUMPRODUCT(--(TRIM(hospitalityq!C6:C663)=TRIM(hospitalityq!C663)))&gt;1)</f>
        <v>0</v>
      </c>
      <c r="D663">
        <f>NOT(hospitalityq!D663="")*(COUNTIF(reference!$C$17:$C$18,TRIM(hospitalityq!D663))=0)</f>
        <v>0</v>
      </c>
      <c r="J663">
        <f>NOT(hospitalityq!J663="")*(NOT(ISNUMBER(hospitalityq!J663+0)))</f>
        <v>0</v>
      </c>
      <c r="K663">
        <f>NOT(hospitalityq!K663="")*(NOT(ISNUMBER(hospitalityq!K663+0)))</f>
        <v>0</v>
      </c>
      <c r="P663">
        <f>NOT(hospitalityq!P663="")*(NOT(IFERROR(INT(hospitalityq!P663)=VALUE(hospitalityq!P663),FALSE)))</f>
        <v>0</v>
      </c>
      <c r="Q663">
        <f>NOT(hospitalityq!Q663="")*(NOT(IFERROR(INT(hospitalityq!Q663)=VALUE(hospitalityq!Q663),FALSE)))</f>
        <v>0</v>
      </c>
      <c r="R663">
        <f>NOT(hospitalityq!R663="")*(NOT(IFERROR(ROUND(VALUE(hospitalityq!R663),2)=VALUE(hospitalityq!R663),FALSE)))</f>
        <v>0</v>
      </c>
    </row>
    <row r="664" spans="1:18" x14ac:dyDescent="0.25">
      <c r="A664">
        <f t="shared" si="10"/>
        <v>0</v>
      </c>
      <c r="C664">
        <f>NOT(hospitalityq!C664="")*(SUMPRODUCT(--(TRIM(hospitalityq!C6:C664)=TRIM(hospitalityq!C664)))&gt;1)</f>
        <v>0</v>
      </c>
      <c r="D664">
        <f>NOT(hospitalityq!D664="")*(COUNTIF(reference!$C$17:$C$18,TRIM(hospitalityq!D664))=0)</f>
        <v>0</v>
      </c>
      <c r="J664">
        <f>NOT(hospitalityq!J664="")*(NOT(ISNUMBER(hospitalityq!J664+0)))</f>
        <v>0</v>
      </c>
      <c r="K664">
        <f>NOT(hospitalityq!K664="")*(NOT(ISNUMBER(hospitalityq!K664+0)))</f>
        <v>0</v>
      </c>
      <c r="P664">
        <f>NOT(hospitalityq!P664="")*(NOT(IFERROR(INT(hospitalityq!P664)=VALUE(hospitalityq!P664),FALSE)))</f>
        <v>0</v>
      </c>
      <c r="Q664">
        <f>NOT(hospitalityq!Q664="")*(NOT(IFERROR(INT(hospitalityq!Q664)=VALUE(hospitalityq!Q664),FALSE)))</f>
        <v>0</v>
      </c>
      <c r="R664">
        <f>NOT(hospitalityq!R664="")*(NOT(IFERROR(ROUND(VALUE(hospitalityq!R664),2)=VALUE(hospitalityq!R664),FALSE)))</f>
        <v>0</v>
      </c>
    </row>
    <row r="665" spans="1:18" x14ac:dyDescent="0.25">
      <c r="A665">
        <f t="shared" si="10"/>
        <v>0</v>
      </c>
      <c r="C665">
        <f>NOT(hospitalityq!C665="")*(SUMPRODUCT(--(TRIM(hospitalityq!C6:C665)=TRIM(hospitalityq!C665)))&gt;1)</f>
        <v>0</v>
      </c>
      <c r="D665">
        <f>NOT(hospitalityq!D665="")*(COUNTIF(reference!$C$17:$C$18,TRIM(hospitalityq!D665))=0)</f>
        <v>0</v>
      </c>
      <c r="J665">
        <f>NOT(hospitalityq!J665="")*(NOT(ISNUMBER(hospitalityq!J665+0)))</f>
        <v>0</v>
      </c>
      <c r="K665">
        <f>NOT(hospitalityq!K665="")*(NOT(ISNUMBER(hospitalityq!K665+0)))</f>
        <v>0</v>
      </c>
      <c r="P665">
        <f>NOT(hospitalityq!P665="")*(NOT(IFERROR(INT(hospitalityq!P665)=VALUE(hospitalityq!P665),FALSE)))</f>
        <v>0</v>
      </c>
      <c r="Q665">
        <f>NOT(hospitalityq!Q665="")*(NOT(IFERROR(INT(hospitalityq!Q665)=VALUE(hospitalityq!Q665),FALSE)))</f>
        <v>0</v>
      </c>
      <c r="R665">
        <f>NOT(hospitalityq!R665="")*(NOT(IFERROR(ROUND(VALUE(hospitalityq!R665),2)=VALUE(hospitalityq!R665),FALSE)))</f>
        <v>0</v>
      </c>
    </row>
    <row r="666" spans="1:18" x14ac:dyDescent="0.25">
      <c r="A666">
        <f t="shared" si="10"/>
        <v>0</v>
      </c>
      <c r="C666">
        <f>NOT(hospitalityq!C666="")*(SUMPRODUCT(--(TRIM(hospitalityq!C6:C666)=TRIM(hospitalityq!C666)))&gt;1)</f>
        <v>0</v>
      </c>
      <c r="D666">
        <f>NOT(hospitalityq!D666="")*(COUNTIF(reference!$C$17:$C$18,TRIM(hospitalityq!D666))=0)</f>
        <v>0</v>
      </c>
      <c r="J666">
        <f>NOT(hospitalityq!J666="")*(NOT(ISNUMBER(hospitalityq!J666+0)))</f>
        <v>0</v>
      </c>
      <c r="K666">
        <f>NOT(hospitalityq!K666="")*(NOT(ISNUMBER(hospitalityq!K666+0)))</f>
        <v>0</v>
      </c>
      <c r="P666">
        <f>NOT(hospitalityq!P666="")*(NOT(IFERROR(INT(hospitalityq!P666)=VALUE(hospitalityq!P666),FALSE)))</f>
        <v>0</v>
      </c>
      <c r="Q666">
        <f>NOT(hospitalityq!Q666="")*(NOT(IFERROR(INT(hospitalityq!Q666)=VALUE(hospitalityq!Q666),FALSE)))</f>
        <v>0</v>
      </c>
      <c r="R666">
        <f>NOT(hospitalityq!R666="")*(NOT(IFERROR(ROUND(VALUE(hospitalityq!R666),2)=VALUE(hospitalityq!R666),FALSE)))</f>
        <v>0</v>
      </c>
    </row>
    <row r="667" spans="1:18" x14ac:dyDescent="0.25">
      <c r="A667">
        <f t="shared" si="10"/>
        <v>0</v>
      </c>
      <c r="C667">
        <f>NOT(hospitalityq!C667="")*(SUMPRODUCT(--(TRIM(hospitalityq!C6:C667)=TRIM(hospitalityq!C667)))&gt;1)</f>
        <v>0</v>
      </c>
      <c r="D667">
        <f>NOT(hospitalityq!D667="")*(COUNTIF(reference!$C$17:$C$18,TRIM(hospitalityq!D667))=0)</f>
        <v>0</v>
      </c>
      <c r="J667">
        <f>NOT(hospitalityq!J667="")*(NOT(ISNUMBER(hospitalityq!J667+0)))</f>
        <v>0</v>
      </c>
      <c r="K667">
        <f>NOT(hospitalityq!K667="")*(NOT(ISNUMBER(hospitalityq!K667+0)))</f>
        <v>0</v>
      </c>
      <c r="P667">
        <f>NOT(hospitalityq!P667="")*(NOT(IFERROR(INT(hospitalityq!P667)=VALUE(hospitalityq!P667),FALSE)))</f>
        <v>0</v>
      </c>
      <c r="Q667">
        <f>NOT(hospitalityq!Q667="")*(NOT(IFERROR(INT(hospitalityq!Q667)=VALUE(hospitalityq!Q667),FALSE)))</f>
        <v>0</v>
      </c>
      <c r="R667">
        <f>NOT(hospitalityq!R667="")*(NOT(IFERROR(ROUND(VALUE(hospitalityq!R667),2)=VALUE(hospitalityq!R667),FALSE)))</f>
        <v>0</v>
      </c>
    </row>
    <row r="668" spans="1:18" x14ac:dyDescent="0.25">
      <c r="A668">
        <f t="shared" si="10"/>
        <v>0</v>
      </c>
      <c r="C668">
        <f>NOT(hospitalityq!C668="")*(SUMPRODUCT(--(TRIM(hospitalityq!C6:C668)=TRIM(hospitalityq!C668)))&gt;1)</f>
        <v>0</v>
      </c>
      <c r="D668">
        <f>NOT(hospitalityq!D668="")*(COUNTIF(reference!$C$17:$C$18,TRIM(hospitalityq!D668))=0)</f>
        <v>0</v>
      </c>
      <c r="J668">
        <f>NOT(hospitalityq!J668="")*(NOT(ISNUMBER(hospitalityq!J668+0)))</f>
        <v>0</v>
      </c>
      <c r="K668">
        <f>NOT(hospitalityq!K668="")*(NOT(ISNUMBER(hospitalityq!K668+0)))</f>
        <v>0</v>
      </c>
      <c r="P668">
        <f>NOT(hospitalityq!P668="")*(NOT(IFERROR(INT(hospitalityq!P668)=VALUE(hospitalityq!P668),FALSE)))</f>
        <v>0</v>
      </c>
      <c r="Q668">
        <f>NOT(hospitalityq!Q668="")*(NOT(IFERROR(INT(hospitalityq!Q668)=VALUE(hospitalityq!Q668),FALSE)))</f>
        <v>0</v>
      </c>
      <c r="R668">
        <f>NOT(hospitalityq!R668="")*(NOT(IFERROR(ROUND(VALUE(hospitalityq!R668),2)=VALUE(hospitalityq!R668),FALSE)))</f>
        <v>0</v>
      </c>
    </row>
    <row r="669" spans="1:18" x14ac:dyDescent="0.25">
      <c r="A669">
        <f t="shared" si="10"/>
        <v>0</v>
      </c>
      <c r="C669">
        <f>NOT(hospitalityq!C669="")*(SUMPRODUCT(--(TRIM(hospitalityq!C6:C669)=TRIM(hospitalityq!C669)))&gt;1)</f>
        <v>0</v>
      </c>
      <c r="D669">
        <f>NOT(hospitalityq!D669="")*(COUNTIF(reference!$C$17:$C$18,TRIM(hospitalityq!D669))=0)</f>
        <v>0</v>
      </c>
      <c r="J669">
        <f>NOT(hospitalityq!J669="")*(NOT(ISNUMBER(hospitalityq!J669+0)))</f>
        <v>0</v>
      </c>
      <c r="K669">
        <f>NOT(hospitalityq!K669="")*(NOT(ISNUMBER(hospitalityq!K669+0)))</f>
        <v>0</v>
      </c>
      <c r="P669">
        <f>NOT(hospitalityq!P669="")*(NOT(IFERROR(INT(hospitalityq!P669)=VALUE(hospitalityq!P669),FALSE)))</f>
        <v>0</v>
      </c>
      <c r="Q669">
        <f>NOT(hospitalityq!Q669="")*(NOT(IFERROR(INT(hospitalityq!Q669)=VALUE(hospitalityq!Q669),FALSE)))</f>
        <v>0</v>
      </c>
      <c r="R669">
        <f>NOT(hospitalityq!R669="")*(NOT(IFERROR(ROUND(VALUE(hospitalityq!R669),2)=VALUE(hospitalityq!R669),FALSE)))</f>
        <v>0</v>
      </c>
    </row>
    <row r="670" spans="1:18" x14ac:dyDescent="0.25">
      <c r="A670">
        <f t="shared" si="10"/>
        <v>0</v>
      </c>
      <c r="C670">
        <f>NOT(hospitalityq!C670="")*(SUMPRODUCT(--(TRIM(hospitalityq!C6:C670)=TRIM(hospitalityq!C670)))&gt;1)</f>
        <v>0</v>
      </c>
      <c r="D670">
        <f>NOT(hospitalityq!D670="")*(COUNTIF(reference!$C$17:$C$18,TRIM(hospitalityq!D670))=0)</f>
        <v>0</v>
      </c>
      <c r="J670">
        <f>NOT(hospitalityq!J670="")*(NOT(ISNUMBER(hospitalityq!J670+0)))</f>
        <v>0</v>
      </c>
      <c r="K670">
        <f>NOT(hospitalityq!K670="")*(NOT(ISNUMBER(hospitalityq!K670+0)))</f>
        <v>0</v>
      </c>
      <c r="P670">
        <f>NOT(hospitalityq!P670="")*(NOT(IFERROR(INT(hospitalityq!P670)=VALUE(hospitalityq!P670),FALSE)))</f>
        <v>0</v>
      </c>
      <c r="Q670">
        <f>NOT(hospitalityq!Q670="")*(NOT(IFERROR(INT(hospitalityq!Q670)=VALUE(hospitalityq!Q670),FALSE)))</f>
        <v>0</v>
      </c>
      <c r="R670">
        <f>NOT(hospitalityq!R670="")*(NOT(IFERROR(ROUND(VALUE(hospitalityq!R670),2)=VALUE(hospitalityq!R670),FALSE)))</f>
        <v>0</v>
      </c>
    </row>
    <row r="671" spans="1:18" x14ac:dyDescent="0.25">
      <c r="A671">
        <f t="shared" si="10"/>
        <v>0</v>
      </c>
      <c r="C671">
        <f>NOT(hospitalityq!C671="")*(SUMPRODUCT(--(TRIM(hospitalityq!C6:C671)=TRIM(hospitalityq!C671)))&gt;1)</f>
        <v>0</v>
      </c>
      <c r="D671">
        <f>NOT(hospitalityq!D671="")*(COUNTIF(reference!$C$17:$C$18,TRIM(hospitalityq!D671))=0)</f>
        <v>0</v>
      </c>
      <c r="J671">
        <f>NOT(hospitalityq!J671="")*(NOT(ISNUMBER(hospitalityq!J671+0)))</f>
        <v>0</v>
      </c>
      <c r="K671">
        <f>NOT(hospitalityq!K671="")*(NOT(ISNUMBER(hospitalityq!K671+0)))</f>
        <v>0</v>
      </c>
      <c r="P671">
        <f>NOT(hospitalityq!P671="")*(NOT(IFERROR(INT(hospitalityq!P671)=VALUE(hospitalityq!P671),FALSE)))</f>
        <v>0</v>
      </c>
      <c r="Q671">
        <f>NOT(hospitalityq!Q671="")*(NOT(IFERROR(INT(hospitalityq!Q671)=VALUE(hospitalityq!Q671),FALSE)))</f>
        <v>0</v>
      </c>
      <c r="R671">
        <f>NOT(hospitalityq!R671="")*(NOT(IFERROR(ROUND(VALUE(hospitalityq!R671),2)=VALUE(hospitalityq!R671),FALSE)))</f>
        <v>0</v>
      </c>
    </row>
    <row r="672" spans="1:18" x14ac:dyDescent="0.25">
      <c r="A672">
        <f t="shared" si="10"/>
        <v>0</v>
      </c>
      <c r="C672">
        <f>NOT(hospitalityq!C672="")*(SUMPRODUCT(--(TRIM(hospitalityq!C6:C672)=TRIM(hospitalityq!C672)))&gt;1)</f>
        <v>0</v>
      </c>
      <c r="D672">
        <f>NOT(hospitalityq!D672="")*(COUNTIF(reference!$C$17:$C$18,TRIM(hospitalityq!D672))=0)</f>
        <v>0</v>
      </c>
      <c r="J672">
        <f>NOT(hospitalityq!J672="")*(NOT(ISNUMBER(hospitalityq!J672+0)))</f>
        <v>0</v>
      </c>
      <c r="K672">
        <f>NOT(hospitalityq!K672="")*(NOT(ISNUMBER(hospitalityq!K672+0)))</f>
        <v>0</v>
      </c>
      <c r="P672">
        <f>NOT(hospitalityq!P672="")*(NOT(IFERROR(INT(hospitalityq!P672)=VALUE(hospitalityq!P672),FALSE)))</f>
        <v>0</v>
      </c>
      <c r="Q672">
        <f>NOT(hospitalityq!Q672="")*(NOT(IFERROR(INT(hospitalityq!Q672)=VALUE(hospitalityq!Q672),FALSE)))</f>
        <v>0</v>
      </c>
      <c r="R672">
        <f>NOT(hospitalityq!R672="")*(NOT(IFERROR(ROUND(VALUE(hospitalityq!R672),2)=VALUE(hospitalityq!R672),FALSE)))</f>
        <v>0</v>
      </c>
    </row>
    <row r="673" spans="1:18" x14ac:dyDescent="0.25">
      <c r="A673">
        <f t="shared" si="10"/>
        <v>0</v>
      </c>
      <c r="C673">
        <f>NOT(hospitalityq!C673="")*(SUMPRODUCT(--(TRIM(hospitalityq!C6:C673)=TRIM(hospitalityq!C673)))&gt;1)</f>
        <v>0</v>
      </c>
      <c r="D673">
        <f>NOT(hospitalityq!D673="")*(COUNTIF(reference!$C$17:$C$18,TRIM(hospitalityq!D673))=0)</f>
        <v>0</v>
      </c>
      <c r="J673">
        <f>NOT(hospitalityq!J673="")*(NOT(ISNUMBER(hospitalityq!J673+0)))</f>
        <v>0</v>
      </c>
      <c r="K673">
        <f>NOT(hospitalityq!K673="")*(NOT(ISNUMBER(hospitalityq!K673+0)))</f>
        <v>0</v>
      </c>
      <c r="P673">
        <f>NOT(hospitalityq!P673="")*(NOT(IFERROR(INT(hospitalityq!P673)=VALUE(hospitalityq!P673),FALSE)))</f>
        <v>0</v>
      </c>
      <c r="Q673">
        <f>NOT(hospitalityq!Q673="")*(NOT(IFERROR(INT(hospitalityq!Q673)=VALUE(hospitalityq!Q673),FALSE)))</f>
        <v>0</v>
      </c>
      <c r="R673">
        <f>NOT(hospitalityq!R673="")*(NOT(IFERROR(ROUND(VALUE(hospitalityq!R673),2)=VALUE(hospitalityq!R673),FALSE)))</f>
        <v>0</v>
      </c>
    </row>
    <row r="674" spans="1:18" x14ac:dyDescent="0.25">
      <c r="A674">
        <f t="shared" si="10"/>
        <v>0</v>
      </c>
      <c r="C674">
        <f>NOT(hospitalityq!C674="")*(SUMPRODUCT(--(TRIM(hospitalityq!C6:C674)=TRIM(hospitalityq!C674)))&gt;1)</f>
        <v>0</v>
      </c>
      <c r="D674">
        <f>NOT(hospitalityq!D674="")*(COUNTIF(reference!$C$17:$C$18,TRIM(hospitalityq!D674))=0)</f>
        <v>0</v>
      </c>
      <c r="J674">
        <f>NOT(hospitalityq!J674="")*(NOT(ISNUMBER(hospitalityq!J674+0)))</f>
        <v>0</v>
      </c>
      <c r="K674">
        <f>NOT(hospitalityq!K674="")*(NOT(ISNUMBER(hospitalityq!K674+0)))</f>
        <v>0</v>
      </c>
      <c r="P674">
        <f>NOT(hospitalityq!P674="")*(NOT(IFERROR(INT(hospitalityq!P674)=VALUE(hospitalityq!P674),FALSE)))</f>
        <v>0</v>
      </c>
      <c r="Q674">
        <f>NOT(hospitalityq!Q674="")*(NOT(IFERROR(INT(hospitalityq!Q674)=VALUE(hospitalityq!Q674),FALSE)))</f>
        <v>0</v>
      </c>
      <c r="R674">
        <f>NOT(hospitalityq!R674="")*(NOT(IFERROR(ROUND(VALUE(hospitalityq!R674),2)=VALUE(hospitalityq!R674),FALSE)))</f>
        <v>0</v>
      </c>
    </row>
    <row r="675" spans="1:18" x14ac:dyDescent="0.25">
      <c r="A675">
        <f t="shared" si="10"/>
        <v>0</v>
      </c>
      <c r="C675">
        <f>NOT(hospitalityq!C675="")*(SUMPRODUCT(--(TRIM(hospitalityq!C6:C675)=TRIM(hospitalityq!C675)))&gt;1)</f>
        <v>0</v>
      </c>
      <c r="D675">
        <f>NOT(hospitalityq!D675="")*(COUNTIF(reference!$C$17:$C$18,TRIM(hospitalityq!D675))=0)</f>
        <v>0</v>
      </c>
      <c r="J675">
        <f>NOT(hospitalityq!J675="")*(NOT(ISNUMBER(hospitalityq!J675+0)))</f>
        <v>0</v>
      </c>
      <c r="K675">
        <f>NOT(hospitalityq!K675="")*(NOT(ISNUMBER(hospitalityq!K675+0)))</f>
        <v>0</v>
      </c>
      <c r="P675">
        <f>NOT(hospitalityq!P675="")*(NOT(IFERROR(INT(hospitalityq!P675)=VALUE(hospitalityq!P675),FALSE)))</f>
        <v>0</v>
      </c>
      <c r="Q675">
        <f>NOT(hospitalityq!Q675="")*(NOT(IFERROR(INT(hospitalityq!Q675)=VALUE(hospitalityq!Q675),FALSE)))</f>
        <v>0</v>
      </c>
      <c r="R675">
        <f>NOT(hospitalityq!R675="")*(NOT(IFERROR(ROUND(VALUE(hospitalityq!R675),2)=VALUE(hospitalityq!R675),FALSE)))</f>
        <v>0</v>
      </c>
    </row>
    <row r="676" spans="1:18" x14ac:dyDescent="0.25">
      <c r="A676">
        <f t="shared" si="10"/>
        <v>0</v>
      </c>
      <c r="C676">
        <f>NOT(hospitalityq!C676="")*(SUMPRODUCT(--(TRIM(hospitalityq!C6:C676)=TRIM(hospitalityq!C676)))&gt;1)</f>
        <v>0</v>
      </c>
      <c r="D676">
        <f>NOT(hospitalityq!D676="")*(COUNTIF(reference!$C$17:$C$18,TRIM(hospitalityq!D676))=0)</f>
        <v>0</v>
      </c>
      <c r="J676">
        <f>NOT(hospitalityq!J676="")*(NOT(ISNUMBER(hospitalityq!J676+0)))</f>
        <v>0</v>
      </c>
      <c r="K676">
        <f>NOT(hospitalityq!K676="")*(NOT(ISNUMBER(hospitalityq!K676+0)))</f>
        <v>0</v>
      </c>
      <c r="P676">
        <f>NOT(hospitalityq!P676="")*(NOT(IFERROR(INT(hospitalityq!P676)=VALUE(hospitalityq!P676),FALSE)))</f>
        <v>0</v>
      </c>
      <c r="Q676">
        <f>NOT(hospitalityq!Q676="")*(NOT(IFERROR(INT(hospitalityq!Q676)=VALUE(hospitalityq!Q676),FALSE)))</f>
        <v>0</v>
      </c>
      <c r="R676">
        <f>NOT(hospitalityq!R676="")*(NOT(IFERROR(ROUND(VALUE(hospitalityq!R676),2)=VALUE(hospitalityq!R676),FALSE)))</f>
        <v>0</v>
      </c>
    </row>
    <row r="677" spans="1:18" x14ac:dyDescent="0.25">
      <c r="A677">
        <f t="shared" si="10"/>
        <v>0</v>
      </c>
      <c r="C677">
        <f>NOT(hospitalityq!C677="")*(SUMPRODUCT(--(TRIM(hospitalityq!C6:C677)=TRIM(hospitalityq!C677)))&gt;1)</f>
        <v>0</v>
      </c>
      <c r="D677">
        <f>NOT(hospitalityq!D677="")*(COUNTIF(reference!$C$17:$C$18,TRIM(hospitalityq!D677))=0)</f>
        <v>0</v>
      </c>
      <c r="J677">
        <f>NOT(hospitalityq!J677="")*(NOT(ISNUMBER(hospitalityq!J677+0)))</f>
        <v>0</v>
      </c>
      <c r="K677">
        <f>NOT(hospitalityq!K677="")*(NOT(ISNUMBER(hospitalityq!K677+0)))</f>
        <v>0</v>
      </c>
      <c r="P677">
        <f>NOT(hospitalityq!P677="")*(NOT(IFERROR(INT(hospitalityq!P677)=VALUE(hospitalityq!P677),FALSE)))</f>
        <v>0</v>
      </c>
      <c r="Q677">
        <f>NOT(hospitalityq!Q677="")*(NOT(IFERROR(INT(hospitalityq!Q677)=VALUE(hospitalityq!Q677),FALSE)))</f>
        <v>0</v>
      </c>
      <c r="R677">
        <f>NOT(hospitalityq!R677="")*(NOT(IFERROR(ROUND(VALUE(hospitalityq!R677),2)=VALUE(hospitalityq!R677),FALSE)))</f>
        <v>0</v>
      </c>
    </row>
    <row r="678" spans="1:18" x14ac:dyDescent="0.25">
      <c r="A678">
        <f t="shared" si="10"/>
        <v>0</v>
      </c>
      <c r="C678">
        <f>NOT(hospitalityq!C678="")*(SUMPRODUCT(--(TRIM(hospitalityq!C6:C678)=TRIM(hospitalityq!C678)))&gt;1)</f>
        <v>0</v>
      </c>
      <c r="D678">
        <f>NOT(hospitalityq!D678="")*(COUNTIF(reference!$C$17:$C$18,TRIM(hospitalityq!D678))=0)</f>
        <v>0</v>
      </c>
      <c r="J678">
        <f>NOT(hospitalityq!J678="")*(NOT(ISNUMBER(hospitalityq!J678+0)))</f>
        <v>0</v>
      </c>
      <c r="K678">
        <f>NOT(hospitalityq!K678="")*(NOT(ISNUMBER(hospitalityq!K678+0)))</f>
        <v>0</v>
      </c>
      <c r="P678">
        <f>NOT(hospitalityq!P678="")*(NOT(IFERROR(INT(hospitalityq!P678)=VALUE(hospitalityq!P678),FALSE)))</f>
        <v>0</v>
      </c>
      <c r="Q678">
        <f>NOT(hospitalityq!Q678="")*(NOT(IFERROR(INT(hospitalityq!Q678)=VALUE(hospitalityq!Q678),FALSE)))</f>
        <v>0</v>
      </c>
      <c r="R678">
        <f>NOT(hospitalityq!R678="")*(NOT(IFERROR(ROUND(VALUE(hospitalityq!R678),2)=VALUE(hospitalityq!R678),FALSE)))</f>
        <v>0</v>
      </c>
    </row>
    <row r="679" spans="1:18" x14ac:dyDescent="0.25">
      <c r="A679">
        <f t="shared" si="10"/>
        <v>0</v>
      </c>
      <c r="C679">
        <f>NOT(hospitalityq!C679="")*(SUMPRODUCT(--(TRIM(hospitalityq!C6:C679)=TRIM(hospitalityq!C679)))&gt;1)</f>
        <v>0</v>
      </c>
      <c r="D679">
        <f>NOT(hospitalityq!D679="")*(COUNTIF(reference!$C$17:$C$18,TRIM(hospitalityq!D679))=0)</f>
        <v>0</v>
      </c>
      <c r="J679">
        <f>NOT(hospitalityq!J679="")*(NOT(ISNUMBER(hospitalityq!J679+0)))</f>
        <v>0</v>
      </c>
      <c r="K679">
        <f>NOT(hospitalityq!K679="")*(NOT(ISNUMBER(hospitalityq!K679+0)))</f>
        <v>0</v>
      </c>
      <c r="P679">
        <f>NOT(hospitalityq!P679="")*(NOT(IFERROR(INT(hospitalityq!P679)=VALUE(hospitalityq!P679),FALSE)))</f>
        <v>0</v>
      </c>
      <c r="Q679">
        <f>NOT(hospitalityq!Q679="")*(NOT(IFERROR(INT(hospitalityq!Q679)=VALUE(hospitalityq!Q679),FALSE)))</f>
        <v>0</v>
      </c>
      <c r="R679">
        <f>NOT(hospitalityq!R679="")*(NOT(IFERROR(ROUND(VALUE(hospitalityq!R679),2)=VALUE(hospitalityq!R679),FALSE)))</f>
        <v>0</v>
      </c>
    </row>
    <row r="680" spans="1:18" x14ac:dyDescent="0.25">
      <c r="A680">
        <f t="shared" si="10"/>
        <v>0</v>
      </c>
      <c r="C680">
        <f>NOT(hospitalityq!C680="")*(SUMPRODUCT(--(TRIM(hospitalityq!C6:C680)=TRIM(hospitalityq!C680)))&gt;1)</f>
        <v>0</v>
      </c>
      <c r="D680">
        <f>NOT(hospitalityq!D680="")*(COUNTIF(reference!$C$17:$C$18,TRIM(hospitalityq!D680))=0)</f>
        <v>0</v>
      </c>
      <c r="J680">
        <f>NOT(hospitalityq!J680="")*(NOT(ISNUMBER(hospitalityq!J680+0)))</f>
        <v>0</v>
      </c>
      <c r="K680">
        <f>NOT(hospitalityq!K680="")*(NOT(ISNUMBER(hospitalityq!K680+0)))</f>
        <v>0</v>
      </c>
      <c r="P680">
        <f>NOT(hospitalityq!P680="")*(NOT(IFERROR(INT(hospitalityq!P680)=VALUE(hospitalityq!P680),FALSE)))</f>
        <v>0</v>
      </c>
      <c r="Q680">
        <f>NOT(hospitalityq!Q680="")*(NOT(IFERROR(INT(hospitalityq!Q680)=VALUE(hospitalityq!Q680),FALSE)))</f>
        <v>0</v>
      </c>
      <c r="R680">
        <f>NOT(hospitalityq!R680="")*(NOT(IFERROR(ROUND(VALUE(hospitalityq!R680),2)=VALUE(hospitalityq!R680),FALSE)))</f>
        <v>0</v>
      </c>
    </row>
    <row r="681" spans="1:18" x14ac:dyDescent="0.25">
      <c r="A681">
        <f t="shared" si="10"/>
        <v>0</v>
      </c>
      <c r="C681">
        <f>NOT(hospitalityq!C681="")*(SUMPRODUCT(--(TRIM(hospitalityq!C6:C681)=TRIM(hospitalityq!C681)))&gt;1)</f>
        <v>0</v>
      </c>
      <c r="D681">
        <f>NOT(hospitalityq!D681="")*(COUNTIF(reference!$C$17:$C$18,TRIM(hospitalityq!D681))=0)</f>
        <v>0</v>
      </c>
      <c r="J681">
        <f>NOT(hospitalityq!J681="")*(NOT(ISNUMBER(hospitalityq!J681+0)))</f>
        <v>0</v>
      </c>
      <c r="K681">
        <f>NOT(hospitalityq!K681="")*(NOT(ISNUMBER(hospitalityq!K681+0)))</f>
        <v>0</v>
      </c>
      <c r="P681">
        <f>NOT(hospitalityq!P681="")*(NOT(IFERROR(INT(hospitalityq!P681)=VALUE(hospitalityq!P681),FALSE)))</f>
        <v>0</v>
      </c>
      <c r="Q681">
        <f>NOT(hospitalityq!Q681="")*(NOT(IFERROR(INT(hospitalityq!Q681)=VALUE(hospitalityq!Q681),FALSE)))</f>
        <v>0</v>
      </c>
      <c r="R681">
        <f>NOT(hospitalityq!R681="")*(NOT(IFERROR(ROUND(VALUE(hospitalityq!R681),2)=VALUE(hospitalityq!R681),FALSE)))</f>
        <v>0</v>
      </c>
    </row>
    <row r="682" spans="1:18" x14ac:dyDescent="0.25">
      <c r="A682">
        <f t="shared" si="10"/>
        <v>0</v>
      </c>
      <c r="C682">
        <f>NOT(hospitalityq!C682="")*(SUMPRODUCT(--(TRIM(hospitalityq!C6:C682)=TRIM(hospitalityq!C682)))&gt;1)</f>
        <v>0</v>
      </c>
      <c r="D682">
        <f>NOT(hospitalityq!D682="")*(COUNTIF(reference!$C$17:$C$18,TRIM(hospitalityq!D682))=0)</f>
        <v>0</v>
      </c>
      <c r="J682">
        <f>NOT(hospitalityq!J682="")*(NOT(ISNUMBER(hospitalityq!J682+0)))</f>
        <v>0</v>
      </c>
      <c r="K682">
        <f>NOT(hospitalityq!K682="")*(NOT(ISNUMBER(hospitalityq!K682+0)))</f>
        <v>0</v>
      </c>
      <c r="P682">
        <f>NOT(hospitalityq!P682="")*(NOT(IFERROR(INT(hospitalityq!P682)=VALUE(hospitalityq!P682),FALSE)))</f>
        <v>0</v>
      </c>
      <c r="Q682">
        <f>NOT(hospitalityq!Q682="")*(NOT(IFERROR(INT(hospitalityq!Q682)=VALUE(hospitalityq!Q682),FALSE)))</f>
        <v>0</v>
      </c>
      <c r="R682">
        <f>NOT(hospitalityq!R682="")*(NOT(IFERROR(ROUND(VALUE(hospitalityq!R682),2)=VALUE(hospitalityq!R682),FALSE)))</f>
        <v>0</v>
      </c>
    </row>
    <row r="683" spans="1:18" x14ac:dyDescent="0.25">
      <c r="A683">
        <f t="shared" si="10"/>
        <v>0</v>
      </c>
      <c r="C683">
        <f>NOT(hospitalityq!C683="")*(SUMPRODUCT(--(TRIM(hospitalityq!C6:C683)=TRIM(hospitalityq!C683)))&gt;1)</f>
        <v>0</v>
      </c>
      <c r="D683">
        <f>NOT(hospitalityq!D683="")*(COUNTIF(reference!$C$17:$C$18,TRIM(hospitalityq!D683))=0)</f>
        <v>0</v>
      </c>
      <c r="J683">
        <f>NOT(hospitalityq!J683="")*(NOT(ISNUMBER(hospitalityq!J683+0)))</f>
        <v>0</v>
      </c>
      <c r="K683">
        <f>NOT(hospitalityq!K683="")*(NOT(ISNUMBER(hospitalityq!K683+0)))</f>
        <v>0</v>
      </c>
      <c r="P683">
        <f>NOT(hospitalityq!P683="")*(NOT(IFERROR(INT(hospitalityq!P683)=VALUE(hospitalityq!P683),FALSE)))</f>
        <v>0</v>
      </c>
      <c r="Q683">
        <f>NOT(hospitalityq!Q683="")*(NOT(IFERROR(INT(hospitalityq!Q683)=VALUE(hospitalityq!Q683),FALSE)))</f>
        <v>0</v>
      </c>
      <c r="R683">
        <f>NOT(hospitalityq!R683="")*(NOT(IFERROR(ROUND(VALUE(hospitalityq!R683),2)=VALUE(hospitalityq!R683),FALSE)))</f>
        <v>0</v>
      </c>
    </row>
    <row r="684" spans="1:18" x14ac:dyDescent="0.25">
      <c r="A684">
        <f t="shared" si="10"/>
        <v>0</v>
      </c>
      <c r="C684">
        <f>NOT(hospitalityq!C684="")*(SUMPRODUCT(--(TRIM(hospitalityq!C6:C684)=TRIM(hospitalityq!C684)))&gt;1)</f>
        <v>0</v>
      </c>
      <c r="D684">
        <f>NOT(hospitalityq!D684="")*(COUNTIF(reference!$C$17:$C$18,TRIM(hospitalityq!D684))=0)</f>
        <v>0</v>
      </c>
      <c r="J684">
        <f>NOT(hospitalityq!J684="")*(NOT(ISNUMBER(hospitalityq!J684+0)))</f>
        <v>0</v>
      </c>
      <c r="K684">
        <f>NOT(hospitalityq!K684="")*(NOT(ISNUMBER(hospitalityq!K684+0)))</f>
        <v>0</v>
      </c>
      <c r="P684">
        <f>NOT(hospitalityq!P684="")*(NOT(IFERROR(INT(hospitalityq!P684)=VALUE(hospitalityq!P684),FALSE)))</f>
        <v>0</v>
      </c>
      <c r="Q684">
        <f>NOT(hospitalityq!Q684="")*(NOT(IFERROR(INT(hospitalityq!Q684)=VALUE(hospitalityq!Q684),FALSE)))</f>
        <v>0</v>
      </c>
      <c r="R684">
        <f>NOT(hospitalityq!R684="")*(NOT(IFERROR(ROUND(VALUE(hospitalityq!R684),2)=VALUE(hospitalityq!R684),FALSE)))</f>
        <v>0</v>
      </c>
    </row>
    <row r="685" spans="1:18" x14ac:dyDescent="0.25">
      <c r="A685">
        <f t="shared" si="10"/>
        <v>0</v>
      </c>
      <c r="C685">
        <f>NOT(hospitalityq!C685="")*(SUMPRODUCT(--(TRIM(hospitalityq!C6:C685)=TRIM(hospitalityq!C685)))&gt;1)</f>
        <v>0</v>
      </c>
      <c r="D685">
        <f>NOT(hospitalityq!D685="")*(COUNTIF(reference!$C$17:$C$18,TRIM(hospitalityq!D685))=0)</f>
        <v>0</v>
      </c>
      <c r="J685">
        <f>NOT(hospitalityq!J685="")*(NOT(ISNUMBER(hospitalityq!J685+0)))</f>
        <v>0</v>
      </c>
      <c r="K685">
        <f>NOT(hospitalityq!K685="")*(NOT(ISNUMBER(hospitalityq!K685+0)))</f>
        <v>0</v>
      </c>
      <c r="P685">
        <f>NOT(hospitalityq!P685="")*(NOT(IFERROR(INT(hospitalityq!P685)=VALUE(hospitalityq!P685),FALSE)))</f>
        <v>0</v>
      </c>
      <c r="Q685">
        <f>NOT(hospitalityq!Q685="")*(NOT(IFERROR(INT(hospitalityq!Q685)=VALUE(hospitalityq!Q685),FALSE)))</f>
        <v>0</v>
      </c>
      <c r="R685">
        <f>NOT(hospitalityq!R685="")*(NOT(IFERROR(ROUND(VALUE(hospitalityq!R685),2)=VALUE(hospitalityq!R685),FALSE)))</f>
        <v>0</v>
      </c>
    </row>
    <row r="686" spans="1:18" x14ac:dyDescent="0.25">
      <c r="A686">
        <f t="shared" si="10"/>
        <v>0</v>
      </c>
      <c r="C686">
        <f>NOT(hospitalityq!C686="")*(SUMPRODUCT(--(TRIM(hospitalityq!C6:C686)=TRIM(hospitalityq!C686)))&gt;1)</f>
        <v>0</v>
      </c>
      <c r="D686">
        <f>NOT(hospitalityq!D686="")*(COUNTIF(reference!$C$17:$C$18,TRIM(hospitalityq!D686))=0)</f>
        <v>0</v>
      </c>
      <c r="J686">
        <f>NOT(hospitalityq!J686="")*(NOT(ISNUMBER(hospitalityq!J686+0)))</f>
        <v>0</v>
      </c>
      <c r="K686">
        <f>NOT(hospitalityq!K686="")*(NOT(ISNUMBER(hospitalityq!K686+0)))</f>
        <v>0</v>
      </c>
      <c r="P686">
        <f>NOT(hospitalityq!P686="")*(NOT(IFERROR(INT(hospitalityq!P686)=VALUE(hospitalityq!P686),FALSE)))</f>
        <v>0</v>
      </c>
      <c r="Q686">
        <f>NOT(hospitalityq!Q686="")*(NOT(IFERROR(INT(hospitalityq!Q686)=VALUE(hospitalityq!Q686),FALSE)))</f>
        <v>0</v>
      </c>
      <c r="R686">
        <f>NOT(hospitalityq!R686="")*(NOT(IFERROR(ROUND(VALUE(hospitalityq!R686),2)=VALUE(hospitalityq!R686),FALSE)))</f>
        <v>0</v>
      </c>
    </row>
    <row r="687" spans="1:18" x14ac:dyDescent="0.25">
      <c r="A687">
        <f t="shared" si="10"/>
        <v>0</v>
      </c>
      <c r="C687">
        <f>NOT(hospitalityq!C687="")*(SUMPRODUCT(--(TRIM(hospitalityq!C6:C687)=TRIM(hospitalityq!C687)))&gt;1)</f>
        <v>0</v>
      </c>
      <c r="D687">
        <f>NOT(hospitalityq!D687="")*(COUNTIF(reference!$C$17:$C$18,TRIM(hospitalityq!D687))=0)</f>
        <v>0</v>
      </c>
      <c r="J687">
        <f>NOT(hospitalityq!J687="")*(NOT(ISNUMBER(hospitalityq!J687+0)))</f>
        <v>0</v>
      </c>
      <c r="K687">
        <f>NOT(hospitalityq!K687="")*(NOT(ISNUMBER(hospitalityq!K687+0)))</f>
        <v>0</v>
      </c>
      <c r="P687">
        <f>NOT(hospitalityq!P687="")*(NOT(IFERROR(INT(hospitalityq!P687)=VALUE(hospitalityq!P687),FALSE)))</f>
        <v>0</v>
      </c>
      <c r="Q687">
        <f>NOT(hospitalityq!Q687="")*(NOT(IFERROR(INT(hospitalityq!Q687)=VALUE(hospitalityq!Q687),FALSE)))</f>
        <v>0</v>
      </c>
      <c r="R687">
        <f>NOT(hospitalityq!R687="")*(NOT(IFERROR(ROUND(VALUE(hospitalityq!R687),2)=VALUE(hospitalityq!R687),FALSE)))</f>
        <v>0</v>
      </c>
    </row>
    <row r="688" spans="1:18" x14ac:dyDescent="0.25">
      <c r="A688">
        <f t="shared" si="10"/>
        <v>0</v>
      </c>
      <c r="C688">
        <f>NOT(hospitalityq!C688="")*(SUMPRODUCT(--(TRIM(hospitalityq!C6:C688)=TRIM(hospitalityq!C688)))&gt;1)</f>
        <v>0</v>
      </c>
      <c r="D688">
        <f>NOT(hospitalityq!D688="")*(COUNTIF(reference!$C$17:$C$18,TRIM(hospitalityq!D688))=0)</f>
        <v>0</v>
      </c>
      <c r="J688">
        <f>NOT(hospitalityq!J688="")*(NOT(ISNUMBER(hospitalityq!J688+0)))</f>
        <v>0</v>
      </c>
      <c r="K688">
        <f>NOT(hospitalityq!K688="")*(NOT(ISNUMBER(hospitalityq!K688+0)))</f>
        <v>0</v>
      </c>
      <c r="P688">
        <f>NOT(hospitalityq!P688="")*(NOT(IFERROR(INT(hospitalityq!P688)=VALUE(hospitalityq!P688),FALSE)))</f>
        <v>0</v>
      </c>
      <c r="Q688">
        <f>NOT(hospitalityq!Q688="")*(NOT(IFERROR(INT(hospitalityq!Q688)=VALUE(hospitalityq!Q688),FALSE)))</f>
        <v>0</v>
      </c>
      <c r="R688">
        <f>NOT(hospitalityq!R688="")*(NOT(IFERROR(ROUND(VALUE(hospitalityq!R688),2)=VALUE(hospitalityq!R688),FALSE)))</f>
        <v>0</v>
      </c>
    </row>
    <row r="689" spans="1:18" x14ac:dyDescent="0.25">
      <c r="A689">
        <f t="shared" si="10"/>
        <v>0</v>
      </c>
      <c r="C689">
        <f>NOT(hospitalityq!C689="")*(SUMPRODUCT(--(TRIM(hospitalityq!C6:C689)=TRIM(hospitalityq!C689)))&gt;1)</f>
        <v>0</v>
      </c>
      <c r="D689">
        <f>NOT(hospitalityq!D689="")*(COUNTIF(reference!$C$17:$C$18,TRIM(hospitalityq!D689))=0)</f>
        <v>0</v>
      </c>
      <c r="J689">
        <f>NOT(hospitalityq!J689="")*(NOT(ISNUMBER(hospitalityq!J689+0)))</f>
        <v>0</v>
      </c>
      <c r="K689">
        <f>NOT(hospitalityq!K689="")*(NOT(ISNUMBER(hospitalityq!K689+0)))</f>
        <v>0</v>
      </c>
      <c r="P689">
        <f>NOT(hospitalityq!P689="")*(NOT(IFERROR(INT(hospitalityq!P689)=VALUE(hospitalityq!P689),FALSE)))</f>
        <v>0</v>
      </c>
      <c r="Q689">
        <f>NOT(hospitalityq!Q689="")*(NOT(IFERROR(INT(hospitalityq!Q689)=VALUE(hospitalityq!Q689),FALSE)))</f>
        <v>0</v>
      </c>
      <c r="R689">
        <f>NOT(hospitalityq!R689="")*(NOT(IFERROR(ROUND(VALUE(hospitalityq!R689),2)=VALUE(hospitalityq!R689),FALSE)))</f>
        <v>0</v>
      </c>
    </row>
    <row r="690" spans="1:18" x14ac:dyDescent="0.25">
      <c r="A690">
        <f t="shared" si="10"/>
        <v>0</v>
      </c>
      <c r="C690">
        <f>NOT(hospitalityq!C690="")*(SUMPRODUCT(--(TRIM(hospitalityq!C6:C690)=TRIM(hospitalityq!C690)))&gt;1)</f>
        <v>0</v>
      </c>
      <c r="D690">
        <f>NOT(hospitalityq!D690="")*(COUNTIF(reference!$C$17:$C$18,TRIM(hospitalityq!D690))=0)</f>
        <v>0</v>
      </c>
      <c r="J690">
        <f>NOT(hospitalityq!J690="")*(NOT(ISNUMBER(hospitalityq!J690+0)))</f>
        <v>0</v>
      </c>
      <c r="K690">
        <f>NOT(hospitalityq!K690="")*(NOT(ISNUMBER(hospitalityq!K690+0)))</f>
        <v>0</v>
      </c>
      <c r="P690">
        <f>NOT(hospitalityq!P690="")*(NOT(IFERROR(INT(hospitalityq!P690)=VALUE(hospitalityq!P690),FALSE)))</f>
        <v>0</v>
      </c>
      <c r="Q690">
        <f>NOT(hospitalityq!Q690="")*(NOT(IFERROR(INT(hospitalityq!Q690)=VALUE(hospitalityq!Q690),FALSE)))</f>
        <v>0</v>
      </c>
      <c r="R690">
        <f>NOT(hospitalityq!R690="")*(NOT(IFERROR(ROUND(VALUE(hospitalityq!R690),2)=VALUE(hospitalityq!R690),FALSE)))</f>
        <v>0</v>
      </c>
    </row>
    <row r="691" spans="1:18" x14ac:dyDescent="0.25">
      <c r="A691">
        <f t="shared" si="10"/>
        <v>0</v>
      </c>
      <c r="C691">
        <f>NOT(hospitalityq!C691="")*(SUMPRODUCT(--(TRIM(hospitalityq!C6:C691)=TRIM(hospitalityq!C691)))&gt;1)</f>
        <v>0</v>
      </c>
      <c r="D691">
        <f>NOT(hospitalityq!D691="")*(COUNTIF(reference!$C$17:$C$18,TRIM(hospitalityq!D691))=0)</f>
        <v>0</v>
      </c>
      <c r="J691">
        <f>NOT(hospitalityq!J691="")*(NOT(ISNUMBER(hospitalityq!J691+0)))</f>
        <v>0</v>
      </c>
      <c r="K691">
        <f>NOT(hospitalityq!K691="")*(NOT(ISNUMBER(hospitalityq!K691+0)))</f>
        <v>0</v>
      </c>
      <c r="P691">
        <f>NOT(hospitalityq!P691="")*(NOT(IFERROR(INT(hospitalityq!P691)=VALUE(hospitalityq!P691),FALSE)))</f>
        <v>0</v>
      </c>
      <c r="Q691">
        <f>NOT(hospitalityq!Q691="")*(NOT(IFERROR(INT(hospitalityq!Q691)=VALUE(hospitalityq!Q691),FALSE)))</f>
        <v>0</v>
      </c>
      <c r="R691">
        <f>NOT(hospitalityq!R691="")*(NOT(IFERROR(ROUND(VALUE(hospitalityq!R691),2)=VALUE(hospitalityq!R691),FALSE)))</f>
        <v>0</v>
      </c>
    </row>
    <row r="692" spans="1:18" x14ac:dyDescent="0.25">
      <c r="A692">
        <f t="shared" si="10"/>
        <v>0</v>
      </c>
      <c r="C692">
        <f>NOT(hospitalityq!C692="")*(SUMPRODUCT(--(TRIM(hospitalityq!C6:C692)=TRIM(hospitalityq!C692)))&gt;1)</f>
        <v>0</v>
      </c>
      <c r="D692">
        <f>NOT(hospitalityq!D692="")*(COUNTIF(reference!$C$17:$C$18,TRIM(hospitalityq!D692))=0)</f>
        <v>0</v>
      </c>
      <c r="J692">
        <f>NOT(hospitalityq!J692="")*(NOT(ISNUMBER(hospitalityq!J692+0)))</f>
        <v>0</v>
      </c>
      <c r="K692">
        <f>NOT(hospitalityq!K692="")*(NOT(ISNUMBER(hospitalityq!K692+0)))</f>
        <v>0</v>
      </c>
      <c r="P692">
        <f>NOT(hospitalityq!P692="")*(NOT(IFERROR(INT(hospitalityq!P692)=VALUE(hospitalityq!P692),FALSE)))</f>
        <v>0</v>
      </c>
      <c r="Q692">
        <f>NOT(hospitalityq!Q692="")*(NOT(IFERROR(INT(hospitalityq!Q692)=VALUE(hospitalityq!Q692),FALSE)))</f>
        <v>0</v>
      </c>
      <c r="R692">
        <f>NOT(hospitalityq!R692="")*(NOT(IFERROR(ROUND(VALUE(hospitalityq!R692),2)=VALUE(hospitalityq!R692),FALSE)))</f>
        <v>0</v>
      </c>
    </row>
    <row r="693" spans="1:18" x14ac:dyDescent="0.25">
      <c r="A693">
        <f t="shared" si="10"/>
        <v>0</v>
      </c>
      <c r="C693">
        <f>NOT(hospitalityq!C693="")*(SUMPRODUCT(--(TRIM(hospitalityq!C6:C693)=TRIM(hospitalityq!C693)))&gt;1)</f>
        <v>0</v>
      </c>
      <c r="D693">
        <f>NOT(hospitalityq!D693="")*(COUNTIF(reference!$C$17:$C$18,TRIM(hospitalityq!D693))=0)</f>
        <v>0</v>
      </c>
      <c r="J693">
        <f>NOT(hospitalityq!J693="")*(NOT(ISNUMBER(hospitalityq!J693+0)))</f>
        <v>0</v>
      </c>
      <c r="K693">
        <f>NOT(hospitalityq!K693="")*(NOT(ISNUMBER(hospitalityq!K693+0)))</f>
        <v>0</v>
      </c>
      <c r="P693">
        <f>NOT(hospitalityq!P693="")*(NOT(IFERROR(INT(hospitalityq!P693)=VALUE(hospitalityq!P693),FALSE)))</f>
        <v>0</v>
      </c>
      <c r="Q693">
        <f>NOT(hospitalityq!Q693="")*(NOT(IFERROR(INT(hospitalityq!Q693)=VALUE(hospitalityq!Q693),FALSE)))</f>
        <v>0</v>
      </c>
      <c r="R693">
        <f>NOT(hospitalityq!R693="")*(NOT(IFERROR(ROUND(VALUE(hospitalityq!R693),2)=VALUE(hospitalityq!R693),FALSE)))</f>
        <v>0</v>
      </c>
    </row>
    <row r="694" spans="1:18" x14ac:dyDescent="0.25">
      <c r="A694">
        <f t="shared" si="10"/>
        <v>0</v>
      </c>
      <c r="C694">
        <f>NOT(hospitalityq!C694="")*(SUMPRODUCT(--(TRIM(hospitalityq!C6:C694)=TRIM(hospitalityq!C694)))&gt;1)</f>
        <v>0</v>
      </c>
      <c r="D694">
        <f>NOT(hospitalityq!D694="")*(COUNTIF(reference!$C$17:$C$18,TRIM(hospitalityq!D694))=0)</f>
        <v>0</v>
      </c>
      <c r="J694">
        <f>NOT(hospitalityq!J694="")*(NOT(ISNUMBER(hospitalityq!J694+0)))</f>
        <v>0</v>
      </c>
      <c r="K694">
        <f>NOT(hospitalityq!K694="")*(NOT(ISNUMBER(hospitalityq!K694+0)))</f>
        <v>0</v>
      </c>
      <c r="P694">
        <f>NOT(hospitalityq!P694="")*(NOT(IFERROR(INT(hospitalityq!P694)=VALUE(hospitalityq!P694),FALSE)))</f>
        <v>0</v>
      </c>
      <c r="Q694">
        <f>NOT(hospitalityq!Q694="")*(NOT(IFERROR(INT(hospitalityq!Q694)=VALUE(hospitalityq!Q694),FALSE)))</f>
        <v>0</v>
      </c>
      <c r="R694">
        <f>NOT(hospitalityq!R694="")*(NOT(IFERROR(ROUND(VALUE(hospitalityq!R694),2)=VALUE(hospitalityq!R694),FALSE)))</f>
        <v>0</v>
      </c>
    </row>
    <row r="695" spans="1:18" x14ac:dyDescent="0.25">
      <c r="A695">
        <f t="shared" si="10"/>
        <v>0</v>
      </c>
      <c r="C695">
        <f>NOT(hospitalityq!C695="")*(SUMPRODUCT(--(TRIM(hospitalityq!C6:C695)=TRIM(hospitalityq!C695)))&gt;1)</f>
        <v>0</v>
      </c>
      <c r="D695">
        <f>NOT(hospitalityq!D695="")*(COUNTIF(reference!$C$17:$C$18,TRIM(hospitalityq!D695))=0)</f>
        <v>0</v>
      </c>
      <c r="J695">
        <f>NOT(hospitalityq!J695="")*(NOT(ISNUMBER(hospitalityq!J695+0)))</f>
        <v>0</v>
      </c>
      <c r="K695">
        <f>NOT(hospitalityq!K695="")*(NOT(ISNUMBER(hospitalityq!K695+0)))</f>
        <v>0</v>
      </c>
      <c r="P695">
        <f>NOT(hospitalityq!P695="")*(NOT(IFERROR(INT(hospitalityq!P695)=VALUE(hospitalityq!P695),FALSE)))</f>
        <v>0</v>
      </c>
      <c r="Q695">
        <f>NOT(hospitalityq!Q695="")*(NOT(IFERROR(INT(hospitalityq!Q695)=VALUE(hospitalityq!Q695),FALSE)))</f>
        <v>0</v>
      </c>
      <c r="R695">
        <f>NOT(hospitalityq!R695="")*(NOT(IFERROR(ROUND(VALUE(hospitalityq!R695),2)=VALUE(hospitalityq!R695),FALSE)))</f>
        <v>0</v>
      </c>
    </row>
    <row r="696" spans="1:18" x14ac:dyDescent="0.25">
      <c r="A696">
        <f t="shared" si="10"/>
        <v>0</v>
      </c>
      <c r="C696">
        <f>NOT(hospitalityq!C696="")*(SUMPRODUCT(--(TRIM(hospitalityq!C6:C696)=TRIM(hospitalityq!C696)))&gt;1)</f>
        <v>0</v>
      </c>
      <c r="D696">
        <f>NOT(hospitalityq!D696="")*(COUNTIF(reference!$C$17:$C$18,TRIM(hospitalityq!D696))=0)</f>
        <v>0</v>
      </c>
      <c r="J696">
        <f>NOT(hospitalityq!J696="")*(NOT(ISNUMBER(hospitalityq!J696+0)))</f>
        <v>0</v>
      </c>
      <c r="K696">
        <f>NOT(hospitalityq!K696="")*(NOT(ISNUMBER(hospitalityq!K696+0)))</f>
        <v>0</v>
      </c>
      <c r="P696">
        <f>NOT(hospitalityq!P696="")*(NOT(IFERROR(INT(hospitalityq!P696)=VALUE(hospitalityq!P696),FALSE)))</f>
        <v>0</v>
      </c>
      <c r="Q696">
        <f>NOT(hospitalityq!Q696="")*(NOT(IFERROR(INT(hospitalityq!Q696)=VALUE(hospitalityq!Q696),FALSE)))</f>
        <v>0</v>
      </c>
      <c r="R696">
        <f>NOT(hospitalityq!R696="")*(NOT(IFERROR(ROUND(VALUE(hospitalityq!R696),2)=VALUE(hospitalityq!R696),FALSE)))</f>
        <v>0</v>
      </c>
    </row>
    <row r="697" spans="1:18" x14ac:dyDescent="0.25">
      <c r="A697">
        <f t="shared" si="10"/>
        <v>0</v>
      </c>
      <c r="C697">
        <f>NOT(hospitalityq!C697="")*(SUMPRODUCT(--(TRIM(hospitalityq!C6:C697)=TRIM(hospitalityq!C697)))&gt;1)</f>
        <v>0</v>
      </c>
      <c r="D697">
        <f>NOT(hospitalityq!D697="")*(COUNTIF(reference!$C$17:$C$18,TRIM(hospitalityq!D697))=0)</f>
        <v>0</v>
      </c>
      <c r="J697">
        <f>NOT(hospitalityq!J697="")*(NOT(ISNUMBER(hospitalityq!J697+0)))</f>
        <v>0</v>
      </c>
      <c r="K697">
        <f>NOT(hospitalityq!K697="")*(NOT(ISNUMBER(hospitalityq!K697+0)))</f>
        <v>0</v>
      </c>
      <c r="P697">
        <f>NOT(hospitalityq!P697="")*(NOT(IFERROR(INT(hospitalityq!P697)=VALUE(hospitalityq!P697),FALSE)))</f>
        <v>0</v>
      </c>
      <c r="Q697">
        <f>NOT(hospitalityq!Q697="")*(NOT(IFERROR(INT(hospitalityq!Q697)=VALUE(hospitalityq!Q697),FALSE)))</f>
        <v>0</v>
      </c>
      <c r="R697">
        <f>NOT(hospitalityq!R697="")*(NOT(IFERROR(ROUND(VALUE(hospitalityq!R697),2)=VALUE(hospitalityq!R697),FALSE)))</f>
        <v>0</v>
      </c>
    </row>
    <row r="698" spans="1:18" x14ac:dyDescent="0.25">
      <c r="A698">
        <f t="shared" si="10"/>
        <v>0</v>
      </c>
      <c r="C698">
        <f>NOT(hospitalityq!C698="")*(SUMPRODUCT(--(TRIM(hospitalityq!C6:C698)=TRIM(hospitalityq!C698)))&gt;1)</f>
        <v>0</v>
      </c>
      <c r="D698">
        <f>NOT(hospitalityq!D698="")*(COUNTIF(reference!$C$17:$C$18,TRIM(hospitalityq!D698))=0)</f>
        <v>0</v>
      </c>
      <c r="J698">
        <f>NOT(hospitalityq!J698="")*(NOT(ISNUMBER(hospitalityq!J698+0)))</f>
        <v>0</v>
      </c>
      <c r="K698">
        <f>NOT(hospitalityq!K698="")*(NOT(ISNUMBER(hospitalityq!K698+0)))</f>
        <v>0</v>
      </c>
      <c r="P698">
        <f>NOT(hospitalityq!P698="")*(NOT(IFERROR(INT(hospitalityq!P698)=VALUE(hospitalityq!P698),FALSE)))</f>
        <v>0</v>
      </c>
      <c r="Q698">
        <f>NOT(hospitalityq!Q698="")*(NOT(IFERROR(INT(hospitalityq!Q698)=VALUE(hospitalityq!Q698),FALSE)))</f>
        <v>0</v>
      </c>
      <c r="R698">
        <f>NOT(hospitalityq!R698="")*(NOT(IFERROR(ROUND(VALUE(hospitalityq!R698),2)=VALUE(hospitalityq!R698),FALSE)))</f>
        <v>0</v>
      </c>
    </row>
    <row r="699" spans="1:18" x14ac:dyDescent="0.25">
      <c r="A699">
        <f t="shared" si="10"/>
        <v>0</v>
      </c>
      <c r="C699">
        <f>NOT(hospitalityq!C699="")*(SUMPRODUCT(--(TRIM(hospitalityq!C6:C699)=TRIM(hospitalityq!C699)))&gt;1)</f>
        <v>0</v>
      </c>
      <c r="D699">
        <f>NOT(hospitalityq!D699="")*(COUNTIF(reference!$C$17:$C$18,TRIM(hospitalityq!D699))=0)</f>
        <v>0</v>
      </c>
      <c r="J699">
        <f>NOT(hospitalityq!J699="")*(NOT(ISNUMBER(hospitalityq!J699+0)))</f>
        <v>0</v>
      </c>
      <c r="K699">
        <f>NOT(hospitalityq!K699="")*(NOT(ISNUMBER(hospitalityq!K699+0)))</f>
        <v>0</v>
      </c>
      <c r="P699">
        <f>NOT(hospitalityq!P699="")*(NOT(IFERROR(INT(hospitalityq!P699)=VALUE(hospitalityq!P699),FALSE)))</f>
        <v>0</v>
      </c>
      <c r="Q699">
        <f>NOT(hospitalityq!Q699="")*(NOT(IFERROR(INT(hospitalityq!Q699)=VALUE(hospitalityq!Q699),FALSE)))</f>
        <v>0</v>
      </c>
      <c r="R699">
        <f>NOT(hospitalityq!R699="")*(NOT(IFERROR(ROUND(VALUE(hospitalityq!R699),2)=VALUE(hospitalityq!R699),FALSE)))</f>
        <v>0</v>
      </c>
    </row>
    <row r="700" spans="1:18" x14ac:dyDescent="0.25">
      <c r="A700">
        <f t="shared" si="10"/>
        <v>0</v>
      </c>
      <c r="C700">
        <f>NOT(hospitalityq!C700="")*(SUMPRODUCT(--(TRIM(hospitalityq!C6:C700)=TRIM(hospitalityq!C700)))&gt;1)</f>
        <v>0</v>
      </c>
      <c r="D700">
        <f>NOT(hospitalityq!D700="")*(COUNTIF(reference!$C$17:$C$18,TRIM(hospitalityq!D700))=0)</f>
        <v>0</v>
      </c>
      <c r="J700">
        <f>NOT(hospitalityq!J700="")*(NOT(ISNUMBER(hospitalityq!J700+0)))</f>
        <v>0</v>
      </c>
      <c r="K700">
        <f>NOT(hospitalityq!K700="")*(NOT(ISNUMBER(hospitalityq!K700+0)))</f>
        <v>0</v>
      </c>
      <c r="P700">
        <f>NOT(hospitalityq!P700="")*(NOT(IFERROR(INT(hospitalityq!P700)=VALUE(hospitalityq!P700),FALSE)))</f>
        <v>0</v>
      </c>
      <c r="Q700">
        <f>NOT(hospitalityq!Q700="")*(NOT(IFERROR(INT(hospitalityq!Q700)=VALUE(hospitalityq!Q700),FALSE)))</f>
        <v>0</v>
      </c>
      <c r="R700">
        <f>NOT(hospitalityq!R700="")*(NOT(IFERROR(ROUND(VALUE(hospitalityq!R700),2)=VALUE(hospitalityq!R700),FALSE)))</f>
        <v>0</v>
      </c>
    </row>
    <row r="701" spans="1:18" x14ac:dyDescent="0.25">
      <c r="A701">
        <f t="shared" si="10"/>
        <v>0</v>
      </c>
      <c r="C701">
        <f>NOT(hospitalityq!C701="")*(SUMPRODUCT(--(TRIM(hospitalityq!C6:C701)=TRIM(hospitalityq!C701)))&gt;1)</f>
        <v>0</v>
      </c>
      <c r="D701">
        <f>NOT(hospitalityq!D701="")*(COUNTIF(reference!$C$17:$C$18,TRIM(hospitalityq!D701))=0)</f>
        <v>0</v>
      </c>
      <c r="J701">
        <f>NOT(hospitalityq!J701="")*(NOT(ISNUMBER(hospitalityq!J701+0)))</f>
        <v>0</v>
      </c>
      <c r="K701">
        <f>NOT(hospitalityq!K701="")*(NOT(ISNUMBER(hospitalityq!K701+0)))</f>
        <v>0</v>
      </c>
      <c r="P701">
        <f>NOT(hospitalityq!P701="")*(NOT(IFERROR(INT(hospitalityq!P701)=VALUE(hospitalityq!P701),FALSE)))</f>
        <v>0</v>
      </c>
      <c r="Q701">
        <f>NOT(hospitalityq!Q701="")*(NOT(IFERROR(INT(hospitalityq!Q701)=VALUE(hospitalityq!Q701),FALSE)))</f>
        <v>0</v>
      </c>
      <c r="R701">
        <f>NOT(hospitalityq!R701="")*(NOT(IFERROR(ROUND(VALUE(hospitalityq!R701),2)=VALUE(hospitalityq!R701),FALSE)))</f>
        <v>0</v>
      </c>
    </row>
    <row r="702" spans="1:18" x14ac:dyDescent="0.25">
      <c r="A702">
        <f t="shared" si="10"/>
        <v>0</v>
      </c>
      <c r="C702">
        <f>NOT(hospitalityq!C702="")*(SUMPRODUCT(--(TRIM(hospitalityq!C6:C702)=TRIM(hospitalityq!C702)))&gt;1)</f>
        <v>0</v>
      </c>
      <c r="D702">
        <f>NOT(hospitalityq!D702="")*(COUNTIF(reference!$C$17:$C$18,TRIM(hospitalityq!D702))=0)</f>
        <v>0</v>
      </c>
      <c r="J702">
        <f>NOT(hospitalityq!J702="")*(NOT(ISNUMBER(hospitalityq!J702+0)))</f>
        <v>0</v>
      </c>
      <c r="K702">
        <f>NOT(hospitalityq!K702="")*(NOT(ISNUMBER(hospitalityq!K702+0)))</f>
        <v>0</v>
      </c>
      <c r="P702">
        <f>NOT(hospitalityq!P702="")*(NOT(IFERROR(INT(hospitalityq!P702)=VALUE(hospitalityq!P702),FALSE)))</f>
        <v>0</v>
      </c>
      <c r="Q702">
        <f>NOT(hospitalityq!Q702="")*(NOT(IFERROR(INT(hospitalityq!Q702)=VALUE(hospitalityq!Q702),FALSE)))</f>
        <v>0</v>
      </c>
      <c r="R702">
        <f>NOT(hospitalityq!R702="")*(NOT(IFERROR(ROUND(VALUE(hospitalityq!R702),2)=VALUE(hospitalityq!R702),FALSE)))</f>
        <v>0</v>
      </c>
    </row>
    <row r="703" spans="1:18" x14ac:dyDescent="0.25">
      <c r="A703">
        <f t="shared" si="10"/>
        <v>0</v>
      </c>
      <c r="C703">
        <f>NOT(hospitalityq!C703="")*(SUMPRODUCT(--(TRIM(hospitalityq!C6:C703)=TRIM(hospitalityq!C703)))&gt;1)</f>
        <v>0</v>
      </c>
      <c r="D703">
        <f>NOT(hospitalityq!D703="")*(COUNTIF(reference!$C$17:$C$18,TRIM(hospitalityq!D703))=0)</f>
        <v>0</v>
      </c>
      <c r="J703">
        <f>NOT(hospitalityq!J703="")*(NOT(ISNUMBER(hospitalityq!J703+0)))</f>
        <v>0</v>
      </c>
      <c r="K703">
        <f>NOT(hospitalityq!K703="")*(NOT(ISNUMBER(hospitalityq!K703+0)))</f>
        <v>0</v>
      </c>
      <c r="P703">
        <f>NOT(hospitalityq!P703="")*(NOT(IFERROR(INT(hospitalityq!P703)=VALUE(hospitalityq!P703),FALSE)))</f>
        <v>0</v>
      </c>
      <c r="Q703">
        <f>NOT(hospitalityq!Q703="")*(NOT(IFERROR(INT(hospitalityq!Q703)=VALUE(hospitalityq!Q703),FALSE)))</f>
        <v>0</v>
      </c>
      <c r="R703">
        <f>NOT(hospitalityq!R703="")*(NOT(IFERROR(ROUND(VALUE(hospitalityq!R703),2)=VALUE(hospitalityq!R703),FALSE)))</f>
        <v>0</v>
      </c>
    </row>
    <row r="704" spans="1:18" x14ac:dyDescent="0.25">
      <c r="A704">
        <f t="shared" si="10"/>
        <v>0</v>
      </c>
      <c r="C704">
        <f>NOT(hospitalityq!C704="")*(SUMPRODUCT(--(TRIM(hospitalityq!C6:C704)=TRIM(hospitalityq!C704)))&gt;1)</f>
        <v>0</v>
      </c>
      <c r="D704">
        <f>NOT(hospitalityq!D704="")*(COUNTIF(reference!$C$17:$C$18,TRIM(hospitalityq!D704))=0)</f>
        <v>0</v>
      </c>
      <c r="J704">
        <f>NOT(hospitalityq!J704="")*(NOT(ISNUMBER(hospitalityq!J704+0)))</f>
        <v>0</v>
      </c>
      <c r="K704">
        <f>NOT(hospitalityq!K704="")*(NOT(ISNUMBER(hospitalityq!K704+0)))</f>
        <v>0</v>
      </c>
      <c r="P704">
        <f>NOT(hospitalityq!P704="")*(NOT(IFERROR(INT(hospitalityq!P704)=VALUE(hospitalityq!P704),FALSE)))</f>
        <v>0</v>
      </c>
      <c r="Q704">
        <f>NOT(hospitalityq!Q704="")*(NOT(IFERROR(INT(hospitalityq!Q704)=VALUE(hospitalityq!Q704),FALSE)))</f>
        <v>0</v>
      </c>
      <c r="R704">
        <f>NOT(hospitalityq!R704="")*(NOT(IFERROR(ROUND(VALUE(hospitalityq!R704),2)=VALUE(hospitalityq!R704),FALSE)))</f>
        <v>0</v>
      </c>
    </row>
    <row r="705" spans="1:18" x14ac:dyDescent="0.25">
      <c r="A705">
        <f t="shared" si="10"/>
        <v>0</v>
      </c>
      <c r="C705">
        <f>NOT(hospitalityq!C705="")*(SUMPRODUCT(--(TRIM(hospitalityq!C6:C705)=TRIM(hospitalityq!C705)))&gt;1)</f>
        <v>0</v>
      </c>
      <c r="D705">
        <f>NOT(hospitalityq!D705="")*(COUNTIF(reference!$C$17:$C$18,TRIM(hospitalityq!D705))=0)</f>
        <v>0</v>
      </c>
      <c r="J705">
        <f>NOT(hospitalityq!J705="")*(NOT(ISNUMBER(hospitalityq!J705+0)))</f>
        <v>0</v>
      </c>
      <c r="K705">
        <f>NOT(hospitalityq!K705="")*(NOT(ISNUMBER(hospitalityq!K705+0)))</f>
        <v>0</v>
      </c>
      <c r="P705">
        <f>NOT(hospitalityq!P705="")*(NOT(IFERROR(INT(hospitalityq!P705)=VALUE(hospitalityq!P705),FALSE)))</f>
        <v>0</v>
      </c>
      <c r="Q705">
        <f>NOT(hospitalityq!Q705="")*(NOT(IFERROR(INT(hospitalityq!Q705)=VALUE(hospitalityq!Q705),FALSE)))</f>
        <v>0</v>
      </c>
      <c r="R705">
        <f>NOT(hospitalityq!R705="")*(NOT(IFERROR(ROUND(VALUE(hospitalityq!R705),2)=VALUE(hospitalityq!R705),FALSE)))</f>
        <v>0</v>
      </c>
    </row>
    <row r="706" spans="1:18" x14ac:dyDescent="0.25">
      <c r="A706">
        <f t="shared" si="10"/>
        <v>0</v>
      </c>
      <c r="C706">
        <f>NOT(hospitalityq!C706="")*(SUMPRODUCT(--(TRIM(hospitalityq!C6:C706)=TRIM(hospitalityq!C706)))&gt;1)</f>
        <v>0</v>
      </c>
      <c r="D706">
        <f>NOT(hospitalityq!D706="")*(COUNTIF(reference!$C$17:$C$18,TRIM(hospitalityq!D706))=0)</f>
        <v>0</v>
      </c>
      <c r="J706">
        <f>NOT(hospitalityq!J706="")*(NOT(ISNUMBER(hospitalityq!J706+0)))</f>
        <v>0</v>
      </c>
      <c r="K706">
        <f>NOT(hospitalityq!K706="")*(NOT(ISNUMBER(hospitalityq!K706+0)))</f>
        <v>0</v>
      </c>
      <c r="P706">
        <f>NOT(hospitalityq!P706="")*(NOT(IFERROR(INT(hospitalityq!P706)=VALUE(hospitalityq!P706),FALSE)))</f>
        <v>0</v>
      </c>
      <c r="Q706">
        <f>NOT(hospitalityq!Q706="")*(NOT(IFERROR(INT(hospitalityq!Q706)=VALUE(hospitalityq!Q706),FALSE)))</f>
        <v>0</v>
      </c>
      <c r="R706">
        <f>NOT(hospitalityq!R706="")*(NOT(IFERROR(ROUND(VALUE(hospitalityq!R706),2)=VALUE(hospitalityq!R706),FALSE)))</f>
        <v>0</v>
      </c>
    </row>
    <row r="707" spans="1:18" x14ac:dyDescent="0.25">
      <c r="A707">
        <f t="shared" si="10"/>
        <v>0</v>
      </c>
      <c r="C707">
        <f>NOT(hospitalityq!C707="")*(SUMPRODUCT(--(TRIM(hospitalityq!C6:C707)=TRIM(hospitalityq!C707)))&gt;1)</f>
        <v>0</v>
      </c>
      <c r="D707">
        <f>NOT(hospitalityq!D707="")*(COUNTIF(reference!$C$17:$C$18,TRIM(hospitalityq!D707))=0)</f>
        <v>0</v>
      </c>
      <c r="J707">
        <f>NOT(hospitalityq!J707="")*(NOT(ISNUMBER(hospitalityq!J707+0)))</f>
        <v>0</v>
      </c>
      <c r="K707">
        <f>NOT(hospitalityq!K707="")*(NOT(ISNUMBER(hospitalityq!K707+0)))</f>
        <v>0</v>
      </c>
      <c r="P707">
        <f>NOT(hospitalityq!P707="")*(NOT(IFERROR(INT(hospitalityq!P707)=VALUE(hospitalityq!P707),FALSE)))</f>
        <v>0</v>
      </c>
      <c r="Q707">
        <f>NOT(hospitalityq!Q707="")*(NOT(IFERROR(INT(hospitalityq!Q707)=VALUE(hospitalityq!Q707),FALSE)))</f>
        <v>0</v>
      </c>
      <c r="R707">
        <f>NOT(hospitalityq!R707="")*(NOT(IFERROR(ROUND(VALUE(hospitalityq!R707),2)=VALUE(hospitalityq!R707),FALSE)))</f>
        <v>0</v>
      </c>
    </row>
    <row r="708" spans="1:18" x14ac:dyDescent="0.25">
      <c r="A708">
        <f t="shared" si="10"/>
        <v>0</v>
      </c>
      <c r="C708">
        <f>NOT(hospitalityq!C708="")*(SUMPRODUCT(--(TRIM(hospitalityq!C6:C708)=TRIM(hospitalityq!C708)))&gt;1)</f>
        <v>0</v>
      </c>
      <c r="D708">
        <f>NOT(hospitalityq!D708="")*(COUNTIF(reference!$C$17:$C$18,TRIM(hospitalityq!D708))=0)</f>
        <v>0</v>
      </c>
      <c r="J708">
        <f>NOT(hospitalityq!J708="")*(NOT(ISNUMBER(hospitalityq!J708+0)))</f>
        <v>0</v>
      </c>
      <c r="K708">
        <f>NOT(hospitalityq!K708="")*(NOT(ISNUMBER(hospitalityq!K708+0)))</f>
        <v>0</v>
      </c>
      <c r="P708">
        <f>NOT(hospitalityq!P708="")*(NOT(IFERROR(INT(hospitalityq!P708)=VALUE(hospitalityq!P708),FALSE)))</f>
        <v>0</v>
      </c>
      <c r="Q708">
        <f>NOT(hospitalityq!Q708="")*(NOT(IFERROR(INT(hospitalityq!Q708)=VALUE(hospitalityq!Q708),FALSE)))</f>
        <v>0</v>
      </c>
      <c r="R708">
        <f>NOT(hospitalityq!R708="")*(NOT(IFERROR(ROUND(VALUE(hospitalityq!R708),2)=VALUE(hospitalityq!R708),FALSE)))</f>
        <v>0</v>
      </c>
    </row>
    <row r="709" spans="1:18" x14ac:dyDescent="0.25">
      <c r="A709">
        <f t="shared" si="10"/>
        <v>0</v>
      </c>
      <c r="C709">
        <f>NOT(hospitalityq!C709="")*(SUMPRODUCT(--(TRIM(hospitalityq!C6:C709)=TRIM(hospitalityq!C709)))&gt;1)</f>
        <v>0</v>
      </c>
      <c r="D709">
        <f>NOT(hospitalityq!D709="")*(COUNTIF(reference!$C$17:$C$18,TRIM(hospitalityq!D709))=0)</f>
        <v>0</v>
      </c>
      <c r="J709">
        <f>NOT(hospitalityq!J709="")*(NOT(ISNUMBER(hospitalityq!J709+0)))</f>
        <v>0</v>
      </c>
      <c r="K709">
        <f>NOT(hospitalityq!K709="")*(NOT(ISNUMBER(hospitalityq!K709+0)))</f>
        <v>0</v>
      </c>
      <c r="P709">
        <f>NOT(hospitalityq!P709="")*(NOT(IFERROR(INT(hospitalityq!P709)=VALUE(hospitalityq!P709),FALSE)))</f>
        <v>0</v>
      </c>
      <c r="Q709">
        <f>NOT(hospitalityq!Q709="")*(NOT(IFERROR(INT(hospitalityq!Q709)=VALUE(hospitalityq!Q709),FALSE)))</f>
        <v>0</v>
      </c>
      <c r="R709">
        <f>NOT(hospitalityq!R709="")*(NOT(IFERROR(ROUND(VALUE(hospitalityq!R709),2)=VALUE(hospitalityq!R709),FALSE)))</f>
        <v>0</v>
      </c>
    </row>
    <row r="710" spans="1:18" x14ac:dyDescent="0.25">
      <c r="A710">
        <f t="shared" ref="A710:A773" si="11">IFERROR(MATCH(TRUE,INDEX(C710:R710&lt;&gt;0,),)+2,0)</f>
        <v>0</v>
      </c>
      <c r="C710">
        <f>NOT(hospitalityq!C710="")*(SUMPRODUCT(--(TRIM(hospitalityq!C6:C710)=TRIM(hospitalityq!C710)))&gt;1)</f>
        <v>0</v>
      </c>
      <c r="D710">
        <f>NOT(hospitalityq!D710="")*(COUNTIF(reference!$C$17:$C$18,TRIM(hospitalityq!D710))=0)</f>
        <v>0</v>
      </c>
      <c r="J710">
        <f>NOT(hospitalityq!J710="")*(NOT(ISNUMBER(hospitalityq!J710+0)))</f>
        <v>0</v>
      </c>
      <c r="K710">
        <f>NOT(hospitalityq!K710="")*(NOT(ISNUMBER(hospitalityq!K710+0)))</f>
        <v>0</v>
      </c>
      <c r="P710">
        <f>NOT(hospitalityq!P710="")*(NOT(IFERROR(INT(hospitalityq!P710)=VALUE(hospitalityq!P710),FALSE)))</f>
        <v>0</v>
      </c>
      <c r="Q710">
        <f>NOT(hospitalityq!Q710="")*(NOT(IFERROR(INT(hospitalityq!Q710)=VALUE(hospitalityq!Q710),FALSE)))</f>
        <v>0</v>
      </c>
      <c r="R710">
        <f>NOT(hospitalityq!R710="")*(NOT(IFERROR(ROUND(VALUE(hospitalityq!R710),2)=VALUE(hospitalityq!R710),FALSE)))</f>
        <v>0</v>
      </c>
    </row>
    <row r="711" spans="1:18" x14ac:dyDescent="0.25">
      <c r="A711">
        <f t="shared" si="11"/>
        <v>0</v>
      </c>
      <c r="C711">
        <f>NOT(hospitalityq!C711="")*(SUMPRODUCT(--(TRIM(hospitalityq!C6:C711)=TRIM(hospitalityq!C711)))&gt;1)</f>
        <v>0</v>
      </c>
      <c r="D711">
        <f>NOT(hospitalityq!D711="")*(COUNTIF(reference!$C$17:$C$18,TRIM(hospitalityq!D711))=0)</f>
        <v>0</v>
      </c>
      <c r="J711">
        <f>NOT(hospitalityq!J711="")*(NOT(ISNUMBER(hospitalityq!J711+0)))</f>
        <v>0</v>
      </c>
      <c r="K711">
        <f>NOT(hospitalityq!K711="")*(NOT(ISNUMBER(hospitalityq!K711+0)))</f>
        <v>0</v>
      </c>
      <c r="P711">
        <f>NOT(hospitalityq!P711="")*(NOT(IFERROR(INT(hospitalityq!P711)=VALUE(hospitalityq!P711),FALSE)))</f>
        <v>0</v>
      </c>
      <c r="Q711">
        <f>NOT(hospitalityq!Q711="")*(NOT(IFERROR(INT(hospitalityq!Q711)=VALUE(hospitalityq!Q711),FALSE)))</f>
        <v>0</v>
      </c>
      <c r="R711">
        <f>NOT(hospitalityq!R711="")*(NOT(IFERROR(ROUND(VALUE(hospitalityq!R711),2)=VALUE(hospitalityq!R711),FALSE)))</f>
        <v>0</v>
      </c>
    </row>
    <row r="712" spans="1:18" x14ac:dyDescent="0.25">
      <c r="A712">
        <f t="shared" si="11"/>
        <v>0</v>
      </c>
      <c r="C712">
        <f>NOT(hospitalityq!C712="")*(SUMPRODUCT(--(TRIM(hospitalityq!C6:C712)=TRIM(hospitalityq!C712)))&gt;1)</f>
        <v>0</v>
      </c>
      <c r="D712">
        <f>NOT(hospitalityq!D712="")*(COUNTIF(reference!$C$17:$C$18,TRIM(hospitalityq!D712))=0)</f>
        <v>0</v>
      </c>
      <c r="J712">
        <f>NOT(hospitalityq!J712="")*(NOT(ISNUMBER(hospitalityq!J712+0)))</f>
        <v>0</v>
      </c>
      <c r="K712">
        <f>NOT(hospitalityq!K712="")*(NOT(ISNUMBER(hospitalityq!K712+0)))</f>
        <v>0</v>
      </c>
      <c r="P712">
        <f>NOT(hospitalityq!P712="")*(NOT(IFERROR(INT(hospitalityq!P712)=VALUE(hospitalityq!P712),FALSE)))</f>
        <v>0</v>
      </c>
      <c r="Q712">
        <f>NOT(hospitalityq!Q712="")*(NOT(IFERROR(INT(hospitalityq!Q712)=VALUE(hospitalityq!Q712),FALSE)))</f>
        <v>0</v>
      </c>
      <c r="R712">
        <f>NOT(hospitalityq!R712="")*(NOT(IFERROR(ROUND(VALUE(hospitalityq!R712),2)=VALUE(hospitalityq!R712),FALSE)))</f>
        <v>0</v>
      </c>
    </row>
    <row r="713" spans="1:18" x14ac:dyDescent="0.25">
      <c r="A713">
        <f t="shared" si="11"/>
        <v>0</v>
      </c>
      <c r="C713">
        <f>NOT(hospitalityq!C713="")*(SUMPRODUCT(--(TRIM(hospitalityq!C6:C713)=TRIM(hospitalityq!C713)))&gt;1)</f>
        <v>0</v>
      </c>
      <c r="D713">
        <f>NOT(hospitalityq!D713="")*(COUNTIF(reference!$C$17:$C$18,TRIM(hospitalityq!D713))=0)</f>
        <v>0</v>
      </c>
      <c r="J713">
        <f>NOT(hospitalityq!J713="")*(NOT(ISNUMBER(hospitalityq!J713+0)))</f>
        <v>0</v>
      </c>
      <c r="K713">
        <f>NOT(hospitalityq!K713="")*(NOT(ISNUMBER(hospitalityq!K713+0)))</f>
        <v>0</v>
      </c>
      <c r="P713">
        <f>NOT(hospitalityq!P713="")*(NOT(IFERROR(INT(hospitalityq!P713)=VALUE(hospitalityq!P713),FALSE)))</f>
        <v>0</v>
      </c>
      <c r="Q713">
        <f>NOT(hospitalityq!Q713="")*(NOT(IFERROR(INT(hospitalityq!Q713)=VALUE(hospitalityq!Q713),FALSE)))</f>
        <v>0</v>
      </c>
      <c r="R713">
        <f>NOT(hospitalityq!R713="")*(NOT(IFERROR(ROUND(VALUE(hospitalityq!R713),2)=VALUE(hospitalityq!R713),FALSE)))</f>
        <v>0</v>
      </c>
    </row>
    <row r="714" spans="1:18" x14ac:dyDescent="0.25">
      <c r="A714">
        <f t="shared" si="11"/>
        <v>0</v>
      </c>
      <c r="C714">
        <f>NOT(hospitalityq!C714="")*(SUMPRODUCT(--(TRIM(hospitalityq!C6:C714)=TRIM(hospitalityq!C714)))&gt;1)</f>
        <v>0</v>
      </c>
      <c r="D714">
        <f>NOT(hospitalityq!D714="")*(COUNTIF(reference!$C$17:$C$18,TRIM(hospitalityq!D714))=0)</f>
        <v>0</v>
      </c>
      <c r="J714">
        <f>NOT(hospitalityq!J714="")*(NOT(ISNUMBER(hospitalityq!J714+0)))</f>
        <v>0</v>
      </c>
      <c r="K714">
        <f>NOT(hospitalityq!K714="")*(NOT(ISNUMBER(hospitalityq!K714+0)))</f>
        <v>0</v>
      </c>
      <c r="P714">
        <f>NOT(hospitalityq!P714="")*(NOT(IFERROR(INT(hospitalityq!P714)=VALUE(hospitalityq!P714),FALSE)))</f>
        <v>0</v>
      </c>
      <c r="Q714">
        <f>NOT(hospitalityq!Q714="")*(NOT(IFERROR(INT(hospitalityq!Q714)=VALUE(hospitalityq!Q714),FALSE)))</f>
        <v>0</v>
      </c>
      <c r="R714">
        <f>NOT(hospitalityq!R714="")*(NOT(IFERROR(ROUND(VALUE(hospitalityq!R714),2)=VALUE(hospitalityq!R714),FALSE)))</f>
        <v>0</v>
      </c>
    </row>
    <row r="715" spans="1:18" x14ac:dyDescent="0.25">
      <c r="A715">
        <f t="shared" si="11"/>
        <v>0</v>
      </c>
      <c r="C715">
        <f>NOT(hospitalityq!C715="")*(SUMPRODUCT(--(TRIM(hospitalityq!C6:C715)=TRIM(hospitalityq!C715)))&gt;1)</f>
        <v>0</v>
      </c>
      <c r="D715">
        <f>NOT(hospitalityq!D715="")*(COUNTIF(reference!$C$17:$C$18,TRIM(hospitalityq!D715))=0)</f>
        <v>0</v>
      </c>
      <c r="J715">
        <f>NOT(hospitalityq!J715="")*(NOT(ISNUMBER(hospitalityq!J715+0)))</f>
        <v>0</v>
      </c>
      <c r="K715">
        <f>NOT(hospitalityq!K715="")*(NOT(ISNUMBER(hospitalityq!K715+0)))</f>
        <v>0</v>
      </c>
      <c r="P715">
        <f>NOT(hospitalityq!P715="")*(NOT(IFERROR(INT(hospitalityq!P715)=VALUE(hospitalityq!P715),FALSE)))</f>
        <v>0</v>
      </c>
      <c r="Q715">
        <f>NOT(hospitalityq!Q715="")*(NOT(IFERROR(INT(hospitalityq!Q715)=VALUE(hospitalityq!Q715),FALSE)))</f>
        <v>0</v>
      </c>
      <c r="R715">
        <f>NOT(hospitalityq!R715="")*(NOT(IFERROR(ROUND(VALUE(hospitalityq!R715),2)=VALUE(hospitalityq!R715),FALSE)))</f>
        <v>0</v>
      </c>
    </row>
    <row r="716" spans="1:18" x14ac:dyDescent="0.25">
      <c r="A716">
        <f t="shared" si="11"/>
        <v>0</v>
      </c>
      <c r="C716">
        <f>NOT(hospitalityq!C716="")*(SUMPRODUCT(--(TRIM(hospitalityq!C6:C716)=TRIM(hospitalityq!C716)))&gt;1)</f>
        <v>0</v>
      </c>
      <c r="D716">
        <f>NOT(hospitalityq!D716="")*(COUNTIF(reference!$C$17:$C$18,TRIM(hospitalityq!D716))=0)</f>
        <v>0</v>
      </c>
      <c r="J716">
        <f>NOT(hospitalityq!J716="")*(NOT(ISNUMBER(hospitalityq!J716+0)))</f>
        <v>0</v>
      </c>
      <c r="K716">
        <f>NOT(hospitalityq!K716="")*(NOT(ISNUMBER(hospitalityq!K716+0)))</f>
        <v>0</v>
      </c>
      <c r="P716">
        <f>NOT(hospitalityq!P716="")*(NOT(IFERROR(INT(hospitalityq!P716)=VALUE(hospitalityq!P716),FALSE)))</f>
        <v>0</v>
      </c>
      <c r="Q716">
        <f>NOT(hospitalityq!Q716="")*(NOT(IFERROR(INT(hospitalityq!Q716)=VALUE(hospitalityq!Q716),FALSE)))</f>
        <v>0</v>
      </c>
      <c r="R716">
        <f>NOT(hospitalityq!R716="")*(NOT(IFERROR(ROUND(VALUE(hospitalityq!R716),2)=VALUE(hospitalityq!R716),FALSE)))</f>
        <v>0</v>
      </c>
    </row>
    <row r="717" spans="1:18" x14ac:dyDescent="0.25">
      <c r="A717">
        <f t="shared" si="11"/>
        <v>0</v>
      </c>
      <c r="C717">
        <f>NOT(hospitalityq!C717="")*(SUMPRODUCT(--(TRIM(hospitalityq!C6:C717)=TRIM(hospitalityq!C717)))&gt;1)</f>
        <v>0</v>
      </c>
      <c r="D717">
        <f>NOT(hospitalityq!D717="")*(COUNTIF(reference!$C$17:$C$18,TRIM(hospitalityq!D717))=0)</f>
        <v>0</v>
      </c>
      <c r="J717">
        <f>NOT(hospitalityq!J717="")*(NOT(ISNUMBER(hospitalityq!J717+0)))</f>
        <v>0</v>
      </c>
      <c r="K717">
        <f>NOT(hospitalityq!K717="")*(NOT(ISNUMBER(hospitalityq!K717+0)))</f>
        <v>0</v>
      </c>
      <c r="P717">
        <f>NOT(hospitalityq!P717="")*(NOT(IFERROR(INT(hospitalityq!P717)=VALUE(hospitalityq!P717),FALSE)))</f>
        <v>0</v>
      </c>
      <c r="Q717">
        <f>NOT(hospitalityq!Q717="")*(NOT(IFERROR(INT(hospitalityq!Q717)=VALUE(hospitalityq!Q717),FALSE)))</f>
        <v>0</v>
      </c>
      <c r="R717">
        <f>NOT(hospitalityq!R717="")*(NOT(IFERROR(ROUND(VALUE(hospitalityq!R717),2)=VALUE(hospitalityq!R717),FALSE)))</f>
        <v>0</v>
      </c>
    </row>
    <row r="718" spans="1:18" x14ac:dyDescent="0.25">
      <c r="A718">
        <f t="shared" si="11"/>
        <v>0</v>
      </c>
      <c r="C718">
        <f>NOT(hospitalityq!C718="")*(SUMPRODUCT(--(TRIM(hospitalityq!C6:C718)=TRIM(hospitalityq!C718)))&gt;1)</f>
        <v>0</v>
      </c>
      <c r="D718">
        <f>NOT(hospitalityq!D718="")*(COUNTIF(reference!$C$17:$C$18,TRIM(hospitalityq!D718))=0)</f>
        <v>0</v>
      </c>
      <c r="J718">
        <f>NOT(hospitalityq!J718="")*(NOT(ISNUMBER(hospitalityq!J718+0)))</f>
        <v>0</v>
      </c>
      <c r="K718">
        <f>NOT(hospitalityq!K718="")*(NOT(ISNUMBER(hospitalityq!K718+0)))</f>
        <v>0</v>
      </c>
      <c r="P718">
        <f>NOT(hospitalityq!P718="")*(NOT(IFERROR(INT(hospitalityq!P718)=VALUE(hospitalityq!P718),FALSE)))</f>
        <v>0</v>
      </c>
      <c r="Q718">
        <f>NOT(hospitalityq!Q718="")*(NOT(IFERROR(INT(hospitalityq!Q718)=VALUE(hospitalityq!Q718),FALSE)))</f>
        <v>0</v>
      </c>
      <c r="R718">
        <f>NOT(hospitalityq!R718="")*(NOT(IFERROR(ROUND(VALUE(hospitalityq!R718),2)=VALUE(hospitalityq!R718),FALSE)))</f>
        <v>0</v>
      </c>
    </row>
    <row r="719" spans="1:18" x14ac:dyDescent="0.25">
      <c r="A719">
        <f t="shared" si="11"/>
        <v>0</v>
      </c>
      <c r="C719">
        <f>NOT(hospitalityq!C719="")*(SUMPRODUCT(--(TRIM(hospitalityq!C6:C719)=TRIM(hospitalityq!C719)))&gt;1)</f>
        <v>0</v>
      </c>
      <c r="D719">
        <f>NOT(hospitalityq!D719="")*(COUNTIF(reference!$C$17:$C$18,TRIM(hospitalityq!D719))=0)</f>
        <v>0</v>
      </c>
      <c r="J719">
        <f>NOT(hospitalityq!J719="")*(NOT(ISNUMBER(hospitalityq!J719+0)))</f>
        <v>0</v>
      </c>
      <c r="K719">
        <f>NOT(hospitalityq!K719="")*(NOT(ISNUMBER(hospitalityq!K719+0)))</f>
        <v>0</v>
      </c>
      <c r="P719">
        <f>NOT(hospitalityq!P719="")*(NOT(IFERROR(INT(hospitalityq!P719)=VALUE(hospitalityq!P719),FALSE)))</f>
        <v>0</v>
      </c>
      <c r="Q719">
        <f>NOT(hospitalityq!Q719="")*(NOT(IFERROR(INT(hospitalityq!Q719)=VALUE(hospitalityq!Q719),FALSE)))</f>
        <v>0</v>
      </c>
      <c r="R719">
        <f>NOT(hospitalityq!R719="")*(NOT(IFERROR(ROUND(VALUE(hospitalityq!R719),2)=VALUE(hospitalityq!R719),FALSE)))</f>
        <v>0</v>
      </c>
    </row>
    <row r="720" spans="1:18" x14ac:dyDescent="0.25">
      <c r="A720">
        <f t="shared" si="11"/>
        <v>0</v>
      </c>
      <c r="C720">
        <f>NOT(hospitalityq!C720="")*(SUMPRODUCT(--(TRIM(hospitalityq!C6:C720)=TRIM(hospitalityq!C720)))&gt;1)</f>
        <v>0</v>
      </c>
      <c r="D720">
        <f>NOT(hospitalityq!D720="")*(COUNTIF(reference!$C$17:$C$18,TRIM(hospitalityq!D720))=0)</f>
        <v>0</v>
      </c>
      <c r="J720">
        <f>NOT(hospitalityq!J720="")*(NOT(ISNUMBER(hospitalityq!J720+0)))</f>
        <v>0</v>
      </c>
      <c r="K720">
        <f>NOT(hospitalityq!K720="")*(NOT(ISNUMBER(hospitalityq!K720+0)))</f>
        <v>0</v>
      </c>
      <c r="P720">
        <f>NOT(hospitalityq!P720="")*(NOT(IFERROR(INT(hospitalityq!P720)=VALUE(hospitalityq!P720),FALSE)))</f>
        <v>0</v>
      </c>
      <c r="Q720">
        <f>NOT(hospitalityq!Q720="")*(NOT(IFERROR(INT(hospitalityq!Q720)=VALUE(hospitalityq!Q720),FALSE)))</f>
        <v>0</v>
      </c>
      <c r="R720">
        <f>NOT(hospitalityq!R720="")*(NOT(IFERROR(ROUND(VALUE(hospitalityq!R720),2)=VALUE(hospitalityq!R720),FALSE)))</f>
        <v>0</v>
      </c>
    </row>
    <row r="721" spans="1:18" x14ac:dyDescent="0.25">
      <c r="A721">
        <f t="shared" si="11"/>
        <v>0</v>
      </c>
      <c r="C721">
        <f>NOT(hospitalityq!C721="")*(SUMPRODUCT(--(TRIM(hospitalityq!C6:C721)=TRIM(hospitalityq!C721)))&gt;1)</f>
        <v>0</v>
      </c>
      <c r="D721">
        <f>NOT(hospitalityq!D721="")*(COUNTIF(reference!$C$17:$C$18,TRIM(hospitalityq!D721))=0)</f>
        <v>0</v>
      </c>
      <c r="J721">
        <f>NOT(hospitalityq!J721="")*(NOT(ISNUMBER(hospitalityq!J721+0)))</f>
        <v>0</v>
      </c>
      <c r="K721">
        <f>NOT(hospitalityq!K721="")*(NOT(ISNUMBER(hospitalityq!K721+0)))</f>
        <v>0</v>
      </c>
      <c r="P721">
        <f>NOT(hospitalityq!P721="")*(NOT(IFERROR(INT(hospitalityq!P721)=VALUE(hospitalityq!P721),FALSE)))</f>
        <v>0</v>
      </c>
      <c r="Q721">
        <f>NOT(hospitalityq!Q721="")*(NOT(IFERROR(INT(hospitalityq!Q721)=VALUE(hospitalityq!Q721),FALSE)))</f>
        <v>0</v>
      </c>
      <c r="R721">
        <f>NOT(hospitalityq!R721="")*(NOT(IFERROR(ROUND(VALUE(hospitalityq!R721),2)=VALUE(hospitalityq!R721),FALSE)))</f>
        <v>0</v>
      </c>
    </row>
    <row r="722" spans="1:18" x14ac:dyDescent="0.25">
      <c r="A722">
        <f t="shared" si="11"/>
        <v>0</v>
      </c>
      <c r="C722">
        <f>NOT(hospitalityq!C722="")*(SUMPRODUCT(--(TRIM(hospitalityq!C6:C722)=TRIM(hospitalityq!C722)))&gt;1)</f>
        <v>0</v>
      </c>
      <c r="D722">
        <f>NOT(hospitalityq!D722="")*(COUNTIF(reference!$C$17:$C$18,TRIM(hospitalityq!D722))=0)</f>
        <v>0</v>
      </c>
      <c r="J722">
        <f>NOT(hospitalityq!J722="")*(NOT(ISNUMBER(hospitalityq!J722+0)))</f>
        <v>0</v>
      </c>
      <c r="K722">
        <f>NOT(hospitalityq!K722="")*(NOT(ISNUMBER(hospitalityq!K722+0)))</f>
        <v>0</v>
      </c>
      <c r="P722">
        <f>NOT(hospitalityq!P722="")*(NOT(IFERROR(INT(hospitalityq!P722)=VALUE(hospitalityq!P722),FALSE)))</f>
        <v>0</v>
      </c>
      <c r="Q722">
        <f>NOT(hospitalityq!Q722="")*(NOT(IFERROR(INT(hospitalityq!Q722)=VALUE(hospitalityq!Q722),FALSE)))</f>
        <v>0</v>
      </c>
      <c r="R722">
        <f>NOT(hospitalityq!R722="")*(NOT(IFERROR(ROUND(VALUE(hospitalityq!R722),2)=VALUE(hospitalityq!R722),FALSE)))</f>
        <v>0</v>
      </c>
    </row>
    <row r="723" spans="1:18" x14ac:dyDescent="0.25">
      <c r="A723">
        <f t="shared" si="11"/>
        <v>0</v>
      </c>
      <c r="C723">
        <f>NOT(hospitalityq!C723="")*(SUMPRODUCT(--(TRIM(hospitalityq!C6:C723)=TRIM(hospitalityq!C723)))&gt;1)</f>
        <v>0</v>
      </c>
      <c r="D723">
        <f>NOT(hospitalityq!D723="")*(COUNTIF(reference!$C$17:$C$18,TRIM(hospitalityq!D723))=0)</f>
        <v>0</v>
      </c>
      <c r="J723">
        <f>NOT(hospitalityq!J723="")*(NOT(ISNUMBER(hospitalityq!J723+0)))</f>
        <v>0</v>
      </c>
      <c r="K723">
        <f>NOT(hospitalityq!K723="")*(NOT(ISNUMBER(hospitalityq!K723+0)))</f>
        <v>0</v>
      </c>
      <c r="P723">
        <f>NOT(hospitalityq!P723="")*(NOT(IFERROR(INT(hospitalityq!P723)=VALUE(hospitalityq!P723),FALSE)))</f>
        <v>0</v>
      </c>
      <c r="Q723">
        <f>NOT(hospitalityq!Q723="")*(NOT(IFERROR(INT(hospitalityq!Q723)=VALUE(hospitalityq!Q723),FALSE)))</f>
        <v>0</v>
      </c>
      <c r="R723">
        <f>NOT(hospitalityq!R723="")*(NOT(IFERROR(ROUND(VALUE(hospitalityq!R723),2)=VALUE(hospitalityq!R723),FALSE)))</f>
        <v>0</v>
      </c>
    </row>
    <row r="724" spans="1:18" x14ac:dyDescent="0.25">
      <c r="A724">
        <f t="shared" si="11"/>
        <v>0</v>
      </c>
      <c r="C724">
        <f>NOT(hospitalityq!C724="")*(SUMPRODUCT(--(TRIM(hospitalityq!C6:C724)=TRIM(hospitalityq!C724)))&gt;1)</f>
        <v>0</v>
      </c>
      <c r="D724">
        <f>NOT(hospitalityq!D724="")*(COUNTIF(reference!$C$17:$C$18,TRIM(hospitalityq!D724))=0)</f>
        <v>0</v>
      </c>
      <c r="J724">
        <f>NOT(hospitalityq!J724="")*(NOT(ISNUMBER(hospitalityq!J724+0)))</f>
        <v>0</v>
      </c>
      <c r="K724">
        <f>NOT(hospitalityq!K724="")*(NOT(ISNUMBER(hospitalityq!K724+0)))</f>
        <v>0</v>
      </c>
      <c r="P724">
        <f>NOT(hospitalityq!P724="")*(NOT(IFERROR(INT(hospitalityq!P724)=VALUE(hospitalityq!P724),FALSE)))</f>
        <v>0</v>
      </c>
      <c r="Q724">
        <f>NOT(hospitalityq!Q724="")*(NOT(IFERROR(INT(hospitalityq!Q724)=VALUE(hospitalityq!Q724),FALSE)))</f>
        <v>0</v>
      </c>
      <c r="R724">
        <f>NOT(hospitalityq!R724="")*(NOT(IFERROR(ROUND(VALUE(hospitalityq!R724),2)=VALUE(hospitalityq!R724),FALSE)))</f>
        <v>0</v>
      </c>
    </row>
    <row r="725" spans="1:18" x14ac:dyDescent="0.25">
      <c r="A725">
        <f t="shared" si="11"/>
        <v>0</v>
      </c>
      <c r="C725">
        <f>NOT(hospitalityq!C725="")*(SUMPRODUCT(--(TRIM(hospitalityq!C6:C725)=TRIM(hospitalityq!C725)))&gt;1)</f>
        <v>0</v>
      </c>
      <c r="D725">
        <f>NOT(hospitalityq!D725="")*(COUNTIF(reference!$C$17:$C$18,TRIM(hospitalityq!D725))=0)</f>
        <v>0</v>
      </c>
      <c r="J725">
        <f>NOT(hospitalityq!J725="")*(NOT(ISNUMBER(hospitalityq!J725+0)))</f>
        <v>0</v>
      </c>
      <c r="K725">
        <f>NOT(hospitalityq!K725="")*(NOT(ISNUMBER(hospitalityq!K725+0)))</f>
        <v>0</v>
      </c>
      <c r="P725">
        <f>NOT(hospitalityq!P725="")*(NOT(IFERROR(INT(hospitalityq!P725)=VALUE(hospitalityq!P725),FALSE)))</f>
        <v>0</v>
      </c>
      <c r="Q725">
        <f>NOT(hospitalityq!Q725="")*(NOT(IFERROR(INT(hospitalityq!Q725)=VALUE(hospitalityq!Q725),FALSE)))</f>
        <v>0</v>
      </c>
      <c r="R725">
        <f>NOT(hospitalityq!R725="")*(NOT(IFERROR(ROUND(VALUE(hospitalityq!R725),2)=VALUE(hospitalityq!R725),FALSE)))</f>
        <v>0</v>
      </c>
    </row>
    <row r="726" spans="1:18" x14ac:dyDescent="0.25">
      <c r="A726">
        <f t="shared" si="11"/>
        <v>0</v>
      </c>
      <c r="C726">
        <f>NOT(hospitalityq!C726="")*(SUMPRODUCT(--(TRIM(hospitalityq!C6:C726)=TRIM(hospitalityq!C726)))&gt;1)</f>
        <v>0</v>
      </c>
      <c r="D726">
        <f>NOT(hospitalityq!D726="")*(COUNTIF(reference!$C$17:$C$18,TRIM(hospitalityq!D726))=0)</f>
        <v>0</v>
      </c>
      <c r="J726">
        <f>NOT(hospitalityq!J726="")*(NOT(ISNUMBER(hospitalityq!J726+0)))</f>
        <v>0</v>
      </c>
      <c r="K726">
        <f>NOT(hospitalityq!K726="")*(NOT(ISNUMBER(hospitalityq!K726+0)))</f>
        <v>0</v>
      </c>
      <c r="P726">
        <f>NOT(hospitalityq!P726="")*(NOT(IFERROR(INT(hospitalityq!P726)=VALUE(hospitalityq!P726),FALSE)))</f>
        <v>0</v>
      </c>
      <c r="Q726">
        <f>NOT(hospitalityq!Q726="")*(NOT(IFERROR(INT(hospitalityq!Q726)=VALUE(hospitalityq!Q726),FALSE)))</f>
        <v>0</v>
      </c>
      <c r="R726">
        <f>NOT(hospitalityq!R726="")*(NOT(IFERROR(ROUND(VALUE(hospitalityq!R726),2)=VALUE(hospitalityq!R726),FALSE)))</f>
        <v>0</v>
      </c>
    </row>
    <row r="727" spans="1:18" x14ac:dyDescent="0.25">
      <c r="A727">
        <f t="shared" si="11"/>
        <v>0</v>
      </c>
      <c r="C727">
        <f>NOT(hospitalityq!C727="")*(SUMPRODUCT(--(TRIM(hospitalityq!C6:C727)=TRIM(hospitalityq!C727)))&gt;1)</f>
        <v>0</v>
      </c>
      <c r="D727">
        <f>NOT(hospitalityq!D727="")*(COUNTIF(reference!$C$17:$C$18,TRIM(hospitalityq!D727))=0)</f>
        <v>0</v>
      </c>
      <c r="J727">
        <f>NOT(hospitalityq!J727="")*(NOT(ISNUMBER(hospitalityq!J727+0)))</f>
        <v>0</v>
      </c>
      <c r="K727">
        <f>NOT(hospitalityq!K727="")*(NOT(ISNUMBER(hospitalityq!K727+0)))</f>
        <v>0</v>
      </c>
      <c r="P727">
        <f>NOT(hospitalityq!P727="")*(NOT(IFERROR(INT(hospitalityq!P727)=VALUE(hospitalityq!P727),FALSE)))</f>
        <v>0</v>
      </c>
      <c r="Q727">
        <f>NOT(hospitalityq!Q727="")*(NOT(IFERROR(INT(hospitalityq!Q727)=VALUE(hospitalityq!Q727),FALSE)))</f>
        <v>0</v>
      </c>
      <c r="R727">
        <f>NOT(hospitalityq!R727="")*(NOT(IFERROR(ROUND(VALUE(hospitalityq!R727),2)=VALUE(hospitalityq!R727),FALSE)))</f>
        <v>0</v>
      </c>
    </row>
    <row r="728" spans="1:18" x14ac:dyDescent="0.25">
      <c r="A728">
        <f t="shared" si="11"/>
        <v>0</v>
      </c>
      <c r="C728">
        <f>NOT(hospitalityq!C728="")*(SUMPRODUCT(--(TRIM(hospitalityq!C6:C728)=TRIM(hospitalityq!C728)))&gt;1)</f>
        <v>0</v>
      </c>
      <c r="D728">
        <f>NOT(hospitalityq!D728="")*(COUNTIF(reference!$C$17:$C$18,TRIM(hospitalityq!D728))=0)</f>
        <v>0</v>
      </c>
      <c r="J728">
        <f>NOT(hospitalityq!J728="")*(NOT(ISNUMBER(hospitalityq!J728+0)))</f>
        <v>0</v>
      </c>
      <c r="K728">
        <f>NOT(hospitalityq!K728="")*(NOT(ISNUMBER(hospitalityq!K728+0)))</f>
        <v>0</v>
      </c>
      <c r="P728">
        <f>NOT(hospitalityq!P728="")*(NOT(IFERROR(INT(hospitalityq!P728)=VALUE(hospitalityq!P728),FALSE)))</f>
        <v>0</v>
      </c>
      <c r="Q728">
        <f>NOT(hospitalityq!Q728="")*(NOT(IFERROR(INT(hospitalityq!Q728)=VALUE(hospitalityq!Q728),FALSE)))</f>
        <v>0</v>
      </c>
      <c r="R728">
        <f>NOT(hospitalityq!R728="")*(NOT(IFERROR(ROUND(VALUE(hospitalityq!R728),2)=VALUE(hospitalityq!R728),FALSE)))</f>
        <v>0</v>
      </c>
    </row>
    <row r="729" spans="1:18" x14ac:dyDescent="0.25">
      <c r="A729">
        <f t="shared" si="11"/>
        <v>0</v>
      </c>
      <c r="C729">
        <f>NOT(hospitalityq!C729="")*(SUMPRODUCT(--(TRIM(hospitalityq!C6:C729)=TRIM(hospitalityq!C729)))&gt;1)</f>
        <v>0</v>
      </c>
      <c r="D729">
        <f>NOT(hospitalityq!D729="")*(COUNTIF(reference!$C$17:$C$18,TRIM(hospitalityq!D729))=0)</f>
        <v>0</v>
      </c>
      <c r="J729">
        <f>NOT(hospitalityq!J729="")*(NOT(ISNUMBER(hospitalityq!J729+0)))</f>
        <v>0</v>
      </c>
      <c r="K729">
        <f>NOT(hospitalityq!K729="")*(NOT(ISNUMBER(hospitalityq!K729+0)))</f>
        <v>0</v>
      </c>
      <c r="P729">
        <f>NOT(hospitalityq!P729="")*(NOT(IFERROR(INT(hospitalityq!P729)=VALUE(hospitalityq!P729),FALSE)))</f>
        <v>0</v>
      </c>
      <c r="Q729">
        <f>NOT(hospitalityq!Q729="")*(NOT(IFERROR(INT(hospitalityq!Q729)=VALUE(hospitalityq!Q729),FALSE)))</f>
        <v>0</v>
      </c>
      <c r="R729">
        <f>NOT(hospitalityq!R729="")*(NOT(IFERROR(ROUND(VALUE(hospitalityq!R729),2)=VALUE(hospitalityq!R729),FALSE)))</f>
        <v>0</v>
      </c>
    </row>
    <row r="730" spans="1:18" x14ac:dyDescent="0.25">
      <c r="A730">
        <f t="shared" si="11"/>
        <v>0</v>
      </c>
      <c r="C730">
        <f>NOT(hospitalityq!C730="")*(SUMPRODUCT(--(TRIM(hospitalityq!C6:C730)=TRIM(hospitalityq!C730)))&gt;1)</f>
        <v>0</v>
      </c>
      <c r="D730">
        <f>NOT(hospitalityq!D730="")*(COUNTIF(reference!$C$17:$C$18,TRIM(hospitalityq!D730))=0)</f>
        <v>0</v>
      </c>
      <c r="J730">
        <f>NOT(hospitalityq!J730="")*(NOT(ISNUMBER(hospitalityq!J730+0)))</f>
        <v>0</v>
      </c>
      <c r="K730">
        <f>NOT(hospitalityq!K730="")*(NOT(ISNUMBER(hospitalityq!K730+0)))</f>
        <v>0</v>
      </c>
      <c r="P730">
        <f>NOT(hospitalityq!P730="")*(NOT(IFERROR(INT(hospitalityq!P730)=VALUE(hospitalityq!P730),FALSE)))</f>
        <v>0</v>
      </c>
      <c r="Q730">
        <f>NOT(hospitalityq!Q730="")*(NOT(IFERROR(INT(hospitalityq!Q730)=VALUE(hospitalityq!Q730),FALSE)))</f>
        <v>0</v>
      </c>
      <c r="R730">
        <f>NOT(hospitalityq!R730="")*(NOT(IFERROR(ROUND(VALUE(hospitalityq!R730),2)=VALUE(hospitalityq!R730),FALSE)))</f>
        <v>0</v>
      </c>
    </row>
    <row r="731" spans="1:18" x14ac:dyDescent="0.25">
      <c r="A731">
        <f t="shared" si="11"/>
        <v>0</v>
      </c>
      <c r="C731">
        <f>NOT(hospitalityq!C731="")*(SUMPRODUCT(--(TRIM(hospitalityq!C6:C731)=TRIM(hospitalityq!C731)))&gt;1)</f>
        <v>0</v>
      </c>
      <c r="D731">
        <f>NOT(hospitalityq!D731="")*(COUNTIF(reference!$C$17:$C$18,TRIM(hospitalityq!D731))=0)</f>
        <v>0</v>
      </c>
      <c r="J731">
        <f>NOT(hospitalityq!J731="")*(NOT(ISNUMBER(hospitalityq!J731+0)))</f>
        <v>0</v>
      </c>
      <c r="K731">
        <f>NOT(hospitalityq!K731="")*(NOT(ISNUMBER(hospitalityq!K731+0)))</f>
        <v>0</v>
      </c>
      <c r="P731">
        <f>NOT(hospitalityq!P731="")*(NOT(IFERROR(INT(hospitalityq!P731)=VALUE(hospitalityq!P731),FALSE)))</f>
        <v>0</v>
      </c>
      <c r="Q731">
        <f>NOT(hospitalityq!Q731="")*(NOT(IFERROR(INT(hospitalityq!Q731)=VALUE(hospitalityq!Q731),FALSE)))</f>
        <v>0</v>
      </c>
      <c r="R731">
        <f>NOT(hospitalityq!R731="")*(NOT(IFERROR(ROUND(VALUE(hospitalityq!R731),2)=VALUE(hospitalityq!R731),FALSE)))</f>
        <v>0</v>
      </c>
    </row>
    <row r="732" spans="1:18" x14ac:dyDescent="0.25">
      <c r="A732">
        <f t="shared" si="11"/>
        <v>0</v>
      </c>
      <c r="C732">
        <f>NOT(hospitalityq!C732="")*(SUMPRODUCT(--(TRIM(hospitalityq!C6:C732)=TRIM(hospitalityq!C732)))&gt;1)</f>
        <v>0</v>
      </c>
      <c r="D732">
        <f>NOT(hospitalityq!D732="")*(COUNTIF(reference!$C$17:$C$18,TRIM(hospitalityq!D732))=0)</f>
        <v>0</v>
      </c>
      <c r="J732">
        <f>NOT(hospitalityq!J732="")*(NOT(ISNUMBER(hospitalityq!J732+0)))</f>
        <v>0</v>
      </c>
      <c r="K732">
        <f>NOT(hospitalityq!K732="")*(NOT(ISNUMBER(hospitalityq!K732+0)))</f>
        <v>0</v>
      </c>
      <c r="P732">
        <f>NOT(hospitalityq!P732="")*(NOT(IFERROR(INT(hospitalityq!P732)=VALUE(hospitalityq!P732),FALSE)))</f>
        <v>0</v>
      </c>
      <c r="Q732">
        <f>NOT(hospitalityq!Q732="")*(NOT(IFERROR(INT(hospitalityq!Q732)=VALUE(hospitalityq!Q732),FALSE)))</f>
        <v>0</v>
      </c>
      <c r="R732">
        <f>NOT(hospitalityq!R732="")*(NOT(IFERROR(ROUND(VALUE(hospitalityq!R732),2)=VALUE(hospitalityq!R732),FALSE)))</f>
        <v>0</v>
      </c>
    </row>
    <row r="733" spans="1:18" x14ac:dyDescent="0.25">
      <c r="A733">
        <f t="shared" si="11"/>
        <v>0</v>
      </c>
      <c r="C733">
        <f>NOT(hospitalityq!C733="")*(SUMPRODUCT(--(TRIM(hospitalityq!C6:C733)=TRIM(hospitalityq!C733)))&gt;1)</f>
        <v>0</v>
      </c>
      <c r="D733">
        <f>NOT(hospitalityq!D733="")*(COUNTIF(reference!$C$17:$C$18,TRIM(hospitalityq!D733))=0)</f>
        <v>0</v>
      </c>
      <c r="J733">
        <f>NOT(hospitalityq!J733="")*(NOT(ISNUMBER(hospitalityq!J733+0)))</f>
        <v>0</v>
      </c>
      <c r="K733">
        <f>NOT(hospitalityq!K733="")*(NOT(ISNUMBER(hospitalityq!K733+0)))</f>
        <v>0</v>
      </c>
      <c r="P733">
        <f>NOT(hospitalityq!P733="")*(NOT(IFERROR(INT(hospitalityq!P733)=VALUE(hospitalityq!P733),FALSE)))</f>
        <v>0</v>
      </c>
      <c r="Q733">
        <f>NOT(hospitalityq!Q733="")*(NOT(IFERROR(INT(hospitalityq!Q733)=VALUE(hospitalityq!Q733),FALSE)))</f>
        <v>0</v>
      </c>
      <c r="R733">
        <f>NOT(hospitalityq!R733="")*(NOT(IFERROR(ROUND(VALUE(hospitalityq!R733),2)=VALUE(hospitalityq!R733),FALSE)))</f>
        <v>0</v>
      </c>
    </row>
    <row r="734" spans="1:18" x14ac:dyDescent="0.25">
      <c r="A734">
        <f t="shared" si="11"/>
        <v>0</v>
      </c>
      <c r="C734">
        <f>NOT(hospitalityq!C734="")*(SUMPRODUCT(--(TRIM(hospitalityq!C6:C734)=TRIM(hospitalityq!C734)))&gt;1)</f>
        <v>0</v>
      </c>
      <c r="D734">
        <f>NOT(hospitalityq!D734="")*(COUNTIF(reference!$C$17:$C$18,TRIM(hospitalityq!D734))=0)</f>
        <v>0</v>
      </c>
      <c r="J734">
        <f>NOT(hospitalityq!J734="")*(NOT(ISNUMBER(hospitalityq!J734+0)))</f>
        <v>0</v>
      </c>
      <c r="K734">
        <f>NOT(hospitalityq!K734="")*(NOT(ISNUMBER(hospitalityq!K734+0)))</f>
        <v>0</v>
      </c>
      <c r="P734">
        <f>NOT(hospitalityq!P734="")*(NOT(IFERROR(INT(hospitalityq!P734)=VALUE(hospitalityq!P734),FALSE)))</f>
        <v>0</v>
      </c>
      <c r="Q734">
        <f>NOT(hospitalityq!Q734="")*(NOT(IFERROR(INT(hospitalityq!Q734)=VALUE(hospitalityq!Q734),FALSE)))</f>
        <v>0</v>
      </c>
      <c r="R734">
        <f>NOT(hospitalityq!R734="")*(NOT(IFERROR(ROUND(VALUE(hospitalityq!R734),2)=VALUE(hospitalityq!R734),FALSE)))</f>
        <v>0</v>
      </c>
    </row>
    <row r="735" spans="1:18" x14ac:dyDescent="0.25">
      <c r="A735">
        <f t="shared" si="11"/>
        <v>0</v>
      </c>
      <c r="C735">
        <f>NOT(hospitalityq!C735="")*(SUMPRODUCT(--(TRIM(hospitalityq!C6:C735)=TRIM(hospitalityq!C735)))&gt;1)</f>
        <v>0</v>
      </c>
      <c r="D735">
        <f>NOT(hospitalityq!D735="")*(COUNTIF(reference!$C$17:$C$18,TRIM(hospitalityq!D735))=0)</f>
        <v>0</v>
      </c>
      <c r="J735">
        <f>NOT(hospitalityq!J735="")*(NOT(ISNUMBER(hospitalityq!J735+0)))</f>
        <v>0</v>
      </c>
      <c r="K735">
        <f>NOT(hospitalityq!K735="")*(NOT(ISNUMBER(hospitalityq!K735+0)))</f>
        <v>0</v>
      </c>
      <c r="P735">
        <f>NOT(hospitalityq!P735="")*(NOT(IFERROR(INT(hospitalityq!P735)=VALUE(hospitalityq!P735),FALSE)))</f>
        <v>0</v>
      </c>
      <c r="Q735">
        <f>NOT(hospitalityq!Q735="")*(NOT(IFERROR(INT(hospitalityq!Q735)=VALUE(hospitalityq!Q735),FALSE)))</f>
        <v>0</v>
      </c>
      <c r="R735">
        <f>NOT(hospitalityq!R735="")*(NOT(IFERROR(ROUND(VALUE(hospitalityq!R735),2)=VALUE(hospitalityq!R735),FALSE)))</f>
        <v>0</v>
      </c>
    </row>
    <row r="736" spans="1:18" x14ac:dyDescent="0.25">
      <c r="A736">
        <f t="shared" si="11"/>
        <v>0</v>
      </c>
      <c r="C736">
        <f>NOT(hospitalityq!C736="")*(SUMPRODUCT(--(TRIM(hospitalityq!C6:C736)=TRIM(hospitalityq!C736)))&gt;1)</f>
        <v>0</v>
      </c>
      <c r="D736">
        <f>NOT(hospitalityq!D736="")*(COUNTIF(reference!$C$17:$C$18,TRIM(hospitalityq!D736))=0)</f>
        <v>0</v>
      </c>
      <c r="J736">
        <f>NOT(hospitalityq!J736="")*(NOT(ISNUMBER(hospitalityq!J736+0)))</f>
        <v>0</v>
      </c>
      <c r="K736">
        <f>NOT(hospitalityq!K736="")*(NOT(ISNUMBER(hospitalityq!K736+0)))</f>
        <v>0</v>
      </c>
      <c r="P736">
        <f>NOT(hospitalityq!P736="")*(NOT(IFERROR(INT(hospitalityq!P736)=VALUE(hospitalityq!P736),FALSE)))</f>
        <v>0</v>
      </c>
      <c r="Q736">
        <f>NOT(hospitalityq!Q736="")*(NOT(IFERROR(INT(hospitalityq!Q736)=VALUE(hospitalityq!Q736),FALSE)))</f>
        <v>0</v>
      </c>
      <c r="R736">
        <f>NOT(hospitalityq!R736="")*(NOT(IFERROR(ROUND(VALUE(hospitalityq!R736),2)=VALUE(hospitalityq!R736),FALSE)))</f>
        <v>0</v>
      </c>
    </row>
    <row r="737" spans="1:18" x14ac:dyDescent="0.25">
      <c r="A737">
        <f t="shared" si="11"/>
        <v>0</v>
      </c>
      <c r="C737">
        <f>NOT(hospitalityq!C737="")*(SUMPRODUCT(--(TRIM(hospitalityq!C6:C737)=TRIM(hospitalityq!C737)))&gt;1)</f>
        <v>0</v>
      </c>
      <c r="D737">
        <f>NOT(hospitalityq!D737="")*(COUNTIF(reference!$C$17:$C$18,TRIM(hospitalityq!D737))=0)</f>
        <v>0</v>
      </c>
      <c r="J737">
        <f>NOT(hospitalityq!J737="")*(NOT(ISNUMBER(hospitalityq!J737+0)))</f>
        <v>0</v>
      </c>
      <c r="K737">
        <f>NOT(hospitalityq!K737="")*(NOT(ISNUMBER(hospitalityq!K737+0)))</f>
        <v>0</v>
      </c>
      <c r="P737">
        <f>NOT(hospitalityq!P737="")*(NOT(IFERROR(INT(hospitalityq!P737)=VALUE(hospitalityq!P737),FALSE)))</f>
        <v>0</v>
      </c>
      <c r="Q737">
        <f>NOT(hospitalityq!Q737="")*(NOT(IFERROR(INT(hospitalityq!Q737)=VALUE(hospitalityq!Q737),FALSE)))</f>
        <v>0</v>
      </c>
      <c r="R737">
        <f>NOT(hospitalityq!R737="")*(NOT(IFERROR(ROUND(VALUE(hospitalityq!R737),2)=VALUE(hospitalityq!R737),FALSE)))</f>
        <v>0</v>
      </c>
    </row>
    <row r="738" spans="1:18" x14ac:dyDescent="0.25">
      <c r="A738">
        <f t="shared" si="11"/>
        <v>0</v>
      </c>
      <c r="C738">
        <f>NOT(hospitalityq!C738="")*(SUMPRODUCT(--(TRIM(hospitalityq!C6:C738)=TRIM(hospitalityq!C738)))&gt;1)</f>
        <v>0</v>
      </c>
      <c r="D738">
        <f>NOT(hospitalityq!D738="")*(COUNTIF(reference!$C$17:$C$18,TRIM(hospitalityq!D738))=0)</f>
        <v>0</v>
      </c>
      <c r="J738">
        <f>NOT(hospitalityq!J738="")*(NOT(ISNUMBER(hospitalityq!J738+0)))</f>
        <v>0</v>
      </c>
      <c r="K738">
        <f>NOT(hospitalityq!K738="")*(NOT(ISNUMBER(hospitalityq!K738+0)))</f>
        <v>0</v>
      </c>
      <c r="P738">
        <f>NOT(hospitalityq!P738="")*(NOT(IFERROR(INT(hospitalityq!P738)=VALUE(hospitalityq!P738),FALSE)))</f>
        <v>0</v>
      </c>
      <c r="Q738">
        <f>NOT(hospitalityq!Q738="")*(NOT(IFERROR(INT(hospitalityq!Q738)=VALUE(hospitalityq!Q738),FALSE)))</f>
        <v>0</v>
      </c>
      <c r="R738">
        <f>NOT(hospitalityq!R738="")*(NOT(IFERROR(ROUND(VALUE(hospitalityq!R738),2)=VALUE(hospitalityq!R738),FALSE)))</f>
        <v>0</v>
      </c>
    </row>
    <row r="739" spans="1:18" x14ac:dyDescent="0.25">
      <c r="A739">
        <f t="shared" si="11"/>
        <v>0</v>
      </c>
      <c r="C739">
        <f>NOT(hospitalityq!C739="")*(SUMPRODUCT(--(TRIM(hospitalityq!C6:C739)=TRIM(hospitalityq!C739)))&gt;1)</f>
        <v>0</v>
      </c>
      <c r="D739">
        <f>NOT(hospitalityq!D739="")*(COUNTIF(reference!$C$17:$C$18,TRIM(hospitalityq!D739))=0)</f>
        <v>0</v>
      </c>
      <c r="J739">
        <f>NOT(hospitalityq!J739="")*(NOT(ISNUMBER(hospitalityq!J739+0)))</f>
        <v>0</v>
      </c>
      <c r="K739">
        <f>NOT(hospitalityq!K739="")*(NOT(ISNUMBER(hospitalityq!K739+0)))</f>
        <v>0</v>
      </c>
      <c r="P739">
        <f>NOT(hospitalityq!P739="")*(NOT(IFERROR(INT(hospitalityq!P739)=VALUE(hospitalityq!P739),FALSE)))</f>
        <v>0</v>
      </c>
      <c r="Q739">
        <f>NOT(hospitalityq!Q739="")*(NOT(IFERROR(INT(hospitalityq!Q739)=VALUE(hospitalityq!Q739),FALSE)))</f>
        <v>0</v>
      </c>
      <c r="R739">
        <f>NOT(hospitalityq!R739="")*(NOT(IFERROR(ROUND(VALUE(hospitalityq!R739),2)=VALUE(hospitalityq!R739),FALSE)))</f>
        <v>0</v>
      </c>
    </row>
    <row r="740" spans="1:18" x14ac:dyDescent="0.25">
      <c r="A740">
        <f t="shared" si="11"/>
        <v>0</v>
      </c>
      <c r="C740">
        <f>NOT(hospitalityq!C740="")*(SUMPRODUCT(--(TRIM(hospitalityq!C6:C740)=TRIM(hospitalityq!C740)))&gt;1)</f>
        <v>0</v>
      </c>
      <c r="D740">
        <f>NOT(hospitalityq!D740="")*(COUNTIF(reference!$C$17:$C$18,TRIM(hospitalityq!D740))=0)</f>
        <v>0</v>
      </c>
      <c r="J740">
        <f>NOT(hospitalityq!J740="")*(NOT(ISNUMBER(hospitalityq!J740+0)))</f>
        <v>0</v>
      </c>
      <c r="K740">
        <f>NOT(hospitalityq!K740="")*(NOT(ISNUMBER(hospitalityq!K740+0)))</f>
        <v>0</v>
      </c>
      <c r="P740">
        <f>NOT(hospitalityq!P740="")*(NOT(IFERROR(INT(hospitalityq!P740)=VALUE(hospitalityq!P740),FALSE)))</f>
        <v>0</v>
      </c>
      <c r="Q740">
        <f>NOT(hospitalityq!Q740="")*(NOT(IFERROR(INT(hospitalityq!Q740)=VALUE(hospitalityq!Q740),FALSE)))</f>
        <v>0</v>
      </c>
      <c r="R740">
        <f>NOT(hospitalityq!R740="")*(NOT(IFERROR(ROUND(VALUE(hospitalityq!R740),2)=VALUE(hospitalityq!R740),FALSE)))</f>
        <v>0</v>
      </c>
    </row>
    <row r="741" spans="1:18" x14ac:dyDescent="0.25">
      <c r="A741">
        <f t="shared" si="11"/>
        <v>0</v>
      </c>
      <c r="C741">
        <f>NOT(hospitalityq!C741="")*(SUMPRODUCT(--(TRIM(hospitalityq!C6:C741)=TRIM(hospitalityq!C741)))&gt;1)</f>
        <v>0</v>
      </c>
      <c r="D741">
        <f>NOT(hospitalityq!D741="")*(COUNTIF(reference!$C$17:$C$18,TRIM(hospitalityq!D741))=0)</f>
        <v>0</v>
      </c>
      <c r="J741">
        <f>NOT(hospitalityq!J741="")*(NOT(ISNUMBER(hospitalityq!J741+0)))</f>
        <v>0</v>
      </c>
      <c r="K741">
        <f>NOT(hospitalityq!K741="")*(NOT(ISNUMBER(hospitalityq!K741+0)))</f>
        <v>0</v>
      </c>
      <c r="P741">
        <f>NOT(hospitalityq!P741="")*(NOT(IFERROR(INT(hospitalityq!P741)=VALUE(hospitalityq!P741),FALSE)))</f>
        <v>0</v>
      </c>
      <c r="Q741">
        <f>NOT(hospitalityq!Q741="")*(NOT(IFERROR(INT(hospitalityq!Q741)=VALUE(hospitalityq!Q741),FALSE)))</f>
        <v>0</v>
      </c>
      <c r="R741">
        <f>NOT(hospitalityq!R741="")*(NOT(IFERROR(ROUND(VALUE(hospitalityq!R741),2)=VALUE(hospitalityq!R741),FALSE)))</f>
        <v>0</v>
      </c>
    </row>
    <row r="742" spans="1:18" x14ac:dyDescent="0.25">
      <c r="A742">
        <f t="shared" si="11"/>
        <v>0</v>
      </c>
      <c r="C742">
        <f>NOT(hospitalityq!C742="")*(SUMPRODUCT(--(TRIM(hospitalityq!C6:C742)=TRIM(hospitalityq!C742)))&gt;1)</f>
        <v>0</v>
      </c>
      <c r="D742">
        <f>NOT(hospitalityq!D742="")*(COUNTIF(reference!$C$17:$C$18,TRIM(hospitalityq!D742))=0)</f>
        <v>0</v>
      </c>
      <c r="J742">
        <f>NOT(hospitalityq!J742="")*(NOT(ISNUMBER(hospitalityq!J742+0)))</f>
        <v>0</v>
      </c>
      <c r="K742">
        <f>NOT(hospitalityq!K742="")*(NOT(ISNUMBER(hospitalityq!K742+0)))</f>
        <v>0</v>
      </c>
      <c r="P742">
        <f>NOT(hospitalityq!P742="")*(NOT(IFERROR(INT(hospitalityq!P742)=VALUE(hospitalityq!P742),FALSE)))</f>
        <v>0</v>
      </c>
      <c r="Q742">
        <f>NOT(hospitalityq!Q742="")*(NOT(IFERROR(INT(hospitalityq!Q742)=VALUE(hospitalityq!Q742),FALSE)))</f>
        <v>0</v>
      </c>
      <c r="R742">
        <f>NOT(hospitalityq!R742="")*(NOT(IFERROR(ROUND(VALUE(hospitalityq!R742),2)=VALUE(hospitalityq!R742),FALSE)))</f>
        <v>0</v>
      </c>
    </row>
    <row r="743" spans="1:18" x14ac:dyDescent="0.25">
      <c r="A743">
        <f t="shared" si="11"/>
        <v>0</v>
      </c>
      <c r="C743">
        <f>NOT(hospitalityq!C743="")*(SUMPRODUCT(--(TRIM(hospitalityq!C6:C743)=TRIM(hospitalityq!C743)))&gt;1)</f>
        <v>0</v>
      </c>
      <c r="D743">
        <f>NOT(hospitalityq!D743="")*(COUNTIF(reference!$C$17:$C$18,TRIM(hospitalityq!D743))=0)</f>
        <v>0</v>
      </c>
      <c r="J743">
        <f>NOT(hospitalityq!J743="")*(NOT(ISNUMBER(hospitalityq!J743+0)))</f>
        <v>0</v>
      </c>
      <c r="K743">
        <f>NOT(hospitalityq!K743="")*(NOT(ISNUMBER(hospitalityq!K743+0)))</f>
        <v>0</v>
      </c>
      <c r="P743">
        <f>NOT(hospitalityq!P743="")*(NOT(IFERROR(INT(hospitalityq!P743)=VALUE(hospitalityq!P743),FALSE)))</f>
        <v>0</v>
      </c>
      <c r="Q743">
        <f>NOT(hospitalityq!Q743="")*(NOT(IFERROR(INT(hospitalityq!Q743)=VALUE(hospitalityq!Q743),FALSE)))</f>
        <v>0</v>
      </c>
      <c r="R743">
        <f>NOT(hospitalityq!R743="")*(NOT(IFERROR(ROUND(VALUE(hospitalityq!R743),2)=VALUE(hospitalityq!R743),FALSE)))</f>
        <v>0</v>
      </c>
    </row>
    <row r="744" spans="1:18" x14ac:dyDescent="0.25">
      <c r="A744">
        <f t="shared" si="11"/>
        <v>0</v>
      </c>
      <c r="C744">
        <f>NOT(hospitalityq!C744="")*(SUMPRODUCT(--(TRIM(hospitalityq!C6:C744)=TRIM(hospitalityq!C744)))&gt;1)</f>
        <v>0</v>
      </c>
      <c r="D744">
        <f>NOT(hospitalityq!D744="")*(COUNTIF(reference!$C$17:$C$18,TRIM(hospitalityq!D744))=0)</f>
        <v>0</v>
      </c>
      <c r="J744">
        <f>NOT(hospitalityq!J744="")*(NOT(ISNUMBER(hospitalityq!J744+0)))</f>
        <v>0</v>
      </c>
      <c r="K744">
        <f>NOT(hospitalityq!K744="")*(NOT(ISNUMBER(hospitalityq!K744+0)))</f>
        <v>0</v>
      </c>
      <c r="P744">
        <f>NOT(hospitalityq!P744="")*(NOT(IFERROR(INT(hospitalityq!P744)=VALUE(hospitalityq!P744),FALSE)))</f>
        <v>0</v>
      </c>
      <c r="Q744">
        <f>NOT(hospitalityq!Q744="")*(NOT(IFERROR(INT(hospitalityq!Q744)=VALUE(hospitalityq!Q744),FALSE)))</f>
        <v>0</v>
      </c>
      <c r="R744">
        <f>NOT(hospitalityq!R744="")*(NOT(IFERROR(ROUND(VALUE(hospitalityq!R744),2)=VALUE(hospitalityq!R744),FALSE)))</f>
        <v>0</v>
      </c>
    </row>
    <row r="745" spans="1:18" x14ac:dyDescent="0.25">
      <c r="A745">
        <f t="shared" si="11"/>
        <v>0</v>
      </c>
      <c r="C745">
        <f>NOT(hospitalityq!C745="")*(SUMPRODUCT(--(TRIM(hospitalityq!C6:C745)=TRIM(hospitalityq!C745)))&gt;1)</f>
        <v>0</v>
      </c>
      <c r="D745">
        <f>NOT(hospitalityq!D745="")*(COUNTIF(reference!$C$17:$C$18,TRIM(hospitalityq!D745))=0)</f>
        <v>0</v>
      </c>
      <c r="J745">
        <f>NOT(hospitalityq!J745="")*(NOT(ISNUMBER(hospitalityq!J745+0)))</f>
        <v>0</v>
      </c>
      <c r="K745">
        <f>NOT(hospitalityq!K745="")*(NOT(ISNUMBER(hospitalityq!K745+0)))</f>
        <v>0</v>
      </c>
      <c r="P745">
        <f>NOT(hospitalityq!P745="")*(NOT(IFERROR(INT(hospitalityq!P745)=VALUE(hospitalityq!P745),FALSE)))</f>
        <v>0</v>
      </c>
      <c r="Q745">
        <f>NOT(hospitalityq!Q745="")*(NOT(IFERROR(INT(hospitalityq!Q745)=VALUE(hospitalityq!Q745),FALSE)))</f>
        <v>0</v>
      </c>
      <c r="R745">
        <f>NOT(hospitalityq!R745="")*(NOT(IFERROR(ROUND(VALUE(hospitalityq!R745),2)=VALUE(hospitalityq!R745),FALSE)))</f>
        <v>0</v>
      </c>
    </row>
    <row r="746" spans="1:18" x14ac:dyDescent="0.25">
      <c r="A746">
        <f t="shared" si="11"/>
        <v>0</v>
      </c>
      <c r="C746">
        <f>NOT(hospitalityq!C746="")*(SUMPRODUCT(--(TRIM(hospitalityq!C6:C746)=TRIM(hospitalityq!C746)))&gt;1)</f>
        <v>0</v>
      </c>
      <c r="D746">
        <f>NOT(hospitalityq!D746="")*(COUNTIF(reference!$C$17:$C$18,TRIM(hospitalityq!D746))=0)</f>
        <v>0</v>
      </c>
      <c r="J746">
        <f>NOT(hospitalityq!J746="")*(NOT(ISNUMBER(hospitalityq!J746+0)))</f>
        <v>0</v>
      </c>
      <c r="K746">
        <f>NOT(hospitalityq!K746="")*(NOT(ISNUMBER(hospitalityq!K746+0)))</f>
        <v>0</v>
      </c>
      <c r="P746">
        <f>NOT(hospitalityq!P746="")*(NOT(IFERROR(INT(hospitalityq!P746)=VALUE(hospitalityq!P746),FALSE)))</f>
        <v>0</v>
      </c>
      <c r="Q746">
        <f>NOT(hospitalityq!Q746="")*(NOT(IFERROR(INT(hospitalityq!Q746)=VALUE(hospitalityq!Q746),FALSE)))</f>
        <v>0</v>
      </c>
      <c r="R746">
        <f>NOT(hospitalityq!R746="")*(NOT(IFERROR(ROUND(VALUE(hospitalityq!R746),2)=VALUE(hospitalityq!R746),FALSE)))</f>
        <v>0</v>
      </c>
    </row>
    <row r="747" spans="1:18" x14ac:dyDescent="0.25">
      <c r="A747">
        <f t="shared" si="11"/>
        <v>0</v>
      </c>
      <c r="C747">
        <f>NOT(hospitalityq!C747="")*(SUMPRODUCT(--(TRIM(hospitalityq!C6:C747)=TRIM(hospitalityq!C747)))&gt;1)</f>
        <v>0</v>
      </c>
      <c r="D747">
        <f>NOT(hospitalityq!D747="")*(COUNTIF(reference!$C$17:$C$18,TRIM(hospitalityq!D747))=0)</f>
        <v>0</v>
      </c>
      <c r="J747">
        <f>NOT(hospitalityq!J747="")*(NOT(ISNUMBER(hospitalityq!J747+0)))</f>
        <v>0</v>
      </c>
      <c r="K747">
        <f>NOT(hospitalityq!K747="")*(NOT(ISNUMBER(hospitalityq!K747+0)))</f>
        <v>0</v>
      </c>
      <c r="P747">
        <f>NOT(hospitalityq!P747="")*(NOT(IFERROR(INT(hospitalityq!P747)=VALUE(hospitalityq!P747),FALSE)))</f>
        <v>0</v>
      </c>
      <c r="Q747">
        <f>NOT(hospitalityq!Q747="")*(NOT(IFERROR(INT(hospitalityq!Q747)=VALUE(hospitalityq!Q747),FALSE)))</f>
        <v>0</v>
      </c>
      <c r="R747">
        <f>NOT(hospitalityq!R747="")*(NOT(IFERROR(ROUND(VALUE(hospitalityq!R747),2)=VALUE(hospitalityq!R747),FALSE)))</f>
        <v>0</v>
      </c>
    </row>
    <row r="748" spans="1:18" x14ac:dyDescent="0.25">
      <c r="A748">
        <f t="shared" si="11"/>
        <v>0</v>
      </c>
      <c r="C748">
        <f>NOT(hospitalityq!C748="")*(SUMPRODUCT(--(TRIM(hospitalityq!C6:C748)=TRIM(hospitalityq!C748)))&gt;1)</f>
        <v>0</v>
      </c>
      <c r="D748">
        <f>NOT(hospitalityq!D748="")*(COUNTIF(reference!$C$17:$C$18,TRIM(hospitalityq!D748))=0)</f>
        <v>0</v>
      </c>
      <c r="J748">
        <f>NOT(hospitalityq!J748="")*(NOT(ISNUMBER(hospitalityq!J748+0)))</f>
        <v>0</v>
      </c>
      <c r="K748">
        <f>NOT(hospitalityq!K748="")*(NOT(ISNUMBER(hospitalityq!K748+0)))</f>
        <v>0</v>
      </c>
      <c r="P748">
        <f>NOT(hospitalityq!P748="")*(NOT(IFERROR(INT(hospitalityq!P748)=VALUE(hospitalityq!P748),FALSE)))</f>
        <v>0</v>
      </c>
      <c r="Q748">
        <f>NOT(hospitalityq!Q748="")*(NOT(IFERROR(INT(hospitalityq!Q748)=VALUE(hospitalityq!Q748),FALSE)))</f>
        <v>0</v>
      </c>
      <c r="R748">
        <f>NOT(hospitalityq!R748="")*(NOT(IFERROR(ROUND(VALUE(hospitalityq!R748),2)=VALUE(hospitalityq!R748),FALSE)))</f>
        <v>0</v>
      </c>
    </row>
    <row r="749" spans="1:18" x14ac:dyDescent="0.25">
      <c r="A749">
        <f t="shared" si="11"/>
        <v>0</v>
      </c>
      <c r="C749">
        <f>NOT(hospitalityq!C749="")*(SUMPRODUCT(--(TRIM(hospitalityq!C6:C749)=TRIM(hospitalityq!C749)))&gt;1)</f>
        <v>0</v>
      </c>
      <c r="D749">
        <f>NOT(hospitalityq!D749="")*(COUNTIF(reference!$C$17:$C$18,TRIM(hospitalityq!D749))=0)</f>
        <v>0</v>
      </c>
      <c r="J749">
        <f>NOT(hospitalityq!J749="")*(NOT(ISNUMBER(hospitalityq!J749+0)))</f>
        <v>0</v>
      </c>
      <c r="K749">
        <f>NOT(hospitalityq!K749="")*(NOT(ISNUMBER(hospitalityq!K749+0)))</f>
        <v>0</v>
      </c>
      <c r="P749">
        <f>NOT(hospitalityq!P749="")*(NOT(IFERROR(INT(hospitalityq!P749)=VALUE(hospitalityq!P749),FALSE)))</f>
        <v>0</v>
      </c>
      <c r="Q749">
        <f>NOT(hospitalityq!Q749="")*(NOT(IFERROR(INT(hospitalityq!Q749)=VALUE(hospitalityq!Q749),FALSE)))</f>
        <v>0</v>
      </c>
      <c r="R749">
        <f>NOT(hospitalityq!R749="")*(NOT(IFERROR(ROUND(VALUE(hospitalityq!R749),2)=VALUE(hospitalityq!R749),FALSE)))</f>
        <v>0</v>
      </c>
    </row>
    <row r="750" spans="1:18" x14ac:dyDescent="0.25">
      <c r="A750">
        <f t="shared" si="11"/>
        <v>0</v>
      </c>
      <c r="C750">
        <f>NOT(hospitalityq!C750="")*(SUMPRODUCT(--(TRIM(hospitalityq!C6:C750)=TRIM(hospitalityq!C750)))&gt;1)</f>
        <v>0</v>
      </c>
      <c r="D750">
        <f>NOT(hospitalityq!D750="")*(COUNTIF(reference!$C$17:$C$18,TRIM(hospitalityq!D750))=0)</f>
        <v>0</v>
      </c>
      <c r="J750">
        <f>NOT(hospitalityq!J750="")*(NOT(ISNUMBER(hospitalityq!J750+0)))</f>
        <v>0</v>
      </c>
      <c r="K750">
        <f>NOT(hospitalityq!K750="")*(NOT(ISNUMBER(hospitalityq!K750+0)))</f>
        <v>0</v>
      </c>
      <c r="P750">
        <f>NOT(hospitalityq!P750="")*(NOT(IFERROR(INT(hospitalityq!P750)=VALUE(hospitalityq!P750),FALSE)))</f>
        <v>0</v>
      </c>
      <c r="Q750">
        <f>NOT(hospitalityq!Q750="")*(NOT(IFERROR(INT(hospitalityq!Q750)=VALUE(hospitalityq!Q750),FALSE)))</f>
        <v>0</v>
      </c>
      <c r="R750">
        <f>NOT(hospitalityq!R750="")*(NOT(IFERROR(ROUND(VALUE(hospitalityq!R750),2)=VALUE(hospitalityq!R750),FALSE)))</f>
        <v>0</v>
      </c>
    </row>
    <row r="751" spans="1:18" x14ac:dyDescent="0.25">
      <c r="A751">
        <f t="shared" si="11"/>
        <v>0</v>
      </c>
      <c r="C751">
        <f>NOT(hospitalityq!C751="")*(SUMPRODUCT(--(TRIM(hospitalityq!C6:C751)=TRIM(hospitalityq!C751)))&gt;1)</f>
        <v>0</v>
      </c>
      <c r="D751">
        <f>NOT(hospitalityq!D751="")*(COUNTIF(reference!$C$17:$C$18,TRIM(hospitalityq!D751))=0)</f>
        <v>0</v>
      </c>
      <c r="J751">
        <f>NOT(hospitalityq!J751="")*(NOT(ISNUMBER(hospitalityq!J751+0)))</f>
        <v>0</v>
      </c>
      <c r="K751">
        <f>NOT(hospitalityq!K751="")*(NOT(ISNUMBER(hospitalityq!K751+0)))</f>
        <v>0</v>
      </c>
      <c r="P751">
        <f>NOT(hospitalityq!P751="")*(NOT(IFERROR(INT(hospitalityq!P751)=VALUE(hospitalityq!P751),FALSE)))</f>
        <v>0</v>
      </c>
      <c r="Q751">
        <f>NOT(hospitalityq!Q751="")*(NOT(IFERROR(INT(hospitalityq!Q751)=VALUE(hospitalityq!Q751),FALSE)))</f>
        <v>0</v>
      </c>
      <c r="R751">
        <f>NOT(hospitalityq!R751="")*(NOT(IFERROR(ROUND(VALUE(hospitalityq!R751),2)=VALUE(hospitalityq!R751),FALSE)))</f>
        <v>0</v>
      </c>
    </row>
    <row r="752" spans="1:18" x14ac:dyDescent="0.25">
      <c r="A752">
        <f t="shared" si="11"/>
        <v>0</v>
      </c>
      <c r="C752">
        <f>NOT(hospitalityq!C752="")*(SUMPRODUCT(--(TRIM(hospitalityq!C6:C752)=TRIM(hospitalityq!C752)))&gt;1)</f>
        <v>0</v>
      </c>
      <c r="D752">
        <f>NOT(hospitalityq!D752="")*(COUNTIF(reference!$C$17:$C$18,TRIM(hospitalityq!D752))=0)</f>
        <v>0</v>
      </c>
      <c r="J752">
        <f>NOT(hospitalityq!J752="")*(NOT(ISNUMBER(hospitalityq!J752+0)))</f>
        <v>0</v>
      </c>
      <c r="K752">
        <f>NOT(hospitalityq!K752="")*(NOT(ISNUMBER(hospitalityq!K752+0)))</f>
        <v>0</v>
      </c>
      <c r="P752">
        <f>NOT(hospitalityq!P752="")*(NOT(IFERROR(INT(hospitalityq!P752)=VALUE(hospitalityq!P752),FALSE)))</f>
        <v>0</v>
      </c>
      <c r="Q752">
        <f>NOT(hospitalityq!Q752="")*(NOT(IFERROR(INT(hospitalityq!Q752)=VALUE(hospitalityq!Q752),FALSE)))</f>
        <v>0</v>
      </c>
      <c r="R752">
        <f>NOT(hospitalityq!R752="")*(NOT(IFERROR(ROUND(VALUE(hospitalityq!R752),2)=VALUE(hospitalityq!R752),FALSE)))</f>
        <v>0</v>
      </c>
    </row>
    <row r="753" spans="1:18" x14ac:dyDescent="0.25">
      <c r="A753">
        <f t="shared" si="11"/>
        <v>0</v>
      </c>
      <c r="C753">
        <f>NOT(hospitalityq!C753="")*(SUMPRODUCT(--(TRIM(hospitalityq!C6:C753)=TRIM(hospitalityq!C753)))&gt;1)</f>
        <v>0</v>
      </c>
      <c r="D753">
        <f>NOT(hospitalityq!D753="")*(COUNTIF(reference!$C$17:$C$18,TRIM(hospitalityq!D753))=0)</f>
        <v>0</v>
      </c>
      <c r="J753">
        <f>NOT(hospitalityq!J753="")*(NOT(ISNUMBER(hospitalityq!J753+0)))</f>
        <v>0</v>
      </c>
      <c r="K753">
        <f>NOT(hospitalityq!K753="")*(NOT(ISNUMBER(hospitalityq!K753+0)))</f>
        <v>0</v>
      </c>
      <c r="P753">
        <f>NOT(hospitalityq!P753="")*(NOT(IFERROR(INT(hospitalityq!P753)=VALUE(hospitalityq!P753),FALSE)))</f>
        <v>0</v>
      </c>
      <c r="Q753">
        <f>NOT(hospitalityq!Q753="")*(NOT(IFERROR(INT(hospitalityq!Q753)=VALUE(hospitalityq!Q753),FALSE)))</f>
        <v>0</v>
      </c>
      <c r="R753">
        <f>NOT(hospitalityq!R753="")*(NOT(IFERROR(ROUND(VALUE(hospitalityq!R753),2)=VALUE(hospitalityq!R753),FALSE)))</f>
        <v>0</v>
      </c>
    </row>
    <row r="754" spans="1:18" x14ac:dyDescent="0.25">
      <c r="A754">
        <f t="shared" si="11"/>
        <v>0</v>
      </c>
      <c r="C754">
        <f>NOT(hospitalityq!C754="")*(SUMPRODUCT(--(TRIM(hospitalityq!C6:C754)=TRIM(hospitalityq!C754)))&gt;1)</f>
        <v>0</v>
      </c>
      <c r="D754">
        <f>NOT(hospitalityq!D754="")*(COUNTIF(reference!$C$17:$C$18,TRIM(hospitalityq!D754))=0)</f>
        <v>0</v>
      </c>
      <c r="J754">
        <f>NOT(hospitalityq!J754="")*(NOT(ISNUMBER(hospitalityq!J754+0)))</f>
        <v>0</v>
      </c>
      <c r="K754">
        <f>NOT(hospitalityq!K754="")*(NOT(ISNUMBER(hospitalityq!K754+0)))</f>
        <v>0</v>
      </c>
      <c r="P754">
        <f>NOT(hospitalityq!P754="")*(NOT(IFERROR(INT(hospitalityq!P754)=VALUE(hospitalityq!P754),FALSE)))</f>
        <v>0</v>
      </c>
      <c r="Q754">
        <f>NOT(hospitalityq!Q754="")*(NOT(IFERROR(INT(hospitalityq!Q754)=VALUE(hospitalityq!Q754),FALSE)))</f>
        <v>0</v>
      </c>
      <c r="R754">
        <f>NOT(hospitalityq!R754="")*(NOT(IFERROR(ROUND(VALUE(hospitalityq!R754),2)=VALUE(hospitalityq!R754),FALSE)))</f>
        <v>0</v>
      </c>
    </row>
    <row r="755" spans="1:18" x14ac:dyDescent="0.25">
      <c r="A755">
        <f t="shared" si="11"/>
        <v>0</v>
      </c>
      <c r="C755">
        <f>NOT(hospitalityq!C755="")*(SUMPRODUCT(--(TRIM(hospitalityq!C6:C755)=TRIM(hospitalityq!C755)))&gt;1)</f>
        <v>0</v>
      </c>
      <c r="D755">
        <f>NOT(hospitalityq!D755="")*(COUNTIF(reference!$C$17:$C$18,TRIM(hospitalityq!D755))=0)</f>
        <v>0</v>
      </c>
      <c r="J755">
        <f>NOT(hospitalityq!J755="")*(NOT(ISNUMBER(hospitalityq!J755+0)))</f>
        <v>0</v>
      </c>
      <c r="K755">
        <f>NOT(hospitalityq!K755="")*(NOT(ISNUMBER(hospitalityq!K755+0)))</f>
        <v>0</v>
      </c>
      <c r="P755">
        <f>NOT(hospitalityq!P755="")*(NOT(IFERROR(INT(hospitalityq!P755)=VALUE(hospitalityq!P755),FALSE)))</f>
        <v>0</v>
      </c>
      <c r="Q755">
        <f>NOT(hospitalityq!Q755="")*(NOT(IFERROR(INT(hospitalityq!Q755)=VALUE(hospitalityq!Q755),FALSE)))</f>
        <v>0</v>
      </c>
      <c r="R755">
        <f>NOT(hospitalityq!R755="")*(NOT(IFERROR(ROUND(VALUE(hospitalityq!R755),2)=VALUE(hospitalityq!R755),FALSE)))</f>
        <v>0</v>
      </c>
    </row>
    <row r="756" spans="1:18" x14ac:dyDescent="0.25">
      <c r="A756">
        <f t="shared" si="11"/>
        <v>0</v>
      </c>
      <c r="C756">
        <f>NOT(hospitalityq!C756="")*(SUMPRODUCT(--(TRIM(hospitalityq!C6:C756)=TRIM(hospitalityq!C756)))&gt;1)</f>
        <v>0</v>
      </c>
      <c r="D756">
        <f>NOT(hospitalityq!D756="")*(COUNTIF(reference!$C$17:$C$18,TRIM(hospitalityq!D756))=0)</f>
        <v>0</v>
      </c>
      <c r="J756">
        <f>NOT(hospitalityq!J756="")*(NOT(ISNUMBER(hospitalityq!J756+0)))</f>
        <v>0</v>
      </c>
      <c r="K756">
        <f>NOT(hospitalityq!K756="")*(NOT(ISNUMBER(hospitalityq!K756+0)))</f>
        <v>0</v>
      </c>
      <c r="P756">
        <f>NOT(hospitalityq!P756="")*(NOT(IFERROR(INT(hospitalityq!P756)=VALUE(hospitalityq!P756),FALSE)))</f>
        <v>0</v>
      </c>
      <c r="Q756">
        <f>NOT(hospitalityq!Q756="")*(NOT(IFERROR(INT(hospitalityq!Q756)=VALUE(hospitalityq!Q756),FALSE)))</f>
        <v>0</v>
      </c>
      <c r="R756">
        <f>NOT(hospitalityq!R756="")*(NOT(IFERROR(ROUND(VALUE(hospitalityq!R756),2)=VALUE(hospitalityq!R756),FALSE)))</f>
        <v>0</v>
      </c>
    </row>
    <row r="757" spans="1:18" x14ac:dyDescent="0.25">
      <c r="A757">
        <f t="shared" si="11"/>
        <v>0</v>
      </c>
      <c r="C757">
        <f>NOT(hospitalityq!C757="")*(SUMPRODUCT(--(TRIM(hospitalityq!C6:C757)=TRIM(hospitalityq!C757)))&gt;1)</f>
        <v>0</v>
      </c>
      <c r="D757">
        <f>NOT(hospitalityq!D757="")*(COUNTIF(reference!$C$17:$C$18,TRIM(hospitalityq!D757))=0)</f>
        <v>0</v>
      </c>
      <c r="J757">
        <f>NOT(hospitalityq!J757="")*(NOT(ISNUMBER(hospitalityq!J757+0)))</f>
        <v>0</v>
      </c>
      <c r="K757">
        <f>NOT(hospitalityq!K757="")*(NOT(ISNUMBER(hospitalityq!K757+0)))</f>
        <v>0</v>
      </c>
      <c r="P757">
        <f>NOT(hospitalityq!P757="")*(NOT(IFERROR(INT(hospitalityq!P757)=VALUE(hospitalityq!P757),FALSE)))</f>
        <v>0</v>
      </c>
      <c r="Q757">
        <f>NOT(hospitalityq!Q757="")*(NOT(IFERROR(INT(hospitalityq!Q757)=VALUE(hospitalityq!Q757),FALSE)))</f>
        <v>0</v>
      </c>
      <c r="R757">
        <f>NOT(hospitalityq!R757="")*(NOT(IFERROR(ROUND(VALUE(hospitalityq!R757),2)=VALUE(hospitalityq!R757),FALSE)))</f>
        <v>0</v>
      </c>
    </row>
    <row r="758" spans="1:18" x14ac:dyDescent="0.25">
      <c r="A758">
        <f t="shared" si="11"/>
        <v>0</v>
      </c>
      <c r="C758">
        <f>NOT(hospitalityq!C758="")*(SUMPRODUCT(--(TRIM(hospitalityq!C6:C758)=TRIM(hospitalityq!C758)))&gt;1)</f>
        <v>0</v>
      </c>
      <c r="D758">
        <f>NOT(hospitalityq!D758="")*(COUNTIF(reference!$C$17:$C$18,TRIM(hospitalityq!D758))=0)</f>
        <v>0</v>
      </c>
      <c r="J758">
        <f>NOT(hospitalityq!J758="")*(NOT(ISNUMBER(hospitalityq!J758+0)))</f>
        <v>0</v>
      </c>
      <c r="K758">
        <f>NOT(hospitalityq!K758="")*(NOT(ISNUMBER(hospitalityq!K758+0)))</f>
        <v>0</v>
      </c>
      <c r="P758">
        <f>NOT(hospitalityq!P758="")*(NOT(IFERROR(INT(hospitalityq!P758)=VALUE(hospitalityq!P758),FALSE)))</f>
        <v>0</v>
      </c>
      <c r="Q758">
        <f>NOT(hospitalityq!Q758="")*(NOT(IFERROR(INT(hospitalityq!Q758)=VALUE(hospitalityq!Q758),FALSE)))</f>
        <v>0</v>
      </c>
      <c r="R758">
        <f>NOT(hospitalityq!R758="")*(NOT(IFERROR(ROUND(VALUE(hospitalityq!R758),2)=VALUE(hospitalityq!R758),FALSE)))</f>
        <v>0</v>
      </c>
    </row>
    <row r="759" spans="1:18" x14ac:dyDescent="0.25">
      <c r="A759">
        <f t="shared" si="11"/>
        <v>0</v>
      </c>
      <c r="C759">
        <f>NOT(hospitalityq!C759="")*(SUMPRODUCT(--(TRIM(hospitalityq!C6:C759)=TRIM(hospitalityq!C759)))&gt;1)</f>
        <v>0</v>
      </c>
      <c r="D759">
        <f>NOT(hospitalityq!D759="")*(COUNTIF(reference!$C$17:$C$18,TRIM(hospitalityq!D759))=0)</f>
        <v>0</v>
      </c>
      <c r="J759">
        <f>NOT(hospitalityq!J759="")*(NOT(ISNUMBER(hospitalityq!J759+0)))</f>
        <v>0</v>
      </c>
      <c r="K759">
        <f>NOT(hospitalityq!K759="")*(NOT(ISNUMBER(hospitalityq!K759+0)))</f>
        <v>0</v>
      </c>
      <c r="P759">
        <f>NOT(hospitalityq!P759="")*(NOT(IFERROR(INT(hospitalityq!P759)=VALUE(hospitalityq!P759),FALSE)))</f>
        <v>0</v>
      </c>
      <c r="Q759">
        <f>NOT(hospitalityq!Q759="")*(NOT(IFERROR(INT(hospitalityq!Q759)=VALUE(hospitalityq!Q759),FALSE)))</f>
        <v>0</v>
      </c>
      <c r="R759">
        <f>NOT(hospitalityq!R759="")*(NOT(IFERROR(ROUND(VALUE(hospitalityq!R759),2)=VALUE(hospitalityq!R759),FALSE)))</f>
        <v>0</v>
      </c>
    </row>
    <row r="760" spans="1:18" x14ac:dyDescent="0.25">
      <c r="A760">
        <f t="shared" si="11"/>
        <v>0</v>
      </c>
      <c r="C760">
        <f>NOT(hospitalityq!C760="")*(SUMPRODUCT(--(TRIM(hospitalityq!C6:C760)=TRIM(hospitalityq!C760)))&gt;1)</f>
        <v>0</v>
      </c>
      <c r="D760">
        <f>NOT(hospitalityq!D760="")*(COUNTIF(reference!$C$17:$C$18,TRIM(hospitalityq!D760))=0)</f>
        <v>0</v>
      </c>
      <c r="J760">
        <f>NOT(hospitalityq!J760="")*(NOT(ISNUMBER(hospitalityq!J760+0)))</f>
        <v>0</v>
      </c>
      <c r="K760">
        <f>NOT(hospitalityq!K760="")*(NOT(ISNUMBER(hospitalityq!K760+0)))</f>
        <v>0</v>
      </c>
      <c r="P760">
        <f>NOT(hospitalityq!P760="")*(NOT(IFERROR(INT(hospitalityq!P760)=VALUE(hospitalityq!P760),FALSE)))</f>
        <v>0</v>
      </c>
      <c r="Q760">
        <f>NOT(hospitalityq!Q760="")*(NOT(IFERROR(INT(hospitalityq!Q760)=VALUE(hospitalityq!Q760),FALSE)))</f>
        <v>0</v>
      </c>
      <c r="R760">
        <f>NOT(hospitalityq!R760="")*(NOT(IFERROR(ROUND(VALUE(hospitalityq!R760),2)=VALUE(hospitalityq!R760),FALSE)))</f>
        <v>0</v>
      </c>
    </row>
    <row r="761" spans="1:18" x14ac:dyDescent="0.25">
      <c r="A761">
        <f t="shared" si="11"/>
        <v>0</v>
      </c>
      <c r="C761">
        <f>NOT(hospitalityq!C761="")*(SUMPRODUCT(--(TRIM(hospitalityq!C6:C761)=TRIM(hospitalityq!C761)))&gt;1)</f>
        <v>0</v>
      </c>
      <c r="D761">
        <f>NOT(hospitalityq!D761="")*(COUNTIF(reference!$C$17:$C$18,TRIM(hospitalityq!D761))=0)</f>
        <v>0</v>
      </c>
      <c r="J761">
        <f>NOT(hospitalityq!J761="")*(NOT(ISNUMBER(hospitalityq!J761+0)))</f>
        <v>0</v>
      </c>
      <c r="K761">
        <f>NOT(hospitalityq!K761="")*(NOT(ISNUMBER(hospitalityq!K761+0)))</f>
        <v>0</v>
      </c>
      <c r="P761">
        <f>NOT(hospitalityq!P761="")*(NOT(IFERROR(INT(hospitalityq!P761)=VALUE(hospitalityq!P761),FALSE)))</f>
        <v>0</v>
      </c>
      <c r="Q761">
        <f>NOT(hospitalityq!Q761="")*(NOT(IFERROR(INT(hospitalityq!Q761)=VALUE(hospitalityq!Q761),FALSE)))</f>
        <v>0</v>
      </c>
      <c r="R761">
        <f>NOT(hospitalityq!R761="")*(NOT(IFERROR(ROUND(VALUE(hospitalityq!R761),2)=VALUE(hospitalityq!R761),FALSE)))</f>
        <v>0</v>
      </c>
    </row>
    <row r="762" spans="1:18" x14ac:dyDescent="0.25">
      <c r="A762">
        <f t="shared" si="11"/>
        <v>0</v>
      </c>
      <c r="C762">
        <f>NOT(hospitalityq!C762="")*(SUMPRODUCT(--(TRIM(hospitalityq!C6:C762)=TRIM(hospitalityq!C762)))&gt;1)</f>
        <v>0</v>
      </c>
      <c r="D762">
        <f>NOT(hospitalityq!D762="")*(COUNTIF(reference!$C$17:$C$18,TRIM(hospitalityq!D762))=0)</f>
        <v>0</v>
      </c>
      <c r="J762">
        <f>NOT(hospitalityq!J762="")*(NOT(ISNUMBER(hospitalityq!J762+0)))</f>
        <v>0</v>
      </c>
      <c r="K762">
        <f>NOT(hospitalityq!K762="")*(NOT(ISNUMBER(hospitalityq!K762+0)))</f>
        <v>0</v>
      </c>
      <c r="P762">
        <f>NOT(hospitalityq!P762="")*(NOT(IFERROR(INT(hospitalityq!P762)=VALUE(hospitalityq!P762),FALSE)))</f>
        <v>0</v>
      </c>
      <c r="Q762">
        <f>NOT(hospitalityq!Q762="")*(NOT(IFERROR(INT(hospitalityq!Q762)=VALUE(hospitalityq!Q762),FALSE)))</f>
        <v>0</v>
      </c>
      <c r="R762">
        <f>NOT(hospitalityq!R762="")*(NOT(IFERROR(ROUND(VALUE(hospitalityq!R762),2)=VALUE(hospitalityq!R762),FALSE)))</f>
        <v>0</v>
      </c>
    </row>
    <row r="763" spans="1:18" x14ac:dyDescent="0.25">
      <c r="A763">
        <f t="shared" si="11"/>
        <v>0</v>
      </c>
      <c r="C763">
        <f>NOT(hospitalityq!C763="")*(SUMPRODUCT(--(TRIM(hospitalityq!C6:C763)=TRIM(hospitalityq!C763)))&gt;1)</f>
        <v>0</v>
      </c>
      <c r="D763">
        <f>NOT(hospitalityq!D763="")*(COUNTIF(reference!$C$17:$C$18,TRIM(hospitalityq!D763))=0)</f>
        <v>0</v>
      </c>
      <c r="J763">
        <f>NOT(hospitalityq!J763="")*(NOT(ISNUMBER(hospitalityq!J763+0)))</f>
        <v>0</v>
      </c>
      <c r="K763">
        <f>NOT(hospitalityq!K763="")*(NOT(ISNUMBER(hospitalityq!K763+0)))</f>
        <v>0</v>
      </c>
      <c r="P763">
        <f>NOT(hospitalityq!P763="")*(NOT(IFERROR(INT(hospitalityq!P763)=VALUE(hospitalityq!P763),FALSE)))</f>
        <v>0</v>
      </c>
      <c r="Q763">
        <f>NOT(hospitalityq!Q763="")*(NOT(IFERROR(INT(hospitalityq!Q763)=VALUE(hospitalityq!Q763),FALSE)))</f>
        <v>0</v>
      </c>
      <c r="R763">
        <f>NOT(hospitalityq!R763="")*(NOT(IFERROR(ROUND(VALUE(hospitalityq!R763),2)=VALUE(hospitalityq!R763),FALSE)))</f>
        <v>0</v>
      </c>
    </row>
    <row r="764" spans="1:18" x14ac:dyDescent="0.25">
      <c r="A764">
        <f t="shared" si="11"/>
        <v>0</v>
      </c>
      <c r="C764">
        <f>NOT(hospitalityq!C764="")*(SUMPRODUCT(--(TRIM(hospitalityq!C6:C764)=TRIM(hospitalityq!C764)))&gt;1)</f>
        <v>0</v>
      </c>
      <c r="D764">
        <f>NOT(hospitalityq!D764="")*(COUNTIF(reference!$C$17:$C$18,TRIM(hospitalityq!D764))=0)</f>
        <v>0</v>
      </c>
      <c r="J764">
        <f>NOT(hospitalityq!J764="")*(NOT(ISNUMBER(hospitalityq!J764+0)))</f>
        <v>0</v>
      </c>
      <c r="K764">
        <f>NOT(hospitalityq!K764="")*(NOT(ISNUMBER(hospitalityq!K764+0)))</f>
        <v>0</v>
      </c>
      <c r="P764">
        <f>NOT(hospitalityq!P764="")*(NOT(IFERROR(INT(hospitalityq!P764)=VALUE(hospitalityq!P764),FALSE)))</f>
        <v>0</v>
      </c>
      <c r="Q764">
        <f>NOT(hospitalityq!Q764="")*(NOT(IFERROR(INT(hospitalityq!Q764)=VALUE(hospitalityq!Q764),FALSE)))</f>
        <v>0</v>
      </c>
      <c r="R764">
        <f>NOT(hospitalityq!R764="")*(NOT(IFERROR(ROUND(VALUE(hospitalityq!R764),2)=VALUE(hospitalityq!R764),FALSE)))</f>
        <v>0</v>
      </c>
    </row>
    <row r="765" spans="1:18" x14ac:dyDescent="0.25">
      <c r="A765">
        <f t="shared" si="11"/>
        <v>0</v>
      </c>
      <c r="C765">
        <f>NOT(hospitalityq!C765="")*(SUMPRODUCT(--(TRIM(hospitalityq!C6:C765)=TRIM(hospitalityq!C765)))&gt;1)</f>
        <v>0</v>
      </c>
      <c r="D765">
        <f>NOT(hospitalityq!D765="")*(COUNTIF(reference!$C$17:$C$18,TRIM(hospitalityq!D765))=0)</f>
        <v>0</v>
      </c>
      <c r="J765">
        <f>NOT(hospitalityq!J765="")*(NOT(ISNUMBER(hospitalityq!J765+0)))</f>
        <v>0</v>
      </c>
      <c r="K765">
        <f>NOT(hospitalityq!K765="")*(NOT(ISNUMBER(hospitalityq!K765+0)))</f>
        <v>0</v>
      </c>
      <c r="P765">
        <f>NOT(hospitalityq!P765="")*(NOT(IFERROR(INT(hospitalityq!P765)=VALUE(hospitalityq!P765),FALSE)))</f>
        <v>0</v>
      </c>
      <c r="Q765">
        <f>NOT(hospitalityq!Q765="")*(NOT(IFERROR(INT(hospitalityq!Q765)=VALUE(hospitalityq!Q765),FALSE)))</f>
        <v>0</v>
      </c>
      <c r="R765">
        <f>NOT(hospitalityq!R765="")*(NOT(IFERROR(ROUND(VALUE(hospitalityq!R765),2)=VALUE(hospitalityq!R765),FALSE)))</f>
        <v>0</v>
      </c>
    </row>
    <row r="766" spans="1:18" x14ac:dyDescent="0.25">
      <c r="A766">
        <f t="shared" si="11"/>
        <v>0</v>
      </c>
      <c r="C766">
        <f>NOT(hospitalityq!C766="")*(SUMPRODUCT(--(TRIM(hospitalityq!C6:C766)=TRIM(hospitalityq!C766)))&gt;1)</f>
        <v>0</v>
      </c>
      <c r="D766">
        <f>NOT(hospitalityq!D766="")*(COUNTIF(reference!$C$17:$C$18,TRIM(hospitalityq!D766))=0)</f>
        <v>0</v>
      </c>
      <c r="J766">
        <f>NOT(hospitalityq!J766="")*(NOT(ISNUMBER(hospitalityq!J766+0)))</f>
        <v>0</v>
      </c>
      <c r="K766">
        <f>NOT(hospitalityq!K766="")*(NOT(ISNUMBER(hospitalityq!K766+0)))</f>
        <v>0</v>
      </c>
      <c r="P766">
        <f>NOT(hospitalityq!P766="")*(NOT(IFERROR(INT(hospitalityq!P766)=VALUE(hospitalityq!P766),FALSE)))</f>
        <v>0</v>
      </c>
      <c r="Q766">
        <f>NOT(hospitalityq!Q766="")*(NOT(IFERROR(INT(hospitalityq!Q766)=VALUE(hospitalityq!Q766),FALSE)))</f>
        <v>0</v>
      </c>
      <c r="R766">
        <f>NOT(hospitalityq!R766="")*(NOT(IFERROR(ROUND(VALUE(hospitalityq!R766),2)=VALUE(hospitalityq!R766),FALSE)))</f>
        <v>0</v>
      </c>
    </row>
    <row r="767" spans="1:18" x14ac:dyDescent="0.25">
      <c r="A767">
        <f t="shared" si="11"/>
        <v>0</v>
      </c>
      <c r="C767">
        <f>NOT(hospitalityq!C767="")*(SUMPRODUCT(--(TRIM(hospitalityq!C6:C767)=TRIM(hospitalityq!C767)))&gt;1)</f>
        <v>0</v>
      </c>
      <c r="D767">
        <f>NOT(hospitalityq!D767="")*(COUNTIF(reference!$C$17:$C$18,TRIM(hospitalityq!D767))=0)</f>
        <v>0</v>
      </c>
      <c r="J767">
        <f>NOT(hospitalityq!J767="")*(NOT(ISNUMBER(hospitalityq!J767+0)))</f>
        <v>0</v>
      </c>
      <c r="K767">
        <f>NOT(hospitalityq!K767="")*(NOT(ISNUMBER(hospitalityq!K767+0)))</f>
        <v>0</v>
      </c>
      <c r="P767">
        <f>NOT(hospitalityq!P767="")*(NOT(IFERROR(INT(hospitalityq!P767)=VALUE(hospitalityq!P767),FALSE)))</f>
        <v>0</v>
      </c>
      <c r="Q767">
        <f>NOT(hospitalityq!Q767="")*(NOT(IFERROR(INT(hospitalityq!Q767)=VALUE(hospitalityq!Q767),FALSE)))</f>
        <v>0</v>
      </c>
      <c r="R767">
        <f>NOT(hospitalityq!R767="")*(NOT(IFERROR(ROUND(VALUE(hospitalityq!R767),2)=VALUE(hospitalityq!R767),FALSE)))</f>
        <v>0</v>
      </c>
    </row>
    <row r="768" spans="1:18" x14ac:dyDescent="0.25">
      <c r="A768">
        <f t="shared" si="11"/>
        <v>0</v>
      </c>
      <c r="C768">
        <f>NOT(hospitalityq!C768="")*(SUMPRODUCT(--(TRIM(hospitalityq!C6:C768)=TRIM(hospitalityq!C768)))&gt;1)</f>
        <v>0</v>
      </c>
      <c r="D768">
        <f>NOT(hospitalityq!D768="")*(COUNTIF(reference!$C$17:$C$18,TRIM(hospitalityq!D768))=0)</f>
        <v>0</v>
      </c>
      <c r="J768">
        <f>NOT(hospitalityq!J768="")*(NOT(ISNUMBER(hospitalityq!J768+0)))</f>
        <v>0</v>
      </c>
      <c r="K768">
        <f>NOT(hospitalityq!K768="")*(NOT(ISNUMBER(hospitalityq!K768+0)))</f>
        <v>0</v>
      </c>
      <c r="P768">
        <f>NOT(hospitalityq!P768="")*(NOT(IFERROR(INT(hospitalityq!P768)=VALUE(hospitalityq!P768),FALSE)))</f>
        <v>0</v>
      </c>
      <c r="Q768">
        <f>NOT(hospitalityq!Q768="")*(NOT(IFERROR(INT(hospitalityq!Q768)=VALUE(hospitalityq!Q768),FALSE)))</f>
        <v>0</v>
      </c>
      <c r="R768">
        <f>NOT(hospitalityq!R768="")*(NOT(IFERROR(ROUND(VALUE(hospitalityq!R768),2)=VALUE(hospitalityq!R768),FALSE)))</f>
        <v>0</v>
      </c>
    </row>
    <row r="769" spans="1:18" x14ac:dyDescent="0.25">
      <c r="A769">
        <f t="shared" si="11"/>
        <v>0</v>
      </c>
      <c r="C769">
        <f>NOT(hospitalityq!C769="")*(SUMPRODUCT(--(TRIM(hospitalityq!C6:C769)=TRIM(hospitalityq!C769)))&gt;1)</f>
        <v>0</v>
      </c>
      <c r="D769">
        <f>NOT(hospitalityq!D769="")*(COUNTIF(reference!$C$17:$C$18,TRIM(hospitalityq!D769))=0)</f>
        <v>0</v>
      </c>
      <c r="J769">
        <f>NOT(hospitalityq!J769="")*(NOT(ISNUMBER(hospitalityq!J769+0)))</f>
        <v>0</v>
      </c>
      <c r="K769">
        <f>NOT(hospitalityq!K769="")*(NOT(ISNUMBER(hospitalityq!K769+0)))</f>
        <v>0</v>
      </c>
      <c r="P769">
        <f>NOT(hospitalityq!P769="")*(NOT(IFERROR(INT(hospitalityq!P769)=VALUE(hospitalityq!P769),FALSE)))</f>
        <v>0</v>
      </c>
      <c r="Q769">
        <f>NOT(hospitalityq!Q769="")*(NOT(IFERROR(INT(hospitalityq!Q769)=VALUE(hospitalityq!Q769),FALSE)))</f>
        <v>0</v>
      </c>
      <c r="R769">
        <f>NOT(hospitalityq!R769="")*(NOT(IFERROR(ROUND(VALUE(hospitalityq!R769),2)=VALUE(hospitalityq!R769),FALSE)))</f>
        <v>0</v>
      </c>
    </row>
    <row r="770" spans="1:18" x14ac:dyDescent="0.25">
      <c r="A770">
        <f t="shared" si="11"/>
        <v>0</v>
      </c>
      <c r="C770">
        <f>NOT(hospitalityq!C770="")*(SUMPRODUCT(--(TRIM(hospitalityq!C6:C770)=TRIM(hospitalityq!C770)))&gt;1)</f>
        <v>0</v>
      </c>
      <c r="D770">
        <f>NOT(hospitalityq!D770="")*(COUNTIF(reference!$C$17:$C$18,TRIM(hospitalityq!D770))=0)</f>
        <v>0</v>
      </c>
      <c r="J770">
        <f>NOT(hospitalityq!J770="")*(NOT(ISNUMBER(hospitalityq!J770+0)))</f>
        <v>0</v>
      </c>
      <c r="K770">
        <f>NOT(hospitalityq!K770="")*(NOT(ISNUMBER(hospitalityq!K770+0)))</f>
        <v>0</v>
      </c>
      <c r="P770">
        <f>NOT(hospitalityq!P770="")*(NOT(IFERROR(INT(hospitalityq!P770)=VALUE(hospitalityq!P770),FALSE)))</f>
        <v>0</v>
      </c>
      <c r="Q770">
        <f>NOT(hospitalityq!Q770="")*(NOT(IFERROR(INT(hospitalityq!Q770)=VALUE(hospitalityq!Q770),FALSE)))</f>
        <v>0</v>
      </c>
      <c r="R770">
        <f>NOT(hospitalityq!R770="")*(NOT(IFERROR(ROUND(VALUE(hospitalityq!R770),2)=VALUE(hospitalityq!R770),FALSE)))</f>
        <v>0</v>
      </c>
    </row>
    <row r="771" spans="1:18" x14ac:dyDescent="0.25">
      <c r="A771">
        <f t="shared" si="11"/>
        <v>0</v>
      </c>
      <c r="C771">
        <f>NOT(hospitalityq!C771="")*(SUMPRODUCT(--(TRIM(hospitalityq!C6:C771)=TRIM(hospitalityq!C771)))&gt;1)</f>
        <v>0</v>
      </c>
      <c r="D771">
        <f>NOT(hospitalityq!D771="")*(COUNTIF(reference!$C$17:$C$18,TRIM(hospitalityq!D771))=0)</f>
        <v>0</v>
      </c>
      <c r="J771">
        <f>NOT(hospitalityq!J771="")*(NOT(ISNUMBER(hospitalityq!J771+0)))</f>
        <v>0</v>
      </c>
      <c r="K771">
        <f>NOT(hospitalityq!K771="")*(NOT(ISNUMBER(hospitalityq!K771+0)))</f>
        <v>0</v>
      </c>
      <c r="P771">
        <f>NOT(hospitalityq!P771="")*(NOT(IFERROR(INT(hospitalityq!P771)=VALUE(hospitalityq!P771),FALSE)))</f>
        <v>0</v>
      </c>
      <c r="Q771">
        <f>NOT(hospitalityq!Q771="")*(NOT(IFERROR(INT(hospitalityq!Q771)=VALUE(hospitalityq!Q771),FALSE)))</f>
        <v>0</v>
      </c>
      <c r="R771">
        <f>NOT(hospitalityq!R771="")*(NOT(IFERROR(ROUND(VALUE(hospitalityq!R771),2)=VALUE(hospitalityq!R771),FALSE)))</f>
        <v>0</v>
      </c>
    </row>
    <row r="772" spans="1:18" x14ac:dyDescent="0.25">
      <c r="A772">
        <f t="shared" si="11"/>
        <v>0</v>
      </c>
      <c r="C772">
        <f>NOT(hospitalityq!C772="")*(SUMPRODUCT(--(TRIM(hospitalityq!C6:C772)=TRIM(hospitalityq!C772)))&gt;1)</f>
        <v>0</v>
      </c>
      <c r="D772">
        <f>NOT(hospitalityq!D772="")*(COUNTIF(reference!$C$17:$C$18,TRIM(hospitalityq!D772))=0)</f>
        <v>0</v>
      </c>
      <c r="J772">
        <f>NOT(hospitalityq!J772="")*(NOT(ISNUMBER(hospitalityq!J772+0)))</f>
        <v>0</v>
      </c>
      <c r="K772">
        <f>NOT(hospitalityq!K772="")*(NOT(ISNUMBER(hospitalityq!K772+0)))</f>
        <v>0</v>
      </c>
      <c r="P772">
        <f>NOT(hospitalityq!P772="")*(NOT(IFERROR(INT(hospitalityq!P772)=VALUE(hospitalityq!P772),FALSE)))</f>
        <v>0</v>
      </c>
      <c r="Q772">
        <f>NOT(hospitalityq!Q772="")*(NOT(IFERROR(INT(hospitalityq!Q772)=VALUE(hospitalityq!Q772),FALSE)))</f>
        <v>0</v>
      </c>
      <c r="R772">
        <f>NOT(hospitalityq!R772="")*(NOT(IFERROR(ROUND(VALUE(hospitalityq!R772),2)=VALUE(hospitalityq!R772),FALSE)))</f>
        <v>0</v>
      </c>
    </row>
    <row r="773" spans="1:18" x14ac:dyDescent="0.25">
      <c r="A773">
        <f t="shared" si="11"/>
        <v>0</v>
      </c>
      <c r="C773">
        <f>NOT(hospitalityq!C773="")*(SUMPRODUCT(--(TRIM(hospitalityq!C6:C773)=TRIM(hospitalityq!C773)))&gt;1)</f>
        <v>0</v>
      </c>
      <c r="D773">
        <f>NOT(hospitalityq!D773="")*(COUNTIF(reference!$C$17:$C$18,TRIM(hospitalityq!D773))=0)</f>
        <v>0</v>
      </c>
      <c r="J773">
        <f>NOT(hospitalityq!J773="")*(NOT(ISNUMBER(hospitalityq!J773+0)))</f>
        <v>0</v>
      </c>
      <c r="K773">
        <f>NOT(hospitalityq!K773="")*(NOT(ISNUMBER(hospitalityq!K773+0)))</f>
        <v>0</v>
      </c>
      <c r="P773">
        <f>NOT(hospitalityq!P773="")*(NOT(IFERROR(INT(hospitalityq!P773)=VALUE(hospitalityq!P773),FALSE)))</f>
        <v>0</v>
      </c>
      <c r="Q773">
        <f>NOT(hospitalityq!Q773="")*(NOT(IFERROR(INT(hospitalityq!Q773)=VALUE(hospitalityq!Q773),FALSE)))</f>
        <v>0</v>
      </c>
      <c r="R773">
        <f>NOT(hospitalityq!R773="")*(NOT(IFERROR(ROUND(VALUE(hospitalityq!R773),2)=VALUE(hospitalityq!R773),FALSE)))</f>
        <v>0</v>
      </c>
    </row>
    <row r="774" spans="1:18" x14ac:dyDescent="0.25">
      <c r="A774">
        <f t="shared" ref="A774:A837" si="12">IFERROR(MATCH(TRUE,INDEX(C774:R774&lt;&gt;0,),)+2,0)</f>
        <v>0</v>
      </c>
      <c r="C774">
        <f>NOT(hospitalityq!C774="")*(SUMPRODUCT(--(TRIM(hospitalityq!C6:C774)=TRIM(hospitalityq!C774)))&gt;1)</f>
        <v>0</v>
      </c>
      <c r="D774">
        <f>NOT(hospitalityq!D774="")*(COUNTIF(reference!$C$17:$C$18,TRIM(hospitalityq!D774))=0)</f>
        <v>0</v>
      </c>
      <c r="J774">
        <f>NOT(hospitalityq!J774="")*(NOT(ISNUMBER(hospitalityq!J774+0)))</f>
        <v>0</v>
      </c>
      <c r="K774">
        <f>NOT(hospitalityq!K774="")*(NOT(ISNUMBER(hospitalityq!K774+0)))</f>
        <v>0</v>
      </c>
      <c r="P774">
        <f>NOT(hospitalityq!P774="")*(NOT(IFERROR(INT(hospitalityq!P774)=VALUE(hospitalityq!P774),FALSE)))</f>
        <v>0</v>
      </c>
      <c r="Q774">
        <f>NOT(hospitalityq!Q774="")*(NOT(IFERROR(INT(hospitalityq!Q774)=VALUE(hospitalityq!Q774),FALSE)))</f>
        <v>0</v>
      </c>
      <c r="R774">
        <f>NOT(hospitalityq!R774="")*(NOT(IFERROR(ROUND(VALUE(hospitalityq!R774),2)=VALUE(hospitalityq!R774),FALSE)))</f>
        <v>0</v>
      </c>
    </row>
    <row r="775" spans="1:18" x14ac:dyDescent="0.25">
      <c r="A775">
        <f t="shared" si="12"/>
        <v>0</v>
      </c>
      <c r="C775">
        <f>NOT(hospitalityq!C775="")*(SUMPRODUCT(--(TRIM(hospitalityq!C6:C775)=TRIM(hospitalityq!C775)))&gt;1)</f>
        <v>0</v>
      </c>
      <c r="D775">
        <f>NOT(hospitalityq!D775="")*(COUNTIF(reference!$C$17:$C$18,TRIM(hospitalityq!D775))=0)</f>
        <v>0</v>
      </c>
      <c r="J775">
        <f>NOT(hospitalityq!J775="")*(NOT(ISNUMBER(hospitalityq!J775+0)))</f>
        <v>0</v>
      </c>
      <c r="K775">
        <f>NOT(hospitalityq!K775="")*(NOT(ISNUMBER(hospitalityq!K775+0)))</f>
        <v>0</v>
      </c>
      <c r="P775">
        <f>NOT(hospitalityq!P775="")*(NOT(IFERROR(INT(hospitalityq!P775)=VALUE(hospitalityq!P775),FALSE)))</f>
        <v>0</v>
      </c>
      <c r="Q775">
        <f>NOT(hospitalityq!Q775="")*(NOT(IFERROR(INT(hospitalityq!Q775)=VALUE(hospitalityq!Q775),FALSE)))</f>
        <v>0</v>
      </c>
      <c r="R775">
        <f>NOT(hospitalityq!R775="")*(NOT(IFERROR(ROUND(VALUE(hospitalityq!R775),2)=VALUE(hospitalityq!R775),FALSE)))</f>
        <v>0</v>
      </c>
    </row>
    <row r="776" spans="1:18" x14ac:dyDescent="0.25">
      <c r="A776">
        <f t="shared" si="12"/>
        <v>0</v>
      </c>
      <c r="C776">
        <f>NOT(hospitalityq!C776="")*(SUMPRODUCT(--(TRIM(hospitalityq!C6:C776)=TRIM(hospitalityq!C776)))&gt;1)</f>
        <v>0</v>
      </c>
      <c r="D776">
        <f>NOT(hospitalityq!D776="")*(COUNTIF(reference!$C$17:$C$18,TRIM(hospitalityq!D776))=0)</f>
        <v>0</v>
      </c>
      <c r="J776">
        <f>NOT(hospitalityq!J776="")*(NOT(ISNUMBER(hospitalityq!J776+0)))</f>
        <v>0</v>
      </c>
      <c r="K776">
        <f>NOT(hospitalityq!K776="")*(NOT(ISNUMBER(hospitalityq!K776+0)))</f>
        <v>0</v>
      </c>
      <c r="P776">
        <f>NOT(hospitalityq!P776="")*(NOT(IFERROR(INT(hospitalityq!P776)=VALUE(hospitalityq!P776),FALSE)))</f>
        <v>0</v>
      </c>
      <c r="Q776">
        <f>NOT(hospitalityq!Q776="")*(NOT(IFERROR(INT(hospitalityq!Q776)=VALUE(hospitalityq!Q776),FALSE)))</f>
        <v>0</v>
      </c>
      <c r="R776">
        <f>NOT(hospitalityq!R776="")*(NOT(IFERROR(ROUND(VALUE(hospitalityq!R776),2)=VALUE(hospitalityq!R776),FALSE)))</f>
        <v>0</v>
      </c>
    </row>
    <row r="777" spans="1:18" x14ac:dyDescent="0.25">
      <c r="A777">
        <f t="shared" si="12"/>
        <v>0</v>
      </c>
      <c r="C777">
        <f>NOT(hospitalityq!C777="")*(SUMPRODUCT(--(TRIM(hospitalityq!C6:C777)=TRIM(hospitalityq!C777)))&gt;1)</f>
        <v>0</v>
      </c>
      <c r="D777">
        <f>NOT(hospitalityq!D777="")*(COUNTIF(reference!$C$17:$C$18,TRIM(hospitalityq!D777))=0)</f>
        <v>0</v>
      </c>
      <c r="J777">
        <f>NOT(hospitalityq!J777="")*(NOT(ISNUMBER(hospitalityq!J777+0)))</f>
        <v>0</v>
      </c>
      <c r="K777">
        <f>NOT(hospitalityq!K777="")*(NOT(ISNUMBER(hospitalityq!K777+0)))</f>
        <v>0</v>
      </c>
      <c r="P777">
        <f>NOT(hospitalityq!P777="")*(NOT(IFERROR(INT(hospitalityq!P777)=VALUE(hospitalityq!P777),FALSE)))</f>
        <v>0</v>
      </c>
      <c r="Q777">
        <f>NOT(hospitalityq!Q777="")*(NOT(IFERROR(INT(hospitalityq!Q777)=VALUE(hospitalityq!Q777),FALSE)))</f>
        <v>0</v>
      </c>
      <c r="R777">
        <f>NOT(hospitalityq!R777="")*(NOT(IFERROR(ROUND(VALUE(hospitalityq!R777),2)=VALUE(hospitalityq!R777),FALSE)))</f>
        <v>0</v>
      </c>
    </row>
    <row r="778" spans="1:18" x14ac:dyDescent="0.25">
      <c r="A778">
        <f t="shared" si="12"/>
        <v>0</v>
      </c>
      <c r="C778">
        <f>NOT(hospitalityq!C778="")*(SUMPRODUCT(--(TRIM(hospitalityq!C6:C778)=TRIM(hospitalityq!C778)))&gt;1)</f>
        <v>0</v>
      </c>
      <c r="D778">
        <f>NOT(hospitalityq!D778="")*(COUNTIF(reference!$C$17:$C$18,TRIM(hospitalityq!D778))=0)</f>
        <v>0</v>
      </c>
      <c r="J778">
        <f>NOT(hospitalityq!J778="")*(NOT(ISNUMBER(hospitalityq!J778+0)))</f>
        <v>0</v>
      </c>
      <c r="K778">
        <f>NOT(hospitalityq!K778="")*(NOT(ISNUMBER(hospitalityq!K778+0)))</f>
        <v>0</v>
      </c>
      <c r="P778">
        <f>NOT(hospitalityq!P778="")*(NOT(IFERROR(INT(hospitalityq!P778)=VALUE(hospitalityq!P778),FALSE)))</f>
        <v>0</v>
      </c>
      <c r="Q778">
        <f>NOT(hospitalityq!Q778="")*(NOT(IFERROR(INT(hospitalityq!Q778)=VALUE(hospitalityq!Q778),FALSE)))</f>
        <v>0</v>
      </c>
      <c r="R778">
        <f>NOT(hospitalityq!R778="")*(NOT(IFERROR(ROUND(VALUE(hospitalityq!R778),2)=VALUE(hospitalityq!R778),FALSE)))</f>
        <v>0</v>
      </c>
    </row>
    <row r="779" spans="1:18" x14ac:dyDescent="0.25">
      <c r="A779">
        <f t="shared" si="12"/>
        <v>0</v>
      </c>
      <c r="C779">
        <f>NOT(hospitalityq!C779="")*(SUMPRODUCT(--(TRIM(hospitalityq!C6:C779)=TRIM(hospitalityq!C779)))&gt;1)</f>
        <v>0</v>
      </c>
      <c r="D779">
        <f>NOT(hospitalityq!D779="")*(COUNTIF(reference!$C$17:$C$18,TRIM(hospitalityq!D779))=0)</f>
        <v>0</v>
      </c>
      <c r="J779">
        <f>NOT(hospitalityq!J779="")*(NOT(ISNUMBER(hospitalityq!J779+0)))</f>
        <v>0</v>
      </c>
      <c r="K779">
        <f>NOT(hospitalityq!K779="")*(NOT(ISNUMBER(hospitalityq!K779+0)))</f>
        <v>0</v>
      </c>
      <c r="P779">
        <f>NOT(hospitalityq!P779="")*(NOT(IFERROR(INT(hospitalityq!P779)=VALUE(hospitalityq!P779),FALSE)))</f>
        <v>0</v>
      </c>
      <c r="Q779">
        <f>NOT(hospitalityq!Q779="")*(NOT(IFERROR(INT(hospitalityq!Q779)=VALUE(hospitalityq!Q779),FALSE)))</f>
        <v>0</v>
      </c>
      <c r="R779">
        <f>NOT(hospitalityq!R779="")*(NOT(IFERROR(ROUND(VALUE(hospitalityq!R779),2)=VALUE(hospitalityq!R779),FALSE)))</f>
        <v>0</v>
      </c>
    </row>
    <row r="780" spans="1:18" x14ac:dyDescent="0.25">
      <c r="A780">
        <f t="shared" si="12"/>
        <v>0</v>
      </c>
      <c r="C780">
        <f>NOT(hospitalityq!C780="")*(SUMPRODUCT(--(TRIM(hospitalityq!C6:C780)=TRIM(hospitalityq!C780)))&gt;1)</f>
        <v>0</v>
      </c>
      <c r="D780">
        <f>NOT(hospitalityq!D780="")*(COUNTIF(reference!$C$17:$C$18,TRIM(hospitalityq!D780))=0)</f>
        <v>0</v>
      </c>
      <c r="J780">
        <f>NOT(hospitalityq!J780="")*(NOT(ISNUMBER(hospitalityq!J780+0)))</f>
        <v>0</v>
      </c>
      <c r="K780">
        <f>NOT(hospitalityq!K780="")*(NOT(ISNUMBER(hospitalityq!K780+0)))</f>
        <v>0</v>
      </c>
      <c r="P780">
        <f>NOT(hospitalityq!P780="")*(NOT(IFERROR(INT(hospitalityq!P780)=VALUE(hospitalityq!P780),FALSE)))</f>
        <v>0</v>
      </c>
      <c r="Q780">
        <f>NOT(hospitalityq!Q780="")*(NOT(IFERROR(INT(hospitalityq!Q780)=VALUE(hospitalityq!Q780),FALSE)))</f>
        <v>0</v>
      </c>
      <c r="R780">
        <f>NOT(hospitalityq!R780="")*(NOT(IFERROR(ROUND(VALUE(hospitalityq!R780),2)=VALUE(hospitalityq!R780),FALSE)))</f>
        <v>0</v>
      </c>
    </row>
    <row r="781" spans="1:18" x14ac:dyDescent="0.25">
      <c r="A781">
        <f t="shared" si="12"/>
        <v>0</v>
      </c>
      <c r="C781">
        <f>NOT(hospitalityq!C781="")*(SUMPRODUCT(--(TRIM(hospitalityq!C6:C781)=TRIM(hospitalityq!C781)))&gt;1)</f>
        <v>0</v>
      </c>
      <c r="D781">
        <f>NOT(hospitalityq!D781="")*(COUNTIF(reference!$C$17:$C$18,TRIM(hospitalityq!D781))=0)</f>
        <v>0</v>
      </c>
      <c r="J781">
        <f>NOT(hospitalityq!J781="")*(NOT(ISNUMBER(hospitalityq!J781+0)))</f>
        <v>0</v>
      </c>
      <c r="K781">
        <f>NOT(hospitalityq!K781="")*(NOT(ISNUMBER(hospitalityq!K781+0)))</f>
        <v>0</v>
      </c>
      <c r="P781">
        <f>NOT(hospitalityq!P781="")*(NOT(IFERROR(INT(hospitalityq!P781)=VALUE(hospitalityq!P781),FALSE)))</f>
        <v>0</v>
      </c>
      <c r="Q781">
        <f>NOT(hospitalityq!Q781="")*(NOT(IFERROR(INT(hospitalityq!Q781)=VALUE(hospitalityq!Q781),FALSE)))</f>
        <v>0</v>
      </c>
      <c r="R781">
        <f>NOT(hospitalityq!R781="")*(NOT(IFERROR(ROUND(VALUE(hospitalityq!R781),2)=VALUE(hospitalityq!R781),FALSE)))</f>
        <v>0</v>
      </c>
    </row>
    <row r="782" spans="1:18" x14ac:dyDescent="0.25">
      <c r="A782">
        <f t="shared" si="12"/>
        <v>0</v>
      </c>
      <c r="C782">
        <f>NOT(hospitalityq!C782="")*(SUMPRODUCT(--(TRIM(hospitalityq!C6:C782)=TRIM(hospitalityq!C782)))&gt;1)</f>
        <v>0</v>
      </c>
      <c r="D782">
        <f>NOT(hospitalityq!D782="")*(COUNTIF(reference!$C$17:$C$18,TRIM(hospitalityq!D782))=0)</f>
        <v>0</v>
      </c>
      <c r="J782">
        <f>NOT(hospitalityq!J782="")*(NOT(ISNUMBER(hospitalityq!J782+0)))</f>
        <v>0</v>
      </c>
      <c r="K782">
        <f>NOT(hospitalityq!K782="")*(NOT(ISNUMBER(hospitalityq!K782+0)))</f>
        <v>0</v>
      </c>
      <c r="P782">
        <f>NOT(hospitalityq!P782="")*(NOT(IFERROR(INT(hospitalityq!P782)=VALUE(hospitalityq!P782),FALSE)))</f>
        <v>0</v>
      </c>
      <c r="Q782">
        <f>NOT(hospitalityq!Q782="")*(NOT(IFERROR(INT(hospitalityq!Q782)=VALUE(hospitalityq!Q782),FALSE)))</f>
        <v>0</v>
      </c>
      <c r="R782">
        <f>NOT(hospitalityq!R782="")*(NOT(IFERROR(ROUND(VALUE(hospitalityq!R782),2)=VALUE(hospitalityq!R782),FALSE)))</f>
        <v>0</v>
      </c>
    </row>
    <row r="783" spans="1:18" x14ac:dyDescent="0.25">
      <c r="A783">
        <f t="shared" si="12"/>
        <v>0</v>
      </c>
      <c r="C783">
        <f>NOT(hospitalityq!C783="")*(SUMPRODUCT(--(TRIM(hospitalityq!C6:C783)=TRIM(hospitalityq!C783)))&gt;1)</f>
        <v>0</v>
      </c>
      <c r="D783">
        <f>NOT(hospitalityq!D783="")*(COUNTIF(reference!$C$17:$C$18,TRIM(hospitalityq!D783))=0)</f>
        <v>0</v>
      </c>
      <c r="J783">
        <f>NOT(hospitalityq!J783="")*(NOT(ISNUMBER(hospitalityq!J783+0)))</f>
        <v>0</v>
      </c>
      <c r="K783">
        <f>NOT(hospitalityq!K783="")*(NOT(ISNUMBER(hospitalityq!K783+0)))</f>
        <v>0</v>
      </c>
      <c r="P783">
        <f>NOT(hospitalityq!P783="")*(NOT(IFERROR(INT(hospitalityq!P783)=VALUE(hospitalityq!P783),FALSE)))</f>
        <v>0</v>
      </c>
      <c r="Q783">
        <f>NOT(hospitalityq!Q783="")*(NOT(IFERROR(INT(hospitalityq!Q783)=VALUE(hospitalityq!Q783),FALSE)))</f>
        <v>0</v>
      </c>
      <c r="R783">
        <f>NOT(hospitalityq!R783="")*(NOT(IFERROR(ROUND(VALUE(hospitalityq!R783),2)=VALUE(hospitalityq!R783),FALSE)))</f>
        <v>0</v>
      </c>
    </row>
    <row r="784" spans="1:18" x14ac:dyDescent="0.25">
      <c r="A784">
        <f t="shared" si="12"/>
        <v>0</v>
      </c>
      <c r="C784">
        <f>NOT(hospitalityq!C784="")*(SUMPRODUCT(--(TRIM(hospitalityq!C6:C784)=TRIM(hospitalityq!C784)))&gt;1)</f>
        <v>0</v>
      </c>
      <c r="D784">
        <f>NOT(hospitalityq!D784="")*(COUNTIF(reference!$C$17:$C$18,TRIM(hospitalityq!D784))=0)</f>
        <v>0</v>
      </c>
      <c r="J784">
        <f>NOT(hospitalityq!J784="")*(NOT(ISNUMBER(hospitalityq!J784+0)))</f>
        <v>0</v>
      </c>
      <c r="K784">
        <f>NOT(hospitalityq!K784="")*(NOT(ISNUMBER(hospitalityq!K784+0)))</f>
        <v>0</v>
      </c>
      <c r="P784">
        <f>NOT(hospitalityq!P784="")*(NOT(IFERROR(INT(hospitalityq!P784)=VALUE(hospitalityq!P784),FALSE)))</f>
        <v>0</v>
      </c>
      <c r="Q784">
        <f>NOT(hospitalityq!Q784="")*(NOT(IFERROR(INT(hospitalityq!Q784)=VALUE(hospitalityq!Q784),FALSE)))</f>
        <v>0</v>
      </c>
      <c r="R784">
        <f>NOT(hospitalityq!R784="")*(NOT(IFERROR(ROUND(VALUE(hospitalityq!R784),2)=VALUE(hospitalityq!R784),FALSE)))</f>
        <v>0</v>
      </c>
    </row>
    <row r="785" spans="1:18" x14ac:dyDescent="0.25">
      <c r="A785">
        <f t="shared" si="12"/>
        <v>0</v>
      </c>
      <c r="C785">
        <f>NOT(hospitalityq!C785="")*(SUMPRODUCT(--(TRIM(hospitalityq!C6:C785)=TRIM(hospitalityq!C785)))&gt;1)</f>
        <v>0</v>
      </c>
      <c r="D785">
        <f>NOT(hospitalityq!D785="")*(COUNTIF(reference!$C$17:$C$18,TRIM(hospitalityq!D785))=0)</f>
        <v>0</v>
      </c>
      <c r="J785">
        <f>NOT(hospitalityq!J785="")*(NOT(ISNUMBER(hospitalityq!J785+0)))</f>
        <v>0</v>
      </c>
      <c r="K785">
        <f>NOT(hospitalityq!K785="")*(NOT(ISNUMBER(hospitalityq!K785+0)))</f>
        <v>0</v>
      </c>
      <c r="P785">
        <f>NOT(hospitalityq!P785="")*(NOT(IFERROR(INT(hospitalityq!P785)=VALUE(hospitalityq!P785),FALSE)))</f>
        <v>0</v>
      </c>
      <c r="Q785">
        <f>NOT(hospitalityq!Q785="")*(NOT(IFERROR(INT(hospitalityq!Q785)=VALUE(hospitalityq!Q785),FALSE)))</f>
        <v>0</v>
      </c>
      <c r="R785">
        <f>NOT(hospitalityq!R785="")*(NOT(IFERROR(ROUND(VALUE(hospitalityq!R785),2)=VALUE(hospitalityq!R785),FALSE)))</f>
        <v>0</v>
      </c>
    </row>
    <row r="786" spans="1:18" x14ac:dyDescent="0.25">
      <c r="A786">
        <f t="shared" si="12"/>
        <v>0</v>
      </c>
      <c r="C786">
        <f>NOT(hospitalityq!C786="")*(SUMPRODUCT(--(TRIM(hospitalityq!C6:C786)=TRIM(hospitalityq!C786)))&gt;1)</f>
        <v>0</v>
      </c>
      <c r="D786">
        <f>NOT(hospitalityq!D786="")*(COUNTIF(reference!$C$17:$C$18,TRIM(hospitalityq!D786))=0)</f>
        <v>0</v>
      </c>
      <c r="J786">
        <f>NOT(hospitalityq!J786="")*(NOT(ISNUMBER(hospitalityq!J786+0)))</f>
        <v>0</v>
      </c>
      <c r="K786">
        <f>NOT(hospitalityq!K786="")*(NOT(ISNUMBER(hospitalityq!K786+0)))</f>
        <v>0</v>
      </c>
      <c r="P786">
        <f>NOT(hospitalityq!P786="")*(NOT(IFERROR(INT(hospitalityq!P786)=VALUE(hospitalityq!P786),FALSE)))</f>
        <v>0</v>
      </c>
      <c r="Q786">
        <f>NOT(hospitalityq!Q786="")*(NOT(IFERROR(INT(hospitalityq!Q786)=VALUE(hospitalityq!Q786),FALSE)))</f>
        <v>0</v>
      </c>
      <c r="R786">
        <f>NOT(hospitalityq!R786="")*(NOT(IFERROR(ROUND(VALUE(hospitalityq!R786),2)=VALUE(hospitalityq!R786),FALSE)))</f>
        <v>0</v>
      </c>
    </row>
    <row r="787" spans="1:18" x14ac:dyDescent="0.25">
      <c r="A787">
        <f t="shared" si="12"/>
        <v>0</v>
      </c>
      <c r="C787">
        <f>NOT(hospitalityq!C787="")*(SUMPRODUCT(--(TRIM(hospitalityq!C6:C787)=TRIM(hospitalityq!C787)))&gt;1)</f>
        <v>0</v>
      </c>
      <c r="D787">
        <f>NOT(hospitalityq!D787="")*(COUNTIF(reference!$C$17:$C$18,TRIM(hospitalityq!D787))=0)</f>
        <v>0</v>
      </c>
      <c r="J787">
        <f>NOT(hospitalityq!J787="")*(NOT(ISNUMBER(hospitalityq!J787+0)))</f>
        <v>0</v>
      </c>
      <c r="K787">
        <f>NOT(hospitalityq!K787="")*(NOT(ISNUMBER(hospitalityq!K787+0)))</f>
        <v>0</v>
      </c>
      <c r="P787">
        <f>NOT(hospitalityq!P787="")*(NOT(IFERROR(INT(hospitalityq!P787)=VALUE(hospitalityq!P787),FALSE)))</f>
        <v>0</v>
      </c>
      <c r="Q787">
        <f>NOT(hospitalityq!Q787="")*(NOT(IFERROR(INT(hospitalityq!Q787)=VALUE(hospitalityq!Q787),FALSE)))</f>
        <v>0</v>
      </c>
      <c r="R787">
        <f>NOT(hospitalityq!R787="")*(NOT(IFERROR(ROUND(VALUE(hospitalityq!R787),2)=VALUE(hospitalityq!R787),FALSE)))</f>
        <v>0</v>
      </c>
    </row>
    <row r="788" spans="1:18" x14ac:dyDescent="0.25">
      <c r="A788">
        <f t="shared" si="12"/>
        <v>0</v>
      </c>
      <c r="C788">
        <f>NOT(hospitalityq!C788="")*(SUMPRODUCT(--(TRIM(hospitalityq!C6:C788)=TRIM(hospitalityq!C788)))&gt;1)</f>
        <v>0</v>
      </c>
      <c r="D788">
        <f>NOT(hospitalityq!D788="")*(COUNTIF(reference!$C$17:$C$18,TRIM(hospitalityq!D788))=0)</f>
        <v>0</v>
      </c>
      <c r="J788">
        <f>NOT(hospitalityq!J788="")*(NOT(ISNUMBER(hospitalityq!J788+0)))</f>
        <v>0</v>
      </c>
      <c r="K788">
        <f>NOT(hospitalityq!K788="")*(NOT(ISNUMBER(hospitalityq!K788+0)))</f>
        <v>0</v>
      </c>
      <c r="P788">
        <f>NOT(hospitalityq!P788="")*(NOT(IFERROR(INT(hospitalityq!P788)=VALUE(hospitalityq!P788),FALSE)))</f>
        <v>0</v>
      </c>
      <c r="Q788">
        <f>NOT(hospitalityq!Q788="")*(NOT(IFERROR(INT(hospitalityq!Q788)=VALUE(hospitalityq!Q788),FALSE)))</f>
        <v>0</v>
      </c>
      <c r="R788">
        <f>NOT(hospitalityq!R788="")*(NOT(IFERROR(ROUND(VALUE(hospitalityq!R788),2)=VALUE(hospitalityq!R788),FALSE)))</f>
        <v>0</v>
      </c>
    </row>
    <row r="789" spans="1:18" x14ac:dyDescent="0.25">
      <c r="A789">
        <f t="shared" si="12"/>
        <v>0</v>
      </c>
      <c r="C789">
        <f>NOT(hospitalityq!C789="")*(SUMPRODUCT(--(TRIM(hospitalityq!C6:C789)=TRIM(hospitalityq!C789)))&gt;1)</f>
        <v>0</v>
      </c>
      <c r="D789">
        <f>NOT(hospitalityq!D789="")*(COUNTIF(reference!$C$17:$C$18,TRIM(hospitalityq!D789))=0)</f>
        <v>0</v>
      </c>
      <c r="J789">
        <f>NOT(hospitalityq!J789="")*(NOT(ISNUMBER(hospitalityq!J789+0)))</f>
        <v>0</v>
      </c>
      <c r="K789">
        <f>NOT(hospitalityq!K789="")*(NOT(ISNUMBER(hospitalityq!K789+0)))</f>
        <v>0</v>
      </c>
      <c r="P789">
        <f>NOT(hospitalityq!P789="")*(NOT(IFERROR(INT(hospitalityq!P789)=VALUE(hospitalityq!P789),FALSE)))</f>
        <v>0</v>
      </c>
      <c r="Q789">
        <f>NOT(hospitalityq!Q789="")*(NOT(IFERROR(INT(hospitalityq!Q789)=VALUE(hospitalityq!Q789),FALSE)))</f>
        <v>0</v>
      </c>
      <c r="R789">
        <f>NOT(hospitalityq!R789="")*(NOT(IFERROR(ROUND(VALUE(hospitalityq!R789),2)=VALUE(hospitalityq!R789),FALSE)))</f>
        <v>0</v>
      </c>
    </row>
    <row r="790" spans="1:18" x14ac:dyDescent="0.25">
      <c r="A790">
        <f t="shared" si="12"/>
        <v>0</v>
      </c>
      <c r="C790">
        <f>NOT(hospitalityq!C790="")*(SUMPRODUCT(--(TRIM(hospitalityq!C6:C790)=TRIM(hospitalityq!C790)))&gt;1)</f>
        <v>0</v>
      </c>
      <c r="D790">
        <f>NOT(hospitalityq!D790="")*(COUNTIF(reference!$C$17:$C$18,TRIM(hospitalityq!D790))=0)</f>
        <v>0</v>
      </c>
      <c r="J790">
        <f>NOT(hospitalityq!J790="")*(NOT(ISNUMBER(hospitalityq!J790+0)))</f>
        <v>0</v>
      </c>
      <c r="K790">
        <f>NOT(hospitalityq!K790="")*(NOT(ISNUMBER(hospitalityq!K790+0)))</f>
        <v>0</v>
      </c>
      <c r="P790">
        <f>NOT(hospitalityq!P790="")*(NOT(IFERROR(INT(hospitalityq!P790)=VALUE(hospitalityq!P790),FALSE)))</f>
        <v>0</v>
      </c>
      <c r="Q790">
        <f>NOT(hospitalityq!Q790="")*(NOT(IFERROR(INT(hospitalityq!Q790)=VALUE(hospitalityq!Q790),FALSE)))</f>
        <v>0</v>
      </c>
      <c r="R790">
        <f>NOT(hospitalityq!R790="")*(NOT(IFERROR(ROUND(VALUE(hospitalityq!R790),2)=VALUE(hospitalityq!R790),FALSE)))</f>
        <v>0</v>
      </c>
    </row>
    <row r="791" spans="1:18" x14ac:dyDescent="0.25">
      <c r="A791">
        <f t="shared" si="12"/>
        <v>0</v>
      </c>
      <c r="C791">
        <f>NOT(hospitalityq!C791="")*(SUMPRODUCT(--(TRIM(hospitalityq!C6:C791)=TRIM(hospitalityq!C791)))&gt;1)</f>
        <v>0</v>
      </c>
      <c r="D791">
        <f>NOT(hospitalityq!D791="")*(COUNTIF(reference!$C$17:$C$18,TRIM(hospitalityq!D791))=0)</f>
        <v>0</v>
      </c>
      <c r="J791">
        <f>NOT(hospitalityq!J791="")*(NOT(ISNUMBER(hospitalityq!J791+0)))</f>
        <v>0</v>
      </c>
      <c r="K791">
        <f>NOT(hospitalityq!K791="")*(NOT(ISNUMBER(hospitalityq!K791+0)))</f>
        <v>0</v>
      </c>
      <c r="P791">
        <f>NOT(hospitalityq!P791="")*(NOT(IFERROR(INT(hospitalityq!P791)=VALUE(hospitalityq!P791),FALSE)))</f>
        <v>0</v>
      </c>
      <c r="Q791">
        <f>NOT(hospitalityq!Q791="")*(NOT(IFERROR(INT(hospitalityq!Q791)=VALUE(hospitalityq!Q791),FALSE)))</f>
        <v>0</v>
      </c>
      <c r="R791">
        <f>NOT(hospitalityq!R791="")*(NOT(IFERROR(ROUND(VALUE(hospitalityq!R791),2)=VALUE(hospitalityq!R791),FALSE)))</f>
        <v>0</v>
      </c>
    </row>
    <row r="792" spans="1:18" x14ac:dyDescent="0.25">
      <c r="A792">
        <f t="shared" si="12"/>
        <v>0</v>
      </c>
      <c r="C792">
        <f>NOT(hospitalityq!C792="")*(SUMPRODUCT(--(TRIM(hospitalityq!C6:C792)=TRIM(hospitalityq!C792)))&gt;1)</f>
        <v>0</v>
      </c>
      <c r="D792">
        <f>NOT(hospitalityq!D792="")*(COUNTIF(reference!$C$17:$C$18,TRIM(hospitalityq!D792))=0)</f>
        <v>0</v>
      </c>
      <c r="J792">
        <f>NOT(hospitalityq!J792="")*(NOT(ISNUMBER(hospitalityq!J792+0)))</f>
        <v>0</v>
      </c>
      <c r="K792">
        <f>NOT(hospitalityq!K792="")*(NOT(ISNUMBER(hospitalityq!K792+0)))</f>
        <v>0</v>
      </c>
      <c r="P792">
        <f>NOT(hospitalityq!P792="")*(NOT(IFERROR(INT(hospitalityq!P792)=VALUE(hospitalityq!P792),FALSE)))</f>
        <v>0</v>
      </c>
      <c r="Q792">
        <f>NOT(hospitalityq!Q792="")*(NOT(IFERROR(INT(hospitalityq!Q792)=VALUE(hospitalityq!Q792),FALSE)))</f>
        <v>0</v>
      </c>
      <c r="R792">
        <f>NOT(hospitalityq!R792="")*(NOT(IFERROR(ROUND(VALUE(hospitalityq!R792),2)=VALUE(hospitalityq!R792),FALSE)))</f>
        <v>0</v>
      </c>
    </row>
    <row r="793" spans="1:18" x14ac:dyDescent="0.25">
      <c r="A793">
        <f t="shared" si="12"/>
        <v>0</v>
      </c>
      <c r="C793">
        <f>NOT(hospitalityq!C793="")*(SUMPRODUCT(--(TRIM(hospitalityq!C6:C793)=TRIM(hospitalityq!C793)))&gt;1)</f>
        <v>0</v>
      </c>
      <c r="D793">
        <f>NOT(hospitalityq!D793="")*(COUNTIF(reference!$C$17:$C$18,TRIM(hospitalityq!D793))=0)</f>
        <v>0</v>
      </c>
      <c r="J793">
        <f>NOT(hospitalityq!J793="")*(NOT(ISNUMBER(hospitalityq!J793+0)))</f>
        <v>0</v>
      </c>
      <c r="K793">
        <f>NOT(hospitalityq!K793="")*(NOT(ISNUMBER(hospitalityq!K793+0)))</f>
        <v>0</v>
      </c>
      <c r="P793">
        <f>NOT(hospitalityq!P793="")*(NOT(IFERROR(INT(hospitalityq!P793)=VALUE(hospitalityq!P793),FALSE)))</f>
        <v>0</v>
      </c>
      <c r="Q793">
        <f>NOT(hospitalityq!Q793="")*(NOT(IFERROR(INT(hospitalityq!Q793)=VALUE(hospitalityq!Q793),FALSE)))</f>
        <v>0</v>
      </c>
      <c r="R793">
        <f>NOT(hospitalityq!R793="")*(NOT(IFERROR(ROUND(VALUE(hospitalityq!R793),2)=VALUE(hospitalityq!R793),FALSE)))</f>
        <v>0</v>
      </c>
    </row>
    <row r="794" spans="1:18" x14ac:dyDescent="0.25">
      <c r="A794">
        <f t="shared" si="12"/>
        <v>0</v>
      </c>
      <c r="C794">
        <f>NOT(hospitalityq!C794="")*(SUMPRODUCT(--(TRIM(hospitalityq!C6:C794)=TRIM(hospitalityq!C794)))&gt;1)</f>
        <v>0</v>
      </c>
      <c r="D794">
        <f>NOT(hospitalityq!D794="")*(COUNTIF(reference!$C$17:$C$18,TRIM(hospitalityq!D794))=0)</f>
        <v>0</v>
      </c>
      <c r="J794">
        <f>NOT(hospitalityq!J794="")*(NOT(ISNUMBER(hospitalityq!J794+0)))</f>
        <v>0</v>
      </c>
      <c r="K794">
        <f>NOT(hospitalityq!K794="")*(NOT(ISNUMBER(hospitalityq!K794+0)))</f>
        <v>0</v>
      </c>
      <c r="P794">
        <f>NOT(hospitalityq!P794="")*(NOT(IFERROR(INT(hospitalityq!P794)=VALUE(hospitalityq!P794),FALSE)))</f>
        <v>0</v>
      </c>
      <c r="Q794">
        <f>NOT(hospitalityq!Q794="")*(NOT(IFERROR(INT(hospitalityq!Q794)=VALUE(hospitalityq!Q794),FALSE)))</f>
        <v>0</v>
      </c>
      <c r="R794">
        <f>NOT(hospitalityq!R794="")*(NOT(IFERROR(ROUND(VALUE(hospitalityq!R794),2)=VALUE(hospitalityq!R794),FALSE)))</f>
        <v>0</v>
      </c>
    </row>
    <row r="795" spans="1:18" x14ac:dyDescent="0.25">
      <c r="A795">
        <f t="shared" si="12"/>
        <v>0</v>
      </c>
      <c r="C795">
        <f>NOT(hospitalityq!C795="")*(SUMPRODUCT(--(TRIM(hospitalityq!C6:C795)=TRIM(hospitalityq!C795)))&gt;1)</f>
        <v>0</v>
      </c>
      <c r="D795">
        <f>NOT(hospitalityq!D795="")*(COUNTIF(reference!$C$17:$C$18,TRIM(hospitalityq!D795))=0)</f>
        <v>0</v>
      </c>
      <c r="J795">
        <f>NOT(hospitalityq!J795="")*(NOT(ISNUMBER(hospitalityq!J795+0)))</f>
        <v>0</v>
      </c>
      <c r="K795">
        <f>NOT(hospitalityq!K795="")*(NOT(ISNUMBER(hospitalityq!K795+0)))</f>
        <v>0</v>
      </c>
      <c r="P795">
        <f>NOT(hospitalityq!P795="")*(NOT(IFERROR(INT(hospitalityq!P795)=VALUE(hospitalityq!P795),FALSE)))</f>
        <v>0</v>
      </c>
      <c r="Q795">
        <f>NOT(hospitalityq!Q795="")*(NOT(IFERROR(INT(hospitalityq!Q795)=VALUE(hospitalityq!Q795),FALSE)))</f>
        <v>0</v>
      </c>
      <c r="R795">
        <f>NOT(hospitalityq!R795="")*(NOT(IFERROR(ROUND(VALUE(hospitalityq!R795),2)=VALUE(hospitalityq!R795),FALSE)))</f>
        <v>0</v>
      </c>
    </row>
    <row r="796" spans="1:18" x14ac:dyDescent="0.25">
      <c r="A796">
        <f t="shared" si="12"/>
        <v>0</v>
      </c>
      <c r="C796">
        <f>NOT(hospitalityq!C796="")*(SUMPRODUCT(--(TRIM(hospitalityq!C6:C796)=TRIM(hospitalityq!C796)))&gt;1)</f>
        <v>0</v>
      </c>
      <c r="D796">
        <f>NOT(hospitalityq!D796="")*(COUNTIF(reference!$C$17:$C$18,TRIM(hospitalityq!D796))=0)</f>
        <v>0</v>
      </c>
      <c r="J796">
        <f>NOT(hospitalityq!J796="")*(NOT(ISNUMBER(hospitalityq!J796+0)))</f>
        <v>0</v>
      </c>
      <c r="K796">
        <f>NOT(hospitalityq!K796="")*(NOT(ISNUMBER(hospitalityq!K796+0)))</f>
        <v>0</v>
      </c>
      <c r="P796">
        <f>NOT(hospitalityq!P796="")*(NOT(IFERROR(INT(hospitalityq!P796)=VALUE(hospitalityq!P796),FALSE)))</f>
        <v>0</v>
      </c>
      <c r="Q796">
        <f>NOT(hospitalityq!Q796="")*(NOT(IFERROR(INT(hospitalityq!Q796)=VALUE(hospitalityq!Q796),FALSE)))</f>
        <v>0</v>
      </c>
      <c r="R796">
        <f>NOT(hospitalityq!R796="")*(NOT(IFERROR(ROUND(VALUE(hospitalityq!R796),2)=VALUE(hospitalityq!R796),FALSE)))</f>
        <v>0</v>
      </c>
    </row>
    <row r="797" spans="1:18" x14ac:dyDescent="0.25">
      <c r="A797">
        <f t="shared" si="12"/>
        <v>0</v>
      </c>
      <c r="C797">
        <f>NOT(hospitalityq!C797="")*(SUMPRODUCT(--(TRIM(hospitalityq!C6:C797)=TRIM(hospitalityq!C797)))&gt;1)</f>
        <v>0</v>
      </c>
      <c r="D797">
        <f>NOT(hospitalityq!D797="")*(COUNTIF(reference!$C$17:$C$18,TRIM(hospitalityq!D797))=0)</f>
        <v>0</v>
      </c>
      <c r="J797">
        <f>NOT(hospitalityq!J797="")*(NOT(ISNUMBER(hospitalityq!J797+0)))</f>
        <v>0</v>
      </c>
      <c r="K797">
        <f>NOT(hospitalityq!K797="")*(NOT(ISNUMBER(hospitalityq!K797+0)))</f>
        <v>0</v>
      </c>
      <c r="P797">
        <f>NOT(hospitalityq!P797="")*(NOT(IFERROR(INT(hospitalityq!P797)=VALUE(hospitalityq!P797),FALSE)))</f>
        <v>0</v>
      </c>
      <c r="Q797">
        <f>NOT(hospitalityq!Q797="")*(NOT(IFERROR(INT(hospitalityq!Q797)=VALUE(hospitalityq!Q797),FALSE)))</f>
        <v>0</v>
      </c>
      <c r="R797">
        <f>NOT(hospitalityq!R797="")*(NOT(IFERROR(ROUND(VALUE(hospitalityq!R797),2)=VALUE(hospitalityq!R797),FALSE)))</f>
        <v>0</v>
      </c>
    </row>
    <row r="798" spans="1:18" x14ac:dyDescent="0.25">
      <c r="A798">
        <f t="shared" si="12"/>
        <v>0</v>
      </c>
      <c r="C798">
        <f>NOT(hospitalityq!C798="")*(SUMPRODUCT(--(TRIM(hospitalityq!C6:C798)=TRIM(hospitalityq!C798)))&gt;1)</f>
        <v>0</v>
      </c>
      <c r="D798">
        <f>NOT(hospitalityq!D798="")*(COUNTIF(reference!$C$17:$C$18,TRIM(hospitalityq!D798))=0)</f>
        <v>0</v>
      </c>
      <c r="J798">
        <f>NOT(hospitalityq!J798="")*(NOT(ISNUMBER(hospitalityq!J798+0)))</f>
        <v>0</v>
      </c>
      <c r="K798">
        <f>NOT(hospitalityq!K798="")*(NOT(ISNUMBER(hospitalityq!K798+0)))</f>
        <v>0</v>
      </c>
      <c r="P798">
        <f>NOT(hospitalityq!P798="")*(NOT(IFERROR(INT(hospitalityq!P798)=VALUE(hospitalityq!P798),FALSE)))</f>
        <v>0</v>
      </c>
      <c r="Q798">
        <f>NOT(hospitalityq!Q798="")*(NOT(IFERROR(INT(hospitalityq!Q798)=VALUE(hospitalityq!Q798),FALSE)))</f>
        <v>0</v>
      </c>
      <c r="R798">
        <f>NOT(hospitalityq!R798="")*(NOT(IFERROR(ROUND(VALUE(hospitalityq!R798),2)=VALUE(hospitalityq!R798),FALSE)))</f>
        <v>0</v>
      </c>
    </row>
    <row r="799" spans="1:18" x14ac:dyDescent="0.25">
      <c r="A799">
        <f t="shared" si="12"/>
        <v>0</v>
      </c>
      <c r="C799">
        <f>NOT(hospitalityq!C799="")*(SUMPRODUCT(--(TRIM(hospitalityq!C6:C799)=TRIM(hospitalityq!C799)))&gt;1)</f>
        <v>0</v>
      </c>
      <c r="D799">
        <f>NOT(hospitalityq!D799="")*(COUNTIF(reference!$C$17:$C$18,TRIM(hospitalityq!D799))=0)</f>
        <v>0</v>
      </c>
      <c r="J799">
        <f>NOT(hospitalityq!J799="")*(NOT(ISNUMBER(hospitalityq!J799+0)))</f>
        <v>0</v>
      </c>
      <c r="K799">
        <f>NOT(hospitalityq!K799="")*(NOT(ISNUMBER(hospitalityq!K799+0)))</f>
        <v>0</v>
      </c>
      <c r="P799">
        <f>NOT(hospitalityq!P799="")*(NOT(IFERROR(INT(hospitalityq!P799)=VALUE(hospitalityq!P799),FALSE)))</f>
        <v>0</v>
      </c>
      <c r="Q799">
        <f>NOT(hospitalityq!Q799="")*(NOT(IFERROR(INT(hospitalityq!Q799)=VALUE(hospitalityq!Q799),FALSE)))</f>
        <v>0</v>
      </c>
      <c r="R799">
        <f>NOT(hospitalityq!R799="")*(NOT(IFERROR(ROUND(VALUE(hospitalityq!R799),2)=VALUE(hospitalityq!R799),FALSE)))</f>
        <v>0</v>
      </c>
    </row>
    <row r="800" spans="1:18" x14ac:dyDescent="0.25">
      <c r="A800">
        <f t="shared" si="12"/>
        <v>0</v>
      </c>
      <c r="C800">
        <f>NOT(hospitalityq!C800="")*(SUMPRODUCT(--(TRIM(hospitalityq!C6:C800)=TRIM(hospitalityq!C800)))&gt;1)</f>
        <v>0</v>
      </c>
      <c r="D800">
        <f>NOT(hospitalityq!D800="")*(COUNTIF(reference!$C$17:$C$18,TRIM(hospitalityq!D800))=0)</f>
        <v>0</v>
      </c>
      <c r="J800">
        <f>NOT(hospitalityq!J800="")*(NOT(ISNUMBER(hospitalityq!J800+0)))</f>
        <v>0</v>
      </c>
      <c r="K800">
        <f>NOT(hospitalityq!K800="")*(NOT(ISNUMBER(hospitalityq!K800+0)))</f>
        <v>0</v>
      </c>
      <c r="P800">
        <f>NOT(hospitalityq!P800="")*(NOT(IFERROR(INT(hospitalityq!P800)=VALUE(hospitalityq!P800),FALSE)))</f>
        <v>0</v>
      </c>
      <c r="Q800">
        <f>NOT(hospitalityq!Q800="")*(NOT(IFERROR(INT(hospitalityq!Q800)=VALUE(hospitalityq!Q800),FALSE)))</f>
        <v>0</v>
      </c>
      <c r="R800">
        <f>NOT(hospitalityq!R800="")*(NOT(IFERROR(ROUND(VALUE(hospitalityq!R800),2)=VALUE(hospitalityq!R800),FALSE)))</f>
        <v>0</v>
      </c>
    </row>
    <row r="801" spans="1:18" x14ac:dyDescent="0.25">
      <c r="A801">
        <f t="shared" si="12"/>
        <v>0</v>
      </c>
      <c r="C801">
        <f>NOT(hospitalityq!C801="")*(SUMPRODUCT(--(TRIM(hospitalityq!C6:C801)=TRIM(hospitalityq!C801)))&gt;1)</f>
        <v>0</v>
      </c>
      <c r="D801">
        <f>NOT(hospitalityq!D801="")*(COUNTIF(reference!$C$17:$C$18,TRIM(hospitalityq!D801))=0)</f>
        <v>0</v>
      </c>
      <c r="J801">
        <f>NOT(hospitalityq!J801="")*(NOT(ISNUMBER(hospitalityq!J801+0)))</f>
        <v>0</v>
      </c>
      <c r="K801">
        <f>NOT(hospitalityq!K801="")*(NOT(ISNUMBER(hospitalityq!K801+0)))</f>
        <v>0</v>
      </c>
      <c r="P801">
        <f>NOT(hospitalityq!P801="")*(NOT(IFERROR(INT(hospitalityq!P801)=VALUE(hospitalityq!P801),FALSE)))</f>
        <v>0</v>
      </c>
      <c r="Q801">
        <f>NOT(hospitalityq!Q801="")*(NOT(IFERROR(INT(hospitalityq!Q801)=VALUE(hospitalityq!Q801),FALSE)))</f>
        <v>0</v>
      </c>
      <c r="R801">
        <f>NOT(hospitalityq!R801="")*(NOT(IFERROR(ROUND(VALUE(hospitalityq!R801),2)=VALUE(hospitalityq!R801),FALSE)))</f>
        <v>0</v>
      </c>
    </row>
    <row r="802" spans="1:18" x14ac:dyDescent="0.25">
      <c r="A802">
        <f t="shared" si="12"/>
        <v>0</v>
      </c>
      <c r="C802">
        <f>NOT(hospitalityq!C802="")*(SUMPRODUCT(--(TRIM(hospitalityq!C6:C802)=TRIM(hospitalityq!C802)))&gt;1)</f>
        <v>0</v>
      </c>
      <c r="D802">
        <f>NOT(hospitalityq!D802="")*(COUNTIF(reference!$C$17:$C$18,TRIM(hospitalityq!D802))=0)</f>
        <v>0</v>
      </c>
      <c r="J802">
        <f>NOT(hospitalityq!J802="")*(NOT(ISNUMBER(hospitalityq!J802+0)))</f>
        <v>0</v>
      </c>
      <c r="K802">
        <f>NOT(hospitalityq!K802="")*(NOT(ISNUMBER(hospitalityq!K802+0)))</f>
        <v>0</v>
      </c>
      <c r="P802">
        <f>NOT(hospitalityq!P802="")*(NOT(IFERROR(INT(hospitalityq!P802)=VALUE(hospitalityq!P802),FALSE)))</f>
        <v>0</v>
      </c>
      <c r="Q802">
        <f>NOT(hospitalityq!Q802="")*(NOT(IFERROR(INT(hospitalityq!Q802)=VALUE(hospitalityq!Q802),FALSE)))</f>
        <v>0</v>
      </c>
      <c r="R802">
        <f>NOT(hospitalityq!R802="")*(NOT(IFERROR(ROUND(VALUE(hospitalityq!R802),2)=VALUE(hospitalityq!R802),FALSE)))</f>
        <v>0</v>
      </c>
    </row>
    <row r="803" spans="1:18" x14ac:dyDescent="0.25">
      <c r="A803">
        <f t="shared" si="12"/>
        <v>0</v>
      </c>
      <c r="C803">
        <f>NOT(hospitalityq!C803="")*(SUMPRODUCT(--(TRIM(hospitalityq!C6:C803)=TRIM(hospitalityq!C803)))&gt;1)</f>
        <v>0</v>
      </c>
      <c r="D803">
        <f>NOT(hospitalityq!D803="")*(COUNTIF(reference!$C$17:$C$18,TRIM(hospitalityq!D803))=0)</f>
        <v>0</v>
      </c>
      <c r="J803">
        <f>NOT(hospitalityq!J803="")*(NOT(ISNUMBER(hospitalityq!J803+0)))</f>
        <v>0</v>
      </c>
      <c r="K803">
        <f>NOT(hospitalityq!K803="")*(NOT(ISNUMBER(hospitalityq!K803+0)))</f>
        <v>0</v>
      </c>
      <c r="P803">
        <f>NOT(hospitalityq!P803="")*(NOT(IFERROR(INT(hospitalityq!P803)=VALUE(hospitalityq!P803),FALSE)))</f>
        <v>0</v>
      </c>
      <c r="Q803">
        <f>NOT(hospitalityq!Q803="")*(NOT(IFERROR(INT(hospitalityq!Q803)=VALUE(hospitalityq!Q803),FALSE)))</f>
        <v>0</v>
      </c>
      <c r="R803">
        <f>NOT(hospitalityq!R803="")*(NOT(IFERROR(ROUND(VALUE(hospitalityq!R803),2)=VALUE(hospitalityq!R803),FALSE)))</f>
        <v>0</v>
      </c>
    </row>
    <row r="804" spans="1:18" x14ac:dyDescent="0.25">
      <c r="A804">
        <f t="shared" si="12"/>
        <v>0</v>
      </c>
      <c r="C804">
        <f>NOT(hospitalityq!C804="")*(SUMPRODUCT(--(TRIM(hospitalityq!C6:C804)=TRIM(hospitalityq!C804)))&gt;1)</f>
        <v>0</v>
      </c>
      <c r="D804">
        <f>NOT(hospitalityq!D804="")*(COUNTIF(reference!$C$17:$C$18,TRIM(hospitalityq!D804))=0)</f>
        <v>0</v>
      </c>
      <c r="J804">
        <f>NOT(hospitalityq!J804="")*(NOT(ISNUMBER(hospitalityq!J804+0)))</f>
        <v>0</v>
      </c>
      <c r="K804">
        <f>NOT(hospitalityq!K804="")*(NOT(ISNUMBER(hospitalityq!K804+0)))</f>
        <v>0</v>
      </c>
      <c r="P804">
        <f>NOT(hospitalityq!P804="")*(NOT(IFERROR(INT(hospitalityq!P804)=VALUE(hospitalityq!P804),FALSE)))</f>
        <v>0</v>
      </c>
      <c r="Q804">
        <f>NOT(hospitalityq!Q804="")*(NOT(IFERROR(INT(hospitalityq!Q804)=VALUE(hospitalityq!Q804),FALSE)))</f>
        <v>0</v>
      </c>
      <c r="R804">
        <f>NOT(hospitalityq!R804="")*(NOT(IFERROR(ROUND(VALUE(hospitalityq!R804),2)=VALUE(hospitalityq!R804),FALSE)))</f>
        <v>0</v>
      </c>
    </row>
    <row r="805" spans="1:18" x14ac:dyDescent="0.25">
      <c r="A805">
        <f t="shared" si="12"/>
        <v>0</v>
      </c>
      <c r="C805">
        <f>NOT(hospitalityq!C805="")*(SUMPRODUCT(--(TRIM(hospitalityq!C6:C805)=TRIM(hospitalityq!C805)))&gt;1)</f>
        <v>0</v>
      </c>
      <c r="D805">
        <f>NOT(hospitalityq!D805="")*(COUNTIF(reference!$C$17:$C$18,TRIM(hospitalityq!D805))=0)</f>
        <v>0</v>
      </c>
      <c r="J805">
        <f>NOT(hospitalityq!J805="")*(NOT(ISNUMBER(hospitalityq!J805+0)))</f>
        <v>0</v>
      </c>
      <c r="K805">
        <f>NOT(hospitalityq!K805="")*(NOT(ISNUMBER(hospitalityq!K805+0)))</f>
        <v>0</v>
      </c>
      <c r="P805">
        <f>NOT(hospitalityq!P805="")*(NOT(IFERROR(INT(hospitalityq!P805)=VALUE(hospitalityq!P805),FALSE)))</f>
        <v>0</v>
      </c>
      <c r="Q805">
        <f>NOT(hospitalityq!Q805="")*(NOT(IFERROR(INT(hospitalityq!Q805)=VALUE(hospitalityq!Q805),FALSE)))</f>
        <v>0</v>
      </c>
      <c r="R805">
        <f>NOT(hospitalityq!R805="")*(NOT(IFERROR(ROUND(VALUE(hospitalityq!R805),2)=VALUE(hospitalityq!R805),FALSE)))</f>
        <v>0</v>
      </c>
    </row>
    <row r="806" spans="1:18" x14ac:dyDescent="0.25">
      <c r="A806">
        <f t="shared" si="12"/>
        <v>0</v>
      </c>
      <c r="C806">
        <f>NOT(hospitalityq!C806="")*(SUMPRODUCT(--(TRIM(hospitalityq!C6:C806)=TRIM(hospitalityq!C806)))&gt;1)</f>
        <v>0</v>
      </c>
      <c r="D806">
        <f>NOT(hospitalityq!D806="")*(COUNTIF(reference!$C$17:$C$18,TRIM(hospitalityq!D806))=0)</f>
        <v>0</v>
      </c>
      <c r="J806">
        <f>NOT(hospitalityq!J806="")*(NOT(ISNUMBER(hospitalityq!J806+0)))</f>
        <v>0</v>
      </c>
      <c r="K806">
        <f>NOT(hospitalityq!K806="")*(NOT(ISNUMBER(hospitalityq!K806+0)))</f>
        <v>0</v>
      </c>
      <c r="P806">
        <f>NOT(hospitalityq!P806="")*(NOT(IFERROR(INT(hospitalityq!P806)=VALUE(hospitalityq!P806),FALSE)))</f>
        <v>0</v>
      </c>
      <c r="Q806">
        <f>NOT(hospitalityq!Q806="")*(NOT(IFERROR(INT(hospitalityq!Q806)=VALUE(hospitalityq!Q806),FALSE)))</f>
        <v>0</v>
      </c>
      <c r="R806">
        <f>NOT(hospitalityq!R806="")*(NOT(IFERROR(ROUND(VALUE(hospitalityq!R806),2)=VALUE(hospitalityq!R806),FALSE)))</f>
        <v>0</v>
      </c>
    </row>
    <row r="807" spans="1:18" x14ac:dyDescent="0.25">
      <c r="A807">
        <f t="shared" si="12"/>
        <v>0</v>
      </c>
      <c r="C807">
        <f>NOT(hospitalityq!C807="")*(SUMPRODUCT(--(TRIM(hospitalityq!C6:C807)=TRIM(hospitalityq!C807)))&gt;1)</f>
        <v>0</v>
      </c>
      <c r="D807">
        <f>NOT(hospitalityq!D807="")*(COUNTIF(reference!$C$17:$C$18,TRIM(hospitalityq!D807))=0)</f>
        <v>0</v>
      </c>
      <c r="J807">
        <f>NOT(hospitalityq!J807="")*(NOT(ISNUMBER(hospitalityq!J807+0)))</f>
        <v>0</v>
      </c>
      <c r="K807">
        <f>NOT(hospitalityq!K807="")*(NOT(ISNUMBER(hospitalityq!K807+0)))</f>
        <v>0</v>
      </c>
      <c r="P807">
        <f>NOT(hospitalityq!P807="")*(NOT(IFERROR(INT(hospitalityq!P807)=VALUE(hospitalityq!P807),FALSE)))</f>
        <v>0</v>
      </c>
      <c r="Q807">
        <f>NOT(hospitalityq!Q807="")*(NOT(IFERROR(INT(hospitalityq!Q807)=VALUE(hospitalityq!Q807),FALSE)))</f>
        <v>0</v>
      </c>
      <c r="R807">
        <f>NOT(hospitalityq!R807="")*(NOT(IFERROR(ROUND(VALUE(hospitalityq!R807),2)=VALUE(hospitalityq!R807),FALSE)))</f>
        <v>0</v>
      </c>
    </row>
    <row r="808" spans="1:18" x14ac:dyDescent="0.25">
      <c r="A808">
        <f t="shared" si="12"/>
        <v>0</v>
      </c>
      <c r="C808">
        <f>NOT(hospitalityq!C808="")*(SUMPRODUCT(--(TRIM(hospitalityq!C6:C808)=TRIM(hospitalityq!C808)))&gt;1)</f>
        <v>0</v>
      </c>
      <c r="D808">
        <f>NOT(hospitalityq!D808="")*(COUNTIF(reference!$C$17:$C$18,TRIM(hospitalityq!D808))=0)</f>
        <v>0</v>
      </c>
      <c r="J808">
        <f>NOT(hospitalityq!J808="")*(NOT(ISNUMBER(hospitalityq!J808+0)))</f>
        <v>0</v>
      </c>
      <c r="K808">
        <f>NOT(hospitalityq!K808="")*(NOT(ISNUMBER(hospitalityq!K808+0)))</f>
        <v>0</v>
      </c>
      <c r="P808">
        <f>NOT(hospitalityq!P808="")*(NOT(IFERROR(INT(hospitalityq!P808)=VALUE(hospitalityq!P808),FALSE)))</f>
        <v>0</v>
      </c>
      <c r="Q808">
        <f>NOT(hospitalityq!Q808="")*(NOT(IFERROR(INT(hospitalityq!Q808)=VALUE(hospitalityq!Q808),FALSE)))</f>
        <v>0</v>
      </c>
      <c r="R808">
        <f>NOT(hospitalityq!R808="")*(NOT(IFERROR(ROUND(VALUE(hospitalityq!R808),2)=VALUE(hospitalityq!R808),FALSE)))</f>
        <v>0</v>
      </c>
    </row>
    <row r="809" spans="1:18" x14ac:dyDescent="0.25">
      <c r="A809">
        <f t="shared" si="12"/>
        <v>0</v>
      </c>
      <c r="C809">
        <f>NOT(hospitalityq!C809="")*(SUMPRODUCT(--(TRIM(hospitalityq!C6:C809)=TRIM(hospitalityq!C809)))&gt;1)</f>
        <v>0</v>
      </c>
      <c r="D809">
        <f>NOT(hospitalityq!D809="")*(COUNTIF(reference!$C$17:$C$18,TRIM(hospitalityq!D809))=0)</f>
        <v>0</v>
      </c>
      <c r="J809">
        <f>NOT(hospitalityq!J809="")*(NOT(ISNUMBER(hospitalityq!J809+0)))</f>
        <v>0</v>
      </c>
      <c r="K809">
        <f>NOT(hospitalityq!K809="")*(NOT(ISNUMBER(hospitalityq!K809+0)))</f>
        <v>0</v>
      </c>
      <c r="P809">
        <f>NOT(hospitalityq!P809="")*(NOT(IFERROR(INT(hospitalityq!P809)=VALUE(hospitalityq!P809),FALSE)))</f>
        <v>0</v>
      </c>
      <c r="Q809">
        <f>NOT(hospitalityq!Q809="")*(NOT(IFERROR(INT(hospitalityq!Q809)=VALUE(hospitalityq!Q809),FALSE)))</f>
        <v>0</v>
      </c>
      <c r="R809">
        <f>NOT(hospitalityq!R809="")*(NOT(IFERROR(ROUND(VALUE(hospitalityq!R809),2)=VALUE(hospitalityq!R809),FALSE)))</f>
        <v>0</v>
      </c>
    </row>
    <row r="810" spans="1:18" x14ac:dyDescent="0.25">
      <c r="A810">
        <f t="shared" si="12"/>
        <v>0</v>
      </c>
      <c r="C810">
        <f>NOT(hospitalityq!C810="")*(SUMPRODUCT(--(TRIM(hospitalityq!C6:C810)=TRIM(hospitalityq!C810)))&gt;1)</f>
        <v>0</v>
      </c>
      <c r="D810">
        <f>NOT(hospitalityq!D810="")*(COUNTIF(reference!$C$17:$C$18,TRIM(hospitalityq!D810))=0)</f>
        <v>0</v>
      </c>
      <c r="J810">
        <f>NOT(hospitalityq!J810="")*(NOT(ISNUMBER(hospitalityq!J810+0)))</f>
        <v>0</v>
      </c>
      <c r="K810">
        <f>NOT(hospitalityq!K810="")*(NOT(ISNUMBER(hospitalityq!K810+0)))</f>
        <v>0</v>
      </c>
      <c r="P810">
        <f>NOT(hospitalityq!P810="")*(NOT(IFERROR(INT(hospitalityq!P810)=VALUE(hospitalityq!P810),FALSE)))</f>
        <v>0</v>
      </c>
      <c r="Q810">
        <f>NOT(hospitalityq!Q810="")*(NOT(IFERROR(INT(hospitalityq!Q810)=VALUE(hospitalityq!Q810),FALSE)))</f>
        <v>0</v>
      </c>
      <c r="R810">
        <f>NOT(hospitalityq!R810="")*(NOT(IFERROR(ROUND(VALUE(hospitalityq!R810),2)=VALUE(hospitalityq!R810),FALSE)))</f>
        <v>0</v>
      </c>
    </row>
    <row r="811" spans="1:18" x14ac:dyDescent="0.25">
      <c r="A811">
        <f t="shared" si="12"/>
        <v>0</v>
      </c>
      <c r="C811">
        <f>NOT(hospitalityq!C811="")*(SUMPRODUCT(--(TRIM(hospitalityq!C6:C811)=TRIM(hospitalityq!C811)))&gt;1)</f>
        <v>0</v>
      </c>
      <c r="D811">
        <f>NOT(hospitalityq!D811="")*(COUNTIF(reference!$C$17:$C$18,TRIM(hospitalityq!D811))=0)</f>
        <v>0</v>
      </c>
      <c r="J811">
        <f>NOT(hospitalityq!J811="")*(NOT(ISNUMBER(hospitalityq!J811+0)))</f>
        <v>0</v>
      </c>
      <c r="K811">
        <f>NOT(hospitalityq!K811="")*(NOT(ISNUMBER(hospitalityq!K811+0)))</f>
        <v>0</v>
      </c>
      <c r="P811">
        <f>NOT(hospitalityq!P811="")*(NOT(IFERROR(INT(hospitalityq!P811)=VALUE(hospitalityq!P811),FALSE)))</f>
        <v>0</v>
      </c>
      <c r="Q811">
        <f>NOT(hospitalityq!Q811="")*(NOT(IFERROR(INT(hospitalityq!Q811)=VALUE(hospitalityq!Q811),FALSE)))</f>
        <v>0</v>
      </c>
      <c r="R811">
        <f>NOT(hospitalityq!R811="")*(NOT(IFERROR(ROUND(VALUE(hospitalityq!R811),2)=VALUE(hospitalityq!R811),FALSE)))</f>
        <v>0</v>
      </c>
    </row>
    <row r="812" spans="1:18" x14ac:dyDescent="0.25">
      <c r="A812">
        <f t="shared" si="12"/>
        <v>0</v>
      </c>
      <c r="C812">
        <f>NOT(hospitalityq!C812="")*(SUMPRODUCT(--(TRIM(hospitalityq!C6:C812)=TRIM(hospitalityq!C812)))&gt;1)</f>
        <v>0</v>
      </c>
      <c r="D812">
        <f>NOT(hospitalityq!D812="")*(COUNTIF(reference!$C$17:$C$18,TRIM(hospitalityq!D812))=0)</f>
        <v>0</v>
      </c>
      <c r="J812">
        <f>NOT(hospitalityq!J812="")*(NOT(ISNUMBER(hospitalityq!J812+0)))</f>
        <v>0</v>
      </c>
      <c r="K812">
        <f>NOT(hospitalityq!K812="")*(NOT(ISNUMBER(hospitalityq!K812+0)))</f>
        <v>0</v>
      </c>
      <c r="P812">
        <f>NOT(hospitalityq!P812="")*(NOT(IFERROR(INT(hospitalityq!P812)=VALUE(hospitalityq!P812),FALSE)))</f>
        <v>0</v>
      </c>
      <c r="Q812">
        <f>NOT(hospitalityq!Q812="")*(NOT(IFERROR(INT(hospitalityq!Q812)=VALUE(hospitalityq!Q812),FALSE)))</f>
        <v>0</v>
      </c>
      <c r="R812">
        <f>NOT(hospitalityq!R812="")*(NOT(IFERROR(ROUND(VALUE(hospitalityq!R812),2)=VALUE(hospitalityq!R812),FALSE)))</f>
        <v>0</v>
      </c>
    </row>
    <row r="813" spans="1:18" x14ac:dyDescent="0.25">
      <c r="A813">
        <f t="shared" si="12"/>
        <v>0</v>
      </c>
      <c r="C813">
        <f>NOT(hospitalityq!C813="")*(SUMPRODUCT(--(TRIM(hospitalityq!C6:C813)=TRIM(hospitalityq!C813)))&gt;1)</f>
        <v>0</v>
      </c>
      <c r="D813">
        <f>NOT(hospitalityq!D813="")*(COUNTIF(reference!$C$17:$C$18,TRIM(hospitalityq!D813))=0)</f>
        <v>0</v>
      </c>
      <c r="J813">
        <f>NOT(hospitalityq!J813="")*(NOT(ISNUMBER(hospitalityq!J813+0)))</f>
        <v>0</v>
      </c>
      <c r="K813">
        <f>NOT(hospitalityq!K813="")*(NOT(ISNUMBER(hospitalityq!K813+0)))</f>
        <v>0</v>
      </c>
      <c r="P813">
        <f>NOT(hospitalityq!P813="")*(NOT(IFERROR(INT(hospitalityq!P813)=VALUE(hospitalityq!P813),FALSE)))</f>
        <v>0</v>
      </c>
      <c r="Q813">
        <f>NOT(hospitalityq!Q813="")*(NOT(IFERROR(INT(hospitalityq!Q813)=VALUE(hospitalityq!Q813),FALSE)))</f>
        <v>0</v>
      </c>
      <c r="R813">
        <f>NOT(hospitalityq!R813="")*(NOT(IFERROR(ROUND(VALUE(hospitalityq!R813),2)=VALUE(hospitalityq!R813),FALSE)))</f>
        <v>0</v>
      </c>
    </row>
    <row r="814" spans="1:18" x14ac:dyDescent="0.25">
      <c r="A814">
        <f t="shared" si="12"/>
        <v>0</v>
      </c>
      <c r="C814">
        <f>NOT(hospitalityq!C814="")*(SUMPRODUCT(--(TRIM(hospitalityq!C6:C814)=TRIM(hospitalityq!C814)))&gt;1)</f>
        <v>0</v>
      </c>
      <c r="D814">
        <f>NOT(hospitalityq!D814="")*(COUNTIF(reference!$C$17:$C$18,TRIM(hospitalityq!D814))=0)</f>
        <v>0</v>
      </c>
      <c r="J814">
        <f>NOT(hospitalityq!J814="")*(NOT(ISNUMBER(hospitalityq!J814+0)))</f>
        <v>0</v>
      </c>
      <c r="K814">
        <f>NOT(hospitalityq!K814="")*(NOT(ISNUMBER(hospitalityq!K814+0)))</f>
        <v>0</v>
      </c>
      <c r="P814">
        <f>NOT(hospitalityq!P814="")*(NOT(IFERROR(INT(hospitalityq!P814)=VALUE(hospitalityq!P814),FALSE)))</f>
        <v>0</v>
      </c>
      <c r="Q814">
        <f>NOT(hospitalityq!Q814="")*(NOT(IFERROR(INT(hospitalityq!Q814)=VALUE(hospitalityq!Q814),FALSE)))</f>
        <v>0</v>
      </c>
      <c r="R814">
        <f>NOT(hospitalityq!R814="")*(NOT(IFERROR(ROUND(VALUE(hospitalityq!R814),2)=VALUE(hospitalityq!R814),FALSE)))</f>
        <v>0</v>
      </c>
    </row>
    <row r="815" spans="1:18" x14ac:dyDescent="0.25">
      <c r="A815">
        <f t="shared" si="12"/>
        <v>0</v>
      </c>
      <c r="C815">
        <f>NOT(hospitalityq!C815="")*(SUMPRODUCT(--(TRIM(hospitalityq!C6:C815)=TRIM(hospitalityq!C815)))&gt;1)</f>
        <v>0</v>
      </c>
      <c r="D815">
        <f>NOT(hospitalityq!D815="")*(COUNTIF(reference!$C$17:$C$18,TRIM(hospitalityq!D815))=0)</f>
        <v>0</v>
      </c>
      <c r="J815">
        <f>NOT(hospitalityq!J815="")*(NOT(ISNUMBER(hospitalityq!J815+0)))</f>
        <v>0</v>
      </c>
      <c r="K815">
        <f>NOT(hospitalityq!K815="")*(NOT(ISNUMBER(hospitalityq!K815+0)))</f>
        <v>0</v>
      </c>
      <c r="P815">
        <f>NOT(hospitalityq!P815="")*(NOT(IFERROR(INT(hospitalityq!P815)=VALUE(hospitalityq!P815),FALSE)))</f>
        <v>0</v>
      </c>
      <c r="Q815">
        <f>NOT(hospitalityq!Q815="")*(NOT(IFERROR(INT(hospitalityq!Q815)=VALUE(hospitalityq!Q815),FALSE)))</f>
        <v>0</v>
      </c>
      <c r="R815">
        <f>NOT(hospitalityq!R815="")*(NOT(IFERROR(ROUND(VALUE(hospitalityq!R815),2)=VALUE(hospitalityq!R815),FALSE)))</f>
        <v>0</v>
      </c>
    </row>
    <row r="816" spans="1:18" x14ac:dyDescent="0.25">
      <c r="A816">
        <f t="shared" si="12"/>
        <v>0</v>
      </c>
      <c r="C816">
        <f>NOT(hospitalityq!C816="")*(SUMPRODUCT(--(TRIM(hospitalityq!C6:C816)=TRIM(hospitalityq!C816)))&gt;1)</f>
        <v>0</v>
      </c>
      <c r="D816">
        <f>NOT(hospitalityq!D816="")*(COUNTIF(reference!$C$17:$C$18,TRIM(hospitalityq!D816))=0)</f>
        <v>0</v>
      </c>
      <c r="J816">
        <f>NOT(hospitalityq!J816="")*(NOT(ISNUMBER(hospitalityq!J816+0)))</f>
        <v>0</v>
      </c>
      <c r="K816">
        <f>NOT(hospitalityq!K816="")*(NOT(ISNUMBER(hospitalityq!K816+0)))</f>
        <v>0</v>
      </c>
      <c r="P816">
        <f>NOT(hospitalityq!P816="")*(NOT(IFERROR(INT(hospitalityq!P816)=VALUE(hospitalityq!P816),FALSE)))</f>
        <v>0</v>
      </c>
      <c r="Q816">
        <f>NOT(hospitalityq!Q816="")*(NOT(IFERROR(INT(hospitalityq!Q816)=VALUE(hospitalityq!Q816),FALSE)))</f>
        <v>0</v>
      </c>
      <c r="R816">
        <f>NOT(hospitalityq!R816="")*(NOT(IFERROR(ROUND(VALUE(hospitalityq!R816),2)=VALUE(hospitalityq!R816),FALSE)))</f>
        <v>0</v>
      </c>
    </row>
    <row r="817" spans="1:18" x14ac:dyDescent="0.25">
      <c r="A817">
        <f t="shared" si="12"/>
        <v>0</v>
      </c>
      <c r="C817">
        <f>NOT(hospitalityq!C817="")*(SUMPRODUCT(--(TRIM(hospitalityq!C6:C817)=TRIM(hospitalityq!C817)))&gt;1)</f>
        <v>0</v>
      </c>
      <c r="D817">
        <f>NOT(hospitalityq!D817="")*(COUNTIF(reference!$C$17:$C$18,TRIM(hospitalityq!D817))=0)</f>
        <v>0</v>
      </c>
      <c r="J817">
        <f>NOT(hospitalityq!J817="")*(NOT(ISNUMBER(hospitalityq!J817+0)))</f>
        <v>0</v>
      </c>
      <c r="K817">
        <f>NOT(hospitalityq!K817="")*(NOT(ISNUMBER(hospitalityq!K817+0)))</f>
        <v>0</v>
      </c>
      <c r="P817">
        <f>NOT(hospitalityq!P817="")*(NOT(IFERROR(INT(hospitalityq!P817)=VALUE(hospitalityq!P817),FALSE)))</f>
        <v>0</v>
      </c>
      <c r="Q817">
        <f>NOT(hospitalityq!Q817="")*(NOT(IFERROR(INT(hospitalityq!Q817)=VALUE(hospitalityq!Q817),FALSE)))</f>
        <v>0</v>
      </c>
      <c r="R817">
        <f>NOT(hospitalityq!R817="")*(NOT(IFERROR(ROUND(VALUE(hospitalityq!R817),2)=VALUE(hospitalityq!R817),FALSE)))</f>
        <v>0</v>
      </c>
    </row>
    <row r="818" spans="1:18" x14ac:dyDescent="0.25">
      <c r="A818">
        <f t="shared" si="12"/>
        <v>0</v>
      </c>
      <c r="C818">
        <f>NOT(hospitalityq!C818="")*(SUMPRODUCT(--(TRIM(hospitalityq!C6:C818)=TRIM(hospitalityq!C818)))&gt;1)</f>
        <v>0</v>
      </c>
      <c r="D818">
        <f>NOT(hospitalityq!D818="")*(COUNTIF(reference!$C$17:$C$18,TRIM(hospitalityq!D818))=0)</f>
        <v>0</v>
      </c>
      <c r="J818">
        <f>NOT(hospitalityq!J818="")*(NOT(ISNUMBER(hospitalityq!J818+0)))</f>
        <v>0</v>
      </c>
      <c r="K818">
        <f>NOT(hospitalityq!K818="")*(NOT(ISNUMBER(hospitalityq!K818+0)))</f>
        <v>0</v>
      </c>
      <c r="P818">
        <f>NOT(hospitalityq!P818="")*(NOT(IFERROR(INT(hospitalityq!P818)=VALUE(hospitalityq!P818),FALSE)))</f>
        <v>0</v>
      </c>
      <c r="Q818">
        <f>NOT(hospitalityq!Q818="")*(NOT(IFERROR(INT(hospitalityq!Q818)=VALUE(hospitalityq!Q818),FALSE)))</f>
        <v>0</v>
      </c>
      <c r="R818">
        <f>NOT(hospitalityq!R818="")*(NOT(IFERROR(ROUND(VALUE(hospitalityq!R818),2)=VALUE(hospitalityq!R818),FALSE)))</f>
        <v>0</v>
      </c>
    </row>
    <row r="819" spans="1:18" x14ac:dyDescent="0.25">
      <c r="A819">
        <f t="shared" si="12"/>
        <v>0</v>
      </c>
      <c r="C819">
        <f>NOT(hospitalityq!C819="")*(SUMPRODUCT(--(TRIM(hospitalityq!C6:C819)=TRIM(hospitalityq!C819)))&gt;1)</f>
        <v>0</v>
      </c>
      <c r="D819">
        <f>NOT(hospitalityq!D819="")*(COUNTIF(reference!$C$17:$C$18,TRIM(hospitalityq!D819))=0)</f>
        <v>0</v>
      </c>
      <c r="J819">
        <f>NOT(hospitalityq!J819="")*(NOT(ISNUMBER(hospitalityq!J819+0)))</f>
        <v>0</v>
      </c>
      <c r="K819">
        <f>NOT(hospitalityq!K819="")*(NOT(ISNUMBER(hospitalityq!K819+0)))</f>
        <v>0</v>
      </c>
      <c r="P819">
        <f>NOT(hospitalityq!P819="")*(NOT(IFERROR(INT(hospitalityq!P819)=VALUE(hospitalityq!P819),FALSE)))</f>
        <v>0</v>
      </c>
      <c r="Q819">
        <f>NOT(hospitalityq!Q819="")*(NOT(IFERROR(INT(hospitalityq!Q819)=VALUE(hospitalityq!Q819),FALSE)))</f>
        <v>0</v>
      </c>
      <c r="R819">
        <f>NOT(hospitalityq!R819="")*(NOT(IFERROR(ROUND(VALUE(hospitalityq!R819),2)=VALUE(hospitalityq!R819),FALSE)))</f>
        <v>0</v>
      </c>
    </row>
    <row r="820" spans="1:18" x14ac:dyDescent="0.25">
      <c r="A820">
        <f t="shared" si="12"/>
        <v>0</v>
      </c>
      <c r="C820">
        <f>NOT(hospitalityq!C820="")*(SUMPRODUCT(--(TRIM(hospitalityq!C6:C820)=TRIM(hospitalityq!C820)))&gt;1)</f>
        <v>0</v>
      </c>
      <c r="D820">
        <f>NOT(hospitalityq!D820="")*(COUNTIF(reference!$C$17:$C$18,TRIM(hospitalityq!D820))=0)</f>
        <v>0</v>
      </c>
      <c r="J820">
        <f>NOT(hospitalityq!J820="")*(NOT(ISNUMBER(hospitalityq!J820+0)))</f>
        <v>0</v>
      </c>
      <c r="K820">
        <f>NOT(hospitalityq!K820="")*(NOT(ISNUMBER(hospitalityq!K820+0)))</f>
        <v>0</v>
      </c>
      <c r="P820">
        <f>NOT(hospitalityq!P820="")*(NOT(IFERROR(INT(hospitalityq!P820)=VALUE(hospitalityq!P820),FALSE)))</f>
        <v>0</v>
      </c>
      <c r="Q820">
        <f>NOT(hospitalityq!Q820="")*(NOT(IFERROR(INT(hospitalityq!Q820)=VALUE(hospitalityq!Q820),FALSE)))</f>
        <v>0</v>
      </c>
      <c r="R820">
        <f>NOT(hospitalityq!R820="")*(NOT(IFERROR(ROUND(VALUE(hospitalityq!R820),2)=VALUE(hospitalityq!R820),FALSE)))</f>
        <v>0</v>
      </c>
    </row>
    <row r="821" spans="1:18" x14ac:dyDescent="0.25">
      <c r="A821">
        <f t="shared" si="12"/>
        <v>0</v>
      </c>
      <c r="C821">
        <f>NOT(hospitalityq!C821="")*(SUMPRODUCT(--(TRIM(hospitalityq!C6:C821)=TRIM(hospitalityq!C821)))&gt;1)</f>
        <v>0</v>
      </c>
      <c r="D821">
        <f>NOT(hospitalityq!D821="")*(COUNTIF(reference!$C$17:$C$18,TRIM(hospitalityq!D821))=0)</f>
        <v>0</v>
      </c>
      <c r="J821">
        <f>NOT(hospitalityq!J821="")*(NOT(ISNUMBER(hospitalityq!J821+0)))</f>
        <v>0</v>
      </c>
      <c r="K821">
        <f>NOT(hospitalityq!K821="")*(NOT(ISNUMBER(hospitalityq!K821+0)))</f>
        <v>0</v>
      </c>
      <c r="P821">
        <f>NOT(hospitalityq!P821="")*(NOT(IFERROR(INT(hospitalityq!P821)=VALUE(hospitalityq!P821),FALSE)))</f>
        <v>0</v>
      </c>
      <c r="Q821">
        <f>NOT(hospitalityq!Q821="")*(NOT(IFERROR(INT(hospitalityq!Q821)=VALUE(hospitalityq!Q821),FALSE)))</f>
        <v>0</v>
      </c>
      <c r="R821">
        <f>NOT(hospitalityq!R821="")*(NOT(IFERROR(ROUND(VALUE(hospitalityq!R821),2)=VALUE(hospitalityq!R821),FALSE)))</f>
        <v>0</v>
      </c>
    </row>
    <row r="822" spans="1:18" x14ac:dyDescent="0.25">
      <c r="A822">
        <f t="shared" si="12"/>
        <v>0</v>
      </c>
      <c r="C822">
        <f>NOT(hospitalityq!C822="")*(SUMPRODUCT(--(TRIM(hospitalityq!C6:C822)=TRIM(hospitalityq!C822)))&gt;1)</f>
        <v>0</v>
      </c>
      <c r="D822">
        <f>NOT(hospitalityq!D822="")*(COUNTIF(reference!$C$17:$C$18,TRIM(hospitalityq!D822))=0)</f>
        <v>0</v>
      </c>
      <c r="J822">
        <f>NOT(hospitalityq!J822="")*(NOT(ISNUMBER(hospitalityq!J822+0)))</f>
        <v>0</v>
      </c>
      <c r="K822">
        <f>NOT(hospitalityq!K822="")*(NOT(ISNUMBER(hospitalityq!K822+0)))</f>
        <v>0</v>
      </c>
      <c r="P822">
        <f>NOT(hospitalityq!P822="")*(NOT(IFERROR(INT(hospitalityq!P822)=VALUE(hospitalityq!P822),FALSE)))</f>
        <v>0</v>
      </c>
      <c r="Q822">
        <f>NOT(hospitalityq!Q822="")*(NOT(IFERROR(INT(hospitalityq!Q822)=VALUE(hospitalityq!Q822),FALSE)))</f>
        <v>0</v>
      </c>
      <c r="R822">
        <f>NOT(hospitalityq!R822="")*(NOT(IFERROR(ROUND(VALUE(hospitalityq!R822),2)=VALUE(hospitalityq!R822),FALSE)))</f>
        <v>0</v>
      </c>
    </row>
    <row r="823" spans="1:18" x14ac:dyDescent="0.25">
      <c r="A823">
        <f t="shared" si="12"/>
        <v>0</v>
      </c>
      <c r="C823">
        <f>NOT(hospitalityq!C823="")*(SUMPRODUCT(--(TRIM(hospitalityq!C6:C823)=TRIM(hospitalityq!C823)))&gt;1)</f>
        <v>0</v>
      </c>
      <c r="D823">
        <f>NOT(hospitalityq!D823="")*(COUNTIF(reference!$C$17:$C$18,TRIM(hospitalityq!D823))=0)</f>
        <v>0</v>
      </c>
      <c r="J823">
        <f>NOT(hospitalityq!J823="")*(NOT(ISNUMBER(hospitalityq!J823+0)))</f>
        <v>0</v>
      </c>
      <c r="K823">
        <f>NOT(hospitalityq!K823="")*(NOT(ISNUMBER(hospitalityq!K823+0)))</f>
        <v>0</v>
      </c>
      <c r="P823">
        <f>NOT(hospitalityq!P823="")*(NOT(IFERROR(INT(hospitalityq!P823)=VALUE(hospitalityq!P823),FALSE)))</f>
        <v>0</v>
      </c>
      <c r="Q823">
        <f>NOT(hospitalityq!Q823="")*(NOT(IFERROR(INT(hospitalityq!Q823)=VALUE(hospitalityq!Q823),FALSE)))</f>
        <v>0</v>
      </c>
      <c r="R823">
        <f>NOT(hospitalityq!R823="")*(NOT(IFERROR(ROUND(VALUE(hospitalityq!R823),2)=VALUE(hospitalityq!R823),FALSE)))</f>
        <v>0</v>
      </c>
    </row>
    <row r="824" spans="1:18" x14ac:dyDescent="0.25">
      <c r="A824">
        <f t="shared" si="12"/>
        <v>0</v>
      </c>
      <c r="C824">
        <f>NOT(hospitalityq!C824="")*(SUMPRODUCT(--(TRIM(hospitalityq!C6:C824)=TRIM(hospitalityq!C824)))&gt;1)</f>
        <v>0</v>
      </c>
      <c r="D824">
        <f>NOT(hospitalityq!D824="")*(COUNTIF(reference!$C$17:$C$18,TRIM(hospitalityq!D824))=0)</f>
        <v>0</v>
      </c>
      <c r="J824">
        <f>NOT(hospitalityq!J824="")*(NOT(ISNUMBER(hospitalityq!J824+0)))</f>
        <v>0</v>
      </c>
      <c r="K824">
        <f>NOT(hospitalityq!K824="")*(NOT(ISNUMBER(hospitalityq!K824+0)))</f>
        <v>0</v>
      </c>
      <c r="P824">
        <f>NOT(hospitalityq!P824="")*(NOT(IFERROR(INT(hospitalityq!P824)=VALUE(hospitalityq!P824),FALSE)))</f>
        <v>0</v>
      </c>
      <c r="Q824">
        <f>NOT(hospitalityq!Q824="")*(NOT(IFERROR(INT(hospitalityq!Q824)=VALUE(hospitalityq!Q824),FALSE)))</f>
        <v>0</v>
      </c>
      <c r="R824">
        <f>NOT(hospitalityq!R824="")*(NOT(IFERROR(ROUND(VALUE(hospitalityq!R824),2)=VALUE(hospitalityq!R824),FALSE)))</f>
        <v>0</v>
      </c>
    </row>
    <row r="825" spans="1:18" x14ac:dyDescent="0.25">
      <c r="A825">
        <f t="shared" si="12"/>
        <v>0</v>
      </c>
      <c r="C825">
        <f>NOT(hospitalityq!C825="")*(SUMPRODUCT(--(TRIM(hospitalityq!C6:C825)=TRIM(hospitalityq!C825)))&gt;1)</f>
        <v>0</v>
      </c>
      <c r="D825">
        <f>NOT(hospitalityq!D825="")*(COUNTIF(reference!$C$17:$C$18,TRIM(hospitalityq!D825))=0)</f>
        <v>0</v>
      </c>
      <c r="J825">
        <f>NOT(hospitalityq!J825="")*(NOT(ISNUMBER(hospitalityq!J825+0)))</f>
        <v>0</v>
      </c>
      <c r="K825">
        <f>NOT(hospitalityq!K825="")*(NOT(ISNUMBER(hospitalityq!K825+0)))</f>
        <v>0</v>
      </c>
      <c r="P825">
        <f>NOT(hospitalityq!P825="")*(NOT(IFERROR(INT(hospitalityq!P825)=VALUE(hospitalityq!P825),FALSE)))</f>
        <v>0</v>
      </c>
      <c r="Q825">
        <f>NOT(hospitalityq!Q825="")*(NOT(IFERROR(INT(hospitalityq!Q825)=VALUE(hospitalityq!Q825),FALSE)))</f>
        <v>0</v>
      </c>
      <c r="R825">
        <f>NOT(hospitalityq!R825="")*(NOT(IFERROR(ROUND(VALUE(hospitalityq!R825),2)=VALUE(hospitalityq!R825),FALSE)))</f>
        <v>0</v>
      </c>
    </row>
    <row r="826" spans="1:18" x14ac:dyDescent="0.25">
      <c r="A826">
        <f t="shared" si="12"/>
        <v>0</v>
      </c>
      <c r="C826">
        <f>NOT(hospitalityq!C826="")*(SUMPRODUCT(--(TRIM(hospitalityq!C6:C826)=TRIM(hospitalityq!C826)))&gt;1)</f>
        <v>0</v>
      </c>
      <c r="D826">
        <f>NOT(hospitalityq!D826="")*(COUNTIF(reference!$C$17:$C$18,TRIM(hospitalityq!D826))=0)</f>
        <v>0</v>
      </c>
      <c r="J826">
        <f>NOT(hospitalityq!J826="")*(NOT(ISNUMBER(hospitalityq!J826+0)))</f>
        <v>0</v>
      </c>
      <c r="K826">
        <f>NOT(hospitalityq!K826="")*(NOT(ISNUMBER(hospitalityq!K826+0)))</f>
        <v>0</v>
      </c>
      <c r="P826">
        <f>NOT(hospitalityq!P826="")*(NOT(IFERROR(INT(hospitalityq!P826)=VALUE(hospitalityq!P826),FALSE)))</f>
        <v>0</v>
      </c>
      <c r="Q826">
        <f>NOT(hospitalityq!Q826="")*(NOT(IFERROR(INT(hospitalityq!Q826)=VALUE(hospitalityq!Q826),FALSE)))</f>
        <v>0</v>
      </c>
      <c r="R826">
        <f>NOT(hospitalityq!R826="")*(NOT(IFERROR(ROUND(VALUE(hospitalityq!R826),2)=VALUE(hospitalityq!R826),FALSE)))</f>
        <v>0</v>
      </c>
    </row>
    <row r="827" spans="1:18" x14ac:dyDescent="0.25">
      <c r="A827">
        <f t="shared" si="12"/>
        <v>0</v>
      </c>
      <c r="C827">
        <f>NOT(hospitalityq!C827="")*(SUMPRODUCT(--(TRIM(hospitalityq!C6:C827)=TRIM(hospitalityq!C827)))&gt;1)</f>
        <v>0</v>
      </c>
      <c r="D827">
        <f>NOT(hospitalityq!D827="")*(COUNTIF(reference!$C$17:$C$18,TRIM(hospitalityq!D827))=0)</f>
        <v>0</v>
      </c>
      <c r="J827">
        <f>NOT(hospitalityq!J827="")*(NOT(ISNUMBER(hospitalityq!J827+0)))</f>
        <v>0</v>
      </c>
      <c r="K827">
        <f>NOT(hospitalityq!K827="")*(NOT(ISNUMBER(hospitalityq!K827+0)))</f>
        <v>0</v>
      </c>
      <c r="P827">
        <f>NOT(hospitalityq!P827="")*(NOT(IFERROR(INT(hospitalityq!P827)=VALUE(hospitalityq!P827),FALSE)))</f>
        <v>0</v>
      </c>
      <c r="Q827">
        <f>NOT(hospitalityq!Q827="")*(NOT(IFERROR(INT(hospitalityq!Q827)=VALUE(hospitalityq!Q827),FALSE)))</f>
        <v>0</v>
      </c>
      <c r="R827">
        <f>NOT(hospitalityq!R827="")*(NOT(IFERROR(ROUND(VALUE(hospitalityq!R827),2)=VALUE(hospitalityq!R827),FALSE)))</f>
        <v>0</v>
      </c>
    </row>
    <row r="828" spans="1:18" x14ac:dyDescent="0.25">
      <c r="A828">
        <f t="shared" si="12"/>
        <v>0</v>
      </c>
      <c r="C828">
        <f>NOT(hospitalityq!C828="")*(SUMPRODUCT(--(TRIM(hospitalityq!C6:C828)=TRIM(hospitalityq!C828)))&gt;1)</f>
        <v>0</v>
      </c>
      <c r="D828">
        <f>NOT(hospitalityq!D828="")*(COUNTIF(reference!$C$17:$C$18,TRIM(hospitalityq!D828))=0)</f>
        <v>0</v>
      </c>
      <c r="J828">
        <f>NOT(hospitalityq!J828="")*(NOT(ISNUMBER(hospitalityq!J828+0)))</f>
        <v>0</v>
      </c>
      <c r="K828">
        <f>NOT(hospitalityq!K828="")*(NOT(ISNUMBER(hospitalityq!K828+0)))</f>
        <v>0</v>
      </c>
      <c r="P828">
        <f>NOT(hospitalityq!P828="")*(NOT(IFERROR(INT(hospitalityq!P828)=VALUE(hospitalityq!P828),FALSE)))</f>
        <v>0</v>
      </c>
      <c r="Q828">
        <f>NOT(hospitalityq!Q828="")*(NOT(IFERROR(INT(hospitalityq!Q828)=VALUE(hospitalityq!Q828),FALSE)))</f>
        <v>0</v>
      </c>
      <c r="R828">
        <f>NOT(hospitalityq!R828="")*(NOT(IFERROR(ROUND(VALUE(hospitalityq!R828),2)=VALUE(hospitalityq!R828),FALSE)))</f>
        <v>0</v>
      </c>
    </row>
    <row r="829" spans="1:18" x14ac:dyDescent="0.25">
      <c r="A829">
        <f t="shared" si="12"/>
        <v>0</v>
      </c>
      <c r="C829">
        <f>NOT(hospitalityq!C829="")*(SUMPRODUCT(--(TRIM(hospitalityq!C6:C829)=TRIM(hospitalityq!C829)))&gt;1)</f>
        <v>0</v>
      </c>
      <c r="D829">
        <f>NOT(hospitalityq!D829="")*(COUNTIF(reference!$C$17:$C$18,TRIM(hospitalityq!D829))=0)</f>
        <v>0</v>
      </c>
      <c r="J829">
        <f>NOT(hospitalityq!J829="")*(NOT(ISNUMBER(hospitalityq!J829+0)))</f>
        <v>0</v>
      </c>
      <c r="K829">
        <f>NOT(hospitalityq!K829="")*(NOT(ISNUMBER(hospitalityq!K829+0)))</f>
        <v>0</v>
      </c>
      <c r="P829">
        <f>NOT(hospitalityq!P829="")*(NOT(IFERROR(INT(hospitalityq!P829)=VALUE(hospitalityq!P829),FALSE)))</f>
        <v>0</v>
      </c>
      <c r="Q829">
        <f>NOT(hospitalityq!Q829="")*(NOT(IFERROR(INT(hospitalityq!Q829)=VALUE(hospitalityq!Q829),FALSE)))</f>
        <v>0</v>
      </c>
      <c r="R829">
        <f>NOT(hospitalityq!R829="")*(NOT(IFERROR(ROUND(VALUE(hospitalityq!R829),2)=VALUE(hospitalityq!R829),FALSE)))</f>
        <v>0</v>
      </c>
    </row>
    <row r="830" spans="1:18" x14ac:dyDescent="0.25">
      <c r="A830">
        <f t="shared" si="12"/>
        <v>0</v>
      </c>
      <c r="C830">
        <f>NOT(hospitalityq!C830="")*(SUMPRODUCT(--(TRIM(hospitalityq!C6:C830)=TRIM(hospitalityq!C830)))&gt;1)</f>
        <v>0</v>
      </c>
      <c r="D830">
        <f>NOT(hospitalityq!D830="")*(COUNTIF(reference!$C$17:$C$18,TRIM(hospitalityq!D830))=0)</f>
        <v>0</v>
      </c>
      <c r="J830">
        <f>NOT(hospitalityq!J830="")*(NOT(ISNUMBER(hospitalityq!J830+0)))</f>
        <v>0</v>
      </c>
      <c r="K830">
        <f>NOT(hospitalityq!K830="")*(NOT(ISNUMBER(hospitalityq!K830+0)))</f>
        <v>0</v>
      </c>
      <c r="P830">
        <f>NOT(hospitalityq!P830="")*(NOT(IFERROR(INT(hospitalityq!P830)=VALUE(hospitalityq!P830),FALSE)))</f>
        <v>0</v>
      </c>
      <c r="Q830">
        <f>NOT(hospitalityq!Q830="")*(NOT(IFERROR(INT(hospitalityq!Q830)=VALUE(hospitalityq!Q830),FALSE)))</f>
        <v>0</v>
      </c>
      <c r="R830">
        <f>NOT(hospitalityq!R830="")*(NOT(IFERROR(ROUND(VALUE(hospitalityq!R830),2)=VALUE(hospitalityq!R830),FALSE)))</f>
        <v>0</v>
      </c>
    </row>
    <row r="831" spans="1:18" x14ac:dyDescent="0.25">
      <c r="A831">
        <f t="shared" si="12"/>
        <v>0</v>
      </c>
      <c r="C831">
        <f>NOT(hospitalityq!C831="")*(SUMPRODUCT(--(TRIM(hospitalityq!C6:C831)=TRIM(hospitalityq!C831)))&gt;1)</f>
        <v>0</v>
      </c>
      <c r="D831">
        <f>NOT(hospitalityq!D831="")*(COUNTIF(reference!$C$17:$C$18,TRIM(hospitalityq!D831))=0)</f>
        <v>0</v>
      </c>
      <c r="J831">
        <f>NOT(hospitalityq!J831="")*(NOT(ISNUMBER(hospitalityq!J831+0)))</f>
        <v>0</v>
      </c>
      <c r="K831">
        <f>NOT(hospitalityq!K831="")*(NOT(ISNUMBER(hospitalityq!K831+0)))</f>
        <v>0</v>
      </c>
      <c r="P831">
        <f>NOT(hospitalityq!P831="")*(NOT(IFERROR(INT(hospitalityq!P831)=VALUE(hospitalityq!P831),FALSE)))</f>
        <v>0</v>
      </c>
      <c r="Q831">
        <f>NOT(hospitalityq!Q831="")*(NOT(IFERROR(INT(hospitalityq!Q831)=VALUE(hospitalityq!Q831),FALSE)))</f>
        <v>0</v>
      </c>
      <c r="R831">
        <f>NOT(hospitalityq!R831="")*(NOT(IFERROR(ROUND(VALUE(hospitalityq!R831),2)=VALUE(hospitalityq!R831),FALSE)))</f>
        <v>0</v>
      </c>
    </row>
    <row r="832" spans="1:18" x14ac:dyDescent="0.25">
      <c r="A832">
        <f t="shared" si="12"/>
        <v>0</v>
      </c>
      <c r="C832">
        <f>NOT(hospitalityq!C832="")*(SUMPRODUCT(--(TRIM(hospitalityq!C6:C832)=TRIM(hospitalityq!C832)))&gt;1)</f>
        <v>0</v>
      </c>
      <c r="D832">
        <f>NOT(hospitalityq!D832="")*(COUNTIF(reference!$C$17:$C$18,TRIM(hospitalityq!D832))=0)</f>
        <v>0</v>
      </c>
      <c r="J832">
        <f>NOT(hospitalityq!J832="")*(NOT(ISNUMBER(hospitalityq!J832+0)))</f>
        <v>0</v>
      </c>
      <c r="K832">
        <f>NOT(hospitalityq!K832="")*(NOT(ISNUMBER(hospitalityq!K832+0)))</f>
        <v>0</v>
      </c>
      <c r="P832">
        <f>NOT(hospitalityq!P832="")*(NOT(IFERROR(INT(hospitalityq!P832)=VALUE(hospitalityq!P832),FALSE)))</f>
        <v>0</v>
      </c>
      <c r="Q832">
        <f>NOT(hospitalityq!Q832="")*(NOT(IFERROR(INT(hospitalityq!Q832)=VALUE(hospitalityq!Q832),FALSE)))</f>
        <v>0</v>
      </c>
      <c r="R832">
        <f>NOT(hospitalityq!R832="")*(NOT(IFERROR(ROUND(VALUE(hospitalityq!R832),2)=VALUE(hospitalityq!R832),FALSE)))</f>
        <v>0</v>
      </c>
    </row>
    <row r="833" spans="1:18" x14ac:dyDescent="0.25">
      <c r="A833">
        <f t="shared" si="12"/>
        <v>0</v>
      </c>
      <c r="C833">
        <f>NOT(hospitalityq!C833="")*(SUMPRODUCT(--(TRIM(hospitalityq!C6:C833)=TRIM(hospitalityq!C833)))&gt;1)</f>
        <v>0</v>
      </c>
      <c r="D833">
        <f>NOT(hospitalityq!D833="")*(COUNTIF(reference!$C$17:$C$18,TRIM(hospitalityq!D833))=0)</f>
        <v>0</v>
      </c>
      <c r="J833">
        <f>NOT(hospitalityq!J833="")*(NOT(ISNUMBER(hospitalityq!J833+0)))</f>
        <v>0</v>
      </c>
      <c r="K833">
        <f>NOT(hospitalityq!K833="")*(NOT(ISNUMBER(hospitalityq!K833+0)))</f>
        <v>0</v>
      </c>
      <c r="P833">
        <f>NOT(hospitalityq!P833="")*(NOT(IFERROR(INT(hospitalityq!P833)=VALUE(hospitalityq!P833),FALSE)))</f>
        <v>0</v>
      </c>
      <c r="Q833">
        <f>NOT(hospitalityq!Q833="")*(NOT(IFERROR(INT(hospitalityq!Q833)=VALUE(hospitalityq!Q833),FALSE)))</f>
        <v>0</v>
      </c>
      <c r="R833">
        <f>NOT(hospitalityq!R833="")*(NOT(IFERROR(ROUND(VALUE(hospitalityq!R833),2)=VALUE(hospitalityq!R833),FALSE)))</f>
        <v>0</v>
      </c>
    </row>
    <row r="834" spans="1:18" x14ac:dyDescent="0.25">
      <c r="A834">
        <f t="shared" si="12"/>
        <v>0</v>
      </c>
      <c r="C834">
        <f>NOT(hospitalityq!C834="")*(SUMPRODUCT(--(TRIM(hospitalityq!C6:C834)=TRIM(hospitalityq!C834)))&gt;1)</f>
        <v>0</v>
      </c>
      <c r="D834">
        <f>NOT(hospitalityq!D834="")*(COUNTIF(reference!$C$17:$C$18,TRIM(hospitalityq!D834))=0)</f>
        <v>0</v>
      </c>
      <c r="J834">
        <f>NOT(hospitalityq!J834="")*(NOT(ISNUMBER(hospitalityq!J834+0)))</f>
        <v>0</v>
      </c>
      <c r="K834">
        <f>NOT(hospitalityq!K834="")*(NOT(ISNUMBER(hospitalityq!K834+0)))</f>
        <v>0</v>
      </c>
      <c r="P834">
        <f>NOT(hospitalityq!P834="")*(NOT(IFERROR(INT(hospitalityq!P834)=VALUE(hospitalityq!P834),FALSE)))</f>
        <v>0</v>
      </c>
      <c r="Q834">
        <f>NOT(hospitalityq!Q834="")*(NOT(IFERROR(INT(hospitalityq!Q834)=VALUE(hospitalityq!Q834),FALSE)))</f>
        <v>0</v>
      </c>
      <c r="R834">
        <f>NOT(hospitalityq!R834="")*(NOT(IFERROR(ROUND(VALUE(hospitalityq!R834),2)=VALUE(hospitalityq!R834),FALSE)))</f>
        <v>0</v>
      </c>
    </row>
    <row r="835" spans="1:18" x14ac:dyDescent="0.25">
      <c r="A835">
        <f t="shared" si="12"/>
        <v>0</v>
      </c>
      <c r="C835">
        <f>NOT(hospitalityq!C835="")*(SUMPRODUCT(--(TRIM(hospitalityq!C6:C835)=TRIM(hospitalityq!C835)))&gt;1)</f>
        <v>0</v>
      </c>
      <c r="D835">
        <f>NOT(hospitalityq!D835="")*(COUNTIF(reference!$C$17:$C$18,TRIM(hospitalityq!D835))=0)</f>
        <v>0</v>
      </c>
      <c r="J835">
        <f>NOT(hospitalityq!J835="")*(NOT(ISNUMBER(hospitalityq!J835+0)))</f>
        <v>0</v>
      </c>
      <c r="K835">
        <f>NOT(hospitalityq!K835="")*(NOT(ISNUMBER(hospitalityq!K835+0)))</f>
        <v>0</v>
      </c>
      <c r="P835">
        <f>NOT(hospitalityq!P835="")*(NOT(IFERROR(INT(hospitalityq!P835)=VALUE(hospitalityq!P835),FALSE)))</f>
        <v>0</v>
      </c>
      <c r="Q835">
        <f>NOT(hospitalityq!Q835="")*(NOT(IFERROR(INT(hospitalityq!Q835)=VALUE(hospitalityq!Q835),FALSE)))</f>
        <v>0</v>
      </c>
      <c r="R835">
        <f>NOT(hospitalityq!R835="")*(NOT(IFERROR(ROUND(VALUE(hospitalityq!R835),2)=VALUE(hospitalityq!R835),FALSE)))</f>
        <v>0</v>
      </c>
    </row>
    <row r="836" spans="1:18" x14ac:dyDescent="0.25">
      <c r="A836">
        <f t="shared" si="12"/>
        <v>0</v>
      </c>
      <c r="C836">
        <f>NOT(hospitalityq!C836="")*(SUMPRODUCT(--(TRIM(hospitalityq!C6:C836)=TRIM(hospitalityq!C836)))&gt;1)</f>
        <v>0</v>
      </c>
      <c r="D836">
        <f>NOT(hospitalityq!D836="")*(COUNTIF(reference!$C$17:$C$18,TRIM(hospitalityq!D836))=0)</f>
        <v>0</v>
      </c>
      <c r="J836">
        <f>NOT(hospitalityq!J836="")*(NOT(ISNUMBER(hospitalityq!J836+0)))</f>
        <v>0</v>
      </c>
      <c r="K836">
        <f>NOT(hospitalityq!K836="")*(NOT(ISNUMBER(hospitalityq!K836+0)))</f>
        <v>0</v>
      </c>
      <c r="P836">
        <f>NOT(hospitalityq!P836="")*(NOT(IFERROR(INT(hospitalityq!P836)=VALUE(hospitalityq!P836),FALSE)))</f>
        <v>0</v>
      </c>
      <c r="Q836">
        <f>NOT(hospitalityq!Q836="")*(NOT(IFERROR(INT(hospitalityq!Q836)=VALUE(hospitalityq!Q836),FALSE)))</f>
        <v>0</v>
      </c>
      <c r="R836">
        <f>NOT(hospitalityq!R836="")*(NOT(IFERROR(ROUND(VALUE(hospitalityq!R836),2)=VALUE(hospitalityq!R836),FALSE)))</f>
        <v>0</v>
      </c>
    </row>
    <row r="837" spans="1:18" x14ac:dyDescent="0.25">
      <c r="A837">
        <f t="shared" si="12"/>
        <v>0</v>
      </c>
      <c r="C837">
        <f>NOT(hospitalityq!C837="")*(SUMPRODUCT(--(TRIM(hospitalityq!C6:C837)=TRIM(hospitalityq!C837)))&gt;1)</f>
        <v>0</v>
      </c>
      <c r="D837">
        <f>NOT(hospitalityq!D837="")*(COUNTIF(reference!$C$17:$C$18,TRIM(hospitalityq!D837))=0)</f>
        <v>0</v>
      </c>
      <c r="J837">
        <f>NOT(hospitalityq!J837="")*(NOT(ISNUMBER(hospitalityq!J837+0)))</f>
        <v>0</v>
      </c>
      <c r="K837">
        <f>NOT(hospitalityq!K837="")*(NOT(ISNUMBER(hospitalityq!K837+0)))</f>
        <v>0</v>
      </c>
      <c r="P837">
        <f>NOT(hospitalityq!P837="")*(NOT(IFERROR(INT(hospitalityq!P837)=VALUE(hospitalityq!P837),FALSE)))</f>
        <v>0</v>
      </c>
      <c r="Q837">
        <f>NOT(hospitalityq!Q837="")*(NOT(IFERROR(INT(hospitalityq!Q837)=VALUE(hospitalityq!Q837),FALSE)))</f>
        <v>0</v>
      </c>
      <c r="R837">
        <f>NOT(hospitalityq!R837="")*(NOT(IFERROR(ROUND(VALUE(hospitalityq!R837),2)=VALUE(hospitalityq!R837),FALSE)))</f>
        <v>0</v>
      </c>
    </row>
    <row r="838" spans="1:18" x14ac:dyDescent="0.25">
      <c r="A838">
        <f t="shared" ref="A838:A901" si="13">IFERROR(MATCH(TRUE,INDEX(C838:R838&lt;&gt;0,),)+2,0)</f>
        <v>0</v>
      </c>
      <c r="C838">
        <f>NOT(hospitalityq!C838="")*(SUMPRODUCT(--(TRIM(hospitalityq!C6:C838)=TRIM(hospitalityq!C838)))&gt;1)</f>
        <v>0</v>
      </c>
      <c r="D838">
        <f>NOT(hospitalityq!D838="")*(COUNTIF(reference!$C$17:$C$18,TRIM(hospitalityq!D838))=0)</f>
        <v>0</v>
      </c>
      <c r="J838">
        <f>NOT(hospitalityq!J838="")*(NOT(ISNUMBER(hospitalityq!J838+0)))</f>
        <v>0</v>
      </c>
      <c r="K838">
        <f>NOT(hospitalityq!K838="")*(NOT(ISNUMBER(hospitalityq!K838+0)))</f>
        <v>0</v>
      </c>
      <c r="P838">
        <f>NOT(hospitalityq!P838="")*(NOT(IFERROR(INT(hospitalityq!P838)=VALUE(hospitalityq!P838),FALSE)))</f>
        <v>0</v>
      </c>
      <c r="Q838">
        <f>NOT(hospitalityq!Q838="")*(NOT(IFERROR(INT(hospitalityq!Q838)=VALUE(hospitalityq!Q838),FALSE)))</f>
        <v>0</v>
      </c>
      <c r="R838">
        <f>NOT(hospitalityq!R838="")*(NOT(IFERROR(ROUND(VALUE(hospitalityq!R838),2)=VALUE(hospitalityq!R838),FALSE)))</f>
        <v>0</v>
      </c>
    </row>
    <row r="839" spans="1:18" x14ac:dyDescent="0.25">
      <c r="A839">
        <f t="shared" si="13"/>
        <v>0</v>
      </c>
      <c r="C839">
        <f>NOT(hospitalityq!C839="")*(SUMPRODUCT(--(TRIM(hospitalityq!C6:C839)=TRIM(hospitalityq!C839)))&gt;1)</f>
        <v>0</v>
      </c>
      <c r="D839">
        <f>NOT(hospitalityq!D839="")*(COUNTIF(reference!$C$17:$C$18,TRIM(hospitalityq!D839))=0)</f>
        <v>0</v>
      </c>
      <c r="J839">
        <f>NOT(hospitalityq!J839="")*(NOT(ISNUMBER(hospitalityq!J839+0)))</f>
        <v>0</v>
      </c>
      <c r="K839">
        <f>NOT(hospitalityq!K839="")*(NOT(ISNUMBER(hospitalityq!K839+0)))</f>
        <v>0</v>
      </c>
      <c r="P839">
        <f>NOT(hospitalityq!P839="")*(NOT(IFERROR(INT(hospitalityq!P839)=VALUE(hospitalityq!P839),FALSE)))</f>
        <v>0</v>
      </c>
      <c r="Q839">
        <f>NOT(hospitalityq!Q839="")*(NOT(IFERROR(INT(hospitalityq!Q839)=VALUE(hospitalityq!Q839),FALSE)))</f>
        <v>0</v>
      </c>
      <c r="R839">
        <f>NOT(hospitalityq!R839="")*(NOT(IFERROR(ROUND(VALUE(hospitalityq!R839),2)=VALUE(hospitalityq!R839),FALSE)))</f>
        <v>0</v>
      </c>
    </row>
    <row r="840" spans="1:18" x14ac:dyDescent="0.25">
      <c r="A840">
        <f t="shared" si="13"/>
        <v>0</v>
      </c>
      <c r="C840">
        <f>NOT(hospitalityq!C840="")*(SUMPRODUCT(--(TRIM(hospitalityq!C6:C840)=TRIM(hospitalityq!C840)))&gt;1)</f>
        <v>0</v>
      </c>
      <c r="D840">
        <f>NOT(hospitalityq!D840="")*(COUNTIF(reference!$C$17:$C$18,TRIM(hospitalityq!D840))=0)</f>
        <v>0</v>
      </c>
      <c r="J840">
        <f>NOT(hospitalityq!J840="")*(NOT(ISNUMBER(hospitalityq!J840+0)))</f>
        <v>0</v>
      </c>
      <c r="K840">
        <f>NOT(hospitalityq!K840="")*(NOT(ISNUMBER(hospitalityq!K840+0)))</f>
        <v>0</v>
      </c>
      <c r="P840">
        <f>NOT(hospitalityq!P840="")*(NOT(IFERROR(INT(hospitalityq!P840)=VALUE(hospitalityq!P840),FALSE)))</f>
        <v>0</v>
      </c>
      <c r="Q840">
        <f>NOT(hospitalityq!Q840="")*(NOT(IFERROR(INT(hospitalityq!Q840)=VALUE(hospitalityq!Q840),FALSE)))</f>
        <v>0</v>
      </c>
      <c r="R840">
        <f>NOT(hospitalityq!R840="")*(NOT(IFERROR(ROUND(VALUE(hospitalityq!R840),2)=VALUE(hospitalityq!R840),FALSE)))</f>
        <v>0</v>
      </c>
    </row>
    <row r="841" spans="1:18" x14ac:dyDescent="0.25">
      <c r="A841">
        <f t="shared" si="13"/>
        <v>0</v>
      </c>
      <c r="C841">
        <f>NOT(hospitalityq!C841="")*(SUMPRODUCT(--(TRIM(hospitalityq!C6:C841)=TRIM(hospitalityq!C841)))&gt;1)</f>
        <v>0</v>
      </c>
      <c r="D841">
        <f>NOT(hospitalityq!D841="")*(COUNTIF(reference!$C$17:$C$18,TRIM(hospitalityq!D841))=0)</f>
        <v>0</v>
      </c>
      <c r="J841">
        <f>NOT(hospitalityq!J841="")*(NOT(ISNUMBER(hospitalityq!J841+0)))</f>
        <v>0</v>
      </c>
      <c r="K841">
        <f>NOT(hospitalityq!K841="")*(NOT(ISNUMBER(hospitalityq!K841+0)))</f>
        <v>0</v>
      </c>
      <c r="P841">
        <f>NOT(hospitalityq!P841="")*(NOT(IFERROR(INT(hospitalityq!P841)=VALUE(hospitalityq!P841),FALSE)))</f>
        <v>0</v>
      </c>
      <c r="Q841">
        <f>NOT(hospitalityq!Q841="")*(NOT(IFERROR(INT(hospitalityq!Q841)=VALUE(hospitalityq!Q841),FALSE)))</f>
        <v>0</v>
      </c>
      <c r="R841">
        <f>NOT(hospitalityq!R841="")*(NOT(IFERROR(ROUND(VALUE(hospitalityq!R841),2)=VALUE(hospitalityq!R841),FALSE)))</f>
        <v>0</v>
      </c>
    </row>
    <row r="842" spans="1:18" x14ac:dyDescent="0.25">
      <c r="A842">
        <f t="shared" si="13"/>
        <v>0</v>
      </c>
      <c r="C842">
        <f>NOT(hospitalityq!C842="")*(SUMPRODUCT(--(TRIM(hospitalityq!C6:C842)=TRIM(hospitalityq!C842)))&gt;1)</f>
        <v>0</v>
      </c>
      <c r="D842">
        <f>NOT(hospitalityq!D842="")*(COUNTIF(reference!$C$17:$C$18,TRIM(hospitalityq!D842))=0)</f>
        <v>0</v>
      </c>
      <c r="J842">
        <f>NOT(hospitalityq!J842="")*(NOT(ISNUMBER(hospitalityq!J842+0)))</f>
        <v>0</v>
      </c>
      <c r="K842">
        <f>NOT(hospitalityq!K842="")*(NOT(ISNUMBER(hospitalityq!K842+0)))</f>
        <v>0</v>
      </c>
      <c r="P842">
        <f>NOT(hospitalityq!P842="")*(NOT(IFERROR(INT(hospitalityq!P842)=VALUE(hospitalityq!P842),FALSE)))</f>
        <v>0</v>
      </c>
      <c r="Q842">
        <f>NOT(hospitalityq!Q842="")*(NOT(IFERROR(INT(hospitalityq!Q842)=VALUE(hospitalityq!Q842),FALSE)))</f>
        <v>0</v>
      </c>
      <c r="R842">
        <f>NOT(hospitalityq!R842="")*(NOT(IFERROR(ROUND(VALUE(hospitalityq!R842),2)=VALUE(hospitalityq!R842),FALSE)))</f>
        <v>0</v>
      </c>
    </row>
    <row r="843" spans="1:18" x14ac:dyDescent="0.25">
      <c r="A843">
        <f t="shared" si="13"/>
        <v>0</v>
      </c>
      <c r="C843">
        <f>NOT(hospitalityq!C843="")*(SUMPRODUCT(--(TRIM(hospitalityq!C6:C843)=TRIM(hospitalityq!C843)))&gt;1)</f>
        <v>0</v>
      </c>
      <c r="D843">
        <f>NOT(hospitalityq!D843="")*(COUNTIF(reference!$C$17:$C$18,TRIM(hospitalityq!D843))=0)</f>
        <v>0</v>
      </c>
      <c r="J843">
        <f>NOT(hospitalityq!J843="")*(NOT(ISNUMBER(hospitalityq!J843+0)))</f>
        <v>0</v>
      </c>
      <c r="K843">
        <f>NOT(hospitalityq!K843="")*(NOT(ISNUMBER(hospitalityq!K843+0)))</f>
        <v>0</v>
      </c>
      <c r="P843">
        <f>NOT(hospitalityq!P843="")*(NOT(IFERROR(INT(hospitalityq!P843)=VALUE(hospitalityq!P843),FALSE)))</f>
        <v>0</v>
      </c>
      <c r="Q843">
        <f>NOT(hospitalityq!Q843="")*(NOT(IFERROR(INT(hospitalityq!Q843)=VALUE(hospitalityq!Q843),FALSE)))</f>
        <v>0</v>
      </c>
      <c r="R843">
        <f>NOT(hospitalityq!R843="")*(NOT(IFERROR(ROUND(VALUE(hospitalityq!R843),2)=VALUE(hospitalityq!R843),FALSE)))</f>
        <v>0</v>
      </c>
    </row>
    <row r="844" spans="1:18" x14ac:dyDescent="0.25">
      <c r="A844">
        <f t="shared" si="13"/>
        <v>0</v>
      </c>
      <c r="C844">
        <f>NOT(hospitalityq!C844="")*(SUMPRODUCT(--(TRIM(hospitalityq!C6:C844)=TRIM(hospitalityq!C844)))&gt;1)</f>
        <v>0</v>
      </c>
      <c r="D844">
        <f>NOT(hospitalityq!D844="")*(COUNTIF(reference!$C$17:$C$18,TRIM(hospitalityq!D844))=0)</f>
        <v>0</v>
      </c>
      <c r="J844">
        <f>NOT(hospitalityq!J844="")*(NOT(ISNUMBER(hospitalityq!J844+0)))</f>
        <v>0</v>
      </c>
      <c r="K844">
        <f>NOT(hospitalityq!K844="")*(NOT(ISNUMBER(hospitalityq!K844+0)))</f>
        <v>0</v>
      </c>
      <c r="P844">
        <f>NOT(hospitalityq!P844="")*(NOT(IFERROR(INT(hospitalityq!P844)=VALUE(hospitalityq!P844),FALSE)))</f>
        <v>0</v>
      </c>
      <c r="Q844">
        <f>NOT(hospitalityq!Q844="")*(NOT(IFERROR(INT(hospitalityq!Q844)=VALUE(hospitalityq!Q844),FALSE)))</f>
        <v>0</v>
      </c>
      <c r="R844">
        <f>NOT(hospitalityq!R844="")*(NOT(IFERROR(ROUND(VALUE(hospitalityq!R844),2)=VALUE(hospitalityq!R844),FALSE)))</f>
        <v>0</v>
      </c>
    </row>
    <row r="845" spans="1:18" x14ac:dyDescent="0.25">
      <c r="A845">
        <f t="shared" si="13"/>
        <v>0</v>
      </c>
      <c r="C845">
        <f>NOT(hospitalityq!C845="")*(SUMPRODUCT(--(TRIM(hospitalityq!C6:C845)=TRIM(hospitalityq!C845)))&gt;1)</f>
        <v>0</v>
      </c>
      <c r="D845">
        <f>NOT(hospitalityq!D845="")*(COUNTIF(reference!$C$17:$C$18,TRIM(hospitalityq!D845))=0)</f>
        <v>0</v>
      </c>
      <c r="J845">
        <f>NOT(hospitalityq!J845="")*(NOT(ISNUMBER(hospitalityq!J845+0)))</f>
        <v>0</v>
      </c>
      <c r="K845">
        <f>NOT(hospitalityq!K845="")*(NOT(ISNUMBER(hospitalityq!K845+0)))</f>
        <v>0</v>
      </c>
      <c r="P845">
        <f>NOT(hospitalityq!P845="")*(NOT(IFERROR(INT(hospitalityq!P845)=VALUE(hospitalityq!P845),FALSE)))</f>
        <v>0</v>
      </c>
      <c r="Q845">
        <f>NOT(hospitalityq!Q845="")*(NOT(IFERROR(INT(hospitalityq!Q845)=VALUE(hospitalityq!Q845),FALSE)))</f>
        <v>0</v>
      </c>
      <c r="R845">
        <f>NOT(hospitalityq!R845="")*(NOT(IFERROR(ROUND(VALUE(hospitalityq!R845),2)=VALUE(hospitalityq!R845),FALSE)))</f>
        <v>0</v>
      </c>
    </row>
    <row r="846" spans="1:18" x14ac:dyDescent="0.25">
      <c r="A846">
        <f t="shared" si="13"/>
        <v>0</v>
      </c>
      <c r="C846">
        <f>NOT(hospitalityq!C846="")*(SUMPRODUCT(--(TRIM(hospitalityq!C6:C846)=TRIM(hospitalityq!C846)))&gt;1)</f>
        <v>0</v>
      </c>
      <c r="D846">
        <f>NOT(hospitalityq!D846="")*(COUNTIF(reference!$C$17:$C$18,TRIM(hospitalityq!D846))=0)</f>
        <v>0</v>
      </c>
      <c r="J846">
        <f>NOT(hospitalityq!J846="")*(NOT(ISNUMBER(hospitalityq!J846+0)))</f>
        <v>0</v>
      </c>
      <c r="K846">
        <f>NOT(hospitalityq!K846="")*(NOT(ISNUMBER(hospitalityq!K846+0)))</f>
        <v>0</v>
      </c>
      <c r="P846">
        <f>NOT(hospitalityq!P846="")*(NOT(IFERROR(INT(hospitalityq!P846)=VALUE(hospitalityq!P846),FALSE)))</f>
        <v>0</v>
      </c>
      <c r="Q846">
        <f>NOT(hospitalityq!Q846="")*(NOT(IFERROR(INT(hospitalityq!Q846)=VALUE(hospitalityq!Q846),FALSE)))</f>
        <v>0</v>
      </c>
      <c r="R846">
        <f>NOT(hospitalityq!R846="")*(NOT(IFERROR(ROUND(VALUE(hospitalityq!R846),2)=VALUE(hospitalityq!R846),FALSE)))</f>
        <v>0</v>
      </c>
    </row>
    <row r="847" spans="1:18" x14ac:dyDescent="0.25">
      <c r="A847">
        <f t="shared" si="13"/>
        <v>0</v>
      </c>
      <c r="C847">
        <f>NOT(hospitalityq!C847="")*(SUMPRODUCT(--(TRIM(hospitalityq!C6:C847)=TRIM(hospitalityq!C847)))&gt;1)</f>
        <v>0</v>
      </c>
      <c r="D847">
        <f>NOT(hospitalityq!D847="")*(COUNTIF(reference!$C$17:$C$18,TRIM(hospitalityq!D847))=0)</f>
        <v>0</v>
      </c>
      <c r="J847">
        <f>NOT(hospitalityq!J847="")*(NOT(ISNUMBER(hospitalityq!J847+0)))</f>
        <v>0</v>
      </c>
      <c r="K847">
        <f>NOT(hospitalityq!K847="")*(NOT(ISNUMBER(hospitalityq!K847+0)))</f>
        <v>0</v>
      </c>
      <c r="P847">
        <f>NOT(hospitalityq!P847="")*(NOT(IFERROR(INT(hospitalityq!P847)=VALUE(hospitalityq!P847),FALSE)))</f>
        <v>0</v>
      </c>
      <c r="Q847">
        <f>NOT(hospitalityq!Q847="")*(NOT(IFERROR(INT(hospitalityq!Q847)=VALUE(hospitalityq!Q847),FALSE)))</f>
        <v>0</v>
      </c>
      <c r="R847">
        <f>NOT(hospitalityq!R847="")*(NOT(IFERROR(ROUND(VALUE(hospitalityq!R847),2)=VALUE(hospitalityq!R847),FALSE)))</f>
        <v>0</v>
      </c>
    </row>
    <row r="848" spans="1:18" x14ac:dyDescent="0.25">
      <c r="A848">
        <f t="shared" si="13"/>
        <v>0</v>
      </c>
      <c r="C848">
        <f>NOT(hospitalityq!C848="")*(SUMPRODUCT(--(TRIM(hospitalityq!C6:C848)=TRIM(hospitalityq!C848)))&gt;1)</f>
        <v>0</v>
      </c>
      <c r="D848">
        <f>NOT(hospitalityq!D848="")*(COUNTIF(reference!$C$17:$C$18,TRIM(hospitalityq!D848))=0)</f>
        <v>0</v>
      </c>
      <c r="J848">
        <f>NOT(hospitalityq!J848="")*(NOT(ISNUMBER(hospitalityq!J848+0)))</f>
        <v>0</v>
      </c>
      <c r="K848">
        <f>NOT(hospitalityq!K848="")*(NOT(ISNUMBER(hospitalityq!K848+0)))</f>
        <v>0</v>
      </c>
      <c r="P848">
        <f>NOT(hospitalityq!P848="")*(NOT(IFERROR(INT(hospitalityq!P848)=VALUE(hospitalityq!P848),FALSE)))</f>
        <v>0</v>
      </c>
      <c r="Q848">
        <f>NOT(hospitalityq!Q848="")*(NOT(IFERROR(INT(hospitalityq!Q848)=VALUE(hospitalityq!Q848),FALSE)))</f>
        <v>0</v>
      </c>
      <c r="R848">
        <f>NOT(hospitalityq!R848="")*(NOT(IFERROR(ROUND(VALUE(hospitalityq!R848),2)=VALUE(hospitalityq!R848),FALSE)))</f>
        <v>0</v>
      </c>
    </row>
    <row r="849" spans="1:18" x14ac:dyDescent="0.25">
      <c r="A849">
        <f t="shared" si="13"/>
        <v>0</v>
      </c>
      <c r="C849">
        <f>NOT(hospitalityq!C849="")*(SUMPRODUCT(--(TRIM(hospitalityq!C6:C849)=TRIM(hospitalityq!C849)))&gt;1)</f>
        <v>0</v>
      </c>
      <c r="D849">
        <f>NOT(hospitalityq!D849="")*(COUNTIF(reference!$C$17:$C$18,TRIM(hospitalityq!D849))=0)</f>
        <v>0</v>
      </c>
      <c r="J849">
        <f>NOT(hospitalityq!J849="")*(NOT(ISNUMBER(hospitalityq!J849+0)))</f>
        <v>0</v>
      </c>
      <c r="K849">
        <f>NOT(hospitalityq!K849="")*(NOT(ISNUMBER(hospitalityq!K849+0)))</f>
        <v>0</v>
      </c>
      <c r="P849">
        <f>NOT(hospitalityq!P849="")*(NOT(IFERROR(INT(hospitalityq!P849)=VALUE(hospitalityq!P849),FALSE)))</f>
        <v>0</v>
      </c>
      <c r="Q849">
        <f>NOT(hospitalityq!Q849="")*(NOT(IFERROR(INT(hospitalityq!Q849)=VALUE(hospitalityq!Q849),FALSE)))</f>
        <v>0</v>
      </c>
      <c r="R849">
        <f>NOT(hospitalityq!R849="")*(NOT(IFERROR(ROUND(VALUE(hospitalityq!R849),2)=VALUE(hospitalityq!R849),FALSE)))</f>
        <v>0</v>
      </c>
    </row>
    <row r="850" spans="1:18" x14ac:dyDescent="0.25">
      <c r="A850">
        <f t="shared" si="13"/>
        <v>0</v>
      </c>
      <c r="C850">
        <f>NOT(hospitalityq!C850="")*(SUMPRODUCT(--(TRIM(hospitalityq!C6:C850)=TRIM(hospitalityq!C850)))&gt;1)</f>
        <v>0</v>
      </c>
      <c r="D850">
        <f>NOT(hospitalityq!D850="")*(COUNTIF(reference!$C$17:$C$18,TRIM(hospitalityq!D850))=0)</f>
        <v>0</v>
      </c>
      <c r="J850">
        <f>NOT(hospitalityq!J850="")*(NOT(ISNUMBER(hospitalityq!J850+0)))</f>
        <v>0</v>
      </c>
      <c r="K850">
        <f>NOT(hospitalityq!K850="")*(NOT(ISNUMBER(hospitalityq!K850+0)))</f>
        <v>0</v>
      </c>
      <c r="P850">
        <f>NOT(hospitalityq!P850="")*(NOT(IFERROR(INT(hospitalityq!P850)=VALUE(hospitalityq!P850),FALSE)))</f>
        <v>0</v>
      </c>
      <c r="Q850">
        <f>NOT(hospitalityq!Q850="")*(NOT(IFERROR(INT(hospitalityq!Q850)=VALUE(hospitalityq!Q850),FALSE)))</f>
        <v>0</v>
      </c>
      <c r="R850">
        <f>NOT(hospitalityq!R850="")*(NOT(IFERROR(ROUND(VALUE(hospitalityq!R850),2)=VALUE(hospitalityq!R850),FALSE)))</f>
        <v>0</v>
      </c>
    </row>
    <row r="851" spans="1:18" x14ac:dyDescent="0.25">
      <c r="A851">
        <f t="shared" si="13"/>
        <v>0</v>
      </c>
      <c r="C851">
        <f>NOT(hospitalityq!C851="")*(SUMPRODUCT(--(TRIM(hospitalityq!C6:C851)=TRIM(hospitalityq!C851)))&gt;1)</f>
        <v>0</v>
      </c>
      <c r="D851">
        <f>NOT(hospitalityq!D851="")*(COUNTIF(reference!$C$17:$C$18,TRIM(hospitalityq!D851))=0)</f>
        <v>0</v>
      </c>
      <c r="J851">
        <f>NOT(hospitalityq!J851="")*(NOT(ISNUMBER(hospitalityq!J851+0)))</f>
        <v>0</v>
      </c>
      <c r="K851">
        <f>NOT(hospitalityq!K851="")*(NOT(ISNUMBER(hospitalityq!K851+0)))</f>
        <v>0</v>
      </c>
      <c r="P851">
        <f>NOT(hospitalityq!P851="")*(NOT(IFERROR(INT(hospitalityq!P851)=VALUE(hospitalityq!P851),FALSE)))</f>
        <v>0</v>
      </c>
      <c r="Q851">
        <f>NOT(hospitalityq!Q851="")*(NOT(IFERROR(INT(hospitalityq!Q851)=VALUE(hospitalityq!Q851),FALSE)))</f>
        <v>0</v>
      </c>
      <c r="R851">
        <f>NOT(hospitalityq!R851="")*(NOT(IFERROR(ROUND(VALUE(hospitalityq!R851),2)=VALUE(hospitalityq!R851),FALSE)))</f>
        <v>0</v>
      </c>
    </row>
    <row r="852" spans="1:18" x14ac:dyDescent="0.25">
      <c r="A852">
        <f t="shared" si="13"/>
        <v>0</v>
      </c>
      <c r="C852">
        <f>NOT(hospitalityq!C852="")*(SUMPRODUCT(--(TRIM(hospitalityq!C6:C852)=TRIM(hospitalityq!C852)))&gt;1)</f>
        <v>0</v>
      </c>
      <c r="D852">
        <f>NOT(hospitalityq!D852="")*(COUNTIF(reference!$C$17:$C$18,TRIM(hospitalityq!D852))=0)</f>
        <v>0</v>
      </c>
      <c r="J852">
        <f>NOT(hospitalityq!J852="")*(NOT(ISNUMBER(hospitalityq!J852+0)))</f>
        <v>0</v>
      </c>
      <c r="K852">
        <f>NOT(hospitalityq!K852="")*(NOT(ISNUMBER(hospitalityq!K852+0)))</f>
        <v>0</v>
      </c>
      <c r="P852">
        <f>NOT(hospitalityq!P852="")*(NOT(IFERROR(INT(hospitalityq!P852)=VALUE(hospitalityq!P852),FALSE)))</f>
        <v>0</v>
      </c>
      <c r="Q852">
        <f>NOT(hospitalityq!Q852="")*(NOT(IFERROR(INT(hospitalityq!Q852)=VALUE(hospitalityq!Q852),FALSE)))</f>
        <v>0</v>
      </c>
      <c r="R852">
        <f>NOT(hospitalityq!R852="")*(NOT(IFERROR(ROUND(VALUE(hospitalityq!R852),2)=VALUE(hospitalityq!R852),FALSE)))</f>
        <v>0</v>
      </c>
    </row>
    <row r="853" spans="1:18" x14ac:dyDescent="0.25">
      <c r="A853">
        <f t="shared" si="13"/>
        <v>0</v>
      </c>
      <c r="C853">
        <f>NOT(hospitalityq!C853="")*(SUMPRODUCT(--(TRIM(hospitalityq!C6:C853)=TRIM(hospitalityq!C853)))&gt;1)</f>
        <v>0</v>
      </c>
      <c r="D853">
        <f>NOT(hospitalityq!D853="")*(COUNTIF(reference!$C$17:$C$18,TRIM(hospitalityq!D853))=0)</f>
        <v>0</v>
      </c>
      <c r="J853">
        <f>NOT(hospitalityq!J853="")*(NOT(ISNUMBER(hospitalityq!J853+0)))</f>
        <v>0</v>
      </c>
      <c r="K853">
        <f>NOT(hospitalityq!K853="")*(NOT(ISNUMBER(hospitalityq!K853+0)))</f>
        <v>0</v>
      </c>
      <c r="P853">
        <f>NOT(hospitalityq!P853="")*(NOT(IFERROR(INT(hospitalityq!P853)=VALUE(hospitalityq!P853),FALSE)))</f>
        <v>0</v>
      </c>
      <c r="Q853">
        <f>NOT(hospitalityq!Q853="")*(NOT(IFERROR(INT(hospitalityq!Q853)=VALUE(hospitalityq!Q853),FALSE)))</f>
        <v>0</v>
      </c>
      <c r="R853">
        <f>NOT(hospitalityq!R853="")*(NOT(IFERROR(ROUND(VALUE(hospitalityq!R853),2)=VALUE(hospitalityq!R853),FALSE)))</f>
        <v>0</v>
      </c>
    </row>
    <row r="854" spans="1:18" x14ac:dyDescent="0.25">
      <c r="A854">
        <f t="shared" si="13"/>
        <v>0</v>
      </c>
      <c r="C854">
        <f>NOT(hospitalityq!C854="")*(SUMPRODUCT(--(TRIM(hospitalityq!C6:C854)=TRIM(hospitalityq!C854)))&gt;1)</f>
        <v>0</v>
      </c>
      <c r="D854">
        <f>NOT(hospitalityq!D854="")*(COUNTIF(reference!$C$17:$C$18,TRIM(hospitalityq!D854))=0)</f>
        <v>0</v>
      </c>
      <c r="J854">
        <f>NOT(hospitalityq!J854="")*(NOT(ISNUMBER(hospitalityq!J854+0)))</f>
        <v>0</v>
      </c>
      <c r="K854">
        <f>NOT(hospitalityq!K854="")*(NOT(ISNUMBER(hospitalityq!K854+0)))</f>
        <v>0</v>
      </c>
      <c r="P854">
        <f>NOT(hospitalityq!P854="")*(NOT(IFERROR(INT(hospitalityq!P854)=VALUE(hospitalityq!P854),FALSE)))</f>
        <v>0</v>
      </c>
      <c r="Q854">
        <f>NOT(hospitalityq!Q854="")*(NOT(IFERROR(INT(hospitalityq!Q854)=VALUE(hospitalityq!Q854),FALSE)))</f>
        <v>0</v>
      </c>
      <c r="R854">
        <f>NOT(hospitalityq!R854="")*(NOT(IFERROR(ROUND(VALUE(hospitalityq!R854),2)=VALUE(hospitalityq!R854),FALSE)))</f>
        <v>0</v>
      </c>
    </row>
    <row r="855" spans="1:18" x14ac:dyDescent="0.25">
      <c r="A855">
        <f t="shared" si="13"/>
        <v>0</v>
      </c>
      <c r="C855">
        <f>NOT(hospitalityq!C855="")*(SUMPRODUCT(--(TRIM(hospitalityq!C6:C855)=TRIM(hospitalityq!C855)))&gt;1)</f>
        <v>0</v>
      </c>
      <c r="D855">
        <f>NOT(hospitalityq!D855="")*(COUNTIF(reference!$C$17:$C$18,TRIM(hospitalityq!D855))=0)</f>
        <v>0</v>
      </c>
      <c r="J855">
        <f>NOT(hospitalityq!J855="")*(NOT(ISNUMBER(hospitalityq!J855+0)))</f>
        <v>0</v>
      </c>
      <c r="K855">
        <f>NOT(hospitalityq!K855="")*(NOT(ISNUMBER(hospitalityq!K855+0)))</f>
        <v>0</v>
      </c>
      <c r="P855">
        <f>NOT(hospitalityq!P855="")*(NOT(IFERROR(INT(hospitalityq!P855)=VALUE(hospitalityq!P855),FALSE)))</f>
        <v>0</v>
      </c>
      <c r="Q855">
        <f>NOT(hospitalityq!Q855="")*(NOT(IFERROR(INT(hospitalityq!Q855)=VALUE(hospitalityq!Q855),FALSE)))</f>
        <v>0</v>
      </c>
      <c r="R855">
        <f>NOT(hospitalityq!R855="")*(NOT(IFERROR(ROUND(VALUE(hospitalityq!R855),2)=VALUE(hospitalityq!R855),FALSE)))</f>
        <v>0</v>
      </c>
    </row>
    <row r="856" spans="1:18" x14ac:dyDescent="0.25">
      <c r="A856">
        <f t="shared" si="13"/>
        <v>0</v>
      </c>
      <c r="C856">
        <f>NOT(hospitalityq!C856="")*(SUMPRODUCT(--(TRIM(hospitalityq!C6:C856)=TRIM(hospitalityq!C856)))&gt;1)</f>
        <v>0</v>
      </c>
      <c r="D856">
        <f>NOT(hospitalityq!D856="")*(COUNTIF(reference!$C$17:$C$18,TRIM(hospitalityq!D856))=0)</f>
        <v>0</v>
      </c>
      <c r="J856">
        <f>NOT(hospitalityq!J856="")*(NOT(ISNUMBER(hospitalityq!J856+0)))</f>
        <v>0</v>
      </c>
      <c r="K856">
        <f>NOT(hospitalityq!K856="")*(NOT(ISNUMBER(hospitalityq!K856+0)))</f>
        <v>0</v>
      </c>
      <c r="P856">
        <f>NOT(hospitalityq!P856="")*(NOT(IFERROR(INT(hospitalityq!P856)=VALUE(hospitalityq!P856),FALSE)))</f>
        <v>0</v>
      </c>
      <c r="Q856">
        <f>NOT(hospitalityq!Q856="")*(NOT(IFERROR(INT(hospitalityq!Q856)=VALUE(hospitalityq!Q856),FALSE)))</f>
        <v>0</v>
      </c>
      <c r="R856">
        <f>NOT(hospitalityq!R856="")*(NOT(IFERROR(ROUND(VALUE(hospitalityq!R856),2)=VALUE(hospitalityq!R856),FALSE)))</f>
        <v>0</v>
      </c>
    </row>
    <row r="857" spans="1:18" x14ac:dyDescent="0.25">
      <c r="A857">
        <f t="shared" si="13"/>
        <v>0</v>
      </c>
      <c r="C857">
        <f>NOT(hospitalityq!C857="")*(SUMPRODUCT(--(TRIM(hospitalityq!C6:C857)=TRIM(hospitalityq!C857)))&gt;1)</f>
        <v>0</v>
      </c>
      <c r="D857">
        <f>NOT(hospitalityq!D857="")*(COUNTIF(reference!$C$17:$C$18,TRIM(hospitalityq!D857))=0)</f>
        <v>0</v>
      </c>
      <c r="J857">
        <f>NOT(hospitalityq!J857="")*(NOT(ISNUMBER(hospitalityq!J857+0)))</f>
        <v>0</v>
      </c>
      <c r="K857">
        <f>NOT(hospitalityq!K857="")*(NOT(ISNUMBER(hospitalityq!K857+0)))</f>
        <v>0</v>
      </c>
      <c r="P857">
        <f>NOT(hospitalityq!P857="")*(NOT(IFERROR(INT(hospitalityq!P857)=VALUE(hospitalityq!P857),FALSE)))</f>
        <v>0</v>
      </c>
      <c r="Q857">
        <f>NOT(hospitalityq!Q857="")*(NOT(IFERROR(INT(hospitalityq!Q857)=VALUE(hospitalityq!Q857),FALSE)))</f>
        <v>0</v>
      </c>
      <c r="R857">
        <f>NOT(hospitalityq!R857="")*(NOT(IFERROR(ROUND(VALUE(hospitalityq!R857),2)=VALUE(hospitalityq!R857),FALSE)))</f>
        <v>0</v>
      </c>
    </row>
    <row r="858" spans="1:18" x14ac:dyDescent="0.25">
      <c r="A858">
        <f t="shared" si="13"/>
        <v>0</v>
      </c>
      <c r="C858">
        <f>NOT(hospitalityq!C858="")*(SUMPRODUCT(--(TRIM(hospitalityq!C6:C858)=TRIM(hospitalityq!C858)))&gt;1)</f>
        <v>0</v>
      </c>
      <c r="D858">
        <f>NOT(hospitalityq!D858="")*(COUNTIF(reference!$C$17:$C$18,TRIM(hospitalityq!D858))=0)</f>
        <v>0</v>
      </c>
      <c r="J858">
        <f>NOT(hospitalityq!J858="")*(NOT(ISNUMBER(hospitalityq!J858+0)))</f>
        <v>0</v>
      </c>
      <c r="K858">
        <f>NOT(hospitalityq!K858="")*(NOT(ISNUMBER(hospitalityq!K858+0)))</f>
        <v>0</v>
      </c>
      <c r="P858">
        <f>NOT(hospitalityq!P858="")*(NOT(IFERROR(INT(hospitalityq!P858)=VALUE(hospitalityq!P858),FALSE)))</f>
        <v>0</v>
      </c>
      <c r="Q858">
        <f>NOT(hospitalityq!Q858="")*(NOT(IFERROR(INT(hospitalityq!Q858)=VALUE(hospitalityq!Q858),FALSE)))</f>
        <v>0</v>
      </c>
      <c r="R858">
        <f>NOT(hospitalityq!R858="")*(NOT(IFERROR(ROUND(VALUE(hospitalityq!R858),2)=VALUE(hospitalityq!R858),FALSE)))</f>
        <v>0</v>
      </c>
    </row>
    <row r="859" spans="1:18" x14ac:dyDescent="0.25">
      <c r="A859">
        <f t="shared" si="13"/>
        <v>0</v>
      </c>
      <c r="C859">
        <f>NOT(hospitalityq!C859="")*(SUMPRODUCT(--(TRIM(hospitalityq!C6:C859)=TRIM(hospitalityq!C859)))&gt;1)</f>
        <v>0</v>
      </c>
      <c r="D859">
        <f>NOT(hospitalityq!D859="")*(COUNTIF(reference!$C$17:$C$18,TRIM(hospitalityq!D859))=0)</f>
        <v>0</v>
      </c>
      <c r="J859">
        <f>NOT(hospitalityq!J859="")*(NOT(ISNUMBER(hospitalityq!J859+0)))</f>
        <v>0</v>
      </c>
      <c r="K859">
        <f>NOT(hospitalityq!K859="")*(NOT(ISNUMBER(hospitalityq!K859+0)))</f>
        <v>0</v>
      </c>
      <c r="P859">
        <f>NOT(hospitalityq!P859="")*(NOT(IFERROR(INT(hospitalityq!P859)=VALUE(hospitalityq!P859),FALSE)))</f>
        <v>0</v>
      </c>
      <c r="Q859">
        <f>NOT(hospitalityq!Q859="")*(NOT(IFERROR(INT(hospitalityq!Q859)=VALUE(hospitalityq!Q859),FALSE)))</f>
        <v>0</v>
      </c>
      <c r="R859">
        <f>NOT(hospitalityq!R859="")*(NOT(IFERROR(ROUND(VALUE(hospitalityq!R859),2)=VALUE(hospitalityq!R859),FALSE)))</f>
        <v>0</v>
      </c>
    </row>
    <row r="860" spans="1:18" x14ac:dyDescent="0.25">
      <c r="A860">
        <f t="shared" si="13"/>
        <v>0</v>
      </c>
      <c r="C860">
        <f>NOT(hospitalityq!C860="")*(SUMPRODUCT(--(TRIM(hospitalityq!C6:C860)=TRIM(hospitalityq!C860)))&gt;1)</f>
        <v>0</v>
      </c>
      <c r="D860">
        <f>NOT(hospitalityq!D860="")*(COUNTIF(reference!$C$17:$C$18,TRIM(hospitalityq!D860))=0)</f>
        <v>0</v>
      </c>
      <c r="J860">
        <f>NOT(hospitalityq!J860="")*(NOT(ISNUMBER(hospitalityq!J860+0)))</f>
        <v>0</v>
      </c>
      <c r="K860">
        <f>NOT(hospitalityq!K860="")*(NOT(ISNUMBER(hospitalityq!K860+0)))</f>
        <v>0</v>
      </c>
      <c r="P860">
        <f>NOT(hospitalityq!P860="")*(NOT(IFERROR(INT(hospitalityq!P860)=VALUE(hospitalityq!P860),FALSE)))</f>
        <v>0</v>
      </c>
      <c r="Q860">
        <f>NOT(hospitalityq!Q860="")*(NOT(IFERROR(INT(hospitalityq!Q860)=VALUE(hospitalityq!Q860),FALSE)))</f>
        <v>0</v>
      </c>
      <c r="R860">
        <f>NOT(hospitalityq!R860="")*(NOT(IFERROR(ROUND(VALUE(hospitalityq!R860),2)=VALUE(hospitalityq!R860),FALSE)))</f>
        <v>0</v>
      </c>
    </row>
    <row r="861" spans="1:18" x14ac:dyDescent="0.25">
      <c r="A861">
        <f t="shared" si="13"/>
        <v>0</v>
      </c>
      <c r="C861">
        <f>NOT(hospitalityq!C861="")*(SUMPRODUCT(--(TRIM(hospitalityq!C6:C861)=TRIM(hospitalityq!C861)))&gt;1)</f>
        <v>0</v>
      </c>
      <c r="D861">
        <f>NOT(hospitalityq!D861="")*(COUNTIF(reference!$C$17:$C$18,TRIM(hospitalityq!D861))=0)</f>
        <v>0</v>
      </c>
      <c r="J861">
        <f>NOT(hospitalityq!J861="")*(NOT(ISNUMBER(hospitalityq!J861+0)))</f>
        <v>0</v>
      </c>
      <c r="K861">
        <f>NOT(hospitalityq!K861="")*(NOT(ISNUMBER(hospitalityq!K861+0)))</f>
        <v>0</v>
      </c>
      <c r="P861">
        <f>NOT(hospitalityq!P861="")*(NOT(IFERROR(INT(hospitalityq!P861)=VALUE(hospitalityq!P861),FALSE)))</f>
        <v>0</v>
      </c>
      <c r="Q861">
        <f>NOT(hospitalityq!Q861="")*(NOT(IFERROR(INT(hospitalityq!Q861)=VALUE(hospitalityq!Q861),FALSE)))</f>
        <v>0</v>
      </c>
      <c r="R861">
        <f>NOT(hospitalityq!R861="")*(NOT(IFERROR(ROUND(VALUE(hospitalityq!R861),2)=VALUE(hospitalityq!R861),FALSE)))</f>
        <v>0</v>
      </c>
    </row>
    <row r="862" spans="1:18" x14ac:dyDescent="0.25">
      <c r="A862">
        <f t="shared" si="13"/>
        <v>0</v>
      </c>
      <c r="C862">
        <f>NOT(hospitalityq!C862="")*(SUMPRODUCT(--(TRIM(hospitalityq!C6:C862)=TRIM(hospitalityq!C862)))&gt;1)</f>
        <v>0</v>
      </c>
      <c r="D862">
        <f>NOT(hospitalityq!D862="")*(COUNTIF(reference!$C$17:$C$18,TRIM(hospitalityq!D862))=0)</f>
        <v>0</v>
      </c>
      <c r="J862">
        <f>NOT(hospitalityq!J862="")*(NOT(ISNUMBER(hospitalityq!J862+0)))</f>
        <v>0</v>
      </c>
      <c r="K862">
        <f>NOT(hospitalityq!K862="")*(NOT(ISNUMBER(hospitalityq!K862+0)))</f>
        <v>0</v>
      </c>
      <c r="P862">
        <f>NOT(hospitalityq!P862="")*(NOT(IFERROR(INT(hospitalityq!P862)=VALUE(hospitalityq!P862),FALSE)))</f>
        <v>0</v>
      </c>
      <c r="Q862">
        <f>NOT(hospitalityq!Q862="")*(NOT(IFERROR(INT(hospitalityq!Q862)=VALUE(hospitalityq!Q862),FALSE)))</f>
        <v>0</v>
      </c>
      <c r="R862">
        <f>NOT(hospitalityq!R862="")*(NOT(IFERROR(ROUND(VALUE(hospitalityq!R862),2)=VALUE(hospitalityq!R862),FALSE)))</f>
        <v>0</v>
      </c>
    </row>
    <row r="863" spans="1:18" x14ac:dyDescent="0.25">
      <c r="A863">
        <f t="shared" si="13"/>
        <v>0</v>
      </c>
      <c r="C863">
        <f>NOT(hospitalityq!C863="")*(SUMPRODUCT(--(TRIM(hospitalityq!C6:C863)=TRIM(hospitalityq!C863)))&gt;1)</f>
        <v>0</v>
      </c>
      <c r="D863">
        <f>NOT(hospitalityq!D863="")*(COUNTIF(reference!$C$17:$C$18,TRIM(hospitalityq!D863))=0)</f>
        <v>0</v>
      </c>
      <c r="J863">
        <f>NOT(hospitalityq!J863="")*(NOT(ISNUMBER(hospitalityq!J863+0)))</f>
        <v>0</v>
      </c>
      <c r="K863">
        <f>NOT(hospitalityq!K863="")*(NOT(ISNUMBER(hospitalityq!K863+0)))</f>
        <v>0</v>
      </c>
      <c r="P863">
        <f>NOT(hospitalityq!P863="")*(NOT(IFERROR(INT(hospitalityq!P863)=VALUE(hospitalityq!P863),FALSE)))</f>
        <v>0</v>
      </c>
      <c r="Q863">
        <f>NOT(hospitalityq!Q863="")*(NOT(IFERROR(INT(hospitalityq!Q863)=VALUE(hospitalityq!Q863),FALSE)))</f>
        <v>0</v>
      </c>
      <c r="R863">
        <f>NOT(hospitalityq!R863="")*(NOT(IFERROR(ROUND(VALUE(hospitalityq!R863),2)=VALUE(hospitalityq!R863),FALSE)))</f>
        <v>0</v>
      </c>
    </row>
    <row r="864" spans="1:18" x14ac:dyDescent="0.25">
      <c r="A864">
        <f t="shared" si="13"/>
        <v>0</v>
      </c>
      <c r="C864">
        <f>NOT(hospitalityq!C864="")*(SUMPRODUCT(--(TRIM(hospitalityq!C6:C864)=TRIM(hospitalityq!C864)))&gt;1)</f>
        <v>0</v>
      </c>
      <c r="D864">
        <f>NOT(hospitalityq!D864="")*(COUNTIF(reference!$C$17:$C$18,TRIM(hospitalityq!D864))=0)</f>
        <v>0</v>
      </c>
      <c r="J864">
        <f>NOT(hospitalityq!J864="")*(NOT(ISNUMBER(hospitalityq!J864+0)))</f>
        <v>0</v>
      </c>
      <c r="K864">
        <f>NOT(hospitalityq!K864="")*(NOT(ISNUMBER(hospitalityq!K864+0)))</f>
        <v>0</v>
      </c>
      <c r="P864">
        <f>NOT(hospitalityq!P864="")*(NOT(IFERROR(INT(hospitalityq!P864)=VALUE(hospitalityq!P864),FALSE)))</f>
        <v>0</v>
      </c>
      <c r="Q864">
        <f>NOT(hospitalityq!Q864="")*(NOT(IFERROR(INT(hospitalityq!Q864)=VALUE(hospitalityq!Q864),FALSE)))</f>
        <v>0</v>
      </c>
      <c r="R864">
        <f>NOT(hospitalityq!R864="")*(NOT(IFERROR(ROUND(VALUE(hospitalityq!R864),2)=VALUE(hospitalityq!R864),FALSE)))</f>
        <v>0</v>
      </c>
    </row>
    <row r="865" spans="1:18" x14ac:dyDescent="0.25">
      <c r="A865">
        <f t="shared" si="13"/>
        <v>0</v>
      </c>
      <c r="C865">
        <f>NOT(hospitalityq!C865="")*(SUMPRODUCT(--(TRIM(hospitalityq!C6:C865)=TRIM(hospitalityq!C865)))&gt;1)</f>
        <v>0</v>
      </c>
      <c r="D865">
        <f>NOT(hospitalityq!D865="")*(COUNTIF(reference!$C$17:$C$18,TRIM(hospitalityq!D865))=0)</f>
        <v>0</v>
      </c>
      <c r="J865">
        <f>NOT(hospitalityq!J865="")*(NOT(ISNUMBER(hospitalityq!J865+0)))</f>
        <v>0</v>
      </c>
      <c r="K865">
        <f>NOT(hospitalityq!K865="")*(NOT(ISNUMBER(hospitalityq!K865+0)))</f>
        <v>0</v>
      </c>
      <c r="P865">
        <f>NOT(hospitalityq!P865="")*(NOT(IFERROR(INT(hospitalityq!P865)=VALUE(hospitalityq!P865),FALSE)))</f>
        <v>0</v>
      </c>
      <c r="Q865">
        <f>NOT(hospitalityq!Q865="")*(NOT(IFERROR(INT(hospitalityq!Q865)=VALUE(hospitalityq!Q865),FALSE)))</f>
        <v>0</v>
      </c>
      <c r="R865">
        <f>NOT(hospitalityq!R865="")*(NOT(IFERROR(ROUND(VALUE(hospitalityq!R865),2)=VALUE(hospitalityq!R865),FALSE)))</f>
        <v>0</v>
      </c>
    </row>
    <row r="866" spans="1:18" x14ac:dyDescent="0.25">
      <c r="A866">
        <f t="shared" si="13"/>
        <v>0</v>
      </c>
      <c r="C866">
        <f>NOT(hospitalityq!C866="")*(SUMPRODUCT(--(TRIM(hospitalityq!C6:C866)=TRIM(hospitalityq!C866)))&gt;1)</f>
        <v>0</v>
      </c>
      <c r="D866">
        <f>NOT(hospitalityq!D866="")*(COUNTIF(reference!$C$17:$C$18,TRIM(hospitalityq!D866))=0)</f>
        <v>0</v>
      </c>
      <c r="J866">
        <f>NOT(hospitalityq!J866="")*(NOT(ISNUMBER(hospitalityq!J866+0)))</f>
        <v>0</v>
      </c>
      <c r="K866">
        <f>NOT(hospitalityq!K866="")*(NOT(ISNUMBER(hospitalityq!K866+0)))</f>
        <v>0</v>
      </c>
      <c r="P866">
        <f>NOT(hospitalityq!P866="")*(NOT(IFERROR(INT(hospitalityq!P866)=VALUE(hospitalityq!P866),FALSE)))</f>
        <v>0</v>
      </c>
      <c r="Q866">
        <f>NOT(hospitalityq!Q866="")*(NOT(IFERROR(INT(hospitalityq!Q866)=VALUE(hospitalityq!Q866),FALSE)))</f>
        <v>0</v>
      </c>
      <c r="R866">
        <f>NOT(hospitalityq!R866="")*(NOT(IFERROR(ROUND(VALUE(hospitalityq!R866),2)=VALUE(hospitalityq!R866),FALSE)))</f>
        <v>0</v>
      </c>
    </row>
    <row r="867" spans="1:18" x14ac:dyDescent="0.25">
      <c r="A867">
        <f t="shared" si="13"/>
        <v>0</v>
      </c>
      <c r="C867">
        <f>NOT(hospitalityq!C867="")*(SUMPRODUCT(--(TRIM(hospitalityq!C6:C867)=TRIM(hospitalityq!C867)))&gt;1)</f>
        <v>0</v>
      </c>
      <c r="D867">
        <f>NOT(hospitalityq!D867="")*(COUNTIF(reference!$C$17:$C$18,TRIM(hospitalityq!D867))=0)</f>
        <v>0</v>
      </c>
      <c r="J867">
        <f>NOT(hospitalityq!J867="")*(NOT(ISNUMBER(hospitalityq!J867+0)))</f>
        <v>0</v>
      </c>
      <c r="K867">
        <f>NOT(hospitalityq!K867="")*(NOT(ISNUMBER(hospitalityq!K867+0)))</f>
        <v>0</v>
      </c>
      <c r="P867">
        <f>NOT(hospitalityq!P867="")*(NOT(IFERROR(INT(hospitalityq!P867)=VALUE(hospitalityq!P867),FALSE)))</f>
        <v>0</v>
      </c>
      <c r="Q867">
        <f>NOT(hospitalityq!Q867="")*(NOT(IFERROR(INT(hospitalityq!Q867)=VALUE(hospitalityq!Q867),FALSE)))</f>
        <v>0</v>
      </c>
      <c r="R867">
        <f>NOT(hospitalityq!R867="")*(NOT(IFERROR(ROUND(VALUE(hospitalityq!R867),2)=VALUE(hospitalityq!R867),FALSE)))</f>
        <v>0</v>
      </c>
    </row>
    <row r="868" spans="1:18" x14ac:dyDescent="0.25">
      <c r="A868">
        <f t="shared" si="13"/>
        <v>0</v>
      </c>
      <c r="C868">
        <f>NOT(hospitalityq!C868="")*(SUMPRODUCT(--(TRIM(hospitalityq!C6:C868)=TRIM(hospitalityq!C868)))&gt;1)</f>
        <v>0</v>
      </c>
      <c r="D868">
        <f>NOT(hospitalityq!D868="")*(COUNTIF(reference!$C$17:$C$18,TRIM(hospitalityq!D868))=0)</f>
        <v>0</v>
      </c>
      <c r="J868">
        <f>NOT(hospitalityq!J868="")*(NOT(ISNUMBER(hospitalityq!J868+0)))</f>
        <v>0</v>
      </c>
      <c r="K868">
        <f>NOT(hospitalityq!K868="")*(NOT(ISNUMBER(hospitalityq!K868+0)))</f>
        <v>0</v>
      </c>
      <c r="P868">
        <f>NOT(hospitalityq!P868="")*(NOT(IFERROR(INT(hospitalityq!P868)=VALUE(hospitalityq!P868),FALSE)))</f>
        <v>0</v>
      </c>
      <c r="Q868">
        <f>NOT(hospitalityq!Q868="")*(NOT(IFERROR(INT(hospitalityq!Q868)=VALUE(hospitalityq!Q868),FALSE)))</f>
        <v>0</v>
      </c>
      <c r="R868">
        <f>NOT(hospitalityq!R868="")*(NOT(IFERROR(ROUND(VALUE(hospitalityq!R868),2)=VALUE(hospitalityq!R868),FALSE)))</f>
        <v>0</v>
      </c>
    </row>
    <row r="869" spans="1:18" x14ac:dyDescent="0.25">
      <c r="A869">
        <f t="shared" si="13"/>
        <v>0</v>
      </c>
      <c r="C869">
        <f>NOT(hospitalityq!C869="")*(SUMPRODUCT(--(TRIM(hospitalityq!C6:C869)=TRIM(hospitalityq!C869)))&gt;1)</f>
        <v>0</v>
      </c>
      <c r="D869">
        <f>NOT(hospitalityq!D869="")*(COUNTIF(reference!$C$17:$C$18,TRIM(hospitalityq!D869))=0)</f>
        <v>0</v>
      </c>
      <c r="J869">
        <f>NOT(hospitalityq!J869="")*(NOT(ISNUMBER(hospitalityq!J869+0)))</f>
        <v>0</v>
      </c>
      <c r="K869">
        <f>NOT(hospitalityq!K869="")*(NOT(ISNUMBER(hospitalityq!K869+0)))</f>
        <v>0</v>
      </c>
      <c r="P869">
        <f>NOT(hospitalityq!P869="")*(NOT(IFERROR(INT(hospitalityq!P869)=VALUE(hospitalityq!P869),FALSE)))</f>
        <v>0</v>
      </c>
      <c r="Q869">
        <f>NOT(hospitalityq!Q869="")*(NOT(IFERROR(INT(hospitalityq!Q869)=VALUE(hospitalityq!Q869),FALSE)))</f>
        <v>0</v>
      </c>
      <c r="R869">
        <f>NOT(hospitalityq!R869="")*(NOT(IFERROR(ROUND(VALUE(hospitalityq!R869),2)=VALUE(hospitalityq!R869),FALSE)))</f>
        <v>0</v>
      </c>
    </row>
    <row r="870" spans="1:18" x14ac:dyDescent="0.25">
      <c r="A870">
        <f t="shared" si="13"/>
        <v>0</v>
      </c>
      <c r="C870">
        <f>NOT(hospitalityq!C870="")*(SUMPRODUCT(--(TRIM(hospitalityq!C6:C870)=TRIM(hospitalityq!C870)))&gt;1)</f>
        <v>0</v>
      </c>
      <c r="D870">
        <f>NOT(hospitalityq!D870="")*(COUNTIF(reference!$C$17:$C$18,TRIM(hospitalityq!D870))=0)</f>
        <v>0</v>
      </c>
      <c r="J870">
        <f>NOT(hospitalityq!J870="")*(NOT(ISNUMBER(hospitalityq!J870+0)))</f>
        <v>0</v>
      </c>
      <c r="K870">
        <f>NOT(hospitalityq!K870="")*(NOT(ISNUMBER(hospitalityq!K870+0)))</f>
        <v>0</v>
      </c>
      <c r="P870">
        <f>NOT(hospitalityq!P870="")*(NOT(IFERROR(INT(hospitalityq!P870)=VALUE(hospitalityq!P870),FALSE)))</f>
        <v>0</v>
      </c>
      <c r="Q870">
        <f>NOT(hospitalityq!Q870="")*(NOT(IFERROR(INT(hospitalityq!Q870)=VALUE(hospitalityq!Q870),FALSE)))</f>
        <v>0</v>
      </c>
      <c r="R870">
        <f>NOT(hospitalityq!R870="")*(NOT(IFERROR(ROUND(VALUE(hospitalityq!R870),2)=VALUE(hospitalityq!R870),FALSE)))</f>
        <v>0</v>
      </c>
    </row>
    <row r="871" spans="1:18" x14ac:dyDescent="0.25">
      <c r="A871">
        <f t="shared" si="13"/>
        <v>0</v>
      </c>
      <c r="C871">
        <f>NOT(hospitalityq!C871="")*(SUMPRODUCT(--(TRIM(hospitalityq!C6:C871)=TRIM(hospitalityq!C871)))&gt;1)</f>
        <v>0</v>
      </c>
      <c r="D871">
        <f>NOT(hospitalityq!D871="")*(COUNTIF(reference!$C$17:$C$18,TRIM(hospitalityq!D871))=0)</f>
        <v>0</v>
      </c>
      <c r="J871">
        <f>NOT(hospitalityq!J871="")*(NOT(ISNUMBER(hospitalityq!J871+0)))</f>
        <v>0</v>
      </c>
      <c r="K871">
        <f>NOT(hospitalityq!K871="")*(NOT(ISNUMBER(hospitalityq!K871+0)))</f>
        <v>0</v>
      </c>
      <c r="P871">
        <f>NOT(hospitalityq!P871="")*(NOT(IFERROR(INT(hospitalityq!P871)=VALUE(hospitalityq!P871),FALSE)))</f>
        <v>0</v>
      </c>
      <c r="Q871">
        <f>NOT(hospitalityq!Q871="")*(NOT(IFERROR(INT(hospitalityq!Q871)=VALUE(hospitalityq!Q871),FALSE)))</f>
        <v>0</v>
      </c>
      <c r="R871">
        <f>NOT(hospitalityq!R871="")*(NOT(IFERROR(ROUND(VALUE(hospitalityq!R871),2)=VALUE(hospitalityq!R871),FALSE)))</f>
        <v>0</v>
      </c>
    </row>
    <row r="872" spans="1:18" x14ac:dyDescent="0.25">
      <c r="A872">
        <f t="shared" si="13"/>
        <v>0</v>
      </c>
      <c r="C872">
        <f>NOT(hospitalityq!C872="")*(SUMPRODUCT(--(TRIM(hospitalityq!C6:C872)=TRIM(hospitalityq!C872)))&gt;1)</f>
        <v>0</v>
      </c>
      <c r="D872">
        <f>NOT(hospitalityq!D872="")*(COUNTIF(reference!$C$17:$C$18,TRIM(hospitalityq!D872))=0)</f>
        <v>0</v>
      </c>
      <c r="J872">
        <f>NOT(hospitalityq!J872="")*(NOT(ISNUMBER(hospitalityq!J872+0)))</f>
        <v>0</v>
      </c>
      <c r="K872">
        <f>NOT(hospitalityq!K872="")*(NOT(ISNUMBER(hospitalityq!K872+0)))</f>
        <v>0</v>
      </c>
      <c r="P872">
        <f>NOT(hospitalityq!P872="")*(NOT(IFERROR(INT(hospitalityq!P872)=VALUE(hospitalityq!P872),FALSE)))</f>
        <v>0</v>
      </c>
      <c r="Q872">
        <f>NOT(hospitalityq!Q872="")*(NOT(IFERROR(INT(hospitalityq!Q872)=VALUE(hospitalityq!Q872),FALSE)))</f>
        <v>0</v>
      </c>
      <c r="R872">
        <f>NOT(hospitalityq!R872="")*(NOT(IFERROR(ROUND(VALUE(hospitalityq!R872),2)=VALUE(hospitalityq!R872),FALSE)))</f>
        <v>0</v>
      </c>
    </row>
    <row r="873" spans="1:18" x14ac:dyDescent="0.25">
      <c r="A873">
        <f t="shared" si="13"/>
        <v>0</v>
      </c>
      <c r="C873">
        <f>NOT(hospitalityq!C873="")*(SUMPRODUCT(--(TRIM(hospitalityq!C6:C873)=TRIM(hospitalityq!C873)))&gt;1)</f>
        <v>0</v>
      </c>
      <c r="D873">
        <f>NOT(hospitalityq!D873="")*(COUNTIF(reference!$C$17:$C$18,TRIM(hospitalityq!D873))=0)</f>
        <v>0</v>
      </c>
      <c r="J873">
        <f>NOT(hospitalityq!J873="")*(NOT(ISNUMBER(hospitalityq!J873+0)))</f>
        <v>0</v>
      </c>
      <c r="K873">
        <f>NOT(hospitalityq!K873="")*(NOT(ISNUMBER(hospitalityq!K873+0)))</f>
        <v>0</v>
      </c>
      <c r="P873">
        <f>NOT(hospitalityq!P873="")*(NOT(IFERROR(INT(hospitalityq!P873)=VALUE(hospitalityq!P873),FALSE)))</f>
        <v>0</v>
      </c>
      <c r="Q873">
        <f>NOT(hospitalityq!Q873="")*(NOT(IFERROR(INT(hospitalityq!Q873)=VALUE(hospitalityq!Q873),FALSE)))</f>
        <v>0</v>
      </c>
      <c r="R873">
        <f>NOT(hospitalityq!R873="")*(NOT(IFERROR(ROUND(VALUE(hospitalityq!R873),2)=VALUE(hospitalityq!R873),FALSE)))</f>
        <v>0</v>
      </c>
    </row>
    <row r="874" spans="1:18" x14ac:dyDescent="0.25">
      <c r="A874">
        <f t="shared" si="13"/>
        <v>0</v>
      </c>
      <c r="C874">
        <f>NOT(hospitalityq!C874="")*(SUMPRODUCT(--(TRIM(hospitalityq!C6:C874)=TRIM(hospitalityq!C874)))&gt;1)</f>
        <v>0</v>
      </c>
      <c r="D874">
        <f>NOT(hospitalityq!D874="")*(COUNTIF(reference!$C$17:$C$18,TRIM(hospitalityq!D874))=0)</f>
        <v>0</v>
      </c>
      <c r="J874">
        <f>NOT(hospitalityq!J874="")*(NOT(ISNUMBER(hospitalityq!J874+0)))</f>
        <v>0</v>
      </c>
      <c r="K874">
        <f>NOT(hospitalityq!K874="")*(NOT(ISNUMBER(hospitalityq!K874+0)))</f>
        <v>0</v>
      </c>
      <c r="P874">
        <f>NOT(hospitalityq!P874="")*(NOT(IFERROR(INT(hospitalityq!P874)=VALUE(hospitalityq!P874),FALSE)))</f>
        <v>0</v>
      </c>
      <c r="Q874">
        <f>NOT(hospitalityq!Q874="")*(NOT(IFERROR(INT(hospitalityq!Q874)=VALUE(hospitalityq!Q874),FALSE)))</f>
        <v>0</v>
      </c>
      <c r="R874">
        <f>NOT(hospitalityq!R874="")*(NOT(IFERROR(ROUND(VALUE(hospitalityq!R874),2)=VALUE(hospitalityq!R874),FALSE)))</f>
        <v>0</v>
      </c>
    </row>
    <row r="875" spans="1:18" x14ac:dyDescent="0.25">
      <c r="A875">
        <f t="shared" si="13"/>
        <v>0</v>
      </c>
      <c r="C875">
        <f>NOT(hospitalityq!C875="")*(SUMPRODUCT(--(TRIM(hospitalityq!C6:C875)=TRIM(hospitalityq!C875)))&gt;1)</f>
        <v>0</v>
      </c>
      <c r="D875">
        <f>NOT(hospitalityq!D875="")*(COUNTIF(reference!$C$17:$C$18,TRIM(hospitalityq!D875))=0)</f>
        <v>0</v>
      </c>
      <c r="J875">
        <f>NOT(hospitalityq!J875="")*(NOT(ISNUMBER(hospitalityq!J875+0)))</f>
        <v>0</v>
      </c>
      <c r="K875">
        <f>NOT(hospitalityq!K875="")*(NOT(ISNUMBER(hospitalityq!K875+0)))</f>
        <v>0</v>
      </c>
      <c r="P875">
        <f>NOT(hospitalityq!P875="")*(NOT(IFERROR(INT(hospitalityq!P875)=VALUE(hospitalityq!P875),FALSE)))</f>
        <v>0</v>
      </c>
      <c r="Q875">
        <f>NOT(hospitalityq!Q875="")*(NOT(IFERROR(INT(hospitalityq!Q875)=VALUE(hospitalityq!Q875),FALSE)))</f>
        <v>0</v>
      </c>
      <c r="R875">
        <f>NOT(hospitalityq!R875="")*(NOT(IFERROR(ROUND(VALUE(hospitalityq!R875),2)=VALUE(hospitalityq!R875),FALSE)))</f>
        <v>0</v>
      </c>
    </row>
    <row r="876" spans="1:18" x14ac:dyDescent="0.25">
      <c r="A876">
        <f t="shared" si="13"/>
        <v>0</v>
      </c>
      <c r="C876">
        <f>NOT(hospitalityq!C876="")*(SUMPRODUCT(--(TRIM(hospitalityq!C6:C876)=TRIM(hospitalityq!C876)))&gt;1)</f>
        <v>0</v>
      </c>
      <c r="D876">
        <f>NOT(hospitalityq!D876="")*(COUNTIF(reference!$C$17:$C$18,TRIM(hospitalityq!D876))=0)</f>
        <v>0</v>
      </c>
      <c r="J876">
        <f>NOT(hospitalityq!J876="")*(NOT(ISNUMBER(hospitalityq!J876+0)))</f>
        <v>0</v>
      </c>
      <c r="K876">
        <f>NOT(hospitalityq!K876="")*(NOT(ISNUMBER(hospitalityq!K876+0)))</f>
        <v>0</v>
      </c>
      <c r="P876">
        <f>NOT(hospitalityq!P876="")*(NOT(IFERROR(INT(hospitalityq!P876)=VALUE(hospitalityq!P876),FALSE)))</f>
        <v>0</v>
      </c>
      <c r="Q876">
        <f>NOT(hospitalityq!Q876="")*(NOT(IFERROR(INT(hospitalityq!Q876)=VALUE(hospitalityq!Q876),FALSE)))</f>
        <v>0</v>
      </c>
      <c r="R876">
        <f>NOT(hospitalityq!R876="")*(NOT(IFERROR(ROUND(VALUE(hospitalityq!R876),2)=VALUE(hospitalityq!R876),FALSE)))</f>
        <v>0</v>
      </c>
    </row>
    <row r="877" spans="1:18" x14ac:dyDescent="0.25">
      <c r="A877">
        <f t="shared" si="13"/>
        <v>0</v>
      </c>
      <c r="C877">
        <f>NOT(hospitalityq!C877="")*(SUMPRODUCT(--(TRIM(hospitalityq!C6:C877)=TRIM(hospitalityq!C877)))&gt;1)</f>
        <v>0</v>
      </c>
      <c r="D877">
        <f>NOT(hospitalityq!D877="")*(COUNTIF(reference!$C$17:$C$18,TRIM(hospitalityq!D877))=0)</f>
        <v>0</v>
      </c>
      <c r="J877">
        <f>NOT(hospitalityq!J877="")*(NOT(ISNUMBER(hospitalityq!J877+0)))</f>
        <v>0</v>
      </c>
      <c r="K877">
        <f>NOT(hospitalityq!K877="")*(NOT(ISNUMBER(hospitalityq!K877+0)))</f>
        <v>0</v>
      </c>
      <c r="P877">
        <f>NOT(hospitalityq!P877="")*(NOT(IFERROR(INT(hospitalityq!P877)=VALUE(hospitalityq!P877),FALSE)))</f>
        <v>0</v>
      </c>
      <c r="Q877">
        <f>NOT(hospitalityq!Q877="")*(NOT(IFERROR(INT(hospitalityq!Q877)=VALUE(hospitalityq!Q877),FALSE)))</f>
        <v>0</v>
      </c>
      <c r="R877">
        <f>NOT(hospitalityq!R877="")*(NOT(IFERROR(ROUND(VALUE(hospitalityq!R877),2)=VALUE(hospitalityq!R877),FALSE)))</f>
        <v>0</v>
      </c>
    </row>
    <row r="878" spans="1:18" x14ac:dyDescent="0.25">
      <c r="A878">
        <f t="shared" si="13"/>
        <v>0</v>
      </c>
      <c r="C878">
        <f>NOT(hospitalityq!C878="")*(SUMPRODUCT(--(TRIM(hospitalityq!C6:C878)=TRIM(hospitalityq!C878)))&gt;1)</f>
        <v>0</v>
      </c>
      <c r="D878">
        <f>NOT(hospitalityq!D878="")*(COUNTIF(reference!$C$17:$C$18,TRIM(hospitalityq!D878))=0)</f>
        <v>0</v>
      </c>
      <c r="J878">
        <f>NOT(hospitalityq!J878="")*(NOT(ISNUMBER(hospitalityq!J878+0)))</f>
        <v>0</v>
      </c>
      <c r="K878">
        <f>NOT(hospitalityq!K878="")*(NOT(ISNUMBER(hospitalityq!K878+0)))</f>
        <v>0</v>
      </c>
      <c r="P878">
        <f>NOT(hospitalityq!P878="")*(NOT(IFERROR(INT(hospitalityq!P878)=VALUE(hospitalityq!P878),FALSE)))</f>
        <v>0</v>
      </c>
      <c r="Q878">
        <f>NOT(hospitalityq!Q878="")*(NOT(IFERROR(INT(hospitalityq!Q878)=VALUE(hospitalityq!Q878),FALSE)))</f>
        <v>0</v>
      </c>
      <c r="R878">
        <f>NOT(hospitalityq!R878="")*(NOT(IFERROR(ROUND(VALUE(hospitalityq!R878),2)=VALUE(hospitalityq!R878),FALSE)))</f>
        <v>0</v>
      </c>
    </row>
    <row r="879" spans="1:18" x14ac:dyDescent="0.25">
      <c r="A879">
        <f t="shared" si="13"/>
        <v>0</v>
      </c>
      <c r="C879">
        <f>NOT(hospitalityq!C879="")*(SUMPRODUCT(--(TRIM(hospitalityq!C6:C879)=TRIM(hospitalityq!C879)))&gt;1)</f>
        <v>0</v>
      </c>
      <c r="D879">
        <f>NOT(hospitalityq!D879="")*(COUNTIF(reference!$C$17:$C$18,TRIM(hospitalityq!D879))=0)</f>
        <v>0</v>
      </c>
      <c r="J879">
        <f>NOT(hospitalityq!J879="")*(NOT(ISNUMBER(hospitalityq!J879+0)))</f>
        <v>0</v>
      </c>
      <c r="K879">
        <f>NOT(hospitalityq!K879="")*(NOT(ISNUMBER(hospitalityq!K879+0)))</f>
        <v>0</v>
      </c>
      <c r="P879">
        <f>NOT(hospitalityq!P879="")*(NOT(IFERROR(INT(hospitalityq!P879)=VALUE(hospitalityq!P879),FALSE)))</f>
        <v>0</v>
      </c>
      <c r="Q879">
        <f>NOT(hospitalityq!Q879="")*(NOT(IFERROR(INT(hospitalityq!Q879)=VALUE(hospitalityq!Q879),FALSE)))</f>
        <v>0</v>
      </c>
      <c r="R879">
        <f>NOT(hospitalityq!R879="")*(NOT(IFERROR(ROUND(VALUE(hospitalityq!R879),2)=VALUE(hospitalityq!R879),FALSE)))</f>
        <v>0</v>
      </c>
    </row>
    <row r="880" spans="1:18" x14ac:dyDescent="0.25">
      <c r="A880">
        <f t="shared" si="13"/>
        <v>0</v>
      </c>
      <c r="C880">
        <f>NOT(hospitalityq!C880="")*(SUMPRODUCT(--(TRIM(hospitalityq!C6:C880)=TRIM(hospitalityq!C880)))&gt;1)</f>
        <v>0</v>
      </c>
      <c r="D880">
        <f>NOT(hospitalityq!D880="")*(COUNTIF(reference!$C$17:$C$18,TRIM(hospitalityq!D880))=0)</f>
        <v>0</v>
      </c>
      <c r="J880">
        <f>NOT(hospitalityq!J880="")*(NOT(ISNUMBER(hospitalityq!J880+0)))</f>
        <v>0</v>
      </c>
      <c r="K880">
        <f>NOT(hospitalityq!K880="")*(NOT(ISNUMBER(hospitalityq!K880+0)))</f>
        <v>0</v>
      </c>
      <c r="P880">
        <f>NOT(hospitalityq!P880="")*(NOT(IFERROR(INT(hospitalityq!P880)=VALUE(hospitalityq!P880),FALSE)))</f>
        <v>0</v>
      </c>
      <c r="Q880">
        <f>NOT(hospitalityq!Q880="")*(NOT(IFERROR(INT(hospitalityq!Q880)=VALUE(hospitalityq!Q880),FALSE)))</f>
        <v>0</v>
      </c>
      <c r="R880">
        <f>NOT(hospitalityq!R880="")*(NOT(IFERROR(ROUND(VALUE(hospitalityq!R880),2)=VALUE(hospitalityq!R880),FALSE)))</f>
        <v>0</v>
      </c>
    </row>
    <row r="881" spans="1:18" x14ac:dyDescent="0.25">
      <c r="A881">
        <f t="shared" si="13"/>
        <v>0</v>
      </c>
      <c r="C881">
        <f>NOT(hospitalityq!C881="")*(SUMPRODUCT(--(TRIM(hospitalityq!C6:C881)=TRIM(hospitalityq!C881)))&gt;1)</f>
        <v>0</v>
      </c>
      <c r="D881">
        <f>NOT(hospitalityq!D881="")*(COUNTIF(reference!$C$17:$C$18,TRIM(hospitalityq!D881))=0)</f>
        <v>0</v>
      </c>
      <c r="J881">
        <f>NOT(hospitalityq!J881="")*(NOT(ISNUMBER(hospitalityq!J881+0)))</f>
        <v>0</v>
      </c>
      <c r="K881">
        <f>NOT(hospitalityq!K881="")*(NOT(ISNUMBER(hospitalityq!K881+0)))</f>
        <v>0</v>
      </c>
      <c r="P881">
        <f>NOT(hospitalityq!P881="")*(NOT(IFERROR(INT(hospitalityq!P881)=VALUE(hospitalityq!P881),FALSE)))</f>
        <v>0</v>
      </c>
      <c r="Q881">
        <f>NOT(hospitalityq!Q881="")*(NOT(IFERROR(INT(hospitalityq!Q881)=VALUE(hospitalityq!Q881),FALSE)))</f>
        <v>0</v>
      </c>
      <c r="R881">
        <f>NOT(hospitalityq!R881="")*(NOT(IFERROR(ROUND(VALUE(hospitalityq!R881),2)=VALUE(hospitalityq!R881),FALSE)))</f>
        <v>0</v>
      </c>
    </row>
    <row r="882" spans="1:18" x14ac:dyDescent="0.25">
      <c r="A882">
        <f t="shared" si="13"/>
        <v>0</v>
      </c>
      <c r="C882">
        <f>NOT(hospitalityq!C882="")*(SUMPRODUCT(--(TRIM(hospitalityq!C6:C882)=TRIM(hospitalityq!C882)))&gt;1)</f>
        <v>0</v>
      </c>
      <c r="D882">
        <f>NOT(hospitalityq!D882="")*(COUNTIF(reference!$C$17:$C$18,TRIM(hospitalityq!D882))=0)</f>
        <v>0</v>
      </c>
      <c r="J882">
        <f>NOT(hospitalityq!J882="")*(NOT(ISNUMBER(hospitalityq!J882+0)))</f>
        <v>0</v>
      </c>
      <c r="K882">
        <f>NOT(hospitalityq!K882="")*(NOT(ISNUMBER(hospitalityq!K882+0)))</f>
        <v>0</v>
      </c>
      <c r="P882">
        <f>NOT(hospitalityq!P882="")*(NOT(IFERROR(INT(hospitalityq!P882)=VALUE(hospitalityq!P882),FALSE)))</f>
        <v>0</v>
      </c>
      <c r="Q882">
        <f>NOT(hospitalityq!Q882="")*(NOT(IFERROR(INT(hospitalityq!Q882)=VALUE(hospitalityq!Q882),FALSE)))</f>
        <v>0</v>
      </c>
      <c r="R882">
        <f>NOT(hospitalityq!R882="")*(NOT(IFERROR(ROUND(VALUE(hospitalityq!R882),2)=VALUE(hospitalityq!R882),FALSE)))</f>
        <v>0</v>
      </c>
    </row>
    <row r="883" spans="1:18" x14ac:dyDescent="0.25">
      <c r="A883">
        <f t="shared" si="13"/>
        <v>0</v>
      </c>
      <c r="C883">
        <f>NOT(hospitalityq!C883="")*(SUMPRODUCT(--(TRIM(hospitalityq!C6:C883)=TRIM(hospitalityq!C883)))&gt;1)</f>
        <v>0</v>
      </c>
      <c r="D883">
        <f>NOT(hospitalityq!D883="")*(COUNTIF(reference!$C$17:$C$18,TRIM(hospitalityq!D883))=0)</f>
        <v>0</v>
      </c>
      <c r="J883">
        <f>NOT(hospitalityq!J883="")*(NOT(ISNUMBER(hospitalityq!J883+0)))</f>
        <v>0</v>
      </c>
      <c r="K883">
        <f>NOT(hospitalityq!K883="")*(NOT(ISNUMBER(hospitalityq!K883+0)))</f>
        <v>0</v>
      </c>
      <c r="P883">
        <f>NOT(hospitalityq!P883="")*(NOT(IFERROR(INT(hospitalityq!P883)=VALUE(hospitalityq!P883),FALSE)))</f>
        <v>0</v>
      </c>
      <c r="Q883">
        <f>NOT(hospitalityq!Q883="")*(NOT(IFERROR(INT(hospitalityq!Q883)=VALUE(hospitalityq!Q883),FALSE)))</f>
        <v>0</v>
      </c>
      <c r="R883">
        <f>NOT(hospitalityq!R883="")*(NOT(IFERROR(ROUND(VALUE(hospitalityq!R883),2)=VALUE(hospitalityq!R883),FALSE)))</f>
        <v>0</v>
      </c>
    </row>
    <row r="884" spans="1:18" x14ac:dyDescent="0.25">
      <c r="A884">
        <f t="shared" si="13"/>
        <v>0</v>
      </c>
      <c r="C884">
        <f>NOT(hospitalityq!C884="")*(SUMPRODUCT(--(TRIM(hospitalityq!C6:C884)=TRIM(hospitalityq!C884)))&gt;1)</f>
        <v>0</v>
      </c>
      <c r="D884">
        <f>NOT(hospitalityq!D884="")*(COUNTIF(reference!$C$17:$C$18,TRIM(hospitalityq!D884))=0)</f>
        <v>0</v>
      </c>
      <c r="J884">
        <f>NOT(hospitalityq!J884="")*(NOT(ISNUMBER(hospitalityq!J884+0)))</f>
        <v>0</v>
      </c>
      <c r="K884">
        <f>NOT(hospitalityq!K884="")*(NOT(ISNUMBER(hospitalityq!K884+0)))</f>
        <v>0</v>
      </c>
      <c r="P884">
        <f>NOT(hospitalityq!P884="")*(NOT(IFERROR(INT(hospitalityq!P884)=VALUE(hospitalityq!P884),FALSE)))</f>
        <v>0</v>
      </c>
      <c r="Q884">
        <f>NOT(hospitalityq!Q884="")*(NOT(IFERROR(INT(hospitalityq!Q884)=VALUE(hospitalityq!Q884),FALSE)))</f>
        <v>0</v>
      </c>
      <c r="R884">
        <f>NOT(hospitalityq!R884="")*(NOT(IFERROR(ROUND(VALUE(hospitalityq!R884),2)=VALUE(hospitalityq!R884),FALSE)))</f>
        <v>0</v>
      </c>
    </row>
    <row r="885" spans="1:18" x14ac:dyDescent="0.25">
      <c r="A885">
        <f t="shared" si="13"/>
        <v>0</v>
      </c>
      <c r="C885">
        <f>NOT(hospitalityq!C885="")*(SUMPRODUCT(--(TRIM(hospitalityq!C6:C885)=TRIM(hospitalityq!C885)))&gt;1)</f>
        <v>0</v>
      </c>
      <c r="D885">
        <f>NOT(hospitalityq!D885="")*(COUNTIF(reference!$C$17:$C$18,TRIM(hospitalityq!D885))=0)</f>
        <v>0</v>
      </c>
      <c r="J885">
        <f>NOT(hospitalityq!J885="")*(NOT(ISNUMBER(hospitalityq!J885+0)))</f>
        <v>0</v>
      </c>
      <c r="K885">
        <f>NOT(hospitalityq!K885="")*(NOT(ISNUMBER(hospitalityq!K885+0)))</f>
        <v>0</v>
      </c>
      <c r="P885">
        <f>NOT(hospitalityq!P885="")*(NOT(IFERROR(INT(hospitalityq!P885)=VALUE(hospitalityq!P885),FALSE)))</f>
        <v>0</v>
      </c>
      <c r="Q885">
        <f>NOT(hospitalityq!Q885="")*(NOT(IFERROR(INT(hospitalityq!Q885)=VALUE(hospitalityq!Q885),FALSE)))</f>
        <v>0</v>
      </c>
      <c r="R885">
        <f>NOT(hospitalityq!R885="")*(NOT(IFERROR(ROUND(VALUE(hospitalityq!R885),2)=VALUE(hospitalityq!R885),FALSE)))</f>
        <v>0</v>
      </c>
    </row>
    <row r="886" spans="1:18" x14ac:dyDescent="0.25">
      <c r="A886">
        <f t="shared" si="13"/>
        <v>0</v>
      </c>
      <c r="C886">
        <f>NOT(hospitalityq!C886="")*(SUMPRODUCT(--(TRIM(hospitalityq!C6:C886)=TRIM(hospitalityq!C886)))&gt;1)</f>
        <v>0</v>
      </c>
      <c r="D886">
        <f>NOT(hospitalityq!D886="")*(COUNTIF(reference!$C$17:$C$18,TRIM(hospitalityq!D886))=0)</f>
        <v>0</v>
      </c>
      <c r="J886">
        <f>NOT(hospitalityq!J886="")*(NOT(ISNUMBER(hospitalityq!J886+0)))</f>
        <v>0</v>
      </c>
      <c r="K886">
        <f>NOT(hospitalityq!K886="")*(NOT(ISNUMBER(hospitalityq!K886+0)))</f>
        <v>0</v>
      </c>
      <c r="P886">
        <f>NOT(hospitalityq!P886="")*(NOT(IFERROR(INT(hospitalityq!P886)=VALUE(hospitalityq!P886),FALSE)))</f>
        <v>0</v>
      </c>
      <c r="Q886">
        <f>NOT(hospitalityq!Q886="")*(NOT(IFERROR(INT(hospitalityq!Q886)=VALUE(hospitalityq!Q886),FALSE)))</f>
        <v>0</v>
      </c>
      <c r="R886">
        <f>NOT(hospitalityq!R886="")*(NOT(IFERROR(ROUND(VALUE(hospitalityq!R886),2)=VALUE(hospitalityq!R886),FALSE)))</f>
        <v>0</v>
      </c>
    </row>
    <row r="887" spans="1:18" x14ac:dyDescent="0.25">
      <c r="A887">
        <f t="shared" si="13"/>
        <v>0</v>
      </c>
      <c r="C887">
        <f>NOT(hospitalityq!C887="")*(SUMPRODUCT(--(TRIM(hospitalityq!C6:C887)=TRIM(hospitalityq!C887)))&gt;1)</f>
        <v>0</v>
      </c>
      <c r="D887">
        <f>NOT(hospitalityq!D887="")*(COUNTIF(reference!$C$17:$C$18,TRIM(hospitalityq!D887))=0)</f>
        <v>0</v>
      </c>
      <c r="J887">
        <f>NOT(hospitalityq!J887="")*(NOT(ISNUMBER(hospitalityq!J887+0)))</f>
        <v>0</v>
      </c>
      <c r="K887">
        <f>NOT(hospitalityq!K887="")*(NOT(ISNUMBER(hospitalityq!K887+0)))</f>
        <v>0</v>
      </c>
      <c r="P887">
        <f>NOT(hospitalityq!P887="")*(NOT(IFERROR(INT(hospitalityq!P887)=VALUE(hospitalityq!P887),FALSE)))</f>
        <v>0</v>
      </c>
      <c r="Q887">
        <f>NOT(hospitalityq!Q887="")*(NOT(IFERROR(INT(hospitalityq!Q887)=VALUE(hospitalityq!Q887),FALSE)))</f>
        <v>0</v>
      </c>
      <c r="R887">
        <f>NOT(hospitalityq!R887="")*(NOT(IFERROR(ROUND(VALUE(hospitalityq!R887),2)=VALUE(hospitalityq!R887),FALSE)))</f>
        <v>0</v>
      </c>
    </row>
    <row r="888" spans="1:18" x14ac:dyDescent="0.25">
      <c r="A888">
        <f t="shared" si="13"/>
        <v>0</v>
      </c>
      <c r="C888">
        <f>NOT(hospitalityq!C888="")*(SUMPRODUCT(--(TRIM(hospitalityq!C6:C888)=TRIM(hospitalityq!C888)))&gt;1)</f>
        <v>0</v>
      </c>
      <c r="D888">
        <f>NOT(hospitalityq!D888="")*(COUNTIF(reference!$C$17:$C$18,TRIM(hospitalityq!D888))=0)</f>
        <v>0</v>
      </c>
      <c r="J888">
        <f>NOT(hospitalityq!J888="")*(NOT(ISNUMBER(hospitalityq!J888+0)))</f>
        <v>0</v>
      </c>
      <c r="K888">
        <f>NOT(hospitalityq!K888="")*(NOT(ISNUMBER(hospitalityq!K888+0)))</f>
        <v>0</v>
      </c>
      <c r="P888">
        <f>NOT(hospitalityq!P888="")*(NOT(IFERROR(INT(hospitalityq!P888)=VALUE(hospitalityq!P888),FALSE)))</f>
        <v>0</v>
      </c>
      <c r="Q888">
        <f>NOT(hospitalityq!Q888="")*(NOT(IFERROR(INT(hospitalityq!Q888)=VALUE(hospitalityq!Q888),FALSE)))</f>
        <v>0</v>
      </c>
      <c r="R888">
        <f>NOT(hospitalityq!R888="")*(NOT(IFERROR(ROUND(VALUE(hospitalityq!R888),2)=VALUE(hospitalityq!R888),FALSE)))</f>
        <v>0</v>
      </c>
    </row>
    <row r="889" spans="1:18" x14ac:dyDescent="0.25">
      <c r="A889">
        <f t="shared" si="13"/>
        <v>0</v>
      </c>
      <c r="C889">
        <f>NOT(hospitalityq!C889="")*(SUMPRODUCT(--(TRIM(hospitalityq!C6:C889)=TRIM(hospitalityq!C889)))&gt;1)</f>
        <v>0</v>
      </c>
      <c r="D889">
        <f>NOT(hospitalityq!D889="")*(COUNTIF(reference!$C$17:$C$18,TRIM(hospitalityq!D889))=0)</f>
        <v>0</v>
      </c>
      <c r="J889">
        <f>NOT(hospitalityq!J889="")*(NOT(ISNUMBER(hospitalityq!J889+0)))</f>
        <v>0</v>
      </c>
      <c r="K889">
        <f>NOT(hospitalityq!K889="")*(NOT(ISNUMBER(hospitalityq!K889+0)))</f>
        <v>0</v>
      </c>
      <c r="P889">
        <f>NOT(hospitalityq!P889="")*(NOT(IFERROR(INT(hospitalityq!P889)=VALUE(hospitalityq!P889),FALSE)))</f>
        <v>0</v>
      </c>
      <c r="Q889">
        <f>NOT(hospitalityq!Q889="")*(NOT(IFERROR(INT(hospitalityq!Q889)=VALUE(hospitalityq!Q889),FALSE)))</f>
        <v>0</v>
      </c>
      <c r="R889">
        <f>NOT(hospitalityq!R889="")*(NOT(IFERROR(ROUND(VALUE(hospitalityq!R889),2)=VALUE(hospitalityq!R889),FALSE)))</f>
        <v>0</v>
      </c>
    </row>
    <row r="890" spans="1:18" x14ac:dyDescent="0.25">
      <c r="A890">
        <f t="shared" si="13"/>
        <v>0</v>
      </c>
      <c r="C890">
        <f>NOT(hospitalityq!C890="")*(SUMPRODUCT(--(TRIM(hospitalityq!C6:C890)=TRIM(hospitalityq!C890)))&gt;1)</f>
        <v>0</v>
      </c>
      <c r="D890">
        <f>NOT(hospitalityq!D890="")*(COUNTIF(reference!$C$17:$C$18,TRIM(hospitalityq!D890))=0)</f>
        <v>0</v>
      </c>
      <c r="J890">
        <f>NOT(hospitalityq!J890="")*(NOT(ISNUMBER(hospitalityq!J890+0)))</f>
        <v>0</v>
      </c>
      <c r="K890">
        <f>NOT(hospitalityq!K890="")*(NOT(ISNUMBER(hospitalityq!K890+0)))</f>
        <v>0</v>
      </c>
      <c r="P890">
        <f>NOT(hospitalityq!P890="")*(NOT(IFERROR(INT(hospitalityq!P890)=VALUE(hospitalityq!P890),FALSE)))</f>
        <v>0</v>
      </c>
      <c r="Q890">
        <f>NOT(hospitalityq!Q890="")*(NOT(IFERROR(INT(hospitalityq!Q890)=VALUE(hospitalityq!Q890),FALSE)))</f>
        <v>0</v>
      </c>
      <c r="R890">
        <f>NOT(hospitalityq!R890="")*(NOT(IFERROR(ROUND(VALUE(hospitalityq!R890),2)=VALUE(hospitalityq!R890),FALSE)))</f>
        <v>0</v>
      </c>
    </row>
    <row r="891" spans="1:18" x14ac:dyDescent="0.25">
      <c r="A891">
        <f t="shared" si="13"/>
        <v>0</v>
      </c>
      <c r="C891">
        <f>NOT(hospitalityq!C891="")*(SUMPRODUCT(--(TRIM(hospitalityq!C6:C891)=TRIM(hospitalityq!C891)))&gt;1)</f>
        <v>0</v>
      </c>
      <c r="D891">
        <f>NOT(hospitalityq!D891="")*(COUNTIF(reference!$C$17:$C$18,TRIM(hospitalityq!D891))=0)</f>
        <v>0</v>
      </c>
      <c r="J891">
        <f>NOT(hospitalityq!J891="")*(NOT(ISNUMBER(hospitalityq!J891+0)))</f>
        <v>0</v>
      </c>
      <c r="K891">
        <f>NOT(hospitalityq!K891="")*(NOT(ISNUMBER(hospitalityq!K891+0)))</f>
        <v>0</v>
      </c>
      <c r="P891">
        <f>NOT(hospitalityq!P891="")*(NOT(IFERROR(INT(hospitalityq!P891)=VALUE(hospitalityq!P891),FALSE)))</f>
        <v>0</v>
      </c>
      <c r="Q891">
        <f>NOT(hospitalityq!Q891="")*(NOT(IFERROR(INT(hospitalityq!Q891)=VALUE(hospitalityq!Q891),FALSE)))</f>
        <v>0</v>
      </c>
      <c r="R891">
        <f>NOT(hospitalityq!R891="")*(NOT(IFERROR(ROUND(VALUE(hospitalityq!R891),2)=VALUE(hospitalityq!R891),FALSE)))</f>
        <v>0</v>
      </c>
    </row>
    <row r="892" spans="1:18" x14ac:dyDescent="0.25">
      <c r="A892">
        <f t="shared" si="13"/>
        <v>0</v>
      </c>
      <c r="C892">
        <f>NOT(hospitalityq!C892="")*(SUMPRODUCT(--(TRIM(hospitalityq!C6:C892)=TRIM(hospitalityq!C892)))&gt;1)</f>
        <v>0</v>
      </c>
      <c r="D892">
        <f>NOT(hospitalityq!D892="")*(COUNTIF(reference!$C$17:$C$18,TRIM(hospitalityq!D892))=0)</f>
        <v>0</v>
      </c>
      <c r="J892">
        <f>NOT(hospitalityq!J892="")*(NOT(ISNUMBER(hospitalityq!J892+0)))</f>
        <v>0</v>
      </c>
      <c r="K892">
        <f>NOT(hospitalityq!K892="")*(NOT(ISNUMBER(hospitalityq!K892+0)))</f>
        <v>0</v>
      </c>
      <c r="P892">
        <f>NOT(hospitalityq!P892="")*(NOT(IFERROR(INT(hospitalityq!P892)=VALUE(hospitalityq!P892),FALSE)))</f>
        <v>0</v>
      </c>
      <c r="Q892">
        <f>NOT(hospitalityq!Q892="")*(NOT(IFERROR(INT(hospitalityq!Q892)=VALUE(hospitalityq!Q892),FALSE)))</f>
        <v>0</v>
      </c>
      <c r="R892">
        <f>NOT(hospitalityq!R892="")*(NOT(IFERROR(ROUND(VALUE(hospitalityq!R892),2)=VALUE(hospitalityq!R892),FALSE)))</f>
        <v>0</v>
      </c>
    </row>
    <row r="893" spans="1:18" x14ac:dyDescent="0.25">
      <c r="A893">
        <f t="shared" si="13"/>
        <v>0</v>
      </c>
      <c r="C893">
        <f>NOT(hospitalityq!C893="")*(SUMPRODUCT(--(TRIM(hospitalityq!C6:C893)=TRIM(hospitalityq!C893)))&gt;1)</f>
        <v>0</v>
      </c>
      <c r="D893">
        <f>NOT(hospitalityq!D893="")*(COUNTIF(reference!$C$17:$C$18,TRIM(hospitalityq!D893))=0)</f>
        <v>0</v>
      </c>
      <c r="J893">
        <f>NOT(hospitalityq!J893="")*(NOT(ISNUMBER(hospitalityq!J893+0)))</f>
        <v>0</v>
      </c>
      <c r="K893">
        <f>NOT(hospitalityq!K893="")*(NOT(ISNUMBER(hospitalityq!K893+0)))</f>
        <v>0</v>
      </c>
      <c r="P893">
        <f>NOT(hospitalityq!P893="")*(NOT(IFERROR(INT(hospitalityq!P893)=VALUE(hospitalityq!P893),FALSE)))</f>
        <v>0</v>
      </c>
      <c r="Q893">
        <f>NOT(hospitalityq!Q893="")*(NOT(IFERROR(INT(hospitalityq!Q893)=VALUE(hospitalityq!Q893),FALSE)))</f>
        <v>0</v>
      </c>
      <c r="R893">
        <f>NOT(hospitalityq!R893="")*(NOT(IFERROR(ROUND(VALUE(hospitalityq!R893),2)=VALUE(hospitalityq!R893),FALSE)))</f>
        <v>0</v>
      </c>
    </row>
    <row r="894" spans="1:18" x14ac:dyDescent="0.25">
      <c r="A894">
        <f t="shared" si="13"/>
        <v>0</v>
      </c>
      <c r="C894">
        <f>NOT(hospitalityq!C894="")*(SUMPRODUCT(--(TRIM(hospitalityq!C6:C894)=TRIM(hospitalityq!C894)))&gt;1)</f>
        <v>0</v>
      </c>
      <c r="D894">
        <f>NOT(hospitalityq!D894="")*(COUNTIF(reference!$C$17:$C$18,TRIM(hospitalityq!D894))=0)</f>
        <v>0</v>
      </c>
      <c r="J894">
        <f>NOT(hospitalityq!J894="")*(NOT(ISNUMBER(hospitalityq!J894+0)))</f>
        <v>0</v>
      </c>
      <c r="K894">
        <f>NOT(hospitalityq!K894="")*(NOT(ISNUMBER(hospitalityq!K894+0)))</f>
        <v>0</v>
      </c>
      <c r="P894">
        <f>NOT(hospitalityq!P894="")*(NOT(IFERROR(INT(hospitalityq!P894)=VALUE(hospitalityq!P894),FALSE)))</f>
        <v>0</v>
      </c>
      <c r="Q894">
        <f>NOT(hospitalityq!Q894="")*(NOT(IFERROR(INT(hospitalityq!Q894)=VALUE(hospitalityq!Q894),FALSE)))</f>
        <v>0</v>
      </c>
      <c r="R894">
        <f>NOT(hospitalityq!R894="")*(NOT(IFERROR(ROUND(VALUE(hospitalityq!R894),2)=VALUE(hospitalityq!R894),FALSE)))</f>
        <v>0</v>
      </c>
    </row>
    <row r="895" spans="1:18" x14ac:dyDescent="0.25">
      <c r="A895">
        <f t="shared" si="13"/>
        <v>0</v>
      </c>
      <c r="C895">
        <f>NOT(hospitalityq!C895="")*(SUMPRODUCT(--(TRIM(hospitalityq!C6:C895)=TRIM(hospitalityq!C895)))&gt;1)</f>
        <v>0</v>
      </c>
      <c r="D895">
        <f>NOT(hospitalityq!D895="")*(COUNTIF(reference!$C$17:$C$18,TRIM(hospitalityq!D895))=0)</f>
        <v>0</v>
      </c>
      <c r="J895">
        <f>NOT(hospitalityq!J895="")*(NOT(ISNUMBER(hospitalityq!J895+0)))</f>
        <v>0</v>
      </c>
      <c r="K895">
        <f>NOT(hospitalityq!K895="")*(NOT(ISNUMBER(hospitalityq!K895+0)))</f>
        <v>0</v>
      </c>
      <c r="P895">
        <f>NOT(hospitalityq!P895="")*(NOT(IFERROR(INT(hospitalityq!P895)=VALUE(hospitalityq!P895),FALSE)))</f>
        <v>0</v>
      </c>
      <c r="Q895">
        <f>NOT(hospitalityq!Q895="")*(NOT(IFERROR(INT(hospitalityq!Q895)=VALUE(hospitalityq!Q895),FALSE)))</f>
        <v>0</v>
      </c>
      <c r="R895">
        <f>NOT(hospitalityq!R895="")*(NOT(IFERROR(ROUND(VALUE(hospitalityq!R895),2)=VALUE(hospitalityq!R895),FALSE)))</f>
        <v>0</v>
      </c>
    </row>
    <row r="896" spans="1:18" x14ac:dyDescent="0.25">
      <c r="A896">
        <f t="shared" si="13"/>
        <v>0</v>
      </c>
      <c r="C896">
        <f>NOT(hospitalityq!C896="")*(SUMPRODUCT(--(TRIM(hospitalityq!C6:C896)=TRIM(hospitalityq!C896)))&gt;1)</f>
        <v>0</v>
      </c>
      <c r="D896">
        <f>NOT(hospitalityq!D896="")*(COUNTIF(reference!$C$17:$C$18,TRIM(hospitalityq!D896))=0)</f>
        <v>0</v>
      </c>
      <c r="J896">
        <f>NOT(hospitalityq!J896="")*(NOT(ISNUMBER(hospitalityq!J896+0)))</f>
        <v>0</v>
      </c>
      <c r="K896">
        <f>NOT(hospitalityq!K896="")*(NOT(ISNUMBER(hospitalityq!K896+0)))</f>
        <v>0</v>
      </c>
      <c r="P896">
        <f>NOT(hospitalityq!P896="")*(NOT(IFERROR(INT(hospitalityq!P896)=VALUE(hospitalityq!P896),FALSE)))</f>
        <v>0</v>
      </c>
      <c r="Q896">
        <f>NOT(hospitalityq!Q896="")*(NOT(IFERROR(INT(hospitalityq!Q896)=VALUE(hospitalityq!Q896),FALSE)))</f>
        <v>0</v>
      </c>
      <c r="R896">
        <f>NOT(hospitalityq!R896="")*(NOT(IFERROR(ROUND(VALUE(hospitalityq!R896),2)=VALUE(hospitalityq!R896),FALSE)))</f>
        <v>0</v>
      </c>
    </row>
    <row r="897" spans="1:18" x14ac:dyDescent="0.25">
      <c r="A897">
        <f t="shared" si="13"/>
        <v>0</v>
      </c>
      <c r="C897">
        <f>NOT(hospitalityq!C897="")*(SUMPRODUCT(--(TRIM(hospitalityq!C6:C897)=TRIM(hospitalityq!C897)))&gt;1)</f>
        <v>0</v>
      </c>
      <c r="D897">
        <f>NOT(hospitalityq!D897="")*(COUNTIF(reference!$C$17:$C$18,TRIM(hospitalityq!D897))=0)</f>
        <v>0</v>
      </c>
      <c r="J897">
        <f>NOT(hospitalityq!J897="")*(NOT(ISNUMBER(hospitalityq!J897+0)))</f>
        <v>0</v>
      </c>
      <c r="K897">
        <f>NOT(hospitalityq!K897="")*(NOT(ISNUMBER(hospitalityq!K897+0)))</f>
        <v>0</v>
      </c>
      <c r="P897">
        <f>NOT(hospitalityq!P897="")*(NOT(IFERROR(INT(hospitalityq!P897)=VALUE(hospitalityq!P897),FALSE)))</f>
        <v>0</v>
      </c>
      <c r="Q897">
        <f>NOT(hospitalityq!Q897="")*(NOT(IFERROR(INT(hospitalityq!Q897)=VALUE(hospitalityq!Q897),FALSE)))</f>
        <v>0</v>
      </c>
      <c r="R897">
        <f>NOT(hospitalityq!R897="")*(NOT(IFERROR(ROUND(VALUE(hospitalityq!R897),2)=VALUE(hospitalityq!R897),FALSE)))</f>
        <v>0</v>
      </c>
    </row>
    <row r="898" spans="1:18" x14ac:dyDescent="0.25">
      <c r="A898">
        <f t="shared" si="13"/>
        <v>0</v>
      </c>
      <c r="C898">
        <f>NOT(hospitalityq!C898="")*(SUMPRODUCT(--(TRIM(hospitalityq!C6:C898)=TRIM(hospitalityq!C898)))&gt;1)</f>
        <v>0</v>
      </c>
      <c r="D898">
        <f>NOT(hospitalityq!D898="")*(COUNTIF(reference!$C$17:$C$18,TRIM(hospitalityq!D898))=0)</f>
        <v>0</v>
      </c>
      <c r="J898">
        <f>NOT(hospitalityq!J898="")*(NOT(ISNUMBER(hospitalityq!J898+0)))</f>
        <v>0</v>
      </c>
      <c r="K898">
        <f>NOT(hospitalityq!K898="")*(NOT(ISNUMBER(hospitalityq!K898+0)))</f>
        <v>0</v>
      </c>
      <c r="P898">
        <f>NOT(hospitalityq!P898="")*(NOT(IFERROR(INT(hospitalityq!P898)=VALUE(hospitalityq!P898),FALSE)))</f>
        <v>0</v>
      </c>
      <c r="Q898">
        <f>NOT(hospitalityq!Q898="")*(NOT(IFERROR(INT(hospitalityq!Q898)=VALUE(hospitalityq!Q898),FALSE)))</f>
        <v>0</v>
      </c>
      <c r="R898">
        <f>NOT(hospitalityq!R898="")*(NOT(IFERROR(ROUND(VALUE(hospitalityq!R898),2)=VALUE(hospitalityq!R898),FALSE)))</f>
        <v>0</v>
      </c>
    </row>
    <row r="899" spans="1:18" x14ac:dyDescent="0.25">
      <c r="A899">
        <f t="shared" si="13"/>
        <v>0</v>
      </c>
      <c r="C899">
        <f>NOT(hospitalityq!C899="")*(SUMPRODUCT(--(TRIM(hospitalityq!C6:C899)=TRIM(hospitalityq!C899)))&gt;1)</f>
        <v>0</v>
      </c>
      <c r="D899">
        <f>NOT(hospitalityq!D899="")*(COUNTIF(reference!$C$17:$C$18,TRIM(hospitalityq!D899))=0)</f>
        <v>0</v>
      </c>
      <c r="J899">
        <f>NOT(hospitalityq!J899="")*(NOT(ISNUMBER(hospitalityq!J899+0)))</f>
        <v>0</v>
      </c>
      <c r="K899">
        <f>NOT(hospitalityq!K899="")*(NOT(ISNUMBER(hospitalityq!K899+0)))</f>
        <v>0</v>
      </c>
      <c r="P899">
        <f>NOT(hospitalityq!P899="")*(NOT(IFERROR(INT(hospitalityq!P899)=VALUE(hospitalityq!P899),FALSE)))</f>
        <v>0</v>
      </c>
      <c r="Q899">
        <f>NOT(hospitalityq!Q899="")*(NOT(IFERROR(INT(hospitalityq!Q899)=VALUE(hospitalityq!Q899),FALSE)))</f>
        <v>0</v>
      </c>
      <c r="R899">
        <f>NOT(hospitalityq!R899="")*(NOT(IFERROR(ROUND(VALUE(hospitalityq!R899),2)=VALUE(hospitalityq!R899),FALSE)))</f>
        <v>0</v>
      </c>
    </row>
    <row r="900" spans="1:18" x14ac:dyDescent="0.25">
      <c r="A900">
        <f t="shared" si="13"/>
        <v>0</v>
      </c>
      <c r="C900">
        <f>NOT(hospitalityq!C900="")*(SUMPRODUCT(--(TRIM(hospitalityq!C6:C900)=TRIM(hospitalityq!C900)))&gt;1)</f>
        <v>0</v>
      </c>
      <c r="D900">
        <f>NOT(hospitalityq!D900="")*(COUNTIF(reference!$C$17:$C$18,TRIM(hospitalityq!D900))=0)</f>
        <v>0</v>
      </c>
      <c r="J900">
        <f>NOT(hospitalityq!J900="")*(NOT(ISNUMBER(hospitalityq!J900+0)))</f>
        <v>0</v>
      </c>
      <c r="K900">
        <f>NOT(hospitalityq!K900="")*(NOT(ISNUMBER(hospitalityq!K900+0)))</f>
        <v>0</v>
      </c>
      <c r="P900">
        <f>NOT(hospitalityq!P900="")*(NOT(IFERROR(INT(hospitalityq!P900)=VALUE(hospitalityq!P900),FALSE)))</f>
        <v>0</v>
      </c>
      <c r="Q900">
        <f>NOT(hospitalityq!Q900="")*(NOT(IFERROR(INT(hospitalityq!Q900)=VALUE(hospitalityq!Q900),FALSE)))</f>
        <v>0</v>
      </c>
      <c r="R900">
        <f>NOT(hospitalityq!R900="")*(NOT(IFERROR(ROUND(VALUE(hospitalityq!R900),2)=VALUE(hospitalityq!R900),FALSE)))</f>
        <v>0</v>
      </c>
    </row>
    <row r="901" spans="1:18" x14ac:dyDescent="0.25">
      <c r="A901">
        <f t="shared" si="13"/>
        <v>0</v>
      </c>
      <c r="C901">
        <f>NOT(hospitalityq!C901="")*(SUMPRODUCT(--(TRIM(hospitalityq!C6:C901)=TRIM(hospitalityq!C901)))&gt;1)</f>
        <v>0</v>
      </c>
      <c r="D901">
        <f>NOT(hospitalityq!D901="")*(COUNTIF(reference!$C$17:$C$18,TRIM(hospitalityq!D901))=0)</f>
        <v>0</v>
      </c>
      <c r="J901">
        <f>NOT(hospitalityq!J901="")*(NOT(ISNUMBER(hospitalityq!J901+0)))</f>
        <v>0</v>
      </c>
      <c r="K901">
        <f>NOT(hospitalityq!K901="")*(NOT(ISNUMBER(hospitalityq!K901+0)))</f>
        <v>0</v>
      </c>
      <c r="P901">
        <f>NOT(hospitalityq!P901="")*(NOT(IFERROR(INT(hospitalityq!P901)=VALUE(hospitalityq!P901),FALSE)))</f>
        <v>0</v>
      </c>
      <c r="Q901">
        <f>NOT(hospitalityq!Q901="")*(NOT(IFERROR(INT(hospitalityq!Q901)=VALUE(hospitalityq!Q901),FALSE)))</f>
        <v>0</v>
      </c>
      <c r="R901">
        <f>NOT(hospitalityq!R901="")*(NOT(IFERROR(ROUND(VALUE(hospitalityq!R901),2)=VALUE(hospitalityq!R901),FALSE)))</f>
        <v>0</v>
      </c>
    </row>
    <row r="902" spans="1:18" x14ac:dyDescent="0.25">
      <c r="A902">
        <f t="shared" ref="A902:A965" si="14">IFERROR(MATCH(TRUE,INDEX(C902:R902&lt;&gt;0,),)+2,0)</f>
        <v>0</v>
      </c>
      <c r="C902">
        <f>NOT(hospitalityq!C902="")*(SUMPRODUCT(--(TRIM(hospitalityq!C6:C902)=TRIM(hospitalityq!C902)))&gt;1)</f>
        <v>0</v>
      </c>
      <c r="D902">
        <f>NOT(hospitalityq!D902="")*(COUNTIF(reference!$C$17:$C$18,TRIM(hospitalityq!D902))=0)</f>
        <v>0</v>
      </c>
      <c r="J902">
        <f>NOT(hospitalityq!J902="")*(NOT(ISNUMBER(hospitalityq!J902+0)))</f>
        <v>0</v>
      </c>
      <c r="K902">
        <f>NOT(hospitalityq!K902="")*(NOT(ISNUMBER(hospitalityq!K902+0)))</f>
        <v>0</v>
      </c>
      <c r="P902">
        <f>NOT(hospitalityq!P902="")*(NOT(IFERROR(INT(hospitalityq!P902)=VALUE(hospitalityq!P902),FALSE)))</f>
        <v>0</v>
      </c>
      <c r="Q902">
        <f>NOT(hospitalityq!Q902="")*(NOT(IFERROR(INT(hospitalityq!Q902)=VALUE(hospitalityq!Q902),FALSE)))</f>
        <v>0</v>
      </c>
      <c r="R902">
        <f>NOT(hospitalityq!R902="")*(NOT(IFERROR(ROUND(VALUE(hospitalityq!R902),2)=VALUE(hospitalityq!R902),FALSE)))</f>
        <v>0</v>
      </c>
    </row>
    <row r="903" spans="1:18" x14ac:dyDescent="0.25">
      <c r="A903">
        <f t="shared" si="14"/>
        <v>0</v>
      </c>
      <c r="C903">
        <f>NOT(hospitalityq!C903="")*(SUMPRODUCT(--(TRIM(hospitalityq!C6:C903)=TRIM(hospitalityq!C903)))&gt;1)</f>
        <v>0</v>
      </c>
      <c r="D903">
        <f>NOT(hospitalityq!D903="")*(COUNTIF(reference!$C$17:$C$18,TRIM(hospitalityq!D903))=0)</f>
        <v>0</v>
      </c>
      <c r="J903">
        <f>NOT(hospitalityq!J903="")*(NOT(ISNUMBER(hospitalityq!J903+0)))</f>
        <v>0</v>
      </c>
      <c r="K903">
        <f>NOT(hospitalityq!K903="")*(NOT(ISNUMBER(hospitalityq!K903+0)))</f>
        <v>0</v>
      </c>
      <c r="P903">
        <f>NOT(hospitalityq!P903="")*(NOT(IFERROR(INT(hospitalityq!P903)=VALUE(hospitalityq!P903),FALSE)))</f>
        <v>0</v>
      </c>
      <c r="Q903">
        <f>NOT(hospitalityq!Q903="")*(NOT(IFERROR(INT(hospitalityq!Q903)=VALUE(hospitalityq!Q903),FALSE)))</f>
        <v>0</v>
      </c>
      <c r="R903">
        <f>NOT(hospitalityq!R903="")*(NOT(IFERROR(ROUND(VALUE(hospitalityq!R903),2)=VALUE(hospitalityq!R903),FALSE)))</f>
        <v>0</v>
      </c>
    </row>
    <row r="904" spans="1:18" x14ac:dyDescent="0.25">
      <c r="A904">
        <f t="shared" si="14"/>
        <v>0</v>
      </c>
      <c r="C904">
        <f>NOT(hospitalityq!C904="")*(SUMPRODUCT(--(TRIM(hospitalityq!C6:C904)=TRIM(hospitalityq!C904)))&gt;1)</f>
        <v>0</v>
      </c>
      <c r="D904">
        <f>NOT(hospitalityq!D904="")*(COUNTIF(reference!$C$17:$C$18,TRIM(hospitalityq!D904))=0)</f>
        <v>0</v>
      </c>
      <c r="J904">
        <f>NOT(hospitalityq!J904="")*(NOT(ISNUMBER(hospitalityq!J904+0)))</f>
        <v>0</v>
      </c>
      <c r="K904">
        <f>NOT(hospitalityq!K904="")*(NOT(ISNUMBER(hospitalityq!K904+0)))</f>
        <v>0</v>
      </c>
      <c r="P904">
        <f>NOT(hospitalityq!P904="")*(NOT(IFERROR(INT(hospitalityq!P904)=VALUE(hospitalityq!P904),FALSE)))</f>
        <v>0</v>
      </c>
      <c r="Q904">
        <f>NOT(hospitalityq!Q904="")*(NOT(IFERROR(INT(hospitalityq!Q904)=VALUE(hospitalityq!Q904),FALSE)))</f>
        <v>0</v>
      </c>
      <c r="R904">
        <f>NOT(hospitalityq!R904="")*(NOT(IFERROR(ROUND(VALUE(hospitalityq!R904),2)=VALUE(hospitalityq!R904),FALSE)))</f>
        <v>0</v>
      </c>
    </row>
    <row r="905" spans="1:18" x14ac:dyDescent="0.25">
      <c r="A905">
        <f t="shared" si="14"/>
        <v>0</v>
      </c>
      <c r="C905">
        <f>NOT(hospitalityq!C905="")*(SUMPRODUCT(--(TRIM(hospitalityq!C6:C905)=TRIM(hospitalityq!C905)))&gt;1)</f>
        <v>0</v>
      </c>
      <c r="D905">
        <f>NOT(hospitalityq!D905="")*(COUNTIF(reference!$C$17:$C$18,TRIM(hospitalityq!D905))=0)</f>
        <v>0</v>
      </c>
      <c r="J905">
        <f>NOT(hospitalityq!J905="")*(NOT(ISNUMBER(hospitalityq!J905+0)))</f>
        <v>0</v>
      </c>
      <c r="K905">
        <f>NOT(hospitalityq!K905="")*(NOT(ISNUMBER(hospitalityq!K905+0)))</f>
        <v>0</v>
      </c>
      <c r="P905">
        <f>NOT(hospitalityq!P905="")*(NOT(IFERROR(INT(hospitalityq!P905)=VALUE(hospitalityq!P905),FALSE)))</f>
        <v>0</v>
      </c>
      <c r="Q905">
        <f>NOT(hospitalityq!Q905="")*(NOT(IFERROR(INT(hospitalityq!Q905)=VALUE(hospitalityq!Q905),FALSE)))</f>
        <v>0</v>
      </c>
      <c r="R905">
        <f>NOT(hospitalityq!R905="")*(NOT(IFERROR(ROUND(VALUE(hospitalityq!R905),2)=VALUE(hospitalityq!R905),FALSE)))</f>
        <v>0</v>
      </c>
    </row>
    <row r="906" spans="1:18" x14ac:dyDescent="0.25">
      <c r="A906">
        <f t="shared" si="14"/>
        <v>0</v>
      </c>
      <c r="C906">
        <f>NOT(hospitalityq!C906="")*(SUMPRODUCT(--(TRIM(hospitalityq!C6:C906)=TRIM(hospitalityq!C906)))&gt;1)</f>
        <v>0</v>
      </c>
      <c r="D906">
        <f>NOT(hospitalityq!D906="")*(COUNTIF(reference!$C$17:$C$18,TRIM(hospitalityq!D906))=0)</f>
        <v>0</v>
      </c>
      <c r="J906">
        <f>NOT(hospitalityq!J906="")*(NOT(ISNUMBER(hospitalityq!J906+0)))</f>
        <v>0</v>
      </c>
      <c r="K906">
        <f>NOT(hospitalityq!K906="")*(NOT(ISNUMBER(hospitalityq!K906+0)))</f>
        <v>0</v>
      </c>
      <c r="P906">
        <f>NOT(hospitalityq!P906="")*(NOT(IFERROR(INT(hospitalityq!P906)=VALUE(hospitalityq!P906),FALSE)))</f>
        <v>0</v>
      </c>
      <c r="Q906">
        <f>NOT(hospitalityq!Q906="")*(NOT(IFERROR(INT(hospitalityq!Q906)=VALUE(hospitalityq!Q906),FALSE)))</f>
        <v>0</v>
      </c>
      <c r="R906">
        <f>NOT(hospitalityq!R906="")*(NOT(IFERROR(ROUND(VALUE(hospitalityq!R906),2)=VALUE(hospitalityq!R906),FALSE)))</f>
        <v>0</v>
      </c>
    </row>
    <row r="907" spans="1:18" x14ac:dyDescent="0.25">
      <c r="A907">
        <f t="shared" si="14"/>
        <v>0</v>
      </c>
      <c r="C907">
        <f>NOT(hospitalityq!C907="")*(SUMPRODUCT(--(TRIM(hospitalityq!C6:C907)=TRIM(hospitalityq!C907)))&gt;1)</f>
        <v>0</v>
      </c>
      <c r="D907">
        <f>NOT(hospitalityq!D907="")*(COUNTIF(reference!$C$17:$C$18,TRIM(hospitalityq!D907))=0)</f>
        <v>0</v>
      </c>
      <c r="J907">
        <f>NOT(hospitalityq!J907="")*(NOT(ISNUMBER(hospitalityq!J907+0)))</f>
        <v>0</v>
      </c>
      <c r="K907">
        <f>NOT(hospitalityq!K907="")*(NOT(ISNUMBER(hospitalityq!K907+0)))</f>
        <v>0</v>
      </c>
      <c r="P907">
        <f>NOT(hospitalityq!P907="")*(NOT(IFERROR(INT(hospitalityq!P907)=VALUE(hospitalityq!P907),FALSE)))</f>
        <v>0</v>
      </c>
      <c r="Q907">
        <f>NOT(hospitalityq!Q907="")*(NOT(IFERROR(INT(hospitalityq!Q907)=VALUE(hospitalityq!Q907),FALSE)))</f>
        <v>0</v>
      </c>
      <c r="R907">
        <f>NOT(hospitalityq!R907="")*(NOT(IFERROR(ROUND(VALUE(hospitalityq!R907),2)=VALUE(hospitalityq!R907),FALSE)))</f>
        <v>0</v>
      </c>
    </row>
    <row r="908" spans="1:18" x14ac:dyDescent="0.25">
      <c r="A908">
        <f t="shared" si="14"/>
        <v>0</v>
      </c>
      <c r="C908">
        <f>NOT(hospitalityq!C908="")*(SUMPRODUCT(--(TRIM(hospitalityq!C6:C908)=TRIM(hospitalityq!C908)))&gt;1)</f>
        <v>0</v>
      </c>
      <c r="D908">
        <f>NOT(hospitalityq!D908="")*(COUNTIF(reference!$C$17:$C$18,TRIM(hospitalityq!D908))=0)</f>
        <v>0</v>
      </c>
      <c r="J908">
        <f>NOT(hospitalityq!J908="")*(NOT(ISNUMBER(hospitalityq!J908+0)))</f>
        <v>0</v>
      </c>
      <c r="K908">
        <f>NOT(hospitalityq!K908="")*(NOT(ISNUMBER(hospitalityq!K908+0)))</f>
        <v>0</v>
      </c>
      <c r="P908">
        <f>NOT(hospitalityq!P908="")*(NOT(IFERROR(INT(hospitalityq!P908)=VALUE(hospitalityq!P908),FALSE)))</f>
        <v>0</v>
      </c>
      <c r="Q908">
        <f>NOT(hospitalityq!Q908="")*(NOT(IFERROR(INT(hospitalityq!Q908)=VALUE(hospitalityq!Q908),FALSE)))</f>
        <v>0</v>
      </c>
      <c r="R908">
        <f>NOT(hospitalityq!R908="")*(NOT(IFERROR(ROUND(VALUE(hospitalityq!R908),2)=VALUE(hospitalityq!R908),FALSE)))</f>
        <v>0</v>
      </c>
    </row>
    <row r="909" spans="1:18" x14ac:dyDescent="0.25">
      <c r="A909">
        <f t="shared" si="14"/>
        <v>0</v>
      </c>
      <c r="C909">
        <f>NOT(hospitalityq!C909="")*(SUMPRODUCT(--(TRIM(hospitalityq!C6:C909)=TRIM(hospitalityq!C909)))&gt;1)</f>
        <v>0</v>
      </c>
      <c r="D909">
        <f>NOT(hospitalityq!D909="")*(COUNTIF(reference!$C$17:$C$18,TRIM(hospitalityq!D909))=0)</f>
        <v>0</v>
      </c>
      <c r="J909">
        <f>NOT(hospitalityq!J909="")*(NOT(ISNUMBER(hospitalityq!J909+0)))</f>
        <v>0</v>
      </c>
      <c r="K909">
        <f>NOT(hospitalityq!K909="")*(NOT(ISNUMBER(hospitalityq!K909+0)))</f>
        <v>0</v>
      </c>
      <c r="P909">
        <f>NOT(hospitalityq!P909="")*(NOT(IFERROR(INT(hospitalityq!P909)=VALUE(hospitalityq!P909),FALSE)))</f>
        <v>0</v>
      </c>
      <c r="Q909">
        <f>NOT(hospitalityq!Q909="")*(NOT(IFERROR(INT(hospitalityq!Q909)=VALUE(hospitalityq!Q909),FALSE)))</f>
        <v>0</v>
      </c>
      <c r="R909">
        <f>NOT(hospitalityq!R909="")*(NOT(IFERROR(ROUND(VALUE(hospitalityq!R909),2)=VALUE(hospitalityq!R909),FALSE)))</f>
        <v>0</v>
      </c>
    </row>
    <row r="910" spans="1:18" x14ac:dyDescent="0.25">
      <c r="A910">
        <f t="shared" si="14"/>
        <v>0</v>
      </c>
      <c r="C910">
        <f>NOT(hospitalityq!C910="")*(SUMPRODUCT(--(TRIM(hospitalityq!C6:C910)=TRIM(hospitalityq!C910)))&gt;1)</f>
        <v>0</v>
      </c>
      <c r="D910">
        <f>NOT(hospitalityq!D910="")*(COUNTIF(reference!$C$17:$C$18,TRIM(hospitalityq!D910))=0)</f>
        <v>0</v>
      </c>
      <c r="J910">
        <f>NOT(hospitalityq!J910="")*(NOT(ISNUMBER(hospitalityq!J910+0)))</f>
        <v>0</v>
      </c>
      <c r="K910">
        <f>NOT(hospitalityq!K910="")*(NOT(ISNUMBER(hospitalityq!K910+0)))</f>
        <v>0</v>
      </c>
      <c r="P910">
        <f>NOT(hospitalityq!P910="")*(NOT(IFERROR(INT(hospitalityq!P910)=VALUE(hospitalityq!P910),FALSE)))</f>
        <v>0</v>
      </c>
      <c r="Q910">
        <f>NOT(hospitalityq!Q910="")*(NOT(IFERROR(INT(hospitalityq!Q910)=VALUE(hospitalityq!Q910),FALSE)))</f>
        <v>0</v>
      </c>
      <c r="R910">
        <f>NOT(hospitalityq!R910="")*(NOT(IFERROR(ROUND(VALUE(hospitalityq!R910),2)=VALUE(hospitalityq!R910),FALSE)))</f>
        <v>0</v>
      </c>
    </row>
    <row r="911" spans="1:18" x14ac:dyDescent="0.25">
      <c r="A911">
        <f t="shared" si="14"/>
        <v>0</v>
      </c>
      <c r="C911">
        <f>NOT(hospitalityq!C911="")*(SUMPRODUCT(--(TRIM(hospitalityq!C6:C911)=TRIM(hospitalityq!C911)))&gt;1)</f>
        <v>0</v>
      </c>
      <c r="D911">
        <f>NOT(hospitalityq!D911="")*(COUNTIF(reference!$C$17:$C$18,TRIM(hospitalityq!D911))=0)</f>
        <v>0</v>
      </c>
      <c r="J911">
        <f>NOT(hospitalityq!J911="")*(NOT(ISNUMBER(hospitalityq!J911+0)))</f>
        <v>0</v>
      </c>
      <c r="K911">
        <f>NOT(hospitalityq!K911="")*(NOT(ISNUMBER(hospitalityq!K911+0)))</f>
        <v>0</v>
      </c>
      <c r="P911">
        <f>NOT(hospitalityq!P911="")*(NOT(IFERROR(INT(hospitalityq!P911)=VALUE(hospitalityq!P911),FALSE)))</f>
        <v>0</v>
      </c>
      <c r="Q911">
        <f>NOT(hospitalityq!Q911="")*(NOT(IFERROR(INT(hospitalityq!Q911)=VALUE(hospitalityq!Q911),FALSE)))</f>
        <v>0</v>
      </c>
      <c r="R911">
        <f>NOT(hospitalityq!R911="")*(NOT(IFERROR(ROUND(VALUE(hospitalityq!R911),2)=VALUE(hospitalityq!R911),FALSE)))</f>
        <v>0</v>
      </c>
    </row>
    <row r="912" spans="1:18" x14ac:dyDescent="0.25">
      <c r="A912">
        <f t="shared" si="14"/>
        <v>0</v>
      </c>
      <c r="C912">
        <f>NOT(hospitalityq!C912="")*(SUMPRODUCT(--(TRIM(hospitalityq!C6:C912)=TRIM(hospitalityq!C912)))&gt;1)</f>
        <v>0</v>
      </c>
      <c r="D912">
        <f>NOT(hospitalityq!D912="")*(COUNTIF(reference!$C$17:$C$18,TRIM(hospitalityq!D912))=0)</f>
        <v>0</v>
      </c>
      <c r="J912">
        <f>NOT(hospitalityq!J912="")*(NOT(ISNUMBER(hospitalityq!J912+0)))</f>
        <v>0</v>
      </c>
      <c r="K912">
        <f>NOT(hospitalityq!K912="")*(NOT(ISNUMBER(hospitalityq!K912+0)))</f>
        <v>0</v>
      </c>
      <c r="P912">
        <f>NOT(hospitalityq!P912="")*(NOT(IFERROR(INT(hospitalityq!P912)=VALUE(hospitalityq!P912),FALSE)))</f>
        <v>0</v>
      </c>
      <c r="Q912">
        <f>NOT(hospitalityq!Q912="")*(NOT(IFERROR(INT(hospitalityq!Q912)=VALUE(hospitalityq!Q912),FALSE)))</f>
        <v>0</v>
      </c>
      <c r="R912">
        <f>NOT(hospitalityq!R912="")*(NOT(IFERROR(ROUND(VALUE(hospitalityq!R912),2)=VALUE(hospitalityq!R912),FALSE)))</f>
        <v>0</v>
      </c>
    </row>
    <row r="913" spans="1:18" x14ac:dyDescent="0.25">
      <c r="A913">
        <f t="shared" si="14"/>
        <v>0</v>
      </c>
      <c r="C913">
        <f>NOT(hospitalityq!C913="")*(SUMPRODUCT(--(TRIM(hospitalityq!C6:C913)=TRIM(hospitalityq!C913)))&gt;1)</f>
        <v>0</v>
      </c>
      <c r="D913">
        <f>NOT(hospitalityq!D913="")*(COUNTIF(reference!$C$17:$C$18,TRIM(hospitalityq!D913))=0)</f>
        <v>0</v>
      </c>
      <c r="J913">
        <f>NOT(hospitalityq!J913="")*(NOT(ISNUMBER(hospitalityq!J913+0)))</f>
        <v>0</v>
      </c>
      <c r="K913">
        <f>NOT(hospitalityq!K913="")*(NOT(ISNUMBER(hospitalityq!K913+0)))</f>
        <v>0</v>
      </c>
      <c r="P913">
        <f>NOT(hospitalityq!P913="")*(NOT(IFERROR(INT(hospitalityq!P913)=VALUE(hospitalityq!P913),FALSE)))</f>
        <v>0</v>
      </c>
      <c r="Q913">
        <f>NOT(hospitalityq!Q913="")*(NOT(IFERROR(INT(hospitalityq!Q913)=VALUE(hospitalityq!Q913),FALSE)))</f>
        <v>0</v>
      </c>
      <c r="R913">
        <f>NOT(hospitalityq!R913="")*(NOT(IFERROR(ROUND(VALUE(hospitalityq!R913),2)=VALUE(hospitalityq!R913),FALSE)))</f>
        <v>0</v>
      </c>
    </row>
    <row r="914" spans="1:18" x14ac:dyDescent="0.25">
      <c r="A914">
        <f t="shared" si="14"/>
        <v>0</v>
      </c>
      <c r="C914">
        <f>NOT(hospitalityq!C914="")*(SUMPRODUCT(--(TRIM(hospitalityq!C6:C914)=TRIM(hospitalityq!C914)))&gt;1)</f>
        <v>0</v>
      </c>
      <c r="D914">
        <f>NOT(hospitalityq!D914="")*(COUNTIF(reference!$C$17:$C$18,TRIM(hospitalityq!D914))=0)</f>
        <v>0</v>
      </c>
      <c r="J914">
        <f>NOT(hospitalityq!J914="")*(NOT(ISNUMBER(hospitalityq!J914+0)))</f>
        <v>0</v>
      </c>
      <c r="K914">
        <f>NOT(hospitalityq!K914="")*(NOT(ISNUMBER(hospitalityq!K914+0)))</f>
        <v>0</v>
      </c>
      <c r="P914">
        <f>NOT(hospitalityq!P914="")*(NOT(IFERROR(INT(hospitalityq!P914)=VALUE(hospitalityq!P914),FALSE)))</f>
        <v>0</v>
      </c>
      <c r="Q914">
        <f>NOT(hospitalityq!Q914="")*(NOT(IFERROR(INT(hospitalityq!Q914)=VALUE(hospitalityq!Q914),FALSE)))</f>
        <v>0</v>
      </c>
      <c r="R914">
        <f>NOT(hospitalityq!R914="")*(NOT(IFERROR(ROUND(VALUE(hospitalityq!R914),2)=VALUE(hospitalityq!R914),FALSE)))</f>
        <v>0</v>
      </c>
    </row>
    <row r="915" spans="1:18" x14ac:dyDescent="0.25">
      <c r="A915">
        <f t="shared" si="14"/>
        <v>0</v>
      </c>
      <c r="C915">
        <f>NOT(hospitalityq!C915="")*(SUMPRODUCT(--(TRIM(hospitalityq!C6:C915)=TRIM(hospitalityq!C915)))&gt;1)</f>
        <v>0</v>
      </c>
      <c r="D915">
        <f>NOT(hospitalityq!D915="")*(COUNTIF(reference!$C$17:$C$18,TRIM(hospitalityq!D915))=0)</f>
        <v>0</v>
      </c>
      <c r="J915">
        <f>NOT(hospitalityq!J915="")*(NOT(ISNUMBER(hospitalityq!J915+0)))</f>
        <v>0</v>
      </c>
      <c r="K915">
        <f>NOT(hospitalityq!K915="")*(NOT(ISNUMBER(hospitalityq!K915+0)))</f>
        <v>0</v>
      </c>
      <c r="P915">
        <f>NOT(hospitalityq!P915="")*(NOT(IFERROR(INT(hospitalityq!P915)=VALUE(hospitalityq!P915),FALSE)))</f>
        <v>0</v>
      </c>
      <c r="Q915">
        <f>NOT(hospitalityq!Q915="")*(NOT(IFERROR(INT(hospitalityq!Q915)=VALUE(hospitalityq!Q915),FALSE)))</f>
        <v>0</v>
      </c>
      <c r="R915">
        <f>NOT(hospitalityq!R915="")*(NOT(IFERROR(ROUND(VALUE(hospitalityq!R915),2)=VALUE(hospitalityq!R915),FALSE)))</f>
        <v>0</v>
      </c>
    </row>
    <row r="916" spans="1:18" x14ac:dyDescent="0.25">
      <c r="A916">
        <f t="shared" si="14"/>
        <v>0</v>
      </c>
      <c r="C916">
        <f>NOT(hospitalityq!C916="")*(SUMPRODUCT(--(TRIM(hospitalityq!C6:C916)=TRIM(hospitalityq!C916)))&gt;1)</f>
        <v>0</v>
      </c>
      <c r="D916">
        <f>NOT(hospitalityq!D916="")*(COUNTIF(reference!$C$17:$C$18,TRIM(hospitalityq!D916))=0)</f>
        <v>0</v>
      </c>
      <c r="J916">
        <f>NOT(hospitalityq!J916="")*(NOT(ISNUMBER(hospitalityq!J916+0)))</f>
        <v>0</v>
      </c>
      <c r="K916">
        <f>NOT(hospitalityq!K916="")*(NOT(ISNUMBER(hospitalityq!K916+0)))</f>
        <v>0</v>
      </c>
      <c r="P916">
        <f>NOT(hospitalityq!P916="")*(NOT(IFERROR(INT(hospitalityq!P916)=VALUE(hospitalityq!P916),FALSE)))</f>
        <v>0</v>
      </c>
      <c r="Q916">
        <f>NOT(hospitalityq!Q916="")*(NOT(IFERROR(INT(hospitalityq!Q916)=VALUE(hospitalityq!Q916),FALSE)))</f>
        <v>0</v>
      </c>
      <c r="R916">
        <f>NOT(hospitalityq!R916="")*(NOT(IFERROR(ROUND(VALUE(hospitalityq!R916),2)=VALUE(hospitalityq!R916),FALSE)))</f>
        <v>0</v>
      </c>
    </row>
    <row r="917" spans="1:18" x14ac:dyDescent="0.25">
      <c r="A917">
        <f t="shared" si="14"/>
        <v>0</v>
      </c>
      <c r="C917">
        <f>NOT(hospitalityq!C917="")*(SUMPRODUCT(--(TRIM(hospitalityq!C6:C917)=TRIM(hospitalityq!C917)))&gt;1)</f>
        <v>0</v>
      </c>
      <c r="D917">
        <f>NOT(hospitalityq!D917="")*(COUNTIF(reference!$C$17:$C$18,TRIM(hospitalityq!D917))=0)</f>
        <v>0</v>
      </c>
      <c r="J917">
        <f>NOT(hospitalityq!J917="")*(NOT(ISNUMBER(hospitalityq!J917+0)))</f>
        <v>0</v>
      </c>
      <c r="K917">
        <f>NOT(hospitalityq!K917="")*(NOT(ISNUMBER(hospitalityq!K917+0)))</f>
        <v>0</v>
      </c>
      <c r="P917">
        <f>NOT(hospitalityq!P917="")*(NOT(IFERROR(INT(hospitalityq!P917)=VALUE(hospitalityq!P917),FALSE)))</f>
        <v>0</v>
      </c>
      <c r="Q917">
        <f>NOT(hospitalityq!Q917="")*(NOT(IFERROR(INT(hospitalityq!Q917)=VALUE(hospitalityq!Q917),FALSE)))</f>
        <v>0</v>
      </c>
      <c r="R917">
        <f>NOT(hospitalityq!R917="")*(NOT(IFERROR(ROUND(VALUE(hospitalityq!R917),2)=VALUE(hospitalityq!R917),FALSE)))</f>
        <v>0</v>
      </c>
    </row>
    <row r="918" spans="1:18" x14ac:dyDescent="0.25">
      <c r="A918">
        <f t="shared" si="14"/>
        <v>0</v>
      </c>
      <c r="C918">
        <f>NOT(hospitalityq!C918="")*(SUMPRODUCT(--(TRIM(hospitalityq!C6:C918)=TRIM(hospitalityq!C918)))&gt;1)</f>
        <v>0</v>
      </c>
      <c r="D918">
        <f>NOT(hospitalityq!D918="")*(COUNTIF(reference!$C$17:$C$18,TRIM(hospitalityq!D918))=0)</f>
        <v>0</v>
      </c>
      <c r="J918">
        <f>NOT(hospitalityq!J918="")*(NOT(ISNUMBER(hospitalityq!J918+0)))</f>
        <v>0</v>
      </c>
      <c r="K918">
        <f>NOT(hospitalityq!K918="")*(NOT(ISNUMBER(hospitalityq!K918+0)))</f>
        <v>0</v>
      </c>
      <c r="P918">
        <f>NOT(hospitalityq!P918="")*(NOT(IFERROR(INT(hospitalityq!P918)=VALUE(hospitalityq!P918),FALSE)))</f>
        <v>0</v>
      </c>
      <c r="Q918">
        <f>NOT(hospitalityq!Q918="")*(NOT(IFERROR(INT(hospitalityq!Q918)=VALUE(hospitalityq!Q918),FALSE)))</f>
        <v>0</v>
      </c>
      <c r="R918">
        <f>NOT(hospitalityq!R918="")*(NOT(IFERROR(ROUND(VALUE(hospitalityq!R918),2)=VALUE(hospitalityq!R918),FALSE)))</f>
        <v>0</v>
      </c>
    </row>
    <row r="919" spans="1:18" x14ac:dyDescent="0.25">
      <c r="A919">
        <f t="shared" si="14"/>
        <v>0</v>
      </c>
      <c r="C919">
        <f>NOT(hospitalityq!C919="")*(SUMPRODUCT(--(TRIM(hospitalityq!C6:C919)=TRIM(hospitalityq!C919)))&gt;1)</f>
        <v>0</v>
      </c>
      <c r="D919">
        <f>NOT(hospitalityq!D919="")*(COUNTIF(reference!$C$17:$C$18,TRIM(hospitalityq!D919))=0)</f>
        <v>0</v>
      </c>
      <c r="J919">
        <f>NOT(hospitalityq!J919="")*(NOT(ISNUMBER(hospitalityq!J919+0)))</f>
        <v>0</v>
      </c>
      <c r="K919">
        <f>NOT(hospitalityq!K919="")*(NOT(ISNUMBER(hospitalityq!K919+0)))</f>
        <v>0</v>
      </c>
      <c r="P919">
        <f>NOT(hospitalityq!P919="")*(NOT(IFERROR(INT(hospitalityq!P919)=VALUE(hospitalityq!P919),FALSE)))</f>
        <v>0</v>
      </c>
      <c r="Q919">
        <f>NOT(hospitalityq!Q919="")*(NOT(IFERROR(INT(hospitalityq!Q919)=VALUE(hospitalityq!Q919),FALSE)))</f>
        <v>0</v>
      </c>
      <c r="R919">
        <f>NOT(hospitalityq!R919="")*(NOT(IFERROR(ROUND(VALUE(hospitalityq!R919),2)=VALUE(hospitalityq!R919),FALSE)))</f>
        <v>0</v>
      </c>
    </row>
    <row r="920" spans="1:18" x14ac:dyDescent="0.25">
      <c r="A920">
        <f t="shared" si="14"/>
        <v>0</v>
      </c>
      <c r="C920">
        <f>NOT(hospitalityq!C920="")*(SUMPRODUCT(--(TRIM(hospitalityq!C6:C920)=TRIM(hospitalityq!C920)))&gt;1)</f>
        <v>0</v>
      </c>
      <c r="D920">
        <f>NOT(hospitalityq!D920="")*(COUNTIF(reference!$C$17:$C$18,TRIM(hospitalityq!D920))=0)</f>
        <v>0</v>
      </c>
      <c r="J920">
        <f>NOT(hospitalityq!J920="")*(NOT(ISNUMBER(hospitalityq!J920+0)))</f>
        <v>0</v>
      </c>
      <c r="K920">
        <f>NOT(hospitalityq!K920="")*(NOT(ISNUMBER(hospitalityq!K920+0)))</f>
        <v>0</v>
      </c>
      <c r="P920">
        <f>NOT(hospitalityq!P920="")*(NOT(IFERROR(INT(hospitalityq!P920)=VALUE(hospitalityq!P920),FALSE)))</f>
        <v>0</v>
      </c>
      <c r="Q920">
        <f>NOT(hospitalityq!Q920="")*(NOT(IFERROR(INT(hospitalityq!Q920)=VALUE(hospitalityq!Q920),FALSE)))</f>
        <v>0</v>
      </c>
      <c r="R920">
        <f>NOT(hospitalityq!R920="")*(NOT(IFERROR(ROUND(VALUE(hospitalityq!R920),2)=VALUE(hospitalityq!R920),FALSE)))</f>
        <v>0</v>
      </c>
    </row>
    <row r="921" spans="1:18" x14ac:dyDescent="0.25">
      <c r="A921">
        <f t="shared" si="14"/>
        <v>0</v>
      </c>
      <c r="C921">
        <f>NOT(hospitalityq!C921="")*(SUMPRODUCT(--(TRIM(hospitalityq!C6:C921)=TRIM(hospitalityq!C921)))&gt;1)</f>
        <v>0</v>
      </c>
      <c r="D921">
        <f>NOT(hospitalityq!D921="")*(COUNTIF(reference!$C$17:$C$18,TRIM(hospitalityq!D921))=0)</f>
        <v>0</v>
      </c>
      <c r="J921">
        <f>NOT(hospitalityq!J921="")*(NOT(ISNUMBER(hospitalityq!J921+0)))</f>
        <v>0</v>
      </c>
      <c r="K921">
        <f>NOT(hospitalityq!K921="")*(NOT(ISNUMBER(hospitalityq!K921+0)))</f>
        <v>0</v>
      </c>
      <c r="P921">
        <f>NOT(hospitalityq!P921="")*(NOT(IFERROR(INT(hospitalityq!P921)=VALUE(hospitalityq!P921),FALSE)))</f>
        <v>0</v>
      </c>
      <c r="Q921">
        <f>NOT(hospitalityq!Q921="")*(NOT(IFERROR(INT(hospitalityq!Q921)=VALUE(hospitalityq!Q921),FALSE)))</f>
        <v>0</v>
      </c>
      <c r="R921">
        <f>NOT(hospitalityq!R921="")*(NOT(IFERROR(ROUND(VALUE(hospitalityq!R921),2)=VALUE(hospitalityq!R921),FALSE)))</f>
        <v>0</v>
      </c>
    </row>
    <row r="922" spans="1:18" x14ac:dyDescent="0.25">
      <c r="A922">
        <f t="shared" si="14"/>
        <v>0</v>
      </c>
      <c r="C922">
        <f>NOT(hospitalityq!C922="")*(SUMPRODUCT(--(TRIM(hospitalityq!C6:C922)=TRIM(hospitalityq!C922)))&gt;1)</f>
        <v>0</v>
      </c>
      <c r="D922">
        <f>NOT(hospitalityq!D922="")*(COUNTIF(reference!$C$17:$C$18,TRIM(hospitalityq!D922))=0)</f>
        <v>0</v>
      </c>
      <c r="J922">
        <f>NOT(hospitalityq!J922="")*(NOT(ISNUMBER(hospitalityq!J922+0)))</f>
        <v>0</v>
      </c>
      <c r="K922">
        <f>NOT(hospitalityq!K922="")*(NOT(ISNUMBER(hospitalityq!K922+0)))</f>
        <v>0</v>
      </c>
      <c r="P922">
        <f>NOT(hospitalityq!P922="")*(NOT(IFERROR(INT(hospitalityq!P922)=VALUE(hospitalityq!P922),FALSE)))</f>
        <v>0</v>
      </c>
      <c r="Q922">
        <f>NOT(hospitalityq!Q922="")*(NOT(IFERROR(INT(hospitalityq!Q922)=VALUE(hospitalityq!Q922),FALSE)))</f>
        <v>0</v>
      </c>
      <c r="R922">
        <f>NOT(hospitalityq!R922="")*(NOT(IFERROR(ROUND(VALUE(hospitalityq!R922),2)=VALUE(hospitalityq!R922),FALSE)))</f>
        <v>0</v>
      </c>
    </row>
    <row r="923" spans="1:18" x14ac:dyDescent="0.25">
      <c r="A923">
        <f t="shared" si="14"/>
        <v>0</v>
      </c>
      <c r="C923">
        <f>NOT(hospitalityq!C923="")*(SUMPRODUCT(--(TRIM(hospitalityq!C6:C923)=TRIM(hospitalityq!C923)))&gt;1)</f>
        <v>0</v>
      </c>
      <c r="D923">
        <f>NOT(hospitalityq!D923="")*(COUNTIF(reference!$C$17:$C$18,TRIM(hospitalityq!D923))=0)</f>
        <v>0</v>
      </c>
      <c r="J923">
        <f>NOT(hospitalityq!J923="")*(NOT(ISNUMBER(hospitalityq!J923+0)))</f>
        <v>0</v>
      </c>
      <c r="K923">
        <f>NOT(hospitalityq!K923="")*(NOT(ISNUMBER(hospitalityq!K923+0)))</f>
        <v>0</v>
      </c>
      <c r="P923">
        <f>NOT(hospitalityq!P923="")*(NOT(IFERROR(INT(hospitalityq!P923)=VALUE(hospitalityq!P923),FALSE)))</f>
        <v>0</v>
      </c>
      <c r="Q923">
        <f>NOT(hospitalityq!Q923="")*(NOT(IFERROR(INT(hospitalityq!Q923)=VALUE(hospitalityq!Q923),FALSE)))</f>
        <v>0</v>
      </c>
      <c r="R923">
        <f>NOT(hospitalityq!R923="")*(NOT(IFERROR(ROUND(VALUE(hospitalityq!R923),2)=VALUE(hospitalityq!R923),FALSE)))</f>
        <v>0</v>
      </c>
    </row>
    <row r="924" spans="1:18" x14ac:dyDescent="0.25">
      <c r="A924">
        <f t="shared" si="14"/>
        <v>0</v>
      </c>
      <c r="C924">
        <f>NOT(hospitalityq!C924="")*(SUMPRODUCT(--(TRIM(hospitalityq!C6:C924)=TRIM(hospitalityq!C924)))&gt;1)</f>
        <v>0</v>
      </c>
      <c r="D924">
        <f>NOT(hospitalityq!D924="")*(COUNTIF(reference!$C$17:$C$18,TRIM(hospitalityq!D924))=0)</f>
        <v>0</v>
      </c>
      <c r="J924">
        <f>NOT(hospitalityq!J924="")*(NOT(ISNUMBER(hospitalityq!J924+0)))</f>
        <v>0</v>
      </c>
      <c r="K924">
        <f>NOT(hospitalityq!K924="")*(NOT(ISNUMBER(hospitalityq!K924+0)))</f>
        <v>0</v>
      </c>
      <c r="P924">
        <f>NOT(hospitalityq!P924="")*(NOT(IFERROR(INT(hospitalityq!P924)=VALUE(hospitalityq!P924),FALSE)))</f>
        <v>0</v>
      </c>
      <c r="Q924">
        <f>NOT(hospitalityq!Q924="")*(NOT(IFERROR(INT(hospitalityq!Q924)=VALUE(hospitalityq!Q924),FALSE)))</f>
        <v>0</v>
      </c>
      <c r="R924">
        <f>NOT(hospitalityq!R924="")*(NOT(IFERROR(ROUND(VALUE(hospitalityq!R924),2)=VALUE(hospitalityq!R924),FALSE)))</f>
        <v>0</v>
      </c>
    </row>
    <row r="925" spans="1:18" x14ac:dyDescent="0.25">
      <c r="A925">
        <f t="shared" si="14"/>
        <v>0</v>
      </c>
      <c r="C925">
        <f>NOT(hospitalityq!C925="")*(SUMPRODUCT(--(TRIM(hospitalityq!C6:C925)=TRIM(hospitalityq!C925)))&gt;1)</f>
        <v>0</v>
      </c>
      <c r="D925">
        <f>NOT(hospitalityq!D925="")*(COUNTIF(reference!$C$17:$C$18,TRIM(hospitalityq!D925))=0)</f>
        <v>0</v>
      </c>
      <c r="J925">
        <f>NOT(hospitalityq!J925="")*(NOT(ISNUMBER(hospitalityq!J925+0)))</f>
        <v>0</v>
      </c>
      <c r="K925">
        <f>NOT(hospitalityq!K925="")*(NOT(ISNUMBER(hospitalityq!K925+0)))</f>
        <v>0</v>
      </c>
      <c r="P925">
        <f>NOT(hospitalityq!P925="")*(NOT(IFERROR(INT(hospitalityq!P925)=VALUE(hospitalityq!P925),FALSE)))</f>
        <v>0</v>
      </c>
      <c r="Q925">
        <f>NOT(hospitalityq!Q925="")*(NOT(IFERROR(INT(hospitalityq!Q925)=VALUE(hospitalityq!Q925),FALSE)))</f>
        <v>0</v>
      </c>
      <c r="R925">
        <f>NOT(hospitalityq!R925="")*(NOT(IFERROR(ROUND(VALUE(hospitalityq!R925),2)=VALUE(hospitalityq!R925),FALSE)))</f>
        <v>0</v>
      </c>
    </row>
    <row r="926" spans="1:18" x14ac:dyDescent="0.25">
      <c r="A926">
        <f t="shared" si="14"/>
        <v>0</v>
      </c>
      <c r="C926">
        <f>NOT(hospitalityq!C926="")*(SUMPRODUCT(--(TRIM(hospitalityq!C6:C926)=TRIM(hospitalityq!C926)))&gt;1)</f>
        <v>0</v>
      </c>
      <c r="D926">
        <f>NOT(hospitalityq!D926="")*(COUNTIF(reference!$C$17:$C$18,TRIM(hospitalityq!D926))=0)</f>
        <v>0</v>
      </c>
      <c r="J926">
        <f>NOT(hospitalityq!J926="")*(NOT(ISNUMBER(hospitalityq!J926+0)))</f>
        <v>0</v>
      </c>
      <c r="K926">
        <f>NOT(hospitalityq!K926="")*(NOT(ISNUMBER(hospitalityq!K926+0)))</f>
        <v>0</v>
      </c>
      <c r="P926">
        <f>NOT(hospitalityq!P926="")*(NOT(IFERROR(INT(hospitalityq!P926)=VALUE(hospitalityq!P926),FALSE)))</f>
        <v>0</v>
      </c>
      <c r="Q926">
        <f>NOT(hospitalityq!Q926="")*(NOT(IFERROR(INT(hospitalityq!Q926)=VALUE(hospitalityq!Q926),FALSE)))</f>
        <v>0</v>
      </c>
      <c r="R926">
        <f>NOT(hospitalityq!R926="")*(NOT(IFERROR(ROUND(VALUE(hospitalityq!R926),2)=VALUE(hospitalityq!R926),FALSE)))</f>
        <v>0</v>
      </c>
    </row>
    <row r="927" spans="1:18" x14ac:dyDescent="0.25">
      <c r="A927">
        <f t="shared" si="14"/>
        <v>0</v>
      </c>
      <c r="C927">
        <f>NOT(hospitalityq!C927="")*(SUMPRODUCT(--(TRIM(hospitalityq!C6:C927)=TRIM(hospitalityq!C927)))&gt;1)</f>
        <v>0</v>
      </c>
      <c r="D927">
        <f>NOT(hospitalityq!D927="")*(COUNTIF(reference!$C$17:$C$18,TRIM(hospitalityq!D927))=0)</f>
        <v>0</v>
      </c>
      <c r="J927">
        <f>NOT(hospitalityq!J927="")*(NOT(ISNUMBER(hospitalityq!J927+0)))</f>
        <v>0</v>
      </c>
      <c r="K927">
        <f>NOT(hospitalityq!K927="")*(NOT(ISNUMBER(hospitalityq!K927+0)))</f>
        <v>0</v>
      </c>
      <c r="P927">
        <f>NOT(hospitalityq!P927="")*(NOT(IFERROR(INT(hospitalityq!P927)=VALUE(hospitalityq!P927),FALSE)))</f>
        <v>0</v>
      </c>
      <c r="Q927">
        <f>NOT(hospitalityq!Q927="")*(NOT(IFERROR(INT(hospitalityq!Q927)=VALUE(hospitalityq!Q927),FALSE)))</f>
        <v>0</v>
      </c>
      <c r="R927">
        <f>NOT(hospitalityq!R927="")*(NOT(IFERROR(ROUND(VALUE(hospitalityq!R927),2)=VALUE(hospitalityq!R927),FALSE)))</f>
        <v>0</v>
      </c>
    </row>
    <row r="928" spans="1:18" x14ac:dyDescent="0.25">
      <c r="A928">
        <f t="shared" si="14"/>
        <v>0</v>
      </c>
      <c r="C928">
        <f>NOT(hospitalityq!C928="")*(SUMPRODUCT(--(TRIM(hospitalityq!C6:C928)=TRIM(hospitalityq!C928)))&gt;1)</f>
        <v>0</v>
      </c>
      <c r="D928">
        <f>NOT(hospitalityq!D928="")*(COUNTIF(reference!$C$17:$C$18,TRIM(hospitalityq!D928))=0)</f>
        <v>0</v>
      </c>
      <c r="J928">
        <f>NOT(hospitalityq!J928="")*(NOT(ISNUMBER(hospitalityq!J928+0)))</f>
        <v>0</v>
      </c>
      <c r="K928">
        <f>NOT(hospitalityq!K928="")*(NOT(ISNUMBER(hospitalityq!K928+0)))</f>
        <v>0</v>
      </c>
      <c r="P928">
        <f>NOT(hospitalityq!P928="")*(NOT(IFERROR(INT(hospitalityq!P928)=VALUE(hospitalityq!P928),FALSE)))</f>
        <v>0</v>
      </c>
      <c r="Q928">
        <f>NOT(hospitalityq!Q928="")*(NOT(IFERROR(INT(hospitalityq!Q928)=VALUE(hospitalityq!Q928),FALSE)))</f>
        <v>0</v>
      </c>
      <c r="R928">
        <f>NOT(hospitalityq!R928="")*(NOT(IFERROR(ROUND(VALUE(hospitalityq!R928),2)=VALUE(hospitalityq!R928),FALSE)))</f>
        <v>0</v>
      </c>
    </row>
    <row r="929" spans="1:18" x14ac:dyDescent="0.25">
      <c r="A929">
        <f t="shared" si="14"/>
        <v>0</v>
      </c>
      <c r="C929">
        <f>NOT(hospitalityq!C929="")*(SUMPRODUCT(--(TRIM(hospitalityq!C6:C929)=TRIM(hospitalityq!C929)))&gt;1)</f>
        <v>0</v>
      </c>
      <c r="D929">
        <f>NOT(hospitalityq!D929="")*(COUNTIF(reference!$C$17:$C$18,TRIM(hospitalityq!D929))=0)</f>
        <v>0</v>
      </c>
      <c r="J929">
        <f>NOT(hospitalityq!J929="")*(NOT(ISNUMBER(hospitalityq!J929+0)))</f>
        <v>0</v>
      </c>
      <c r="K929">
        <f>NOT(hospitalityq!K929="")*(NOT(ISNUMBER(hospitalityq!K929+0)))</f>
        <v>0</v>
      </c>
      <c r="P929">
        <f>NOT(hospitalityq!P929="")*(NOT(IFERROR(INT(hospitalityq!P929)=VALUE(hospitalityq!P929),FALSE)))</f>
        <v>0</v>
      </c>
      <c r="Q929">
        <f>NOT(hospitalityq!Q929="")*(NOT(IFERROR(INT(hospitalityq!Q929)=VALUE(hospitalityq!Q929),FALSE)))</f>
        <v>0</v>
      </c>
      <c r="R929">
        <f>NOT(hospitalityq!R929="")*(NOT(IFERROR(ROUND(VALUE(hospitalityq!R929),2)=VALUE(hospitalityq!R929),FALSE)))</f>
        <v>0</v>
      </c>
    </row>
    <row r="930" spans="1:18" x14ac:dyDescent="0.25">
      <c r="A930">
        <f t="shared" si="14"/>
        <v>0</v>
      </c>
      <c r="C930">
        <f>NOT(hospitalityq!C930="")*(SUMPRODUCT(--(TRIM(hospitalityq!C6:C930)=TRIM(hospitalityq!C930)))&gt;1)</f>
        <v>0</v>
      </c>
      <c r="D930">
        <f>NOT(hospitalityq!D930="")*(COUNTIF(reference!$C$17:$C$18,TRIM(hospitalityq!D930))=0)</f>
        <v>0</v>
      </c>
      <c r="J930">
        <f>NOT(hospitalityq!J930="")*(NOT(ISNUMBER(hospitalityq!J930+0)))</f>
        <v>0</v>
      </c>
      <c r="K930">
        <f>NOT(hospitalityq!K930="")*(NOT(ISNUMBER(hospitalityq!K930+0)))</f>
        <v>0</v>
      </c>
      <c r="P930">
        <f>NOT(hospitalityq!P930="")*(NOT(IFERROR(INT(hospitalityq!P930)=VALUE(hospitalityq!P930),FALSE)))</f>
        <v>0</v>
      </c>
      <c r="Q930">
        <f>NOT(hospitalityq!Q930="")*(NOT(IFERROR(INT(hospitalityq!Q930)=VALUE(hospitalityq!Q930),FALSE)))</f>
        <v>0</v>
      </c>
      <c r="R930">
        <f>NOT(hospitalityq!R930="")*(NOT(IFERROR(ROUND(VALUE(hospitalityq!R930),2)=VALUE(hospitalityq!R930),FALSE)))</f>
        <v>0</v>
      </c>
    </row>
    <row r="931" spans="1:18" x14ac:dyDescent="0.25">
      <c r="A931">
        <f t="shared" si="14"/>
        <v>0</v>
      </c>
      <c r="C931">
        <f>NOT(hospitalityq!C931="")*(SUMPRODUCT(--(TRIM(hospitalityq!C6:C931)=TRIM(hospitalityq!C931)))&gt;1)</f>
        <v>0</v>
      </c>
      <c r="D931">
        <f>NOT(hospitalityq!D931="")*(COUNTIF(reference!$C$17:$C$18,TRIM(hospitalityq!D931))=0)</f>
        <v>0</v>
      </c>
      <c r="J931">
        <f>NOT(hospitalityq!J931="")*(NOT(ISNUMBER(hospitalityq!J931+0)))</f>
        <v>0</v>
      </c>
      <c r="K931">
        <f>NOT(hospitalityq!K931="")*(NOT(ISNUMBER(hospitalityq!K931+0)))</f>
        <v>0</v>
      </c>
      <c r="P931">
        <f>NOT(hospitalityq!P931="")*(NOT(IFERROR(INT(hospitalityq!P931)=VALUE(hospitalityq!P931),FALSE)))</f>
        <v>0</v>
      </c>
      <c r="Q931">
        <f>NOT(hospitalityq!Q931="")*(NOT(IFERROR(INT(hospitalityq!Q931)=VALUE(hospitalityq!Q931),FALSE)))</f>
        <v>0</v>
      </c>
      <c r="R931">
        <f>NOT(hospitalityq!R931="")*(NOT(IFERROR(ROUND(VALUE(hospitalityq!R931),2)=VALUE(hospitalityq!R931),FALSE)))</f>
        <v>0</v>
      </c>
    </row>
    <row r="932" spans="1:18" x14ac:dyDescent="0.25">
      <c r="A932">
        <f t="shared" si="14"/>
        <v>0</v>
      </c>
      <c r="C932">
        <f>NOT(hospitalityq!C932="")*(SUMPRODUCT(--(TRIM(hospitalityq!C6:C932)=TRIM(hospitalityq!C932)))&gt;1)</f>
        <v>0</v>
      </c>
      <c r="D932">
        <f>NOT(hospitalityq!D932="")*(COUNTIF(reference!$C$17:$C$18,TRIM(hospitalityq!D932))=0)</f>
        <v>0</v>
      </c>
      <c r="J932">
        <f>NOT(hospitalityq!J932="")*(NOT(ISNUMBER(hospitalityq!J932+0)))</f>
        <v>0</v>
      </c>
      <c r="K932">
        <f>NOT(hospitalityq!K932="")*(NOT(ISNUMBER(hospitalityq!K932+0)))</f>
        <v>0</v>
      </c>
      <c r="P932">
        <f>NOT(hospitalityq!P932="")*(NOT(IFERROR(INT(hospitalityq!P932)=VALUE(hospitalityq!P932),FALSE)))</f>
        <v>0</v>
      </c>
      <c r="Q932">
        <f>NOT(hospitalityq!Q932="")*(NOT(IFERROR(INT(hospitalityq!Q932)=VALUE(hospitalityq!Q932),FALSE)))</f>
        <v>0</v>
      </c>
      <c r="R932">
        <f>NOT(hospitalityq!R932="")*(NOT(IFERROR(ROUND(VALUE(hospitalityq!R932),2)=VALUE(hospitalityq!R932),FALSE)))</f>
        <v>0</v>
      </c>
    </row>
    <row r="933" spans="1:18" x14ac:dyDescent="0.25">
      <c r="A933">
        <f t="shared" si="14"/>
        <v>0</v>
      </c>
      <c r="C933">
        <f>NOT(hospitalityq!C933="")*(SUMPRODUCT(--(TRIM(hospitalityq!C6:C933)=TRIM(hospitalityq!C933)))&gt;1)</f>
        <v>0</v>
      </c>
      <c r="D933">
        <f>NOT(hospitalityq!D933="")*(COUNTIF(reference!$C$17:$C$18,TRIM(hospitalityq!D933))=0)</f>
        <v>0</v>
      </c>
      <c r="J933">
        <f>NOT(hospitalityq!J933="")*(NOT(ISNUMBER(hospitalityq!J933+0)))</f>
        <v>0</v>
      </c>
      <c r="K933">
        <f>NOT(hospitalityq!K933="")*(NOT(ISNUMBER(hospitalityq!K933+0)))</f>
        <v>0</v>
      </c>
      <c r="P933">
        <f>NOT(hospitalityq!P933="")*(NOT(IFERROR(INT(hospitalityq!P933)=VALUE(hospitalityq!P933),FALSE)))</f>
        <v>0</v>
      </c>
      <c r="Q933">
        <f>NOT(hospitalityq!Q933="")*(NOT(IFERROR(INT(hospitalityq!Q933)=VALUE(hospitalityq!Q933),FALSE)))</f>
        <v>0</v>
      </c>
      <c r="R933">
        <f>NOT(hospitalityq!R933="")*(NOT(IFERROR(ROUND(VALUE(hospitalityq!R933),2)=VALUE(hospitalityq!R933),FALSE)))</f>
        <v>0</v>
      </c>
    </row>
    <row r="934" spans="1:18" x14ac:dyDescent="0.25">
      <c r="A934">
        <f t="shared" si="14"/>
        <v>0</v>
      </c>
      <c r="C934">
        <f>NOT(hospitalityq!C934="")*(SUMPRODUCT(--(TRIM(hospitalityq!C6:C934)=TRIM(hospitalityq!C934)))&gt;1)</f>
        <v>0</v>
      </c>
      <c r="D934">
        <f>NOT(hospitalityq!D934="")*(COUNTIF(reference!$C$17:$C$18,TRIM(hospitalityq!D934))=0)</f>
        <v>0</v>
      </c>
      <c r="J934">
        <f>NOT(hospitalityq!J934="")*(NOT(ISNUMBER(hospitalityq!J934+0)))</f>
        <v>0</v>
      </c>
      <c r="K934">
        <f>NOT(hospitalityq!K934="")*(NOT(ISNUMBER(hospitalityq!K934+0)))</f>
        <v>0</v>
      </c>
      <c r="P934">
        <f>NOT(hospitalityq!P934="")*(NOT(IFERROR(INT(hospitalityq!P934)=VALUE(hospitalityq!P934),FALSE)))</f>
        <v>0</v>
      </c>
      <c r="Q934">
        <f>NOT(hospitalityq!Q934="")*(NOT(IFERROR(INT(hospitalityq!Q934)=VALUE(hospitalityq!Q934),FALSE)))</f>
        <v>0</v>
      </c>
      <c r="R934">
        <f>NOT(hospitalityq!R934="")*(NOT(IFERROR(ROUND(VALUE(hospitalityq!R934),2)=VALUE(hospitalityq!R934),FALSE)))</f>
        <v>0</v>
      </c>
    </row>
    <row r="935" spans="1:18" x14ac:dyDescent="0.25">
      <c r="A935">
        <f t="shared" si="14"/>
        <v>0</v>
      </c>
      <c r="C935">
        <f>NOT(hospitalityq!C935="")*(SUMPRODUCT(--(TRIM(hospitalityq!C6:C935)=TRIM(hospitalityq!C935)))&gt;1)</f>
        <v>0</v>
      </c>
      <c r="D935">
        <f>NOT(hospitalityq!D935="")*(COUNTIF(reference!$C$17:$C$18,TRIM(hospitalityq!D935))=0)</f>
        <v>0</v>
      </c>
      <c r="J935">
        <f>NOT(hospitalityq!J935="")*(NOT(ISNUMBER(hospitalityq!J935+0)))</f>
        <v>0</v>
      </c>
      <c r="K935">
        <f>NOT(hospitalityq!K935="")*(NOT(ISNUMBER(hospitalityq!K935+0)))</f>
        <v>0</v>
      </c>
      <c r="P935">
        <f>NOT(hospitalityq!P935="")*(NOT(IFERROR(INT(hospitalityq!P935)=VALUE(hospitalityq!P935),FALSE)))</f>
        <v>0</v>
      </c>
      <c r="Q935">
        <f>NOT(hospitalityq!Q935="")*(NOT(IFERROR(INT(hospitalityq!Q935)=VALUE(hospitalityq!Q935),FALSE)))</f>
        <v>0</v>
      </c>
      <c r="R935">
        <f>NOT(hospitalityq!R935="")*(NOT(IFERROR(ROUND(VALUE(hospitalityq!R935),2)=VALUE(hospitalityq!R935),FALSE)))</f>
        <v>0</v>
      </c>
    </row>
    <row r="936" spans="1:18" x14ac:dyDescent="0.25">
      <c r="A936">
        <f t="shared" si="14"/>
        <v>0</v>
      </c>
      <c r="C936">
        <f>NOT(hospitalityq!C936="")*(SUMPRODUCT(--(TRIM(hospitalityq!C6:C936)=TRIM(hospitalityq!C936)))&gt;1)</f>
        <v>0</v>
      </c>
      <c r="D936">
        <f>NOT(hospitalityq!D936="")*(COUNTIF(reference!$C$17:$C$18,TRIM(hospitalityq!D936))=0)</f>
        <v>0</v>
      </c>
      <c r="J936">
        <f>NOT(hospitalityq!J936="")*(NOT(ISNUMBER(hospitalityq!J936+0)))</f>
        <v>0</v>
      </c>
      <c r="K936">
        <f>NOT(hospitalityq!K936="")*(NOT(ISNUMBER(hospitalityq!K936+0)))</f>
        <v>0</v>
      </c>
      <c r="P936">
        <f>NOT(hospitalityq!P936="")*(NOT(IFERROR(INT(hospitalityq!P936)=VALUE(hospitalityq!P936),FALSE)))</f>
        <v>0</v>
      </c>
      <c r="Q936">
        <f>NOT(hospitalityq!Q936="")*(NOT(IFERROR(INT(hospitalityq!Q936)=VALUE(hospitalityq!Q936),FALSE)))</f>
        <v>0</v>
      </c>
      <c r="R936">
        <f>NOT(hospitalityq!R936="")*(NOT(IFERROR(ROUND(VALUE(hospitalityq!R936),2)=VALUE(hospitalityq!R936),FALSE)))</f>
        <v>0</v>
      </c>
    </row>
    <row r="937" spans="1:18" x14ac:dyDescent="0.25">
      <c r="A937">
        <f t="shared" si="14"/>
        <v>0</v>
      </c>
      <c r="C937">
        <f>NOT(hospitalityq!C937="")*(SUMPRODUCT(--(TRIM(hospitalityq!C6:C937)=TRIM(hospitalityq!C937)))&gt;1)</f>
        <v>0</v>
      </c>
      <c r="D937">
        <f>NOT(hospitalityq!D937="")*(COUNTIF(reference!$C$17:$C$18,TRIM(hospitalityq!D937))=0)</f>
        <v>0</v>
      </c>
      <c r="J937">
        <f>NOT(hospitalityq!J937="")*(NOT(ISNUMBER(hospitalityq!J937+0)))</f>
        <v>0</v>
      </c>
      <c r="K937">
        <f>NOT(hospitalityq!K937="")*(NOT(ISNUMBER(hospitalityq!K937+0)))</f>
        <v>0</v>
      </c>
      <c r="P937">
        <f>NOT(hospitalityq!P937="")*(NOT(IFERROR(INT(hospitalityq!P937)=VALUE(hospitalityq!P937),FALSE)))</f>
        <v>0</v>
      </c>
      <c r="Q937">
        <f>NOT(hospitalityq!Q937="")*(NOT(IFERROR(INT(hospitalityq!Q937)=VALUE(hospitalityq!Q937),FALSE)))</f>
        <v>0</v>
      </c>
      <c r="R937">
        <f>NOT(hospitalityq!R937="")*(NOT(IFERROR(ROUND(VALUE(hospitalityq!R937),2)=VALUE(hospitalityq!R937),FALSE)))</f>
        <v>0</v>
      </c>
    </row>
    <row r="938" spans="1:18" x14ac:dyDescent="0.25">
      <c r="A938">
        <f t="shared" si="14"/>
        <v>0</v>
      </c>
      <c r="C938">
        <f>NOT(hospitalityq!C938="")*(SUMPRODUCT(--(TRIM(hospitalityq!C6:C938)=TRIM(hospitalityq!C938)))&gt;1)</f>
        <v>0</v>
      </c>
      <c r="D938">
        <f>NOT(hospitalityq!D938="")*(COUNTIF(reference!$C$17:$C$18,TRIM(hospitalityq!D938))=0)</f>
        <v>0</v>
      </c>
      <c r="J938">
        <f>NOT(hospitalityq!J938="")*(NOT(ISNUMBER(hospitalityq!J938+0)))</f>
        <v>0</v>
      </c>
      <c r="K938">
        <f>NOT(hospitalityq!K938="")*(NOT(ISNUMBER(hospitalityq!K938+0)))</f>
        <v>0</v>
      </c>
      <c r="P938">
        <f>NOT(hospitalityq!P938="")*(NOT(IFERROR(INT(hospitalityq!P938)=VALUE(hospitalityq!P938),FALSE)))</f>
        <v>0</v>
      </c>
      <c r="Q938">
        <f>NOT(hospitalityq!Q938="")*(NOT(IFERROR(INT(hospitalityq!Q938)=VALUE(hospitalityq!Q938),FALSE)))</f>
        <v>0</v>
      </c>
      <c r="R938">
        <f>NOT(hospitalityq!R938="")*(NOT(IFERROR(ROUND(VALUE(hospitalityq!R938),2)=VALUE(hospitalityq!R938),FALSE)))</f>
        <v>0</v>
      </c>
    </row>
    <row r="939" spans="1:18" x14ac:dyDescent="0.25">
      <c r="A939">
        <f t="shared" si="14"/>
        <v>0</v>
      </c>
      <c r="C939">
        <f>NOT(hospitalityq!C939="")*(SUMPRODUCT(--(TRIM(hospitalityq!C6:C939)=TRIM(hospitalityq!C939)))&gt;1)</f>
        <v>0</v>
      </c>
      <c r="D939">
        <f>NOT(hospitalityq!D939="")*(COUNTIF(reference!$C$17:$C$18,TRIM(hospitalityq!D939))=0)</f>
        <v>0</v>
      </c>
      <c r="J939">
        <f>NOT(hospitalityq!J939="")*(NOT(ISNUMBER(hospitalityq!J939+0)))</f>
        <v>0</v>
      </c>
      <c r="K939">
        <f>NOT(hospitalityq!K939="")*(NOT(ISNUMBER(hospitalityq!K939+0)))</f>
        <v>0</v>
      </c>
      <c r="P939">
        <f>NOT(hospitalityq!P939="")*(NOT(IFERROR(INT(hospitalityq!P939)=VALUE(hospitalityq!P939),FALSE)))</f>
        <v>0</v>
      </c>
      <c r="Q939">
        <f>NOT(hospitalityq!Q939="")*(NOT(IFERROR(INT(hospitalityq!Q939)=VALUE(hospitalityq!Q939),FALSE)))</f>
        <v>0</v>
      </c>
      <c r="R939">
        <f>NOT(hospitalityq!R939="")*(NOT(IFERROR(ROUND(VALUE(hospitalityq!R939),2)=VALUE(hospitalityq!R939),FALSE)))</f>
        <v>0</v>
      </c>
    </row>
    <row r="940" spans="1:18" x14ac:dyDescent="0.25">
      <c r="A940">
        <f t="shared" si="14"/>
        <v>0</v>
      </c>
      <c r="C940">
        <f>NOT(hospitalityq!C940="")*(SUMPRODUCT(--(TRIM(hospitalityq!C6:C940)=TRIM(hospitalityq!C940)))&gt;1)</f>
        <v>0</v>
      </c>
      <c r="D940">
        <f>NOT(hospitalityq!D940="")*(COUNTIF(reference!$C$17:$C$18,TRIM(hospitalityq!D940))=0)</f>
        <v>0</v>
      </c>
      <c r="J940">
        <f>NOT(hospitalityq!J940="")*(NOT(ISNUMBER(hospitalityq!J940+0)))</f>
        <v>0</v>
      </c>
      <c r="K940">
        <f>NOT(hospitalityq!K940="")*(NOT(ISNUMBER(hospitalityq!K940+0)))</f>
        <v>0</v>
      </c>
      <c r="P940">
        <f>NOT(hospitalityq!P940="")*(NOT(IFERROR(INT(hospitalityq!P940)=VALUE(hospitalityq!P940),FALSE)))</f>
        <v>0</v>
      </c>
      <c r="Q940">
        <f>NOT(hospitalityq!Q940="")*(NOT(IFERROR(INT(hospitalityq!Q940)=VALUE(hospitalityq!Q940),FALSE)))</f>
        <v>0</v>
      </c>
      <c r="R940">
        <f>NOT(hospitalityq!R940="")*(NOT(IFERROR(ROUND(VALUE(hospitalityq!R940),2)=VALUE(hospitalityq!R940),FALSE)))</f>
        <v>0</v>
      </c>
    </row>
    <row r="941" spans="1:18" x14ac:dyDescent="0.25">
      <c r="A941">
        <f t="shared" si="14"/>
        <v>0</v>
      </c>
      <c r="C941">
        <f>NOT(hospitalityq!C941="")*(SUMPRODUCT(--(TRIM(hospitalityq!C6:C941)=TRIM(hospitalityq!C941)))&gt;1)</f>
        <v>0</v>
      </c>
      <c r="D941">
        <f>NOT(hospitalityq!D941="")*(COUNTIF(reference!$C$17:$C$18,TRIM(hospitalityq!D941))=0)</f>
        <v>0</v>
      </c>
      <c r="J941">
        <f>NOT(hospitalityq!J941="")*(NOT(ISNUMBER(hospitalityq!J941+0)))</f>
        <v>0</v>
      </c>
      <c r="K941">
        <f>NOT(hospitalityq!K941="")*(NOT(ISNUMBER(hospitalityq!K941+0)))</f>
        <v>0</v>
      </c>
      <c r="P941">
        <f>NOT(hospitalityq!P941="")*(NOT(IFERROR(INT(hospitalityq!P941)=VALUE(hospitalityq!P941),FALSE)))</f>
        <v>0</v>
      </c>
      <c r="Q941">
        <f>NOT(hospitalityq!Q941="")*(NOT(IFERROR(INT(hospitalityq!Q941)=VALUE(hospitalityq!Q941),FALSE)))</f>
        <v>0</v>
      </c>
      <c r="R941">
        <f>NOT(hospitalityq!R941="")*(NOT(IFERROR(ROUND(VALUE(hospitalityq!R941),2)=VALUE(hospitalityq!R941),FALSE)))</f>
        <v>0</v>
      </c>
    </row>
    <row r="942" spans="1:18" x14ac:dyDescent="0.25">
      <c r="A942">
        <f t="shared" si="14"/>
        <v>0</v>
      </c>
      <c r="C942">
        <f>NOT(hospitalityq!C942="")*(SUMPRODUCT(--(TRIM(hospitalityq!C6:C942)=TRIM(hospitalityq!C942)))&gt;1)</f>
        <v>0</v>
      </c>
      <c r="D942">
        <f>NOT(hospitalityq!D942="")*(COUNTIF(reference!$C$17:$C$18,TRIM(hospitalityq!D942))=0)</f>
        <v>0</v>
      </c>
      <c r="J942">
        <f>NOT(hospitalityq!J942="")*(NOT(ISNUMBER(hospitalityq!J942+0)))</f>
        <v>0</v>
      </c>
      <c r="K942">
        <f>NOT(hospitalityq!K942="")*(NOT(ISNUMBER(hospitalityq!K942+0)))</f>
        <v>0</v>
      </c>
      <c r="P942">
        <f>NOT(hospitalityq!P942="")*(NOT(IFERROR(INT(hospitalityq!P942)=VALUE(hospitalityq!P942),FALSE)))</f>
        <v>0</v>
      </c>
      <c r="Q942">
        <f>NOT(hospitalityq!Q942="")*(NOT(IFERROR(INT(hospitalityq!Q942)=VALUE(hospitalityq!Q942),FALSE)))</f>
        <v>0</v>
      </c>
      <c r="R942">
        <f>NOT(hospitalityq!R942="")*(NOT(IFERROR(ROUND(VALUE(hospitalityq!R942),2)=VALUE(hospitalityq!R942),FALSE)))</f>
        <v>0</v>
      </c>
    </row>
    <row r="943" spans="1:18" x14ac:dyDescent="0.25">
      <c r="A943">
        <f t="shared" si="14"/>
        <v>0</v>
      </c>
      <c r="C943">
        <f>NOT(hospitalityq!C943="")*(SUMPRODUCT(--(TRIM(hospitalityq!C6:C943)=TRIM(hospitalityq!C943)))&gt;1)</f>
        <v>0</v>
      </c>
      <c r="D943">
        <f>NOT(hospitalityq!D943="")*(COUNTIF(reference!$C$17:$C$18,TRIM(hospitalityq!D943))=0)</f>
        <v>0</v>
      </c>
      <c r="J943">
        <f>NOT(hospitalityq!J943="")*(NOT(ISNUMBER(hospitalityq!J943+0)))</f>
        <v>0</v>
      </c>
      <c r="K943">
        <f>NOT(hospitalityq!K943="")*(NOT(ISNUMBER(hospitalityq!K943+0)))</f>
        <v>0</v>
      </c>
      <c r="P943">
        <f>NOT(hospitalityq!P943="")*(NOT(IFERROR(INT(hospitalityq!P943)=VALUE(hospitalityq!P943),FALSE)))</f>
        <v>0</v>
      </c>
      <c r="Q943">
        <f>NOT(hospitalityq!Q943="")*(NOT(IFERROR(INT(hospitalityq!Q943)=VALUE(hospitalityq!Q943),FALSE)))</f>
        <v>0</v>
      </c>
      <c r="R943">
        <f>NOT(hospitalityq!R943="")*(NOT(IFERROR(ROUND(VALUE(hospitalityq!R943),2)=VALUE(hospitalityq!R943),FALSE)))</f>
        <v>0</v>
      </c>
    </row>
    <row r="944" spans="1:18" x14ac:dyDescent="0.25">
      <c r="A944">
        <f t="shared" si="14"/>
        <v>0</v>
      </c>
      <c r="C944">
        <f>NOT(hospitalityq!C944="")*(SUMPRODUCT(--(TRIM(hospitalityq!C6:C944)=TRIM(hospitalityq!C944)))&gt;1)</f>
        <v>0</v>
      </c>
      <c r="D944">
        <f>NOT(hospitalityq!D944="")*(COUNTIF(reference!$C$17:$C$18,TRIM(hospitalityq!D944))=0)</f>
        <v>0</v>
      </c>
      <c r="J944">
        <f>NOT(hospitalityq!J944="")*(NOT(ISNUMBER(hospitalityq!J944+0)))</f>
        <v>0</v>
      </c>
      <c r="K944">
        <f>NOT(hospitalityq!K944="")*(NOT(ISNUMBER(hospitalityq!K944+0)))</f>
        <v>0</v>
      </c>
      <c r="P944">
        <f>NOT(hospitalityq!P944="")*(NOT(IFERROR(INT(hospitalityq!P944)=VALUE(hospitalityq!P944),FALSE)))</f>
        <v>0</v>
      </c>
      <c r="Q944">
        <f>NOT(hospitalityq!Q944="")*(NOT(IFERROR(INT(hospitalityq!Q944)=VALUE(hospitalityq!Q944),FALSE)))</f>
        <v>0</v>
      </c>
      <c r="R944">
        <f>NOT(hospitalityq!R944="")*(NOT(IFERROR(ROUND(VALUE(hospitalityq!R944),2)=VALUE(hospitalityq!R944),FALSE)))</f>
        <v>0</v>
      </c>
    </row>
    <row r="945" spans="1:18" x14ac:dyDescent="0.25">
      <c r="A945">
        <f t="shared" si="14"/>
        <v>0</v>
      </c>
      <c r="C945">
        <f>NOT(hospitalityq!C945="")*(SUMPRODUCT(--(TRIM(hospitalityq!C6:C945)=TRIM(hospitalityq!C945)))&gt;1)</f>
        <v>0</v>
      </c>
      <c r="D945">
        <f>NOT(hospitalityq!D945="")*(COUNTIF(reference!$C$17:$C$18,TRIM(hospitalityq!D945))=0)</f>
        <v>0</v>
      </c>
      <c r="J945">
        <f>NOT(hospitalityq!J945="")*(NOT(ISNUMBER(hospitalityq!J945+0)))</f>
        <v>0</v>
      </c>
      <c r="K945">
        <f>NOT(hospitalityq!K945="")*(NOT(ISNUMBER(hospitalityq!K945+0)))</f>
        <v>0</v>
      </c>
      <c r="P945">
        <f>NOT(hospitalityq!P945="")*(NOT(IFERROR(INT(hospitalityq!P945)=VALUE(hospitalityq!P945),FALSE)))</f>
        <v>0</v>
      </c>
      <c r="Q945">
        <f>NOT(hospitalityq!Q945="")*(NOT(IFERROR(INT(hospitalityq!Q945)=VALUE(hospitalityq!Q945),FALSE)))</f>
        <v>0</v>
      </c>
      <c r="R945">
        <f>NOT(hospitalityq!R945="")*(NOT(IFERROR(ROUND(VALUE(hospitalityq!R945),2)=VALUE(hospitalityq!R945),FALSE)))</f>
        <v>0</v>
      </c>
    </row>
    <row r="946" spans="1:18" x14ac:dyDescent="0.25">
      <c r="A946">
        <f t="shared" si="14"/>
        <v>0</v>
      </c>
      <c r="C946">
        <f>NOT(hospitalityq!C946="")*(SUMPRODUCT(--(TRIM(hospitalityq!C6:C946)=TRIM(hospitalityq!C946)))&gt;1)</f>
        <v>0</v>
      </c>
      <c r="D946">
        <f>NOT(hospitalityq!D946="")*(COUNTIF(reference!$C$17:$C$18,TRIM(hospitalityq!D946))=0)</f>
        <v>0</v>
      </c>
      <c r="J946">
        <f>NOT(hospitalityq!J946="")*(NOT(ISNUMBER(hospitalityq!J946+0)))</f>
        <v>0</v>
      </c>
      <c r="K946">
        <f>NOT(hospitalityq!K946="")*(NOT(ISNUMBER(hospitalityq!K946+0)))</f>
        <v>0</v>
      </c>
      <c r="P946">
        <f>NOT(hospitalityq!P946="")*(NOT(IFERROR(INT(hospitalityq!P946)=VALUE(hospitalityq!P946),FALSE)))</f>
        <v>0</v>
      </c>
      <c r="Q946">
        <f>NOT(hospitalityq!Q946="")*(NOT(IFERROR(INT(hospitalityq!Q946)=VALUE(hospitalityq!Q946),FALSE)))</f>
        <v>0</v>
      </c>
      <c r="R946">
        <f>NOT(hospitalityq!R946="")*(NOT(IFERROR(ROUND(VALUE(hospitalityq!R946),2)=VALUE(hospitalityq!R946),FALSE)))</f>
        <v>0</v>
      </c>
    </row>
    <row r="947" spans="1:18" x14ac:dyDescent="0.25">
      <c r="A947">
        <f t="shared" si="14"/>
        <v>0</v>
      </c>
      <c r="C947">
        <f>NOT(hospitalityq!C947="")*(SUMPRODUCT(--(TRIM(hospitalityq!C6:C947)=TRIM(hospitalityq!C947)))&gt;1)</f>
        <v>0</v>
      </c>
      <c r="D947">
        <f>NOT(hospitalityq!D947="")*(COUNTIF(reference!$C$17:$C$18,TRIM(hospitalityq!D947))=0)</f>
        <v>0</v>
      </c>
      <c r="J947">
        <f>NOT(hospitalityq!J947="")*(NOT(ISNUMBER(hospitalityq!J947+0)))</f>
        <v>0</v>
      </c>
      <c r="K947">
        <f>NOT(hospitalityq!K947="")*(NOT(ISNUMBER(hospitalityq!K947+0)))</f>
        <v>0</v>
      </c>
      <c r="P947">
        <f>NOT(hospitalityq!P947="")*(NOT(IFERROR(INT(hospitalityq!P947)=VALUE(hospitalityq!P947),FALSE)))</f>
        <v>0</v>
      </c>
      <c r="Q947">
        <f>NOT(hospitalityq!Q947="")*(NOT(IFERROR(INT(hospitalityq!Q947)=VALUE(hospitalityq!Q947),FALSE)))</f>
        <v>0</v>
      </c>
      <c r="R947">
        <f>NOT(hospitalityq!R947="")*(NOT(IFERROR(ROUND(VALUE(hospitalityq!R947),2)=VALUE(hospitalityq!R947),FALSE)))</f>
        <v>0</v>
      </c>
    </row>
    <row r="948" spans="1:18" x14ac:dyDescent="0.25">
      <c r="A948">
        <f t="shared" si="14"/>
        <v>0</v>
      </c>
      <c r="C948">
        <f>NOT(hospitalityq!C948="")*(SUMPRODUCT(--(TRIM(hospitalityq!C6:C948)=TRIM(hospitalityq!C948)))&gt;1)</f>
        <v>0</v>
      </c>
      <c r="D948">
        <f>NOT(hospitalityq!D948="")*(COUNTIF(reference!$C$17:$C$18,TRIM(hospitalityq!D948))=0)</f>
        <v>0</v>
      </c>
      <c r="J948">
        <f>NOT(hospitalityq!J948="")*(NOT(ISNUMBER(hospitalityq!J948+0)))</f>
        <v>0</v>
      </c>
      <c r="K948">
        <f>NOT(hospitalityq!K948="")*(NOT(ISNUMBER(hospitalityq!K948+0)))</f>
        <v>0</v>
      </c>
      <c r="P948">
        <f>NOT(hospitalityq!P948="")*(NOT(IFERROR(INT(hospitalityq!P948)=VALUE(hospitalityq!P948),FALSE)))</f>
        <v>0</v>
      </c>
      <c r="Q948">
        <f>NOT(hospitalityq!Q948="")*(NOT(IFERROR(INT(hospitalityq!Q948)=VALUE(hospitalityq!Q948),FALSE)))</f>
        <v>0</v>
      </c>
      <c r="R948">
        <f>NOT(hospitalityq!R948="")*(NOT(IFERROR(ROUND(VALUE(hospitalityq!R948),2)=VALUE(hospitalityq!R948),FALSE)))</f>
        <v>0</v>
      </c>
    </row>
    <row r="949" spans="1:18" x14ac:dyDescent="0.25">
      <c r="A949">
        <f t="shared" si="14"/>
        <v>0</v>
      </c>
      <c r="C949">
        <f>NOT(hospitalityq!C949="")*(SUMPRODUCT(--(TRIM(hospitalityq!C6:C949)=TRIM(hospitalityq!C949)))&gt;1)</f>
        <v>0</v>
      </c>
      <c r="D949">
        <f>NOT(hospitalityq!D949="")*(COUNTIF(reference!$C$17:$C$18,TRIM(hospitalityq!D949))=0)</f>
        <v>0</v>
      </c>
      <c r="J949">
        <f>NOT(hospitalityq!J949="")*(NOT(ISNUMBER(hospitalityq!J949+0)))</f>
        <v>0</v>
      </c>
      <c r="K949">
        <f>NOT(hospitalityq!K949="")*(NOT(ISNUMBER(hospitalityq!K949+0)))</f>
        <v>0</v>
      </c>
      <c r="P949">
        <f>NOT(hospitalityq!P949="")*(NOT(IFERROR(INT(hospitalityq!P949)=VALUE(hospitalityq!P949),FALSE)))</f>
        <v>0</v>
      </c>
      <c r="Q949">
        <f>NOT(hospitalityq!Q949="")*(NOT(IFERROR(INT(hospitalityq!Q949)=VALUE(hospitalityq!Q949),FALSE)))</f>
        <v>0</v>
      </c>
      <c r="R949">
        <f>NOT(hospitalityq!R949="")*(NOT(IFERROR(ROUND(VALUE(hospitalityq!R949),2)=VALUE(hospitalityq!R949),FALSE)))</f>
        <v>0</v>
      </c>
    </row>
    <row r="950" spans="1:18" x14ac:dyDescent="0.25">
      <c r="A950">
        <f t="shared" si="14"/>
        <v>0</v>
      </c>
      <c r="C950">
        <f>NOT(hospitalityq!C950="")*(SUMPRODUCT(--(TRIM(hospitalityq!C6:C950)=TRIM(hospitalityq!C950)))&gt;1)</f>
        <v>0</v>
      </c>
      <c r="D950">
        <f>NOT(hospitalityq!D950="")*(COUNTIF(reference!$C$17:$C$18,TRIM(hospitalityq!D950))=0)</f>
        <v>0</v>
      </c>
      <c r="J950">
        <f>NOT(hospitalityq!J950="")*(NOT(ISNUMBER(hospitalityq!J950+0)))</f>
        <v>0</v>
      </c>
      <c r="K950">
        <f>NOT(hospitalityq!K950="")*(NOT(ISNUMBER(hospitalityq!K950+0)))</f>
        <v>0</v>
      </c>
      <c r="P950">
        <f>NOT(hospitalityq!P950="")*(NOT(IFERROR(INT(hospitalityq!P950)=VALUE(hospitalityq!P950),FALSE)))</f>
        <v>0</v>
      </c>
      <c r="Q950">
        <f>NOT(hospitalityq!Q950="")*(NOT(IFERROR(INT(hospitalityq!Q950)=VALUE(hospitalityq!Q950),FALSE)))</f>
        <v>0</v>
      </c>
      <c r="R950">
        <f>NOT(hospitalityq!R950="")*(NOT(IFERROR(ROUND(VALUE(hospitalityq!R950),2)=VALUE(hospitalityq!R950),FALSE)))</f>
        <v>0</v>
      </c>
    </row>
    <row r="951" spans="1:18" x14ac:dyDescent="0.25">
      <c r="A951">
        <f t="shared" si="14"/>
        <v>0</v>
      </c>
      <c r="C951">
        <f>NOT(hospitalityq!C951="")*(SUMPRODUCT(--(TRIM(hospitalityq!C6:C951)=TRIM(hospitalityq!C951)))&gt;1)</f>
        <v>0</v>
      </c>
      <c r="D951">
        <f>NOT(hospitalityq!D951="")*(COUNTIF(reference!$C$17:$C$18,TRIM(hospitalityq!D951))=0)</f>
        <v>0</v>
      </c>
      <c r="J951">
        <f>NOT(hospitalityq!J951="")*(NOT(ISNUMBER(hospitalityq!J951+0)))</f>
        <v>0</v>
      </c>
      <c r="K951">
        <f>NOT(hospitalityq!K951="")*(NOT(ISNUMBER(hospitalityq!K951+0)))</f>
        <v>0</v>
      </c>
      <c r="P951">
        <f>NOT(hospitalityq!P951="")*(NOT(IFERROR(INT(hospitalityq!P951)=VALUE(hospitalityq!P951),FALSE)))</f>
        <v>0</v>
      </c>
      <c r="Q951">
        <f>NOT(hospitalityq!Q951="")*(NOT(IFERROR(INT(hospitalityq!Q951)=VALUE(hospitalityq!Q951),FALSE)))</f>
        <v>0</v>
      </c>
      <c r="R951">
        <f>NOT(hospitalityq!R951="")*(NOT(IFERROR(ROUND(VALUE(hospitalityq!R951),2)=VALUE(hospitalityq!R951),FALSE)))</f>
        <v>0</v>
      </c>
    </row>
    <row r="952" spans="1:18" x14ac:dyDescent="0.25">
      <c r="A952">
        <f t="shared" si="14"/>
        <v>0</v>
      </c>
      <c r="C952">
        <f>NOT(hospitalityq!C952="")*(SUMPRODUCT(--(TRIM(hospitalityq!C6:C952)=TRIM(hospitalityq!C952)))&gt;1)</f>
        <v>0</v>
      </c>
      <c r="D952">
        <f>NOT(hospitalityq!D952="")*(COUNTIF(reference!$C$17:$C$18,TRIM(hospitalityq!D952))=0)</f>
        <v>0</v>
      </c>
      <c r="J952">
        <f>NOT(hospitalityq!J952="")*(NOT(ISNUMBER(hospitalityq!J952+0)))</f>
        <v>0</v>
      </c>
      <c r="K952">
        <f>NOT(hospitalityq!K952="")*(NOT(ISNUMBER(hospitalityq!K952+0)))</f>
        <v>0</v>
      </c>
      <c r="P952">
        <f>NOT(hospitalityq!P952="")*(NOT(IFERROR(INT(hospitalityq!P952)=VALUE(hospitalityq!P952),FALSE)))</f>
        <v>0</v>
      </c>
      <c r="Q952">
        <f>NOT(hospitalityq!Q952="")*(NOT(IFERROR(INT(hospitalityq!Q952)=VALUE(hospitalityq!Q952),FALSE)))</f>
        <v>0</v>
      </c>
      <c r="R952">
        <f>NOT(hospitalityq!R952="")*(NOT(IFERROR(ROUND(VALUE(hospitalityq!R952),2)=VALUE(hospitalityq!R952),FALSE)))</f>
        <v>0</v>
      </c>
    </row>
    <row r="953" spans="1:18" x14ac:dyDescent="0.25">
      <c r="A953">
        <f t="shared" si="14"/>
        <v>0</v>
      </c>
      <c r="C953">
        <f>NOT(hospitalityq!C953="")*(SUMPRODUCT(--(TRIM(hospitalityq!C6:C953)=TRIM(hospitalityq!C953)))&gt;1)</f>
        <v>0</v>
      </c>
      <c r="D953">
        <f>NOT(hospitalityq!D953="")*(COUNTIF(reference!$C$17:$C$18,TRIM(hospitalityq!D953))=0)</f>
        <v>0</v>
      </c>
      <c r="J953">
        <f>NOT(hospitalityq!J953="")*(NOT(ISNUMBER(hospitalityq!J953+0)))</f>
        <v>0</v>
      </c>
      <c r="K953">
        <f>NOT(hospitalityq!K953="")*(NOT(ISNUMBER(hospitalityq!K953+0)))</f>
        <v>0</v>
      </c>
      <c r="P953">
        <f>NOT(hospitalityq!P953="")*(NOT(IFERROR(INT(hospitalityq!P953)=VALUE(hospitalityq!P953),FALSE)))</f>
        <v>0</v>
      </c>
      <c r="Q953">
        <f>NOT(hospitalityq!Q953="")*(NOT(IFERROR(INT(hospitalityq!Q953)=VALUE(hospitalityq!Q953),FALSE)))</f>
        <v>0</v>
      </c>
      <c r="R953">
        <f>NOT(hospitalityq!R953="")*(NOT(IFERROR(ROUND(VALUE(hospitalityq!R953),2)=VALUE(hospitalityq!R953),FALSE)))</f>
        <v>0</v>
      </c>
    </row>
    <row r="954" spans="1:18" x14ac:dyDescent="0.25">
      <c r="A954">
        <f t="shared" si="14"/>
        <v>0</v>
      </c>
      <c r="C954">
        <f>NOT(hospitalityq!C954="")*(SUMPRODUCT(--(TRIM(hospitalityq!C6:C954)=TRIM(hospitalityq!C954)))&gt;1)</f>
        <v>0</v>
      </c>
      <c r="D954">
        <f>NOT(hospitalityq!D954="")*(COUNTIF(reference!$C$17:$C$18,TRIM(hospitalityq!D954))=0)</f>
        <v>0</v>
      </c>
      <c r="J954">
        <f>NOT(hospitalityq!J954="")*(NOT(ISNUMBER(hospitalityq!J954+0)))</f>
        <v>0</v>
      </c>
      <c r="K954">
        <f>NOT(hospitalityq!K954="")*(NOT(ISNUMBER(hospitalityq!K954+0)))</f>
        <v>0</v>
      </c>
      <c r="P954">
        <f>NOT(hospitalityq!P954="")*(NOT(IFERROR(INT(hospitalityq!P954)=VALUE(hospitalityq!P954),FALSE)))</f>
        <v>0</v>
      </c>
      <c r="Q954">
        <f>NOT(hospitalityq!Q954="")*(NOT(IFERROR(INT(hospitalityq!Q954)=VALUE(hospitalityq!Q954),FALSE)))</f>
        <v>0</v>
      </c>
      <c r="R954">
        <f>NOT(hospitalityq!R954="")*(NOT(IFERROR(ROUND(VALUE(hospitalityq!R954),2)=VALUE(hospitalityq!R954),FALSE)))</f>
        <v>0</v>
      </c>
    </row>
    <row r="955" spans="1:18" x14ac:dyDescent="0.25">
      <c r="A955">
        <f t="shared" si="14"/>
        <v>0</v>
      </c>
      <c r="C955">
        <f>NOT(hospitalityq!C955="")*(SUMPRODUCT(--(TRIM(hospitalityq!C6:C955)=TRIM(hospitalityq!C955)))&gt;1)</f>
        <v>0</v>
      </c>
      <c r="D955">
        <f>NOT(hospitalityq!D955="")*(COUNTIF(reference!$C$17:$C$18,TRIM(hospitalityq!D955))=0)</f>
        <v>0</v>
      </c>
      <c r="J955">
        <f>NOT(hospitalityq!J955="")*(NOT(ISNUMBER(hospitalityq!J955+0)))</f>
        <v>0</v>
      </c>
      <c r="K955">
        <f>NOT(hospitalityq!K955="")*(NOT(ISNUMBER(hospitalityq!K955+0)))</f>
        <v>0</v>
      </c>
      <c r="P955">
        <f>NOT(hospitalityq!P955="")*(NOT(IFERROR(INT(hospitalityq!P955)=VALUE(hospitalityq!P955),FALSE)))</f>
        <v>0</v>
      </c>
      <c r="Q955">
        <f>NOT(hospitalityq!Q955="")*(NOT(IFERROR(INT(hospitalityq!Q955)=VALUE(hospitalityq!Q955),FALSE)))</f>
        <v>0</v>
      </c>
      <c r="R955">
        <f>NOT(hospitalityq!R955="")*(NOT(IFERROR(ROUND(VALUE(hospitalityq!R955),2)=VALUE(hospitalityq!R955),FALSE)))</f>
        <v>0</v>
      </c>
    </row>
    <row r="956" spans="1:18" x14ac:dyDescent="0.25">
      <c r="A956">
        <f t="shared" si="14"/>
        <v>0</v>
      </c>
      <c r="C956">
        <f>NOT(hospitalityq!C956="")*(SUMPRODUCT(--(TRIM(hospitalityq!C6:C956)=TRIM(hospitalityq!C956)))&gt;1)</f>
        <v>0</v>
      </c>
      <c r="D956">
        <f>NOT(hospitalityq!D956="")*(COUNTIF(reference!$C$17:$C$18,TRIM(hospitalityq!D956))=0)</f>
        <v>0</v>
      </c>
      <c r="J956">
        <f>NOT(hospitalityq!J956="")*(NOT(ISNUMBER(hospitalityq!J956+0)))</f>
        <v>0</v>
      </c>
      <c r="K956">
        <f>NOT(hospitalityq!K956="")*(NOT(ISNUMBER(hospitalityq!K956+0)))</f>
        <v>0</v>
      </c>
      <c r="P956">
        <f>NOT(hospitalityq!P956="")*(NOT(IFERROR(INT(hospitalityq!P956)=VALUE(hospitalityq!P956),FALSE)))</f>
        <v>0</v>
      </c>
      <c r="Q956">
        <f>NOT(hospitalityq!Q956="")*(NOT(IFERROR(INT(hospitalityq!Q956)=VALUE(hospitalityq!Q956),FALSE)))</f>
        <v>0</v>
      </c>
      <c r="R956">
        <f>NOT(hospitalityq!R956="")*(NOT(IFERROR(ROUND(VALUE(hospitalityq!R956),2)=VALUE(hospitalityq!R956),FALSE)))</f>
        <v>0</v>
      </c>
    </row>
    <row r="957" spans="1:18" x14ac:dyDescent="0.25">
      <c r="A957">
        <f t="shared" si="14"/>
        <v>0</v>
      </c>
      <c r="C957">
        <f>NOT(hospitalityq!C957="")*(SUMPRODUCT(--(TRIM(hospitalityq!C6:C957)=TRIM(hospitalityq!C957)))&gt;1)</f>
        <v>0</v>
      </c>
      <c r="D957">
        <f>NOT(hospitalityq!D957="")*(COUNTIF(reference!$C$17:$C$18,TRIM(hospitalityq!D957))=0)</f>
        <v>0</v>
      </c>
      <c r="J957">
        <f>NOT(hospitalityq!J957="")*(NOT(ISNUMBER(hospitalityq!J957+0)))</f>
        <v>0</v>
      </c>
      <c r="K957">
        <f>NOT(hospitalityq!K957="")*(NOT(ISNUMBER(hospitalityq!K957+0)))</f>
        <v>0</v>
      </c>
      <c r="P957">
        <f>NOT(hospitalityq!P957="")*(NOT(IFERROR(INT(hospitalityq!P957)=VALUE(hospitalityq!P957),FALSE)))</f>
        <v>0</v>
      </c>
      <c r="Q957">
        <f>NOT(hospitalityq!Q957="")*(NOT(IFERROR(INT(hospitalityq!Q957)=VALUE(hospitalityq!Q957),FALSE)))</f>
        <v>0</v>
      </c>
      <c r="R957">
        <f>NOT(hospitalityq!R957="")*(NOT(IFERROR(ROUND(VALUE(hospitalityq!R957),2)=VALUE(hospitalityq!R957),FALSE)))</f>
        <v>0</v>
      </c>
    </row>
    <row r="958" spans="1:18" x14ac:dyDescent="0.25">
      <c r="A958">
        <f t="shared" si="14"/>
        <v>0</v>
      </c>
      <c r="C958">
        <f>NOT(hospitalityq!C958="")*(SUMPRODUCT(--(TRIM(hospitalityq!C6:C958)=TRIM(hospitalityq!C958)))&gt;1)</f>
        <v>0</v>
      </c>
      <c r="D958">
        <f>NOT(hospitalityq!D958="")*(COUNTIF(reference!$C$17:$C$18,TRIM(hospitalityq!D958))=0)</f>
        <v>0</v>
      </c>
      <c r="J958">
        <f>NOT(hospitalityq!J958="")*(NOT(ISNUMBER(hospitalityq!J958+0)))</f>
        <v>0</v>
      </c>
      <c r="K958">
        <f>NOT(hospitalityq!K958="")*(NOT(ISNUMBER(hospitalityq!K958+0)))</f>
        <v>0</v>
      </c>
      <c r="P958">
        <f>NOT(hospitalityq!P958="")*(NOT(IFERROR(INT(hospitalityq!P958)=VALUE(hospitalityq!P958),FALSE)))</f>
        <v>0</v>
      </c>
      <c r="Q958">
        <f>NOT(hospitalityq!Q958="")*(NOT(IFERROR(INT(hospitalityq!Q958)=VALUE(hospitalityq!Q958),FALSE)))</f>
        <v>0</v>
      </c>
      <c r="R958">
        <f>NOT(hospitalityq!R958="")*(NOT(IFERROR(ROUND(VALUE(hospitalityq!R958),2)=VALUE(hospitalityq!R958),FALSE)))</f>
        <v>0</v>
      </c>
    </row>
    <row r="959" spans="1:18" x14ac:dyDescent="0.25">
      <c r="A959">
        <f t="shared" si="14"/>
        <v>0</v>
      </c>
      <c r="C959">
        <f>NOT(hospitalityq!C959="")*(SUMPRODUCT(--(TRIM(hospitalityq!C6:C959)=TRIM(hospitalityq!C959)))&gt;1)</f>
        <v>0</v>
      </c>
      <c r="D959">
        <f>NOT(hospitalityq!D959="")*(COUNTIF(reference!$C$17:$C$18,TRIM(hospitalityq!D959))=0)</f>
        <v>0</v>
      </c>
      <c r="J959">
        <f>NOT(hospitalityq!J959="")*(NOT(ISNUMBER(hospitalityq!J959+0)))</f>
        <v>0</v>
      </c>
      <c r="K959">
        <f>NOT(hospitalityq!K959="")*(NOT(ISNUMBER(hospitalityq!K959+0)))</f>
        <v>0</v>
      </c>
      <c r="P959">
        <f>NOT(hospitalityq!P959="")*(NOT(IFERROR(INT(hospitalityq!P959)=VALUE(hospitalityq!P959),FALSE)))</f>
        <v>0</v>
      </c>
      <c r="Q959">
        <f>NOT(hospitalityq!Q959="")*(NOT(IFERROR(INT(hospitalityq!Q959)=VALUE(hospitalityq!Q959),FALSE)))</f>
        <v>0</v>
      </c>
      <c r="R959">
        <f>NOT(hospitalityq!R959="")*(NOT(IFERROR(ROUND(VALUE(hospitalityq!R959),2)=VALUE(hospitalityq!R959),FALSE)))</f>
        <v>0</v>
      </c>
    </row>
    <row r="960" spans="1:18" x14ac:dyDescent="0.25">
      <c r="A960">
        <f t="shared" si="14"/>
        <v>0</v>
      </c>
      <c r="C960">
        <f>NOT(hospitalityq!C960="")*(SUMPRODUCT(--(TRIM(hospitalityq!C6:C960)=TRIM(hospitalityq!C960)))&gt;1)</f>
        <v>0</v>
      </c>
      <c r="D960">
        <f>NOT(hospitalityq!D960="")*(COUNTIF(reference!$C$17:$C$18,TRIM(hospitalityq!D960))=0)</f>
        <v>0</v>
      </c>
      <c r="J960">
        <f>NOT(hospitalityq!J960="")*(NOT(ISNUMBER(hospitalityq!J960+0)))</f>
        <v>0</v>
      </c>
      <c r="K960">
        <f>NOT(hospitalityq!K960="")*(NOT(ISNUMBER(hospitalityq!K960+0)))</f>
        <v>0</v>
      </c>
      <c r="P960">
        <f>NOT(hospitalityq!P960="")*(NOT(IFERROR(INT(hospitalityq!P960)=VALUE(hospitalityq!P960),FALSE)))</f>
        <v>0</v>
      </c>
      <c r="Q960">
        <f>NOT(hospitalityq!Q960="")*(NOT(IFERROR(INT(hospitalityq!Q960)=VALUE(hospitalityq!Q960),FALSE)))</f>
        <v>0</v>
      </c>
      <c r="R960">
        <f>NOT(hospitalityq!R960="")*(NOT(IFERROR(ROUND(VALUE(hospitalityq!R960),2)=VALUE(hospitalityq!R960),FALSE)))</f>
        <v>0</v>
      </c>
    </row>
    <row r="961" spans="1:18" x14ac:dyDescent="0.25">
      <c r="A961">
        <f t="shared" si="14"/>
        <v>0</v>
      </c>
      <c r="C961">
        <f>NOT(hospitalityq!C961="")*(SUMPRODUCT(--(TRIM(hospitalityq!C6:C961)=TRIM(hospitalityq!C961)))&gt;1)</f>
        <v>0</v>
      </c>
      <c r="D961">
        <f>NOT(hospitalityq!D961="")*(COUNTIF(reference!$C$17:$C$18,TRIM(hospitalityq!D961))=0)</f>
        <v>0</v>
      </c>
      <c r="J961">
        <f>NOT(hospitalityq!J961="")*(NOT(ISNUMBER(hospitalityq!J961+0)))</f>
        <v>0</v>
      </c>
      <c r="K961">
        <f>NOT(hospitalityq!K961="")*(NOT(ISNUMBER(hospitalityq!K961+0)))</f>
        <v>0</v>
      </c>
      <c r="P961">
        <f>NOT(hospitalityq!P961="")*(NOT(IFERROR(INT(hospitalityq!P961)=VALUE(hospitalityq!P961),FALSE)))</f>
        <v>0</v>
      </c>
      <c r="Q961">
        <f>NOT(hospitalityq!Q961="")*(NOT(IFERROR(INT(hospitalityq!Q961)=VALUE(hospitalityq!Q961),FALSE)))</f>
        <v>0</v>
      </c>
      <c r="R961">
        <f>NOT(hospitalityq!R961="")*(NOT(IFERROR(ROUND(VALUE(hospitalityq!R961),2)=VALUE(hospitalityq!R961),FALSE)))</f>
        <v>0</v>
      </c>
    </row>
    <row r="962" spans="1:18" x14ac:dyDescent="0.25">
      <c r="A962">
        <f t="shared" si="14"/>
        <v>0</v>
      </c>
      <c r="C962">
        <f>NOT(hospitalityq!C962="")*(SUMPRODUCT(--(TRIM(hospitalityq!C6:C962)=TRIM(hospitalityq!C962)))&gt;1)</f>
        <v>0</v>
      </c>
      <c r="D962">
        <f>NOT(hospitalityq!D962="")*(COUNTIF(reference!$C$17:$C$18,TRIM(hospitalityq!D962))=0)</f>
        <v>0</v>
      </c>
      <c r="J962">
        <f>NOT(hospitalityq!J962="")*(NOT(ISNUMBER(hospitalityq!J962+0)))</f>
        <v>0</v>
      </c>
      <c r="K962">
        <f>NOT(hospitalityq!K962="")*(NOT(ISNUMBER(hospitalityq!K962+0)))</f>
        <v>0</v>
      </c>
      <c r="P962">
        <f>NOT(hospitalityq!P962="")*(NOT(IFERROR(INT(hospitalityq!P962)=VALUE(hospitalityq!P962),FALSE)))</f>
        <v>0</v>
      </c>
      <c r="Q962">
        <f>NOT(hospitalityq!Q962="")*(NOT(IFERROR(INT(hospitalityq!Q962)=VALUE(hospitalityq!Q962),FALSE)))</f>
        <v>0</v>
      </c>
      <c r="R962">
        <f>NOT(hospitalityq!R962="")*(NOT(IFERROR(ROUND(VALUE(hospitalityq!R962),2)=VALUE(hospitalityq!R962),FALSE)))</f>
        <v>0</v>
      </c>
    </row>
    <row r="963" spans="1:18" x14ac:dyDescent="0.25">
      <c r="A963">
        <f t="shared" si="14"/>
        <v>0</v>
      </c>
      <c r="C963">
        <f>NOT(hospitalityq!C963="")*(SUMPRODUCT(--(TRIM(hospitalityq!C6:C963)=TRIM(hospitalityq!C963)))&gt;1)</f>
        <v>0</v>
      </c>
      <c r="D963">
        <f>NOT(hospitalityq!D963="")*(COUNTIF(reference!$C$17:$C$18,TRIM(hospitalityq!D963))=0)</f>
        <v>0</v>
      </c>
      <c r="J963">
        <f>NOT(hospitalityq!J963="")*(NOT(ISNUMBER(hospitalityq!J963+0)))</f>
        <v>0</v>
      </c>
      <c r="K963">
        <f>NOT(hospitalityq!K963="")*(NOT(ISNUMBER(hospitalityq!K963+0)))</f>
        <v>0</v>
      </c>
      <c r="P963">
        <f>NOT(hospitalityq!P963="")*(NOT(IFERROR(INT(hospitalityq!P963)=VALUE(hospitalityq!P963),FALSE)))</f>
        <v>0</v>
      </c>
      <c r="Q963">
        <f>NOT(hospitalityq!Q963="")*(NOT(IFERROR(INT(hospitalityq!Q963)=VALUE(hospitalityq!Q963),FALSE)))</f>
        <v>0</v>
      </c>
      <c r="R963">
        <f>NOT(hospitalityq!R963="")*(NOT(IFERROR(ROUND(VALUE(hospitalityq!R963),2)=VALUE(hospitalityq!R963),FALSE)))</f>
        <v>0</v>
      </c>
    </row>
    <row r="964" spans="1:18" x14ac:dyDescent="0.25">
      <c r="A964">
        <f t="shared" si="14"/>
        <v>0</v>
      </c>
      <c r="C964">
        <f>NOT(hospitalityq!C964="")*(SUMPRODUCT(--(TRIM(hospitalityq!C6:C964)=TRIM(hospitalityq!C964)))&gt;1)</f>
        <v>0</v>
      </c>
      <c r="D964">
        <f>NOT(hospitalityq!D964="")*(COUNTIF(reference!$C$17:$C$18,TRIM(hospitalityq!D964))=0)</f>
        <v>0</v>
      </c>
      <c r="J964">
        <f>NOT(hospitalityq!J964="")*(NOT(ISNUMBER(hospitalityq!J964+0)))</f>
        <v>0</v>
      </c>
      <c r="K964">
        <f>NOT(hospitalityq!K964="")*(NOT(ISNUMBER(hospitalityq!K964+0)))</f>
        <v>0</v>
      </c>
      <c r="P964">
        <f>NOT(hospitalityq!P964="")*(NOT(IFERROR(INT(hospitalityq!P964)=VALUE(hospitalityq!P964),FALSE)))</f>
        <v>0</v>
      </c>
      <c r="Q964">
        <f>NOT(hospitalityq!Q964="")*(NOT(IFERROR(INT(hospitalityq!Q964)=VALUE(hospitalityq!Q964),FALSE)))</f>
        <v>0</v>
      </c>
      <c r="R964">
        <f>NOT(hospitalityq!R964="")*(NOT(IFERROR(ROUND(VALUE(hospitalityq!R964),2)=VALUE(hospitalityq!R964),FALSE)))</f>
        <v>0</v>
      </c>
    </row>
    <row r="965" spans="1:18" x14ac:dyDescent="0.25">
      <c r="A965">
        <f t="shared" si="14"/>
        <v>0</v>
      </c>
      <c r="C965">
        <f>NOT(hospitalityq!C965="")*(SUMPRODUCT(--(TRIM(hospitalityq!C6:C965)=TRIM(hospitalityq!C965)))&gt;1)</f>
        <v>0</v>
      </c>
      <c r="D965">
        <f>NOT(hospitalityq!D965="")*(COUNTIF(reference!$C$17:$C$18,TRIM(hospitalityq!D965))=0)</f>
        <v>0</v>
      </c>
      <c r="J965">
        <f>NOT(hospitalityq!J965="")*(NOT(ISNUMBER(hospitalityq!J965+0)))</f>
        <v>0</v>
      </c>
      <c r="K965">
        <f>NOT(hospitalityq!K965="")*(NOT(ISNUMBER(hospitalityq!K965+0)))</f>
        <v>0</v>
      </c>
      <c r="P965">
        <f>NOT(hospitalityq!P965="")*(NOT(IFERROR(INT(hospitalityq!P965)=VALUE(hospitalityq!P965),FALSE)))</f>
        <v>0</v>
      </c>
      <c r="Q965">
        <f>NOT(hospitalityq!Q965="")*(NOT(IFERROR(INT(hospitalityq!Q965)=VALUE(hospitalityq!Q965),FALSE)))</f>
        <v>0</v>
      </c>
      <c r="R965">
        <f>NOT(hospitalityq!R965="")*(NOT(IFERROR(ROUND(VALUE(hospitalityq!R965),2)=VALUE(hospitalityq!R965),FALSE)))</f>
        <v>0</v>
      </c>
    </row>
    <row r="966" spans="1:18" x14ac:dyDescent="0.25">
      <c r="A966">
        <f t="shared" ref="A966:A1029" si="15">IFERROR(MATCH(TRUE,INDEX(C966:R966&lt;&gt;0,),)+2,0)</f>
        <v>0</v>
      </c>
      <c r="C966">
        <f>NOT(hospitalityq!C966="")*(SUMPRODUCT(--(TRIM(hospitalityq!C6:C966)=TRIM(hospitalityq!C966)))&gt;1)</f>
        <v>0</v>
      </c>
      <c r="D966">
        <f>NOT(hospitalityq!D966="")*(COUNTIF(reference!$C$17:$C$18,TRIM(hospitalityq!D966))=0)</f>
        <v>0</v>
      </c>
      <c r="J966">
        <f>NOT(hospitalityq!J966="")*(NOT(ISNUMBER(hospitalityq!J966+0)))</f>
        <v>0</v>
      </c>
      <c r="K966">
        <f>NOT(hospitalityq!K966="")*(NOT(ISNUMBER(hospitalityq!K966+0)))</f>
        <v>0</v>
      </c>
      <c r="P966">
        <f>NOT(hospitalityq!P966="")*(NOT(IFERROR(INT(hospitalityq!P966)=VALUE(hospitalityq!P966),FALSE)))</f>
        <v>0</v>
      </c>
      <c r="Q966">
        <f>NOT(hospitalityq!Q966="")*(NOT(IFERROR(INT(hospitalityq!Q966)=VALUE(hospitalityq!Q966),FALSE)))</f>
        <v>0</v>
      </c>
      <c r="R966">
        <f>NOT(hospitalityq!R966="")*(NOT(IFERROR(ROUND(VALUE(hospitalityq!R966),2)=VALUE(hospitalityq!R966),FALSE)))</f>
        <v>0</v>
      </c>
    </row>
    <row r="967" spans="1:18" x14ac:dyDescent="0.25">
      <c r="A967">
        <f t="shared" si="15"/>
        <v>0</v>
      </c>
      <c r="C967">
        <f>NOT(hospitalityq!C967="")*(SUMPRODUCT(--(TRIM(hospitalityq!C6:C967)=TRIM(hospitalityq!C967)))&gt;1)</f>
        <v>0</v>
      </c>
      <c r="D967">
        <f>NOT(hospitalityq!D967="")*(COUNTIF(reference!$C$17:$C$18,TRIM(hospitalityq!D967))=0)</f>
        <v>0</v>
      </c>
      <c r="J967">
        <f>NOT(hospitalityq!J967="")*(NOT(ISNUMBER(hospitalityq!J967+0)))</f>
        <v>0</v>
      </c>
      <c r="K967">
        <f>NOT(hospitalityq!K967="")*(NOT(ISNUMBER(hospitalityq!K967+0)))</f>
        <v>0</v>
      </c>
      <c r="P967">
        <f>NOT(hospitalityq!P967="")*(NOT(IFERROR(INT(hospitalityq!P967)=VALUE(hospitalityq!P967),FALSE)))</f>
        <v>0</v>
      </c>
      <c r="Q967">
        <f>NOT(hospitalityq!Q967="")*(NOT(IFERROR(INT(hospitalityq!Q967)=VALUE(hospitalityq!Q967),FALSE)))</f>
        <v>0</v>
      </c>
      <c r="R967">
        <f>NOT(hospitalityq!R967="")*(NOT(IFERROR(ROUND(VALUE(hospitalityq!R967),2)=VALUE(hospitalityq!R967),FALSE)))</f>
        <v>0</v>
      </c>
    </row>
    <row r="968" spans="1:18" x14ac:dyDescent="0.25">
      <c r="A968">
        <f t="shared" si="15"/>
        <v>0</v>
      </c>
      <c r="C968">
        <f>NOT(hospitalityq!C968="")*(SUMPRODUCT(--(TRIM(hospitalityq!C6:C968)=TRIM(hospitalityq!C968)))&gt;1)</f>
        <v>0</v>
      </c>
      <c r="D968">
        <f>NOT(hospitalityq!D968="")*(COUNTIF(reference!$C$17:$C$18,TRIM(hospitalityq!D968))=0)</f>
        <v>0</v>
      </c>
      <c r="J968">
        <f>NOT(hospitalityq!J968="")*(NOT(ISNUMBER(hospitalityq!J968+0)))</f>
        <v>0</v>
      </c>
      <c r="K968">
        <f>NOT(hospitalityq!K968="")*(NOT(ISNUMBER(hospitalityq!K968+0)))</f>
        <v>0</v>
      </c>
      <c r="P968">
        <f>NOT(hospitalityq!P968="")*(NOT(IFERROR(INT(hospitalityq!P968)=VALUE(hospitalityq!P968),FALSE)))</f>
        <v>0</v>
      </c>
      <c r="Q968">
        <f>NOT(hospitalityq!Q968="")*(NOT(IFERROR(INT(hospitalityq!Q968)=VALUE(hospitalityq!Q968),FALSE)))</f>
        <v>0</v>
      </c>
      <c r="R968">
        <f>NOT(hospitalityq!R968="")*(NOT(IFERROR(ROUND(VALUE(hospitalityq!R968),2)=VALUE(hospitalityq!R968),FALSE)))</f>
        <v>0</v>
      </c>
    </row>
    <row r="969" spans="1:18" x14ac:dyDescent="0.25">
      <c r="A969">
        <f t="shared" si="15"/>
        <v>0</v>
      </c>
      <c r="C969">
        <f>NOT(hospitalityq!C969="")*(SUMPRODUCT(--(TRIM(hospitalityq!C6:C969)=TRIM(hospitalityq!C969)))&gt;1)</f>
        <v>0</v>
      </c>
      <c r="D969">
        <f>NOT(hospitalityq!D969="")*(COUNTIF(reference!$C$17:$C$18,TRIM(hospitalityq!D969))=0)</f>
        <v>0</v>
      </c>
      <c r="J969">
        <f>NOT(hospitalityq!J969="")*(NOT(ISNUMBER(hospitalityq!J969+0)))</f>
        <v>0</v>
      </c>
      <c r="K969">
        <f>NOT(hospitalityq!K969="")*(NOT(ISNUMBER(hospitalityq!K969+0)))</f>
        <v>0</v>
      </c>
      <c r="P969">
        <f>NOT(hospitalityq!P969="")*(NOT(IFERROR(INT(hospitalityq!P969)=VALUE(hospitalityq!P969),FALSE)))</f>
        <v>0</v>
      </c>
      <c r="Q969">
        <f>NOT(hospitalityq!Q969="")*(NOT(IFERROR(INT(hospitalityq!Q969)=VALUE(hospitalityq!Q969),FALSE)))</f>
        <v>0</v>
      </c>
      <c r="R969">
        <f>NOT(hospitalityq!R969="")*(NOT(IFERROR(ROUND(VALUE(hospitalityq!R969),2)=VALUE(hospitalityq!R969),FALSE)))</f>
        <v>0</v>
      </c>
    </row>
    <row r="970" spans="1:18" x14ac:dyDescent="0.25">
      <c r="A970">
        <f t="shared" si="15"/>
        <v>0</v>
      </c>
      <c r="C970">
        <f>NOT(hospitalityq!C970="")*(SUMPRODUCT(--(TRIM(hospitalityq!C6:C970)=TRIM(hospitalityq!C970)))&gt;1)</f>
        <v>0</v>
      </c>
      <c r="D970">
        <f>NOT(hospitalityq!D970="")*(COUNTIF(reference!$C$17:$C$18,TRIM(hospitalityq!D970))=0)</f>
        <v>0</v>
      </c>
      <c r="J970">
        <f>NOT(hospitalityq!J970="")*(NOT(ISNUMBER(hospitalityq!J970+0)))</f>
        <v>0</v>
      </c>
      <c r="K970">
        <f>NOT(hospitalityq!K970="")*(NOT(ISNUMBER(hospitalityq!K970+0)))</f>
        <v>0</v>
      </c>
      <c r="P970">
        <f>NOT(hospitalityq!P970="")*(NOT(IFERROR(INT(hospitalityq!P970)=VALUE(hospitalityq!P970),FALSE)))</f>
        <v>0</v>
      </c>
      <c r="Q970">
        <f>NOT(hospitalityq!Q970="")*(NOT(IFERROR(INT(hospitalityq!Q970)=VALUE(hospitalityq!Q970),FALSE)))</f>
        <v>0</v>
      </c>
      <c r="R970">
        <f>NOT(hospitalityq!R970="")*(NOT(IFERROR(ROUND(VALUE(hospitalityq!R970),2)=VALUE(hospitalityq!R970),FALSE)))</f>
        <v>0</v>
      </c>
    </row>
    <row r="971" spans="1:18" x14ac:dyDescent="0.25">
      <c r="A971">
        <f t="shared" si="15"/>
        <v>0</v>
      </c>
      <c r="C971">
        <f>NOT(hospitalityq!C971="")*(SUMPRODUCT(--(TRIM(hospitalityq!C6:C971)=TRIM(hospitalityq!C971)))&gt;1)</f>
        <v>0</v>
      </c>
      <c r="D971">
        <f>NOT(hospitalityq!D971="")*(COUNTIF(reference!$C$17:$C$18,TRIM(hospitalityq!D971))=0)</f>
        <v>0</v>
      </c>
      <c r="J971">
        <f>NOT(hospitalityq!J971="")*(NOT(ISNUMBER(hospitalityq!J971+0)))</f>
        <v>0</v>
      </c>
      <c r="K971">
        <f>NOT(hospitalityq!K971="")*(NOT(ISNUMBER(hospitalityq!K971+0)))</f>
        <v>0</v>
      </c>
      <c r="P971">
        <f>NOT(hospitalityq!P971="")*(NOT(IFERROR(INT(hospitalityq!P971)=VALUE(hospitalityq!P971),FALSE)))</f>
        <v>0</v>
      </c>
      <c r="Q971">
        <f>NOT(hospitalityq!Q971="")*(NOT(IFERROR(INT(hospitalityq!Q971)=VALUE(hospitalityq!Q971),FALSE)))</f>
        <v>0</v>
      </c>
      <c r="R971">
        <f>NOT(hospitalityq!R971="")*(NOT(IFERROR(ROUND(VALUE(hospitalityq!R971),2)=VALUE(hospitalityq!R971),FALSE)))</f>
        <v>0</v>
      </c>
    </row>
    <row r="972" spans="1:18" x14ac:dyDescent="0.25">
      <c r="A972">
        <f t="shared" si="15"/>
        <v>0</v>
      </c>
      <c r="C972">
        <f>NOT(hospitalityq!C972="")*(SUMPRODUCT(--(TRIM(hospitalityq!C6:C972)=TRIM(hospitalityq!C972)))&gt;1)</f>
        <v>0</v>
      </c>
      <c r="D972">
        <f>NOT(hospitalityq!D972="")*(COUNTIF(reference!$C$17:$C$18,TRIM(hospitalityq!D972))=0)</f>
        <v>0</v>
      </c>
      <c r="J972">
        <f>NOT(hospitalityq!J972="")*(NOT(ISNUMBER(hospitalityq!J972+0)))</f>
        <v>0</v>
      </c>
      <c r="K972">
        <f>NOT(hospitalityq!K972="")*(NOT(ISNUMBER(hospitalityq!K972+0)))</f>
        <v>0</v>
      </c>
      <c r="P972">
        <f>NOT(hospitalityq!P972="")*(NOT(IFERROR(INT(hospitalityq!P972)=VALUE(hospitalityq!P972),FALSE)))</f>
        <v>0</v>
      </c>
      <c r="Q972">
        <f>NOT(hospitalityq!Q972="")*(NOT(IFERROR(INT(hospitalityq!Q972)=VALUE(hospitalityq!Q972),FALSE)))</f>
        <v>0</v>
      </c>
      <c r="R972">
        <f>NOT(hospitalityq!R972="")*(NOT(IFERROR(ROUND(VALUE(hospitalityq!R972),2)=VALUE(hospitalityq!R972),FALSE)))</f>
        <v>0</v>
      </c>
    </row>
    <row r="973" spans="1:18" x14ac:dyDescent="0.25">
      <c r="A973">
        <f t="shared" si="15"/>
        <v>0</v>
      </c>
      <c r="C973">
        <f>NOT(hospitalityq!C973="")*(SUMPRODUCT(--(TRIM(hospitalityq!C6:C973)=TRIM(hospitalityq!C973)))&gt;1)</f>
        <v>0</v>
      </c>
      <c r="D973">
        <f>NOT(hospitalityq!D973="")*(COUNTIF(reference!$C$17:$C$18,TRIM(hospitalityq!D973))=0)</f>
        <v>0</v>
      </c>
      <c r="J973">
        <f>NOT(hospitalityq!J973="")*(NOT(ISNUMBER(hospitalityq!J973+0)))</f>
        <v>0</v>
      </c>
      <c r="K973">
        <f>NOT(hospitalityq!K973="")*(NOT(ISNUMBER(hospitalityq!K973+0)))</f>
        <v>0</v>
      </c>
      <c r="P973">
        <f>NOT(hospitalityq!P973="")*(NOT(IFERROR(INT(hospitalityq!P973)=VALUE(hospitalityq!P973),FALSE)))</f>
        <v>0</v>
      </c>
      <c r="Q973">
        <f>NOT(hospitalityq!Q973="")*(NOT(IFERROR(INT(hospitalityq!Q973)=VALUE(hospitalityq!Q973),FALSE)))</f>
        <v>0</v>
      </c>
      <c r="R973">
        <f>NOT(hospitalityq!R973="")*(NOT(IFERROR(ROUND(VALUE(hospitalityq!R973),2)=VALUE(hospitalityq!R973),FALSE)))</f>
        <v>0</v>
      </c>
    </row>
    <row r="974" spans="1:18" x14ac:dyDescent="0.25">
      <c r="A974">
        <f t="shared" si="15"/>
        <v>0</v>
      </c>
      <c r="C974">
        <f>NOT(hospitalityq!C974="")*(SUMPRODUCT(--(TRIM(hospitalityq!C6:C974)=TRIM(hospitalityq!C974)))&gt;1)</f>
        <v>0</v>
      </c>
      <c r="D974">
        <f>NOT(hospitalityq!D974="")*(COUNTIF(reference!$C$17:$C$18,TRIM(hospitalityq!D974))=0)</f>
        <v>0</v>
      </c>
      <c r="J974">
        <f>NOT(hospitalityq!J974="")*(NOT(ISNUMBER(hospitalityq!J974+0)))</f>
        <v>0</v>
      </c>
      <c r="K974">
        <f>NOT(hospitalityq!K974="")*(NOT(ISNUMBER(hospitalityq!K974+0)))</f>
        <v>0</v>
      </c>
      <c r="P974">
        <f>NOT(hospitalityq!P974="")*(NOT(IFERROR(INT(hospitalityq!P974)=VALUE(hospitalityq!P974),FALSE)))</f>
        <v>0</v>
      </c>
      <c r="Q974">
        <f>NOT(hospitalityq!Q974="")*(NOT(IFERROR(INT(hospitalityq!Q974)=VALUE(hospitalityq!Q974),FALSE)))</f>
        <v>0</v>
      </c>
      <c r="R974">
        <f>NOT(hospitalityq!R974="")*(NOT(IFERROR(ROUND(VALUE(hospitalityq!R974),2)=VALUE(hospitalityq!R974),FALSE)))</f>
        <v>0</v>
      </c>
    </row>
    <row r="975" spans="1:18" x14ac:dyDescent="0.25">
      <c r="A975">
        <f t="shared" si="15"/>
        <v>0</v>
      </c>
      <c r="C975">
        <f>NOT(hospitalityq!C975="")*(SUMPRODUCT(--(TRIM(hospitalityq!C6:C975)=TRIM(hospitalityq!C975)))&gt;1)</f>
        <v>0</v>
      </c>
      <c r="D975">
        <f>NOT(hospitalityq!D975="")*(COUNTIF(reference!$C$17:$C$18,TRIM(hospitalityq!D975))=0)</f>
        <v>0</v>
      </c>
      <c r="J975">
        <f>NOT(hospitalityq!J975="")*(NOT(ISNUMBER(hospitalityq!J975+0)))</f>
        <v>0</v>
      </c>
      <c r="K975">
        <f>NOT(hospitalityq!K975="")*(NOT(ISNUMBER(hospitalityq!K975+0)))</f>
        <v>0</v>
      </c>
      <c r="P975">
        <f>NOT(hospitalityq!P975="")*(NOT(IFERROR(INT(hospitalityq!P975)=VALUE(hospitalityq!P975),FALSE)))</f>
        <v>0</v>
      </c>
      <c r="Q975">
        <f>NOT(hospitalityq!Q975="")*(NOT(IFERROR(INT(hospitalityq!Q975)=VALUE(hospitalityq!Q975),FALSE)))</f>
        <v>0</v>
      </c>
      <c r="R975">
        <f>NOT(hospitalityq!R975="")*(NOT(IFERROR(ROUND(VALUE(hospitalityq!R975),2)=VALUE(hospitalityq!R975),FALSE)))</f>
        <v>0</v>
      </c>
    </row>
    <row r="976" spans="1:18" x14ac:dyDescent="0.25">
      <c r="A976">
        <f t="shared" si="15"/>
        <v>0</v>
      </c>
      <c r="C976">
        <f>NOT(hospitalityq!C976="")*(SUMPRODUCT(--(TRIM(hospitalityq!C6:C976)=TRIM(hospitalityq!C976)))&gt;1)</f>
        <v>0</v>
      </c>
      <c r="D976">
        <f>NOT(hospitalityq!D976="")*(COUNTIF(reference!$C$17:$C$18,TRIM(hospitalityq!D976))=0)</f>
        <v>0</v>
      </c>
      <c r="J976">
        <f>NOT(hospitalityq!J976="")*(NOT(ISNUMBER(hospitalityq!J976+0)))</f>
        <v>0</v>
      </c>
      <c r="K976">
        <f>NOT(hospitalityq!K976="")*(NOT(ISNUMBER(hospitalityq!K976+0)))</f>
        <v>0</v>
      </c>
      <c r="P976">
        <f>NOT(hospitalityq!P976="")*(NOT(IFERROR(INT(hospitalityq!P976)=VALUE(hospitalityq!P976),FALSE)))</f>
        <v>0</v>
      </c>
      <c r="Q976">
        <f>NOT(hospitalityq!Q976="")*(NOT(IFERROR(INT(hospitalityq!Q976)=VALUE(hospitalityq!Q976),FALSE)))</f>
        <v>0</v>
      </c>
      <c r="R976">
        <f>NOT(hospitalityq!R976="")*(NOT(IFERROR(ROUND(VALUE(hospitalityq!R976),2)=VALUE(hospitalityq!R976),FALSE)))</f>
        <v>0</v>
      </c>
    </row>
    <row r="977" spans="1:18" x14ac:dyDescent="0.25">
      <c r="A977">
        <f t="shared" si="15"/>
        <v>0</v>
      </c>
      <c r="C977">
        <f>NOT(hospitalityq!C977="")*(SUMPRODUCT(--(TRIM(hospitalityq!C6:C977)=TRIM(hospitalityq!C977)))&gt;1)</f>
        <v>0</v>
      </c>
      <c r="D977">
        <f>NOT(hospitalityq!D977="")*(COUNTIF(reference!$C$17:$C$18,TRIM(hospitalityq!D977))=0)</f>
        <v>0</v>
      </c>
      <c r="J977">
        <f>NOT(hospitalityq!J977="")*(NOT(ISNUMBER(hospitalityq!J977+0)))</f>
        <v>0</v>
      </c>
      <c r="K977">
        <f>NOT(hospitalityq!K977="")*(NOT(ISNUMBER(hospitalityq!K977+0)))</f>
        <v>0</v>
      </c>
      <c r="P977">
        <f>NOT(hospitalityq!P977="")*(NOT(IFERROR(INT(hospitalityq!P977)=VALUE(hospitalityq!P977),FALSE)))</f>
        <v>0</v>
      </c>
      <c r="Q977">
        <f>NOT(hospitalityq!Q977="")*(NOT(IFERROR(INT(hospitalityq!Q977)=VALUE(hospitalityq!Q977),FALSE)))</f>
        <v>0</v>
      </c>
      <c r="R977">
        <f>NOT(hospitalityq!R977="")*(NOT(IFERROR(ROUND(VALUE(hospitalityq!R977),2)=VALUE(hospitalityq!R977),FALSE)))</f>
        <v>0</v>
      </c>
    </row>
    <row r="978" spans="1:18" x14ac:dyDescent="0.25">
      <c r="A978">
        <f t="shared" si="15"/>
        <v>0</v>
      </c>
      <c r="C978">
        <f>NOT(hospitalityq!C978="")*(SUMPRODUCT(--(TRIM(hospitalityq!C6:C978)=TRIM(hospitalityq!C978)))&gt;1)</f>
        <v>0</v>
      </c>
      <c r="D978">
        <f>NOT(hospitalityq!D978="")*(COUNTIF(reference!$C$17:$C$18,TRIM(hospitalityq!D978))=0)</f>
        <v>0</v>
      </c>
      <c r="J978">
        <f>NOT(hospitalityq!J978="")*(NOT(ISNUMBER(hospitalityq!J978+0)))</f>
        <v>0</v>
      </c>
      <c r="K978">
        <f>NOT(hospitalityq!K978="")*(NOT(ISNUMBER(hospitalityq!K978+0)))</f>
        <v>0</v>
      </c>
      <c r="P978">
        <f>NOT(hospitalityq!P978="")*(NOT(IFERROR(INT(hospitalityq!P978)=VALUE(hospitalityq!P978),FALSE)))</f>
        <v>0</v>
      </c>
      <c r="Q978">
        <f>NOT(hospitalityq!Q978="")*(NOT(IFERROR(INT(hospitalityq!Q978)=VALUE(hospitalityq!Q978),FALSE)))</f>
        <v>0</v>
      </c>
      <c r="R978">
        <f>NOT(hospitalityq!R978="")*(NOT(IFERROR(ROUND(VALUE(hospitalityq!R978),2)=VALUE(hospitalityq!R978),FALSE)))</f>
        <v>0</v>
      </c>
    </row>
    <row r="979" spans="1:18" x14ac:dyDescent="0.25">
      <c r="A979">
        <f t="shared" si="15"/>
        <v>0</v>
      </c>
      <c r="C979">
        <f>NOT(hospitalityq!C979="")*(SUMPRODUCT(--(TRIM(hospitalityq!C6:C979)=TRIM(hospitalityq!C979)))&gt;1)</f>
        <v>0</v>
      </c>
      <c r="D979">
        <f>NOT(hospitalityq!D979="")*(COUNTIF(reference!$C$17:$C$18,TRIM(hospitalityq!D979))=0)</f>
        <v>0</v>
      </c>
      <c r="J979">
        <f>NOT(hospitalityq!J979="")*(NOT(ISNUMBER(hospitalityq!J979+0)))</f>
        <v>0</v>
      </c>
      <c r="K979">
        <f>NOT(hospitalityq!K979="")*(NOT(ISNUMBER(hospitalityq!K979+0)))</f>
        <v>0</v>
      </c>
      <c r="P979">
        <f>NOT(hospitalityq!P979="")*(NOT(IFERROR(INT(hospitalityq!P979)=VALUE(hospitalityq!P979),FALSE)))</f>
        <v>0</v>
      </c>
      <c r="Q979">
        <f>NOT(hospitalityq!Q979="")*(NOT(IFERROR(INT(hospitalityq!Q979)=VALUE(hospitalityq!Q979),FALSE)))</f>
        <v>0</v>
      </c>
      <c r="R979">
        <f>NOT(hospitalityq!R979="")*(NOT(IFERROR(ROUND(VALUE(hospitalityq!R979),2)=VALUE(hospitalityq!R979),FALSE)))</f>
        <v>0</v>
      </c>
    </row>
    <row r="980" spans="1:18" x14ac:dyDescent="0.25">
      <c r="A980">
        <f t="shared" si="15"/>
        <v>0</v>
      </c>
      <c r="C980">
        <f>NOT(hospitalityq!C980="")*(SUMPRODUCT(--(TRIM(hospitalityq!C6:C980)=TRIM(hospitalityq!C980)))&gt;1)</f>
        <v>0</v>
      </c>
      <c r="D980">
        <f>NOT(hospitalityq!D980="")*(COUNTIF(reference!$C$17:$C$18,TRIM(hospitalityq!D980))=0)</f>
        <v>0</v>
      </c>
      <c r="J980">
        <f>NOT(hospitalityq!J980="")*(NOT(ISNUMBER(hospitalityq!J980+0)))</f>
        <v>0</v>
      </c>
      <c r="K980">
        <f>NOT(hospitalityq!K980="")*(NOT(ISNUMBER(hospitalityq!K980+0)))</f>
        <v>0</v>
      </c>
      <c r="P980">
        <f>NOT(hospitalityq!P980="")*(NOT(IFERROR(INT(hospitalityq!P980)=VALUE(hospitalityq!P980),FALSE)))</f>
        <v>0</v>
      </c>
      <c r="Q980">
        <f>NOT(hospitalityq!Q980="")*(NOT(IFERROR(INT(hospitalityq!Q980)=VALUE(hospitalityq!Q980),FALSE)))</f>
        <v>0</v>
      </c>
      <c r="R980">
        <f>NOT(hospitalityq!R980="")*(NOT(IFERROR(ROUND(VALUE(hospitalityq!R980),2)=VALUE(hospitalityq!R980),FALSE)))</f>
        <v>0</v>
      </c>
    </row>
    <row r="981" spans="1:18" x14ac:dyDescent="0.25">
      <c r="A981">
        <f t="shared" si="15"/>
        <v>0</v>
      </c>
      <c r="C981">
        <f>NOT(hospitalityq!C981="")*(SUMPRODUCT(--(TRIM(hospitalityq!C6:C981)=TRIM(hospitalityq!C981)))&gt;1)</f>
        <v>0</v>
      </c>
      <c r="D981">
        <f>NOT(hospitalityq!D981="")*(COUNTIF(reference!$C$17:$C$18,TRIM(hospitalityq!D981))=0)</f>
        <v>0</v>
      </c>
      <c r="J981">
        <f>NOT(hospitalityq!J981="")*(NOT(ISNUMBER(hospitalityq!J981+0)))</f>
        <v>0</v>
      </c>
      <c r="K981">
        <f>NOT(hospitalityq!K981="")*(NOT(ISNUMBER(hospitalityq!K981+0)))</f>
        <v>0</v>
      </c>
      <c r="P981">
        <f>NOT(hospitalityq!P981="")*(NOT(IFERROR(INT(hospitalityq!P981)=VALUE(hospitalityq!P981),FALSE)))</f>
        <v>0</v>
      </c>
      <c r="Q981">
        <f>NOT(hospitalityq!Q981="")*(NOT(IFERROR(INT(hospitalityq!Q981)=VALUE(hospitalityq!Q981),FALSE)))</f>
        <v>0</v>
      </c>
      <c r="R981">
        <f>NOT(hospitalityq!R981="")*(NOT(IFERROR(ROUND(VALUE(hospitalityq!R981),2)=VALUE(hospitalityq!R981),FALSE)))</f>
        <v>0</v>
      </c>
    </row>
    <row r="982" spans="1:18" x14ac:dyDescent="0.25">
      <c r="A982">
        <f t="shared" si="15"/>
        <v>0</v>
      </c>
      <c r="C982">
        <f>NOT(hospitalityq!C982="")*(SUMPRODUCT(--(TRIM(hospitalityq!C6:C982)=TRIM(hospitalityq!C982)))&gt;1)</f>
        <v>0</v>
      </c>
      <c r="D982">
        <f>NOT(hospitalityq!D982="")*(COUNTIF(reference!$C$17:$C$18,TRIM(hospitalityq!D982))=0)</f>
        <v>0</v>
      </c>
      <c r="J982">
        <f>NOT(hospitalityq!J982="")*(NOT(ISNUMBER(hospitalityq!J982+0)))</f>
        <v>0</v>
      </c>
      <c r="K982">
        <f>NOT(hospitalityq!K982="")*(NOT(ISNUMBER(hospitalityq!K982+0)))</f>
        <v>0</v>
      </c>
      <c r="P982">
        <f>NOT(hospitalityq!P982="")*(NOT(IFERROR(INT(hospitalityq!P982)=VALUE(hospitalityq!P982),FALSE)))</f>
        <v>0</v>
      </c>
      <c r="Q982">
        <f>NOT(hospitalityq!Q982="")*(NOT(IFERROR(INT(hospitalityq!Q982)=VALUE(hospitalityq!Q982),FALSE)))</f>
        <v>0</v>
      </c>
      <c r="R982">
        <f>NOT(hospitalityq!R982="")*(NOT(IFERROR(ROUND(VALUE(hospitalityq!R982),2)=VALUE(hospitalityq!R982),FALSE)))</f>
        <v>0</v>
      </c>
    </row>
    <row r="983" spans="1:18" x14ac:dyDescent="0.25">
      <c r="A983">
        <f t="shared" si="15"/>
        <v>0</v>
      </c>
      <c r="C983">
        <f>NOT(hospitalityq!C983="")*(SUMPRODUCT(--(TRIM(hospitalityq!C6:C983)=TRIM(hospitalityq!C983)))&gt;1)</f>
        <v>0</v>
      </c>
      <c r="D983">
        <f>NOT(hospitalityq!D983="")*(COUNTIF(reference!$C$17:$C$18,TRIM(hospitalityq!D983))=0)</f>
        <v>0</v>
      </c>
      <c r="J983">
        <f>NOT(hospitalityq!J983="")*(NOT(ISNUMBER(hospitalityq!J983+0)))</f>
        <v>0</v>
      </c>
      <c r="K983">
        <f>NOT(hospitalityq!K983="")*(NOT(ISNUMBER(hospitalityq!K983+0)))</f>
        <v>0</v>
      </c>
      <c r="P983">
        <f>NOT(hospitalityq!P983="")*(NOT(IFERROR(INT(hospitalityq!P983)=VALUE(hospitalityq!P983),FALSE)))</f>
        <v>0</v>
      </c>
      <c r="Q983">
        <f>NOT(hospitalityq!Q983="")*(NOT(IFERROR(INT(hospitalityq!Q983)=VALUE(hospitalityq!Q983),FALSE)))</f>
        <v>0</v>
      </c>
      <c r="R983">
        <f>NOT(hospitalityq!R983="")*(NOT(IFERROR(ROUND(VALUE(hospitalityq!R983),2)=VALUE(hospitalityq!R983),FALSE)))</f>
        <v>0</v>
      </c>
    </row>
    <row r="984" spans="1:18" x14ac:dyDescent="0.25">
      <c r="A984">
        <f t="shared" si="15"/>
        <v>0</v>
      </c>
      <c r="C984">
        <f>NOT(hospitalityq!C984="")*(SUMPRODUCT(--(TRIM(hospitalityq!C6:C984)=TRIM(hospitalityq!C984)))&gt;1)</f>
        <v>0</v>
      </c>
      <c r="D984">
        <f>NOT(hospitalityq!D984="")*(COUNTIF(reference!$C$17:$C$18,TRIM(hospitalityq!D984))=0)</f>
        <v>0</v>
      </c>
      <c r="J984">
        <f>NOT(hospitalityq!J984="")*(NOT(ISNUMBER(hospitalityq!J984+0)))</f>
        <v>0</v>
      </c>
      <c r="K984">
        <f>NOT(hospitalityq!K984="")*(NOT(ISNUMBER(hospitalityq!K984+0)))</f>
        <v>0</v>
      </c>
      <c r="P984">
        <f>NOT(hospitalityq!P984="")*(NOT(IFERROR(INT(hospitalityq!P984)=VALUE(hospitalityq!P984),FALSE)))</f>
        <v>0</v>
      </c>
      <c r="Q984">
        <f>NOT(hospitalityq!Q984="")*(NOT(IFERROR(INT(hospitalityq!Q984)=VALUE(hospitalityq!Q984),FALSE)))</f>
        <v>0</v>
      </c>
      <c r="R984">
        <f>NOT(hospitalityq!R984="")*(NOT(IFERROR(ROUND(VALUE(hospitalityq!R984),2)=VALUE(hospitalityq!R984),FALSE)))</f>
        <v>0</v>
      </c>
    </row>
    <row r="985" spans="1:18" x14ac:dyDescent="0.25">
      <c r="A985">
        <f t="shared" si="15"/>
        <v>0</v>
      </c>
      <c r="C985">
        <f>NOT(hospitalityq!C985="")*(SUMPRODUCT(--(TRIM(hospitalityq!C6:C985)=TRIM(hospitalityq!C985)))&gt;1)</f>
        <v>0</v>
      </c>
      <c r="D985">
        <f>NOT(hospitalityq!D985="")*(COUNTIF(reference!$C$17:$C$18,TRIM(hospitalityq!D985))=0)</f>
        <v>0</v>
      </c>
      <c r="J985">
        <f>NOT(hospitalityq!J985="")*(NOT(ISNUMBER(hospitalityq!J985+0)))</f>
        <v>0</v>
      </c>
      <c r="K985">
        <f>NOT(hospitalityq!K985="")*(NOT(ISNUMBER(hospitalityq!K985+0)))</f>
        <v>0</v>
      </c>
      <c r="P985">
        <f>NOT(hospitalityq!P985="")*(NOT(IFERROR(INT(hospitalityq!P985)=VALUE(hospitalityq!P985),FALSE)))</f>
        <v>0</v>
      </c>
      <c r="Q985">
        <f>NOT(hospitalityq!Q985="")*(NOT(IFERROR(INT(hospitalityq!Q985)=VALUE(hospitalityq!Q985),FALSE)))</f>
        <v>0</v>
      </c>
      <c r="R985">
        <f>NOT(hospitalityq!R985="")*(NOT(IFERROR(ROUND(VALUE(hospitalityq!R985),2)=VALUE(hospitalityq!R985),FALSE)))</f>
        <v>0</v>
      </c>
    </row>
    <row r="986" spans="1:18" x14ac:dyDescent="0.25">
      <c r="A986">
        <f t="shared" si="15"/>
        <v>0</v>
      </c>
      <c r="C986">
        <f>NOT(hospitalityq!C986="")*(SUMPRODUCT(--(TRIM(hospitalityq!C6:C986)=TRIM(hospitalityq!C986)))&gt;1)</f>
        <v>0</v>
      </c>
      <c r="D986">
        <f>NOT(hospitalityq!D986="")*(COUNTIF(reference!$C$17:$C$18,TRIM(hospitalityq!D986))=0)</f>
        <v>0</v>
      </c>
      <c r="J986">
        <f>NOT(hospitalityq!J986="")*(NOT(ISNUMBER(hospitalityq!J986+0)))</f>
        <v>0</v>
      </c>
      <c r="K986">
        <f>NOT(hospitalityq!K986="")*(NOT(ISNUMBER(hospitalityq!K986+0)))</f>
        <v>0</v>
      </c>
      <c r="P986">
        <f>NOT(hospitalityq!P986="")*(NOT(IFERROR(INT(hospitalityq!P986)=VALUE(hospitalityq!P986),FALSE)))</f>
        <v>0</v>
      </c>
      <c r="Q986">
        <f>NOT(hospitalityq!Q986="")*(NOT(IFERROR(INT(hospitalityq!Q986)=VALUE(hospitalityq!Q986),FALSE)))</f>
        <v>0</v>
      </c>
      <c r="R986">
        <f>NOT(hospitalityq!R986="")*(NOT(IFERROR(ROUND(VALUE(hospitalityq!R986),2)=VALUE(hospitalityq!R986),FALSE)))</f>
        <v>0</v>
      </c>
    </row>
    <row r="987" spans="1:18" x14ac:dyDescent="0.25">
      <c r="A987">
        <f t="shared" si="15"/>
        <v>0</v>
      </c>
      <c r="C987">
        <f>NOT(hospitalityq!C987="")*(SUMPRODUCT(--(TRIM(hospitalityq!C6:C987)=TRIM(hospitalityq!C987)))&gt;1)</f>
        <v>0</v>
      </c>
      <c r="D987">
        <f>NOT(hospitalityq!D987="")*(COUNTIF(reference!$C$17:$C$18,TRIM(hospitalityq!D987))=0)</f>
        <v>0</v>
      </c>
      <c r="J987">
        <f>NOT(hospitalityq!J987="")*(NOT(ISNUMBER(hospitalityq!J987+0)))</f>
        <v>0</v>
      </c>
      <c r="K987">
        <f>NOT(hospitalityq!K987="")*(NOT(ISNUMBER(hospitalityq!K987+0)))</f>
        <v>0</v>
      </c>
      <c r="P987">
        <f>NOT(hospitalityq!P987="")*(NOT(IFERROR(INT(hospitalityq!P987)=VALUE(hospitalityq!P987),FALSE)))</f>
        <v>0</v>
      </c>
      <c r="Q987">
        <f>NOT(hospitalityq!Q987="")*(NOT(IFERROR(INT(hospitalityq!Q987)=VALUE(hospitalityq!Q987),FALSE)))</f>
        <v>0</v>
      </c>
      <c r="R987">
        <f>NOT(hospitalityq!R987="")*(NOT(IFERROR(ROUND(VALUE(hospitalityq!R987),2)=VALUE(hospitalityq!R987),FALSE)))</f>
        <v>0</v>
      </c>
    </row>
    <row r="988" spans="1:18" x14ac:dyDescent="0.25">
      <c r="A988">
        <f t="shared" si="15"/>
        <v>0</v>
      </c>
      <c r="C988">
        <f>NOT(hospitalityq!C988="")*(SUMPRODUCT(--(TRIM(hospitalityq!C6:C988)=TRIM(hospitalityq!C988)))&gt;1)</f>
        <v>0</v>
      </c>
      <c r="D988">
        <f>NOT(hospitalityq!D988="")*(COUNTIF(reference!$C$17:$C$18,TRIM(hospitalityq!D988))=0)</f>
        <v>0</v>
      </c>
      <c r="J988">
        <f>NOT(hospitalityq!J988="")*(NOT(ISNUMBER(hospitalityq!J988+0)))</f>
        <v>0</v>
      </c>
      <c r="K988">
        <f>NOT(hospitalityq!K988="")*(NOT(ISNUMBER(hospitalityq!K988+0)))</f>
        <v>0</v>
      </c>
      <c r="P988">
        <f>NOT(hospitalityq!P988="")*(NOT(IFERROR(INT(hospitalityq!P988)=VALUE(hospitalityq!P988),FALSE)))</f>
        <v>0</v>
      </c>
      <c r="Q988">
        <f>NOT(hospitalityq!Q988="")*(NOT(IFERROR(INT(hospitalityq!Q988)=VALUE(hospitalityq!Q988),FALSE)))</f>
        <v>0</v>
      </c>
      <c r="R988">
        <f>NOT(hospitalityq!R988="")*(NOT(IFERROR(ROUND(VALUE(hospitalityq!R988),2)=VALUE(hospitalityq!R988),FALSE)))</f>
        <v>0</v>
      </c>
    </row>
    <row r="989" spans="1:18" x14ac:dyDescent="0.25">
      <c r="A989">
        <f t="shared" si="15"/>
        <v>0</v>
      </c>
      <c r="C989">
        <f>NOT(hospitalityq!C989="")*(SUMPRODUCT(--(TRIM(hospitalityq!C6:C989)=TRIM(hospitalityq!C989)))&gt;1)</f>
        <v>0</v>
      </c>
      <c r="D989">
        <f>NOT(hospitalityq!D989="")*(COUNTIF(reference!$C$17:$C$18,TRIM(hospitalityq!D989))=0)</f>
        <v>0</v>
      </c>
      <c r="J989">
        <f>NOT(hospitalityq!J989="")*(NOT(ISNUMBER(hospitalityq!J989+0)))</f>
        <v>0</v>
      </c>
      <c r="K989">
        <f>NOT(hospitalityq!K989="")*(NOT(ISNUMBER(hospitalityq!K989+0)))</f>
        <v>0</v>
      </c>
      <c r="P989">
        <f>NOT(hospitalityq!P989="")*(NOT(IFERROR(INT(hospitalityq!P989)=VALUE(hospitalityq!P989),FALSE)))</f>
        <v>0</v>
      </c>
      <c r="Q989">
        <f>NOT(hospitalityq!Q989="")*(NOT(IFERROR(INT(hospitalityq!Q989)=VALUE(hospitalityq!Q989),FALSE)))</f>
        <v>0</v>
      </c>
      <c r="R989">
        <f>NOT(hospitalityq!R989="")*(NOT(IFERROR(ROUND(VALUE(hospitalityq!R989),2)=VALUE(hospitalityq!R989),FALSE)))</f>
        <v>0</v>
      </c>
    </row>
    <row r="990" spans="1:18" x14ac:dyDescent="0.25">
      <c r="A990">
        <f t="shared" si="15"/>
        <v>0</v>
      </c>
      <c r="C990">
        <f>NOT(hospitalityq!C990="")*(SUMPRODUCT(--(TRIM(hospitalityq!C6:C990)=TRIM(hospitalityq!C990)))&gt;1)</f>
        <v>0</v>
      </c>
      <c r="D990">
        <f>NOT(hospitalityq!D990="")*(COUNTIF(reference!$C$17:$C$18,TRIM(hospitalityq!D990))=0)</f>
        <v>0</v>
      </c>
      <c r="J990">
        <f>NOT(hospitalityq!J990="")*(NOT(ISNUMBER(hospitalityq!J990+0)))</f>
        <v>0</v>
      </c>
      <c r="K990">
        <f>NOT(hospitalityq!K990="")*(NOT(ISNUMBER(hospitalityq!K990+0)))</f>
        <v>0</v>
      </c>
      <c r="P990">
        <f>NOT(hospitalityq!P990="")*(NOT(IFERROR(INT(hospitalityq!P990)=VALUE(hospitalityq!P990),FALSE)))</f>
        <v>0</v>
      </c>
      <c r="Q990">
        <f>NOT(hospitalityq!Q990="")*(NOT(IFERROR(INT(hospitalityq!Q990)=VALUE(hospitalityq!Q990),FALSE)))</f>
        <v>0</v>
      </c>
      <c r="R990">
        <f>NOT(hospitalityq!R990="")*(NOT(IFERROR(ROUND(VALUE(hospitalityq!R990),2)=VALUE(hospitalityq!R990),FALSE)))</f>
        <v>0</v>
      </c>
    </row>
    <row r="991" spans="1:18" x14ac:dyDescent="0.25">
      <c r="A991">
        <f t="shared" si="15"/>
        <v>0</v>
      </c>
      <c r="C991">
        <f>NOT(hospitalityq!C991="")*(SUMPRODUCT(--(TRIM(hospitalityq!C6:C991)=TRIM(hospitalityq!C991)))&gt;1)</f>
        <v>0</v>
      </c>
      <c r="D991">
        <f>NOT(hospitalityq!D991="")*(COUNTIF(reference!$C$17:$C$18,TRIM(hospitalityq!D991))=0)</f>
        <v>0</v>
      </c>
      <c r="J991">
        <f>NOT(hospitalityq!J991="")*(NOT(ISNUMBER(hospitalityq!J991+0)))</f>
        <v>0</v>
      </c>
      <c r="K991">
        <f>NOT(hospitalityq!K991="")*(NOT(ISNUMBER(hospitalityq!K991+0)))</f>
        <v>0</v>
      </c>
      <c r="P991">
        <f>NOT(hospitalityq!P991="")*(NOT(IFERROR(INT(hospitalityq!P991)=VALUE(hospitalityq!P991),FALSE)))</f>
        <v>0</v>
      </c>
      <c r="Q991">
        <f>NOT(hospitalityq!Q991="")*(NOT(IFERROR(INT(hospitalityq!Q991)=VALUE(hospitalityq!Q991),FALSE)))</f>
        <v>0</v>
      </c>
      <c r="R991">
        <f>NOT(hospitalityq!R991="")*(NOT(IFERROR(ROUND(VALUE(hospitalityq!R991),2)=VALUE(hospitalityq!R991),FALSE)))</f>
        <v>0</v>
      </c>
    </row>
    <row r="992" spans="1:18" x14ac:dyDescent="0.25">
      <c r="A992">
        <f t="shared" si="15"/>
        <v>0</v>
      </c>
      <c r="C992">
        <f>NOT(hospitalityq!C992="")*(SUMPRODUCT(--(TRIM(hospitalityq!C6:C992)=TRIM(hospitalityq!C992)))&gt;1)</f>
        <v>0</v>
      </c>
      <c r="D992">
        <f>NOT(hospitalityq!D992="")*(COUNTIF(reference!$C$17:$C$18,TRIM(hospitalityq!D992))=0)</f>
        <v>0</v>
      </c>
      <c r="J992">
        <f>NOT(hospitalityq!J992="")*(NOT(ISNUMBER(hospitalityq!J992+0)))</f>
        <v>0</v>
      </c>
      <c r="K992">
        <f>NOT(hospitalityq!K992="")*(NOT(ISNUMBER(hospitalityq!K992+0)))</f>
        <v>0</v>
      </c>
      <c r="P992">
        <f>NOT(hospitalityq!P992="")*(NOT(IFERROR(INT(hospitalityq!P992)=VALUE(hospitalityq!P992),FALSE)))</f>
        <v>0</v>
      </c>
      <c r="Q992">
        <f>NOT(hospitalityq!Q992="")*(NOT(IFERROR(INT(hospitalityq!Q992)=VALUE(hospitalityq!Q992),FALSE)))</f>
        <v>0</v>
      </c>
      <c r="R992">
        <f>NOT(hospitalityq!R992="")*(NOT(IFERROR(ROUND(VALUE(hospitalityq!R992),2)=VALUE(hospitalityq!R992),FALSE)))</f>
        <v>0</v>
      </c>
    </row>
    <row r="993" spans="1:18" x14ac:dyDescent="0.25">
      <c r="A993">
        <f t="shared" si="15"/>
        <v>0</v>
      </c>
      <c r="C993">
        <f>NOT(hospitalityq!C993="")*(SUMPRODUCT(--(TRIM(hospitalityq!C6:C993)=TRIM(hospitalityq!C993)))&gt;1)</f>
        <v>0</v>
      </c>
      <c r="D993">
        <f>NOT(hospitalityq!D993="")*(COUNTIF(reference!$C$17:$C$18,TRIM(hospitalityq!D993))=0)</f>
        <v>0</v>
      </c>
      <c r="J993">
        <f>NOT(hospitalityq!J993="")*(NOT(ISNUMBER(hospitalityq!J993+0)))</f>
        <v>0</v>
      </c>
      <c r="K993">
        <f>NOT(hospitalityq!K993="")*(NOT(ISNUMBER(hospitalityq!K993+0)))</f>
        <v>0</v>
      </c>
      <c r="P993">
        <f>NOT(hospitalityq!P993="")*(NOT(IFERROR(INT(hospitalityq!P993)=VALUE(hospitalityq!P993),FALSE)))</f>
        <v>0</v>
      </c>
      <c r="Q993">
        <f>NOT(hospitalityq!Q993="")*(NOT(IFERROR(INT(hospitalityq!Q993)=VALUE(hospitalityq!Q993),FALSE)))</f>
        <v>0</v>
      </c>
      <c r="R993">
        <f>NOT(hospitalityq!R993="")*(NOT(IFERROR(ROUND(VALUE(hospitalityq!R993),2)=VALUE(hospitalityq!R993),FALSE)))</f>
        <v>0</v>
      </c>
    </row>
    <row r="994" spans="1:18" x14ac:dyDescent="0.25">
      <c r="A994">
        <f t="shared" si="15"/>
        <v>0</v>
      </c>
      <c r="C994">
        <f>NOT(hospitalityq!C994="")*(SUMPRODUCT(--(TRIM(hospitalityq!C6:C994)=TRIM(hospitalityq!C994)))&gt;1)</f>
        <v>0</v>
      </c>
      <c r="D994">
        <f>NOT(hospitalityq!D994="")*(COUNTIF(reference!$C$17:$C$18,TRIM(hospitalityq!D994))=0)</f>
        <v>0</v>
      </c>
      <c r="J994">
        <f>NOT(hospitalityq!J994="")*(NOT(ISNUMBER(hospitalityq!J994+0)))</f>
        <v>0</v>
      </c>
      <c r="K994">
        <f>NOT(hospitalityq!K994="")*(NOT(ISNUMBER(hospitalityq!K994+0)))</f>
        <v>0</v>
      </c>
      <c r="P994">
        <f>NOT(hospitalityq!P994="")*(NOT(IFERROR(INT(hospitalityq!P994)=VALUE(hospitalityq!P994),FALSE)))</f>
        <v>0</v>
      </c>
      <c r="Q994">
        <f>NOT(hospitalityq!Q994="")*(NOT(IFERROR(INT(hospitalityq!Q994)=VALUE(hospitalityq!Q994),FALSE)))</f>
        <v>0</v>
      </c>
      <c r="R994">
        <f>NOT(hospitalityq!R994="")*(NOT(IFERROR(ROUND(VALUE(hospitalityq!R994),2)=VALUE(hospitalityq!R994),FALSE)))</f>
        <v>0</v>
      </c>
    </row>
    <row r="995" spans="1:18" x14ac:dyDescent="0.25">
      <c r="A995">
        <f t="shared" si="15"/>
        <v>0</v>
      </c>
      <c r="C995">
        <f>NOT(hospitalityq!C995="")*(SUMPRODUCT(--(TRIM(hospitalityq!C6:C995)=TRIM(hospitalityq!C995)))&gt;1)</f>
        <v>0</v>
      </c>
      <c r="D995">
        <f>NOT(hospitalityq!D995="")*(COUNTIF(reference!$C$17:$C$18,TRIM(hospitalityq!D995))=0)</f>
        <v>0</v>
      </c>
      <c r="J995">
        <f>NOT(hospitalityq!J995="")*(NOT(ISNUMBER(hospitalityq!J995+0)))</f>
        <v>0</v>
      </c>
      <c r="K995">
        <f>NOT(hospitalityq!K995="")*(NOT(ISNUMBER(hospitalityq!K995+0)))</f>
        <v>0</v>
      </c>
      <c r="P995">
        <f>NOT(hospitalityq!P995="")*(NOT(IFERROR(INT(hospitalityq!P995)=VALUE(hospitalityq!P995),FALSE)))</f>
        <v>0</v>
      </c>
      <c r="Q995">
        <f>NOT(hospitalityq!Q995="")*(NOT(IFERROR(INT(hospitalityq!Q995)=VALUE(hospitalityq!Q995),FALSE)))</f>
        <v>0</v>
      </c>
      <c r="R995">
        <f>NOT(hospitalityq!R995="")*(NOT(IFERROR(ROUND(VALUE(hospitalityq!R995),2)=VALUE(hospitalityq!R995),FALSE)))</f>
        <v>0</v>
      </c>
    </row>
    <row r="996" spans="1:18" x14ac:dyDescent="0.25">
      <c r="A996">
        <f t="shared" si="15"/>
        <v>0</v>
      </c>
      <c r="C996">
        <f>NOT(hospitalityq!C996="")*(SUMPRODUCT(--(TRIM(hospitalityq!C6:C996)=TRIM(hospitalityq!C996)))&gt;1)</f>
        <v>0</v>
      </c>
      <c r="D996">
        <f>NOT(hospitalityq!D996="")*(COUNTIF(reference!$C$17:$C$18,TRIM(hospitalityq!D996))=0)</f>
        <v>0</v>
      </c>
      <c r="J996">
        <f>NOT(hospitalityq!J996="")*(NOT(ISNUMBER(hospitalityq!J996+0)))</f>
        <v>0</v>
      </c>
      <c r="K996">
        <f>NOT(hospitalityq!K996="")*(NOT(ISNUMBER(hospitalityq!K996+0)))</f>
        <v>0</v>
      </c>
      <c r="P996">
        <f>NOT(hospitalityq!P996="")*(NOT(IFERROR(INT(hospitalityq!P996)=VALUE(hospitalityq!P996),FALSE)))</f>
        <v>0</v>
      </c>
      <c r="Q996">
        <f>NOT(hospitalityq!Q996="")*(NOT(IFERROR(INT(hospitalityq!Q996)=VALUE(hospitalityq!Q996),FALSE)))</f>
        <v>0</v>
      </c>
      <c r="R996">
        <f>NOT(hospitalityq!R996="")*(NOT(IFERROR(ROUND(VALUE(hospitalityq!R996),2)=VALUE(hospitalityq!R996),FALSE)))</f>
        <v>0</v>
      </c>
    </row>
    <row r="997" spans="1:18" x14ac:dyDescent="0.25">
      <c r="A997">
        <f t="shared" si="15"/>
        <v>0</v>
      </c>
      <c r="C997">
        <f>NOT(hospitalityq!C997="")*(SUMPRODUCT(--(TRIM(hospitalityq!C6:C997)=TRIM(hospitalityq!C997)))&gt;1)</f>
        <v>0</v>
      </c>
      <c r="D997">
        <f>NOT(hospitalityq!D997="")*(COUNTIF(reference!$C$17:$C$18,TRIM(hospitalityq!D997))=0)</f>
        <v>0</v>
      </c>
      <c r="J997">
        <f>NOT(hospitalityq!J997="")*(NOT(ISNUMBER(hospitalityq!J997+0)))</f>
        <v>0</v>
      </c>
      <c r="K997">
        <f>NOT(hospitalityq!K997="")*(NOT(ISNUMBER(hospitalityq!K997+0)))</f>
        <v>0</v>
      </c>
      <c r="P997">
        <f>NOT(hospitalityq!P997="")*(NOT(IFERROR(INT(hospitalityq!P997)=VALUE(hospitalityq!P997),FALSE)))</f>
        <v>0</v>
      </c>
      <c r="Q997">
        <f>NOT(hospitalityq!Q997="")*(NOT(IFERROR(INT(hospitalityq!Q997)=VALUE(hospitalityq!Q997),FALSE)))</f>
        <v>0</v>
      </c>
      <c r="R997">
        <f>NOT(hospitalityq!R997="")*(NOT(IFERROR(ROUND(VALUE(hospitalityq!R997),2)=VALUE(hospitalityq!R997),FALSE)))</f>
        <v>0</v>
      </c>
    </row>
    <row r="998" spans="1:18" x14ac:dyDescent="0.25">
      <c r="A998">
        <f t="shared" si="15"/>
        <v>0</v>
      </c>
      <c r="C998">
        <f>NOT(hospitalityq!C998="")*(SUMPRODUCT(--(TRIM(hospitalityq!C6:C998)=TRIM(hospitalityq!C998)))&gt;1)</f>
        <v>0</v>
      </c>
      <c r="D998">
        <f>NOT(hospitalityq!D998="")*(COUNTIF(reference!$C$17:$C$18,TRIM(hospitalityq!D998))=0)</f>
        <v>0</v>
      </c>
      <c r="J998">
        <f>NOT(hospitalityq!J998="")*(NOT(ISNUMBER(hospitalityq!J998+0)))</f>
        <v>0</v>
      </c>
      <c r="K998">
        <f>NOT(hospitalityq!K998="")*(NOT(ISNUMBER(hospitalityq!K998+0)))</f>
        <v>0</v>
      </c>
      <c r="P998">
        <f>NOT(hospitalityq!P998="")*(NOT(IFERROR(INT(hospitalityq!P998)=VALUE(hospitalityq!P998),FALSE)))</f>
        <v>0</v>
      </c>
      <c r="Q998">
        <f>NOT(hospitalityq!Q998="")*(NOT(IFERROR(INT(hospitalityq!Q998)=VALUE(hospitalityq!Q998),FALSE)))</f>
        <v>0</v>
      </c>
      <c r="R998">
        <f>NOT(hospitalityq!R998="")*(NOT(IFERROR(ROUND(VALUE(hospitalityq!R998),2)=VALUE(hospitalityq!R998),FALSE)))</f>
        <v>0</v>
      </c>
    </row>
    <row r="999" spans="1:18" x14ac:dyDescent="0.25">
      <c r="A999">
        <f t="shared" si="15"/>
        <v>0</v>
      </c>
      <c r="C999">
        <f>NOT(hospitalityq!C999="")*(SUMPRODUCT(--(TRIM(hospitalityq!C6:C999)=TRIM(hospitalityq!C999)))&gt;1)</f>
        <v>0</v>
      </c>
      <c r="D999">
        <f>NOT(hospitalityq!D999="")*(COUNTIF(reference!$C$17:$C$18,TRIM(hospitalityq!D999))=0)</f>
        <v>0</v>
      </c>
      <c r="J999">
        <f>NOT(hospitalityq!J999="")*(NOT(ISNUMBER(hospitalityq!J999+0)))</f>
        <v>0</v>
      </c>
      <c r="K999">
        <f>NOT(hospitalityq!K999="")*(NOT(ISNUMBER(hospitalityq!K999+0)))</f>
        <v>0</v>
      </c>
      <c r="P999">
        <f>NOT(hospitalityq!P999="")*(NOT(IFERROR(INT(hospitalityq!P999)=VALUE(hospitalityq!P999),FALSE)))</f>
        <v>0</v>
      </c>
      <c r="Q999">
        <f>NOT(hospitalityq!Q999="")*(NOT(IFERROR(INT(hospitalityq!Q999)=VALUE(hospitalityq!Q999),FALSE)))</f>
        <v>0</v>
      </c>
      <c r="R999">
        <f>NOT(hospitalityq!R999="")*(NOT(IFERROR(ROUND(VALUE(hospitalityq!R999),2)=VALUE(hospitalityq!R999),FALSE)))</f>
        <v>0</v>
      </c>
    </row>
    <row r="1000" spans="1:18" x14ac:dyDescent="0.25">
      <c r="A1000">
        <f t="shared" si="15"/>
        <v>0</v>
      </c>
      <c r="C1000">
        <f>NOT(hospitalityq!C1000="")*(SUMPRODUCT(--(TRIM(hospitalityq!C6:C1000)=TRIM(hospitalityq!C1000)))&gt;1)</f>
        <v>0</v>
      </c>
      <c r="D1000">
        <f>NOT(hospitalityq!D1000="")*(COUNTIF(reference!$C$17:$C$18,TRIM(hospitalityq!D1000))=0)</f>
        <v>0</v>
      </c>
      <c r="J1000">
        <f>NOT(hospitalityq!J1000="")*(NOT(ISNUMBER(hospitalityq!J1000+0)))</f>
        <v>0</v>
      </c>
      <c r="K1000">
        <f>NOT(hospitalityq!K1000="")*(NOT(ISNUMBER(hospitalityq!K1000+0)))</f>
        <v>0</v>
      </c>
      <c r="P1000">
        <f>NOT(hospitalityq!P1000="")*(NOT(IFERROR(INT(hospitalityq!P1000)=VALUE(hospitalityq!P1000),FALSE)))</f>
        <v>0</v>
      </c>
      <c r="Q1000">
        <f>NOT(hospitalityq!Q1000="")*(NOT(IFERROR(INT(hospitalityq!Q1000)=VALUE(hospitalityq!Q1000),FALSE)))</f>
        <v>0</v>
      </c>
      <c r="R1000">
        <f>NOT(hospitalityq!R1000="")*(NOT(IFERROR(ROUND(VALUE(hospitalityq!R1000),2)=VALUE(hospitalityq!R1000),FALSE)))</f>
        <v>0</v>
      </c>
    </row>
    <row r="1001" spans="1:18" x14ac:dyDescent="0.25">
      <c r="A1001">
        <f t="shared" si="15"/>
        <v>0</v>
      </c>
      <c r="C1001">
        <f>NOT(hospitalityq!C1001="")*(SUMPRODUCT(--(TRIM(hospitalityq!C6:C1001)=TRIM(hospitalityq!C1001)))&gt;1)</f>
        <v>0</v>
      </c>
      <c r="D1001">
        <f>NOT(hospitalityq!D1001="")*(COUNTIF(reference!$C$17:$C$18,TRIM(hospitalityq!D1001))=0)</f>
        <v>0</v>
      </c>
      <c r="J1001">
        <f>NOT(hospitalityq!J1001="")*(NOT(ISNUMBER(hospitalityq!J1001+0)))</f>
        <v>0</v>
      </c>
      <c r="K1001">
        <f>NOT(hospitalityq!K1001="")*(NOT(ISNUMBER(hospitalityq!K1001+0)))</f>
        <v>0</v>
      </c>
      <c r="P1001">
        <f>NOT(hospitalityq!P1001="")*(NOT(IFERROR(INT(hospitalityq!P1001)=VALUE(hospitalityq!P1001),FALSE)))</f>
        <v>0</v>
      </c>
      <c r="Q1001">
        <f>NOT(hospitalityq!Q1001="")*(NOT(IFERROR(INT(hospitalityq!Q1001)=VALUE(hospitalityq!Q1001),FALSE)))</f>
        <v>0</v>
      </c>
      <c r="R1001">
        <f>NOT(hospitalityq!R1001="")*(NOT(IFERROR(ROUND(VALUE(hospitalityq!R1001),2)=VALUE(hospitalityq!R1001),FALSE)))</f>
        <v>0</v>
      </c>
    </row>
    <row r="1002" spans="1:18" x14ac:dyDescent="0.25">
      <c r="A1002">
        <f t="shared" si="15"/>
        <v>0</v>
      </c>
      <c r="C1002">
        <f>NOT(hospitalityq!C1002="")*(SUMPRODUCT(--(TRIM(hospitalityq!C6:C1002)=TRIM(hospitalityq!C1002)))&gt;1)</f>
        <v>0</v>
      </c>
      <c r="D1002">
        <f>NOT(hospitalityq!D1002="")*(COUNTIF(reference!$C$17:$C$18,TRIM(hospitalityq!D1002))=0)</f>
        <v>0</v>
      </c>
      <c r="J1002">
        <f>NOT(hospitalityq!J1002="")*(NOT(ISNUMBER(hospitalityq!J1002+0)))</f>
        <v>0</v>
      </c>
      <c r="K1002">
        <f>NOT(hospitalityq!K1002="")*(NOT(ISNUMBER(hospitalityq!K1002+0)))</f>
        <v>0</v>
      </c>
      <c r="P1002">
        <f>NOT(hospitalityq!P1002="")*(NOT(IFERROR(INT(hospitalityq!P1002)=VALUE(hospitalityq!P1002),FALSE)))</f>
        <v>0</v>
      </c>
      <c r="Q1002">
        <f>NOT(hospitalityq!Q1002="")*(NOT(IFERROR(INT(hospitalityq!Q1002)=VALUE(hospitalityq!Q1002),FALSE)))</f>
        <v>0</v>
      </c>
      <c r="R1002">
        <f>NOT(hospitalityq!R1002="")*(NOT(IFERROR(ROUND(VALUE(hospitalityq!R1002),2)=VALUE(hospitalityq!R1002),FALSE)))</f>
        <v>0</v>
      </c>
    </row>
    <row r="1003" spans="1:18" x14ac:dyDescent="0.25">
      <c r="A1003">
        <f t="shared" si="15"/>
        <v>0</v>
      </c>
      <c r="C1003">
        <f>NOT(hospitalityq!C1003="")*(SUMPRODUCT(--(TRIM(hospitalityq!C6:C1003)=TRIM(hospitalityq!C1003)))&gt;1)</f>
        <v>0</v>
      </c>
      <c r="D1003">
        <f>NOT(hospitalityq!D1003="")*(COUNTIF(reference!$C$17:$C$18,TRIM(hospitalityq!D1003))=0)</f>
        <v>0</v>
      </c>
      <c r="J1003">
        <f>NOT(hospitalityq!J1003="")*(NOT(ISNUMBER(hospitalityq!J1003+0)))</f>
        <v>0</v>
      </c>
      <c r="K1003">
        <f>NOT(hospitalityq!K1003="")*(NOT(ISNUMBER(hospitalityq!K1003+0)))</f>
        <v>0</v>
      </c>
      <c r="P1003">
        <f>NOT(hospitalityq!P1003="")*(NOT(IFERROR(INT(hospitalityq!P1003)=VALUE(hospitalityq!P1003),FALSE)))</f>
        <v>0</v>
      </c>
      <c r="Q1003">
        <f>NOT(hospitalityq!Q1003="")*(NOT(IFERROR(INT(hospitalityq!Q1003)=VALUE(hospitalityq!Q1003),FALSE)))</f>
        <v>0</v>
      </c>
      <c r="R1003">
        <f>NOT(hospitalityq!R1003="")*(NOT(IFERROR(ROUND(VALUE(hospitalityq!R1003),2)=VALUE(hospitalityq!R1003),FALSE)))</f>
        <v>0</v>
      </c>
    </row>
    <row r="1004" spans="1:18" x14ac:dyDescent="0.25">
      <c r="A1004">
        <f t="shared" si="15"/>
        <v>0</v>
      </c>
      <c r="C1004">
        <f>NOT(hospitalityq!C1004="")*(SUMPRODUCT(--(TRIM(hospitalityq!C6:C1004)=TRIM(hospitalityq!C1004)))&gt;1)</f>
        <v>0</v>
      </c>
      <c r="D1004">
        <f>NOT(hospitalityq!D1004="")*(COUNTIF(reference!$C$17:$C$18,TRIM(hospitalityq!D1004))=0)</f>
        <v>0</v>
      </c>
      <c r="J1004">
        <f>NOT(hospitalityq!J1004="")*(NOT(ISNUMBER(hospitalityq!J1004+0)))</f>
        <v>0</v>
      </c>
      <c r="K1004">
        <f>NOT(hospitalityq!K1004="")*(NOT(ISNUMBER(hospitalityq!K1004+0)))</f>
        <v>0</v>
      </c>
      <c r="P1004">
        <f>NOT(hospitalityq!P1004="")*(NOT(IFERROR(INT(hospitalityq!P1004)=VALUE(hospitalityq!P1004),FALSE)))</f>
        <v>0</v>
      </c>
      <c r="Q1004">
        <f>NOT(hospitalityq!Q1004="")*(NOT(IFERROR(INT(hospitalityq!Q1004)=VALUE(hospitalityq!Q1004),FALSE)))</f>
        <v>0</v>
      </c>
      <c r="R1004">
        <f>NOT(hospitalityq!R1004="")*(NOT(IFERROR(ROUND(VALUE(hospitalityq!R1004),2)=VALUE(hospitalityq!R1004),FALSE)))</f>
        <v>0</v>
      </c>
    </row>
    <row r="1005" spans="1:18" x14ac:dyDescent="0.25">
      <c r="A1005">
        <f t="shared" si="15"/>
        <v>0</v>
      </c>
      <c r="C1005">
        <f>NOT(hospitalityq!C1005="")*(SUMPRODUCT(--(TRIM(hospitalityq!C6:C1005)=TRIM(hospitalityq!C1005)))&gt;1)</f>
        <v>0</v>
      </c>
      <c r="D1005">
        <f>NOT(hospitalityq!D1005="")*(COUNTIF(reference!$C$17:$C$18,TRIM(hospitalityq!D1005))=0)</f>
        <v>0</v>
      </c>
      <c r="J1005">
        <f>NOT(hospitalityq!J1005="")*(NOT(ISNUMBER(hospitalityq!J1005+0)))</f>
        <v>0</v>
      </c>
      <c r="K1005">
        <f>NOT(hospitalityq!K1005="")*(NOT(ISNUMBER(hospitalityq!K1005+0)))</f>
        <v>0</v>
      </c>
      <c r="P1005">
        <f>NOT(hospitalityq!P1005="")*(NOT(IFERROR(INT(hospitalityq!P1005)=VALUE(hospitalityq!P1005),FALSE)))</f>
        <v>0</v>
      </c>
      <c r="Q1005">
        <f>NOT(hospitalityq!Q1005="")*(NOT(IFERROR(INT(hospitalityq!Q1005)=VALUE(hospitalityq!Q1005),FALSE)))</f>
        <v>0</v>
      </c>
      <c r="R1005">
        <f>NOT(hospitalityq!R1005="")*(NOT(IFERROR(ROUND(VALUE(hospitalityq!R1005),2)=VALUE(hospitalityq!R1005),FALSE)))</f>
        <v>0</v>
      </c>
    </row>
    <row r="1006" spans="1:18" x14ac:dyDescent="0.25">
      <c r="A1006">
        <f t="shared" si="15"/>
        <v>0</v>
      </c>
      <c r="C1006">
        <f>NOT(hospitalityq!C1006="")*(SUMPRODUCT(--(TRIM(hospitalityq!C6:C1006)=TRIM(hospitalityq!C1006)))&gt;1)</f>
        <v>0</v>
      </c>
      <c r="D1006">
        <f>NOT(hospitalityq!D1006="")*(COUNTIF(reference!$C$17:$C$18,TRIM(hospitalityq!D1006))=0)</f>
        <v>0</v>
      </c>
      <c r="J1006">
        <f>NOT(hospitalityq!J1006="")*(NOT(ISNUMBER(hospitalityq!J1006+0)))</f>
        <v>0</v>
      </c>
      <c r="K1006">
        <f>NOT(hospitalityq!K1006="")*(NOT(ISNUMBER(hospitalityq!K1006+0)))</f>
        <v>0</v>
      </c>
      <c r="P1006">
        <f>NOT(hospitalityq!P1006="")*(NOT(IFERROR(INT(hospitalityq!P1006)=VALUE(hospitalityq!P1006),FALSE)))</f>
        <v>0</v>
      </c>
      <c r="Q1006">
        <f>NOT(hospitalityq!Q1006="")*(NOT(IFERROR(INT(hospitalityq!Q1006)=VALUE(hospitalityq!Q1006),FALSE)))</f>
        <v>0</v>
      </c>
      <c r="R1006">
        <f>NOT(hospitalityq!R1006="")*(NOT(IFERROR(ROUND(VALUE(hospitalityq!R1006),2)=VALUE(hospitalityq!R1006),FALSE)))</f>
        <v>0</v>
      </c>
    </row>
    <row r="1007" spans="1:18" x14ac:dyDescent="0.25">
      <c r="A1007">
        <f t="shared" si="15"/>
        <v>0</v>
      </c>
      <c r="C1007">
        <f>NOT(hospitalityq!C1007="")*(SUMPRODUCT(--(TRIM(hospitalityq!C6:C1007)=TRIM(hospitalityq!C1007)))&gt;1)</f>
        <v>0</v>
      </c>
      <c r="D1007">
        <f>NOT(hospitalityq!D1007="")*(COUNTIF(reference!$C$17:$C$18,TRIM(hospitalityq!D1007))=0)</f>
        <v>0</v>
      </c>
      <c r="J1007">
        <f>NOT(hospitalityq!J1007="")*(NOT(ISNUMBER(hospitalityq!J1007+0)))</f>
        <v>0</v>
      </c>
      <c r="K1007">
        <f>NOT(hospitalityq!K1007="")*(NOT(ISNUMBER(hospitalityq!K1007+0)))</f>
        <v>0</v>
      </c>
      <c r="P1007">
        <f>NOT(hospitalityq!P1007="")*(NOT(IFERROR(INT(hospitalityq!P1007)=VALUE(hospitalityq!P1007),FALSE)))</f>
        <v>0</v>
      </c>
      <c r="Q1007">
        <f>NOT(hospitalityq!Q1007="")*(NOT(IFERROR(INT(hospitalityq!Q1007)=VALUE(hospitalityq!Q1007),FALSE)))</f>
        <v>0</v>
      </c>
      <c r="R1007">
        <f>NOT(hospitalityq!R1007="")*(NOT(IFERROR(ROUND(VALUE(hospitalityq!R1007),2)=VALUE(hospitalityq!R1007),FALSE)))</f>
        <v>0</v>
      </c>
    </row>
    <row r="1008" spans="1:18" x14ac:dyDescent="0.25">
      <c r="A1008">
        <f t="shared" si="15"/>
        <v>0</v>
      </c>
      <c r="C1008">
        <f>NOT(hospitalityq!C1008="")*(SUMPRODUCT(--(TRIM(hospitalityq!C6:C1008)=TRIM(hospitalityq!C1008)))&gt;1)</f>
        <v>0</v>
      </c>
      <c r="D1008">
        <f>NOT(hospitalityq!D1008="")*(COUNTIF(reference!$C$17:$C$18,TRIM(hospitalityq!D1008))=0)</f>
        <v>0</v>
      </c>
      <c r="J1008">
        <f>NOT(hospitalityq!J1008="")*(NOT(ISNUMBER(hospitalityq!J1008+0)))</f>
        <v>0</v>
      </c>
      <c r="K1008">
        <f>NOT(hospitalityq!K1008="")*(NOT(ISNUMBER(hospitalityq!K1008+0)))</f>
        <v>0</v>
      </c>
      <c r="P1008">
        <f>NOT(hospitalityq!P1008="")*(NOT(IFERROR(INT(hospitalityq!P1008)=VALUE(hospitalityq!P1008),FALSE)))</f>
        <v>0</v>
      </c>
      <c r="Q1008">
        <f>NOT(hospitalityq!Q1008="")*(NOT(IFERROR(INT(hospitalityq!Q1008)=VALUE(hospitalityq!Q1008),FALSE)))</f>
        <v>0</v>
      </c>
      <c r="R1008">
        <f>NOT(hospitalityq!R1008="")*(NOT(IFERROR(ROUND(VALUE(hospitalityq!R1008),2)=VALUE(hospitalityq!R1008),FALSE)))</f>
        <v>0</v>
      </c>
    </row>
    <row r="1009" spans="1:18" x14ac:dyDescent="0.25">
      <c r="A1009">
        <f t="shared" si="15"/>
        <v>0</v>
      </c>
      <c r="C1009">
        <f>NOT(hospitalityq!C1009="")*(SUMPRODUCT(--(TRIM(hospitalityq!C6:C1009)=TRIM(hospitalityq!C1009)))&gt;1)</f>
        <v>0</v>
      </c>
      <c r="D1009">
        <f>NOT(hospitalityq!D1009="")*(COUNTIF(reference!$C$17:$C$18,TRIM(hospitalityq!D1009))=0)</f>
        <v>0</v>
      </c>
      <c r="J1009">
        <f>NOT(hospitalityq!J1009="")*(NOT(ISNUMBER(hospitalityq!J1009+0)))</f>
        <v>0</v>
      </c>
      <c r="K1009">
        <f>NOT(hospitalityq!K1009="")*(NOT(ISNUMBER(hospitalityq!K1009+0)))</f>
        <v>0</v>
      </c>
      <c r="P1009">
        <f>NOT(hospitalityq!P1009="")*(NOT(IFERROR(INT(hospitalityq!P1009)=VALUE(hospitalityq!P1009),FALSE)))</f>
        <v>0</v>
      </c>
      <c r="Q1009">
        <f>NOT(hospitalityq!Q1009="")*(NOT(IFERROR(INT(hospitalityq!Q1009)=VALUE(hospitalityq!Q1009),FALSE)))</f>
        <v>0</v>
      </c>
      <c r="R1009">
        <f>NOT(hospitalityq!R1009="")*(NOT(IFERROR(ROUND(VALUE(hospitalityq!R1009),2)=VALUE(hospitalityq!R1009),FALSE)))</f>
        <v>0</v>
      </c>
    </row>
    <row r="1010" spans="1:18" x14ac:dyDescent="0.25">
      <c r="A1010">
        <f t="shared" si="15"/>
        <v>0</v>
      </c>
      <c r="C1010">
        <f>NOT(hospitalityq!C1010="")*(SUMPRODUCT(--(TRIM(hospitalityq!C6:C1010)=TRIM(hospitalityq!C1010)))&gt;1)</f>
        <v>0</v>
      </c>
      <c r="D1010">
        <f>NOT(hospitalityq!D1010="")*(COUNTIF(reference!$C$17:$C$18,TRIM(hospitalityq!D1010))=0)</f>
        <v>0</v>
      </c>
      <c r="J1010">
        <f>NOT(hospitalityq!J1010="")*(NOT(ISNUMBER(hospitalityq!J1010+0)))</f>
        <v>0</v>
      </c>
      <c r="K1010">
        <f>NOT(hospitalityq!K1010="")*(NOT(ISNUMBER(hospitalityq!K1010+0)))</f>
        <v>0</v>
      </c>
      <c r="P1010">
        <f>NOT(hospitalityq!P1010="")*(NOT(IFERROR(INT(hospitalityq!P1010)=VALUE(hospitalityq!P1010),FALSE)))</f>
        <v>0</v>
      </c>
      <c r="Q1010">
        <f>NOT(hospitalityq!Q1010="")*(NOT(IFERROR(INT(hospitalityq!Q1010)=VALUE(hospitalityq!Q1010),FALSE)))</f>
        <v>0</v>
      </c>
      <c r="R1010">
        <f>NOT(hospitalityq!R1010="")*(NOT(IFERROR(ROUND(VALUE(hospitalityq!R1010),2)=VALUE(hospitalityq!R1010),FALSE)))</f>
        <v>0</v>
      </c>
    </row>
    <row r="1011" spans="1:18" x14ac:dyDescent="0.25">
      <c r="A1011">
        <f t="shared" si="15"/>
        <v>0</v>
      </c>
      <c r="C1011">
        <f>NOT(hospitalityq!C1011="")*(SUMPRODUCT(--(TRIM(hospitalityq!C6:C1011)=TRIM(hospitalityq!C1011)))&gt;1)</f>
        <v>0</v>
      </c>
      <c r="D1011">
        <f>NOT(hospitalityq!D1011="")*(COUNTIF(reference!$C$17:$C$18,TRIM(hospitalityq!D1011))=0)</f>
        <v>0</v>
      </c>
      <c r="J1011">
        <f>NOT(hospitalityq!J1011="")*(NOT(ISNUMBER(hospitalityq!J1011+0)))</f>
        <v>0</v>
      </c>
      <c r="K1011">
        <f>NOT(hospitalityq!K1011="")*(NOT(ISNUMBER(hospitalityq!K1011+0)))</f>
        <v>0</v>
      </c>
      <c r="P1011">
        <f>NOT(hospitalityq!P1011="")*(NOT(IFERROR(INT(hospitalityq!P1011)=VALUE(hospitalityq!P1011),FALSE)))</f>
        <v>0</v>
      </c>
      <c r="Q1011">
        <f>NOT(hospitalityq!Q1011="")*(NOT(IFERROR(INT(hospitalityq!Q1011)=VALUE(hospitalityq!Q1011),FALSE)))</f>
        <v>0</v>
      </c>
      <c r="R1011">
        <f>NOT(hospitalityq!R1011="")*(NOT(IFERROR(ROUND(VALUE(hospitalityq!R1011),2)=VALUE(hospitalityq!R1011),FALSE)))</f>
        <v>0</v>
      </c>
    </row>
    <row r="1012" spans="1:18" x14ac:dyDescent="0.25">
      <c r="A1012">
        <f t="shared" si="15"/>
        <v>0</v>
      </c>
      <c r="C1012">
        <f>NOT(hospitalityq!C1012="")*(SUMPRODUCT(--(TRIM(hospitalityq!C6:C1012)=TRIM(hospitalityq!C1012)))&gt;1)</f>
        <v>0</v>
      </c>
      <c r="D1012">
        <f>NOT(hospitalityq!D1012="")*(COUNTIF(reference!$C$17:$C$18,TRIM(hospitalityq!D1012))=0)</f>
        <v>0</v>
      </c>
      <c r="J1012">
        <f>NOT(hospitalityq!J1012="")*(NOT(ISNUMBER(hospitalityq!J1012+0)))</f>
        <v>0</v>
      </c>
      <c r="K1012">
        <f>NOT(hospitalityq!K1012="")*(NOT(ISNUMBER(hospitalityq!K1012+0)))</f>
        <v>0</v>
      </c>
      <c r="P1012">
        <f>NOT(hospitalityq!P1012="")*(NOT(IFERROR(INT(hospitalityq!P1012)=VALUE(hospitalityq!P1012),FALSE)))</f>
        <v>0</v>
      </c>
      <c r="Q1012">
        <f>NOT(hospitalityq!Q1012="")*(NOT(IFERROR(INT(hospitalityq!Q1012)=VALUE(hospitalityq!Q1012),FALSE)))</f>
        <v>0</v>
      </c>
      <c r="R1012">
        <f>NOT(hospitalityq!R1012="")*(NOT(IFERROR(ROUND(VALUE(hospitalityq!R1012),2)=VALUE(hospitalityq!R1012),FALSE)))</f>
        <v>0</v>
      </c>
    </row>
    <row r="1013" spans="1:18" x14ac:dyDescent="0.25">
      <c r="A1013">
        <f t="shared" si="15"/>
        <v>0</v>
      </c>
      <c r="C1013">
        <f>NOT(hospitalityq!C1013="")*(SUMPRODUCT(--(TRIM(hospitalityq!C6:C1013)=TRIM(hospitalityq!C1013)))&gt;1)</f>
        <v>0</v>
      </c>
      <c r="D1013">
        <f>NOT(hospitalityq!D1013="")*(COUNTIF(reference!$C$17:$C$18,TRIM(hospitalityq!D1013))=0)</f>
        <v>0</v>
      </c>
      <c r="J1013">
        <f>NOT(hospitalityq!J1013="")*(NOT(ISNUMBER(hospitalityq!J1013+0)))</f>
        <v>0</v>
      </c>
      <c r="K1013">
        <f>NOT(hospitalityq!K1013="")*(NOT(ISNUMBER(hospitalityq!K1013+0)))</f>
        <v>0</v>
      </c>
      <c r="P1013">
        <f>NOT(hospitalityq!P1013="")*(NOT(IFERROR(INT(hospitalityq!P1013)=VALUE(hospitalityq!P1013),FALSE)))</f>
        <v>0</v>
      </c>
      <c r="Q1013">
        <f>NOT(hospitalityq!Q1013="")*(NOT(IFERROR(INT(hospitalityq!Q1013)=VALUE(hospitalityq!Q1013),FALSE)))</f>
        <v>0</v>
      </c>
      <c r="R1013">
        <f>NOT(hospitalityq!R1013="")*(NOT(IFERROR(ROUND(VALUE(hospitalityq!R1013),2)=VALUE(hospitalityq!R1013),FALSE)))</f>
        <v>0</v>
      </c>
    </row>
    <row r="1014" spans="1:18" x14ac:dyDescent="0.25">
      <c r="A1014">
        <f t="shared" si="15"/>
        <v>0</v>
      </c>
      <c r="C1014">
        <f>NOT(hospitalityq!C1014="")*(SUMPRODUCT(--(TRIM(hospitalityq!C6:C1014)=TRIM(hospitalityq!C1014)))&gt;1)</f>
        <v>0</v>
      </c>
      <c r="D1014">
        <f>NOT(hospitalityq!D1014="")*(COUNTIF(reference!$C$17:$C$18,TRIM(hospitalityq!D1014))=0)</f>
        <v>0</v>
      </c>
      <c r="J1014">
        <f>NOT(hospitalityq!J1014="")*(NOT(ISNUMBER(hospitalityq!J1014+0)))</f>
        <v>0</v>
      </c>
      <c r="K1014">
        <f>NOT(hospitalityq!K1014="")*(NOT(ISNUMBER(hospitalityq!K1014+0)))</f>
        <v>0</v>
      </c>
      <c r="P1014">
        <f>NOT(hospitalityq!P1014="")*(NOT(IFERROR(INT(hospitalityq!P1014)=VALUE(hospitalityq!P1014),FALSE)))</f>
        <v>0</v>
      </c>
      <c r="Q1014">
        <f>NOT(hospitalityq!Q1014="")*(NOT(IFERROR(INT(hospitalityq!Q1014)=VALUE(hospitalityq!Q1014),FALSE)))</f>
        <v>0</v>
      </c>
      <c r="R1014">
        <f>NOT(hospitalityq!R1014="")*(NOT(IFERROR(ROUND(VALUE(hospitalityq!R1014),2)=VALUE(hospitalityq!R1014),FALSE)))</f>
        <v>0</v>
      </c>
    </row>
    <row r="1015" spans="1:18" x14ac:dyDescent="0.25">
      <c r="A1015">
        <f t="shared" si="15"/>
        <v>0</v>
      </c>
      <c r="C1015">
        <f>NOT(hospitalityq!C1015="")*(SUMPRODUCT(--(TRIM(hospitalityq!C6:C1015)=TRIM(hospitalityq!C1015)))&gt;1)</f>
        <v>0</v>
      </c>
      <c r="D1015">
        <f>NOT(hospitalityq!D1015="")*(COUNTIF(reference!$C$17:$C$18,TRIM(hospitalityq!D1015))=0)</f>
        <v>0</v>
      </c>
      <c r="J1015">
        <f>NOT(hospitalityq!J1015="")*(NOT(ISNUMBER(hospitalityq!J1015+0)))</f>
        <v>0</v>
      </c>
      <c r="K1015">
        <f>NOT(hospitalityq!K1015="")*(NOT(ISNUMBER(hospitalityq!K1015+0)))</f>
        <v>0</v>
      </c>
      <c r="P1015">
        <f>NOT(hospitalityq!P1015="")*(NOT(IFERROR(INT(hospitalityq!P1015)=VALUE(hospitalityq!P1015),FALSE)))</f>
        <v>0</v>
      </c>
      <c r="Q1015">
        <f>NOT(hospitalityq!Q1015="")*(NOT(IFERROR(INT(hospitalityq!Q1015)=VALUE(hospitalityq!Q1015),FALSE)))</f>
        <v>0</v>
      </c>
      <c r="R1015">
        <f>NOT(hospitalityq!R1015="")*(NOT(IFERROR(ROUND(VALUE(hospitalityq!R1015),2)=VALUE(hospitalityq!R1015),FALSE)))</f>
        <v>0</v>
      </c>
    </row>
    <row r="1016" spans="1:18" x14ac:dyDescent="0.25">
      <c r="A1016">
        <f t="shared" si="15"/>
        <v>0</v>
      </c>
      <c r="C1016">
        <f>NOT(hospitalityq!C1016="")*(SUMPRODUCT(--(TRIM(hospitalityq!C6:C1016)=TRIM(hospitalityq!C1016)))&gt;1)</f>
        <v>0</v>
      </c>
      <c r="D1016">
        <f>NOT(hospitalityq!D1016="")*(COUNTIF(reference!$C$17:$C$18,TRIM(hospitalityq!D1016))=0)</f>
        <v>0</v>
      </c>
      <c r="J1016">
        <f>NOT(hospitalityq!J1016="")*(NOT(ISNUMBER(hospitalityq!J1016+0)))</f>
        <v>0</v>
      </c>
      <c r="K1016">
        <f>NOT(hospitalityq!K1016="")*(NOT(ISNUMBER(hospitalityq!K1016+0)))</f>
        <v>0</v>
      </c>
      <c r="P1016">
        <f>NOT(hospitalityq!P1016="")*(NOT(IFERROR(INT(hospitalityq!P1016)=VALUE(hospitalityq!P1016),FALSE)))</f>
        <v>0</v>
      </c>
      <c r="Q1016">
        <f>NOT(hospitalityq!Q1016="")*(NOT(IFERROR(INT(hospitalityq!Q1016)=VALUE(hospitalityq!Q1016),FALSE)))</f>
        <v>0</v>
      </c>
      <c r="R1016">
        <f>NOT(hospitalityq!R1016="")*(NOT(IFERROR(ROUND(VALUE(hospitalityq!R1016),2)=VALUE(hospitalityq!R1016),FALSE)))</f>
        <v>0</v>
      </c>
    </row>
    <row r="1017" spans="1:18" x14ac:dyDescent="0.25">
      <c r="A1017">
        <f t="shared" si="15"/>
        <v>0</v>
      </c>
      <c r="C1017">
        <f>NOT(hospitalityq!C1017="")*(SUMPRODUCT(--(TRIM(hospitalityq!C6:C1017)=TRIM(hospitalityq!C1017)))&gt;1)</f>
        <v>0</v>
      </c>
      <c r="D1017">
        <f>NOT(hospitalityq!D1017="")*(COUNTIF(reference!$C$17:$C$18,TRIM(hospitalityq!D1017))=0)</f>
        <v>0</v>
      </c>
      <c r="J1017">
        <f>NOT(hospitalityq!J1017="")*(NOT(ISNUMBER(hospitalityq!J1017+0)))</f>
        <v>0</v>
      </c>
      <c r="K1017">
        <f>NOT(hospitalityq!K1017="")*(NOT(ISNUMBER(hospitalityq!K1017+0)))</f>
        <v>0</v>
      </c>
      <c r="P1017">
        <f>NOT(hospitalityq!P1017="")*(NOT(IFERROR(INT(hospitalityq!P1017)=VALUE(hospitalityq!P1017),FALSE)))</f>
        <v>0</v>
      </c>
      <c r="Q1017">
        <f>NOT(hospitalityq!Q1017="")*(NOT(IFERROR(INT(hospitalityq!Q1017)=VALUE(hospitalityq!Q1017),FALSE)))</f>
        <v>0</v>
      </c>
      <c r="R1017">
        <f>NOT(hospitalityq!R1017="")*(NOT(IFERROR(ROUND(VALUE(hospitalityq!R1017),2)=VALUE(hospitalityq!R1017),FALSE)))</f>
        <v>0</v>
      </c>
    </row>
    <row r="1018" spans="1:18" x14ac:dyDescent="0.25">
      <c r="A1018">
        <f t="shared" si="15"/>
        <v>0</v>
      </c>
      <c r="C1018">
        <f>NOT(hospitalityq!C1018="")*(SUMPRODUCT(--(TRIM(hospitalityq!C6:C1018)=TRIM(hospitalityq!C1018)))&gt;1)</f>
        <v>0</v>
      </c>
      <c r="D1018">
        <f>NOT(hospitalityq!D1018="")*(COUNTIF(reference!$C$17:$C$18,TRIM(hospitalityq!D1018))=0)</f>
        <v>0</v>
      </c>
      <c r="J1018">
        <f>NOT(hospitalityq!J1018="")*(NOT(ISNUMBER(hospitalityq!J1018+0)))</f>
        <v>0</v>
      </c>
      <c r="K1018">
        <f>NOT(hospitalityq!K1018="")*(NOT(ISNUMBER(hospitalityq!K1018+0)))</f>
        <v>0</v>
      </c>
      <c r="P1018">
        <f>NOT(hospitalityq!P1018="")*(NOT(IFERROR(INT(hospitalityq!P1018)=VALUE(hospitalityq!P1018),FALSE)))</f>
        <v>0</v>
      </c>
      <c r="Q1018">
        <f>NOT(hospitalityq!Q1018="")*(NOT(IFERROR(INT(hospitalityq!Q1018)=VALUE(hospitalityq!Q1018),FALSE)))</f>
        <v>0</v>
      </c>
      <c r="R1018">
        <f>NOT(hospitalityq!R1018="")*(NOT(IFERROR(ROUND(VALUE(hospitalityq!R1018),2)=VALUE(hospitalityq!R1018),FALSE)))</f>
        <v>0</v>
      </c>
    </row>
    <row r="1019" spans="1:18" x14ac:dyDescent="0.25">
      <c r="A1019">
        <f t="shared" si="15"/>
        <v>0</v>
      </c>
      <c r="C1019">
        <f>NOT(hospitalityq!C1019="")*(SUMPRODUCT(--(TRIM(hospitalityq!C6:C1019)=TRIM(hospitalityq!C1019)))&gt;1)</f>
        <v>0</v>
      </c>
      <c r="D1019">
        <f>NOT(hospitalityq!D1019="")*(COUNTIF(reference!$C$17:$C$18,TRIM(hospitalityq!D1019))=0)</f>
        <v>0</v>
      </c>
      <c r="J1019">
        <f>NOT(hospitalityq!J1019="")*(NOT(ISNUMBER(hospitalityq!J1019+0)))</f>
        <v>0</v>
      </c>
      <c r="K1019">
        <f>NOT(hospitalityq!K1019="")*(NOT(ISNUMBER(hospitalityq!K1019+0)))</f>
        <v>0</v>
      </c>
      <c r="P1019">
        <f>NOT(hospitalityq!P1019="")*(NOT(IFERROR(INT(hospitalityq!P1019)=VALUE(hospitalityq!P1019),FALSE)))</f>
        <v>0</v>
      </c>
      <c r="Q1019">
        <f>NOT(hospitalityq!Q1019="")*(NOT(IFERROR(INT(hospitalityq!Q1019)=VALUE(hospitalityq!Q1019),FALSE)))</f>
        <v>0</v>
      </c>
      <c r="R1019">
        <f>NOT(hospitalityq!R1019="")*(NOT(IFERROR(ROUND(VALUE(hospitalityq!R1019),2)=VALUE(hospitalityq!R1019),FALSE)))</f>
        <v>0</v>
      </c>
    </row>
    <row r="1020" spans="1:18" x14ac:dyDescent="0.25">
      <c r="A1020">
        <f t="shared" si="15"/>
        <v>0</v>
      </c>
      <c r="C1020">
        <f>NOT(hospitalityq!C1020="")*(SUMPRODUCT(--(TRIM(hospitalityq!C6:C1020)=TRIM(hospitalityq!C1020)))&gt;1)</f>
        <v>0</v>
      </c>
      <c r="D1020">
        <f>NOT(hospitalityq!D1020="")*(COUNTIF(reference!$C$17:$C$18,TRIM(hospitalityq!D1020))=0)</f>
        <v>0</v>
      </c>
      <c r="J1020">
        <f>NOT(hospitalityq!J1020="")*(NOT(ISNUMBER(hospitalityq!J1020+0)))</f>
        <v>0</v>
      </c>
      <c r="K1020">
        <f>NOT(hospitalityq!K1020="")*(NOT(ISNUMBER(hospitalityq!K1020+0)))</f>
        <v>0</v>
      </c>
      <c r="P1020">
        <f>NOT(hospitalityq!P1020="")*(NOT(IFERROR(INT(hospitalityq!P1020)=VALUE(hospitalityq!P1020),FALSE)))</f>
        <v>0</v>
      </c>
      <c r="Q1020">
        <f>NOT(hospitalityq!Q1020="")*(NOT(IFERROR(INT(hospitalityq!Q1020)=VALUE(hospitalityq!Q1020),FALSE)))</f>
        <v>0</v>
      </c>
      <c r="R1020">
        <f>NOT(hospitalityq!R1020="")*(NOT(IFERROR(ROUND(VALUE(hospitalityq!R1020),2)=VALUE(hospitalityq!R1020),FALSE)))</f>
        <v>0</v>
      </c>
    </row>
    <row r="1021" spans="1:18" x14ac:dyDescent="0.25">
      <c r="A1021">
        <f t="shared" si="15"/>
        <v>0</v>
      </c>
      <c r="C1021">
        <f>NOT(hospitalityq!C1021="")*(SUMPRODUCT(--(TRIM(hospitalityq!C6:C1021)=TRIM(hospitalityq!C1021)))&gt;1)</f>
        <v>0</v>
      </c>
      <c r="D1021">
        <f>NOT(hospitalityq!D1021="")*(COUNTIF(reference!$C$17:$C$18,TRIM(hospitalityq!D1021))=0)</f>
        <v>0</v>
      </c>
      <c r="J1021">
        <f>NOT(hospitalityq!J1021="")*(NOT(ISNUMBER(hospitalityq!J1021+0)))</f>
        <v>0</v>
      </c>
      <c r="K1021">
        <f>NOT(hospitalityq!K1021="")*(NOT(ISNUMBER(hospitalityq!K1021+0)))</f>
        <v>0</v>
      </c>
      <c r="P1021">
        <f>NOT(hospitalityq!P1021="")*(NOT(IFERROR(INT(hospitalityq!P1021)=VALUE(hospitalityq!P1021),FALSE)))</f>
        <v>0</v>
      </c>
      <c r="Q1021">
        <f>NOT(hospitalityq!Q1021="")*(NOT(IFERROR(INT(hospitalityq!Q1021)=VALUE(hospitalityq!Q1021),FALSE)))</f>
        <v>0</v>
      </c>
      <c r="R1021">
        <f>NOT(hospitalityq!R1021="")*(NOT(IFERROR(ROUND(VALUE(hospitalityq!R1021),2)=VALUE(hospitalityq!R1021),FALSE)))</f>
        <v>0</v>
      </c>
    </row>
    <row r="1022" spans="1:18" x14ac:dyDescent="0.25">
      <c r="A1022">
        <f t="shared" si="15"/>
        <v>0</v>
      </c>
      <c r="C1022">
        <f>NOT(hospitalityq!C1022="")*(SUMPRODUCT(--(TRIM(hospitalityq!C6:C1022)=TRIM(hospitalityq!C1022)))&gt;1)</f>
        <v>0</v>
      </c>
      <c r="D1022">
        <f>NOT(hospitalityq!D1022="")*(COUNTIF(reference!$C$17:$C$18,TRIM(hospitalityq!D1022))=0)</f>
        <v>0</v>
      </c>
      <c r="J1022">
        <f>NOT(hospitalityq!J1022="")*(NOT(ISNUMBER(hospitalityq!J1022+0)))</f>
        <v>0</v>
      </c>
      <c r="K1022">
        <f>NOT(hospitalityq!K1022="")*(NOT(ISNUMBER(hospitalityq!K1022+0)))</f>
        <v>0</v>
      </c>
      <c r="P1022">
        <f>NOT(hospitalityq!P1022="")*(NOT(IFERROR(INT(hospitalityq!P1022)=VALUE(hospitalityq!P1022),FALSE)))</f>
        <v>0</v>
      </c>
      <c r="Q1022">
        <f>NOT(hospitalityq!Q1022="")*(NOT(IFERROR(INT(hospitalityq!Q1022)=VALUE(hospitalityq!Q1022),FALSE)))</f>
        <v>0</v>
      </c>
      <c r="R1022">
        <f>NOT(hospitalityq!R1022="")*(NOT(IFERROR(ROUND(VALUE(hospitalityq!R1022),2)=VALUE(hospitalityq!R1022),FALSE)))</f>
        <v>0</v>
      </c>
    </row>
    <row r="1023" spans="1:18" x14ac:dyDescent="0.25">
      <c r="A1023">
        <f t="shared" si="15"/>
        <v>0</v>
      </c>
      <c r="C1023">
        <f>NOT(hospitalityq!C1023="")*(SUMPRODUCT(--(TRIM(hospitalityq!C6:C1023)=TRIM(hospitalityq!C1023)))&gt;1)</f>
        <v>0</v>
      </c>
      <c r="D1023">
        <f>NOT(hospitalityq!D1023="")*(COUNTIF(reference!$C$17:$C$18,TRIM(hospitalityq!D1023))=0)</f>
        <v>0</v>
      </c>
      <c r="J1023">
        <f>NOT(hospitalityq!J1023="")*(NOT(ISNUMBER(hospitalityq!J1023+0)))</f>
        <v>0</v>
      </c>
      <c r="K1023">
        <f>NOT(hospitalityq!K1023="")*(NOT(ISNUMBER(hospitalityq!K1023+0)))</f>
        <v>0</v>
      </c>
      <c r="P1023">
        <f>NOT(hospitalityq!P1023="")*(NOT(IFERROR(INT(hospitalityq!P1023)=VALUE(hospitalityq!P1023),FALSE)))</f>
        <v>0</v>
      </c>
      <c r="Q1023">
        <f>NOT(hospitalityq!Q1023="")*(NOT(IFERROR(INT(hospitalityq!Q1023)=VALUE(hospitalityq!Q1023),FALSE)))</f>
        <v>0</v>
      </c>
      <c r="R1023">
        <f>NOT(hospitalityq!R1023="")*(NOT(IFERROR(ROUND(VALUE(hospitalityq!R1023),2)=VALUE(hospitalityq!R1023),FALSE)))</f>
        <v>0</v>
      </c>
    </row>
    <row r="1024" spans="1:18" x14ac:dyDescent="0.25">
      <c r="A1024">
        <f t="shared" si="15"/>
        <v>0</v>
      </c>
      <c r="C1024">
        <f>NOT(hospitalityq!C1024="")*(SUMPRODUCT(--(TRIM(hospitalityq!C6:C1024)=TRIM(hospitalityq!C1024)))&gt;1)</f>
        <v>0</v>
      </c>
      <c r="D1024">
        <f>NOT(hospitalityq!D1024="")*(COUNTIF(reference!$C$17:$C$18,TRIM(hospitalityq!D1024))=0)</f>
        <v>0</v>
      </c>
      <c r="J1024">
        <f>NOT(hospitalityq!J1024="")*(NOT(ISNUMBER(hospitalityq!J1024+0)))</f>
        <v>0</v>
      </c>
      <c r="K1024">
        <f>NOT(hospitalityq!K1024="")*(NOT(ISNUMBER(hospitalityq!K1024+0)))</f>
        <v>0</v>
      </c>
      <c r="P1024">
        <f>NOT(hospitalityq!P1024="")*(NOT(IFERROR(INT(hospitalityq!P1024)=VALUE(hospitalityq!P1024),FALSE)))</f>
        <v>0</v>
      </c>
      <c r="Q1024">
        <f>NOT(hospitalityq!Q1024="")*(NOT(IFERROR(INT(hospitalityq!Q1024)=VALUE(hospitalityq!Q1024),FALSE)))</f>
        <v>0</v>
      </c>
      <c r="R1024">
        <f>NOT(hospitalityq!R1024="")*(NOT(IFERROR(ROUND(VALUE(hospitalityq!R1024),2)=VALUE(hospitalityq!R1024),FALSE)))</f>
        <v>0</v>
      </c>
    </row>
    <row r="1025" spans="1:18" x14ac:dyDescent="0.25">
      <c r="A1025">
        <f t="shared" si="15"/>
        <v>0</v>
      </c>
      <c r="C1025">
        <f>NOT(hospitalityq!C1025="")*(SUMPRODUCT(--(TRIM(hospitalityq!C6:C1025)=TRIM(hospitalityq!C1025)))&gt;1)</f>
        <v>0</v>
      </c>
      <c r="D1025">
        <f>NOT(hospitalityq!D1025="")*(COUNTIF(reference!$C$17:$C$18,TRIM(hospitalityq!D1025))=0)</f>
        <v>0</v>
      </c>
      <c r="J1025">
        <f>NOT(hospitalityq!J1025="")*(NOT(ISNUMBER(hospitalityq!J1025+0)))</f>
        <v>0</v>
      </c>
      <c r="K1025">
        <f>NOT(hospitalityq!K1025="")*(NOT(ISNUMBER(hospitalityq!K1025+0)))</f>
        <v>0</v>
      </c>
      <c r="P1025">
        <f>NOT(hospitalityq!P1025="")*(NOT(IFERROR(INT(hospitalityq!P1025)=VALUE(hospitalityq!P1025),FALSE)))</f>
        <v>0</v>
      </c>
      <c r="Q1025">
        <f>NOT(hospitalityq!Q1025="")*(NOT(IFERROR(INT(hospitalityq!Q1025)=VALUE(hospitalityq!Q1025),FALSE)))</f>
        <v>0</v>
      </c>
      <c r="R1025">
        <f>NOT(hospitalityq!R1025="")*(NOT(IFERROR(ROUND(VALUE(hospitalityq!R1025),2)=VALUE(hospitalityq!R1025),FALSE)))</f>
        <v>0</v>
      </c>
    </row>
    <row r="1026" spans="1:18" x14ac:dyDescent="0.25">
      <c r="A1026">
        <f t="shared" si="15"/>
        <v>0</v>
      </c>
      <c r="C1026">
        <f>NOT(hospitalityq!C1026="")*(SUMPRODUCT(--(TRIM(hospitalityq!C6:C1026)=TRIM(hospitalityq!C1026)))&gt;1)</f>
        <v>0</v>
      </c>
      <c r="D1026">
        <f>NOT(hospitalityq!D1026="")*(COUNTIF(reference!$C$17:$C$18,TRIM(hospitalityq!D1026))=0)</f>
        <v>0</v>
      </c>
      <c r="J1026">
        <f>NOT(hospitalityq!J1026="")*(NOT(ISNUMBER(hospitalityq!J1026+0)))</f>
        <v>0</v>
      </c>
      <c r="K1026">
        <f>NOT(hospitalityq!K1026="")*(NOT(ISNUMBER(hospitalityq!K1026+0)))</f>
        <v>0</v>
      </c>
      <c r="P1026">
        <f>NOT(hospitalityq!P1026="")*(NOT(IFERROR(INT(hospitalityq!P1026)=VALUE(hospitalityq!P1026),FALSE)))</f>
        <v>0</v>
      </c>
      <c r="Q1026">
        <f>NOT(hospitalityq!Q1026="")*(NOT(IFERROR(INT(hospitalityq!Q1026)=VALUE(hospitalityq!Q1026),FALSE)))</f>
        <v>0</v>
      </c>
      <c r="R1026">
        <f>NOT(hospitalityq!R1026="")*(NOT(IFERROR(ROUND(VALUE(hospitalityq!R1026),2)=VALUE(hospitalityq!R1026),FALSE)))</f>
        <v>0</v>
      </c>
    </row>
    <row r="1027" spans="1:18" x14ac:dyDescent="0.25">
      <c r="A1027">
        <f t="shared" si="15"/>
        <v>0</v>
      </c>
      <c r="C1027">
        <f>NOT(hospitalityq!C1027="")*(SUMPRODUCT(--(TRIM(hospitalityq!C6:C1027)=TRIM(hospitalityq!C1027)))&gt;1)</f>
        <v>0</v>
      </c>
      <c r="D1027">
        <f>NOT(hospitalityq!D1027="")*(COUNTIF(reference!$C$17:$C$18,TRIM(hospitalityq!D1027))=0)</f>
        <v>0</v>
      </c>
      <c r="J1027">
        <f>NOT(hospitalityq!J1027="")*(NOT(ISNUMBER(hospitalityq!J1027+0)))</f>
        <v>0</v>
      </c>
      <c r="K1027">
        <f>NOT(hospitalityq!K1027="")*(NOT(ISNUMBER(hospitalityq!K1027+0)))</f>
        <v>0</v>
      </c>
      <c r="P1027">
        <f>NOT(hospitalityq!P1027="")*(NOT(IFERROR(INT(hospitalityq!P1027)=VALUE(hospitalityq!P1027),FALSE)))</f>
        <v>0</v>
      </c>
      <c r="Q1027">
        <f>NOT(hospitalityq!Q1027="")*(NOT(IFERROR(INT(hospitalityq!Q1027)=VALUE(hospitalityq!Q1027),FALSE)))</f>
        <v>0</v>
      </c>
      <c r="R1027">
        <f>NOT(hospitalityq!R1027="")*(NOT(IFERROR(ROUND(VALUE(hospitalityq!R1027),2)=VALUE(hospitalityq!R1027),FALSE)))</f>
        <v>0</v>
      </c>
    </row>
    <row r="1028" spans="1:18" x14ac:dyDescent="0.25">
      <c r="A1028">
        <f t="shared" si="15"/>
        <v>0</v>
      </c>
      <c r="C1028">
        <f>NOT(hospitalityq!C1028="")*(SUMPRODUCT(--(TRIM(hospitalityq!C6:C1028)=TRIM(hospitalityq!C1028)))&gt;1)</f>
        <v>0</v>
      </c>
      <c r="D1028">
        <f>NOT(hospitalityq!D1028="")*(COUNTIF(reference!$C$17:$C$18,TRIM(hospitalityq!D1028))=0)</f>
        <v>0</v>
      </c>
      <c r="J1028">
        <f>NOT(hospitalityq!J1028="")*(NOT(ISNUMBER(hospitalityq!J1028+0)))</f>
        <v>0</v>
      </c>
      <c r="K1028">
        <f>NOT(hospitalityq!K1028="")*(NOT(ISNUMBER(hospitalityq!K1028+0)))</f>
        <v>0</v>
      </c>
      <c r="P1028">
        <f>NOT(hospitalityq!P1028="")*(NOT(IFERROR(INT(hospitalityq!P1028)=VALUE(hospitalityq!P1028),FALSE)))</f>
        <v>0</v>
      </c>
      <c r="Q1028">
        <f>NOT(hospitalityq!Q1028="")*(NOT(IFERROR(INT(hospitalityq!Q1028)=VALUE(hospitalityq!Q1028),FALSE)))</f>
        <v>0</v>
      </c>
      <c r="R1028">
        <f>NOT(hospitalityq!R1028="")*(NOT(IFERROR(ROUND(VALUE(hospitalityq!R1028),2)=VALUE(hospitalityq!R1028),FALSE)))</f>
        <v>0</v>
      </c>
    </row>
    <row r="1029" spans="1:18" x14ac:dyDescent="0.25">
      <c r="A1029">
        <f t="shared" si="15"/>
        <v>0</v>
      </c>
      <c r="C1029">
        <f>NOT(hospitalityq!C1029="")*(SUMPRODUCT(--(TRIM(hospitalityq!C6:C1029)=TRIM(hospitalityq!C1029)))&gt;1)</f>
        <v>0</v>
      </c>
      <c r="D1029">
        <f>NOT(hospitalityq!D1029="")*(COUNTIF(reference!$C$17:$C$18,TRIM(hospitalityq!D1029))=0)</f>
        <v>0</v>
      </c>
      <c r="J1029">
        <f>NOT(hospitalityq!J1029="")*(NOT(ISNUMBER(hospitalityq!J1029+0)))</f>
        <v>0</v>
      </c>
      <c r="K1029">
        <f>NOT(hospitalityq!K1029="")*(NOT(ISNUMBER(hospitalityq!K1029+0)))</f>
        <v>0</v>
      </c>
      <c r="P1029">
        <f>NOT(hospitalityq!P1029="")*(NOT(IFERROR(INT(hospitalityq!P1029)=VALUE(hospitalityq!P1029),FALSE)))</f>
        <v>0</v>
      </c>
      <c r="Q1029">
        <f>NOT(hospitalityq!Q1029="")*(NOT(IFERROR(INT(hospitalityq!Q1029)=VALUE(hospitalityq!Q1029),FALSE)))</f>
        <v>0</v>
      </c>
      <c r="R1029">
        <f>NOT(hospitalityq!R1029="")*(NOT(IFERROR(ROUND(VALUE(hospitalityq!R1029),2)=VALUE(hospitalityq!R1029),FALSE)))</f>
        <v>0</v>
      </c>
    </row>
    <row r="1030" spans="1:18" x14ac:dyDescent="0.25">
      <c r="A1030">
        <f t="shared" ref="A1030:A1093" si="16">IFERROR(MATCH(TRUE,INDEX(C1030:R1030&lt;&gt;0,),)+2,0)</f>
        <v>0</v>
      </c>
      <c r="C1030">
        <f>NOT(hospitalityq!C1030="")*(SUMPRODUCT(--(TRIM(hospitalityq!C6:C1030)=TRIM(hospitalityq!C1030)))&gt;1)</f>
        <v>0</v>
      </c>
      <c r="D1030">
        <f>NOT(hospitalityq!D1030="")*(COUNTIF(reference!$C$17:$C$18,TRIM(hospitalityq!D1030))=0)</f>
        <v>0</v>
      </c>
      <c r="J1030">
        <f>NOT(hospitalityq!J1030="")*(NOT(ISNUMBER(hospitalityq!J1030+0)))</f>
        <v>0</v>
      </c>
      <c r="K1030">
        <f>NOT(hospitalityq!K1030="")*(NOT(ISNUMBER(hospitalityq!K1030+0)))</f>
        <v>0</v>
      </c>
      <c r="P1030">
        <f>NOT(hospitalityq!P1030="")*(NOT(IFERROR(INT(hospitalityq!P1030)=VALUE(hospitalityq!P1030),FALSE)))</f>
        <v>0</v>
      </c>
      <c r="Q1030">
        <f>NOT(hospitalityq!Q1030="")*(NOT(IFERROR(INT(hospitalityq!Q1030)=VALUE(hospitalityq!Q1030),FALSE)))</f>
        <v>0</v>
      </c>
      <c r="R1030">
        <f>NOT(hospitalityq!R1030="")*(NOT(IFERROR(ROUND(VALUE(hospitalityq!R1030),2)=VALUE(hospitalityq!R1030),FALSE)))</f>
        <v>0</v>
      </c>
    </row>
    <row r="1031" spans="1:18" x14ac:dyDescent="0.25">
      <c r="A1031">
        <f t="shared" si="16"/>
        <v>0</v>
      </c>
      <c r="C1031">
        <f>NOT(hospitalityq!C1031="")*(SUMPRODUCT(--(TRIM(hospitalityq!C6:C1031)=TRIM(hospitalityq!C1031)))&gt;1)</f>
        <v>0</v>
      </c>
      <c r="D1031">
        <f>NOT(hospitalityq!D1031="")*(COUNTIF(reference!$C$17:$C$18,TRIM(hospitalityq!D1031))=0)</f>
        <v>0</v>
      </c>
      <c r="J1031">
        <f>NOT(hospitalityq!J1031="")*(NOT(ISNUMBER(hospitalityq!J1031+0)))</f>
        <v>0</v>
      </c>
      <c r="K1031">
        <f>NOT(hospitalityq!K1031="")*(NOT(ISNUMBER(hospitalityq!K1031+0)))</f>
        <v>0</v>
      </c>
      <c r="P1031">
        <f>NOT(hospitalityq!P1031="")*(NOT(IFERROR(INT(hospitalityq!P1031)=VALUE(hospitalityq!P1031),FALSE)))</f>
        <v>0</v>
      </c>
      <c r="Q1031">
        <f>NOT(hospitalityq!Q1031="")*(NOT(IFERROR(INT(hospitalityq!Q1031)=VALUE(hospitalityq!Q1031),FALSE)))</f>
        <v>0</v>
      </c>
      <c r="R1031">
        <f>NOT(hospitalityq!R1031="")*(NOT(IFERROR(ROUND(VALUE(hospitalityq!R1031),2)=VALUE(hospitalityq!R1031),FALSE)))</f>
        <v>0</v>
      </c>
    </row>
    <row r="1032" spans="1:18" x14ac:dyDescent="0.25">
      <c r="A1032">
        <f t="shared" si="16"/>
        <v>0</v>
      </c>
      <c r="C1032">
        <f>NOT(hospitalityq!C1032="")*(SUMPRODUCT(--(TRIM(hospitalityq!C6:C1032)=TRIM(hospitalityq!C1032)))&gt;1)</f>
        <v>0</v>
      </c>
      <c r="D1032">
        <f>NOT(hospitalityq!D1032="")*(COUNTIF(reference!$C$17:$C$18,TRIM(hospitalityq!D1032))=0)</f>
        <v>0</v>
      </c>
      <c r="J1032">
        <f>NOT(hospitalityq!J1032="")*(NOT(ISNUMBER(hospitalityq!J1032+0)))</f>
        <v>0</v>
      </c>
      <c r="K1032">
        <f>NOT(hospitalityq!K1032="")*(NOT(ISNUMBER(hospitalityq!K1032+0)))</f>
        <v>0</v>
      </c>
      <c r="P1032">
        <f>NOT(hospitalityq!P1032="")*(NOT(IFERROR(INT(hospitalityq!P1032)=VALUE(hospitalityq!P1032),FALSE)))</f>
        <v>0</v>
      </c>
      <c r="Q1032">
        <f>NOT(hospitalityq!Q1032="")*(NOT(IFERROR(INT(hospitalityq!Q1032)=VALUE(hospitalityq!Q1032),FALSE)))</f>
        <v>0</v>
      </c>
      <c r="R1032">
        <f>NOT(hospitalityq!R1032="")*(NOT(IFERROR(ROUND(VALUE(hospitalityq!R1032),2)=VALUE(hospitalityq!R1032),FALSE)))</f>
        <v>0</v>
      </c>
    </row>
    <row r="1033" spans="1:18" x14ac:dyDescent="0.25">
      <c r="A1033">
        <f t="shared" si="16"/>
        <v>0</v>
      </c>
      <c r="C1033">
        <f>NOT(hospitalityq!C1033="")*(SUMPRODUCT(--(TRIM(hospitalityq!C6:C1033)=TRIM(hospitalityq!C1033)))&gt;1)</f>
        <v>0</v>
      </c>
      <c r="D1033">
        <f>NOT(hospitalityq!D1033="")*(COUNTIF(reference!$C$17:$C$18,TRIM(hospitalityq!D1033))=0)</f>
        <v>0</v>
      </c>
      <c r="J1033">
        <f>NOT(hospitalityq!J1033="")*(NOT(ISNUMBER(hospitalityq!J1033+0)))</f>
        <v>0</v>
      </c>
      <c r="K1033">
        <f>NOT(hospitalityq!K1033="")*(NOT(ISNUMBER(hospitalityq!K1033+0)))</f>
        <v>0</v>
      </c>
      <c r="P1033">
        <f>NOT(hospitalityq!P1033="")*(NOT(IFERROR(INT(hospitalityq!P1033)=VALUE(hospitalityq!P1033),FALSE)))</f>
        <v>0</v>
      </c>
      <c r="Q1033">
        <f>NOT(hospitalityq!Q1033="")*(NOT(IFERROR(INT(hospitalityq!Q1033)=VALUE(hospitalityq!Q1033),FALSE)))</f>
        <v>0</v>
      </c>
      <c r="R1033">
        <f>NOT(hospitalityq!R1033="")*(NOT(IFERROR(ROUND(VALUE(hospitalityq!R1033),2)=VALUE(hospitalityq!R1033),FALSE)))</f>
        <v>0</v>
      </c>
    </row>
    <row r="1034" spans="1:18" x14ac:dyDescent="0.25">
      <c r="A1034">
        <f t="shared" si="16"/>
        <v>0</v>
      </c>
      <c r="C1034">
        <f>NOT(hospitalityq!C1034="")*(SUMPRODUCT(--(TRIM(hospitalityq!C6:C1034)=TRIM(hospitalityq!C1034)))&gt;1)</f>
        <v>0</v>
      </c>
      <c r="D1034">
        <f>NOT(hospitalityq!D1034="")*(COUNTIF(reference!$C$17:$C$18,TRIM(hospitalityq!D1034))=0)</f>
        <v>0</v>
      </c>
      <c r="J1034">
        <f>NOT(hospitalityq!J1034="")*(NOT(ISNUMBER(hospitalityq!J1034+0)))</f>
        <v>0</v>
      </c>
      <c r="K1034">
        <f>NOT(hospitalityq!K1034="")*(NOT(ISNUMBER(hospitalityq!K1034+0)))</f>
        <v>0</v>
      </c>
      <c r="P1034">
        <f>NOT(hospitalityq!P1034="")*(NOT(IFERROR(INT(hospitalityq!P1034)=VALUE(hospitalityq!P1034),FALSE)))</f>
        <v>0</v>
      </c>
      <c r="Q1034">
        <f>NOT(hospitalityq!Q1034="")*(NOT(IFERROR(INT(hospitalityq!Q1034)=VALUE(hospitalityq!Q1034),FALSE)))</f>
        <v>0</v>
      </c>
      <c r="R1034">
        <f>NOT(hospitalityq!R1034="")*(NOT(IFERROR(ROUND(VALUE(hospitalityq!R1034),2)=VALUE(hospitalityq!R1034),FALSE)))</f>
        <v>0</v>
      </c>
    </row>
    <row r="1035" spans="1:18" x14ac:dyDescent="0.25">
      <c r="A1035">
        <f t="shared" si="16"/>
        <v>0</v>
      </c>
      <c r="C1035">
        <f>NOT(hospitalityq!C1035="")*(SUMPRODUCT(--(TRIM(hospitalityq!C6:C1035)=TRIM(hospitalityq!C1035)))&gt;1)</f>
        <v>0</v>
      </c>
      <c r="D1035">
        <f>NOT(hospitalityq!D1035="")*(COUNTIF(reference!$C$17:$C$18,TRIM(hospitalityq!D1035))=0)</f>
        <v>0</v>
      </c>
      <c r="J1035">
        <f>NOT(hospitalityq!J1035="")*(NOT(ISNUMBER(hospitalityq!J1035+0)))</f>
        <v>0</v>
      </c>
      <c r="K1035">
        <f>NOT(hospitalityq!K1035="")*(NOT(ISNUMBER(hospitalityq!K1035+0)))</f>
        <v>0</v>
      </c>
      <c r="P1035">
        <f>NOT(hospitalityq!P1035="")*(NOT(IFERROR(INT(hospitalityq!P1035)=VALUE(hospitalityq!P1035),FALSE)))</f>
        <v>0</v>
      </c>
      <c r="Q1035">
        <f>NOT(hospitalityq!Q1035="")*(NOT(IFERROR(INT(hospitalityq!Q1035)=VALUE(hospitalityq!Q1035),FALSE)))</f>
        <v>0</v>
      </c>
      <c r="R1035">
        <f>NOT(hospitalityq!R1035="")*(NOT(IFERROR(ROUND(VALUE(hospitalityq!R1035),2)=VALUE(hospitalityq!R1035),FALSE)))</f>
        <v>0</v>
      </c>
    </row>
    <row r="1036" spans="1:18" x14ac:dyDescent="0.25">
      <c r="A1036">
        <f t="shared" si="16"/>
        <v>0</v>
      </c>
      <c r="C1036">
        <f>NOT(hospitalityq!C1036="")*(SUMPRODUCT(--(TRIM(hospitalityq!C6:C1036)=TRIM(hospitalityq!C1036)))&gt;1)</f>
        <v>0</v>
      </c>
      <c r="D1036">
        <f>NOT(hospitalityq!D1036="")*(COUNTIF(reference!$C$17:$C$18,TRIM(hospitalityq!D1036))=0)</f>
        <v>0</v>
      </c>
      <c r="J1036">
        <f>NOT(hospitalityq!J1036="")*(NOT(ISNUMBER(hospitalityq!J1036+0)))</f>
        <v>0</v>
      </c>
      <c r="K1036">
        <f>NOT(hospitalityq!K1036="")*(NOT(ISNUMBER(hospitalityq!K1036+0)))</f>
        <v>0</v>
      </c>
      <c r="P1036">
        <f>NOT(hospitalityq!P1036="")*(NOT(IFERROR(INT(hospitalityq!P1036)=VALUE(hospitalityq!P1036),FALSE)))</f>
        <v>0</v>
      </c>
      <c r="Q1036">
        <f>NOT(hospitalityq!Q1036="")*(NOT(IFERROR(INT(hospitalityq!Q1036)=VALUE(hospitalityq!Q1036),FALSE)))</f>
        <v>0</v>
      </c>
      <c r="R1036">
        <f>NOT(hospitalityq!R1036="")*(NOT(IFERROR(ROUND(VALUE(hospitalityq!R1036),2)=VALUE(hospitalityq!R1036),FALSE)))</f>
        <v>0</v>
      </c>
    </row>
    <row r="1037" spans="1:18" x14ac:dyDescent="0.25">
      <c r="A1037">
        <f t="shared" si="16"/>
        <v>0</v>
      </c>
      <c r="C1037">
        <f>NOT(hospitalityq!C1037="")*(SUMPRODUCT(--(TRIM(hospitalityq!C6:C1037)=TRIM(hospitalityq!C1037)))&gt;1)</f>
        <v>0</v>
      </c>
      <c r="D1037">
        <f>NOT(hospitalityq!D1037="")*(COUNTIF(reference!$C$17:$C$18,TRIM(hospitalityq!D1037))=0)</f>
        <v>0</v>
      </c>
      <c r="J1037">
        <f>NOT(hospitalityq!J1037="")*(NOT(ISNUMBER(hospitalityq!J1037+0)))</f>
        <v>0</v>
      </c>
      <c r="K1037">
        <f>NOT(hospitalityq!K1037="")*(NOT(ISNUMBER(hospitalityq!K1037+0)))</f>
        <v>0</v>
      </c>
      <c r="P1037">
        <f>NOT(hospitalityq!P1037="")*(NOT(IFERROR(INT(hospitalityq!P1037)=VALUE(hospitalityq!P1037),FALSE)))</f>
        <v>0</v>
      </c>
      <c r="Q1037">
        <f>NOT(hospitalityq!Q1037="")*(NOT(IFERROR(INT(hospitalityq!Q1037)=VALUE(hospitalityq!Q1037),FALSE)))</f>
        <v>0</v>
      </c>
      <c r="R1037">
        <f>NOT(hospitalityq!R1037="")*(NOT(IFERROR(ROUND(VALUE(hospitalityq!R1037),2)=VALUE(hospitalityq!R1037),FALSE)))</f>
        <v>0</v>
      </c>
    </row>
    <row r="1038" spans="1:18" x14ac:dyDescent="0.25">
      <c r="A1038">
        <f t="shared" si="16"/>
        <v>0</v>
      </c>
      <c r="C1038">
        <f>NOT(hospitalityq!C1038="")*(SUMPRODUCT(--(TRIM(hospitalityq!C6:C1038)=TRIM(hospitalityq!C1038)))&gt;1)</f>
        <v>0</v>
      </c>
      <c r="D1038">
        <f>NOT(hospitalityq!D1038="")*(COUNTIF(reference!$C$17:$C$18,TRIM(hospitalityq!D1038))=0)</f>
        <v>0</v>
      </c>
      <c r="J1038">
        <f>NOT(hospitalityq!J1038="")*(NOT(ISNUMBER(hospitalityq!J1038+0)))</f>
        <v>0</v>
      </c>
      <c r="K1038">
        <f>NOT(hospitalityq!K1038="")*(NOT(ISNUMBER(hospitalityq!K1038+0)))</f>
        <v>0</v>
      </c>
      <c r="P1038">
        <f>NOT(hospitalityq!P1038="")*(NOT(IFERROR(INT(hospitalityq!P1038)=VALUE(hospitalityq!P1038),FALSE)))</f>
        <v>0</v>
      </c>
      <c r="Q1038">
        <f>NOT(hospitalityq!Q1038="")*(NOT(IFERROR(INT(hospitalityq!Q1038)=VALUE(hospitalityq!Q1038),FALSE)))</f>
        <v>0</v>
      </c>
      <c r="R1038">
        <f>NOT(hospitalityq!R1038="")*(NOT(IFERROR(ROUND(VALUE(hospitalityq!R1038),2)=VALUE(hospitalityq!R1038),FALSE)))</f>
        <v>0</v>
      </c>
    </row>
    <row r="1039" spans="1:18" x14ac:dyDescent="0.25">
      <c r="A1039">
        <f t="shared" si="16"/>
        <v>0</v>
      </c>
      <c r="C1039">
        <f>NOT(hospitalityq!C1039="")*(SUMPRODUCT(--(TRIM(hospitalityq!C6:C1039)=TRIM(hospitalityq!C1039)))&gt;1)</f>
        <v>0</v>
      </c>
      <c r="D1039">
        <f>NOT(hospitalityq!D1039="")*(COUNTIF(reference!$C$17:$C$18,TRIM(hospitalityq!D1039))=0)</f>
        <v>0</v>
      </c>
      <c r="J1039">
        <f>NOT(hospitalityq!J1039="")*(NOT(ISNUMBER(hospitalityq!J1039+0)))</f>
        <v>0</v>
      </c>
      <c r="K1039">
        <f>NOT(hospitalityq!K1039="")*(NOT(ISNUMBER(hospitalityq!K1039+0)))</f>
        <v>0</v>
      </c>
      <c r="P1039">
        <f>NOT(hospitalityq!P1039="")*(NOT(IFERROR(INT(hospitalityq!P1039)=VALUE(hospitalityq!P1039),FALSE)))</f>
        <v>0</v>
      </c>
      <c r="Q1039">
        <f>NOT(hospitalityq!Q1039="")*(NOT(IFERROR(INT(hospitalityq!Q1039)=VALUE(hospitalityq!Q1039),FALSE)))</f>
        <v>0</v>
      </c>
      <c r="R1039">
        <f>NOT(hospitalityq!R1039="")*(NOT(IFERROR(ROUND(VALUE(hospitalityq!R1039),2)=VALUE(hospitalityq!R1039),FALSE)))</f>
        <v>0</v>
      </c>
    </row>
    <row r="1040" spans="1:18" x14ac:dyDescent="0.25">
      <c r="A1040">
        <f t="shared" si="16"/>
        <v>0</v>
      </c>
      <c r="C1040">
        <f>NOT(hospitalityq!C1040="")*(SUMPRODUCT(--(TRIM(hospitalityq!C6:C1040)=TRIM(hospitalityq!C1040)))&gt;1)</f>
        <v>0</v>
      </c>
      <c r="D1040">
        <f>NOT(hospitalityq!D1040="")*(COUNTIF(reference!$C$17:$C$18,TRIM(hospitalityq!D1040))=0)</f>
        <v>0</v>
      </c>
      <c r="J1040">
        <f>NOT(hospitalityq!J1040="")*(NOT(ISNUMBER(hospitalityq!J1040+0)))</f>
        <v>0</v>
      </c>
      <c r="K1040">
        <f>NOT(hospitalityq!K1040="")*(NOT(ISNUMBER(hospitalityq!K1040+0)))</f>
        <v>0</v>
      </c>
      <c r="P1040">
        <f>NOT(hospitalityq!P1040="")*(NOT(IFERROR(INT(hospitalityq!P1040)=VALUE(hospitalityq!P1040),FALSE)))</f>
        <v>0</v>
      </c>
      <c r="Q1040">
        <f>NOT(hospitalityq!Q1040="")*(NOT(IFERROR(INT(hospitalityq!Q1040)=VALUE(hospitalityq!Q1040),FALSE)))</f>
        <v>0</v>
      </c>
      <c r="R1040">
        <f>NOT(hospitalityq!R1040="")*(NOT(IFERROR(ROUND(VALUE(hospitalityq!R1040),2)=VALUE(hospitalityq!R1040),FALSE)))</f>
        <v>0</v>
      </c>
    </row>
    <row r="1041" spans="1:18" x14ac:dyDescent="0.25">
      <c r="A1041">
        <f t="shared" si="16"/>
        <v>0</v>
      </c>
      <c r="C1041">
        <f>NOT(hospitalityq!C1041="")*(SUMPRODUCT(--(TRIM(hospitalityq!C6:C1041)=TRIM(hospitalityq!C1041)))&gt;1)</f>
        <v>0</v>
      </c>
      <c r="D1041">
        <f>NOT(hospitalityq!D1041="")*(COUNTIF(reference!$C$17:$C$18,TRIM(hospitalityq!D1041))=0)</f>
        <v>0</v>
      </c>
      <c r="J1041">
        <f>NOT(hospitalityq!J1041="")*(NOT(ISNUMBER(hospitalityq!J1041+0)))</f>
        <v>0</v>
      </c>
      <c r="K1041">
        <f>NOT(hospitalityq!K1041="")*(NOT(ISNUMBER(hospitalityq!K1041+0)))</f>
        <v>0</v>
      </c>
      <c r="P1041">
        <f>NOT(hospitalityq!P1041="")*(NOT(IFERROR(INT(hospitalityq!P1041)=VALUE(hospitalityq!P1041),FALSE)))</f>
        <v>0</v>
      </c>
      <c r="Q1041">
        <f>NOT(hospitalityq!Q1041="")*(NOT(IFERROR(INT(hospitalityq!Q1041)=VALUE(hospitalityq!Q1041),FALSE)))</f>
        <v>0</v>
      </c>
      <c r="R1041">
        <f>NOT(hospitalityq!R1041="")*(NOT(IFERROR(ROUND(VALUE(hospitalityq!R1041),2)=VALUE(hospitalityq!R1041),FALSE)))</f>
        <v>0</v>
      </c>
    </row>
    <row r="1042" spans="1:18" x14ac:dyDescent="0.25">
      <c r="A1042">
        <f t="shared" si="16"/>
        <v>0</v>
      </c>
      <c r="C1042">
        <f>NOT(hospitalityq!C1042="")*(SUMPRODUCT(--(TRIM(hospitalityq!C6:C1042)=TRIM(hospitalityq!C1042)))&gt;1)</f>
        <v>0</v>
      </c>
      <c r="D1042">
        <f>NOT(hospitalityq!D1042="")*(COUNTIF(reference!$C$17:$C$18,TRIM(hospitalityq!D1042))=0)</f>
        <v>0</v>
      </c>
      <c r="J1042">
        <f>NOT(hospitalityq!J1042="")*(NOT(ISNUMBER(hospitalityq!J1042+0)))</f>
        <v>0</v>
      </c>
      <c r="K1042">
        <f>NOT(hospitalityq!K1042="")*(NOT(ISNUMBER(hospitalityq!K1042+0)))</f>
        <v>0</v>
      </c>
      <c r="P1042">
        <f>NOT(hospitalityq!P1042="")*(NOT(IFERROR(INT(hospitalityq!P1042)=VALUE(hospitalityq!P1042),FALSE)))</f>
        <v>0</v>
      </c>
      <c r="Q1042">
        <f>NOT(hospitalityq!Q1042="")*(NOT(IFERROR(INT(hospitalityq!Q1042)=VALUE(hospitalityq!Q1042),FALSE)))</f>
        <v>0</v>
      </c>
      <c r="R1042">
        <f>NOT(hospitalityq!R1042="")*(NOT(IFERROR(ROUND(VALUE(hospitalityq!R1042),2)=VALUE(hospitalityq!R1042),FALSE)))</f>
        <v>0</v>
      </c>
    </row>
    <row r="1043" spans="1:18" x14ac:dyDescent="0.25">
      <c r="A1043">
        <f t="shared" si="16"/>
        <v>0</v>
      </c>
      <c r="C1043">
        <f>NOT(hospitalityq!C1043="")*(SUMPRODUCT(--(TRIM(hospitalityq!C6:C1043)=TRIM(hospitalityq!C1043)))&gt;1)</f>
        <v>0</v>
      </c>
      <c r="D1043">
        <f>NOT(hospitalityq!D1043="")*(COUNTIF(reference!$C$17:$C$18,TRIM(hospitalityq!D1043))=0)</f>
        <v>0</v>
      </c>
      <c r="J1043">
        <f>NOT(hospitalityq!J1043="")*(NOT(ISNUMBER(hospitalityq!J1043+0)))</f>
        <v>0</v>
      </c>
      <c r="K1043">
        <f>NOT(hospitalityq!K1043="")*(NOT(ISNUMBER(hospitalityq!K1043+0)))</f>
        <v>0</v>
      </c>
      <c r="P1043">
        <f>NOT(hospitalityq!P1043="")*(NOT(IFERROR(INT(hospitalityq!P1043)=VALUE(hospitalityq!P1043),FALSE)))</f>
        <v>0</v>
      </c>
      <c r="Q1043">
        <f>NOT(hospitalityq!Q1043="")*(NOT(IFERROR(INT(hospitalityq!Q1043)=VALUE(hospitalityq!Q1043),FALSE)))</f>
        <v>0</v>
      </c>
      <c r="R1043">
        <f>NOT(hospitalityq!R1043="")*(NOT(IFERROR(ROUND(VALUE(hospitalityq!R1043),2)=VALUE(hospitalityq!R1043),FALSE)))</f>
        <v>0</v>
      </c>
    </row>
    <row r="1044" spans="1:18" x14ac:dyDescent="0.25">
      <c r="A1044">
        <f t="shared" si="16"/>
        <v>0</v>
      </c>
      <c r="C1044">
        <f>NOT(hospitalityq!C1044="")*(SUMPRODUCT(--(TRIM(hospitalityq!C6:C1044)=TRIM(hospitalityq!C1044)))&gt;1)</f>
        <v>0</v>
      </c>
      <c r="D1044">
        <f>NOT(hospitalityq!D1044="")*(COUNTIF(reference!$C$17:$C$18,TRIM(hospitalityq!D1044))=0)</f>
        <v>0</v>
      </c>
      <c r="J1044">
        <f>NOT(hospitalityq!J1044="")*(NOT(ISNUMBER(hospitalityq!J1044+0)))</f>
        <v>0</v>
      </c>
      <c r="K1044">
        <f>NOT(hospitalityq!K1044="")*(NOT(ISNUMBER(hospitalityq!K1044+0)))</f>
        <v>0</v>
      </c>
      <c r="P1044">
        <f>NOT(hospitalityq!P1044="")*(NOT(IFERROR(INT(hospitalityq!P1044)=VALUE(hospitalityq!P1044),FALSE)))</f>
        <v>0</v>
      </c>
      <c r="Q1044">
        <f>NOT(hospitalityq!Q1044="")*(NOT(IFERROR(INT(hospitalityq!Q1044)=VALUE(hospitalityq!Q1044),FALSE)))</f>
        <v>0</v>
      </c>
      <c r="R1044">
        <f>NOT(hospitalityq!R1044="")*(NOT(IFERROR(ROUND(VALUE(hospitalityq!R1044),2)=VALUE(hospitalityq!R1044),FALSE)))</f>
        <v>0</v>
      </c>
    </row>
    <row r="1045" spans="1:18" x14ac:dyDescent="0.25">
      <c r="A1045">
        <f t="shared" si="16"/>
        <v>0</v>
      </c>
      <c r="C1045">
        <f>NOT(hospitalityq!C1045="")*(SUMPRODUCT(--(TRIM(hospitalityq!C6:C1045)=TRIM(hospitalityq!C1045)))&gt;1)</f>
        <v>0</v>
      </c>
      <c r="D1045">
        <f>NOT(hospitalityq!D1045="")*(COUNTIF(reference!$C$17:$C$18,TRIM(hospitalityq!D1045))=0)</f>
        <v>0</v>
      </c>
      <c r="J1045">
        <f>NOT(hospitalityq!J1045="")*(NOT(ISNUMBER(hospitalityq!J1045+0)))</f>
        <v>0</v>
      </c>
      <c r="K1045">
        <f>NOT(hospitalityq!K1045="")*(NOT(ISNUMBER(hospitalityq!K1045+0)))</f>
        <v>0</v>
      </c>
      <c r="P1045">
        <f>NOT(hospitalityq!P1045="")*(NOT(IFERROR(INT(hospitalityq!P1045)=VALUE(hospitalityq!P1045),FALSE)))</f>
        <v>0</v>
      </c>
      <c r="Q1045">
        <f>NOT(hospitalityq!Q1045="")*(NOT(IFERROR(INT(hospitalityq!Q1045)=VALUE(hospitalityq!Q1045),FALSE)))</f>
        <v>0</v>
      </c>
      <c r="R1045">
        <f>NOT(hospitalityq!R1045="")*(NOT(IFERROR(ROUND(VALUE(hospitalityq!R1045),2)=VALUE(hospitalityq!R1045),FALSE)))</f>
        <v>0</v>
      </c>
    </row>
    <row r="1046" spans="1:18" x14ac:dyDescent="0.25">
      <c r="A1046">
        <f t="shared" si="16"/>
        <v>0</v>
      </c>
      <c r="C1046">
        <f>NOT(hospitalityq!C1046="")*(SUMPRODUCT(--(TRIM(hospitalityq!C6:C1046)=TRIM(hospitalityq!C1046)))&gt;1)</f>
        <v>0</v>
      </c>
      <c r="D1046">
        <f>NOT(hospitalityq!D1046="")*(COUNTIF(reference!$C$17:$C$18,TRIM(hospitalityq!D1046))=0)</f>
        <v>0</v>
      </c>
      <c r="J1046">
        <f>NOT(hospitalityq!J1046="")*(NOT(ISNUMBER(hospitalityq!J1046+0)))</f>
        <v>0</v>
      </c>
      <c r="K1046">
        <f>NOT(hospitalityq!K1046="")*(NOT(ISNUMBER(hospitalityq!K1046+0)))</f>
        <v>0</v>
      </c>
      <c r="P1046">
        <f>NOT(hospitalityq!P1046="")*(NOT(IFERROR(INT(hospitalityq!P1046)=VALUE(hospitalityq!P1046),FALSE)))</f>
        <v>0</v>
      </c>
      <c r="Q1046">
        <f>NOT(hospitalityq!Q1046="")*(NOT(IFERROR(INT(hospitalityq!Q1046)=VALUE(hospitalityq!Q1046),FALSE)))</f>
        <v>0</v>
      </c>
      <c r="R1046">
        <f>NOT(hospitalityq!R1046="")*(NOT(IFERROR(ROUND(VALUE(hospitalityq!R1046),2)=VALUE(hospitalityq!R1046),FALSE)))</f>
        <v>0</v>
      </c>
    </row>
    <row r="1047" spans="1:18" x14ac:dyDescent="0.25">
      <c r="A1047">
        <f t="shared" si="16"/>
        <v>0</v>
      </c>
      <c r="C1047">
        <f>NOT(hospitalityq!C1047="")*(SUMPRODUCT(--(TRIM(hospitalityq!C6:C1047)=TRIM(hospitalityq!C1047)))&gt;1)</f>
        <v>0</v>
      </c>
      <c r="D1047">
        <f>NOT(hospitalityq!D1047="")*(COUNTIF(reference!$C$17:$C$18,TRIM(hospitalityq!D1047))=0)</f>
        <v>0</v>
      </c>
      <c r="J1047">
        <f>NOT(hospitalityq!J1047="")*(NOT(ISNUMBER(hospitalityq!J1047+0)))</f>
        <v>0</v>
      </c>
      <c r="K1047">
        <f>NOT(hospitalityq!K1047="")*(NOT(ISNUMBER(hospitalityq!K1047+0)))</f>
        <v>0</v>
      </c>
      <c r="P1047">
        <f>NOT(hospitalityq!P1047="")*(NOT(IFERROR(INT(hospitalityq!P1047)=VALUE(hospitalityq!P1047),FALSE)))</f>
        <v>0</v>
      </c>
      <c r="Q1047">
        <f>NOT(hospitalityq!Q1047="")*(NOT(IFERROR(INT(hospitalityq!Q1047)=VALUE(hospitalityq!Q1047),FALSE)))</f>
        <v>0</v>
      </c>
      <c r="R1047">
        <f>NOT(hospitalityq!R1047="")*(NOT(IFERROR(ROUND(VALUE(hospitalityq!R1047),2)=VALUE(hospitalityq!R1047),FALSE)))</f>
        <v>0</v>
      </c>
    </row>
    <row r="1048" spans="1:18" x14ac:dyDescent="0.25">
      <c r="A1048">
        <f t="shared" si="16"/>
        <v>0</v>
      </c>
      <c r="C1048">
        <f>NOT(hospitalityq!C1048="")*(SUMPRODUCT(--(TRIM(hospitalityq!C6:C1048)=TRIM(hospitalityq!C1048)))&gt;1)</f>
        <v>0</v>
      </c>
      <c r="D1048">
        <f>NOT(hospitalityq!D1048="")*(COUNTIF(reference!$C$17:$C$18,TRIM(hospitalityq!D1048))=0)</f>
        <v>0</v>
      </c>
      <c r="J1048">
        <f>NOT(hospitalityq!J1048="")*(NOT(ISNUMBER(hospitalityq!J1048+0)))</f>
        <v>0</v>
      </c>
      <c r="K1048">
        <f>NOT(hospitalityq!K1048="")*(NOT(ISNUMBER(hospitalityq!K1048+0)))</f>
        <v>0</v>
      </c>
      <c r="P1048">
        <f>NOT(hospitalityq!P1048="")*(NOT(IFERROR(INT(hospitalityq!P1048)=VALUE(hospitalityq!P1048),FALSE)))</f>
        <v>0</v>
      </c>
      <c r="Q1048">
        <f>NOT(hospitalityq!Q1048="")*(NOT(IFERROR(INT(hospitalityq!Q1048)=VALUE(hospitalityq!Q1048),FALSE)))</f>
        <v>0</v>
      </c>
      <c r="R1048">
        <f>NOT(hospitalityq!R1048="")*(NOT(IFERROR(ROUND(VALUE(hospitalityq!R1048),2)=VALUE(hospitalityq!R1048),FALSE)))</f>
        <v>0</v>
      </c>
    </row>
    <row r="1049" spans="1:18" x14ac:dyDescent="0.25">
      <c r="A1049">
        <f t="shared" si="16"/>
        <v>0</v>
      </c>
      <c r="C1049">
        <f>NOT(hospitalityq!C1049="")*(SUMPRODUCT(--(TRIM(hospitalityq!C6:C1049)=TRIM(hospitalityq!C1049)))&gt;1)</f>
        <v>0</v>
      </c>
      <c r="D1049">
        <f>NOT(hospitalityq!D1049="")*(COUNTIF(reference!$C$17:$C$18,TRIM(hospitalityq!D1049))=0)</f>
        <v>0</v>
      </c>
      <c r="J1049">
        <f>NOT(hospitalityq!J1049="")*(NOT(ISNUMBER(hospitalityq!J1049+0)))</f>
        <v>0</v>
      </c>
      <c r="K1049">
        <f>NOT(hospitalityq!K1049="")*(NOT(ISNUMBER(hospitalityq!K1049+0)))</f>
        <v>0</v>
      </c>
      <c r="P1049">
        <f>NOT(hospitalityq!P1049="")*(NOT(IFERROR(INT(hospitalityq!P1049)=VALUE(hospitalityq!P1049),FALSE)))</f>
        <v>0</v>
      </c>
      <c r="Q1049">
        <f>NOT(hospitalityq!Q1049="")*(NOT(IFERROR(INT(hospitalityq!Q1049)=VALUE(hospitalityq!Q1049),FALSE)))</f>
        <v>0</v>
      </c>
      <c r="R1049">
        <f>NOT(hospitalityq!R1049="")*(NOT(IFERROR(ROUND(VALUE(hospitalityq!R1049),2)=VALUE(hospitalityq!R1049),FALSE)))</f>
        <v>0</v>
      </c>
    </row>
    <row r="1050" spans="1:18" x14ac:dyDescent="0.25">
      <c r="A1050">
        <f t="shared" si="16"/>
        <v>0</v>
      </c>
      <c r="C1050">
        <f>NOT(hospitalityq!C1050="")*(SUMPRODUCT(--(TRIM(hospitalityq!C6:C1050)=TRIM(hospitalityq!C1050)))&gt;1)</f>
        <v>0</v>
      </c>
      <c r="D1050">
        <f>NOT(hospitalityq!D1050="")*(COUNTIF(reference!$C$17:$C$18,TRIM(hospitalityq!D1050))=0)</f>
        <v>0</v>
      </c>
      <c r="J1050">
        <f>NOT(hospitalityq!J1050="")*(NOT(ISNUMBER(hospitalityq!J1050+0)))</f>
        <v>0</v>
      </c>
      <c r="K1050">
        <f>NOT(hospitalityq!K1050="")*(NOT(ISNUMBER(hospitalityq!K1050+0)))</f>
        <v>0</v>
      </c>
      <c r="P1050">
        <f>NOT(hospitalityq!P1050="")*(NOT(IFERROR(INT(hospitalityq!P1050)=VALUE(hospitalityq!P1050),FALSE)))</f>
        <v>0</v>
      </c>
      <c r="Q1050">
        <f>NOT(hospitalityq!Q1050="")*(NOT(IFERROR(INT(hospitalityq!Q1050)=VALUE(hospitalityq!Q1050),FALSE)))</f>
        <v>0</v>
      </c>
      <c r="R1050">
        <f>NOT(hospitalityq!R1050="")*(NOT(IFERROR(ROUND(VALUE(hospitalityq!R1050),2)=VALUE(hospitalityq!R1050),FALSE)))</f>
        <v>0</v>
      </c>
    </row>
    <row r="1051" spans="1:18" x14ac:dyDescent="0.25">
      <c r="A1051">
        <f t="shared" si="16"/>
        <v>0</v>
      </c>
      <c r="C1051">
        <f>NOT(hospitalityq!C1051="")*(SUMPRODUCT(--(TRIM(hospitalityq!C6:C1051)=TRIM(hospitalityq!C1051)))&gt;1)</f>
        <v>0</v>
      </c>
      <c r="D1051">
        <f>NOT(hospitalityq!D1051="")*(COUNTIF(reference!$C$17:$C$18,TRIM(hospitalityq!D1051))=0)</f>
        <v>0</v>
      </c>
      <c r="J1051">
        <f>NOT(hospitalityq!J1051="")*(NOT(ISNUMBER(hospitalityq!J1051+0)))</f>
        <v>0</v>
      </c>
      <c r="K1051">
        <f>NOT(hospitalityq!K1051="")*(NOT(ISNUMBER(hospitalityq!K1051+0)))</f>
        <v>0</v>
      </c>
      <c r="P1051">
        <f>NOT(hospitalityq!P1051="")*(NOT(IFERROR(INT(hospitalityq!P1051)=VALUE(hospitalityq!P1051),FALSE)))</f>
        <v>0</v>
      </c>
      <c r="Q1051">
        <f>NOT(hospitalityq!Q1051="")*(NOT(IFERROR(INT(hospitalityq!Q1051)=VALUE(hospitalityq!Q1051),FALSE)))</f>
        <v>0</v>
      </c>
      <c r="R1051">
        <f>NOT(hospitalityq!R1051="")*(NOT(IFERROR(ROUND(VALUE(hospitalityq!R1051),2)=VALUE(hospitalityq!R1051),FALSE)))</f>
        <v>0</v>
      </c>
    </row>
    <row r="1052" spans="1:18" x14ac:dyDescent="0.25">
      <c r="A1052">
        <f t="shared" si="16"/>
        <v>0</v>
      </c>
      <c r="C1052">
        <f>NOT(hospitalityq!C1052="")*(SUMPRODUCT(--(TRIM(hospitalityq!C6:C1052)=TRIM(hospitalityq!C1052)))&gt;1)</f>
        <v>0</v>
      </c>
      <c r="D1052">
        <f>NOT(hospitalityq!D1052="")*(COUNTIF(reference!$C$17:$C$18,TRIM(hospitalityq!D1052))=0)</f>
        <v>0</v>
      </c>
      <c r="J1052">
        <f>NOT(hospitalityq!J1052="")*(NOT(ISNUMBER(hospitalityq!J1052+0)))</f>
        <v>0</v>
      </c>
      <c r="K1052">
        <f>NOT(hospitalityq!K1052="")*(NOT(ISNUMBER(hospitalityq!K1052+0)))</f>
        <v>0</v>
      </c>
      <c r="P1052">
        <f>NOT(hospitalityq!P1052="")*(NOT(IFERROR(INT(hospitalityq!P1052)=VALUE(hospitalityq!P1052),FALSE)))</f>
        <v>0</v>
      </c>
      <c r="Q1052">
        <f>NOT(hospitalityq!Q1052="")*(NOT(IFERROR(INT(hospitalityq!Q1052)=VALUE(hospitalityq!Q1052),FALSE)))</f>
        <v>0</v>
      </c>
      <c r="R1052">
        <f>NOT(hospitalityq!R1052="")*(NOT(IFERROR(ROUND(VALUE(hospitalityq!R1052),2)=VALUE(hospitalityq!R1052),FALSE)))</f>
        <v>0</v>
      </c>
    </row>
    <row r="1053" spans="1:18" x14ac:dyDescent="0.25">
      <c r="A1053">
        <f t="shared" si="16"/>
        <v>0</v>
      </c>
      <c r="C1053">
        <f>NOT(hospitalityq!C1053="")*(SUMPRODUCT(--(TRIM(hospitalityq!C6:C1053)=TRIM(hospitalityq!C1053)))&gt;1)</f>
        <v>0</v>
      </c>
      <c r="D1053">
        <f>NOT(hospitalityq!D1053="")*(COUNTIF(reference!$C$17:$C$18,TRIM(hospitalityq!D1053))=0)</f>
        <v>0</v>
      </c>
      <c r="J1053">
        <f>NOT(hospitalityq!J1053="")*(NOT(ISNUMBER(hospitalityq!J1053+0)))</f>
        <v>0</v>
      </c>
      <c r="K1053">
        <f>NOT(hospitalityq!K1053="")*(NOT(ISNUMBER(hospitalityq!K1053+0)))</f>
        <v>0</v>
      </c>
      <c r="P1053">
        <f>NOT(hospitalityq!P1053="")*(NOT(IFERROR(INT(hospitalityq!P1053)=VALUE(hospitalityq!P1053),FALSE)))</f>
        <v>0</v>
      </c>
      <c r="Q1053">
        <f>NOT(hospitalityq!Q1053="")*(NOT(IFERROR(INT(hospitalityq!Q1053)=VALUE(hospitalityq!Q1053),FALSE)))</f>
        <v>0</v>
      </c>
      <c r="R1053">
        <f>NOT(hospitalityq!R1053="")*(NOT(IFERROR(ROUND(VALUE(hospitalityq!R1053),2)=VALUE(hospitalityq!R1053),FALSE)))</f>
        <v>0</v>
      </c>
    </row>
    <row r="1054" spans="1:18" x14ac:dyDescent="0.25">
      <c r="A1054">
        <f t="shared" si="16"/>
        <v>0</v>
      </c>
      <c r="C1054">
        <f>NOT(hospitalityq!C1054="")*(SUMPRODUCT(--(TRIM(hospitalityq!C6:C1054)=TRIM(hospitalityq!C1054)))&gt;1)</f>
        <v>0</v>
      </c>
      <c r="D1054">
        <f>NOT(hospitalityq!D1054="")*(COUNTIF(reference!$C$17:$C$18,TRIM(hospitalityq!D1054))=0)</f>
        <v>0</v>
      </c>
      <c r="J1054">
        <f>NOT(hospitalityq!J1054="")*(NOT(ISNUMBER(hospitalityq!J1054+0)))</f>
        <v>0</v>
      </c>
      <c r="K1054">
        <f>NOT(hospitalityq!K1054="")*(NOT(ISNUMBER(hospitalityq!K1054+0)))</f>
        <v>0</v>
      </c>
      <c r="P1054">
        <f>NOT(hospitalityq!P1054="")*(NOT(IFERROR(INT(hospitalityq!P1054)=VALUE(hospitalityq!P1054),FALSE)))</f>
        <v>0</v>
      </c>
      <c r="Q1054">
        <f>NOT(hospitalityq!Q1054="")*(NOT(IFERROR(INT(hospitalityq!Q1054)=VALUE(hospitalityq!Q1054),FALSE)))</f>
        <v>0</v>
      </c>
      <c r="R1054">
        <f>NOT(hospitalityq!R1054="")*(NOT(IFERROR(ROUND(VALUE(hospitalityq!R1054),2)=VALUE(hospitalityq!R1054),FALSE)))</f>
        <v>0</v>
      </c>
    </row>
    <row r="1055" spans="1:18" x14ac:dyDescent="0.25">
      <c r="A1055">
        <f t="shared" si="16"/>
        <v>0</v>
      </c>
      <c r="C1055">
        <f>NOT(hospitalityq!C1055="")*(SUMPRODUCT(--(TRIM(hospitalityq!C6:C1055)=TRIM(hospitalityq!C1055)))&gt;1)</f>
        <v>0</v>
      </c>
      <c r="D1055">
        <f>NOT(hospitalityq!D1055="")*(COUNTIF(reference!$C$17:$C$18,TRIM(hospitalityq!D1055))=0)</f>
        <v>0</v>
      </c>
      <c r="J1055">
        <f>NOT(hospitalityq!J1055="")*(NOT(ISNUMBER(hospitalityq!J1055+0)))</f>
        <v>0</v>
      </c>
      <c r="K1055">
        <f>NOT(hospitalityq!K1055="")*(NOT(ISNUMBER(hospitalityq!K1055+0)))</f>
        <v>0</v>
      </c>
      <c r="P1055">
        <f>NOT(hospitalityq!P1055="")*(NOT(IFERROR(INT(hospitalityq!P1055)=VALUE(hospitalityq!P1055),FALSE)))</f>
        <v>0</v>
      </c>
      <c r="Q1055">
        <f>NOT(hospitalityq!Q1055="")*(NOT(IFERROR(INT(hospitalityq!Q1055)=VALUE(hospitalityq!Q1055),FALSE)))</f>
        <v>0</v>
      </c>
      <c r="R1055">
        <f>NOT(hospitalityq!R1055="")*(NOT(IFERROR(ROUND(VALUE(hospitalityq!R1055),2)=VALUE(hospitalityq!R1055),FALSE)))</f>
        <v>0</v>
      </c>
    </row>
    <row r="1056" spans="1:18" x14ac:dyDescent="0.25">
      <c r="A1056">
        <f t="shared" si="16"/>
        <v>0</v>
      </c>
      <c r="C1056">
        <f>NOT(hospitalityq!C1056="")*(SUMPRODUCT(--(TRIM(hospitalityq!C6:C1056)=TRIM(hospitalityq!C1056)))&gt;1)</f>
        <v>0</v>
      </c>
      <c r="D1056">
        <f>NOT(hospitalityq!D1056="")*(COUNTIF(reference!$C$17:$C$18,TRIM(hospitalityq!D1056))=0)</f>
        <v>0</v>
      </c>
      <c r="J1056">
        <f>NOT(hospitalityq!J1056="")*(NOT(ISNUMBER(hospitalityq!J1056+0)))</f>
        <v>0</v>
      </c>
      <c r="K1056">
        <f>NOT(hospitalityq!K1056="")*(NOT(ISNUMBER(hospitalityq!K1056+0)))</f>
        <v>0</v>
      </c>
      <c r="P1056">
        <f>NOT(hospitalityq!P1056="")*(NOT(IFERROR(INT(hospitalityq!P1056)=VALUE(hospitalityq!P1056),FALSE)))</f>
        <v>0</v>
      </c>
      <c r="Q1056">
        <f>NOT(hospitalityq!Q1056="")*(NOT(IFERROR(INT(hospitalityq!Q1056)=VALUE(hospitalityq!Q1056),FALSE)))</f>
        <v>0</v>
      </c>
      <c r="R1056">
        <f>NOT(hospitalityq!R1056="")*(NOT(IFERROR(ROUND(VALUE(hospitalityq!R1056),2)=VALUE(hospitalityq!R1056),FALSE)))</f>
        <v>0</v>
      </c>
    </row>
    <row r="1057" spans="1:18" x14ac:dyDescent="0.25">
      <c r="A1057">
        <f t="shared" si="16"/>
        <v>0</v>
      </c>
      <c r="C1057">
        <f>NOT(hospitalityq!C1057="")*(SUMPRODUCT(--(TRIM(hospitalityq!C6:C1057)=TRIM(hospitalityq!C1057)))&gt;1)</f>
        <v>0</v>
      </c>
      <c r="D1057">
        <f>NOT(hospitalityq!D1057="")*(COUNTIF(reference!$C$17:$C$18,TRIM(hospitalityq!D1057))=0)</f>
        <v>0</v>
      </c>
      <c r="J1057">
        <f>NOT(hospitalityq!J1057="")*(NOT(ISNUMBER(hospitalityq!J1057+0)))</f>
        <v>0</v>
      </c>
      <c r="K1057">
        <f>NOT(hospitalityq!K1057="")*(NOT(ISNUMBER(hospitalityq!K1057+0)))</f>
        <v>0</v>
      </c>
      <c r="P1057">
        <f>NOT(hospitalityq!P1057="")*(NOT(IFERROR(INT(hospitalityq!P1057)=VALUE(hospitalityq!P1057),FALSE)))</f>
        <v>0</v>
      </c>
      <c r="Q1057">
        <f>NOT(hospitalityq!Q1057="")*(NOT(IFERROR(INT(hospitalityq!Q1057)=VALUE(hospitalityq!Q1057),FALSE)))</f>
        <v>0</v>
      </c>
      <c r="R1057">
        <f>NOT(hospitalityq!R1057="")*(NOT(IFERROR(ROUND(VALUE(hospitalityq!R1057),2)=VALUE(hospitalityq!R1057),FALSE)))</f>
        <v>0</v>
      </c>
    </row>
    <row r="1058" spans="1:18" x14ac:dyDescent="0.25">
      <c r="A1058">
        <f t="shared" si="16"/>
        <v>0</v>
      </c>
      <c r="C1058">
        <f>NOT(hospitalityq!C1058="")*(SUMPRODUCT(--(TRIM(hospitalityq!C6:C1058)=TRIM(hospitalityq!C1058)))&gt;1)</f>
        <v>0</v>
      </c>
      <c r="D1058">
        <f>NOT(hospitalityq!D1058="")*(COUNTIF(reference!$C$17:$C$18,TRIM(hospitalityq!D1058))=0)</f>
        <v>0</v>
      </c>
      <c r="J1058">
        <f>NOT(hospitalityq!J1058="")*(NOT(ISNUMBER(hospitalityq!J1058+0)))</f>
        <v>0</v>
      </c>
      <c r="K1058">
        <f>NOT(hospitalityq!K1058="")*(NOT(ISNUMBER(hospitalityq!K1058+0)))</f>
        <v>0</v>
      </c>
      <c r="P1058">
        <f>NOT(hospitalityq!P1058="")*(NOT(IFERROR(INT(hospitalityq!P1058)=VALUE(hospitalityq!P1058),FALSE)))</f>
        <v>0</v>
      </c>
      <c r="Q1058">
        <f>NOT(hospitalityq!Q1058="")*(NOT(IFERROR(INT(hospitalityq!Q1058)=VALUE(hospitalityq!Q1058),FALSE)))</f>
        <v>0</v>
      </c>
      <c r="R1058">
        <f>NOT(hospitalityq!R1058="")*(NOT(IFERROR(ROUND(VALUE(hospitalityq!R1058),2)=VALUE(hospitalityq!R1058),FALSE)))</f>
        <v>0</v>
      </c>
    </row>
    <row r="1059" spans="1:18" x14ac:dyDescent="0.25">
      <c r="A1059">
        <f t="shared" si="16"/>
        <v>0</v>
      </c>
      <c r="C1059">
        <f>NOT(hospitalityq!C1059="")*(SUMPRODUCT(--(TRIM(hospitalityq!C6:C1059)=TRIM(hospitalityq!C1059)))&gt;1)</f>
        <v>0</v>
      </c>
      <c r="D1059">
        <f>NOT(hospitalityq!D1059="")*(COUNTIF(reference!$C$17:$C$18,TRIM(hospitalityq!D1059))=0)</f>
        <v>0</v>
      </c>
      <c r="J1059">
        <f>NOT(hospitalityq!J1059="")*(NOT(ISNUMBER(hospitalityq!J1059+0)))</f>
        <v>0</v>
      </c>
      <c r="K1059">
        <f>NOT(hospitalityq!K1059="")*(NOT(ISNUMBER(hospitalityq!K1059+0)))</f>
        <v>0</v>
      </c>
      <c r="P1059">
        <f>NOT(hospitalityq!P1059="")*(NOT(IFERROR(INT(hospitalityq!P1059)=VALUE(hospitalityq!P1059),FALSE)))</f>
        <v>0</v>
      </c>
      <c r="Q1059">
        <f>NOT(hospitalityq!Q1059="")*(NOT(IFERROR(INT(hospitalityq!Q1059)=VALUE(hospitalityq!Q1059),FALSE)))</f>
        <v>0</v>
      </c>
      <c r="R1059">
        <f>NOT(hospitalityq!R1059="")*(NOT(IFERROR(ROUND(VALUE(hospitalityq!R1059),2)=VALUE(hospitalityq!R1059),FALSE)))</f>
        <v>0</v>
      </c>
    </row>
    <row r="1060" spans="1:18" x14ac:dyDescent="0.25">
      <c r="A1060">
        <f t="shared" si="16"/>
        <v>0</v>
      </c>
      <c r="C1060">
        <f>NOT(hospitalityq!C1060="")*(SUMPRODUCT(--(TRIM(hospitalityq!C6:C1060)=TRIM(hospitalityq!C1060)))&gt;1)</f>
        <v>0</v>
      </c>
      <c r="D1060">
        <f>NOT(hospitalityq!D1060="")*(COUNTIF(reference!$C$17:$C$18,TRIM(hospitalityq!D1060))=0)</f>
        <v>0</v>
      </c>
      <c r="J1060">
        <f>NOT(hospitalityq!J1060="")*(NOT(ISNUMBER(hospitalityq!J1060+0)))</f>
        <v>0</v>
      </c>
      <c r="K1060">
        <f>NOT(hospitalityq!K1060="")*(NOT(ISNUMBER(hospitalityq!K1060+0)))</f>
        <v>0</v>
      </c>
      <c r="P1060">
        <f>NOT(hospitalityq!P1060="")*(NOT(IFERROR(INT(hospitalityq!P1060)=VALUE(hospitalityq!P1060),FALSE)))</f>
        <v>0</v>
      </c>
      <c r="Q1060">
        <f>NOT(hospitalityq!Q1060="")*(NOT(IFERROR(INT(hospitalityq!Q1060)=VALUE(hospitalityq!Q1060),FALSE)))</f>
        <v>0</v>
      </c>
      <c r="R1060">
        <f>NOT(hospitalityq!R1060="")*(NOT(IFERROR(ROUND(VALUE(hospitalityq!R1060),2)=VALUE(hospitalityq!R1060),FALSE)))</f>
        <v>0</v>
      </c>
    </row>
    <row r="1061" spans="1:18" x14ac:dyDescent="0.25">
      <c r="A1061">
        <f t="shared" si="16"/>
        <v>0</v>
      </c>
      <c r="C1061">
        <f>NOT(hospitalityq!C1061="")*(SUMPRODUCT(--(TRIM(hospitalityq!C6:C1061)=TRIM(hospitalityq!C1061)))&gt;1)</f>
        <v>0</v>
      </c>
      <c r="D1061">
        <f>NOT(hospitalityq!D1061="")*(COUNTIF(reference!$C$17:$C$18,TRIM(hospitalityq!D1061))=0)</f>
        <v>0</v>
      </c>
      <c r="J1061">
        <f>NOT(hospitalityq!J1061="")*(NOT(ISNUMBER(hospitalityq!J1061+0)))</f>
        <v>0</v>
      </c>
      <c r="K1061">
        <f>NOT(hospitalityq!K1061="")*(NOT(ISNUMBER(hospitalityq!K1061+0)))</f>
        <v>0</v>
      </c>
      <c r="P1061">
        <f>NOT(hospitalityq!P1061="")*(NOT(IFERROR(INT(hospitalityq!P1061)=VALUE(hospitalityq!P1061),FALSE)))</f>
        <v>0</v>
      </c>
      <c r="Q1061">
        <f>NOT(hospitalityq!Q1061="")*(NOT(IFERROR(INT(hospitalityq!Q1061)=VALUE(hospitalityq!Q1061),FALSE)))</f>
        <v>0</v>
      </c>
      <c r="R1061">
        <f>NOT(hospitalityq!R1061="")*(NOT(IFERROR(ROUND(VALUE(hospitalityq!R1061),2)=VALUE(hospitalityq!R1061),FALSE)))</f>
        <v>0</v>
      </c>
    </row>
    <row r="1062" spans="1:18" x14ac:dyDescent="0.25">
      <c r="A1062">
        <f t="shared" si="16"/>
        <v>0</v>
      </c>
      <c r="C1062">
        <f>NOT(hospitalityq!C1062="")*(SUMPRODUCT(--(TRIM(hospitalityq!C6:C1062)=TRIM(hospitalityq!C1062)))&gt;1)</f>
        <v>0</v>
      </c>
      <c r="D1062">
        <f>NOT(hospitalityq!D1062="")*(COUNTIF(reference!$C$17:$C$18,TRIM(hospitalityq!D1062))=0)</f>
        <v>0</v>
      </c>
      <c r="J1062">
        <f>NOT(hospitalityq!J1062="")*(NOT(ISNUMBER(hospitalityq!J1062+0)))</f>
        <v>0</v>
      </c>
      <c r="K1062">
        <f>NOT(hospitalityq!K1062="")*(NOT(ISNUMBER(hospitalityq!K1062+0)))</f>
        <v>0</v>
      </c>
      <c r="P1062">
        <f>NOT(hospitalityq!P1062="")*(NOT(IFERROR(INT(hospitalityq!P1062)=VALUE(hospitalityq!P1062),FALSE)))</f>
        <v>0</v>
      </c>
      <c r="Q1062">
        <f>NOT(hospitalityq!Q1062="")*(NOT(IFERROR(INT(hospitalityq!Q1062)=VALUE(hospitalityq!Q1062),FALSE)))</f>
        <v>0</v>
      </c>
      <c r="R1062">
        <f>NOT(hospitalityq!R1062="")*(NOT(IFERROR(ROUND(VALUE(hospitalityq!R1062),2)=VALUE(hospitalityq!R1062),FALSE)))</f>
        <v>0</v>
      </c>
    </row>
    <row r="1063" spans="1:18" x14ac:dyDescent="0.25">
      <c r="A1063">
        <f t="shared" si="16"/>
        <v>0</v>
      </c>
      <c r="C1063">
        <f>NOT(hospitalityq!C1063="")*(SUMPRODUCT(--(TRIM(hospitalityq!C6:C1063)=TRIM(hospitalityq!C1063)))&gt;1)</f>
        <v>0</v>
      </c>
      <c r="D1063">
        <f>NOT(hospitalityq!D1063="")*(COUNTIF(reference!$C$17:$C$18,TRIM(hospitalityq!D1063))=0)</f>
        <v>0</v>
      </c>
      <c r="J1063">
        <f>NOT(hospitalityq!J1063="")*(NOT(ISNUMBER(hospitalityq!J1063+0)))</f>
        <v>0</v>
      </c>
      <c r="K1063">
        <f>NOT(hospitalityq!K1063="")*(NOT(ISNUMBER(hospitalityq!K1063+0)))</f>
        <v>0</v>
      </c>
      <c r="P1063">
        <f>NOT(hospitalityq!P1063="")*(NOT(IFERROR(INT(hospitalityq!P1063)=VALUE(hospitalityq!P1063),FALSE)))</f>
        <v>0</v>
      </c>
      <c r="Q1063">
        <f>NOT(hospitalityq!Q1063="")*(NOT(IFERROR(INT(hospitalityq!Q1063)=VALUE(hospitalityq!Q1063),FALSE)))</f>
        <v>0</v>
      </c>
      <c r="R1063">
        <f>NOT(hospitalityq!R1063="")*(NOT(IFERROR(ROUND(VALUE(hospitalityq!R1063),2)=VALUE(hospitalityq!R1063),FALSE)))</f>
        <v>0</v>
      </c>
    </row>
    <row r="1064" spans="1:18" x14ac:dyDescent="0.25">
      <c r="A1064">
        <f t="shared" si="16"/>
        <v>0</v>
      </c>
      <c r="C1064">
        <f>NOT(hospitalityq!C1064="")*(SUMPRODUCT(--(TRIM(hospitalityq!C6:C1064)=TRIM(hospitalityq!C1064)))&gt;1)</f>
        <v>0</v>
      </c>
      <c r="D1064">
        <f>NOT(hospitalityq!D1064="")*(COUNTIF(reference!$C$17:$C$18,TRIM(hospitalityq!D1064))=0)</f>
        <v>0</v>
      </c>
      <c r="J1064">
        <f>NOT(hospitalityq!J1064="")*(NOT(ISNUMBER(hospitalityq!J1064+0)))</f>
        <v>0</v>
      </c>
      <c r="K1064">
        <f>NOT(hospitalityq!K1064="")*(NOT(ISNUMBER(hospitalityq!K1064+0)))</f>
        <v>0</v>
      </c>
      <c r="P1064">
        <f>NOT(hospitalityq!P1064="")*(NOT(IFERROR(INT(hospitalityq!P1064)=VALUE(hospitalityq!P1064),FALSE)))</f>
        <v>0</v>
      </c>
      <c r="Q1064">
        <f>NOT(hospitalityq!Q1064="")*(NOT(IFERROR(INT(hospitalityq!Q1064)=VALUE(hospitalityq!Q1064),FALSE)))</f>
        <v>0</v>
      </c>
      <c r="R1064">
        <f>NOT(hospitalityq!R1064="")*(NOT(IFERROR(ROUND(VALUE(hospitalityq!R1064),2)=VALUE(hospitalityq!R1064),FALSE)))</f>
        <v>0</v>
      </c>
    </row>
    <row r="1065" spans="1:18" x14ac:dyDescent="0.25">
      <c r="A1065">
        <f t="shared" si="16"/>
        <v>0</v>
      </c>
      <c r="C1065">
        <f>NOT(hospitalityq!C1065="")*(SUMPRODUCT(--(TRIM(hospitalityq!C6:C1065)=TRIM(hospitalityq!C1065)))&gt;1)</f>
        <v>0</v>
      </c>
      <c r="D1065">
        <f>NOT(hospitalityq!D1065="")*(COUNTIF(reference!$C$17:$C$18,TRIM(hospitalityq!D1065))=0)</f>
        <v>0</v>
      </c>
      <c r="J1065">
        <f>NOT(hospitalityq!J1065="")*(NOT(ISNUMBER(hospitalityq!J1065+0)))</f>
        <v>0</v>
      </c>
      <c r="K1065">
        <f>NOT(hospitalityq!K1065="")*(NOT(ISNUMBER(hospitalityq!K1065+0)))</f>
        <v>0</v>
      </c>
      <c r="P1065">
        <f>NOT(hospitalityq!P1065="")*(NOT(IFERROR(INT(hospitalityq!P1065)=VALUE(hospitalityq!P1065),FALSE)))</f>
        <v>0</v>
      </c>
      <c r="Q1065">
        <f>NOT(hospitalityq!Q1065="")*(NOT(IFERROR(INT(hospitalityq!Q1065)=VALUE(hospitalityq!Q1065),FALSE)))</f>
        <v>0</v>
      </c>
      <c r="R1065">
        <f>NOT(hospitalityq!R1065="")*(NOT(IFERROR(ROUND(VALUE(hospitalityq!R1065),2)=VALUE(hospitalityq!R1065),FALSE)))</f>
        <v>0</v>
      </c>
    </row>
    <row r="1066" spans="1:18" x14ac:dyDescent="0.25">
      <c r="A1066">
        <f t="shared" si="16"/>
        <v>0</v>
      </c>
      <c r="C1066">
        <f>NOT(hospitalityq!C1066="")*(SUMPRODUCT(--(TRIM(hospitalityq!C6:C1066)=TRIM(hospitalityq!C1066)))&gt;1)</f>
        <v>0</v>
      </c>
      <c r="D1066">
        <f>NOT(hospitalityq!D1066="")*(COUNTIF(reference!$C$17:$C$18,TRIM(hospitalityq!D1066))=0)</f>
        <v>0</v>
      </c>
      <c r="J1066">
        <f>NOT(hospitalityq!J1066="")*(NOT(ISNUMBER(hospitalityq!J1066+0)))</f>
        <v>0</v>
      </c>
      <c r="K1066">
        <f>NOT(hospitalityq!K1066="")*(NOT(ISNUMBER(hospitalityq!K1066+0)))</f>
        <v>0</v>
      </c>
      <c r="P1066">
        <f>NOT(hospitalityq!P1066="")*(NOT(IFERROR(INT(hospitalityq!P1066)=VALUE(hospitalityq!P1066),FALSE)))</f>
        <v>0</v>
      </c>
      <c r="Q1066">
        <f>NOT(hospitalityq!Q1066="")*(NOT(IFERROR(INT(hospitalityq!Q1066)=VALUE(hospitalityq!Q1066),FALSE)))</f>
        <v>0</v>
      </c>
      <c r="R1066">
        <f>NOT(hospitalityq!R1066="")*(NOT(IFERROR(ROUND(VALUE(hospitalityq!R1066),2)=VALUE(hospitalityq!R1066),FALSE)))</f>
        <v>0</v>
      </c>
    </row>
    <row r="1067" spans="1:18" x14ac:dyDescent="0.25">
      <c r="A1067">
        <f t="shared" si="16"/>
        <v>0</v>
      </c>
      <c r="C1067">
        <f>NOT(hospitalityq!C1067="")*(SUMPRODUCT(--(TRIM(hospitalityq!C6:C1067)=TRIM(hospitalityq!C1067)))&gt;1)</f>
        <v>0</v>
      </c>
      <c r="D1067">
        <f>NOT(hospitalityq!D1067="")*(COUNTIF(reference!$C$17:$C$18,TRIM(hospitalityq!D1067))=0)</f>
        <v>0</v>
      </c>
      <c r="J1067">
        <f>NOT(hospitalityq!J1067="")*(NOT(ISNUMBER(hospitalityq!J1067+0)))</f>
        <v>0</v>
      </c>
      <c r="K1067">
        <f>NOT(hospitalityq!K1067="")*(NOT(ISNUMBER(hospitalityq!K1067+0)))</f>
        <v>0</v>
      </c>
      <c r="P1067">
        <f>NOT(hospitalityq!P1067="")*(NOT(IFERROR(INT(hospitalityq!P1067)=VALUE(hospitalityq!P1067),FALSE)))</f>
        <v>0</v>
      </c>
      <c r="Q1067">
        <f>NOT(hospitalityq!Q1067="")*(NOT(IFERROR(INT(hospitalityq!Q1067)=VALUE(hospitalityq!Q1067),FALSE)))</f>
        <v>0</v>
      </c>
      <c r="R1067">
        <f>NOT(hospitalityq!R1067="")*(NOT(IFERROR(ROUND(VALUE(hospitalityq!R1067),2)=VALUE(hospitalityq!R1067),FALSE)))</f>
        <v>0</v>
      </c>
    </row>
    <row r="1068" spans="1:18" x14ac:dyDescent="0.25">
      <c r="A1068">
        <f t="shared" si="16"/>
        <v>0</v>
      </c>
      <c r="C1068">
        <f>NOT(hospitalityq!C1068="")*(SUMPRODUCT(--(TRIM(hospitalityq!C6:C1068)=TRIM(hospitalityq!C1068)))&gt;1)</f>
        <v>0</v>
      </c>
      <c r="D1068">
        <f>NOT(hospitalityq!D1068="")*(COUNTIF(reference!$C$17:$C$18,TRIM(hospitalityq!D1068))=0)</f>
        <v>0</v>
      </c>
      <c r="J1068">
        <f>NOT(hospitalityq!J1068="")*(NOT(ISNUMBER(hospitalityq!J1068+0)))</f>
        <v>0</v>
      </c>
      <c r="K1068">
        <f>NOT(hospitalityq!K1068="")*(NOT(ISNUMBER(hospitalityq!K1068+0)))</f>
        <v>0</v>
      </c>
      <c r="P1068">
        <f>NOT(hospitalityq!P1068="")*(NOT(IFERROR(INT(hospitalityq!P1068)=VALUE(hospitalityq!P1068),FALSE)))</f>
        <v>0</v>
      </c>
      <c r="Q1068">
        <f>NOT(hospitalityq!Q1068="")*(NOT(IFERROR(INT(hospitalityq!Q1068)=VALUE(hospitalityq!Q1068),FALSE)))</f>
        <v>0</v>
      </c>
      <c r="R1068">
        <f>NOT(hospitalityq!R1068="")*(NOT(IFERROR(ROUND(VALUE(hospitalityq!R1068),2)=VALUE(hospitalityq!R1068),FALSE)))</f>
        <v>0</v>
      </c>
    </row>
    <row r="1069" spans="1:18" x14ac:dyDescent="0.25">
      <c r="A1069">
        <f t="shared" si="16"/>
        <v>0</v>
      </c>
      <c r="C1069">
        <f>NOT(hospitalityq!C1069="")*(SUMPRODUCT(--(TRIM(hospitalityq!C6:C1069)=TRIM(hospitalityq!C1069)))&gt;1)</f>
        <v>0</v>
      </c>
      <c r="D1069">
        <f>NOT(hospitalityq!D1069="")*(COUNTIF(reference!$C$17:$C$18,TRIM(hospitalityq!D1069))=0)</f>
        <v>0</v>
      </c>
      <c r="J1069">
        <f>NOT(hospitalityq!J1069="")*(NOT(ISNUMBER(hospitalityq!J1069+0)))</f>
        <v>0</v>
      </c>
      <c r="K1069">
        <f>NOT(hospitalityq!K1069="")*(NOT(ISNUMBER(hospitalityq!K1069+0)))</f>
        <v>0</v>
      </c>
      <c r="P1069">
        <f>NOT(hospitalityq!P1069="")*(NOT(IFERROR(INT(hospitalityq!P1069)=VALUE(hospitalityq!P1069),FALSE)))</f>
        <v>0</v>
      </c>
      <c r="Q1069">
        <f>NOT(hospitalityq!Q1069="")*(NOT(IFERROR(INT(hospitalityq!Q1069)=VALUE(hospitalityq!Q1069),FALSE)))</f>
        <v>0</v>
      </c>
      <c r="R1069">
        <f>NOT(hospitalityq!R1069="")*(NOT(IFERROR(ROUND(VALUE(hospitalityq!R1069),2)=VALUE(hospitalityq!R1069),FALSE)))</f>
        <v>0</v>
      </c>
    </row>
    <row r="1070" spans="1:18" x14ac:dyDescent="0.25">
      <c r="A1070">
        <f t="shared" si="16"/>
        <v>0</v>
      </c>
      <c r="C1070">
        <f>NOT(hospitalityq!C1070="")*(SUMPRODUCT(--(TRIM(hospitalityq!C6:C1070)=TRIM(hospitalityq!C1070)))&gt;1)</f>
        <v>0</v>
      </c>
      <c r="D1070">
        <f>NOT(hospitalityq!D1070="")*(COUNTIF(reference!$C$17:$C$18,TRIM(hospitalityq!D1070))=0)</f>
        <v>0</v>
      </c>
      <c r="J1070">
        <f>NOT(hospitalityq!J1070="")*(NOT(ISNUMBER(hospitalityq!J1070+0)))</f>
        <v>0</v>
      </c>
      <c r="K1070">
        <f>NOT(hospitalityq!K1070="")*(NOT(ISNUMBER(hospitalityq!K1070+0)))</f>
        <v>0</v>
      </c>
      <c r="P1070">
        <f>NOT(hospitalityq!P1070="")*(NOT(IFERROR(INT(hospitalityq!P1070)=VALUE(hospitalityq!P1070),FALSE)))</f>
        <v>0</v>
      </c>
      <c r="Q1070">
        <f>NOT(hospitalityq!Q1070="")*(NOT(IFERROR(INT(hospitalityq!Q1070)=VALUE(hospitalityq!Q1070),FALSE)))</f>
        <v>0</v>
      </c>
      <c r="R1070">
        <f>NOT(hospitalityq!R1070="")*(NOT(IFERROR(ROUND(VALUE(hospitalityq!R1070),2)=VALUE(hospitalityq!R1070),FALSE)))</f>
        <v>0</v>
      </c>
    </row>
    <row r="1071" spans="1:18" x14ac:dyDescent="0.25">
      <c r="A1071">
        <f t="shared" si="16"/>
        <v>0</v>
      </c>
      <c r="C1071">
        <f>NOT(hospitalityq!C1071="")*(SUMPRODUCT(--(TRIM(hospitalityq!C6:C1071)=TRIM(hospitalityq!C1071)))&gt;1)</f>
        <v>0</v>
      </c>
      <c r="D1071">
        <f>NOT(hospitalityq!D1071="")*(COUNTIF(reference!$C$17:$C$18,TRIM(hospitalityq!D1071))=0)</f>
        <v>0</v>
      </c>
      <c r="J1071">
        <f>NOT(hospitalityq!J1071="")*(NOT(ISNUMBER(hospitalityq!J1071+0)))</f>
        <v>0</v>
      </c>
      <c r="K1071">
        <f>NOT(hospitalityq!K1071="")*(NOT(ISNUMBER(hospitalityq!K1071+0)))</f>
        <v>0</v>
      </c>
      <c r="P1071">
        <f>NOT(hospitalityq!P1071="")*(NOT(IFERROR(INT(hospitalityq!P1071)=VALUE(hospitalityq!P1071),FALSE)))</f>
        <v>0</v>
      </c>
      <c r="Q1071">
        <f>NOT(hospitalityq!Q1071="")*(NOT(IFERROR(INT(hospitalityq!Q1071)=VALUE(hospitalityq!Q1071),FALSE)))</f>
        <v>0</v>
      </c>
      <c r="R1071">
        <f>NOT(hospitalityq!R1071="")*(NOT(IFERROR(ROUND(VALUE(hospitalityq!R1071),2)=VALUE(hospitalityq!R1071),FALSE)))</f>
        <v>0</v>
      </c>
    </row>
    <row r="1072" spans="1:18" x14ac:dyDescent="0.25">
      <c r="A1072">
        <f t="shared" si="16"/>
        <v>0</v>
      </c>
      <c r="C1072">
        <f>NOT(hospitalityq!C1072="")*(SUMPRODUCT(--(TRIM(hospitalityq!C6:C1072)=TRIM(hospitalityq!C1072)))&gt;1)</f>
        <v>0</v>
      </c>
      <c r="D1072">
        <f>NOT(hospitalityq!D1072="")*(COUNTIF(reference!$C$17:$C$18,TRIM(hospitalityq!D1072))=0)</f>
        <v>0</v>
      </c>
      <c r="J1072">
        <f>NOT(hospitalityq!J1072="")*(NOT(ISNUMBER(hospitalityq!J1072+0)))</f>
        <v>0</v>
      </c>
      <c r="K1072">
        <f>NOT(hospitalityq!K1072="")*(NOT(ISNUMBER(hospitalityq!K1072+0)))</f>
        <v>0</v>
      </c>
      <c r="P1072">
        <f>NOT(hospitalityq!P1072="")*(NOT(IFERROR(INT(hospitalityq!P1072)=VALUE(hospitalityq!P1072),FALSE)))</f>
        <v>0</v>
      </c>
      <c r="Q1072">
        <f>NOT(hospitalityq!Q1072="")*(NOT(IFERROR(INT(hospitalityq!Q1072)=VALUE(hospitalityq!Q1072),FALSE)))</f>
        <v>0</v>
      </c>
      <c r="R1072">
        <f>NOT(hospitalityq!R1072="")*(NOT(IFERROR(ROUND(VALUE(hospitalityq!R1072),2)=VALUE(hospitalityq!R1072),FALSE)))</f>
        <v>0</v>
      </c>
    </row>
    <row r="1073" spans="1:18" x14ac:dyDescent="0.25">
      <c r="A1073">
        <f t="shared" si="16"/>
        <v>0</v>
      </c>
      <c r="C1073">
        <f>NOT(hospitalityq!C1073="")*(SUMPRODUCT(--(TRIM(hospitalityq!C6:C1073)=TRIM(hospitalityq!C1073)))&gt;1)</f>
        <v>0</v>
      </c>
      <c r="D1073">
        <f>NOT(hospitalityq!D1073="")*(COUNTIF(reference!$C$17:$C$18,TRIM(hospitalityq!D1073))=0)</f>
        <v>0</v>
      </c>
      <c r="J1073">
        <f>NOT(hospitalityq!J1073="")*(NOT(ISNUMBER(hospitalityq!J1073+0)))</f>
        <v>0</v>
      </c>
      <c r="K1073">
        <f>NOT(hospitalityq!K1073="")*(NOT(ISNUMBER(hospitalityq!K1073+0)))</f>
        <v>0</v>
      </c>
      <c r="P1073">
        <f>NOT(hospitalityq!P1073="")*(NOT(IFERROR(INT(hospitalityq!P1073)=VALUE(hospitalityq!P1073),FALSE)))</f>
        <v>0</v>
      </c>
      <c r="Q1073">
        <f>NOT(hospitalityq!Q1073="")*(NOT(IFERROR(INT(hospitalityq!Q1073)=VALUE(hospitalityq!Q1073),FALSE)))</f>
        <v>0</v>
      </c>
      <c r="R1073">
        <f>NOT(hospitalityq!R1073="")*(NOT(IFERROR(ROUND(VALUE(hospitalityq!R1073),2)=VALUE(hospitalityq!R1073),FALSE)))</f>
        <v>0</v>
      </c>
    </row>
    <row r="1074" spans="1:18" x14ac:dyDescent="0.25">
      <c r="A1074">
        <f t="shared" si="16"/>
        <v>0</v>
      </c>
      <c r="C1074">
        <f>NOT(hospitalityq!C1074="")*(SUMPRODUCT(--(TRIM(hospitalityq!C6:C1074)=TRIM(hospitalityq!C1074)))&gt;1)</f>
        <v>0</v>
      </c>
      <c r="D1074">
        <f>NOT(hospitalityq!D1074="")*(COUNTIF(reference!$C$17:$C$18,TRIM(hospitalityq!D1074))=0)</f>
        <v>0</v>
      </c>
      <c r="J1074">
        <f>NOT(hospitalityq!J1074="")*(NOT(ISNUMBER(hospitalityq!J1074+0)))</f>
        <v>0</v>
      </c>
      <c r="K1074">
        <f>NOT(hospitalityq!K1074="")*(NOT(ISNUMBER(hospitalityq!K1074+0)))</f>
        <v>0</v>
      </c>
      <c r="P1074">
        <f>NOT(hospitalityq!P1074="")*(NOT(IFERROR(INT(hospitalityq!P1074)=VALUE(hospitalityq!P1074),FALSE)))</f>
        <v>0</v>
      </c>
      <c r="Q1074">
        <f>NOT(hospitalityq!Q1074="")*(NOT(IFERROR(INT(hospitalityq!Q1074)=VALUE(hospitalityq!Q1074),FALSE)))</f>
        <v>0</v>
      </c>
      <c r="R1074">
        <f>NOT(hospitalityq!R1074="")*(NOT(IFERROR(ROUND(VALUE(hospitalityq!R1074),2)=VALUE(hospitalityq!R1074),FALSE)))</f>
        <v>0</v>
      </c>
    </row>
    <row r="1075" spans="1:18" x14ac:dyDescent="0.25">
      <c r="A1075">
        <f t="shared" si="16"/>
        <v>0</v>
      </c>
      <c r="C1075">
        <f>NOT(hospitalityq!C1075="")*(SUMPRODUCT(--(TRIM(hospitalityq!C6:C1075)=TRIM(hospitalityq!C1075)))&gt;1)</f>
        <v>0</v>
      </c>
      <c r="D1075">
        <f>NOT(hospitalityq!D1075="")*(COUNTIF(reference!$C$17:$C$18,TRIM(hospitalityq!D1075))=0)</f>
        <v>0</v>
      </c>
      <c r="J1075">
        <f>NOT(hospitalityq!J1075="")*(NOT(ISNUMBER(hospitalityq!J1075+0)))</f>
        <v>0</v>
      </c>
      <c r="K1075">
        <f>NOT(hospitalityq!K1075="")*(NOT(ISNUMBER(hospitalityq!K1075+0)))</f>
        <v>0</v>
      </c>
      <c r="P1075">
        <f>NOT(hospitalityq!P1075="")*(NOT(IFERROR(INT(hospitalityq!P1075)=VALUE(hospitalityq!P1075),FALSE)))</f>
        <v>0</v>
      </c>
      <c r="Q1075">
        <f>NOT(hospitalityq!Q1075="")*(NOT(IFERROR(INT(hospitalityq!Q1075)=VALUE(hospitalityq!Q1075),FALSE)))</f>
        <v>0</v>
      </c>
      <c r="R1075">
        <f>NOT(hospitalityq!R1075="")*(NOT(IFERROR(ROUND(VALUE(hospitalityq!R1075),2)=VALUE(hospitalityq!R1075),FALSE)))</f>
        <v>0</v>
      </c>
    </row>
    <row r="1076" spans="1:18" x14ac:dyDescent="0.25">
      <c r="A1076">
        <f t="shared" si="16"/>
        <v>0</v>
      </c>
      <c r="C1076">
        <f>NOT(hospitalityq!C1076="")*(SUMPRODUCT(--(TRIM(hospitalityq!C6:C1076)=TRIM(hospitalityq!C1076)))&gt;1)</f>
        <v>0</v>
      </c>
      <c r="D1076">
        <f>NOT(hospitalityq!D1076="")*(COUNTIF(reference!$C$17:$C$18,TRIM(hospitalityq!D1076))=0)</f>
        <v>0</v>
      </c>
      <c r="J1076">
        <f>NOT(hospitalityq!J1076="")*(NOT(ISNUMBER(hospitalityq!J1076+0)))</f>
        <v>0</v>
      </c>
      <c r="K1076">
        <f>NOT(hospitalityq!K1076="")*(NOT(ISNUMBER(hospitalityq!K1076+0)))</f>
        <v>0</v>
      </c>
      <c r="P1076">
        <f>NOT(hospitalityq!P1076="")*(NOT(IFERROR(INT(hospitalityq!P1076)=VALUE(hospitalityq!P1076),FALSE)))</f>
        <v>0</v>
      </c>
      <c r="Q1076">
        <f>NOT(hospitalityq!Q1076="")*(NOT(IFERROR(INT(hospitalityq!Q1076)=VALUE(hospitalityq!Q1076),FALSE)))</f>
        <v>0</v>
      </c>
      <c r="R1076">
        <f>NOT(hospitalityq!R1076="")*(NOT(IFERROR(ROUND(VALUE(hospitalityq!R1076),2)=VALUE(hospitalityq!R1076),FALSE)))</f>
        <v>0</v>
      </c>
    </row>
    <row r="1077" spans="1:18" x14ac:dyDescent="0.25">
      <c r="A1077">
        <f t="shared" si="16"/>
        <v>0</v>
      </c>
      <c r="C1077">
        <f>NOT(hospitalityq!C1077="")*(SUMPRODUCT(--(TRIM(hospitalityq!C6:C1077)=TRIM(hospitalityq!C1077)))&gt;1)</f>
        <v>0</v>
      </c>
      <c r="D1077">
        <f>NOT(hospitalityq!D1077="")*(COUNTIF(reference!$C$17:$C$18,TRIM(hospitalityq!D1077))=0)</f>
        <v>0</v>
      </c>
      <c r="J1077">
        <f>NOT(hospitalityq!J1077="")*(NOT(ISNUMBER(hospitalityq!J1077+0)))</f>
        <v>0</v>
      </c>
      <c r="K1077">
        <f>NOT(hospitalityq!K1077="")*(NOT(ISNUMBER(hospitalityq!K1077+0)))</f>
        <v>0</v>
      </c>
      <c r="P1077">
        <f>NOT(hospitalityq!P1077="")*(NOT(IFERROR(INT(hospitalityq!P1077)=VALUE(hospitalityq!P1077),FALSE)))</f>
        <v>0</v>
      </c>
      <c r="Q1077">
        <f>NOT(hospitalityq!Q1077="")*(NOT(IFERROR(INT(hospitalityq!Q1077)=VALUE(hospitalityq!Q1077),FALSE)))</f>
        <v>0</v>
      </c>
      <c r="R1077">
        <f>NOT(hospitalityq!R1077="")*(NOT(IFERROR(ROUND(VALUE(hospitalityq!R1077),2)=VALUE(hospitalityq!R1077),FALSE)))</f>
        <v>0</v>
      </c>
    </row>
    <row r="1078" spans="1:18" x14ac:dyDescent="0.25">
      <c r="A1078">
        <f t="shared" si="16"/>
        <v>0</v>
      </c>
      <c r="C1078">
        <f>NOT(hospitalityq!C1078="")*(SUMPRODUCT(--(TRIM(hospitalityq!C6:C1078)=TRIM(hospitalityq!C1078)))&gt;1)</f>
        <v>0</v>
      </c>
      <c r="D1078">
        <f>NOT(hospitalityq!D1078="")*(COUNTIF(reference!$C$17:$C$18,TRIM(hospitalityq!D1078))=0)</f>
        <v>0</v>
      </c>
      <c r="J1078">
        <f>NOT(hospitalityq!J1078="")*(NOT(ISNUMBER(hospitalityq!J1078+0)))</f>
        <v>0</v>
      </c>
      <c r="K1078">
        <f>NOT(hospitalityq!K1078="")*(NOT(ISNUMBER(hospitalityq!K1078+0)))</f>
        <v>0</v>
      </c>
      <c r="P1078">
        <f>NOT(hospitalityq!P1078="")*(NOT(IFERROR(INT(hospitalityq!P1078)=VALUE(hospitalityq!P1078),FALSE)))</f>
        <v>0</v>
      </c>
      <c r="Q1078">
        <f>NOT(hospitalityq!Q1078="")*(NOT(IFERROR(INT(hospitalityq!Q1078)=VALUE(hospitalityq!Q1078),FALSE)))</f>
        <v>0</v>
      </c>
      <c r="R1078">
        <f>NOT(hospitalityq!R1078="")*(NOT(IFERROR(ROUND(VALUE(hospitalityq!R1078),2)=VALUE(hospitalityq!R1078),FALSE)))</f>
        <v>0</v>
      </c>
    </row>
    <row r="1079" spans="1:18" x14ac:dyDescent="0.25">
      <c r="A1079">
        <f t="shared" si="16"/>
        <v>0</v>
      </c>
      <c r="C1079">
        <f>NOT(hospitalityq!C1079="")*(SUMPRODUCT(--(TRIM(hospitalityq!C6:C1079)=TRIM(hospitalityq!C1079)))&gt;1)</f>
        <v>0</v>
      </c>
      <c r="D1079">
        <f>NOT(hospitalityq!D1079="")*(COUNTIF(reference!$C$17:$C$18,TRIM(hospitalityq!D1079))=0)</f>
        <v>0</v>
      </c>
      <c r="J1079">
        <f>NOT(hospitalityq!J1079="")*(NOT(ISNUMBER(hospitalityq!J1079+0)))</f>
        <v>0</v>
      </c>
      <c r="K1079">
        <f>NOT(hospitalityq!K1079="")*(NOT(ISNUMBER(hospitalityq!K1079+0)))</f>
        <v>0</v>
      </c>
      <c r="P1079">
        <f>NOT(hospitalityq!P1079="")*(NOT(IFERROR(INT(hospitalityq!P1079)=VALUE(hospitalityq!P1079),FALSE)))</f>
        <v>0</v>
      </c>
      <c r="Q1079">
        <f>NOT(hospitalityq!Q1079="")*(NOT(IFERROR(INT(hospitalityq!Q1079)=VALUE(hospitalityq!Q1079),FALSE)))</f>
        <v>0</v>
      </c>
      <c r="R1079">
        <f>NOT(hospitalityq!R1079="")*(NOT(IFERROR(ROUND(VALUE(hospitalityq!R1079),2)=VALUE(hospitalityq!R1079),FALSE)))</f>
        <v>0</v>
      </c>
    </row>
    <row r="1080" spans="1:18" x14ac:dyDescent="0.25">
      <c r="A1080">
        <f t="shared" si="16"/>
        <v>0</v>
      </c>
      <c r="C1080">
        <f>NOT(hospitalityq!C1080="")*(SUMPRODUCT(--(TRIM(hospitalityq!C6:C1080)=TRIM(hospitalityq!C1080)))&gt;1)</f>
        <v>0</v>
      </c>
      <c r="D1080">
        <f>NOT(hospitalityq!D1080="")*(COUNTIF(reference!$C$17:$C$18,TRIM(hospitalityq!D1080))=0)</f>
        <v>0</v>
      </c>
      <c r="J1080">
        <f>NOT(hospitalityq!J1080="")*(NOT(ISNUMBER(hospitalityq!J1080+0)))</f>
        <v>0</v>
      </c>
      <c r="K1080">
        <f>NOT(hospitalityq!K1080="")*(NOT(ISNUMBER(hospitalityq!K1080+0)))</f>
        <v>0</v>
      </c>
      <c r="P1080">
        <f>NOT(hospitalityq!P1080="")*(NOT(IFERROR(INT(hospitalityq!P1080)=VALUE(hospitalityq!P1080),FALSE)))</f>
        <v>0</v>
      </c>
      <c r="Q1080">
        <f>NOT(hospitalityq!Q1080="")*(NOT(IFERROR(INT(hospitalityq!Q1080)=VALUE(hospitalityq!Q1080),FALSE)))</f>
        <v>0</v>
      </c>
      <c r="R1080">
        <f>NOT(hospitalityq!R1080="")*(NOT(IFERROR(ROUND(VALUE(hospitalityq!R1080),2)=VALUE(hospitalityq!R1080),FALSE)))</f>
        <v>0</v>
      </c>
    </row>
    <row r="1081" spans="1:18" x14ac:dyDescent="0.25">
      <c r="A1081">
        <f t="shared" si="16"/>
        <v>0</v>
      </c>
      <c r="C1081">
        <f>NOT(hospitalityq!C1081="")*(SUMPRODUCT(--(TRIM(hospitalityq!C6:C1081)=TRIM(hospitalityq!C1081)))&gt;1)</f>
        <v>0</v>
      </c>
      <c r="D1081">
        <f>NOT(hospitalityq!D1081="")*(COUNTIF(reference!$C$17:$C$18,TRIM(hospitalityq!D1081))=0)</f>
        <v>0</v>
      </c>
      <c r="J1081">
        <f>NOT(hospitalityq!J1081="")*(NOT(ISNUMBER(hospitalityq!J1081+0)))</f>
        <v>0</v>
      </c>
      <c r="K1081">
        <f>NOT(hospitalityq!K1081="")*(NOT(ISNUMBER(hospitalityq!K1081+0)))</f>
        <v>0</v>
      </c>
      <c r="P1081">
        <f>NOT(hospitalityq!P1081="")*(NOT(IFERROR(INT(hospitalityq!P1081)=VALUE(hospitalityq!P1081),FALSE)))</f>
        <v>0</v>
      </c>
      <c r="Q1081">
        <f>NOT(hospitalityq!Q1081="")*(NOT(IFERROR(INT(hospitalityq!Q1081)=VALUE(hospitalityq!Q1081),FALSE)))</f>
        <v>0</v>
      </c>
      <c r="R1081">
        <f>NOT(hospitalityq!R1081="")*(NOT(IFERROR(ROUND(VALUE(hospitalityq!R1081),2)=VALUE(hospitalityq!R1081),FALSE)))</f>
        <v>0</v>
      </c>
    </row>
    <row r="1082" spans="1:18" x14ac:dyDescent="0.25">
      <c r="A1082">
        <f t="shared" si="16"/>
        <v>0</v>
      </c>
      <c r="C1082">
        <f>NOT(hospitalityq!C1082="")*(SUMPRODUCT(--(TRIM(hospitalityq!C6:C1082)=TRIM(hospitalityq!C1082)))&gt;1)</f>
        <v>0</v>
      </c>
      <c r="D1082">
        <f>NOT(hospitalityq!D1082="")*(COUNTIF(reference!$C$17:$C$18,TRIM(hospitalityq!D1082))=0)</f>
        <v>0</v>
      </c>
      <c r="J1082">
        <f>NOT(hospitalityq!J1082="")*(NOT(ISNUMBER(hospitalityq!J1082+0)))</f>
        <v>0</v>
      </c>
      <c r="K1082">
        <f>NOT(hospitalityq!K1082="")*(NOT(ISNUMBER(hospitalityq!K1082+0)))</f>
        <v>0</v>
      </c>
      <c r="P1082">
        <f>NOT(hospitalityq!P1082="")*(NOT(IFERROR(INT(hospitalityq!P1082)=VALUE(hospitalityq!P1082),FALSE)))</f>
        <v>0</v>
      </c>
      <c r="Q1082">
        <f>NOT(hospitalityq!Q1082="")*(NOT(IFERROR(INT(hospitalityq!Q1082)=VALUE(hospitalityq!Q1082),FALSE)))</f>
        <v>0</v>
      </c>
      <c r="R1082">
        <f>NOT(hospitalityq!R1082="")*(NOT(IFERROR(ROUND(VALUE(hospitalityq!R1082),2)=VALUE(hospitalityq!R1082),FALSE)))</f>
        <v>0</v>
      </c>
    </row>
    <row r="1083" spans="1:18" x14ac:dyDescent="0.25">
      <c r="A1083">
        <f t="shared" si="16"/>
        <v>0</v>
      </c>
      <c r="C1083">
        <f>NOT(hospitalityq!C1083="")*(SUMPRODUCT(--(TRIM(hospitalityq!C6:C1083)=TRIM(hospitalityq!C1083)))&gt;1)</f>
        <v>0</v>
      </c>
      <c r="D1083">
        <f>NOT(hospitalityq!D1083="")*(COUNTIF(reference!$C$17:$C$18,TRIM(hospitalityq!D1083))=0)</f>
        <v>0</v>
      </c>
      <c r="J1083">
        <f>NOT(hospitalityq!J1083="")*(NOT(ISNUMBER(hospitalityq!J1083+0)))</f>
        <v>0</v>
      </c>
      <c r="K1083">
        <f>NOT(hospitalityq!K1083="")*(NOT(ISNUMBER(hospitalityq!K1083+0)))</f>
        <v>0</v>
      </c>
      <c r="P1083">
        <f>NOT(hospitalityq!P1083="")*(NOT(IFERROR(INT(hospitalityq!P1083)=VALUE(hospitalityq!P1083),FALSE)))</f>
        <v>0</v>
      </c>
      <c r="Q1083">
        <f>NOT(hospitalityq!Q1083="")*(NOT(IFERROR(INT(hospitalityq!Q1083)=VALUE(hospitalityq!Q1083),FALSE)))</f>
        <v>0</v>
      </c>
      <c r="R1083">
        <f>NOT(hospitalityq!R1083="")*(NOT(IFERROR(ROUND(VALUE(hospitalityq!R1083),2)=VALUE(hospitalityq!R1083),FALSE)))</f>
        <v>0</v>
      </c>
    </row>
    <row r="1084" spans="1:18" x14ac:dyDescent="0.25">
      <c r="A1084">
        <f t="shared" si="16"/>
        <v>0</v>
      </c>
      <c r="C1084">
        <f>NOT(hospitalityq!C1084="")*(SUMPRODUCT(--(TRIM(hospitalityq!C6:C1084)=TRIM(hospitalityq!C1084)))&gt;1)</f>
        <v>0</v>
      </c>
      <c r="D1084">
        <f>NOT(hospitalityq!D1084="")*(COUNTIF(reference!$C$17:$C$18,TRIM(hospitalityq!D1084))=0)</f>
        <v>0</v>
      </c>
      <c r="J1084">
        <f>NOT(hospitalityq!J1084="")*(NOT(ISNUMBER(hospitalityq!J1084+0)))</f>
        <v>0</v>
      </c>
      <c r="K1084">
        <f>NOT(hospitalityq!K1084="")*(NOT(ISNUMBER(hospitalityq!K1084+0)))</f>
        <v>0</v>
      </c>
      <c r="P1084">
        <f>NOT(hospitalityq!P1084="")*(NOT(IFERROR(INT(hospitalityq!P1084)=VALUE(hospitalityq!P1084),FALSE)))</f>
        <v>0</v>
      </c>
      <c r="Q1084">
        <f>NOT(hospitalityq!Q1084="")*(NOT(IFERROR(INT(hospitalityq!Q1084)=VALUE(hospitalityq!Q1084),FALSE)))</f>
        <v>0</v>
      </c>
      <c r="R1084">
        <f>NOT(hospitalityq!R1084="")*(NOT(IFERROR(ROUND(VALUE(hospitalityq!R1084),2)=VALUE(hospitalityq!R1084),FALSE)))</f>
        <v>0</v>
      </c>
    </row>
    <row r="1085" spans="1:18" x14ac:dyDescent="0.25">
      <c r="A1085">
        <f t="shared" si="16"/>
        <v>0</v>
      </c>
      <c r="C1085">
        <f>NOT(hospitalityq!C1085="")*(SUMPRODUCT(--(TRIM(hospitalityq!C6:C1085)=TRIM(hospitalityq!C1085)))&gt;1)</f>
        <v>0</v>
      </c>
      <c r="D1085">
        <f>NOT(hospitalityq!D1085="")*(COUNTIF(reference!$C$17:$C$18,TRIM(hospitalityq!D1085))=0)</f>
        <v>0</v>
      </c>
      <c r="J1085">
        <f>NOT(hospitalityq!J1085="")*(NOT(ISNUMBER(hospitalityq!J1085+0)))</f>
        <v>0</v>
      </c>
      <c r="K1085">
        <f>NOT(hospitalityq!K1085="")*(NOT(ISNUMBER(hospitalityq!K1085+0)))</f>
        <v>0</v>
      </c>
      <c r="P1085">
        <f>NOT(hospitalityq!P1085="")*(NOT(IFERROR(INT(hospitalityq!P1085)=VALUE(hospitalityq!P1085),FALSE)))</f>
        <v>0</v>
      </c>
      <c r="Q1085">
        <f>NOT(hospitalityq!Q1085="")*(NOT(IFERROR(INT(hospitalityq!Q1085)=VALUE(hospitalityq!Q1085),FALSE)))</f>
        <v>0</v>
      </c>
      <c r="R1085">
        <f>NOT(hospitalityq!R1085="")*(NOT(IFERROR(ROUND(VALUE(hospitalityq!R1085),2)=VALUE(hospitalityq!R1085),FALSE)))</f>
        <v>0</v>
      </c>
    </row>
    <row r="1086" spans="1:18" x14ac:dyDescent="0.25">
      <c r="A1086">
        <f t="shared" si="16"/>
        <v>0</v>
      </c>
      <c r="C1086">
        <f>NOT(hospitalityq!C1086="")*(SUMPRODUCT(--(TRIM(hospitalityq!C6:C1086)=TRIM(hospitalityq!C1086)))&gt;1)</f>
        <v>0</v>
      </c>
      <c r="D1086">
        <f>NOT(hospitalityq!D1086="")*(COUNTIF(reference!$C$17:$C$18,TRIM(hospitalityq!D1086))=0)</f>
        <v>0</v>
      </c>
      <c r="J1086">
        <f>NOT(hospitalityq!J1086="")*(NOT(ISNUMBER(hospitalityq!J1086+0)))</f>
        <v>0</v>
      </c>
      <c r="K1086">
        <f>NOT(hospitalityq!K1086="")*(NOT(ISNUMBER(hospitalityq!K1086+0)))</f>
        <v>0</v>
      </c>
      <c r="P1086">
        <f>NOT(hospitalityq!P1086="")*(NOT(IFERROR(INT(hospitalityq!P1086)=VALUE(hospitalityq!P1086),FALSE)))</f>
        <v>0</v>
      </c>
      <c r="Q1086">
        <f>NOT(hospitalityq!Q1086="")*(NOT(IFERROR(INT(hospitalityq!Q1086)=VALUE(hospitalityq!Q1086),FALSE)))</f>
        <v>0</v>
      </c>
      <c r="R1086">
        <f>NOT(hospitalityq!R1086="")*(NOT(IFERROR(ROUND(VALUE(hospitalityq!R1086),2)=VALUE(hospitalityq!R1086),FALSE)))</f>
        <v>0</v>
      </c>
    </row>
    <row r="1087" spans="1:18" x14ac:dyDescent="0.25">
      <c r="A1087">
        <f t="shared" si="16"/>
        <v>0</v>
      </c>
      <c r="C1087">
        <f>NOT(hospitalityq!C1087="")*(SUMPRODUCT(--(TRIM(hospitalityq!C6:C1087)=TRIM(hospitalityq!C1087)))&gt;1)</f>
        <v>0</v>
      </c>
      <c r="D1087">
        <f>NOT(hospitalityq!D1087="")*(COUNTIF(reference!$C$17:$C$18,TRIM(hospitalityq!D1087))=0)</f>
        <v>0</v>
      </c>
      <c r="J1087">
        <f>NOT(hospitalityq!J1087="")*(NOT(ISNUMBER(hospitalityq!J1087+0)))</f>
        <v>0</v>
      </c>
      <c r="K1087">
        <f>NOT(hospitalityq!K1087="")*(NOT(ISNUMBER(hospitalityq!K1087+0)))</f>
        <v>0</v>
      </c>
      <c r="P1087">
        <f>NOT(hospitalityq!P1087="")*(NOT(IFERROR(INT(hospitalityq!P1087)=VALUE(hospitalityq!P1087),FALSE)))</f>
        <v>0</v>
      </c>
      <c r="Q1087">
        <f>NOT(hospitalityq!Q1087="")*(NOT(IFERROR(INT(hospitalityq!Q1087)=VALUE(hospitalityq!Q1087),FALSE)))</f>
        <v>0</v>
      </c>
      <c r="R1087">
        <f>NOT(hospitalityq!R1087="")*(NOT(IFERROR(ROUND(VALUE(hospitalityq!R1087),2)=VALUE(hospitalityq!R1087),FALSE)))</f>
        <v>0</v>
      </c>
    </row>
    <row r="1088" spans="1:18" x14ac:dyDescent="0.25">
      <c r="A1088">
        <f t="shared" si="16"/>
        <v>0</v>
      </c>
      <c r="C1088">
        <f>NOT(hospitalityq!C1088="")*(SUMPRODUCT(--(TRIM(hospitalityq!C6:C1088)=TRIM(hospitalityq!C1088)))&gt;1)</f>
        <v>0</v>
      </c>
      <c r="D1088">
        <f>NOT(hospitalityq!D1088="")*(COUNTIF(reference!$C$17:$C$18,TRIM(hospitalityq!D1088))=0)</f>
        <v>0</v>
      </c>
      <c r="J1088">
        <f>NOT(hospitalityq!J1088="")*(NOT(ISNUMBER(hospitalityq!J1088+0)))</f>
        <v>0</v>
      </c>
      <c r="K1088">
        <f>NOT(hospitalityq!K1088="")*(NOT(ISNUMBER(hospitalityq!K1088+0)))</f>
        <v>0</v>
      </c>
      <c r="P1088">
        <f>NOT(hospitalityq!P1088="")*(NOT(IFERROR(INT(hospitalityq!P1088)=VALUE(hospitalityq!P1088),FALSE)))</f>
        <v>0</v>
      </c>
      <c r="Q1088">
        <f>NOT(hospitalityq!Q1088="")*(NOT(IFERROR(INT(hospitalityq!Q1088)=VALUE(hospitalityq!Q1088),FALSE)))</f>
        <v>0</v>
      </c>
      <c r="R1088">
        <f>NOT(hospitalityq!R1088="")*(NOT(IFERROR(ROUND(VALUE(hospitalityq!R1088),2)=VALUE(hospitalityq!R1088),FALSE)))</f>
        <v>0</v>
      </c>
    </row>
    <row r="1089" spans="1:18" x14ac:dyDescent="0.25">
      <c r="A1089">
        <f t="shared" si="16"/>
        <v>0</v>
      </c>
      <c r="C1089">
        <f>NOT(hospitalityq!C1089="")*(SUMPRODUCT(--(TRIM(hospitalityq!C6:C1089)=TRIM(hospitalityq!C1089)))&gt;1)</f>
        <v>0</v>
      </c>
      <c r="D1089">
        <f>NOT(hospitalityq!D1089="")*(COUNTIF(reference!$C$17:$C$18,TRIM(hospitalityq!D1089))=0)</f>
        <v>0</v>
      </c>
      <c r="J1089">
        <f>NOT(hospitalityq!J1089="")*(NOT(ISNUMBER(hospitalityq!J1089+0)))</f>
        <v>0</v>
      </c>
      <c r="K1089">
        <f>NOT(hospitalityq!K1089="")*(NOT(ISNUMBER(hospitalityq!K1089+0)))</f>
        <v>0</v>
      </c>
      <c r="P1089">
        <f>NOT(hospitalityq!P1089="")*(NOT(IFERROR(INT(hospitalityq!P1089)=VALUE(hospitalityq!P1089),FALSE)))</f>
        <v>0</v>
      </c>
      <c r="Q1089">
        <f>NOT(hospitalityq!Q1089="")*(NOT(IFERROR(INT(hospitalityq!Q1089)=VALUE(hospitalityq!Q1089),FALSE)))</f>
        <v>0</v>
      </c>
      <c r="R1089">
        <f>NOT(hospitalityq!R1089="")*(NOT(IFERROR(ROUND(VALUE(hospitalityq!R1089),2)=VALUE(hospitalityq!R1089),FALSE)))</f>
        <v>0</v>
      </c>
    </row>
    <row r="1090" spans="1:18" x14ac:dyDescent="0.25">
      <c r="A1090">
        <f t="shared" si="16"/>
        <v>0</v>
      </c>
      <c r="C1090">
        <f>NOT(hospitalityq!C1090="")*(SUMPRODUCT(--(TRIM(hospitalityq!C6:C1090)=TRIM(hospitalityq!C1090)))&gt;1)</f>
        <v>0</v>
      </c>
      <c r="D1090">
        <f>NOT(hospitalityq!D1090="")*(COUNTIF(reference!$C$17:$C$18,TRIM(hospitalityq!D1090))=0)</f>
        <v>0</v>
      </c>
      <c r="J1090">
        <f>NOT(hospitalityq!J1090="")*(NOT(ISNUMBER(hospitalityq!J1090+0)))</f>
        <v>0</v>
      </c>
      <c r="K1090">
        <f>NOT(hospitalityq!K1090="")*(NOT(ISNUMBER(hospitalityq!K1090+0)))</f>
        <v>0</v>
      </c>
      <c r="P1090">
        <f>NOT(hospitalityq!P1090="")*(NOT(IFERROR(INT(hospitalityq!P1090)=VALUE(hospitalityq!P1090),FALSE)))</f>
        <v>0</v>
      </c>
      <c r="Q1090">
        <f>NOT(hospitalityq!Q1090="")*(NOT(IFERROR(INT(hospitalityq!Q1090)=VALUE(hospitalityq!Q1090),FALSE)))</f>
        <v>0</v>
      </c>
      <c r="R1090">
        <f>NOT(hospitalityq!R1090="")*(NOT(IFERROR(ROUND(VALUE(hospitalityq!R1090),2)=VALUE(hospitalityq!R1090),FALSE)))</f>
        <v>0</v>
      </c>
    </row>
    <row r="1091" spans="1:18" x14ac:dyDescent="0.25">
      <c r="A1091">
        <f t="shared" si="16"/>
        <v>0</v>
      </c>
      <c r="C1091">
        <f>NOT(hospitalityq!C1091="")*(SUMPRODUCT(--(TRIM(hospitalityq!C6:C1091)=TRIM(hospitalityq!C1091)))&gt;1)</f>
        <v>0</v>
      </c>
      <c r="D1091">
        <f>NOT(hospitalityq!D1091="")*(COUNTIF(reference!$C$17:$C$18,TRIM(hospitalityq!D1091))=0)</f>
        <v>0</v>
      </c>
      <c r="J1091">
        <f>NOT(hospitalityq!J1091="")*(NOT(ISNUMBER(hospitalityq!J1091+0)))</f>
        <v>0</v>
      </c>
      <c r="K1091">
        <f>NOT(hospitalityq!K1091="")*(NOT(ISNUMBER(hospitalityq!K1091+0)))</f>
        <v>0</v>
      </c>
      <c r="P1091">
        <f>NOT(hospitalityq!P1091="")*(NOT(IFERROR(INT(hospitalityq!P1091)=VALUE(hospitalityq!P1091),FALSE)))</f>
        <v>0</v>
      </c>
      <c r="Q1091">
        <f>NOT(hospitalityq!Q1091="")*(NOT(IFERROR(INT(hospitalityq!Q1091)=VALUE(hospitalityq!Q1091),FALSE)))</f>
        <v>0</v>
      </c>
      <c r="R1091">
        <f>NOT(hospitalityq!R1091="")*(NOT(IFERROR(ROUND(VALUE(hospitalityq!R1091),2)=VALUE(hospitalityq!R1091),FALSE)))</f>
        <v>0</v>
      </c>
    </row>
    <row r="1092" spans="1:18" x14ac:dyDescent="0.25">
      <c r="A1092">
        <f t="shared" si="16"/>
        <v>0</v>
      </c>
      <c r="C1092">
        <f>NOT(hospitalityq!C1092="")*(SUMPRODUCT(--(TRIM(hospitalityq!C6:C1092)=TRIM(hospitalityq!C1092)))&gt;1)</f>
        <v>0</v>
      </c>
      <c r="D1092">
        <f>NOT(hospitalityq!D1092="")*(COUNTIF(reference!$C$17:$C$18,TRIM(hospitalityq!D1092))=0)</f>
        <v>0</v>
      </c>
      <c r="J1092">
        <f>NOT(hospitalityq!J1092="")*(NOT(ISNUMBER(hospitalityq!J1092+0)))</f>
        <v>0</v>
      </c>
      <c r="K1092">
        <f>NOT(hospitalityq!K1092="")*(NOT(ISNUMBER(hospitalityq!K1092+0)))</f>
        <v>0</v>
      </c>
      <c r="P1092">
        <f>NOT(hospitalityq!P1092="")*(NOT(IFERROR(INT(hospitalityq!P1092)=VALUE(hospitalityq!P1092),FALSE)))</f>
        <v>0</v>
      </c>
      <c r="Q1092">
        <f>NOT(hospitalityq!Q1092="")*(NOT(IFERROR(INT(hospitalityq!Q1092)=VALUE(hospitalityq!Q1092),FALSE)))</f>
        <v>0</v>
      </c>
      <c r="R1092">
        <f>NOT(hospitalityq!R1092="")*(NOT(IFERROR(ROUND(VALUE(hospitalityq!R1092),2)=VALUE(hospitalityq!R1092),FALSE)))</f>
        <v>0</v>
      </c>
    </row>
    <row r="1093" spans="1:18" x14ac:dyDescent="0.25">
      <c r="A1093">
        <f t="shared" si="16"/>
        <v>0</v>
      </c>
      <c r="C1093">
        <f>NOT(hospitalityq!C1093="")*(SUMPRODUCT(--(TRIM(hospitalityq!C6:C1093)=TRIM(hospitalityq!C1093)))&gt;1)</f>
        <v>0</v>
      </c>
      <c r="D1093">
        <f>NOT(hospitalityq!D1093="")*(COUNTIF(reference!$C$17:$C$18,TRIM(hospitalityq!D1093))=0)</f>
        <v>0</v>
      </c>
      <c r="J1093">
        <f>NOT(hospitalityq!J1093="")*(NOT(ISNUMBER(hospitalityq!J1093+0)))</f>
        <v>0</v>
      </c>
      <c r="K1093">
        <f>NOT(hospitalityq!K1093="")*(NOT(ISNUMBER(hospitalityq!K1093+0)))</f>
        <v>0</v>
      </c>
      <c r="P1093">
        <f>NOT(hospitalityq!P1093="")*(NOT(IFERROR(INT(hospitalityq!P1093)=VALUE(hospitalityq!P1093),FALSE)))</f>
        <v>0</v>
      </c>
      <c r="Q1093">
        <f>NOT(hospitalityq!Q1093="")*(NOT(IFERROR(INT(hospitalityq!Q1093)=VALUE(hospitalityq!Q1093),FALSE)))</f>
        <v>0</v>
      </c>
      <c r="R1093">
        <f>NOT(hospitalityq!R1093="")*(NOT(IFERROR(ROUND(VALUE(hospitalityq!R1093),2)=VALUE(hospitalityq!R1093),FALSE)))</f>
        <v>0</v>
      </c>
    </row>
    <row r="1094" spans="1:18" x14ac:dyDescent="0.25">
      <c r="A1094">
        <f t="shared" ref="A1094:A1157" si="17">IFERROR(MATCH(TRUE,INDEX(C1094:R1094&lt;&gt;0,),)+2,0)</f>
        <v>0</v>
      </c>
      <c r="C1094">
        <f>NOT(hospitalityq!C1094="")*(SUMPRODUCT(--(TRIM(hospitalityq!C6:C1094)=TRIM(hospitalityq!C1094)))&gt;1)</f>
        <v>0</v>
      </c>
      <c r="D1094">
        <f>NOT(hospitalityq!D1094="")*(COUNTIF(reference!$C$17:$C$18,TRIM(hospitalityq!D1094))=0)</f>
        <v>0</v>
      </c>
      <c r="J1094">
        <f>NOT(hospitalityq!J1094="")*(NOT(ISNUMBER(hospitalityq!J1094+0)))</f>
        <v>0</v>
      </c>
      <c r="K1094">
        <f>NOT(hospitalityq!K1094="")*(NOT(ISNUMBER(hospitalityq!K1094+0)))</f>
        <v>0</v>
      </c>
      <c r="P1094">
        <f>NOT(hospitalityq!P1094="")*(NOT(IFERROR(INT(hospitalityq!P1094)=VALUE(hospitalityq!P1094),FALSE)))</f>
        <v>0</v>
      </c>
      <c r="Q1094">
        <f>NOT(hospitalityq!Q1094="")*(NOT(IFERROR(INT(hospitalityq!Q1094)=VALUE(hospitalityq!Q1094),FALSE)))</f>
        <v>0</v>
      </c>
      <c r="R1094">
        <f>NOT(hospitalityq!R1094="")*(NOT(IFERROR(ROUND(VALUE(hospitalityq!R1094),2)=VALUE(hospitalityq!R1094),FALSE)))</f>
        <v>0</v>
      </c>
    </row>
    <row r="1095" spans="1:18" x14ac:dyDescent="0.25">
      <c r="A1095">
        <f t="shared" si="17"/>
        <v>0</v>
      </c>
      <c r="C1095">
        <f>NOT(hospitalityq!C1095="")*(SUMPRODUCT(--(TRIM(hospitalityq!C6:C1095)=TRIM(hospitalityq!C1095)))&gt;1)</f>
        <v>0</v>
      </c>
      <c r="D1095">
        <f>NOT(hospitalityq!D1095="")*(COUNTIF(reference!$C$17:$C$18,TRIM(hospitalityq!D1095))=0)</f>
        <v>0</v>
      </c>
      <c r="J1095">
        <f>NOT(hospitalityq!J1095="")*(NOT(ISNUMBER(hospitalityq!J1095+0)))</f>
        <v>0</v>
      </c>
      <c r="K1095">
        <f>NOT(hospitalityq!K1095="")*(NOT(ISNUMBER(hospitalityq!K1095+0)))</f>
        <v>0</v>
      </c>
      <c r="P1095">
        <f>NOT(hospitalityq!P1095="")*(NOT(IFERROR(INT(hospitalityq!P1095)=VALUE(hospitalityq!P1095),FALSE)))</f>
        <v>0</v>
      </c>
      <c r="Q1095">
        <f>NOT(hospitalityq!Q1095="")*(NOT(IFERROR(INT(hospitalityq!Q1095)=VALUE(hospitalityq!Q1095),FALSE)))</f>
        <v>0</v>
      </c>
      <c r="R1095">
        <f>NOT(hospitalityq!R1095="")*(NOT(IFERROR(ROUND(VALUE(hospitalityq!R1095),2)=VALUE(hospitalityq!R1095),FALSE)))</f>
        <v>0</v>
      </c>
    </row>
    <row r="1096" spans="1:18" x14ac:dyDescent="0.25">
      <c r="A1096">
        <f t="shared" si="17"/>
        <v>0</v>
      </c>
      <c r="C1096">
        <f>NOT(hospitalityq!C1096="")*(SUMPRODUCT(--(TRIM(hospitalityq!C6:C1096)=TRIM(hospitalityq!C1096)))&gt;1)</f>
        <v>0</v>
      </c>
      <c r="D1096">
        <f>NOT(hospitalityq!D1096="")*(COUNTIF(reference!$C$17:$C$18,TRIM(hospitalityq!D1096))=0)</f>
        <v>0</v>
      </c>
      <c r="J1096">
        <f>NOT(hospitalityq!J1096="")*(NOT(ISNUMBER(hospitalityq!J1096+0)))</f>
        <v>0</v>
      </c>
      <c r="K1096">
        <f>NOT(hospitalityq!K1096="")*(NOT(ISNUMBER(hospitalityq!K1096+0)))</f>
        <v>0</v>
      </c>
      <c r="P1096">
        <f>NOT(hospitalityq!P1096="")*(NOT(IFERROR(INT(hospitalityq!P1096)=VALUE(hospitalityq!P1096),FALSE)))</f>
        <v>0</v>
      </c>
      <c r="Q1096">
        <f>NOT(hospitalityq!Q1096="")*(NOT(IFERROR(INT(hospitalityq!Q1096)=VALUE(hospitalityq!Q1096),FALSE)))</f>
        <v>0</v>
      </c>
      <c r="R1096">
        <f>NOT(hospitalityq!R1096="")*(NOT(IFERROR(ROUND(VALUE(hospitalityq!R1096),2)=VALUE(hospitalityq!R1096),FALSE)))</f>
        <v>0</v>
      </c>
    </row>
    <row r="1097" spans="1:18" x14ac:dyDescent="0.25">
      <c r="A1097">
        <f t="shared" si="17"/>
        <v>0</v>
      </c>
      <c r="C1097">
        <f>NOT(hospitalityq!C1097="")*(SUMPRODUCT(--(TRIM(hospitalityq!C6:C1097)=TRIM(hospitalityq!C1097)))&gt;1)</f>
        <v>0</v>
      </c>
      <c r="D1097">
        <f>NOT(hospitalityq!D1097="")*(COUNTIF(reference!$C$17:$C$18,TRIM(hospitalityq!D1097))=0)</f>
        <v>0</v>
      </c>
      <c r="J1097">
        <f>NOT(hospitalityq!J1097="")*(NOT(ISNUMBER(hospitalityq!J1097+0)))</f>
        <v>0</v>
      </c>
      <c r="K1097">
        <f>NOT(hospitalityq!K1097="")*(NOT(ISNUMBER(hospitalityq!K1097+0)))</f>
        <v>0</v>
      </c>
      <c r="P1097">
        <f>NOT(hospitalityq!P1097="")*(NOT(IFERROR(INT(hospitalityq!P1097)=VALUE(hospitalityq!P1097),FALSE)))</f>
        <v>0</v>
      </c>
      <c r="Q1097">
        <f>NOT(hospitalityq!Q1097="")*(NOT(IFERROR(INT(hospitalityq!Q1097)=VALUE(hospitalityq!Q1097),FALSE)))</f>
        <v>0</v>
      </c>
      <c r="R1097">
        <f>NOT(hospitalityq!R1097="")*(NOT(IFERROR(ROUND(VALUE(hospitalityq!R1097),2)=VALUE(hospitalityq!R1097),FALSE)))</f>
        <v>0</v>
      </c>
    </row>
    <row r="1098" spans="1:18" x14ac:dyDescent="0.25">
      <c r="A1098">
        <f t="shared" si="17"/>
        <v>0</v>
      </c>
      <c r="C1098">
        <f>NOT(hospitalityq!C1098="")*(SUMPRODUCT(--(TRIM(hospitalityq!C6:C1098)=TRIM(hospitalityq!C1098)))&gt;1)</f>
        <v>0</v>
      </c>
      <c r="D1098">
        <f>NOT(hospitalityq!D1098="")*(COUNTIF(reference!$C$17:$C$18,TRIM(hospitalityq!D1098))=0)</f>
        <v>0</v>
      </c>
      <c r="J1098">
        <f>NOT(hospitalityq!J1098="")*(NOT(ISNUMBER(hospitalityq!J1098+0)))</f>
        <v>0</v>
      </c>
      <c r="K1098">
        <f>NOT(hospitalityq!K1098="")*(NOT(ISNUMBER(hospitalityq!K1098+0)))</f>
        <v>0</v>
      </c>
      <c r="P1098">
        <f>NOT(hospitalityq!P1098="")*(NOT(IFERROR(INT(hospitalityq!P1098)=VALUE(hospitalityq!P1098),FALSE)))</f>
        <v>0</v>
      </c>
      <c r="Q1098">
        <f>NOT(hospitalityq!Q1098="")*(NOT(IFERROR(INT(hospitalityq!Q1098)=VALUE(hospitalityq!Q1098),FALSE)))</f>
        <v>0</v>
      </c>
      <c r="R1098">
        <f>NOT(hospitalityq!R1098="")*(NOT(IFERROR(ROUND(VALUE(hospitalityq!R1098),2)=VALUE(hospitalityq!R1098),FALSE)))</f>
        <v>0</v>
      </c>
    </row>
    <row r="1099" spans="1:18" x14ac:dyDescent="0.25">
      <c r="A1099">
        <f t="shared" si="17"/>
        <v>0</v>
      </c>
      <c r="C1099">
        <f>NOT(hospitalityq!C1099="")*(SUMPRODUCT(--(TRIM(hospitalityq!C6:C1099)=TRIM(hospitalityq!C1099)))&gt;1)</f>
        <v>0</v>
      </c>
      <c r="D1099">
        <f>NOT(hospitalityq!D1099="")*(COUNTIF(reference!$C$17:$C$18,TRIM(hospitalityq!D1099))=0)</f>
        <v>0</v>
      </c>
      <c r="J1099">
        <f>NOT(hospitalityq!J1099="")*(NOT(ISNUMBER(hospitalityq!J1099+0)))</f>
        <v>0</v>
      </c>
      <c r="K1099">
        <f>NOT(hospitalityq!K1099="")*(NOT(ISNUMBER(hospitalityq!K1099+0)))</f>
        <v>0</v>
      </c>
      <c r="P1099">
        <f>NOT(hospitalityq!P1099="")*(NOT(IFERROR(INT(hospitalityq!P1099)=VALUE(hospitalityq!P1099),FALSE)))</f>
        <v>0</v>
      </c>
      <c r="Q1099">
        <f>NOT(hospitalityq!Q1099="")*(NOT(IFERROR(INT(hospitalityq!Q1099)=VALUE(hospitalityq!Q1099),FALSE)))</f>
        <v>0</v>
      </c>
      <c r="R1099">
        <f>NOT(hospitalityq!R1099="")*(NOT(IFERROR(ROUND(VALUE(hospitalityq!R1099),2)=VALUE(hospitalityq!R1099),FALSE)))</f>
        <v>0</v>
      </c>
    </row>
    <row r="1100" spans="1:18" x14ac:dyDescent="0.25">
      <c r="A1100">
        <f t="shared" si="17"/>
        <v>0</v>
      </c>
      <c r="C1100">
        <f>NOT(hospitalityq!C1100="")*(SUMPRODUCT(--(TRIM(hospitalityq!C6:C1100)=TRIM(hospitalityq!C1100)))&gt;1)</f>
        <v>0</v>
      </c>
      <c r="D1100">
        <f>NOT(hospitalityq!D1100="")*(COUNTIF(reference!$C$17:$C$18,TRIM(hospitalityq!D1100))=0)</f>
        <v>0</v>
      </c>
      <c r="J1100">
        <f>NOT(hospitalityq!J1100="")*(NOT(ISNUMBER(hospitalityq!J1100+0)))</f>
        <v>0</v>
      </c>
      <c r="K1100">
        <f>NOT(hospitalityq!K1100="")*(NOT(ISNUMBER(hospitalityq!K1100+0)))</f>
        <v>0</v>
      </c>
      <c r="P1100">
        <f>NOT(hospitalityq!P1100="")*(NOT(IFERROR(INT(hospitalityq!P1100)=VALUE(hospitalityq!P1100),FALSE)))</f>
        <v>0</v>
      </c>
      <c r="Q1100">
        <f>NOT(hospitalityq!Q1100="")*(NOT(IFERROR(INT(hospitalityq!Q1100)=VALUE(hospitalityq!Q1100),FALSE)))</f>
        <v>0</v>
      </c>
      <c r="R1100">
        <f>NOT(hospitalityq!R1100="")*(NOT(IFERROR(ROUND(VALUE(hospitalityq!R1100),2)=VALUE(hospitalityq!R1100),FALSE)))</f>
        <v>0</v>
      </c>
    </row>
    <row r="1101" spans="1:18" x14ac:dyDescent="0.25">
      <c r="A1101">
        <f t="shared" si="17"/>
        <v>0</v>
      </c>
      <c r="C1101">
        <f>NOT(hospitalityq!C1101="")*(SUMPRODUCT(--(TRIM(hospitalityq!C6:C1101)=TRIM(hospitalityq!C1101)))&gt;1)</f>
        <v>0</v>
      </c>
      <c r="D1101">
        <f>NOT(hospitalityq!D1101="")*(COUNTIF(reference!$C$17:$C$18,TRIM(hospitalityq!D1101))=0)</f>
        <v>0</v>
      </c>
      <c r="J1101">
        <f>NOT(hospitalityq!J1101="")*(NOT(ISNUMBER(hospitalityq!J1101+0)))</f>
        <v>0</v>
      </c>
      <c r="K1101">
        <f>NOT(hospitalityq!K1101="")*(NOT(ISNUMBER(hospitalityq!K1101+0)))</f>
        <v>0</v>
      </c>
      <c r="P1101">
        <f>NOT(hospitalityq!P1101="")*(NOT(IFERROR(INT(hospitalityq!P1101)=VALUE(hospitalityq!P1101),FALSE)))</f>
        <v>0</v>
      </c>
      <c r="Q1101">
        <f>NOT(hospitalityq!Q1101="")*(NOT(IFERROR(INT(hospitalityq!Q1101)=VALUE(hospitalityq!Q1101),FALSE)))</f>
        <v>0</v>
      </c>
      <c r="R1101">
        <f>NOT(hospitalityq!R1101="")*(NOT(IFERROR(ROUND(VALUE(hospitalityq!R1101),2)=VALUE(hospitalityq!R1101),FALSE)))</f>
        <v>0</v>
      </c>
    </row>
    <row r="1102" spans="1:18" x14ac:dyDescent="0.25">
      <c r="A1102">
        <f t="shared" si="17"/>
        <v>0</v>
      </c>
      <c r="C1102">
        <f>NOT(hospitalityq!C1102="")*(SUMPRODUCT(--(TRIM(hospitalityq!C6:C1102)=TRIM(hospitalityq!C1102)))&gt;1)</f>
        <v>0</v>
      </c>
      <c r="D1102">
        <f>NOT(hospitalityq!D1102="")*(COUNTIF(reference!$C$17:$C$18,TRIM(hospitalityq!D1102))=0)</f>
        <v>0</v>
      </c>
      <c r="J1102">
        <f>NOT(hospitalityq!J1102="")*(NOT(ISNUMBER(hospitalityq!J1102+0)))</f>
        <v>0</v>
      </c>
      <c r="K1102">
        <f>NOT(hospitalityq!K1102="")*(NOT(ISNUMBER(hospitalityq!K1102+0)))</f>
        <v>0</v>
      </c>
      <c r="P1102">
        <f>NOT(hospitalityq!P1102="")*(NOT(IFERROR(INT(hospitalityq!P1102)=VALUE(hospitalityq!P1102),FALSE)))</f>
        <v>0</v>
      </c>
      <c r="Q1102">
        <f>NOT(hospitalityq!Q1102="")*(NOT(IFERROR(INT(hospitalityq!Q1102)=VALUE(hospitalityq!Q1102),FALSE)))</f>
        <v>0</v>
      </c>
      <c r="R1102">
        <f>NOT(hospitalityq!R1102="")*(NOT(IFERROR(ROUND(VALUE(hospitalityq!R1102),2)=VALUE(hospitalityq!R1102),FALSE)))</f>
        <v>0</v>
      </c>
    </row>
    <row r="1103" spans="1:18" x14ac:dyDescent="0.25">
      <c r="A1103">
        <f t="shared" si="17"/>
        <v>0</v>
      </c>
      <c r="C1103">
        <f>NOT(hospitalityq!C1103="")*(SUMPRODUCT(--(TRIM(hospitalityq!C6:C1103)=TRIM(hospitalityq!C1103)))&gt;1)</f>
        <v>0</v>
      </c>
      <c r="D1103">
        <f>NOT(hospitalityq!D1103="")*(COUNTIF(reference!$C$17:$C$18,TRIM(hospitalityq!D1103))=0)</f>
        <v>0</v>
      </c>
      <c r="J1103">
        <f>NOT(hospitalityq!J1103="")*(NOT(ISNUMBER(hospitalityq!J1103+0)))</f>
        <v>0</v>
      </c>
      <c r="K1103">
        <f>NOT(hospitalityq!K1103="")*(NOT(ISNUMBER(hospitalityq!K1103+0)))</f>
        <v>0</v>
      </c>
      <c r="P1103">
        <f>NOT(hospitalityq!P1103="")*(NOT(IFERROR(INT(hospitalityq!P1103)=VALUE(hospitalityq!P1103),FALSE)))</f>
        <v>0</v>
      </c>
      <c r="Q1103">
        <f>NOT(hospitalityq!Q1103="")*(NOT(IFERROR(INT(hospitalityq!Q1103)=VALUE(hospitalityq!Q1103),FALSE)))</f>
        <v>0</v>
      </c>
      <c r="R1103">
        <f>NOT(hospitalityq!R1103="")*(NOT(IFERROR(ROUND(VALUE(hospitalityq!R1103),2)=VALUE(hospitalityq!R1103),FALSE)))</f>
        <v>0</v>
      </c>
    </row>
    <row r="1104" spans="1:18" x14ac:dyDescent="0.25">
      <c r="A1104">
        <f t="shared" si="17"/>
        <v>0</v>
      </c>
      <c r="C1104">
        <f>NOT(hospitalityq!C1104="")*(SUMPRODUCT(--(TRIM(hospitalityq!C6:C1104)=TRIM(hospitalityq!C1104)))&gt;1)</f>
        <v>0</v>
      </c>
      <c r="D1104">
        <f>NOT(hospitalityq!D1104="")*(COUNTIF(reference!$C$17:$C$18,TRIM(hospitalityq!D1104))=0)</f>
        <v>0</v>
      </c>
      <c r="J1104">
        <f>NOT(hospitalityq!J1104="")*(NOT(ISNUMBER(hospitalityq!J1104+0)))</f>
        <v>0</v>
      </c>
      <c r="K1104">
        <f>NOT(hospitalityq!K1104="")*(NOT(ISNUMBER(hospitalityq!K1104+0)))</f>
        <v>0</v>
      </c>
      <c r="P1104">
        <f>NOT(hospitalityq!P1104="")*(NOT(IFERROR(INT(hospitalityq!P1104)=VALUE(hospitalityq!P1104),FALSE)))</f>
        <v>0</v>
      </c>
      <c r="Q1104">
        <f>NOT(hospitalityq!Q1104="")*(NOT(IFERROR(INT(hospitalityq!Q1104)=VALUE(hospitalityq!Q1104),FALSE)))</f>
        <v>0</v>
      </c>
      <c r="R1104">
        <f>NOT(hospitalityq!R1104="")*(NOT(IFERROR(ROUND(VALUE(hospitalityq!R1104),2)=VALUE(hospitalityq!R1104),FALSE)))</f>
        <v>0</v>
      </c>
    </row>
    <row r="1105" spans="1:18" x14ac:dyDescent="0.25">
      <c r="A1105">
        <f t="shared" si="17"/>
        <v>0</v>
      </c>
      <c r="C1105">
        <f>NOT(hospitalityq!C1105="")*(SUMPRODUCT(--(TRIM(hospitalityq!C6:C1105)=TRIM(hospitalityq!C1105)))&gt;1)</f>
        <v>0</v>
      </c>
      <c r="D1105">
        <f>NOT(hospitalityq!D1105="")*(COUNTIF(reference!$C$17:$C$18,TRIM(hospitalityq!D1105))=0)</f>
        <v>0</v>
      </c>
      <c r="J1105">
        <f>NOT(hospitalityq!J1105="")*(NOT(ISNUMBER(hospitalityq!J1105+0)))</f>
        <v>0</v>
      </c>
      <c r="K1105">
        <f>NOT(hospitalityq!K1105="")*(NOT(ISNUMBER(hospitalityq!K1105+0)))</f>
        <v>0</v>
      </c>
      <c r="P1105">
        <f>NOT(hospitalityq!P1105="")*(NOT(IFERROR(INT(hospitalityq!P1105)=VALUE(hospitalityq!P1105),FALSE)))</f>
        <v>0</v>
      </c>
      <c r="Q1105">
        <f>NOT(hospitalityq!Q1105="")*(NOT(IFERROR(INT(hospitalityq!Q1105)=VALUE(hospitalityq!Q1105),FALSE)))</f>
        <v>0</v>
      </c>
      <c r="R1105">
        <f>NOT(hospitalityq!R1105="")*(NOT(IFERROR(ROUND(VALUE(hospitalityq!R1105),2)=VALUE(hospitalityq!R1105),FALSE)))</f>
        <v>0</v>
      </c>
    </row>
    <row r="1106" spans="1:18" x14ac:dyDescent="0.25">
      <c r="A1106">
        <f t="shared" si="17"/>
        <v>0</v>
      </c>
      <c r="C1106">
        <f>NOT(hospitalityq!C1106="")*(SUMPRODUCT(--(TRIM(hospitalityq!C6:C1106)=TRIM(hospitalityq!C1106)))&gt;1)</f>
        <v>0</v>
      </c>
      <c r="D1106">
        <f>NOT(hospitalityq!D1106="")*(COUNTIF(reference!$C$17:$C$18,TRIM(hospitalityq!D1106))=0)</f>
        <v>0</v>
      </c>
      <c r="J1106">
        <f>NOT(hospitalityq!J1106="")*(NOT(ISNUMBER(hospitalityq!J1106+0)))</f>
        <v>0</v>
      </c>
      <c r="K1106">
        <f>NOT(hospitalityq!K1106="")*(NOT(ISNUMBER(hospitalityq!K1106+0)))</f>
        <v>0</v>
      </c>
      <c r="P1106">
        <f>NOT(hospitalityq!P1106="")*(NOT(IFERROR(INT(hospitalityq!P1106)=VALUE(hospitalityq!P1106),FALSE)))</f>
        <v>0</v>
      </c>
      <c r="Q1106">
        <f>NOT(hospitalityq!Q1106="")*(NOT(IFERROR(INT(hospitalityq!Q1106)=VALUE(hospitalityq!Q1106),FALSE)))</f>
        <v>0</v>
      </c>
      <c r="R1106">
        <f>NOT(hospitalityq!R1106="")*(NOT(IFERROR(ROUND(VALUE(hospitalityq!R1106),2)=VALUE(hospitalityq!R1106),FALSE)))</f>
        <v>0</v>
      </c>
    </row>
    <row r="1107" spans="1:18" x14ac:dyDescent="0.25">
      <c r="A1107">
        <f t="shared" si="17"/>
        <v>0</v>
      </c>
      <c r="C1107">
        <f>NOT(hospitalityq!C1107="")*(SUMPRODUCT(--(TRIM(hospitalityq!C6:C1107)=TRIM(hospitalityq!C1107)))&gt;1)</f>
        <v>0</v>
      </c>
      <c r="D1107">
        <f>NOT(hospitalityq!D1107="")*(COUNTIF(reference!$C$17:$C$18,TRIM(hospitalityq!D1107))=0)</f>
        <v>0</v>
      </c>
      <c r="J1107">
        <f>NOT(hospitalityq!J1107="")*(NOT(ISNUMBER(hospitalityq!J1107+0)))</f>
        <v>0</v>
      </c>
      <c r="K1107">
        <f>NOT(hospitalityq!K1107="")*(NOT(ISNUMBER(hospitalityq!K1107+0)))</f>
        <v>0</v>
      </c>
      <c r="P1107">
        <f>NOT(hospitalityq!P1107="")*(NOT(IFERROR(INT(hospitalityq!P1107)=VALUE(hospitalityq!P1107),FALSE)))</f>
        <v>0</v>
      </c>
      <c r="Q1107">
        <f>NOT(hospitalityq!Q1107="")*(NOT(IFERROR(INT(hospitalityq!Q1107)=VALUE(hospitalityq!Q1107),FALSE)))</f>
        <v>0</v>
      </c>
      <c r="R1107">
        <f>NOT(hospitalityq!R1107="")*(NOT(IFERROR(ROUND(VALUE(hospitalityq!R1107),2)=VALUE(hospitalityq!R1107),FALSE)))</f>
        <v>0</v>
      </c>
    </row>
    <row r="1108" spans="1:18" x14ac:dyDescent="0.25">
      <c r="A1108">
        <f t="shared" si="17"/>
        <v>0</v>
      </c>
      <c r="C1108">
        <f>NOT(hospitalityq!C1108="")*(SUMPRODUCT(--(TRIM(hospitalityq!C6:C1108)=TRIM(hospitalityq!C1108)))&gt;1)</f>
        <v>0</v>
      </c>
      <c r="D1108">
        <f>NOT(hospitalityq!D1108="")*(COUNTIF(reference!$C$17:$C$18,TRIM(hospitalityq!D1108))=0)</f>
        <v>0</v>
      </c>
      <c r="J1108">
        <f>NOT(hospitalityq!J1108="")*(NOT(ISNUMBER(hospitalityq!J1108+0)))</f>
        <v>0</v>
      </c>
      <c r="K1108">
        <f>NOT(hospitalityq!K1108="")*(NOT(ISNUMBER(hospitalityq!K1108+0)))</f>
        <v>0</v>
      </c>
      <c r="P1108">
        <f>NOT(hospitalityq!P1108="")*(NOT(IFERROR(INT(hospitalityq!P1108)=VALUE(hospitalityq!P1108),FALSE)))</f>
        <v>0</v>
      </c>
      <c r="Q1108">
        <f>NOT(hospitalityq!Q1108="")*(NOT(IFERROR(INT(hospitalityq!Q1108)=VALUE(hospitalityq!Q1108),FALSE)))</f>
        <v>0</v>
      </c>
      <c r="R1108">
        <f>NOT(hospitalityq!R1108="")*(NOT(IFERROR(ROUND(VALUE(hospitalityq!R1108),2)=VALUE(hospitalityq!R1108),FALSE)))</f>
        <v>0</v>
      </c>
    </row>
    <row r="1109" spans="1:18" x14ac:dyDescent="0.25">
      <c r="A1109">
        <f t="shared" si="17"/>
        <v>0</v>
      </c>
      <c r="C1109">
        <f>NOT(hospitalityq!C1109="")*(SUMPRODUCT(--(TRIM(hospitalityq!C6:C1109)=TRIM(hospitalityq!C1109)))&gt;1)</f>
        <v>0</v>
      </c>
      <c r="D1109">
        <f>NOT(hospitalityq!D1109="")*(COUNTIF(reference!$C$17:$C$18,TRIM(hospitalityq!D1109))=0)</f>
        <v>0</v>
      </c>
      <c r="J1109">
        <f>NOT(hospitalityq!J1109="")*(NOT(ISNUMBER(hospitalityq!J1109+0)))</f>
        <v>0</v>
      </c>
      <c r="K1109">
        <f>NOT(hospitalityq!K1109="")*(NOT(ISNUMBER(hospitalityq!K1109+0)))</f>
        <v>0</v>
      </c>
      <c r="P1109">
        <f>NOT(hospitalityq!P1109="")*(NOT(IFERROR(INT(hospitalityq!P1109)=VALUE(hospitalityq!P1109),FALSE)))</f>
        <v>0</v>
      </c>
      <c r="Q1109">
        <f>NOT(hospitalityq!Q1109="")*(NOT(IFERROR(INT(hospitalityq!Q1109)=VALUE(hospitalityq!Q1109),FALSE)))</f>
        <v>0</v>
      </c>
      <c r="R1109">
        <f>NOT(hospitalityq!R1109="")*(NOT(IFERROR(ROUND(VALUE(hospitalityq!R1109),2)=VALUE(hospitalityq!R1109),FALSE)))</f>
        <v>0</v>
      </c>
    </row>
    <row r="1110" spans="1:18" x14ac:dyDescent="0.25">
      <c r="A1110">
        <f t="shared" si="17"/>
        <v>0</v>
      </c>
      <c r="C1110">
        <f>NOT(hospitalityq!C1110="")*(SUMPRODUCT(--(TRIM(hospitalityq!C6:C1110)=TRIM(hospitalityq!C1110)))&gt;1)</f>
        <v>0</v>
      </c>
      <c r="D1110">
        <f>NOT(hospitalityq!D1110="")*(COUNTIF(reference!$C$17:$C$18,TRIM(hospitalityq!D1110))=0)</f>
        <v>0</v>
      </c>
      <c r="J1110">
        <f>NOT(hospitalityq!J1110="")*(NOT(ISNUMBER(hospitalityq!J1110+0)))</f>
        <v>0</v>
      </c>
      <c r="K1110">
        <f>NOT(hospitalityq!K1110="")*(NOT(ISNUMBER(hospitalityq!K1110+0)))</f>
        <v>0</v>
      </c>
      <c r="P1110">
        <f>NOT(hospitalityq!P1110="")*(NOT(IFERROR(INT(hospitalityq!P1110)=VALUE(hospitalityq!P1110),FALSE)))</f>
        <v>0</v>
      </c>
      <c r="Q1110">
        <f>NOT(hospitalityq!Q1110="")*(NOT(IFERROR(INT(hospitalityq!Q1110)=VALUE(hospitalityq!Q1110),FALSE)))</f>
        <v>0</v>
      </c>
      <c r="R1110">
        <f>NOT(hospitalityq!R1110="")*(NOT(IFERROR(ROUND(VALUE(hospitalityq!R1110),2)=VALUE(hospitalityq!R1110),FALSE)))</f>
        <v>0</v>
      </c>
    </row>
    <row r="1111" spans="1:18" x14ac:dyDescent="0.25">
      <c r="A1111">
        <f t="shared" si="17"/>
        <v>0</v>
      </c>
      <c r="C1111">
        <f>NOT(hospitalityq!C1111="")*(SUMPRODUCT(--(TRIM(hospitalityq!C6:C1111)=TRIM(hospitalityq!C1111)))&gt;1)</f>
        <v>0</v>
      </c>
      <c r="D1111">
        <f>NOT(hospitalityq!D1111="")*(COUNTIF(reference!$C$17:$C$18,TRIM(hospitalityq!D1111))=0)</f>
        <v>0</v>
      </c>
      <c r="J1111">
        <f>NOT(hospitalityq!J1111="")*(NOT(ISNUMBER(hospitalityq!J1111+0)))</f>
        <v>0</v>
      </c>
      <c r="K1111">
        <f>NOT(hospitalityq!K1111="")*(NOT(ISNUMBER(hospitalityq!K1111+0)))</f>
        <v>0</v>
      </c>
      <c r="P1111">
        <f>NOT(hospitalityq!P1111="")*(NOT(IFERROR(INT(hospitalityq!P1111)=VALUE(hospitalityq!P1111),FALSE)))</f>
        <v>0</v>
      </c>
      <c r="Q1111">
        <f>NOT(hospitalityq!Q1111="")*(NOT(IFERROR(INT(hospitalityq!Q1111)=VALUE(hospitalityq!Q1111),FALSE)))</f>
        <v>0</v>
      </c>
      <c r="R1111">
        <f>NOT(hospitalityq!R1111="")*(NOT(IFERROR(ROUND(VALUE(hospitalityq!R1111),2)=VALUE(hospitalityq!R1111),FALSE)))</f>
        <v>0</v>
      </c>
    </row>
    <row r="1112" spans="1:18" x14ac:dyDescent="0.25">
      <c r="A1112">
        <f t="shared" si="17"/>
        <v>0</v>
      </c>
      <c r="C1112">
        <f>NOT(hospitalityq!C1112="")*(SUMPRODUCT(--(TRIM(hospitalityq!C6:C1112)=TRIM(hospitalityq!C1112)))&gt;1)</f>
        <v>0</v>
      </c>
      <c r="D1112">
        <f>NOT(hospitalityq!D1112="")*(COUNTIF(reference!$C$17:$C$18,TRIM(hospitalityq!D1112))=0)</f>
        <v>0</v>
      </c>
      <c r="J1112">
        <f>NOT(hospitalityq!J1112="")*(NOT(ISNUMBER(hospitalityq!J1112+0)))</f>
        <v>0</v>
      </c>
      <c r="K1112">
        <f>NOT(hospitalityq!K1112="")*(NOT(ISNUMBER(hospitalityq!K1112+0)))</f>
        <v>0</v>
      </c>
      <c r="P1112">
        <f>NOT(hospitalityq!P1112="")*(NOT(IFERROR(INT(hospitalityq!P1112)=VALUE(hospitalityq!P1112),FALSE)))</f>
        <v>0</v>
      </c>
      <c r="Q1112">
        <f>NOT(hospitalityq!Q1112="")*(NOT(IFERROR(INT(hospitalityq!Q1112)=VALUE(hospitalityq!Q1112),FALSE)))</f>
        <v>0</v>
      </c>
      <c r="R1112">
        <f>NOT(hospitalityq!R1112="")*(NOT(IFERROR(ROUND(VALUE(hospitalityq!R1112),2)=VALUE(hospitalityq!R1112),FALSE)))</f>
        <v>0</v>
      </c>
    </row>
    <row r="1113" spans="1:18" x14ac:dyDescent="0.25">
      <c r="A1113">
        <f t="shared" si="17"/>
        <v>0</v>
      </c>
      <c r="C1113">
        <f>NOT(hospitalityq!C1113="")*(SUMPRODUCT(--(TRIM(hospitalityq!C6:C1113)=TRIM(hospitalityq!C1113)))&gt;1)</f>
        <v>0</v>
      </c>
      <c r="D1113">
        <f>NOT(hospitalityq!D1113="")*(COUNTIF(reference!$C$17:$C$18,TRIM(hospitalityq!D1113))=0)</f>
        <v>0</v>
      </c>
      <c r="J1113">
        <f>NOT(hospitalityq!J1113="")*(NOT(ISNUMBER(hospitalityq!J1113+0)))</f>
        <v>0</v>
      </c>
      <c r="K1113">
        <f>NOT(hospitalityq!K1113="")*(NOT(ISNUMBER(hospitalityq!K1113+0)))</f>
        <v>0</v>
      </c>
      <c r="P1113">
        <f>NOT(hospitalityq!P1113="")*(NOT(IFERROR(INT(hospitalityq!P1113)=VALUE(hospitalityq!P1113),FALSE)))</f>
        <v>0</v>
      </c>
      <c r="Q1113">
        <f>NOT(hospitalityq!Q1113="")*(NOT(IFERROR(INT(hospitalityq!Q1113)=VALUE(hospitalityq!Q1113),FALSE)))</f>
        <v>0</v>
      </c>
      <c r="R1113">
        <f>NOT(hospitalityq!R1113="")*(NOT(IFERROR(ROUND(VALUE(hospitalityq!R1113),2)=VALUE(hospitalityq!R1113),FALSE)))</f>
        <v>0</v>
      </c>
    </row>
    <row r="1114" spans="1:18" x14ac:dyDescent="0.25">
      <c r="A1114">
        <f t="shared" si="17"/>
        <v>0</v>
      </c>
      <c r="C1114">
        <f>NOT(hospitalityq!C1114="")*(SUMPRODUCT(--(TRIM(hospitalityq!C6:C1114)=TRIM(hospitalityq!C1114)))&gt;1)</f>
        <v>0</v>
      </c>
      <c r="D1114">
        <f>NOT(hospitalityq!D1114="")*(COUNTIF(reference!$C$17:$C$18,TRIM(hospitalityq!D1114))=0)</f>
        <v>0</v>
      </c>
      <c r="J1114">
        <f>NOT(hospitalityq!J1114="")*(NOT(ISNUMBER(hospitalityq!J1114+0)))</f>
        <v>0</v>
      </c>
      <c r="K1114">
        <f>NOT(hospitalityq!K1114="")*(NOT(ISNUMBER(hospitalityq!K1114+0)))</f>
        <v>0</v>
      </c>
      <c r="P1114">
        <f>NOT(hospitalityq!P1114="")*(NOT(IFERROR(INT(hospitalityq!P1114)=VALUE(hospitalityq!P1114),FALSE)))</f>
        <v>0</v>
      </c>
      <c r="Q1114">
        <f>NOT(hospitalityq!Q1114="")*(NOT(IFERROR(INT(hospitalityq!Q1114)=VALUE(hospitalityq!Q1114),FALSE)))</f>
        <v>0</v>
      </c>
      <c r="R1114">
        <f>NOT(hospitalityq!R1114="")*(NOT(IFERROR(ROUND(VALUE(hospitalityq!R1114),2)=VALUE(hospitalityq!R1114),FALSE)))</f>
        <v>0</v>
      </c>
    </row>
    <row r="1115" spans="1:18" x14ac:dyDescent="0.25">
      <c r="A1115">
        <f t="shared" si="17"/>
        <v>0</v>
      </c>
      <c r="C1115">
        <f>NOT(hospitalityq!C1115="")*(SUMPRODUCT(--(TRIM(hospitalityq!C6:C1115)=TRIM(hospitalityq!C1115)))&gt;1)</f>
        <v>0</v>
      </c>
      <c r="D1115">
        <f>NOT(hospitalityq!D1115="")*(COUNTIF(reference!$C$17:$C$18,TRIM(hospitalityq!D1115))=0)</f>
        <v>0</v>
      </c>
      <c r="J1115">
        <f>NOT(hospitalityq!J1115="")*(NOT(ISNUMBER(hospitalityq!J1115+0)))</f>
        <v>0</v>
      </c>
      <c r="K1115">
        <f>NOT(hospitalityq!K1115="")*(NOT(ISNUMBER(hospitalityq!K1115+0)))</f>
        <v>0</v>
      </c>
      <c r="P1115">
        <f>NOT(hospitalityq!P1115="")*(NOT(IFERROR(INT(hospitalityq!P1115)=VALUE(hospitalityq!P1115),FALSE)))</f>
        <v>0</v>
      </c>
      <c r="Q1115">
        <f>NOT(hospitalityq!Q1115="")*(NOT(IFERROR(INT(hospitalityq!Q1115)=VALUE(hospitalityq!Q1115),FALSE)))</f>
        <v>0</v>
      </c>
      <c r="R1115">
        <f>NOT(hospitalityq!R1115="")*(NOT(IFERROR(ROUND(VALUE(hospitalityq!R1115),2)=VALUE(hospitalityq!R1115),FALSE)))</f>
        <v>0</v>
      </c>
    </row>
    <row r="1116" spans="1:18" x14ac:dyDescent="0.25">
      <c r="A1116">
        <f t="shared" si="17"/>
        <v>0</v>
      </c>
      <c r="C1116">
        <f>NOT(hospitalityq!C1116="")*(SUMPRODUCT(--(TRIM(hospitalityq!C6:C1116)=TRIM(hospitalityq!C1116)))&gt;1)</f>
        <v>0</v>
      </c>
      <c r="D1116">
        <f>NOT(hospitalityq!D1116="")*(COUNTIF(reference!$C$17:$C$18,TRIM(hospitalityq!D1116))=0)</f>
        <v>0</v>
      </c>
      <c r="J1116">
        <f>NOT(hospitalityq!J1116="")*(NOT(ISNUMBER(hospitalityq!J1116+0)))</f>
        <v>0</v>
      </c>
      <c r="K1116">
        <f>NOT(hospitalityq!K1116="")*(NOT(ISNUMBER(hospitalityq!K1116+0)))</f>
        <v>0</v>
      </c>
      <c r="P1116">
        <f>NOT(hospitalityq!P1116="")*(NOT(IFERROR(INT(hospitalityq!P1116)=VALUE(hospitalityq!P1116),FALSE)))</f>
        <v>0</v>
      </c>
      <c r="Q1116">
        <f>NOT(hospitalityq!Q1116="")*(NOT(IFERROR(INT(hospitalityq!Q1116)=VALUE(hospitalityq!Q1116),FALSE)))</f>
        <v>0</v>
      </c>
      <c r="R1116">
        <f>NOT(hospitalityq!R1116="")*(NOT(IFERROR(ROUND(VALUE(hospitalityq!R1116),2)=VALUE(hospitalityq!R1116),FALSE)))</f>
        <v>0</v>
      </c>
    </row>
    <row r="1117" spans="1:18" x14ac:dyDescent="0.25">
      <c r="A1117">
        <f t="shared" si="17"/>
        <v>0</v>
      </c>
      <c r="C1117">
        <f>NOT(hospitalityq!C1117="")*(SUMPRODUCT(--(TRIM(hospitalityq!C6:C1117)=TRIM(hospitalityq!C1117)))&gt;1)</f>
        <v>0</v>
      </c>
      <c r="D1117">
        <f>NOT(hospitalityq!D1117="")*(COUNTIF(reference!$C$17:$C$18,TRIM(hospitalityq!D1117))=0)</f>
        <v>0</v>
      </c>
      <c r="J1117">
        <f>NOT(hospitalityq!J1117="")*(NOT(ISNUMBER(hospitalityq!J1117+0)))</f>
        <v>0</v>
      </c>
      <c r="K1117">
        <f>NOT(hospitalityq!K1117="")*(NOT(ISNUMBER(hospitalityq!K1117+0)))</f>
        <v>0</v>
      </c>
      <c r="P1117">
        <f>NOT(hospitalityq!P1117="")*(NOT(IFERROR(INT(hospitalityq!P1117)=VALUE(hospitalityq!P1117),FALSE)))</f>
        <v>0</v>
      </c>
      <c r="Q1117">
        <f>NOT(hospitalityq!Q1117="")*(NOT(IFERROR(INT(hospitalityq!Q1117)=VALUE(hospitalityq!Q1117),FALSE)))</f>
        <v>0</v>
      </c>
      <c r="R1117">
        <f>NOT(hospitalityq!R1117="")*(NOT(IFERROR(ROUND(VALUE(hospitalityq!R1117),2)=VALUE(hospitalityq!R1117),FALSE)))</f>
        <v>0</v>
      </c>
    </row>
    <row r="1118" spans="1:18" x14ac:dyDescent="0.25">
      <c r="A1118">
        <f t="shared" si="17"/>
        <v>0</v>
      </c>
      <c r="C1118">
        <f>NOT(hospitalityq!C1118="")*(SUMPRODUCT(--(TRIM(hospitalityq!C6:C1118)=TRIM(hospitalityq!C1118)))&gt;1)</f>
        <v>0</v>
      </c>
      <c r="D1118">
        <f>NOT(hospitalityq!D1118="")*(COUNTIF(reference!$C$17:$C$18,TRIM(hospitalityq!D1118))=0)</f>
        <v>0</v>
      </c>
      <c r="J1118">
        <f>NOT(hospitalityq!J1118="")*(NOT(ISNUMBER(hospitalityq!J1118+0)))</f>
        <v>0</v>
      </c>
      <c r="K1118">
        <f>NOT(hospitalityq!K1118="")*(NOT(ISNUMBER(hospitalityq!K1118+0)))</f>
        <v>0</v>
      </c>
      <c r="P1118">
        <f>NOT(hospitalityq!P1118="")*(NOT(IFERROR(INT(hospitalityq!P1118)=VALUE(hospitalityq!P1118),FALSE)))</f>
        <v>0</v>
      </c>
      <c r="Q1118">
        <f>NOT(hospitalityq!Q1118="")*(NOT(IFERROR(INT(hospitalityq!Q1118)=VALUE(hospitalityq!Q1118),FALSE)))</f>
        <v>0</v>
      </c>
      <c r="R1118">
        <f>NOT(hospitalityq!R1118="")*(NOT(IFERROR(ROUND(VALUE(hospitalityq!R1118),2)=VALUE(hospitalityq!R1118),FALSE)))</f>
        <v>0</v>
      </c>
    </row>
    <row r="1119" spans="1:18" x14ac:dyDescent="0.25">
      <c r="A1119">
        <f t="shared" si="17"/>
        <v>0</v>
      </c>
      <c r="C1119">
        <f>NOT(hospitalityq!C1119="")*(SUMPRODUCT(--(TRIM(hospitalityq!C6:C1119)=TRIM(hospitalityq!C1119)))&gt;1)</f>
        <v>0</v>
      </c>
      <c r="D1119">
        <f>NOT(hospitalityq!D1119="")*(COUNTIF(reference!$C$17:$C$18,TRIM(hospitalityq!D1119))=0)</f>
        <v>0</v>
      </c>
      <c r="J1119">
        <f>NOT(hospitalityq!J1119="")*(NOT(ISNUMBER(hospitalityq!J1119+0)))</f>
        <v>0</v>
      </c>
      <c r="K1119">
        <f>NOT(hospitalityq!K1119="")*(NOT(ISNUMBER(hospitalityq!K1119+0)))</f>
        <v>0</v>
      </c>
      <c r="P1119">
        <f>NOT(hospitalityq!P1119="")*(NOT(IFERROR(INT(hospitalityq!P1119)=VALUE(hospitalityq!P1119),FALSE)))</f>
        <v>0</v>
      </c>
      <c r="Q1119">
        <f>NOT(hospitalityq!Q1119="")*(NOT(IFERROR(INT(hospitalityq!Q1119)=VALUE(hospitalityq!Q1119),FALSE)))</f>
        <v>0</v>
      </c>
      <c r="R1119">
        <f>NOT(hospitalityq!R1119="")*(NOT(IFERROR(ROUND(VALUE(hospitalityq!R1119),2)=VALUE(hospitalityq!R1119),FALSE)))</f>
        <v>0</v>
      </c>
    </row>
    <row r="1120" spans="1:18" x14ac:dyDescent="0.25">
      <c r="A1120">
        <f t="shared" si="17"/>
        <v>0</v>
      </c>
      <c r="C1120">
        <f>NOT(hospitalityq!C1120="")*(SUMPRODUCT(--(TRIM(hospitalityq!C6:C1120)=TRIM(hospitalityq!C1120)))&gt;1)</f>
        <v>0</v>
      </c>
      <c r="D1120">
        <f>NOT(hospitalityq!D1120="")*(COUNTIF(reference!$C$17:$C$18,TRIM(hospitalityq!D1120))=0)</f>
        <v>0</v>
      </c>
      <c r="J1120">
        <f>NOT(hospitalityq!J1120="")*(NOT(ISNUMBER(hospitalityq!J1120+0)))</f>
        <v>0</v>
      </c>
      <c r="K1120">
        <f>NOT(hospitalityq!K1120="")*(NOT(ISNUMBER(hospitalityq!K1120+0)))</f>
        <v>0</v>
      </c>
      <c r="P1120">
        <f>NOT(hospitalityq!P1120="")*(NOT(IFERROR(INT(hospitalityq!P1120)=VALUE(hospitalityq!P1120),FALSE)))</f>
        <v>0</v>
      </c>
      <c r="Q1120">
        <f>NOT(hospitalityq!Q1120="")*(NOT(IFERROR(INT(hospitalityq!Q1120)=VALUE(hospitalityq!Q1120),FALSE)))</f>
        <v>0</v>
      </c>
      <c r="R1120">
        <f>NOT(hospitalityq!R1120="")*(NOT(IFERROR(ROUND(VALUE(hospitalityq!R1120),2)=VALUE(hospitalityq!R1120),FALSE)))</f>
        <v>0</v>
      </c>
    </row>
    <row r="1121" spans="1:18" x14ac:dyDescent="0.25">
      <c r="A1121">
        <f t="shared" si="17"/>
        <v>0</v>
      </c>
      <c r="C1121">
        <f>NOT(hospitalityq!C1121="")*(SUMPRODUCT(--(TRIM(hospitalityq!C6:C1121)=TRIM(hospitalityq!C1121)))&gt;1)</f>
        <v>0</v>
      </c>
      <c r="D1121">
        <f>NOT(hospitalityq!D1121="")*(COUNTIF(reference!$C$17:$C$18,TRIM(hospitalityq!D1121))=0)</f>
        <v>0</v>
      </c>
      <c r="J1121">
        <f>NOT(hospitalityq!J1121="")*(NOT(ISNUMBER(hospitalityq!J1121+0)))</f>
        <v>0</v>
      </c>
      <c r="K1121">
        <f>NOT(hospitalityq!K1121="")*(NOT(ISNUMBER(hospitalityq!K1121+0)))</f>
        <v>0</v>
      </c>
      <c r="P1121">
        <f>NOT(hospitalityq!P1121="")*(NOT(IFERROR(INT(hospitalityq!P1121)=VALUE(hospitalityq!P1121),FALSE)))</f>
        <v>0</v>
      </c>
      <c r="Q1121">
        <f>NOT(hospitalityq!Q1121="")*(NOT(IFERROR(INT(hospitalityq!Q1121)=VALUE(hospitalityq!Q1121),FALSE)))</f>
        <v>0</v>
      </c>
      <c r="R1121">
        <f>NOT(hospitalityq!R1121="")*(NOT(IFERROR(ROUND(VALUE(hospitalityq!R1121),2)=VALUE(hospitalityq!R1121),FALSE)))</f>
        <v>0</v>
      </c>
    </row>
    <row r="1122" spans="1:18" x14ac:dyDescent="0.25">
      <c r="A1122">
        <f t="shared" si="17"/>
        <v>0</v>
      </c>
      <c r="C1122">
        <f>NOT(hospitalityq!C1122="")*(SUMPRODUCT(--(TRIM(hospitalityq!C6:C1122)=TRIM(hospitalityq!C1122)))&gt;1)</f>
        <v>0</v>
      </c>
      <c r="D1122">
        <f>NOT(hospitalityq!D1122="")*(COUNTIF(reference!$C$17:$C$18,TRIM(hospitalityq!D1122))=0)</f>
        <v>0</v>
      </c>
      <c r="J1122">
        <f>NOT(hospitalityq!J1122="")*(NOT(ISNUMBER(hospitalityq!J1122+0)))</f>
        <v>0</v>
      </c>
      <c r="K1122">
        <f>NOT(hospitalityq!K1122="")*(NOT(ISNUMBER(hospitalityq!K1122+0)))</f>
        <v>0</v>
      </c>
      <c r="P1122">
        <f>NOT(hospitalityq!P1122="")*(NOT(IFERROR(INT(hospitalityq!P1122)=VALUE(hospitalityq!P1122),FALSE)))</f>
        <v>0</v>
      </c>
      <c r="Q1122">
        <f>NOT(hospitalityq!Q1122="")*(NOT(IFERROR(INT(hospitalityq!Q1122)=VALUE(hospitalityq!Q1122),FALSE)))</f>
        <v>0</v>
      </c>
      <c r="R1122">
        <f>NOT(hospitalityq!R1122="")*(NOT(IFERROR(ROUND(VALUE(hospitalityq!R1122),2)=VALUE(hospitalityq!R1122),FALSE)))</f>
        <v>0</v>
      </c>
    </row>
    <row r="1123" spans="1:18" x14ac:dyDescent="0.25">
      <c r="A1123">
        <f t="shared" si="17"/>
        <v>0</v>
      </c>
      <c r="C1123">
        <f>NOT(hospitalityq!C1123="")*(SUMPRODUCT(--(TRIM(hospitalityq!C6:C1123)=TRIM(hospitalityq!C1123)))&gt;1)</f>
        <v>0</v>
      </c>
      <c r="D1123">
        <f>NOT(hospitalityq!D1123="")*(COUNTIF(reference!$C$17:$C$18,TRIM(hospitalityq!D1123))=0)</f>
        <v>0</v>
      </c>
      <c r="J1123">
        <f>NOT(hospitalityq!J1123="")*(NOT(ISNUMBER(hospitalityq!J1123+0)))</f>
        <v>0</v>
      </c>
      <c r="K1123">
        <f>NOT(hospitalityq!K1123="")*(NOT(ISNUMBER(hospitalityq!K1123+0)))</f>
        <v>0</v>
      </c>
      <c r="P1123">
        <f>NOT(hospitalityq!P1123="")*(NOT(IFERROR(INT(hospitalityq!P1123)=VALUE(hospitalityq!P1123),FALSE)))</f>
        <v>0</v>
      </c>
      <c r="Q1123">
        <f>NOT(hospitalityq!Q1123="")*(NOT(IFERROR(INT(hospitalityq!Q1123)=VALUE(hospitalityq!Q1123),FALSE)))</f>
        <v>0</v>
      </c>
      <c r="R1123">
        <f>NOT(hospitalityq!R1123="")*(NOT(IFERROR(ROUND(VALUE(hospitalityq!R1123),2)=VALUE(hospitalityq!R1123),FALSE)))</f>
        <v>0</v>
      </c>
    </row>
    <row r="1124" spans="1:18" x14ac:dyDescent="0.25">
      <c r="A1124">
        <f t="shared" si="17"/>
        <v>0</v>
      </c>
      <c r="C1124">
        <f>NOT(hospitalityq!C1124="")*(SUMPRODUCT(--(TRIM(hospitalityq!C6:C1124)=TRIM(hospitalityq!C1124)))&gt;1)</f>
        <v>0</v>
      </c>
      <c r="D1124">
        <f>NOT(hospitalityq!D1124="")*(COUNTIF(reference!$C$17:$C$18,TRIM(hospitalityq!D1124))=0)</f>
        <v>0</v>
      </c>
      <c r="J1124">
        <f>NOT(hospitalityq!J1124="")*(NOT(ISNUMBER(hospitalityq!J1124+0)))</f>
        <v>0</v>
      </c>
      <c r="K1124">
        <f>NOT(hospitalityq!K1124="")*(NOT(ISNUMBER(hospitalityq!K1124+0)))</f>
        <v>0</v>
      </c>
      <c r="P1124">
        <f>NOT(hospitalityq!P1124="")*(NOT(IFERROR(INT(hospitalityq!P1124)=VALUE(hospitalityq!P1124),FALSE)))</f>
        <v>0</v>
      </c>
      <c r="Q1124">
        <f>NOT(hospitalityq!Q1124="")*(NOT(IFERROR(INT(hospitalityq!Q1124)=VALUE(hospitalityq!Q1124),FALSE)))</f>
        <v>0</v>
      </c>
      <c r="R1124">
        <f>NOT(hospitalityq!R1124="")*(NOT(IFERROR(ROUND(VALUE(hospitalityq!R1124),2)=VALUE(hospitalityq!R1124),FALSE)))</f>
        <v>0</v>
      </c>
    </row>
    <row r="1125" spans="1:18" x14ac:dyDescent="0.25">
      <c r="A1125">
        <f t="shared" si="17"/>
        <v>0</v>
      </c>
      <c r="C1125">
        <f>NOT(hospitalityq!C1125="")*(SUMPRODUCT(--(TRIM(hospitalityq!C6:C1125)=TRIM(hospitalityq!C1125)))&gt;1)</f>
        <v>0</v>
      </c>
      <c r="D1125">
        <f>NOT(hospitalityq!D1125="")*(COUNTIF(reference!$C$17:$C$18,TRIM(hospitalityq!D1125))=0)</f>
        <v>0</v>
      </c>
      <c r="J1125">
        <f>NOT(hospitalityq!J1125="")*(NOT(ISNUMBER(hospitalityq!J1125+0)))</f>
        <v>0</v>
      </c>
      <c r="K1125">
        <f>NOT(hospitalityq!K1125="")*(NOT(ISNUMBER(hospitalityq!K1125+0)))</f>
        <v>0</v>
      </c>
      <c r="P1125">
        <f>NOT(hospitalityq!P1125="")*(NOT(IFERROR(INT(hospitalityq!P1125)=VALUE(hospitalityq!P1125),FALSE)))</f>
        <v>0</v>
      </c>
      <c r="Q1125">
        <f>NOT(hospitalityq!Q1125="")*(NOT(IFERROR(INT(hospitalityq!Q1125)=VALUE(hospitalityq!Q1125),FALSE)))</f>
        <v>0</v>
      </c>
      <c r="R1125">
        <f>NOT(hospitalityq!R1125="")*(NOT(IFERROR(ROUND(VALUE(hospitalityq!R1125),2)=VALUE(hospitalityq!R1125),FALSE)))</f>
        <v>0</v>
      </c>
    </row>
    <row r="1126" spans="1:18" x14ac:dyDescent="0.25">
      <c r="A1126">
        <f t="shared" si="17"/>
        <v>0</v>
      </c>
      <c r="C1126">
        <f>NOT(hospitalityq!C1126="")*(SUMPRODUCT(--(TRIM(hospitalityq!C6:C1126)=TRIM(hospitalityq!C1126)))&gt;1)</f>
        <v>0</v>
      </c>
      <c r="D1126">
        <f>NOT(hospitalityq!D1126="")*(COUNTIF(reference!$C$17:$C$18,TRIM(hospitalityq!D1126))=0)</f>
        <v>0</v>
      </c>
      <c r="J1126">
        <f>NOT(hospitalityq!J1126="")*(NOT(ISNUMBER(hospitalityq!J1126+0)))</f>
        <v>0</v>
      </c>
      <c r="K1126">
        <f>NOT(hospitalityq!K1126="")*(NOT(ISNUMBER(hospitalityq!K1126+0)))</f>
        <v>0</v>
      </c>
      <c r="P1126">
        <f>NOT(hospitalityq!P1126="")*(NOT(IFERROR(INT(hospitalityq!P1126)=VALUE(hospitalityq!P1126),FALSE)))</f>
        <v>0</v>
      </c>
      <c r="Q1126">
        <f>NOT(hospitalityq!Q1126="")*(NOT(IFERROR(INT(hospitalityq!Q1126)=VALUE(hospitalityq!Q1126),FALSE)))</f>
        <v>0</v>
      </c>
      <c r="R1126">
        <f>NOT(hospitalityq!R1126="")*(NOT(IFERROR(ROUND(VALUE(hospitalityq!R1126),2)=VALUE(hospitalityq!R1126),FALSE)))</f>
        <v>0</v>
      </c>
    </row>
    <row r="1127" spans="1:18" x14ac:dyDescent="0.25">
      <c r="A1127">
        <f t="shared" si="17"/>
        <v>0</v>
      </c>
      <c r="C1127">
        <f>NOT(hospitalityq!C1127="")*(SUMPRODUCT(--(TRIM(hospitalityq!C6:C1127)=TRIM(hospitalityq!C1127)))&gt;1)</f>
        <v>0</v>
      </c>
      <c r="D1127">
        <f>NOT(hospitalityq!D1127="")*(COUNTIF(reference!$C$17:$C$18,TRIM(hospitalityq!D1127))=0)</f>
        <v>0</v>
      </c>
      <c r="J1127">
        <f>NOT(hospitalityq!J1127="")*(NOT(ISNUMBER(hospitalityq!J1127+0)))</f>
        <v>0</v>
      </c>
      <c r="K1127">
        <f>NOT(hospitalityq!K1127="")*(NOT(ISNUMBER(hospitalityq!K1127+0)))</f>
        <v>0</v>
      </c>
      <c r="P1127">
        <f>NOT(hospitalityq!P1127="")*(NOT(IFERROR(INT(hospitalityq!P1127)=VALUE(hospitalityq!P1127),FALSE)))</f>
        <v>0</v>
      </c>
      <c r="Q1127">
        <f>NOT(hospitalityq!Q1127="")*(NOT(IFERROR(INT(hospitalityq!Q1127)=VALUE(hospitalityq!Q1127),FALSE)))</f>
        <v>0</v>
      </c>
      <c r="R1127">
        <f>NOT(hospitalityq!R1127="")*(NOT(IFERROR(ROUND(VALUE(hospitalityq!R1127),2)=VALUE(hospitalityq!R1127),FALSE)))</f>
        <v>0</v>
      </c>
    </row>
    <row r="1128" spans="1:18" x14ac:dyDescent="0.25">
      <c r="A1128">
        <f t="shared" si="17"/>
        <v>0</v>
      </c>
      <c r="C1128">
        <f>NOT(hospitalityq!C1128="")*(SUMPRODUCT(--(TRIM(hospitalityq!C6:C1128)=TRIM(hospitalityq!C1128)))&gt;1)</f>
        <v>0</v>
      </c>
      <c r="D1128">
        <f>NOT(hospitalityq!D1128="")*(COUNTIF(reference!$C$17:$C$18,TRIM(hospitalityq!D1128))=0)</f>
        <v>0</v>
      </c>
      <c r="J1128">
        <f>NOT(hospitalityq!J1128="")*(NOT(ISNUMBER(hospitalityq!J1128+0)))</f>
        <v>0</v>
      </c>
      <c r="K1128">
        <f>NOT(hospitalityq!K1128="")*(NOT(ISNUMBER(hospitalityq!K1128+0)))</f>
        <v>0</v>
      </c>
      <c r="P1128">
        <f>NOT(hospitalityq!P1128="")*(NOT(IFERROR(INT(hospitalityq!P1128)=VALUE(hospitalityq!P1128),FALSE)))</f>
        <v>0</v>
      </c>
      <c r="Q1128">
        <f>NOT(hospitalityq!Q1128="")*(NOT(IFERROR(INT(hospitalityq!Q1128)=VALUE(hospitalityq!Q1128),FALSE)))</f>
        <v>0</v>
      </c>
      <c r="R1128">
        <f>NOT(hospitalityq!R1128="")*(NOT(IFERROR(ROUND(VALUE(hospitalityq!R1128),2)=VALUE(hospitalityq!R1128),FALSE)))</f>
        <v>0</v>
      </c>
    </row>
    <row r="1129" spans="1:18" x14ac:dyDescent="0.25">
      <c r="A1129">
        <f t="shared" si="17"/>
        <v>0</v>
      </c>
      <c r="C1129">
        <f>NOT(hospitalityq!C1129="")*(SUMPRODUCT(--(TRIM(hospitalityq!C6:C1129)=TRIM(hospitalityq!C1129)))&gt;1)</f>
        <v>0</v>
      </c>
      <c r="D1129">
        <f>NOT(hospitalityq!D1129="")*(COUNTIF(reference!$C$17:$C$18,TRIM(hospitalityq!D1129))=0)</f>
        <v>0</v>
      </c>
      <c r="J1129">
        <f>NOT(hospitalityq!J1129="")*(NOT(ISNUMBER(hospitalityq!J1129+0)))</f>
        <v>0</v>
      </c>
      <c r="K1129">
        <f>NOT(hospitalityq!K1129="")*(NOT(ISNUMBER(hospitalityq!K1129+0)))</f>
        <v>0</v>
      </c>
      <c r="P1129">
        <f>NOT(hospitalityq!P1129="")*(NOT(IFERROR(INT(hospitalityq!P1129)=VALUE(hospitalityq!P1129),FALSE)))</f>
        <v>0</v>
      </c>
      <c r="Q1129">
        <f>NOT(hospitalityq!Q1129="")*(NOT(IFERROR(INT(hospitalityq!Q1129)=VALUE(hospitalityq!Q1129),FALSE)))</f>
        <v>0</v>
      </c>
      <c r="R1129">
        <f>NOT(hospitalityq!R1129="")*(NOT(IFERROR(ROUND(VALUE(hospitalityq!R1129),2)=VALUE(hospitalityq!R1129),FALSE)))</f>
        <v>0</v>
      </c>
    </row>
    <row r="1130" spans="1:18" x14ac:dyDescent="0.25">
      <c r="A1130">
        <f t="shared" si="17"/>
        <v>0</v>
      </c>
      <c r="C1130">
        <f>NOT(hospitalityq!C1130="")*(SUMPRODUCT(--(TRIM(hospitalityq!C6:C1130)=TRIM(hospitalityq!C1130)))&gt;1)</f>
        <v>0</v>
      </c>
      <c r="D1130">
        <f>NOT(hospitalityq!D1130="")*(COUNTIF(reference!$C$17:$C$18,TRIM(hospitalityq!D1130))=0)</f>
        <v>0</v>
      </c>
      <c r="J1130">
        <f>NOT(hospitalityq!J1130="")*(NOT(ISNUMBER(hospitalityq!J1130+0)))</f>
        <v>0</v>
      </c>
      <c r="K1130">
        <f>NOT(hospitalityq!K1130="")*(NOT(ISNUMBER(hospitalityq!K1130+0)))</f>
        <v>0</v>
      </c>
      <c r="P1130">
        <f>NOT(hospitalityq!P1130="")*(NOT(IFERROR(INT(hospitalityq!P1130)=VALUE(hospitalityq!P1130),FALSE)))</f>
        <v>0</v>
      </c>
      <c r="Q1130">
        <f>NOT(hospitalityq!Q1130="")*(NOT(IFERROR(INT(hospitalityq!Q1130)=VALUE(hospitalityq!Q1130),FALSE)))</f>
        <v>0</v>
      </c>
      <c r="R1130">
        <f>NOT(hospitalityq!R1130="")*(NOT(IFERROR(ROUND(VALUE(hospitalityq!R1130),2)=VALUE(hospitalityq!R1130),FALSE)))</f>
        <v>0</v>
      </c>
    </row>
    <row r="1131" spans="1:18" x14ac:dyDescent="0.25">
      <c r="A1131">
        <f t="shared" si="17"/>
        <v>0</v>
      </c>
      <c r="C1131">
        <f>NOT(hospitalityq!C1131="")*(SUMPRODUCT(--(TRIM(hospitalityq!C6:C1131)=TRIM(hospitalityq!C1131)))&gt;1)</f>
        <v>0</v>
      </c>
      <c r="D1131">
        <f>NOT(hospitalityq!D1131="")*(COUNTIF(reference!$C$17:$C$18,TRIM(hospitalityq!D1131))=0)</f>
        <v>0</v>
      </c>
      <c r="J1131">
        <f>NOT(hospitalityq!J1131="")*(NOT(ISNUMBER(hospitalityq!J1131+0)))</f>
        <v>0</v>
      </c>
      <c r="K1131">
        <f>NOT(hospitalityq!K1131="")*(NOT(ISNUMBER(hospitalityq!K1131+0)))</f>
        <v>0</v>
      </c>
      <c r="P1131">
        <f>NOT(hospitalityq!P1131="")*(NOT(IFERROR(INT(hospitalityq!P1131)=VALUE(hospitalityq!P1131),FALSE)))</f>
        <v>0</v>
      </c>
      <c r="Q1131">
        <f>NOT(hospitalityq!Q1131="")*(NOT(IFERROR(INT(hospitalityq!Q1131)=VALUE(hospitalityq!Q1131),FALSE)))</f>
        <v>0</v>
      </c>
      <c r="R1131">
        <f>NOT(hospitalityq!R1131="")*(NOT(IFERROR(ROUND(VALUE(hospitalityq!R1131),2)=VALUE(hospitalityq!R1131),FALSE)))</f>
        <v>0</v>
      </c>
    </row>
    <row r="1132" spans="1:18" x14ac:dyDescent="0.25">
      <c r="A1132">
        <f t="shared" si="17"/>
        <v>0</v>
      </c>
      <c r="C1132">
        <f>NOT(hospitalityq!C1132="")*(SUMPRODUCT(--(TRIM(hospitalityq!C6:C1132)=TRIM(hospitalityq!C1132)))&gt;1)</f>
        <v>0</v>
      </c>
      <c r="D1132">
        <f>NOT(hospitalityq!D1132="")*(COUNTIF(reference!$C$17:$C$18,TRIM(hospitalityq!D1132))=0)</f>
        <v>0</v>
      </c>
      <c r="J1132">
        <f>NOT(hospitalityq!J1132="")*(NOT(ISNUMBER(hospitalityq!J1132+0)))</f>
        <v>0</v>
      </c>
      <c r="K1132">
        <f>NOT(hospitalityq!K1132="")*(NOT(ISNUMBER(hospitalityq!K1132+0)))</f>
        <v>0</v>
      </c>
      <c r="P1132">
        <f>NOT(hospitalityq!P1132="")*(NOT(IFERROR(INT(hospitalityq!P1132)=VALUE(hospitalityq!P1132),FALSE)))</f>
        <v>0</v>
      </c>
      <c r="Q1132">
        <f>NOT(hospitalityq!Q1132="")*(NOT(IFERROR(INT(hospitalityq!Q1132)=VALUE(hospitalityq!Q1132),FALSE)))</f>
        <v>0</v>
      </c>
      <c r="R1132">
        <f>NOT(hospitalityq!R1132="")*(NOT(IFERROR(ROUND(VALUE(hospitalityq!R1132),2)=VALUE(hospitalityq!R1132),FALSE)))</f>
        <v>0</v>
      </c>
    </row>
    <row r="1133" spans="1:18" x14ac:dyDescent="0.25">
      <c r="A1133">
        <f t="shared" si="17"/>
        <v>0</v>
      </c>
      <c r="C1133">
        <f>NOT(hospitalityq!C1133="")*(SUMPRODUCT(--(TRIM(hospitalityq!C6:C1133)=TRIM(hospitalityq!C1133)))&gt;1)</f>
        <v>0</v>
      </c>
      <c r="D1133">
        <f>NOT(hospitalityq!D1133="")*(COUNTIF(reference!$C$17:$C$18,TRIM(hospitalityq!D1133))=0)</f>
        <v>0</v>
      </c>
      <c r="J1133">
        <f>NOT(hospitalityq!J1133="")*(NOT(ISNUMBER(hospitalityq!J1133+0)))</f>
        <v>0</v>
      </c>
      <c r="K1133">
        <f>NOT(hospitalityq!K1133="")*(NOT(ISNUMBER(hospitalityq!K1133+0)))</f>
        <v>0</v>
      </c>
      <c r="P1133">
        <f>NOT(hospitalityq!P1133="")*(NOT(IFERROR(INT(hospitalityq!P1133)=VALUE(hospitalityq!P1133),FALSE)))</f>
        <v>0</v>
      </c>
      <c r="Q1133">
        <f>NOT(hospitalityq!Q1133="")*(NOT(IFERROR(INT(hospitalityq!Q1133)=VALUE(hospitalityq!Q1133),FALSE)))</f>
        <v>0</v>
      </c>
      <c r="R1133">
        <f>NOT(hospitalityq!R1133="")*(NOT(IFERROR(ROUND(VALUE(hospitalityq!R1133),2)=VALUE(hospitalityq!R1133),FALSE)))</f>
        <v>0</v>
      </c>
    </row>
    <row r="1134" spans="1:18" x14ac:dyDescent="0.25">
      <c r="A1134">
        <f t="shared" si="17"/>
        <v>0</v>
      </c>
      <c r="C1134">
        <f>NOT(hospitalityq!C1134="")*(SUMPRODUCT(--(TRIM(hospitalityq!C6:C1134)=TRIM(hospitalityq!C1134)))&gt;1)</f>
        <v>0</v>
      </c>
      <c r="D1134">
        <f>NOT(hospitalityq!D1134="")*(COUNTIF(reference!$C$17:$C$18,TRIM(hospitalityq!D1134))=0)</f>
        <v>0</v>
      </c>
      <c r="J1134">
        <f>NOT(hospitalityq!J1134="")*(NOT(ISNUMBER(hospitalityq!J1134+0)))</f>
        <v>0</v>
      </c>
      <c r="K1134">
        <f>NOT(hospitalityq!K1134="")*(NOT(ISNUMBER(hospitalityq!K1134+0)))</f>
        <v>0</v>
      </c>
      <c r="P1134">
        <f>NOT(hospitalityq!P1134="")*(NOT(IFERROR(INT(hospitalityq!P1134)=VALUE(hospitalityq!P1134),FALSE)))</f>
        <v>0</v>
      </c>
      <c r="Q1134">
        <f>NOT(hospitalityq!Q1134="")*(NOT(IFERROR(INT(hospitalityq!Q1134)=VALUE(hospitalityq!Q1134),FALSE)))</f>
        <v>0</v>
      </c>
      <c r="R1134">
        <f>NOT(hospitalityq!R1134="")*(NOT(IFERROR(ROUND(VALUE(hospitalityq!R1134),2)=VALUE(hospitalityq!R1134),FALSE)))</f>
        <v>0</v>
      </c>
    </row>
    <row r="1135" spans="1:18" x14ac:dyDescent="0.25">
      <c r="A1135">
        <f t="shared" si="17"/>
        <v>0</v>
      </c>
      <c r="C1135">
        <f>NOT(hospitalityq!C1135="")*(SUMPRODUCT(--(TRIM(hospitalityq!C6:C1135)=TRIM(hospitalityq!C1135)))&gt;1)</f>
        <v>0</v>
      </c>
      <c r="D1135">
        <f>NOT(hospitalityq!D1135="")*(COUNTIF(reference!$C$17:$C$18,TRIM(hospitalityq!D1135))=0)</f>
        <v>0</v>
      </c>
      <c r="J1135">
        <f>NOT(hospitalityq!J1135="")*(NOT(ISNUMBER(hospitalityq!J1135+0)))</f>
        <v>0</v>
      </c>
      <c r="K1135">
        <f>NOT(hospitalityq!K1135="")*(NOT(ISNUMBER(hospitalityq!K1135+0)))</f>
        <v>0</v>
      </c>
      <c r="P1135">
        <f>NOT(hospitalityq!P1135="")*(NOT(IFERROR(INT(hospitalityq!P1135)=VALUE(hospitalityq!P1135),FALSE)))</f>
        <v>0</v>
      </c>
      <c r="Q1135">
        <f>NOT(hospitalityq!Q1135="")*(NOT(IFERROR(INT(hospitalityq!Q1135)=VALUE(hospitalityq!Q1135),FALSE)))</f>
        <v>0</v>
      </c>
      <c r="R1135">
        <f>NOT(hospitalityq!R1135="")*(NOT(IFERROR(ROUND(VALUE(hospitalityq!R1135),2)=VALUE(hospitalityq!R1135),FALSE)))</f>
        <v>0</v>
      </c>
    </row>
    <row r="1136" spans="1:18" x14ac:dyDescent="0.25">
      <c r="A1136">
        <f t="shared" si="17"/>
        <v>0</v>
      </c>
      <c r="C1136">
        <f>NOT(hospitalityq!C1136="")*(SUMPRODUCT(--(TRIM(hospitalityq!C6:C1136)=TRIM(hospitalityq!C1136)))&gt;1)</f>
        <v>0</v>
      </c>
      <c r="D1136">
        <f>NOT(hospitalityq!D1136="")*(COUNTIF(reference!$C$17:$C$18,TRIM(hospitalityq!D1136))=0)</f>
        <v>0</v>
      </c>
      <c r="J1136">
        <f>NOT(hospitalityq!J1136="")*(NOT(ISNUMBER(hospitalityq!J1136+0)))</f>
        <v>0</v>
      </c>
      <c r="K1136">
        <f>NOT(hospitalityq!K1136="")*(NOT(ISNUMBER(hospitalityq!K1136+0)))</f>
        <v>0</v>
      </c>
      <c r="P1136">
        <f>NOT(hospitalityq!P1136="")*(NOT(IFERROR(INT(hospitalityq!P1136)=VALUE(hospitalityq!P1136),FALSE)))</f>
        <v>0</v>
      </c>
      <c r="Q1136">
        <f>NOT(hospitalityq!Q1136="")*(NOT(IFERROR(INT(hospitalityq!Q1136)=VALUE(hospitalityq!Q1136),FALSE)))</f>
        <v>0</v>
      </c>
      <c r="R1136">
        <f>NOT(hospitalityq!R1136="")*(NOT(IFERROR(ROUND(VALUE(hospitalityq!R1136),2)=VALUE(hospitalityq!R1136),FALSE)))</f>
        <v>0</v>
      </c>
    </row>
    <row r="1137" spans="1:18" x14ac:dyDescent="0.25">
      <c r="A1137">
        <f t="shared" si="17"/>
        <v>0</v>
      </c>
      <c r="C1137">
        <f>NOT(hospitalityq!C1137="")*(SUMPRODUCT(--(TRIM(hospitalityq!C6:C1137)=TRIM(hospitalityq!C1137)))&gt;1)</f>
        <v>0</v>
      </c>
      <c r="D1137">
        <f>NOT(hospitalityq!D1137="")*(COUNTIF(reference!$C$17:$C$18,TRIM(hospitalityq!D1137))=0)</f>
        <v>0</v>
      </c>
      <c r="J1137">
        <f>NOT(hospitalityq!J1137="")*(NOT(ISNUMBER(hospitalityq!J1137+0)))</f>
        <v>0</v>
      </c>
      <c r="K1137">
        <f>NOT(hospitalityq!K1137="")*(NOT(ISNUMBER(hospitalityq!K1137+0)))</f>
        <v>0</v>
      </c>
      <c r="P1137">
        <f>NOT(hospitalityq!P1137="")*(NOT(IFERROR(INT(hospitalityq!P1137)=VALUE(hospitalityq!P1137),FALSE)))</f>
        <v>0</v>
      </c>
      <c r="Q1137">
        <f>NOT(hospitalityq!Q1137="")*(NOT(IFERROR(INT(hospitalityq!Q1137)=VALUE(hospitalityq!Q1137),FALSE)))</f>
        <v>0</v>
      </c>
      <c r="R1137">
        <f>NOT(hospitalityq!R1137="")*(NOT(IFERROR(ROUND(VALUE(hospitalityq!R1137),2)=VALUE(hospitalityq!R1137),FALSE)))</f>
        <v>0</v>
      </c>
    </row>
    <row r="1138" spans="1:18" x14ac:dyDescent="0.25">
      <c r="A1138">
        <f t="shared" si="17"/>
        <v>0</v>
      </c>
      <c r="C1138">
        <f>NOT(hospitalityq!C1138="")*(SUMPRODUCT(--(TRIM(hospitalityq!C6:C1138)=TRIM(hospitalityq!C1138)))&gt;1)</f>
        <v>0</v>
      </c>
      <c r="D1138">
        <f>NOT(hospitalityq!D1138="")*(COUNTIF(reference!$C$17:$C$18,TRIM(hospitalityq!D1138))=0)</f>
        <v>0</v>
      </c>
      <c r="J1138">
        <f>NOT(hospitalityq!J1138="")*(NOT(ISNUMBER(hospitalityq!J1138+0)))</f>
        <v>0</v>
      </c>
      <c r="K1138">
        <f>NOT(hospitalityq!K1138="")*(NOT(ISNUMBER(hospitalityq!K1138+0)))</f>
        <v>0</v>
      </c>
      <c r="P1138">
        <f>NOT(hospitalityq!P1138="")*(NOT(IFERROR(INT(hospitalityq!P1138)=VALUE(hospitalityq!P1138),FALSE)))</f>
        <v>0</v>
      </c>
      <c r="Q1138">
        <f>NOT(hospitalityq!Q1138="")*(NOT(IFERROR(INT(hospitalityq!Q1138)=VALUE(hospitalityq!Q1138),FALSE)))</f>
        <v>0</v>
      </c>
      <c r="R1138">
        <f>NOT(hospitalityq!R1138="")*(NOT(IFERROR(ROUND(VALUE(hospitalityq!R1138),2)=VALUE(hospitalityq!R1138),FALSE)))</f>
        <v>0</v>
      </c>
    </row>
    <row r="1139" spans="1:18" x14ac:dyDescent="0.25">
      <c r="A1139">
        <f t="shared" si="17"/>
        <v>0</v>
      </c>
      <c r="C1139">
        <f>NOT(hospitalityq!C1139="")*(SUMPRODUCT(--(TRIM(hospitalityq!C6:C1139)=TRIM(hospitalityq!C1139)))&gt;1)</f>
        <v>0</v>
      </c>
      <c r="D1139">
        <f>NOT(hospitalityq!D1139="")*(COUNTIF(reference!$C$17:$C$18,TRIM(hospitalityq!D1139))=0)</f>
        <v>0</v>
      </c>
      <c r="J1139">
        <f>NOT(hospitalityq!J1139="")*(NOT(ISNUMBER(hospitalityq!J1139+0)))</f>
        <v>0</v>
      </c>
      <c r="K1139">
        <f>NOT(hospitalityq!K1139="")*(NOT(ISNUMBER(hospitalityq!K1139+0)))</f>
        <v>0</v>
      </c>
      <c r="P1139">
        <f>NOT(hospitalityq!P1139="")*(NOT(IFERROR(INT(hospitalityq!P1139)=VALUE(hospitalityq!P1139),FALSE)))</f>
        <v>0</v>
      </c>
      <c r="Q1139">
        <f>NOT(hospitalityq!Q1139="")*(NOT(IFERROR(INT(hospitalityq!Q1139)=VALUE(hospitalityq!Q1139),FALSE)))</f>
        <v>0</v>
      </c>
      <c r="R1139">
        <f>NOT(hospitalityq!R1139="")*(NOT(IFERROR(ROUND(VALUE(hospitalityq!R1139),2)=VALUE(hospitalityq!R1139),FALSE)))</f>
        <v>0</v>
      </c>
    </row>
    <row r="1140" spans="1:18" x14ac:dyDescent="0.25">
      <c r="A1140">
        <f t="shared" si="17"/>
        <v>0</v>
      </c>
      <c r="C1140">
        <f>NOT(hospitalityq!C1140="")*(SUMPRODUCT(--(TRIM(hospitalityq!C6:C1140)=TRIM(hospitalityq!C1140)))&gt;1)</f>
        <v>0</v>
      </c>
      <c r="D1140">
        <f>NOT(hospitalityq!D1140="")*(COUNTIF(reference!$C$17:$C$18,TRIM(hospitalityq!D1140))=0)</f>
        <v>0</v>
      </c>
      <c r="J1140">
        <f>NOT(hospitalityq!J1140="")*(NOT(ISNUMBER(hospitalityq!J1140+0)))</f>
        <v>0</v>
      </c>
      <c r="K1140">
        <f>NOT(hospitalityq!K1140="")*(NOT(ISNUMBER(hospitalityq!K1140+0)))</f>
        <v>0</v>
      </c>
      <c r="P1140">
        <f>NOT(hospitalityq!P1140="")*(NOT(IFERROR(INT(hospitalityq!P1140)=VALUE(hospitalityq!P1140),FALSE)))</f>
        <v>0</v>
      </c>
      <c r="Q1140">
        <f>NOT(hospitalityq!Q1140="")*(NOT(IFERROR(INT(hospitalityq!Q1140)=VALUE(hospitalityq!Q1140),FALSE)))</f>
        <v>0</v>
      </c>
      <c r="R1140">
        <f>NOT(hospitalityq!R1140="")*(NOT(IFERROR(ROUND(VALUE(hospitalityq!R1140),2)=VALUE(hospitalityq!R1140),FALSE)))</f>
        <v>0</v>
      </c>
    </row>
    <row r="1141" spans="1:18" x14ac:dyDescent="0.25">
      <c r="A1141">
        <f t="shared" si="17"/>
        <v>0</v>
      </c>
      <c r="C1141">
        <f>NOT(hospitalityq!C1141="")*(SUMPRODUCT(--(TRIM(hospitalityq!C6:C1141)=TRIM(hospitalityq!C1141)))&gt;1)</f>
        <v>0</v>
      </c>
      <c r="D1141">
        <f>NOT(hospitalityq!D1141="")*(COUNTIF(reference!$C$17:$C$18,TRIM(hospitalityq!D1141))=0)</f>
        <v>0</v>
      </c>
      <c r="J1141">
        <f>NOT(hospitalityq!J1141="")*(NOT(ISNUMBER(hospitalityq!J1141+0)))</f>
        <v>0</v>
      </c>
      <c r="K1141">
        <f>NOT(hospitalityq!K1141="")*(NOT(ISNUMBER(hospitalityq!K1141+0)))</f>
        <v>0</v>
      </c>
      <c r="P1141">
        <f>NOT(hospitalityq!P1141="")*(NOT(IFERROR(INT(hospitalityq!P1141)=VALUE(hospitalityq!P1141),FALSE)))</f>
        <v>0</v>
      </c>
      <c r="Q1141">
        <f>NOT(hospitalityq!Q1141="")*(NOT(IFERROR(INT(hospitalityq!Q1141)=VALUE(hospitalityq!Q1141),FALSE)))</f>
        <v>0</v>
      </c>
      <c r="R1141">
        <f>NOT(hospitalityq!R1141="")*(NOT(IFERROR(ROUND(VALUE(hospitalityq!R1141),2)=VALUE(hospitalityq!R1141),FALSE)))</f>
        <v>0</v>
      </c>
    </row>
    <row r="1142" spans="1:18" x14ac:dyDescent="0.25">
      <c r="A1142">
        <f t="shared" si="17"/>
        <v>0</v>
      </c>
      <c r="C1142">
        <f>NOT(hospitalityq!C1142="")*(SUMPRODUCT(--(TRIM(hospitalityq!C6:C1142)=TRIM(hospitalityq!C1142)))&gt;1)</f>
        <v>0</v>
      </c>
      <c r="D1142">
        <f>NOT(hospitalityq!D1142="")*(COUNTIF(reference!$C$17:$C$18,TRIM(hospitalityq!D1142))=0)</f>
        <v>0</v>
      </c>
      <c r="J1142">
        <f>NOT(hospitalityq!J1142="")*(NOT(ISNUMBER(hospitalityq!J1142+0)))</f>
        <v>0</v>
      </c>
      <c r="K1142">
        <f>NOT(hospitalityq!K1142="")*(NOT(ISNUMBER(hospitalityq!K1142+0)))</f>
        <v>0</v>
      </c>
      <c r="P1142">
        <f>NOT(hospitalityq!P1142="")*(NOT(IFERROR(INT(hospitalityq!P1142)=VALUE(hospitalityq!P1142),FALSE)))</f>
        <v>0</v>
      </c>
      <c r="Q1142">
        <f>NOT(hospitalityq!Q1142="")*(NOT(IFERROR(INT(hospitalityq!Q1142)=VALUE(hospitalityq!Q1142),FALSE)))</f>
        <v>0</v>
      </c>
      <c r="R1142">
        <f>NOT(hospitalityq!R1142="")*(NOT(IFERROR(ROUND(VALUE(hospitalityq!R1142),2)=VALUE(hospitalityq!R1142),FALSE)))</f>
        <v>0</v>
      </c>
    </row>
    <row r="1143" spans="1:18" x14ac:dyDescent="0.25">
      <c r="A1143">
        <f t="shared" si="17"/>
        <v>0</v>
      </c>
      <c r="C1143">
        <f>NOT(hospitalityq!C1143="")*(SUMPRODUCT(--(TRIM(hospitalityq!C6:C1143)=TRIM(hospitalityq!C1143)))&gt;1)</f>
        <v>0</v>
      </c>
      <c r="D1143">
        <f>NOT(hospitalityq!D1143="")*(COUNTIF(reference!$C$17:$C$18,TRIM(hospitalityq!D1143))=0)</f>
        <v>0</v>
      </c>
      <c r="J1143">
        <f>NOT(hospitalityq!J1143="")*(NOT(ISNUMBER(hospitalityq!J1143+0)))</f>
        <v>0</v>
      </c>
      <c r="K1143">
        <f>NOT(hospitalityq!K1143="")*(NOT(ISNUMBER(hospitalityq!K1143+0)))</f>
        <v>0</v>
      </c>
      <c r="P1143">
        <f>NOT(hospitalityq!P1143="")*(NOT(IFERROR(INT(hospitalityq!P1143)=VALUE(hospitalityq!P1143),FALSE)))</f>
        <v>0</v>
      </c>
      <c r="Q1143">
        <f>NOT(hospitalityq!Q1143="")*(NOT(IFERROR(INT(hospitalityq!Q1143)=VALUE(hospitalityq!Q1143),FALSE)))</f>
        <v>0</v>
      </c>
      <c r="R1143">
        <f>NOT(hospitalityq!R1143="")*(NOT(IFERROR(ROUND(VALUE(hospitalityq!R1143),2)=VALUE(hospitalityq!R1143),FALSE)))</f>
        <v>0</v>
      </c>
    </row>
    <row r="1144" spans="1:18" x14ac:dyDescent="0.25">
      <c r="A1144">
        <f t="shared" si="17"/>
        <v>0</v>
      </c>
      <c r="C1144">
        <f>NOT(hospitalityq!C1144="")*(SUMPRODUCT(--(TRIM(hospitalityq!C6:C1144)=TRIM(hospitalityq!C1144)))&gt;1)</f>
        <v>0</v>
      </c>
      <c r="D1144">
        <f>NOT(hospitalityq!D1144="")*(COUNTIF(reference!$C$17:$C$18,TRIM(hospitalityq!D1144))=0)</f>
        <v>0</v>
      </c>
      <c r="J1144">
        <f>NOT(hospitalityq!J1144="")*(NOT(ISNUMBER(hospitalityq!J1144+0)))</f>
        <v>0</v>
      </c>
      <c r="K1144">
        <f>NOT(hospitalityq!K1144="")*(NOT(ISNUMBER(hospitalityq!K1144+0)))</f>
        <v>0</v>
      </c>
      <c r="P1144">
        <f>NOT(hospitalityq!P1144="")*(NOT(IFERROR(INT(hospitalityq!P1144)=VALUE(hospitalityq!P1144),FALSE)))</f>
        <v>0</v>
      </c>
      <c r="Q1144">
        <f>NOT(hospitalityq!Q1144="")*(NOT(IFERROR(INT(hospitalityq!Q1144)=VALUE(hospitalityq!Q1144),FALSE)))</f>
        <v>0</v>
      </c>
      <c r="R1144">
        <f>NOT(hospitalityq!R1144="")*(NOT(IFERROR(ROUND(VALUE(hospitalityq!R1144),2)=VALUE(hospitalityq!R1144),FALSE)))</f>
        <v>0</v>
      </c>
    </row>
    <row r="1145" spans="1:18" x14ac:dyDescent="0.25">
      <c r="A1145">
        <f t="shared" si="17"/>
        <v>0</v>
      </c>
      <c r="C1145">
        <f>NOT(hospitalityq!C1145="")*(SUMPRODUCT(--(TRIM(hospitalityq!C6:C1145)=TRIM(hospitalityq!C1145)))&gt;1)</f>
        <v>0</v>
      </c>
      <c r="D1145">
        <f>NOT(hospitalityq!D1145="")*(COUNTIF(reference!$C$17:$C$18,TRIM(hospitalityq!D1145))=0)</f>
        <v>0</v>
      </c>
      <c r="J1145">
        <f>NOT(hospitalityq!J1145="")*(NOT(ISNUMBER(hospitalityq!J1145+0)))</f>
        <v>0</v>
      </c>
      <c r="K1145">
        <f>NOT(hospitalityq!K1145="")*(NOT(ISNUMBER(hospitalityq!K1145+0)))</f>
        <v>0</v>
      </c>
      <c r="P1145">
        <f>NOT(hospitalityq!P1145="")*(NOT(IFERROR(INT(hospitalityq!P1145)=VALUE(hospitalityq!P1145),FALSE)))</f>
        <v>0</v>
      </c>
      <c r="Q1145">
        <f>NOT(hospitalityq!Q1145="")*(NOT(IFERROR(INT(hospitalityq!Q1145)=VALUE(hospitalityq!Q1145),FALSE)))</f>
        <v>0</v>
      </c>
      <c r="R1145">
        <f>NOT(hospitalityq!R1145="")*(NOT(IFERROR(ROUND(VALUE(hospitalityq!R1145),2)=VALUE(hospitalityq!R1145),FALSE)))</f>
        <v>0</v>
      </c>
    </row>
    <row r="1146" spans="1:18" x14ac:dyDescent="0.25">
      <c r="A1146">
        <f t="shared" si="17"/>
        <v>0</v>
      </c>
      <c r="C1146">
        <f>NOT(hospitalityq!C1146="")*(SUMPRODUCT(--(TRIM(hospitalityq!C6:C1146)=TRIM(hospitalityq!C1146)))&gt;1)</f>
        <v>0</v>
      </c>
      <c r="D1146">
        <f>NOT(hospitalityq!D1146="")*(COUNTIF(reference!$C$17:$C$18,TRIM(hospitalityq!D1146))=0)</f>
        <v>0</v>
      </c>
      <c r="J1146">
        <f>NOT(hospitalityq!J1146="")*(NOT(ISNUMBER(hospitalityq!J1146+0)))</f>
        <v>0</v>
      </c>
      <c r="K1146">
        <f>NOT(hospitalityq!K1146="")*(NOT(ISNUMBER(hospitalityq!K1146+0)))</f>
        <v>0</v>
      </c>
      <c r="P1146">
        <f>NOT(hospitalityq!P1146="")*(NOT(IFERROR(INT(hospitalityq!P1146)=VALUE(hospitalityq!P1146),FALSE)))</f>
        <v>0</v>
      </c>
      <c r="Q1146">
        <f>NOT(hospitalityq!Q1146="")*(NOT(IFERROR(INT(hospitalityq!Q1146)=VALUE(hospitalityq!Q1146),FALSE)))</f>
        <v>0</v>
      </c>
      <c r="R1146">
        <f>NOT(hospitalityq!R1146="")*(NOT(IFERROR(ROUND(VALUE(hospitalityq!R1146),2)=VALUE(hospitalityq!R1146),FALSE)))</f>
        <v>0</v>
      </c>
    </row>
    <row r="1147" spans="1:18" x14ac:dyDescent="0.25">
      <c r="A1147">
        <f t="shared" si="17"/>
        <v>0</v>
      </c>
      <c r="C1147">
        <f>NOT(hospitalityq!C1147="")*(SUMPRODUCT(--(TRIM(hospitalityq!C6:C1147)=TRIM(hospitalityq!C1147)))&gt;1)</f>
        <v>0</v>
      </c>
      <c r="D1147">
        <f>NOT(hospitalityq!D1147="")*(COUNTIF(reference!$C$17:$C$18,TRIM(hospitalityq!D1147))=0)</f>
        <v>0</v>
      </c>
      <c r="J1147">
        <f>NOT(hospitalityq!J1147="")*(NOT(ISNUMBER(hospitalityq!J1147+0)))</f>
        <v>0</v>
      </c>
      <c r="K1147">
        <f>NOT(hospitalityq!K1147="")*(NOT(ISNUMBER(hospitalityq!K1147+0)))</f>
        <v>0</v>
      </c>
      <c r="P1147">
        <f>NOT(hospitalityq!P1147="")*(NOT(IFERROR(INT(hospitalityq!P1147)=VALUE(hospitalityq!P1147),FALSE)))</f>
        <v>0</v>
      </c>
      <c r="Q1147">
        <f>NOT(hospitalityq!Q1147="")*(NOT(IFERROR(INT(hospitalityq!Q1147)=VALUE(hospitalityq!Q1147),FALSE)))</f>
        <v>0</v>
      </c>
      <c r="R1147">
        <f>NOT(hospitalityq!R1147="")*(NOT(IFERROR(ROUND(VALUE(hospitalityq!R1147),2)=VALUE(hospitalityq!R1147),FALSE)))</f>
        <v>0</v>
      </c>
    </row>
    <row r="1148" spans="1:18" x14ac:dyDescent="0.25">
      <c r="A1148">
        <f t="shared" si="17"/>
        <v>0</v>
      </c>
      <c r="C1148">
        <f>NOT(hospitalityq!C1148="")*(SUMPRODUCT(--(TRIM(hospitalityq!C6:C1148)=TRIM(hospitalityq!C1148)))&gt;1)</f>
        <v>0</v>
      </c>
      <c r="D1148">
        <f>NOT(hospitalityq!D1148="")*(COUNTIF(reference!$C$17:$C$18,TRIM(hospitalityq!D1148))=0)</f>
        <v>0</v>
      </c>
      <c r="J1148">
        <f>NOT(hospitalityq!J1148="")*(NOT(ISNUMBER(hospitalityq!J1148+0)))</f>
        <v>0</v>
      </c>
      <c r="K1148">
        <f>NOT(hospitalityq!K1148="")*(NOT(ISNUMBER(hospitalityq!K1148+0)))</f>
        <v>0</v>
      </c>
      <c r="P1148">
        <f>NOT(hospitalityq!P1148="")*(NOT(IFERROR(INT(hospitalityq!P1148)=VALUE(hospitalityq!P1148),FALSE)))</f>
        <v>0</v>
      </c>
      <c r="Q1148">
        <f>NOT(hospitalityq!Q1148="")*(NOT(IFERROR(INT(hospitalityq!Q1148)=VALUE(hospitalityq!Q1148),FALSE)))</f>
        <v>0</v>
      </c>
      <c r="R1148">
        <f>NOT(hospitalityq!R1148="")*(NOT(IFERROR(ROUND(VALUE(hospitalityq!R1148),2)=VALUE(hospitalityq!R1148),FALSE)))</f>
        <v>0</v>
      </c>
    </row>
    <row r="1149" spans="1:18" x14ac:dyDescent="0.25">
      <c r="A1149">
        <f t="shared" si="17"/>
        <v>0</v>
      </c>
      <c r="C1149">
        <f>NOT(hospitalityq!C1149="")*(SUMPRODUCT(--(TRIM(hospitalityq!C6:C1149)=TRIM(hospitalityq!C1149)))&gt;1)</f>
        <v>0</v>
      </c>
      <c r="D1149">
        <f>NOT(hospitalityq!D1149="")*(COUNTIF(reference!$C$17:$C$18,TRIM(hospitalityq!D1149))=0)</f>
        <v>0</v>
      </c>
      <c r="J1149">
        <f>NOT(hospitalityq!J1149="")*(NOT(ISNUMBER(hospitalityq!J1149+0)))</f>
        <v>0</v>
      </c>
      <c r="K1149">
        <f>NOT(hospitalityq!K1149="")*(NOT(ISNUMBER(hospitalityq!K1149+0)))</f>
        <v>0</v>
      </c>
      <c r="P1149">
        <f>NOT(hospitalityq!P1149="")*(NOT(IFERROR(INT(hospitalityq!P1149)=VALUE(hospitalityq!P1149),FALSE)))</f>
        <v>0</v>
      </c>
      <c r="Q1149">
        <f>NOT(hospitalityq!Q1149="")*(NOT(IFERROR(INT(hospitalityq!Q1149)=VALUE(hospitalityq!Q1149),FALSE)))</f>
        <v>0</v>
      </c>
      <c r="R1149">
        <f>NOT(hospitalityq!R1149="")*(NOT(IFERROR(ROUND(VALUE(hospitalityq!R1149),2)=VALUE(hospitalityq!R1149),FALSE)))</f>
        <v>0</v>
      </c>
    </row>
    <row r="1150" spans="1:18" x14ac:dyDescent="0.25">
      <c r="A1150">
        <f t="shared" si="17"/>
        <v>0</v>
      </c>
      <c r="C1150">
        <f>NOT(hospitalityq!C1150="")*(SUMPRODUCT(--(TRIM(hospitalityq!C6:C1150)=TRIM(hospitalityq!C1150)))&gt;1)</f>
        <v>0</v>
      </c>
      <c r="D1150">
        <f>NOT(hospitalityq!D1150="")*(COUNTIF(reference!$C$17:$C$18,TRIM(hospitalityq!D1150))=0)</f>
        <v>0</v>
      </c>
      <c r="J1150">
        <f>NOT(hospitalityq!J1150="")*(NOT(ISNUMBER(hospitalityq!J1150+0)))</f>
        <v>0</v>
      </c>
      <c r="K1150">
        <f>NOT(hospitalityq!K1150="")*(NOT(ISNUMBER(hospitalityq!K1150+0)))</f>
        <v>0</v>
      </c>
      <c r="P1150">
        <f>NOT(hospitalityq!P1150="")*(NOT(IFERROR(INT(hospitalityq!P1150)=VALUE(hospitalityq!P1150),FALSE)))</f>
        <v>0</v>
      </c>
      <c r="Q1150">
        <f>NOT(hospitalityq!Q1150="")*(NOT(IFERROR(INT(hospitalityq!Q1150)=VALUE(hospitalityq!Q1150),FALSE)))</f>
        <v>0</v>
      </c>
      <c r="R1150">
        <f>NOT(hospitalityq!R1150="")*(NOT(IFERROR(ROUND(VALUE(hospitalityq!R1150),2)=VALUE(hospitalityq!R1150),FALSE)))</f>
        <v>0</v>
      </c>
    </row>
    <row r="1151" spans="1:18" x14ac:dyDescent="0.25">
      <c r="A1151">
        <f t="shared" si="17"/>
        <v>0</v>
      </c>
      <c r="C1151">
        <f>NOT(hospitalityq!C1151="")*(SUMPRODUCT(--(TRIM(hospitalityq!C6:C1151)=TRIM(hospitalityq!C1151)))&gt;1)</f>
        <v>0</v>
      </c>
      <c r="D1151">
        <f>NOT(hospitalityq!D1151="")*(COUNTIF(reference!$C$17:$C$18,TRIM(hospitalityq!D1151))=0)</f>
        <v>0</v>
      </c>
      <c r="J1151">
        <f>NOT(hospitalityq!J1151="")*(NOT(ISNUMBER(hospitalityq!J1151+0)))</f>
        <v>0</v>
      </c>
      <c r="K1151">
        <f>NOT(hospitalityq!K1151="")*(NOT(ISNUMBER(hospitalityq!K1151+0)))</f>
        <v>0</v>
      </c>
      <c r="P1151">
        <f>NOT(hospitalityq!P1151="")*(NOT(IFERROR(INT(hospitalityq!P1151)=VALUE(hospitalityq!P1151),FALSE)))</f>
        <v>0</v>
      </c>
      <c r="Q1151">
        <f>NOT(hospitalityq!Q1151="")*(NOT(IFERROR(INT(hospitalityq!Q1151)=VALUE(hospitalityq!Q1151),FALSE)))</f>
        <v>0</v>
      </c>
      <c r="R1151">
        <f>NOT(hospitalityq!R1151="")*(NOT(IFERROR(ROUND(VALUE(hospitalityq!R1151),2)=VALUE(hospitalityq!R1151),FALSE)))</f>
        <v>0</v>
      </c>
    </row>
    <row r="1152" spans="1:18" x14ac:dyDescent="0.25">
      <c r="A1152">
        <f t="shared" si="17"/>
        <v>0</v>
      </c>
      <c r="C1152">
        <f>NOT(hospitalityq!C1152="")*(SUMPRODUCT(--(TRIM(hospitalityq!C6:C1152)=TRIM(hospitalityq!C1152)))&gt;1)</f>
        <v>0</v>
      </c>
      <c r="D1152">
        <f>NOT(hospitalityq!D1152="")*(COUNTIF(reference!$C$17:$C$18,TRIM(hospitalityq!D1152))=0)</f>
        <v>0</v>
      </c>
      <c r="J1152">
        <f>NOT(hospitalityq!J1152="")*(NOT(ISNUMBER(hospitalityq!J1152+0)))</f>
        <v>0</v>
      </c>
      <c r="K1152">
        <f>NOT(hospitalityq!K1152="")*(NOT(ISNUMBER(hospitalityq!K1152+0)))</f>
        <v>0</v>
      </c>
      <c r="P1152">
        <f>NOT(hospitalityq!P1152="")*(NOT(IFERROR(INT(hospitalityq!P1152)=VALUE(hospitalityq!P1152),FALSE)))</f>
        <v>0</v>
      </c>
      <c r="Q1152">
        <f>NOT(hospitalityq!Q1152="")*(NOT(IFERROR(INT(hospitalityq!Q1152)=VALUE(hospitalityq!Q1152),FALSE)))</f>
        <v>0</v>
      </c>
      <c r="R1152">
        <f>NOT(hospitalityq!R1152="")*(NOT(IFERROR(ROUND(VALUE(hospitalityq!R1152),2)=VALUE(hospitalityq!R1152),FALSE)))</f>
        <v>0</v>
      </c>
    </row>
    <row r="1153" spans="1:18" x14ac:dyDescent="0.25">
      <c r="A1153">
        <f t="shared" si="17"/>
        <v>0</v>
      </c>
      <c r="C1153">
        <f>NOT(hospitalityq!C1153="")*(SUMPRODUCT(--(TRIM(hospitalityq!C6:C1153)=TRIM(hospitalityq!C1153)))&gt;1)</f>
        <v>0</v>
      </c>
      <c r="D1153">
        <f>NOT(hospitalityq!D1153="")*(COUNTIF(reference!$C$17:$C$18,TRIM(hospitalityq!D1153))=0)</f>
        <v>0</v>
      </c>
      <c r="J1153">
        <f>NOT(hospitalityq!J1153="")*(NOT(ISNUMBER(hospitalityq!J1153+0)))</f>
        <v>0</v>
      </c>
      <c r="K1153">
        <f>NOT(hospitalityq!K1153="")*(NOT(ISNUMBER(hospitalityq!K1153+0)))</f>
        <v>0</v>
      </c>
      <c r="P1153">
        <f>NOT(hospitalityq!P1153="")*(NOT(IFERROR(INT(hospitalityq!P1153)=VALUE(hospitalityq!P1153),FALSE)))</f>
        <v>0</v>
      </c>
      <c r="Q1153">
        <f>NOT(hospitalityq!Q1153="")*(NOT(IFERROR(INT(hospitalityq!Q1153)=VALUE(hospitalityq!Q1153),FALSE)))</f>
        <v>0</v>
      </c>
      <c r="R1153">
        <f>NOT(hospitalityq!R1153="")*(NOT(IFERROR(ROUND(VALUE(hospitalityq!R1153),2)=VALUE(hospitalityq!R1153),FALSE)))</f>
        <v>0</v>
      </c>
    </row>
    <row r="1154" spans="1:18" x14ac:dyDescent="0.25">
      <c r="A1154">
        <f t="shared" si="17"/>
        <v>0</v>
      </c>
      <c r="C1154">
        <f>NOT(hospitalityq!C1154="")*(SUMPRODUCT(--(TRIM(hospitalityq!C6:C1154)=TRIM(hospitalityq!C1154)))&gt;1)</f>
        <v>0</v>
      </c>
      <c r="D1154">
        <f>NOT(hospitalityq!D1154="")*(COUNTIF(reference!$C$17:$C$18,TRIM(hospitalityq!D1154))=0)</f>
        <v>0</v>
      </c>
      <c r="J1154">
        <f>NOT(hospitalityq!J1154="")*(NOT(ISNUMBER(hospitalityq!J1154+0)))</f>
        <v>0</v>
      </c>
      <c r="K1154">
        <f>NOT(hospitalityq!K1154="")*(NOT(ISNUMBER(hospitalityq!K1154+0)))</f>
        <v>0</v>
      </c>
      <c r="P1154">
        <f>NOT(hospitalityq!P1154="")*(NOT(IFERROR(INT(hospitalityq!P1154)=VALUE(hospitalityq!P1154),FALSE)))</f>
        <v>0</v>
      </c>
      <c r="Q1154">
        <f>NOT(hospitalityq!Q1154="")*(NOT(IFERROR(INT(hospitalityq!Q1154)=VALUE(hospitalityq!Q1154),FALSE)))</f>
        <v>0</v>
      </c>
      <c r="R1154">
        <f>NOT(hospitalityq!R1154="")*(NOT(IFERROR(ROUND(VALUE(hospitalityq!R1154),2)=VALUE(hospitalityq!R1154),FALSE)))</f>
        <v>0</v>
      </c>
    </row>
    <row r="1155" spans="1:18" x14ac:dyDescent="0.25">
      <c r="A1155">
        <f t="shared" si="17"/>
        <v>0</v>
      </c>
      <c r="C1155">
        <f>NOT(hospitalityq!C1155="")*(SUMPRODUCT(--(TRIM(hospitalityq!C6:C1155)=TRIM(hospitalityq!C1155)))&gt;1)</f>
        <v>0</v>
      </c>
      <c r="D1155">
        <f>NOT(hospitalityq!D1155="")*(COUNTIF(reference!$C$17:$C$18,TRIM(hospitalityq!D1155))=0)</f>
        <v>0</v>
      </c>
      <c r="J1155">
        <f>NOT(hospitalityq!J1155="")*(NOT(ISNUMBER(hospitalityq!J1155+0)))</f>
        <v>0</v>
      </c>
      <c r="K1155">
        <f>NOT(hospitalityq!K1155="")*(NOT(ISNUMBER(hospitalityq!K1155+0)))</f>
        <v>0</v>
      </c>
      <c r="P1155">
        <f>NOT(hospitalityq!P1155="")*(NOT(IFERROR(INT(hospitalityq!P1155)=VALUE(hospitalityq!P1155),FALSE)))</f>
        <v>0</v>
      </c>
      <c r="Q1155">
        <f>NOT(hospitalityq!Q1155="")*(NOT(IFERROR(INT(hospitalityq!Q1155)=VALUE(hospitalityq!Q1155),FALSE)))</f>
        <v>0</v>
      </c>
      <c r="R1155">
        <f>NOT(hospitalityq!R1155="")*(NOT(IFERROR(ROUND(VALUE(hospitalityq!R1155),2)=VALUE(hospitalityq!R1155),FALSE)))</f>
        <v>0</v>
      </c>
    </row>
    <row r="1156" spans="1:18" x14ac:dyDescent="0.25">
      <c r="A1156">
        <f t="shared" si="17"/>
        <v>0</v>
      </c>
      <c r="C1156">
        <f>NOT(hospitalityq!C1156="")*(SUMPRODUCT(--(TRIM(hospitalityq!C6:C1156)=TRIM(hospitalityq!C1156)))&gt;1)</f>
        <v>0</v>
      </c>
      <c r="D1156">
        <f>NOT(hospitalityq!D1156="")*(COUNTIF(reference!$C$17:$C$18,TRIM(hospitalityq!D1156))=0)</f>
        <v>0</v>
      </c>
      <c r="J1156">
        <f>NOT(hospitalityq!J1156="")*(NOT(ISNUMBER(hospitalityq!J1156+0)))</f>
        <v>0</v>
      </c>
      <c r="K1156">
        <f>NOT(hospitalityq!K1156="")*(NOT(ISNUMBER(hospitalityq!K1156+0)))</f>
        <v>0</v>
      </c>
      <c r="P1156">
        <f>NOT(hospitalityq!P1156="")*(NOT(IFERROR(INT(hospitalityq!P1156)=VALUE(hospitalityq!P1156),FALSE)))</f>
        <v>0</v>
      </c>
      <c r="Q1156">
        <f>NOT(hospitalityq!Q1156="")*(NOT(IFERROR(INT(hospitalityq!Q1156)=VALUE(hospitalityq!Q1156),FALSE)))</f>
        <v>0</v>
      </c>
      <c r="R1156">
        <f>NOT(hospitalityq!R1156="")*(NOT(IFERROR(ROUND(VALUE(hospitalityq!R1156),2)=VALUE(hospitalityq!R1156),FALSE)))</f>
        <v>0</v>
      </c>
    </row>
    <row r="1157" spans="1:18" x14ac:dyDescent="0.25">
      <c r="A1157">
        <f t="shared" si="17"/>
        <v>0</v>
      </c>
      <c r="C1157">
        <f>NOT(hospitalityq!C1157="")*(SUMPRODUCT(--(TRIM(hospitalityq!C6:C1157)=TRIM(hospitalityq!C1157)))&gt;1)</f>
        <v>0</v>
      </c>
      <c r="D1157">
        <f>NOT(hospitalityq!D1157="")*(COUNTIF(reference!$C$17:$C$18,TRIM(hospitalityq!D1157))=0)</f>
        <v>0</v>
      </c>
      <c r="J1157">
        <f>NOT(hospitalityq!J1157="")*(NOT(ISNUMBER(hospitalityq!J1157+0)))</f>
        <v>0</v>
      </c>
      <c r="K1157">
        <f>NOT(hospitalityq!K1157="")*(NOT(ISNUMBER(hospitalityq!K1157+0)))</f>
        <v>0</v>
      </c>
      <c r="P1157">
        <f>NOT(hospitalityq!P1157="")*(NOT(IFERROR(INT(hospitalityq!P1157)=VALUE(hospitalityq!P1157),FALSE)))</f>
        <v>0</v>
      </c>
      <c r="Q1157">
        <f>NOT(hospitalityq!Q1157="")*(NOT(IFERROR(INT(hospitalityq!Q1157)=VALUE(hospitalityq!Q1157),FALSE)))</f>
        <v>0</v>
      </c>
      <c r="R1157">
        <f>NOT(hospitalityq!R1157="")*(NOT(IFERROR(ROUND(VALUE(hospitalityq!R1157),2)=VALUE(hospitalityq!R1157),FALSE)))</f>
        <v>0</v>
      </c>
    </row>
    <row r="1158" spans="1:18" x14ac:dyDescent="0.25">
      <c r="A1158">
        <f t="shared" ref="A1158:A1221" si="18">IFERROR(MATCH(TRUE,INDEX(C1158:R1158&lt;&gt;0,),)+2,0)</f>
        <v>0</v>
      </c>
      <c r="C1158">
        <f>NOT(hospitalityq!C1158="")*(SUMPRODUCT(--(TRIM(hospitalityq!C6:C1158)=TRIM(hospitalityq!C1158)))&gt;1)</f>
        <v>0</v>
      </c>
      <c r="D1158">
        <f>NOT(hospitalityq!D1158="")*(COUNTIF(reference!$C$17:$C$18,TRIM(hospitalityq!D1158))=0)</f>
        <v>0</v>
      </c>
      <c r="J1158">
        <f>NOT(hospitalityq!J1158="")*(NOT(ISNUMBER(hospitalityq!J1158+0)))</f>
        <v>0</v>
      </c>
      <c r="K1158">
        <f>NOT(hospitalityq!K1158="")*(NOT(ISNUMBER(hospitalityq!K1158+0)))</f>
        <v>0</v>
      </c>
      <c r="P1158">
        <f>NOT(hospitalityq!P1158="")*(NOT(IFERROR(INT(hospitalityq!P1158)=VALUE(hospitalityq!P1158),FALSE)))</f>
        <v>0</v>
      </c>
      <c r="Q1158">
        <f>NOT(hospitalityq!Q1158="")*(NOT(IFERROR(INT(hospitalityq!Q1158)=VALUE(hospitalityq!Q1158),FALSE)))</f>
        <v>0</v>
      </c>
      <c r="R1158">
        <f>NOT(hospitalityq!R1158="")*(NOT(IFERROR(ROUND(VALUE(hospitalityq!R1158),2)=VALUE(hospitalityq!R1158),FALSE)))</f>
        <v>0</v>
      </c>
    </row>
    <row r="1159" spans="1:18" x14ac:dyDescent="0.25">
      <c r="A1159">
        <f t="shared" si="18"/>
        <v>0</v>
      </c>
      <c r="C1159">
        <f>NOT(hospitalityq!C1159="")*(SUMPRODUCT(--(TRIM(hospitalityq!C6:C1159)=TRIM(hospitalityq!C1159)))&gt;1)</f>
        <v>0</v>
      </c>
      <c r="D1159">
        <f>NOT(hospitalityq!D1159="")*(COUNTIF(reference!$C$17:$C$18,TRIM(hospitalityq!D1159))=0)</f>
        <v>0</v>
      </c>
      <c r="J1159">
        <f>NOT(hospitalityq!J1159="")*(NOT(ISNUMBER(hospitalityq!J1159+0)))</f>
        <v>0</v>
      </c>
      <c r="K1159">
        <f>NOT(hospitalityq!K1159="")*(NOT(ISNUMBER(hospitalityq!K1159+0)))</f>
        <v>0</v>
      </c>
      <c r="P1159">
        <f>NOT(hospitalityq!P1159="")*(NOT(IFERROR(INT(hospitalityq!P1159)=VALUE(hospitalityq!P1159),FALSE)))</f>
        <v>0</v>
      </c>
      <c r="Q1159">
        <f>NOT(hospitalityq!Q1159="")*(NOT(IFERROR(INT(hospitalityq!Q1159)=VALUE(hospitalityq!Q1159),FALSE)))</f>
        <v>0</v>
      </c>
      <c r="R1159">
        <f>NOT(hospitalityq!R1159="")*(NOT(IFERROR(ROUND(VALUE(hospitalityq!R1159),2)=VALUE(hospitalityq!R1159),FALSE)))</f>
        <v>0</v>
      </c>
    </row>
    <row r="1160" spans="1:18" x14ac:dyDescent="0.25">
      <c r="A1160">
        <f t="shared" si="18"/>
        <v>0</v>
      </c>
      <c r="C1160">
        <f>NOT(hospitalityq!C1160="")*(SUMPRODUCT(--(TRIM(hospitalityq!C6:C1160)=TRIM(hospitalityq!C1160)))&gt;1)</f>
        <v>0</v>
      </c>
      <c r="D1160">
        <f>NOT(hospitalityq!D1160="")*(COUNTIF(reference!$C$17:$C$18,TRIM(hospitalityq!D1160))=0)</f>
        <v>0</v>
      </c>
      <c r="J1160">
        <f>NOT(hospitalityq!J1160="")*(NOT(ISNUMBER(hospitalityq!J1160+0)))</f>
        <v>0</v>
      </c>
      <c r="K1160">
        <f>NOT(hospitalityq!K1160="")*(NOT(ISNUMBER(hospitalityq!K1160+0)))</f>
        <v>0</v>
      </c>
      <c r="P1160">
        <f>NOT(hospitalityq!P1160="")*(NOT(IFERROR(INT(hospitalityq!P1160)=VALUE(hospitalityq!P1160),FALSE)))</f>
        <v>0</v>
      </c>
      <c r="Q1160">
        <f>NOT(hospitalityq!Q1160="")*(NOT(IFERROR(INT(hospitalityq!Q1160)=VALUE(hospitalityq!Q1160),FALSE)))</f>
        <v>0</v>
      </c>
      <c r="R1160">
        <f>NOT(hospitalityq!R1160="")*(NOT(IFERROR(ROUND(VALUE(hospitalityq!R1160),2)=VALUE(hospitalityq!R1160),FALSE)))</f>
        <v>0</v>
      </c>
    </row>
    <row r="1161" spans="1:18" x14ac:dyDescent="0.25">
      <c r="A1161">
        <f t="shared" si="18"/>
        <v>0</v>
      </c>
      <c r="C1161">
        <f>NOT(hospitalityq!C1161="")*(SUMPRODUCT(--(TRIM(hospitalityq!C6:C1161)=TRIM(hospitalityq!C1161)))&gt;1)</f>
        <v>0</v>
      </c>
      <c r="D1161">
        <f>NOT(hospitalityq!D1161="")*(COUNTIF(reference!$C$17:$C$18,TRIM(hospitalityq!D1161))=0)</f>
        <v>0</v>
      </c>
      <c r="J1161">
        <f>NOT(hospitalityq!J1161="")*(NOT(ISNUMBER(hospitalityq!J1161+0)))</f>
        <v>0</v>
      </c>
      <c r="K1161">
        <f>NOT(hospitalityq!K1161="")*(NOT(ISNUMBER(hospitalityq!K1161+0)))</f>
        <v>0</v>
      </c>
      <c r="P1161">
        <f>NOT(hospitalityq!P1161="")*(NOT(IFERROR(INT(hospitalityq!P1161)=VALUE(hospitalityq!P1161),FALSE)))</f>
        <v>0</v>
      </c>
      <c r="Q1161">
        <f>NOT(hospitalityq!Q1161="")*(NOT(IFERROR(INT(hospitalityq!Q1161)=VALUE(hospitalityq!Q1161),FALSE)))</f>
        <v>0</v>
      </c>
      <c r="R1161">
        <f>NOT(hospitalityq!R1161="")*(NOT(IFERROR(ROUND(VALUE(hospitalityq!R1161),2)=VALUE(hospitalityq!R1161),FALSE)))</f>
        <v>0</v>
      </c>
    </row>
    <row r="1162" spans="1:18" x14ac:dyDescent="0.25">
      <c r="A1162">
        <f t="shared" si="18"/>
        <v>0</v>
      </c>
      <c r="C1162">
        <f>NOT(hospitalityq!C1162="")*(SUMPRODUCT(--(TRIM(hospitalityq!C6:C1162)=TRIM(hospitalityq!C1162)))&gt;1)</f>
        <v>0</v>
      </c>
      <c r="D1162">
        <f>NOT(hospitalityq!D1162="")*(COUNTIF(reference!$C$17:$C$18,TRIM(hospitalityq!D1162))=0)</f>
        <v>0</v>
      </c>
      <c r="J1162">
        <f>NOT(hospitalityq!J1162="")*(NOT(ISNUMBER(hospitalityq!J1162+0)))</f>
        <v>0</v>
      </c>
      <c r="K1162">
        <f>NOT(hospitalityq!K1162="")*(NOT(ISNUMBER(hospitalityq!K1162+0)))</f>
        <v>0</v>
      </c>
      <c r="P1162">
        <f>NOT(hospitalityq!P1162="")*(NOT(IFERROR(INT(hospitalityq!P1162)=VALUE(hospitalityq!P1162),FALSE)))</f>
        <v>0</v>
      </c>
      <c r="Q1162">
        <f>NOT(hospitalityq!Q1162="")*(NOT(IFERROR(INT(hospitalityq!Q1162)=VALUE(hospitalityq!Q1162),FALSE)))</f>
        <v>0</v>
      </c>
      <c r="R1162">
        <f>NOT(hospitalityq!R1162="")*(NOT(IFERROR(ROUND(VALUE(hospitalityq!R1162),2)=VALUE(hospitalityq!R1162),FALSE)))</f>
        <v>0</v>
      </c>
    </row>
    <row r="1163" spans="1:18" x14ac:dyDescent="0.25">
      <c r="A1163">
        <f t="shared" si="18"/>
        <v>0</v>
      </c>
      <c r="C1163">
        <f>NOT(hospitalityq!C1163="")*(SUMPRODUCT(--(TRIM(hospitalityq!C6:C1163)=TRIM(hospitalityq!C1163)))&gt;1)</f>
        <v>0</v>
      </c>
      <c r="D1163">
        <f>NOT(hospitalityq!D1163="")*(COUNTIF(reference!$C$17:$C$18,TRIM(hospitalityq!D1163))=0)</f>
        <v>0</v>
      </c>
      <c r="J1163">
        <f>NOT(hospitalityq!J1163="")*(NOT(ISNUMBER(hospitalityq!J1163+0)))</f>
        <v>0</v>
      </c>
      <c r="K1163">
        <f>NOT(hospitalityq!K1163="")*(NOT(ISNUMBER(hospitalityq!K1163+0)))</f>
        <v>0</v>
      </c>
      <c r="P1163">
        <f>NOT(hospitalityq!P1163="")*(NOT(IFERROR(INT(hospitalityq!P1163)=VALUE(hospitalityq!P1163),FALSE)))</f>
        <v>0</v>
      </c>
      <c r="Q1163">
        <f>NOT(hospitalityq!Q1163="")*(NOT(IFERROR(INT(hospitalityq!Q1163)=VALUE(hospitalityq!Q1163),FALSE)))</f>
        <v>0</v>
      </c>
      <c r="R1163">
        <f>NOT(hospitalityq!R1163="")*(NOT(IFERROR(ROUND(VALUE(hospitalityq!R1163),2)=VALUE(hospitalityq!R1163),FALSE)))</f>
        <v>0</v>
      </c>
    </row>
    <row r="1164" spans="1:18" x14ac:dyDescent="0.25">
      <c r="A1164">
        <f t="shared" si="18"/>
        <v>0</v>
      </c>
      <c r="C1164">
        <f>NOT(hospitalityq!C1164="")*(SUMPRODUCT(--(TRIM(hospitalityq!C6:C1164)=TRIM(hospitalityq!C1164)))&gt;1)</f>
        <v>0</v>
      </c>
      <c r="D1164">
        <f>NOT(hospitalityq!D1164="")*(COUNTIF(reference!$C$17:$C$18,TRIM(hospitalityq!D1164))=0)</f>
        <v>0</v>
      </c>
      <c r="J1164">
        <f>NOT(hospitalityq!J1164="")*(NOT(ISNUMBER(hospitalityq!J1164+0)))</f>
        <v>0</v>
      </c>
      <c r="K1164">
        <f>NOT(hospitalityq!K1164="")*(NOT(ISNUMBER(hospitalityq!K1164+0)))</f>
        <v>0</v>
      </c>
      <c r="P1164">
        <f>NOT(hospitalityq!P1164="")*(NOT(IFERROR(INT(hospitalityq!P1164)=VALUE(hospitalityq!P1164),FALSE)))</f>
        <v>0</v>
      </c>
      <c r="Q1164">
        <f>NOT(hospitalityq!Q1164="")*(NOT(IFERROR(INT(hospitalityq!Q1164)=VALUE(hospitalityq!Q1164),FALSE)))</f>
        <v>0</v>
      </c>
      <c r="R1164">
        <f>NOT(hospitalityq!R1164="")*(NOT(IFERROR(ROUND(VALUE(hospitalityq!R1164),2)=VALUE(hospitalityq!R1164),FALSE)))</f>
        <v>0</v>
      </c>
    </row>
    <row r="1165" spans="1:18" x14ac:dyDescent="0.25">
      <c r="A1165">
        <f t="shared" si="18"/>
        <v>0</v>
      </c>
      <c r="C1165">
        <f>NOT(hospitalityq!C1165="")*(SUMPRODUCT(--(TRIM(hospitalityq!C6:C1165)=TRIM(hospitalityq!C1165)))&gt;1)</f>
        <v>0</v>
      </c>
      <c r="D1165">
        <f>NOT(hospitalityq!D1165="")*(COUNTIF(reference!$C$17:$C$18,TRIM(hospitalityq!D1165))=0)</f>
        <v>0</v>
      </c>
      <c r="J1165">
        <f>NOT(hospitalityq!J1165="")*(NOT(ISNUMBER(hospitalityq!J1165+0)))</f>
        <v>0</v>
      </c>
      <c r="K1165">
        <f>NOT(hospitalityq!K1165="")*(NOT(ISNUMBER(hospitalityq!K1165+0)))</f>
        <v>0</v>
      </c>
      <c r="P1165">
        <f>NOT(hospitalityq!P1165="")*(NOT(IFERROR(INT(hospitalityq!P1165)=VALUE(hospitalityq!P1165),FALSE)))</f>
        <v>0</v>
      </c>
      <c r="Q1165">
        <f>NOT(hospitalityq!Q1165="")*(NOT(IFERROR(INT(hospitalityq!Q1165)=VALUE(hospitalityq!Q1165),FALSE)))</f>
        <v>0</v>
      </c>
      <c r="R1165">
        <f>NOT(hospitalityq!R1165="")*(NOT(IFERROR(ROUND(VALUE(hospitalityq!R1165),2)=VALUE(hospitalityq!R1165),FALSE)))</f>
        <v>0</v>
      </c>
    </row>
    <row r="1166" spans="1:18" x14ac:dyDescent="0.25">
      <c r="A1166">
        <f t="shared" si="18"/>
        <v>0</v>
      </c>
      <c r="C1166">
        <f>NOT(hospitalityq!C1166="")*(SUMPRODUCT(--(TRIM(hospitalityq!C6:C1166)=TRIM(hospitalityq!C1166)))&gt;1)</f>
        <v>0</v>
      </c>
      <c r="D1166">
        <f>NOT(hospitalityq!D1166="")*(COUNTIF(reference!$C$17:$C$18,TRIM(hospitalityq!D1166))=0)</f>
        <v>0</v>
      </c>
      <c r="J1166">
        <f>NOT(hospitalityq!J1166="")*(NOT(ISNUMBER(hospitalityq!J1166+0)))</f>
        <v>0</v>
      </c>
      <c r="K1166">
        <f>NOT(hospitalityq!K1166="")*(NOT(ISNUMBER(hospitalityq!K1166+0)))</f>
        <v>0</v>
      </c>
      <c r="P1166">
        <f>NOT(hospitalityq!P1166="")*(NOT(IFERROR(INT(hospitalityq!P1166)=VALUE(hospitalityq!P1166),FALSE)))</f>
        <v>0</v>
      </c>
      <c r="Q1166">
        <f>NOT(hospitalityq!Q1166="")*(NOT(IFERROR(INT(hospitalityq!Q1166)=VALUE(hospitalityq!Q1166),FALSE)))</f>
        <v>0</v>
      </c>
      <c r="R1166">
        <f>NOT(hospitalityq!R1166="")*(NOT(IFERROR(ROUND(VALUE(hospitalityq!R1166),2)=VALUE(hospitalityq!R1166),FALSE)))</f>
        <v>0</v>
      </c>
    </row>
    <row r="1167" spans="1:18" x14ac:dyDescent="0.25">
      <c r="A1167">
        <f t="shared" si="18"/>
        <v>0</v>
      </c>
      <c r="C1167">
        <f>NOT(hospitalityq!C1167="")*(SUMPRODUCT(--(TRIM(hospitalityq!C6:C1167)=TRIM(hospitalityq!C1167)))&gt;1)</f>
        <v>0</v>
      </c>
      <c r="D1167">
        <f>NOT(hospitalityq!D1167="")*(COUNTIF(reference!$C$17:$C$18,TRIM(hospitalityq!D1167))=0)</f>
        <v>0</v>
      </c>
      <c r="J1167">
        <f>NOT(hospitalityq!J1167="")*(NOT(ISNUMBER(hospitalityq!J1167+0)))</f>
        <v>0</v>
      </c>
      <c r="K1167">
        <f>NOT(hospitalityq!K1167="")*(NOT(ISNUMBER(hospitalityq!K1167+0)))</f>
        <v>0</v>
      </c>
      <c r="P1167">
        <f>NOT(hospitalityq!P1167="")*(NOT(IFERROR(INT(hospitalityq!P1167)=VALUE(hospitalityq!P1167),FALSE)))</f>
        <v>0</v>
      </c>
      <c r="Q1167">
        <f>NOT(hospitalityq!Q1167="")*(NOT(IFERROR(INT(hospitalityq!Q1167)=VALUE(hospitalityq!Q1167),FALSE)))</f>
        <v>0</v>
      </c>
      <c r="R1167">
        <f>NOT(hospitalityq!R1167="")*(NOT(IFERROR(ROUND(VALUE(hospitalityq!R1167),2)=VALUE(hospitalityq!R1167),FALSE)))</f>
        <v>0</v>
      </c>
    </row>
    <row r="1168" spans="1:18" x14ac:dyDescent="0.25">
      <c r="A1168">
        <f t="shared" si="18"/>
        <v>0</v>
      </c>
      <c r="C1168">
        <f>NOT(hospitalityq!C1168="")*(SUMPRODUCT(--(TRIM(hospitalityq!C6:C1168)=TRIM(hospitalityq!C1168)))&gt;1)</f>
        <v>0</v>
      </c>
      <c r="D1168">
        <f>NOT(hospitalityq!D1168="")*(COUNTIF(reference!$C$17:$C$18,TRIM(hospitalityq!D1168))=0)</f>
        <v>0</v>
      </c>
      <c r="J1168">
        <f>NOT(hospitalityq!J1168="")*(NOT(ISNUMBER(hospitalityq!J1168+0)))</f>
        <v>0</v>
      </c>
      <c r="K1168">
        <f>NOT(hospitalityq!K1168="")*(NOT(ISNUMBER(hospitalityq!K1168+0)))</f>
        <v>0</v>
      </c>
      <c r="P1168">
        <f>NOT(hospitalityq!P1168="")*(NOT(IFERROR(INT(hospitalityq!P1168)=VALUE(hospitalityq!P1168),FALSE)))</f>
        <v>0</v>
      </c>
      <c r="Q1168">
        <f>NOT(hospitalityq!Q1168="")*(NOT(IFERROR(INT(hospitalityq!Q1168)=VALUE(hospitalityq!Q1168),FALSE)))</f>
        <v>0</v>
      </c>
      <c r="R1168">
        <f>NOT(hospitalityq!R1168="")*(NOT(IFERROR(ROUND(VALUE(hospitalityq!R1168),2)=VALUE(hospitalityq!R1168),FALSE)))</f>
        <v>0</v>
      </c>
    </row>
    <row r="1169" spans="1:18" x14ac:dyDescent="0.25">
      <c r="A1169">
        <f t="shared" si="18"/>
        <v>0</v>
      </c>
      <c r="C1169">
        <f>NOT(hospitalityq!C1169="")*(SUMPRODUCT(--(TRIM(hospitalityq!C6:C1169)=TRIM(hospitalityq!C1169)))&gt;1)</f>
        <v>0</v>
      </c>
      <c r="D1169">
        <f>NOT(hospitalityq!D1169="")*(COUNTIF(reference!$C$17:$C$18,TRIM(hospitalityq!D1169))=0)</f>
        <v>0</v>
      </c>
      <c r="J1169">
        <f>NOT(hospitalityq!J1169="")*(NOT(ISNUMBER(hospitalityq!J1169+0)))</f>
        <v>0</v>
      </c>
      <c r="K1169">
        <f>NOT(hospitalityq!K1169="")*(NOT(ISNUMBER(hospitalityq!K1169+0)))</f>
        <v>0</v>
      </c>
      <c r="P1169">
        <f>NOT(hospitalityq!P1169="")*(NOT(IFERROR(INT(hospitalityq!P1169)=VALUE(hospitalityq!P1169),FALSE)))</f>
        <v>0</v>
      </c>
      <c r="Q1169">
        <f>NOT(hospitalityq!Q1169="")*(NOT(IFERROR(INT(hospitalityq!Q1169)=VALUE(hospitalityq!Q1169),FALSE)))</f>
        <v>0</v>
      </c>
      <c r="R1169">
        <f>NOT(hospitalityq!R1169="")*(NOT(IFERROR(ROUND(VALUE(hospitalityq!R1169),2)=VALUE(hospitalityq!R1169),FALSE)))</f>
        <v>0</v>
      </c>
    </row>
    <row r="1170" spans="1:18" x14ac:dyDescent="0.25">
      <c r="A1170">
        <f t="shared" si="18"/>
        <v>0</v>
      </c>
      <c r="C1170">
        <f>NOT(hospitalityq!C1170="")*(SUMPRODUCT(--(TRIM(hospitalityq!C6:C1170)=TRIM(hospitalityq!C1170)))&gt;1)</f>
        <v>0</v>
      </c>
      <c r="D1170">
        <f>NOT(hospitalityq!D1170="")*(COUNTIF(reference!$C$17:$C$18,TRIM(hospitalityq!D1170))=0)</f>
        <v>0</v>
      </c>
      <c r="J1170">
        <f>NOT(hospitalityq!J1170="")*(NOT(ISNUMBER(hospitalityq!J1170+0)))</f>
        <v>0</v>
      </c>
      <c r="K1170">
        <f>NOT(hospitalityq!K1170="")*(NOT(ISNUMBER(hospitalityq!K1170+0)))</f>
        <v>0</v>
      </c>
      <c r="P1170">
        <f>NOT(hospitalityq!P1170="")*(NOT(IFERROR(INT(hospitalityq!P1170)=VALUE(hospitalityq!P1170),FALSE)))</f>
        <v>0</v>
      </c>
      <c r="Q1170">
        <f>NOT(hospitalityq!Q1170="")*(NOT(IFERROR(INT(hospitalityq!Q1170)=VALUE(hospitalityq!Q1170),FALSE)))</f>
        <v>0</v>
      </c>
      <c r="R1170">
        <f>NOT(hospitalityq!R1170="")*(NOT(IFERROR(ROUND(VALUE(hospitalityq!R1170),2)=VALUE(hospitalityq!R1170),FALSE)))</f>
        <v>0</v>
      </c>
    </row>
    <row r="1171" spans="1:18" x14ac:dyDescent="0.25">
      <c r="A1171">
        <f t="shared" si="18"/>
        <v>0</v>
      </c>
      <c r="C1171">
        <f>NOT(hospitalityq!C1171="")*(SUMPRODUCT(--(TRIM(hospitalityq!C6:C1171)=TRIM(hospitalityq!C1171)))&gt;1)</f>
        <v>0</v>
      </c>
      <c r="D1171">
        <f>NOT(hospitalityq!D1171="")*(COUNTIF(reference!$C$17:$C$18,TRIM(hospitalityq!D1171))=0)</f>
        <v>0</v>
      </c>
      <c r="J1171">
        <f>NOT(hospitalityq!J1171="")*(NOT(ISNUMBER(hospitalityq!J1171+0)))</f>
        <v>0</v>
      </c>
      <c r="K1171">
        <f>NOT(hospitalityq!K1171="")*(NOT(ISNUMBER(hospitalityq!K1171+0)))</f>
        <v>0</v>
      </c>
      <c r="P1171">
        <f>NOT(hospitalityq!P1171="")*(NOT(IFERROR(INT(hospitalityq!P1171)=VALUE(hospitalityq!P1171),FALSE)))</f>
        <v>0</v>
      </c>
      <c r="Q1171">
        <f>NOT(hospitalityq!Q1171="")*(NOT(IFERROR(INT(hospitalityq!Q1171)=VALUE(hospitalityq!Q1171),FALSE)))</f>
        <v>0</v>
      </c>
      <c r="R1171">
        <f>NOT(hospitalityq!R1171="")*(NOT(IFERROR(ROUND(VALUE(hospitalityq!R1171),2)=VALUE(hospitalityq!R1171),FALSE)))</f>
        <v>0</v>
      </c>
    </row>
    <row r="1172" spans="1:18" x14ac:dyDescent="0.25">
      <c r="A1172">
        <f t="shared" si="18"/>
        <v>0</v>
      </c>
      <c r="C1172">
        <f>NOT(hospitalityq!C1172="")*(SUMPRODUCT(--(TRIM(hospitalityq!C6:C1172)=TRIM(hospitalityq!C1172)))&gt;1)</f>
        <v>0</v>
      </c>
      <c r="D1172">
        <f>NOT(hospitalityq!D1172="")*(COUNTIF(reference!$C$17:$C$18,TRIM(hospitalityq!D1172))=0)</f>
        <v>0</v>
      </c>
      <c r="J1172">
        <f>NOT(hospitalityq!J1172="")*(NOT(ISNUMBER(hospitalityq!J1172+0)))</f>
        <v>0</v>
      </c>
      <c r="K1172">
        <f>NOT(hospitalityq!K1172="")*(NOT(ISNUMBER(hospitalityq!K1172+0)))</f>
        <v>0</v>
      </c>
      <c r="P1172">
        <f>NOT(hospitalityq!P1172="")*(NOT(IFERROR(INT(hospitalityq!P1172)=VALUE(hospitalityq!P1172),FALSE)))</f>
        <v>0</v>
      </c>
      <c r="Q1172">
        <f>NOT(hospitalityq!Q1172="")*(NOT(IFERROR(INT(hospitalityq!Q1172)=VALUE(hospitalityq!Q1172),FALSE)))</f>
        <v>0</v>
      </c>
      <c r="R1172">
        <f>NOT(hospitalityq!R1172="")*(NOT(IFERROR(ROUND(VALUE(hospitalityq!R1172),2)=VALUE(hospitalityq!R1172),FALSE)))</f>
        <v>0</v>
      </c>
    </row>
    <row r="1173" spans="1:18" x14ac:dyDescent="0.25">
      <c r="A1173">
        <f t="shared" si="18"/>
        <v>0</v>
      </c>
      <c r="C1173">
        <f>NOT(hospitalityq!C1173="")*(SUMPRODUCT(--(TRIM(hospitalityq!C6:C1173)=TRIM(hospitalityq!C1173)))&gt;1)</f>
        <v>0</v>
      </c>
      <c r="D1173">
        <f>NOT(hospitalityq!D1173="")*(COUNTIF(reference!$C$17:$C$18,TRIM(hospitalityq!D1173))=0)</f>
        <v>0</v>
      </c>
      <c r="J1173">
        <f>NOT(hospitalityq!J1173="")*(NOT(ISNUMBER(hospitalityq!J1173+0)))</f>
        <v>0</v>
      </c>
      <c r="K1173">
        <f>NOT(hospitalityq!K1173="")*(NOT(ISNUMBER(hospitalityq!K1173+0)))</f>
        <v>0</v>
      </c>
      <c r="P1173">
        <f>NOT(hospitalityq!P1173="")*(NOT(IFERROR(INT(hospitalityq!P1173)=VALUE(hospitalityq!P1173),FALSE)))</f>
        <v>0</v>
      </c>
      <c r="Q1173">
        <f>NOT(hospitalityq!Q1173="")*(NOT(IFERROR(INT(hospitalityq!Q1173)=VALUE(hospitalityq!Q1173),FALSE)))</f>
        <v>0</v>
      </c>
      <c r="R1173">
        <f>NOT(hospitalityq!R1173="")*(NOT(IFERROR(ROUND(VALUE(hospitalityq!R1173),2)=VALUE(hospitalityq!R1173),FALSE)))</f>
        <v>0</v>
      </c>
    </row>
    <row r="1174" spans="1:18" x14ac:dyDescent="0.25">
      <c r="A1174">
        <f t="shared" si="18"/>
        <v>0</v>
      </c>
      <c r="C1174">
        <f>NOT(hospitalityq!C1174="")*(SUMPRODUCT(--(TRIM(hospitalityq!C6:C1174)=TRIM(hospitalityq!C1174)))&gt;1)</f>
        <v>0</v>
      </c>
      <c r="D1174">
        <f>NOT(hospitalityq!D1174="")*(COUNTIF(reference!$C$17:$C$18,TRIM(hospitalityq!D1174))=0)</f>
        <v>0</v>
      </c>
      <c r="J1174">
        <f>NOT(hospitalityq!J1174="")*(NOT(ISNUMBER(hospitalityq!J1174+0)))</f>
        <v>0</v>
      </c>
      <c r="K1174">
        <f>NOT(hospitalityq!K1174="")*(NOT(ISNUMBER(hospitalityq!K1174+0)))</f>
        <v>0</v>
      </c>
      <c r="P1174">
        <f>NOT(hospitalityq!P1174="")*(NOT(IFERROR(INT(hospitalityq!P1174)=VALUE(hospitalityq!P1174),FALSE)))</f>
        <v>0</v>
      </c>
      <c r="Q1174">
        <f>NOT(hospitalityq!Q1174="")*(NOT(IFERROR(INT(hospitalityq!Q1174)=VALUE(hospitalityq!Q1174),FALSE)))</f>
        <v>0</v>
      </c>
      <c r="R1174">
        <f>NOT(hospitalityq!R1174="")*(NOT(IFERROR(ROUND(VALUE(hospitalityq!R1174),2)=VALUE(hospitalityq!R1174),FALSE)))</f>
        <v>0</v>
      </c>
    </row>
    <row r="1175" spans="1:18" x14ac:dyDescent="0.25">
      <c r="A1175">
        <f t="shared" si="18"/>
        <v>0</v>
      </c>
      <c r="C1175">
        <f>NOT(hospitalityq!C1175="")*(SUMPRODUCT(--(TRIM(hospitalityq!C6:C1175)=TRIM(hospitalityq!C1175)))&gt;1)</f>
        <v>0</v>
      </c>
      <c r="D1175">
        <f>NOT(hospitalityq!D1175="")*(COUNTIF(reference!$C$17:$C$18,TRIM(hospitalityq!D1175))=0)</f>
        <v>0</v>
      </c>
      <c r="J1175">
        <f>NOT(hospitalityq!J1175="")*(NOT(ISNUMBER(hospitalityq!J1175+0)))</f>
        <v>0</v>
      </c>
      <c r="K1175">
        <f>NOT(hospitalityq!K1175="")*(NOT(ISNUMBER(hospitalityq!K1175+0)))</f>
        <v>0</v>
      </c>
      <c r="P1175">
        <f>NOT(hospitalityq!P1175="")*(NOT(IFERROR(INT(hospitalityq!P1175)=VALUE(hospitalityq!P1175),FALSE)))</f>
        <v>0</v>
      </c>
      <c r="Q1175">
        <f>NOT(hospitalityq!Q1175="")*(NOT(IFERROR(INT(hospitalityq!Q1175)=VALUE(hospitalityq!Q1175),FALSE)))</f>
        <v>0</v>
      </c>
      <c r="R1175">
        <f>NOT(hospitalityq!R1175="")*(NOT(IFERROR(ROUND(VALUE(hospitalityq!R1175),2)=VALUE(hospitalityq!R1175),FALSE)))</f>
        <v>0</v>
      </c>
    </row>
    <row r="1176" spans="1:18" x14ac:dyDescent="0.25">
      <c r="A1176">
        <f t="shared" si="18"/>
        <v>0</v>
      </c>
      <c r="C1176">
        <f>NOT(hospitalityq!C1176="")*(SUMPRODUCT(--(TRIM(hospitalityq!C6:C1176)=TRIM(hospitalityq!C1176)))&gt;1)</f>
        <v>0</v>
      </c>
      <c r="D1176">
        <f>NOT(hospitalityq!D1176="")*(COUNTIF(reference!$C$17:$C$18,TRIM(hospitalityq!D1176))=0)</f>
        <v>0</v>
      </c>
      <c r="J1176">
        <f>NOT(hospitalityq!J1176="")*(NOT(ISNUMBER(hospitalityq!J1176+0)))</f>
        <v>0</v>
      </c>
      <c r="K1176">
        <f>NOT(hospitalityq!K1176="")*(NOT(ISNUMBER(hospitalityq!K1176+0)))</f>
        <v>0</v>
      </c>
      <c r="P1176">
        <f>NOT(hospitalityq!P1176="")*(NOT(IFERROR(INT(hospitalityq!P1176)=VALUE(hospitalityq!P1176),FALSE)))</f>
        <v>0</v>
      </c>
      <c r="Q1176">
        <f>NOT(hospitalityq!Q1176="")*(NOT(IFERROR(INT(hospitalityq!Q1176)=VALUE(hospitalityq!Q1176),FALSE)))</f>
        <v>0</v>
      </c>
      <c r="R1176">
        <f>NOT(hospitalityq!R1176="")*(NOT(IFERROR(ROUND(VALUE(hospitalityq!R1176),2)=VALUE(hospitalityq!R1176),FALSE)))</f>
        <v>0</v>
      </c>
    </row>
    <row r="1177" spans="1:18" x14ac:dyDescent="0.25">
      <c r="A1177">
        <f t="shared" si="18"/>
        <v>0</v>
      </c>
      <c r="C1177">
        <f>NOT(hospitalityq!C1177="")*(SUMPRODUCT(--(TRIM(hospitalityq!C6:C1177)=TRIM(hospitalityq!C1177)))&gt;1)</f>
        <v>0</v>
      </c>
      <c r="D1177">
        <f>NOT(hospitalityq!D1177="")*(COUNTIF(reference!$C$17:$C$18,TRIM(hospitalityq!D1177))=0)</f>
        <v>0</v>
      </c>
      <c r="J1177">
        <f>NOT(hospitalityq!J1177="")*(NOT(ISNUMBER(hospitalityq!J1177+0)))</f>
        <v>0</v>
      </c>
      <c r="K1177">
        <f>NOT(hospitalityq!K1177="")*(NOT(ISNUMBER(hospitalityq!K1177+0)))</f>
        <v>0</v>
      </c>
      <c r="P1177">
        <f>NOT(hospitalityq!P1177="")*(NOT(IFERROR(INT(hospitalityq!P1177)=VALUE(hospitalityq!P1177),FALSE)))</f>
        <v>0</v>
      </c>
      <c r="Q1177">
        <f>NOT(hospitalityq!Q1177="")*(NOT(IFERROR(INT(hospitalityq!Q1177)=VALUE(hospitalityq!Q1177),FALSE)))</f>
        <v>0</v>
      </c>
      <c r="R1177">
        <f>NOT(hospitalityq!R1177="")*(NOT(IFERROR(ROUND(VALUE(hospitalityq!R1177),2)=VALUE(hospitalityq!R1177),FALSE)))</f>
        <v>0</v>
      </c>
    </row>
    <row r="1178" spans="1:18" x14ac:dyDescent="0.25">
      <c r="A1178">
        <f t="shared" si="18"/>
        <v>0</v>
      </c>
      <c r="C1178">
        <f>NOT(hospitalityq!C1178="")*(SUMPRODUCT(--(TRIM(hospitalityq!C6:C1178)=TRIM(hospitalityq!C1178)))&gt;1)</f>
        <v>0</v>
      </c>
      <c r="D1178">
        <f>NOT(hospitalityq!D1178="")*(COUNTIF(reference!$C$17:$C$18,TRIM(hospitalityq!D1178))=0)</f>
        <v>0</v>
      </c>
      <c r="J1178">
        <f>NOT(hospitalityq!J1178="")*(NOT(ISNUMBER(hospitalityq!J1178+0)))</f>
        <v>0</v>
      </c>
      <c r="K1178">
        <f>NOT(hospitalityq!K1178="")*(NOT(ISNUMBER(hospitalityq!K1178+0)))</f>
        <v>0</v>
      </c>
      <c r="P1178">
        <f>NOT(hospitalityq!P1178="")*(NOT(IFERROR(INT(hospitalityq!P1178)=VALUE(hospitalityq!P1178),FALSE)))</f>
        <v>0</v>
      </c>
      <c r="Q1178">
        <f>NOT(hospitalityq!Q1178="")*(NOT(IFERROR(INT(hospitalityq!Q1178)=VALUE(hospitalityq!Q1178),FALSE)))</f>
        <v>0</v>
      </c>
      <c r="R1178">
        <f>NOT(hospitalityq!R1178="")*(NOT(IFERROR(ROUND(VALUE(hospitalityq!R1178),2)=VALUE(hospitalityq!R1178),FALSE)))</f>
        <v>0</v>
      </c>
    </row>
    <row r="1179" spans="1:18" x14ac:dyDescent="0.25">
      <c r="A1179">
        <f t="shared" si="18"/>
        <v>0</v>
      </c>
      <c r="C1179">
        <f>NOT(hospitalityq!C1179="")*(SUMPRODUCT(--(TRIM(hospitalityq!C6:C1179)=TRIM(hospitalityq!C1179)))&gt;1)</f>
        <v>0</v>
      </c>
      <c r="D1179">
        <f>NOT(hospitalityq!D1179="")*(COUNTIF(reference!$C$17:$C$18,TRIM(hospitalityq!D1179))=0)</f>
        <v>0</v>
      </c>
      <c r="J1179">
        <f>NOT(hospitalityq!J1179="")*(NOT(ISNUMBER(hospitalityq!J1179+0)))</f>
        <v>0</v>
      </c>
      <c r="K1179">
        <f>NOT(hospitalityq!K1179="")*(NOT(ISNUMBER(hospitalityq!K1179+0)))</f>
        <v>0</v>
      </c>
      <c r="P1179">
        <f>NOT(hospitalityq!P1179="")*(NOT(IFERROR(INT(hospitalityq!P1179)=VALUE(hospitalityq!P1179),FALSE)))</f>
        <v>0</v>
      </c>
      <c r="Q1179">
        <f>NOT(hospitalityq!Q1179="")*(NOT(IFERROR(INT(hospitalityq!Q1179)=VALUE(hospitalityq!Q1179),FALSE)))</f>
        <v>0</v>
      </c>
      <c r="R1179">
        <f>NOT(hospitalityq!R1179="")*(NOT(IFERROR(ROUND(VALUE(hospitalityq!R1179),2)=VALUE(hospitalityq!R1179),FALSE)))</f>
        <v>0</v>
      </c>
    </row>
    <row r="1180" spans="1:18" x14ac:dyDescent="0.25">
      <c r="A1180">
        <f t="shared" si="18"/>
        <v>0</v>
      </c>
      <c r="C1180">
        <f>NOT(hospitalityq!C1180="")*(SUMPRODUCT(--(TRIM(hospitalityq!C6:C1180)=TRIM(hospitalityq!C1180)))&gt;1)</f>
        <v>0</v>
      </c>
      <c r="D1180">
        <f>NOT(hospitalityq!D1180="")*(COUNTIF(reference!$C$17:$C$18,TRIM(hospitalityq!D1180))=0)</f>
        <v>0</v>
      </c>
      <c r="J1180">
        <f>NOT(hospitalityq!J1180="")*(NOT(ISNUMBER(hospitalityq!J1180+0)))</f>
        <v>0</v>
      </c>
      <c r="K1180">
        <f>NOT(hospitalityq!K1180="")*(NOT(ISNUMBER(hospitalityq!K1180+0)))</f>
        <v>0</v>
      </c>
      <c r="P1180">
        <f>NOT(hospitalityq!P1180="")*(NOT(IFERROR(INT(hospitalityq!P1180)=VALUE(hospitalityq!P1180),FALSE)))</f>
        <v>0</v>
      </c>
      <c r="Q1180">
        <f>NOT(hospitalityq!Q1180="")*(NOT(IFERROR(INT(hospitalityq!Q1180)=VALUE(hospitalityq!Q1180),FALSE)))</f>
        <v>0</v>
      </c>
      <c r="R1180">
        <f>NOT(hospitalityq!R1180="")*(NOT(IFERROR(ROUND(VALUE(hospitalityq!R1180),2)=VALUE(hospitalityq!R1180),FALSE)))</f>
        <v>0</v>
      </c>
    </row>
    <row r="1181" spans="1:18" x14ac:dyDescent="0.25">
      <c r="A1181">
        <f t="shared" si="18"/>
        <v>0</v>
      </c>
      <c r="C1181">
        <f>NOT(hospitalityq!C1181="")*(SUMPRODUCT(--(TRIM(hospitalityq!C6:C1181)=TRIM(hospitalityq!C1181)))&gt;1)</f>
        <v>0</v>
      </c>
      <c r="D1181">
        <f>NOT(hospitalityq!D1181="")*(COUNTIF(reference!$C$17:$C$18,TRIM(hospitalityq!D1181))=0)</f>
        <v>0</v>
      </c>
      <c r="J1181">
        <f>NOT(hospitalityq!J1181="")*(NOT(ISNUMBER(hospitalityq!J1181+0)))</f>
        <v>0</v>
      </c>
      <c r="K1181">
        <f>NOT(hospitalityq!K1181="")*(NOT(ISNUMBER(hospitalityq!K1181+0)))</f>
        <v>0</v>
      </c>
      <c r="P1181">
        <f>NOT(hospitalityq!P1181="")*(NOT(IFERROR(INT(hospitalityq!P1181)=VALUE(hospitalityq!P1181),FALSE)))</f>
        <v>0</v>
      </c>
      <c r="Q1181">
        <f>NOT(hospitalityq!Q1181="")*(NOT(IFERROR(INT(hospitalityq!Q1181)=VALUE(hospitalityq!Q1181),FALSE)))</f>
        <v>0</v>
      </c>
      <c r="R1181">
        <f>NOT(hospitalityq!R1181="")*(NOT(IFERROR(ROUND(VALUE(hospitalityq!R1181),2)=VALUE(hospitalityq!R1181),FALSE)))</f>
        <v>0</v>
      </c>
    </row>
    <row r="1182" spans="1:18" x14ac:dyDescent="0.25">
      <c r="A1182">
        <f t="shared" si="18"/>
        <v>0</v>
      </c>
      <c r="C1182">
        <f>NOT(hospitalityq!C1182="")*(SUMPRODUCT(--(TRIM(hospitalityq!C6:C1182)=TRIM(hospitalityq!C1182)))&gt;1)</f>
        <v>0</v>
      </c>
      <c r="D1182">
        <f>NOT(hospitalityq!D1182="")*(COUNTIF(reference!$C$17:$C$18,TRIM(hospitalityq!D1182))=0)</f>
        <v>0</v>
      </c>
      <c r="J1182">
        <f>NOT(hospitalityq!J1182="")*(NOT(ISNUMBER(hospitalityq!J1182+0)))</f>
        <v>0</v>
      </c>
      <c r="K1182">
        <f>NOT(hospitalityq!K1182="")*(NOT(ISNUMBER(hospitalityq!K1182+0)))</f>
        <v>0</v>
      </c>
      <c r="P1182">
        <f>NOT(hospitalityq!P1182="")*(NOT(IFERROR(INT(hospitalityq!P1182)=VALUE(hospitalityq!P1182),FALSE)))</f>
        <v>0</v>
      </c>
      <c r="Q1182">
        <f>NOT(hospitalityq!Q1182="")*(NOT(IFERROR(INT(hospitalityq!Q1182)=VALUE(hospitalityq!Q1182),FALSE)))</f>
        <v>0</v>
      </c>
      <c r="R1182">
        <f>NOT(hospitalityq!R1182="")*(NOT(IFERROR(ROUND(VALUE(hospitalityq!R1182),2)=VALUE(hospitalityq!R1182),FALSE)))</f>
        <v>0</v>
      </c>
    </row>
    <row r="1183" spans="1:18" x14ac:dyDescent="0.25">
      <c r="A1183">
        <f t="shared" si="18"/>
        <v>0</v>
      </c>
      <c r="C1183">
        <f>NOT(hospitalityq!C1183="")*(SUMPRODUCT(--(TRIM(hospitalityq!C6:C1183)=TRIM(hospitalityq!C1183)))&gt;1)</f>
        <v>0</v>
      </c>
      <c r="D1183">
        <f>NOT(hospitalityq!D1183="")*(COUNTIF(reference!$C$17:$C$18,TRIM(hospitalityq!D1183))=0)</f>
        <v>0</v>
      </c>
      <c r="J1183">
        <f>NOT(hospitalityq!J1183="")*(NOT(ISNUMBER(hospitalityq!J1183+0)))</f>
        <v>0</v>
      </c>
      <c r="K1183">
        <f>NOT(hospitalityq!K1183="")*(NOT(ISNUMBER(hospitalityq!K1183+0)))</f>
        <v>0</v>
      </c>
      <c r="P1183">
        <f>NOT(hospitalityq!P1183="")*(NOT(IFERROR(INT(hospitalityq!P1183)=VALUE(hospitalityq!P1183),FALSE)))</f>
        <v>0</v>
      </c>
      <c r="Q1183">
        <f>NOT(hospitalityq!Q1183="")*(NOT(IFERROR(INT(hospitalityq!Q1183)=VALUE(hospitalityq!Q1183),FALSE)))</f>
        <v>0</v>
      </c>
      <c r="R1183">
        <f>NOT(hospitalityq!R1183="")*(NOT(IFERROR(ROUND(VALUE(hospitalityq!R1183),2)=VALUE(hospitalityq!R1183),FALSE)))</f>
        <v>0</v>
      </c>
    </row>
    <row r="1184" spans="1:18" x14ac:dyDescent="0.25">
      <c r="A1184">
        <f t="shared" si="18"/>
        <v>0</v>
      </c>
      <c r="C1184">
        <f>NOT(hospitalityq!C1184="")*(SUMPRODUCT(--(TRIM(hospitalityq!C6:C1184)=TRIM(hospitalityq!C1184)))&gt;1)</f>
        <v>0</v>
      </c>
      <c r="D1184">
        <f>NOT(hospitalityq!D1184="")*(COUNTIF(reference!$C$17:$C$18,TRIM(hospitalityq!D1184))=0)</f>
        <v>0</v>
      </c>
      <c r="J1184">
        <f>NOT(hospitalityq!J1184="")*(NOT(ISNUMBER(hospitalityq!J1184+0)))</f>
        <v>0</v>
      </c>
      <c r="K1184">
        <f>NOT(hospitalityq!K1184="")*(NOT(ISNUMBER(hospitalityq!K1184+0)))</f>
        <v>0</v>
      </c>
      <c r="P1184">
        <f>NOT(hospitalityq!P1184="")*(NOT(IFERROR(INT(hospitalityq!P1184)=VALUE(hospitalityq!P1184),FALSE)))</f>
        <v>0</v>
      </c>
      <c r="Q1184">
        <f>NOT(hospitalityq!Q1184="")*(NOT(IFERROR(INT(hospitalityq!Q1184)=VALUE(hospitalityq!Q1184),FALSE)))</f>
        <v>0</v>
      </c>
      <c r="R1184">
        <f>NOT(hospitalityq!R1184="")*(NOT(IFERROR(ROUND(VALUE(hospitalityq!R1184),2)=VALUE(hospitalityq!R1184),FALSE)))</f>
        <v>0</v>
      </c>
    </row>
    <row r="1185" spans="1:18" x14ac:dyDescent="0.25">
      <c r="A1185">
        <f t="shared" si="18"/>
        <v>0</v>
      </c>
      <c r="C1185">
        <f>NOT(hospitalityq!C1185="")*(SUMPRODUCT(--(TRIM(hospitalityq!C6:C1185)=TRIM(hospitalityq!C1185)))&gt;1)</f>
        <v>0</v>
      </c>
      <c r="D1185">
        <f>NOT(hospitalityq!D1185="")*(COUNTIF(reference!$C$17:$C$18,TRIM(hospitalityq!D1185))=0)</f>
        <v>0</v>
      </c>
      <c r="J1185">
        <f>NOT(hospitalityq!J1185="")*(NOT(ISNUMBER(hospitalityq!J1185+0)))</f>
        <v>0</v>
      </c>
      <c r="K1185">
        <f>NOT(hospitalityq!K1185="")*(NOT(ISNUMBER(hospitalityq!K1185+0)))</f>
        <v>0</v>
      </c>
      <c r="P1185">
        <f>NOT(hospitalityq!P1185="")*(NOT(IFERROR(INT(hospitalityq!P1185)=VALUE(hospitalityq!P1185),FALSE)))</f>
        <v>0</v>
      </c>
      <c r="Q1185">
        <f>NOT(hospitalityq!Q1185="")*(NOT(IFERROR(INT(hospitalityq!Q1185)=VALUE(hospitalityq!Q1185),FALSE)))</f>
        <v>0</v>
      </c>
      <c r="R1185">
        <f>NOT(hospitalityq!R1185="")*(NOT(IFERROR(ROUND(VALUE(hospitalityq!R1185),2)=VALUE(hospitalityq!R1185),FALSE)))</f>
        <v>0</v>
      </c>
    </row>
    <row r="1186" spans="1:18" x14ac:dyDescent="0.25">
      <c r="A1186">
        <f t="shared" si="18"/>
        <v>0</v>
      </c>
      <c r="C1186">
        <f>NOT(hospitalityq!C1186="")*(SUMPRODUCT(--(TRIM(hospitalityq!C6:C1186)=TRIM(hospitalityq!C1186)))&gt;1)</f>
        <v>0</v>
      </c>
      <c r="D1186">
        <f>NOT(hospitalityq!D1186="")*(COUNTIF(reference!$C$17:$C$18,TRIM(hospitalityq!D1186))=0)</f>
        <v>0</v>
      </c>
      <c r="J1186">
        <f>NOT(hospitalityq!J1186="")*(NOT(ISNUMBER(hospitalityq!J1186+0)))</f>
        <v>0</v>
      </c>
      <c r="K1186">
        <f>NOT(hospitalityq!K1186="")*(NOT(ISNUMBER(hospitalityq!K1186+0)))</f>
        <v>0</v>
      </c>
      <c r="P1186">
        <f>NOT(hospitalityq!P1186="")*(NOT(IFERROR(INT(hospitalityq!P1186)=VALUE(hospitalityq!P1186),FALSE)))</f>
        <v>0</v>
      </c>
      <c r="Q1186">
        <f>NOT(hospitalityq!Q1186="")*(NOT(IFERROR(INT(hospitalityq!Q1186)=VALUE(hospitalityq!Q1186),FALSE)))</f>
        <v>0</v>
      </c>
      <c r="R1186">
        <f>NOT(hospitalityq!R1186="")*(NOT(IFERROR(ROUND(VALUE(hospitalityq!R1186),2)=VALUE(hospitalityq!R1186),FALSE)))</f>
        <v>0</v>
      </c>
    </row>
    <row r="1187" spans="1:18" x14ac:dyDescent="0.25">
      <c r="A1187">
        <f t="shared" si="18"/>
        <v>0</v>
      </c>
      <c r="C1187">
        <f>NOT(hospitalityq!C1187="")*(SUMPRODUCT(--(TRIM(hospitalityq!C6:C1187)=TRIM(hospitalityq!C1187)))&gt;1)</f>
        <v>0</v>
      </c>
      <c r="D1187">
        <f>NOT(hospitalityq!D1187="")*(COUNTIF(reference!$C$17:$C$18,TRIM(hospitalityq!D1187))=0)</f>
        <v>0</v>
      </c>
      <c r="J1187">
        <f>NOT(hospitalityq!J1187="")*(NOT(ISNUMBER(hospitalityq!J1187+0)))</f>
        <v>0</v>
      </c>
      <c r="K1187">
        <f>NOT(hospitalityq!K1187="")*(NOT(ISNUMBER(hospitalityq!K1187+0)))</f>
        <v>0</v>
      </c>
      <c r="P1187">
        <f>NOT(hospitalityq!P1187="")*(NOT(IFERROR(INT(hospitalityq!P1187)=VALUE(hospitalityq!P1187),FALSE)))</f>
        <v>0</v>
      </c>
      <c r="Q1187">
        <f>NOT(hospitalityq!Q1187="")*(NOT(IFERROR(INT(hospitalityq!Q1187)=VALUE(hospitalityq!Q1187),FALSE)))</f>
        <v>0</v>
      </c>
      <c r="R1187">
        <f>NOT(hospitalityq!R1187="")*(NOT(IFERROR(ROUND(VALUE(hospitalityq!R1187),2)=VALUE(hospitalityq!R1187),FALSE)))</f>
        <v>0</v>
      </c>
    </row>
    <row r="1188" spans="1:18" x14ac:dyDescent="0.25">
      <c r="A1188">
        <f t="shared" si="18"/>
        <v>0</v>
      </c>
      <c r="C1188">
        <f>NOT(hospitalityq!C1188="")*(SUMPRODUCT(--(TRIM(hospitalityq!C6:C1188)=TRIM(hospitalityq!C1188)))&gt;1)</f>
        <v>0</v>
      </c>
      <c r="D1188">
        <f>NOT(hospitalityq!D1188="")*(COUNTIF(reference!$C$17:$C$18,TRIM(hospitalityq!D1188))=0)</f>
        <v>0</v>
      </c>
      <c r="J1188">
        <f>NOT(hospitalityq!J1188="")*(NOT(ISNUMBER(hospitalityq!J1188+0)))</f>
        <v>0</v>
      </c>
      <c r="K1188">
        <f>NOT(hospitalityq!K1188="")*(NOT(ISNUMBER(hospitalityq!K1188+0)))</f>
        <v>0</v>
      </c>
      <c r="P1188">
        <f>NOT(hospitalityq!P1188="")*(NOT(IFERROR(INT(hospitalityq!P1188)=VALUE(hospitalityq!P1188),FALSE)))</f>
        <v>0</v>
      </c>
      <c r="Q1188">
        <f>NOT(hospitalityq!Q1188="")*(NOT(IFERROR(INT(hospitalityq!Q1188)=VALUE(hospitalityq!Q1188),FALSE)))</f>
        <v>0</v>
      </c>
      <c r="R1188">
        <f>NOT(hospitalityq!R1188="")*(NOT(IFERROR(ROUND(VALUE(hospitalityq!R1188),2)=VALUE(hospitalityq!R1188),FALSE)))</f>
        <v>0</v>
      </c>
    </row>
    <row r="1189" spans="1:18" x14ac:dyDescent="0.25">
      <c r="A1189">
        <f t="shared" si="18"/>
        <v>0</v>
      </c>
      <c r="C1189">
        <f>NOT(hospitalityq!C1189="")*(SUMPRODUCT(--(TRIM(hospitalityq!C6:C1189)=TRIM(hospitalityq!C1189)))&gt;1)</f>
        <v>0</v>
      </c>
      <c r="D1189">
        <f>NOT(hospitalityq!D1189="")*(COUNTIF(reference!$C$17:$C$18,TRIM(hospitalityq!D1189))=0)</f>
        <v>0</v>
      </c>
      <c r="J1189">
        <f>NOT(hospitalityq!J1189="")*(NOT(ISNUMBER(hospitalityq!J1189+0)))</f>
        <v>0</v>
      </c>
      <c r="K1189">
        <f>NOT(hospitalityq!K1189="")*(NOT(ISNUMBER(hospitalityq!K1189+0)))</f>
        <v>0</v>
      </c>
      <c r="P1189">
        <f>NOT(hospitalityq!P1189="")*(NOT(IFERROR(INT(hospitalityq!P1189)=VALUE(hospitalityq!P1189),FALSE)))</f>
        <v>0</v>
      </c>
      <c r="Q1189">
        <f>NOT(hospitalityq!Q1189="")*(NOT(IFERROR(INT(hospitalityq!Q1189)=VALUE(hospitalityq!Q1189),FALSE)))</f>
        <v>0</v>
      </c>
      <c r="R1189">
        <f>NOT(hospitalityq!R1189="")*(NOT(IFERROR(ROUND(VALUE(hospitalityq!R1189),2)=VALUE(hospitalityq!R1189),FALSE)))</f>
        <v>0</v>
      </c>
    </row>
    <row r="1190" spans="1:18" x14ac:dyDescent="0.25">
      <c r="A1190">
        <f t="shared" si="18"/>
        <v>0</v>
      </c>
      <c r="C1190">
        <f>NOT(hospitalityq!C1190="")*(SUMPRODUCT(--(TRIM(hospitalityq!C6:C1190)=TRIM(hospitalityq!C1190)))&gt;1)</f>
        <v>0</v>
      </c>
      <c r="D1190">
        <f>NOT(hospitalityq!D1190="")*(COUNTIF(reference!$C$17:$C$18,TRIM(hospitalityq!D1190))=0)</f>
        <v>0</v>
      </c>
      <c r="J1190">
        <f>NOT(hospitalityq!J1190="")*(NOT(ISNUMBER(hospitalityq!J1190+0)))</f>
        <v>0</v>
      </c>
      <c r="K1190">
        <f>NOT(hospitalityq!K1190="")*(NOT(ISNUMBER(hospitalityq!K1190+0)))</f>
        <v>0</v>
      </c>
      <c r="P1190">
        <f>NOT(hospitalityq!P1190="")*(NOT(IFERROR(INT(hospitalityq!P1190)=VALUE(hospitalityq!P1190),FALSE)))</f>
        <v>0</v>
      </c>
      <c r="Q1190">
        <f>NOT(hospitalityq!Q1190="")*(NOT(IFERROR(INT(hospitalityq!Q1190)=VALUE(hospitalityq!Q1190),FALSE)))</f>
        <v>0</v>
      </c>
      <c r="R1190">
        <f>NOT(hospitalityq!R1190="")*(NOT(IFERROR(ROUND(VALUE(hospitalityq!R1190),2)=VALUE(hospitalityq!R1190),FALSE)))</f>
        <v>0</v>
      </c>
    </row>
    <row r="1191" spans="1:18" x14ac:dyDescent="0.25">
      <c r="A1191">
        <f t="shared" si="18"/>
        <v>0</v>
      </c>
      <c r="C1191">
        <f>NOT(hospitalityq!C1191="")*(SUMPRODUCT(--(TRIM(hospitalityq!C6:C1191)=TRIM(hospitalityq!C1191)))&gt;1)</f>
        <v>0</v>
      </c>
      <c r="D1191">
        <f>NOT(hospitalityq!D1191="")*(COUNTIF(reference!$C$17:$C$18,TRIM(hospitalityq!D1191))=0)</f>
        <v>0</v>
      </c>
      <c r="J1191">
        <f>NOT(hospitalityq!J1191="")*(NOT(ISNUMBER(hospitalityq!J1191+0)))</f>
        <v>0</v>
      </c>
      <c r="K1191">
        <f>NOT(hospitalityq!K1191="")*(NOT(ISNUMBER(hospitalityq!K1191+0)))</f>
        <v>0</v>
      </c>
      <c r="P1191">
        <f>NOT(hospitalityq!P1191="")*(NOT(IFERROR(INT(hospitalityq!P1191)=VALUE(hospitalityq!P1191),FALSE)))</f>
        <v>0</v>
      </c>
      <c r="Q1191">
        <f>NOT(hospitalityq!Q1191="")*(NOT(IFERROR(INT(hospitalityq!Q1191)=VALUE(hospitalityq!Q1191),FALSE)))</f>
        <v>0</v>
      </c>
      <c r="R1191">
        <f>NOT(hospitalityq!R1191="")*(NOT(IFERROR(ROUND(VALUE(hospitalityq!R1191),2)=VALUE(hospitalityq!R1191),FALSE)))</f>
        <v>0</v>
      </c>
    </row>
    <row r="1192" spans="1:18" x14ac:dyDescent="0.25">
      <c r="A1192">
        <f t="shared" si="18"/>
        <v>0</v>
      </c>
      <c r="C1192">
        <f>NOT(hospitalityq!C1192="")*(SUMPRODUCT(--(TRIM(hospitalityq!C6:C1192)=TRIM(hospitalityq!C1192)))&gt;1)</f>
        <v>0</v>
      </c>
      <c r="D1192">
        <f>NOT(hospitalityq!D1192="")*(COUNTIF(reference!$C$17:$C$18,TRIM(hospitalityq!D1192))=0)</f>
        <v>0</v>
      </c>
      <c r="J1192">
        <f>NOT(hospitalityq!J1192="")*(NOT(ISNUMBER(hospitalityq!J1192+0)))</f>
        <v>0</v>
      </c>
      <c r="K1192">
        <f>NOT(hospitalityq!K1192="")*(NOT(ISNUMBER(hospitalityq!K1192+0)))</f>
        <v>0</v>
      </c>
      <c r="P1192">
        <f>NOT(hospitalityq!P1192="")*(NOT(IFERROR(INT(hospitalityq!P1192)=VALUE(hospitalityq!P1192),FALSE)))</f>
        <v>0</v>
      </c>
      <c r="Q1192">
        <f>NOT(hospitalityq!Q1192="")*(NOT(IFERROR(INT(hospitalityq!Q1192)=VALUE(hospitalityq!Q1192),FALSE)))</f>
        <v>0</v>
      </c>
      <c r="R1192">
        <f>NOT(hospitalityq!R1192="")*(NOT(IFERROR(ROUND(VALUE(hospitalityq!R1192),2)=VALUE(hospitalityq!R1192),FALSE)))</f>
        <v>0</v>
      </c>
    </row>
    <row r="1193" spans="1:18" x14ac:dyDescent="0.25">
      <c r="A1193">
        <f t="shared" si="18"/>
        <v>0</v>
      </c>
      <c r="C1193">
        <f>NOT(hospitalityq!C1193="")*(SUMPRODUCT(--(TRIM(hospitalityq!C6:C1193)=TRIM(hospitalityq!C1193)))&gt;1)</f>
        <v>0</v>
      </c>
      <c r="D1193">
        <f>NOT(hospitalityq!D1193="")*(COUNTIF(reference!$C$17:$C$18,TRIM(hospitalityq!D1193))=0)</f>
        <v>0</v>
      </c>
      <c r="J1193">
        <f>NOT(hospitalityq!J1193="")*(NOT(ISNUMBER(hospitalityq!J1193+0)))</f>
        <v>0</v>
      </c>
      <c r="K1193">
        <f>NOT(hospitalityq!K1193="")*(NOT(ISNUMBER(hospitalityq!K1193+0)))</f>
        <v>0</v>
      </c>
      <c r="P1193">
        <f>NOT(hospitalityq!P1193="")*(NOT(IFERROR(INT(hospitalityq!P1193)=VALUE(hospitalityq!P1193),FALSE)))</f>
        <v>0</v>
      </c>
      <c r="Q1193">
        <f>NOT(hospitalityq!Q1193="")*(NOT(IFERROR(INT(hospitalityq!Q1193)=VALUE(hospitalityq!Q1193),FALSE)))</f>
        <v>0</v>
      </c>
      <c r="R1193">
        <f>NOT(hospitalityq!R1193="")*(NOT(IFERROR(ROUND(VALUE(hospitalityq!R1193),2)=VALUE(hospitalityq!R1193),FALSE)))</f>
        <v>0</v>
      </c>
    </row>
    <row r="1194" spans="1:18" x14ac:dyDescent="0.25">
      <c r="A1194">
        <f t="shared" si="18"/>
        <v>0</v>
      </c>
      <c r="C1194">
        <f>NOT(hospitalityq!C1194="")*(SUMPRODUCT(--(TRIM(hospitalityq!C6:C1194)=TRIM(hospitalityq!C1194)))&gt;1)</f>
        <v>0</v>
      </c>
      <c r="D1194">
        <f>NOT(hospitalityq!D1194="")*(COUNTIF(reference!$C$17:$C$18,TRIM(hospitalityq!D1194))=0)</f>
        <v>0</v>
      </c>
      <c r="J1194">
        <f>NOT(hospitalityq!J1194="")*(NOT(ISNUMBER(hospitalityq!J1194+0)))</f>
        <v>0</v>
      </c>
      <c r="K1194">
        <f>NOT(hospitalityq!K1194="")*(NOT(ISNUMBER(hospitalityq!K1194+0)))</f>
        <v>0</v>
      </c>
      <c r="P1194">
        <f>NOT(hospitalityq!P1194="")*(NOT(IFERROR(INT(hospitalityq!P1194)=VALUE(hospitalityq!P1194),FALSE)))</f>
        <v>0</v>
      </c>
      <c r="Q1194">
        <f>NOT(hospitalityq!Q1194="")*(NOT(IFERROR(INT(hospitalityq!Q1194)=VALUE(hospitalityq!Q1194),FALSE)))</f>
        <v>0</v>
      </c>
      <c r="R1194">
        <f>NOT(hospitalityq!R1194="")*(NOT(IFERROR(ROUND(VALUE(hospitalityq!R1194),2)=VALUE(hospitalityq!R1194),FALSE)))</f>
        <v>0</v>
      </c>
    </row>
    <row r="1195" spans="1:18" x14ac:dyDescent="0.25">
      <c r="A1195">
        <f t="shared" si="18"/>
        <v>0</v>
      </c>
      <c r="C1195">
        <f>NOT(hospitalityq!C1195="")*(SUMPRODUCT(--(TRIM(hospitalityq!C6:C1195)=TRIM(hospitalityq!C1195)))&gt;1)</f>
        <v>0</v>
      </c>
      <c r="D1195">
        <f>NOT(hospitalityq!D1195="")*(COUNTIF(reference!$C$17:$C$18,TRIM(hospitalityq!D1195))=0)</f>
        <v>0</v>
      </c>
      <c r="J1195">
        <f>NOT(hospitalityq!J1195="")*(NOT(ISNUMBER(hospitalityq!J1195+0)))</f>
        <v>0</v>
      </c>
      <c r="K1195">
        <f>NOT(hospitalityq!K1195="")*(NOT(ISNUMBER(hospitalityq!K1195+0)))</f>
        <v>0</v>
      </c>
      <c r="P1195">
        <f>NOT(hospitalityq!P1195="")*(NOT(IFERROR(INT(hospitalityq!P1195)=VALUE(hospitalityq!P1195),FALSE)))</f>
        <v>0</v>
      </c>
      <c r="Q1195">
        <f>NOT(hospitalityq!Q1195="")*(NOT(IFERROR(INT(hospitalityq!Q1195)=VALUE(hospitalityq!Q1195),FALSE)))</f>
        <v>0</v>
      </c>
      <c r="R1195">
        <f>NOT(hospitalityq!R1195="")*(NOT(IFERROR(ROUND(VALUE(hospitalityq!R1195),2)=VALUE(hospitalityq!R1195),FALSE)))</f>
        <v>0</v>
      </c>
    </row>
    <row r="1196" spans="1:18" x14ac:dyDescent="0.25">
      <c r="A1196">
        <f t="shared" si="18"/>
        <v>0</v>
      </c>
      <c r="C1196">
        <f>NOT(hospitalityq!C1196="")*(SUMPRODUCT(--(TRIM(hospitalityq!C6:C1196)=TRIM(hospitalityq!C1196)))&gt;1)</f>
        <v>0</v>
      </c>
      <c r="D1196">
        <f>NOT(hospitalityq!D1196="")*(COUNTIF(reference!$C$17:$C$18,TRIM(hospitalityq!D1196))=0)</f>
        <v>0</v>
      </c>
      <c r="J1196">
        <f>NOT(hospitalityq!J1196="")*(NOT(ISNUMBER(hospitalityq!J1196+0)))</f>
        <v>0</v>
      </c>
      <c r="K1196">
        <f>NOT(hospitalityq!K1196="")*(NOT(ISNUMBER(hospitalityq!K1196+0)))</f>
        <v>0</v>
      </c>
      <c r="P1196">
        <f>NOT(hospitalityq!P1196="")*(NOT(IFERROR(INT(hospitalityq!P1196)=VALUE(hospitalityq!P1196),FALSE)))</f>
        <v>0</v>
      </c>
      <c r="Q1196">
        <f>NOT(hospitalityq!Q1196="")*(NOT(IFERROR(INT(hospitalityq!Q1196)=VALUE(hospitalityq!Q1196),FALSE)))</f>
        <v>0</v>
      </c>
      <c r="R1196">
        <f>NOT(hospitalityq!R1196="")*(NOT(IFERROR(ROUND(VALUE(hospitalityq!R1196),2)=VALUE(hospitalityq!R1196),FALSE)))</f>
        <v>0</v>
      </c>
    </row>
    <row r="1197" spans="1:18" x14ac:dyDescent="0.25">
      <c r="A1197">
        <f t="shared" si="18"/>
        <v>0</v>
      </c>
      <c r="C1197">
        <f>NOT(hospitalityq!C1197="")*(SUMPRODUCT(--(TRIM(hospitalityq!C6:C1197)=TRIM(hospitalityq!C1197)))&gt;1)</f>
        <v>0</v>
      </c>
      <c r="D1197">
        <f>NOT(hospitalityq!D1197="")*(COUNTIF(reference!$C$17:$C$18,TRIM(hospitalityq!D1197))=0)</f>
        <v>0</v>
      </c>
      <c r="J1197">
        <f>NOT(hospitalityq!J1197="")*(NOT(ISNUMBER(hospitalityq!J1197+0)))</f>
        <v>0</v>
      </c>
      <c r="K1197">
        <f>NOT(hospitalityq!K1197="")*(NOT(ISNUMBER(hospitalityq!K1197+0)))</f>
        <v>0</v>
      </c>
      <c r="P1197">
        <f>NOT(hospitalityq!P1197="")*(NOT(IFERROR(INT(hospitalityq!P1197)=VALUE(hospitalityq!P1197),FALSE)))</f>
        <v>0</v>
      </c>
      <c r="Q1197">
        <f>NOT(hospitalityq!Q1197="")*(NOT(IFERROR(INT(hospitalityq!Q1197)=VALUE(hospitalityq!Q1197),FALSE)))</f>
        <v>0</v>
      </c>
      <c r="R1197">
        <f>NOT(hospitalityq!R1197="")*(NOT(IFERROR(ROUND(VALUE(hospitalityq!R1197),2)=VALUE(hospitalityq!R1197),FALSE)))</f>
        <v>0</v>
      </c>
    </row>
    <row r="1198" spans="1:18" x14ac:dyDescent="0.25">
      <c r="A1198">
        <f t="shared" si="18"/>
        <v>0</v>
      </c>
      <c r="C1198">
        <f>NOT(hospitalityq!C1198="")*(SUMPRODUCT(--(TRIM(hospitalityq!C6:C1198)=TRIM(hospitalityq!C1198)))&gt;1)</f>
        <v>0</v>
      </c>
      <c r="D1198">
        <f>NOT(hospitalityq!D1198="")*(COUNTIF(reference!$C$17:$C$18,TRIM(hospitalityq!D1198))=0)</f>
        <v>0</v>
      </c>
      <c r="J1198">
        <f>NOT(hospitalityq!J1198="")*(NOT(ISNUMBER(hospitalityq!J1198+0)))</f>
        <v>0</v>
      </c>
      <c r="K1198">
        <f>NOT(hospitalityq!K1198="")*(NOT(ISNUMBER(hospitalityq!K1198+0)))</f>
        <v>0</v>
      </c>
      <c r="P1198">
        <f>NOT(hospitalityq!P1198="")*(NOT(IFERROR(INT(hospitalityq!P1198)=VALUE(hospitalityq!P1198),FALSE)))</f>
        <v>0</v>
      </c>
      <c r="Q1198">
        <f>NOT(hospitalityq!Q1198="")*(NOT(IFERROR(INT(hospitalityq!Q1198)=VALUE(hospitalityq!Q1198),FALSE)))</f>
        <v>0</v>
      </c>
      <c r="R1198">
        <f>NOT(hospitalityq!R1198="")*(NOT(IFERROR(ROUND(VALUE(hospitalityq!R1198),2)=VALUE(hospitalityq!R1198),FALSE)))</f>
        <v>0</v>
      </c>
    </row>
    <row r="1199" spans="1:18" x14ac:dyDescent="0.25">
      <c r="A1199">
        <f t="shared" si="18"/>
        <v>0</v>
      </c>
      <c r="C1199">
        <f>NOT(hospitalityq!C1199="")*(SUMPRODUCT(--(TRIM(hospitalityq!C6:C1199)=TRIM(hospitalityq!C1199)))&gt;1)</f>
        <v>0</v>
      </c>
      <c r="D1199">
        <f>NOT(hospitalityq!D1199="")*(COUNTIF(reference!$C$17:$C$18,TRIM(hospitalityq!D1199))=0)</f>
        <v>0</v>
      </c>
      <c r="J1199">
        <f>NOT(hospitalityq!J1199="")*(NOT(ISNUMBER(hospitalityq!J1199+0)))</f>
        <v>0</v>
      </c>
      <c r="K1199">
        <f>NOT(hospitalityq!K1199="")*(NOT(ISNUMBER(hospitalityq!K1199+0)))</f>
        <v>0</v>
      </c>
      <c r="P1199">
        <f>NOT(hospitalityq!P1199="")*(NOT(IFERROR(INT(hospitalityq!P1199)=VALUE(hospitalityq!P1199),FALSE)))</f>
        <v>0</v>
      </c>
      <c r="Q1199">
        <f>NOT(hospitalityq!Q1199="")*(NOT(IFERROR(INT(hospitalityq!Q1199)=VALUE(hospitalityq!Q1199),FALSE)))</f>
        <v>0</v>
      </c>
      <c r="R1199">
        <f>NOT(hospitalityq!R1199="")*(NOT(IFERROR(ROUND(VALUE(hospitalityq!R1199),2)=VALUE(hospitalityq!R1199),FALSE)))</f>
        <v>0</v>
      </c>
    </row>
    <row r="1200" spans="1:18" x14ac:dyDescent="0.25">
      <c r="A1200">
        <f t="shared" si="18"/>
        <v>0</v>
      </c>
      <c r="C1200">
        <f>NOT(hospitalityq!C1200="")*(SUMPRODUCT(--(TRIM(hospitalityq!C6:C1200)=TRIM(hospitalityq!C1200)))&gt;1)</f>
        <v>0</v>
      </c>
      <c r="D1200">
        <f>NOT(hospitalityq!D1200="")*(COUNTIF(reference!$C$17:$C$18,TRIM(hospitalityq!D1200))=0)</f>
        <v>0</v>
      </c>
      <c r="J1200">
        <f>NOT(hospitalityq!J1200="")*(NOT(ISNUMBER(hospitalityq!J1200+0)))</f>
        <v>0</v>
      </c>
      <c r="K1200">
        <f>NOT(hospitalityq!K1200="")*(NOT(ISNUMBER(hospitalityq!K1200+0)))</f>
        <v>0</v>
      </c>
      <c r="P1200">
        <f>NOT(hospitalityq!P1200="")*(NOT(IFERROR(INT(hospitalityq!P1200)=VALUE(hospitalityq!P1200),FALSE)))</f>
        <v>0</v>
      </c>
      <c r="Q1200">
        <f>NOT(hospitalityq!Q1200="")*(NOT(IFERROR(INT(hospitalityq!Q1200)=VALUE(hospitalityq!Q1200),FALSE)))</f>
        <v>0</v>
      </c>
      <c r="R1200">
        <f>NOT(hospitalityq!R1200="")*(NOT(IFERROR(ROUND(VALUE(hospitalityq!R1200),2)=VALUE(hospitalityq!R1200),FALSE)))</f>
        <v>0</v>
      </c>
    </row>
    <row r="1201" spans="1:18" x14ac:dyDescent="0.25">
      <c r="A1201">
        <f t="shared" si="18"/>
        <v>0</v>
      </c>
      <c r="C1201">
        <f>NOT(hospitalityq!C1201="")*(SUMPRODUCT(--(TRIM(hospitalityq!C6:C1201)=TRIM(hospitalityq!C1201)))&gt;1)</f>
        <v>0</v>
      </c>
      <c r="D1201">
        <f>NOT(hospitalityq!D1201="")*(COUNTIF(reference!$C$17:$C$18,TRIM(hospitalityq!D1201))=0)</f>
        <v>0</v>
      </c>
      <c r="J1201">
        <f>NOT(hospitalityq!J1201="")*(NOT(ISNUMBER(hospitalityq!J1201+0)))</f>
        <v>0</v>
      </c>
      <c r="K1201">
        <f>NOT(hospitalityq!K1201="")*(NOT(ISNUMBER(hospitalityq!K1201+0)))</f>
        <v>0</v>
      </c>
      <c r="P1201">
        <f>NOT(hospitalityq!P1201="")*(NOT(IFERROR(INT(hospitalityq!P1201)=VALUE(hospitalityq!P1201),FALSE)))</f>
        <v>0</v>
      </c>
      <c r="Q1201">
        <f>NOT(hospitalityq!Q1201="")*(NOT(IFERROR(INT(hospitalityq!Q1201)=VALUE(hospitalityq!Q1201),FALSE)))</f>
        <v>0</v>
      </c>
      <c r="R1201">
        <f>NOT(hospitalityq!R1201="")*(NOT(IFERROR(ROUND(VALUE(hospitalityq!R1201),2)=VALUE(hospitalityq!R1201),FALSE)))</f>
        <v>0</v>
      </c>
    </row>
    <row r="1202" spans="1:18" x14ac:dyDescent="0.25">
      <c r="A1202">
        <f t="shared" si="18"/>
        <v>0</v>
      </c>
      <c r="C1202">
        <f>NOT(hospitalityq!C1202="")*(SUMPRODUCT(--(TRIM(hospitalityq!C6:C1202)=TRIM(hospitalityq!C1202)))&gt;1)</f>
        <v>0</v>
      </c>
      <c r="D1202">
        <f>NOT(hospitalityq!D1202="")*(COUNTIF(reference!$C$17:$C$18,TRIM(hospitalityq!D1202))=0)</f>
        <v>0</v>
      </c>
      <c r="J1202">
        <f>NOT(hospitalityq!J1202="")*(NOT(ISNUMBER(hospitalityq!J1202+0)))</f>
        <v>0</v>
      </c>
      <c r="K1202">
        <f>NOT(hospitalityq!K1202="")*(NOT(ISNUMBER(hospitalityq!K1202+0)))</f>
        <v>0</v>
      </c>
      <c r="P1202">
        <f>NOT(hospitalityq!P1202="")*(NOT(IFERROR(INT(hospitalityq!P1202)=VALUE(hospitalityq!P1202),FALSE)))</f>
        <v>0</v>
      </c>
      <c r="Q1202">
        <f>NOT(hospitalityq!Q1202="")*(NOT(IFERROR(INT(hospitalityq!Q1202)=VALUE(hospitalityq!Q1202),FALSE)))</f>
        <v>0</v>
      </c>
      <c r="R1202">
        <f>NOT(hospitalityq!R1202="")*(NOT(IFERROR(ROUND(VALUE(hospitalityq!R1202),2)=VALUE(hospitalityq!R1202),FALSE)))</f>
        <v>0</v>
      </c>
    </row>
    <row r="1203" spans="1:18" x14ac:dyDescent="0.25">
      <c r="A1203">
        <f t="shared" si="18"/>
        <v>0</v>
      </c>
      <c r="C1203">
        <f>NOT(hospitalityq!C1203="")*(SUMPRODUCT(--(TRIM(hospitalityq!C6:C1203)=TRIM(hospitalityq!C1203)))&gt;1)</f>
        <v>0</v>
      </c>
      <c r="D1203">
        <f>NOT(hospitalityq!D1203="")*(COUNTIF(reference!$C$17:$C$18,TRIM(hospitalityq!D1203))=0)</f>
        <v>0</v>
      </c>
      <c r="J1203">
        <f>NOT(hospitalityq!J1203="")*(NOT(ISNUMBER(hospitalityq!J1203+0)))</f>
        <v>0</v>
      </c>
      <c r="K1203">
        <f>NOT(hospitalityq!K1203="")*(NOT(ISNUMBER(hospitalityq!K1203+0)))</f>
        <v>0</v>
      </c>
      <c r="P1203">
        <f>NOT(hospitalityq!P1203="")*(NOT(IFERROR(INT(hospitalityq!P1203)=VALUE(hospitalityq!P1203),FALSE)))</f>
        <v>0</v>
      </c>
      <c r="Q1203">
        <f>NOT(hospitalityq!Q1203="")*(NOT(IFERROR(INT(hospitalityq!Q1203)=VALUE(hospitalityq!Q1203),FALSE)))</f>
        <v>0</v>
      </c>
      <c r="R1203">
        <f>NOT(hospitalityq!R1203="")*(NOT(IFERROR(ROUND(VALUE(hospitalityq!R1203),2)=VALUE(hospitalityq!R1203),FALSE)))</f>
        <v>0</v>
      </c>
    </row>
    <row r="1204" spans="1:18" x14ac:dyDescent="0.25">
      <c r="A1204">
        <f t="shared" si="18"/>
        <v>0</v>
      </c>
      <c r="C1204">
        <f>NOT(hospitalityq!C1204="")*(SUMPRODUCT(--(TRIM(hospitalityq!C6:C1204)=TRIM(hospitalityq!C1204)))&gt;1)</f>
        <v>0</v>
      </c>
      <c r="D1204">
        <f>NOT(hospitalityq!D1204="")*(COUNTIF(reference!$C$17:$C$18,TRIM(hospitalityq!D1204))=0)</f>
        <v>0</v>
      </c>
      <c r="J1204">
        <f>NOT(hospitalityq!J1204="")*(NOT(ISNUMBER(hospitalityq!J1204+0)))</f>
        <v>0</v>
      </c>
      <c r="K1204">
        <f>NOT(hospitalityq!K1204="")*(NOT(ISNUMBER(hospitalityq!K1204+0)))</f>
        <v>0</v>
      </c>
      <c r="P1204">
        <f>NOT(hospitalityq!P1204="")*(NOT(IFERROR(INT(hospitalityq!P1204)=VALUE(hospitalityq!P1204),FALSE)))</f>
        <v>0</v>
      </c>
      <c r="Q1204">
        <f>NOT(hospitalityq!Q1204="")*(NOT(IFERROR(INT(hospitalityq!Q1204)=VALUE(hospitalityq!Q1204),FALSE)))</f>
        <v>0</v>
      </c>
      <c r="R1204">
        <f>NOT(hospitalityq!R1204="")*(NOT(IFERROR(ROUND(VALUE(hospitalityq!R1204),2)=VALUE(hospitalityq!R1204),FALSE)))</f>
        <v>0</v>
      </c>
    </row>
    <row r="1205" spans="1:18" x14ac:dyDescent="0.25">
      <c r="A1205">
        <f t="shared" si="18"/>
        <v>0</v>
      </c>
      <c r="C1205">
        <f>NOT(hospitalityq!C1205="")*(SUMPRODUCT(--(TRIM(hospitalityq!C6:C1205)=TRIM(hospitalityq!C1205)))&gt;1)</f>
        <v>0</v>
      </c>
      <c r="D1205">
        <f>NOT(hospitalityq!D1205="")*(COUNTIF(reference!$C$17:$C$18,TRIM(hospitalityq!D1205))=0)</f>
        <v>0</v>
      </c>
      <c r="J1205">
        <f>NOT(hospitalityq!J1205="")*(NOT(ISNUMBER(hospitalityq!J1205+0)))</f>
        <v>0</v>
      </c>
      <c r="K1205">
        <f>NOT(hospitalityq!K1205="")*(NOT(ISNUMBER(hospitalityq!K1205+0)))</f>
        <v>0</v>
      </c>
      <c r="P1205">
        <f>NOT(hospitalityq!P1205="")*(NOT(IFERROR(INT(hospitalityq!P1205)=VALUE(hospitalityq!P1205),FALSE)))</f>
        <v>0</v>
      </c>
      <c r="Q1205">
        <f>NOT(hospitalityq!Q1205="")*(NOT(IFERROR(INT(hospitalityq!Q1205)=VALUE(hospitalityq!Q1205),FALSE)))</f>
        <v>0</v>
      </c>
      <c r="R1205">
        <f>NOT(hospitalityq!R1205="")*(NOT(IFERROR(ROUND(VALUE(hospitalityq!R1205),2)=VALUE(hospitalityq!R1205),FALSE)))</f>
        <v>0</v>
      </c>
    </row>
    <row r="1206" spans="1:18" x14ac:dyDescent="0.25">
      <c r="A1206">
        <f t="shared" si="18"/>
        <v>0</v>
      </c>
      <c r="C1206">
        <f>NOT(hospitalityq!C1206="")*(SUMPRODUCT(--(TRIM(hospitalityq!C6:C1206)=TRIM(hospitalityq!C1206)))&gt;1)</f>
        <v>0</v>
      </c>
      <c r="D1206">
        <f>NOT(hospitalityq!D1206="")*(COUNTIF(reference!$C$17:$C$18,TRIM(hospitalityq!D1206))=0)</f>
        <v>0</v>
      </c>
      <c r="J1206">
        <f>NOT(hospitalityq!J1206="")*(NOT(ISNUMBER(hospitalityq!J1206+0)))</f>
        <v>0</v>
      </c>
      <c r="K1206">
        <f>NOT(hospitalityq!K1206="")*(NOT(ISNUMBER(hospitalityq!K1206+0)))</f>
        <v>0</v>
      </c>
      <c r="P1206">
        <f>NOT(hospitalityq!P1206="")*(NOT(IFERROR(INT(hospitalityq!P1206)=VALUE(hospitalityq!P1206),FALSE)))</f>
        <v>0</v>
      </c>
      <c r="Q1206">
        <f>NOT(hospitalityq!Q1206="")*(NOT(IFERROR(INT(hospitalityq!Q1206)=VALUE(hospitalityq!Q1206),FALSE)))</f>
        <v>0</v>
      </c>
      <c r="R1206">
        <f>NOT(hospitalityq!R1206="")*(NOT(IFERROR(ROUND(VALUE(hospitalityq!R1206),2)=VALUE(hospitalityq!R1206),FALSE)))</f>
        <v>0</v>
      </c>
    </row>
    <row r="1207" spans="1:18" x14ac:dyDescent="0.25">
      <c r="A1207">
        <f t="shared" si="18"/>
        <v>0</v>
      </c>
      <c r="C1207">
        <f>NOT(hospitalityq!C1207="")*(SUMPRODUCT(--(TRIM(hospitalityq!C6:C1207)=TRIM(hospitalityq!C1207)))&gt;1)</f>
        <v>0</v>
      </c>
      <c r="D1207">
        <f>NOT(hospitalityq!D1207="")*(COUNTIF(reference!$C$17:$C$18,TRIM(hospitalityq!D1207))=0)</f>
        <v>0</v>
      </c>
      <c r="J1207">
        <f>NOT(hospitalityq!J1207="")*(NOT(ISNUMBER(hospitalityq!J1207+0)))</f>
        <v>0</v>
      </c>
      <c r="K1207">
        <f>NOT(hospitalityq!K1207="")*(NOT(ISNUMBER(hospitalityq!K1207+0)))</f>
        <v>0</v>
      </c>
      <c r="P1207">
        <f>NOT(hospitalityq!P1207="")*(NOT(IFERROR(INT(hospitalityq!P1207)=VALUE(hospitalityq!P1207),FALSE)))</f>
        <v>0</v>
      </c>
      <c r="Q1207">
        <f>NOT(hospitalityq!Q1207="")*(NOT(IFERROR(INT(hospitalityq!Q1207)=VALUE(hospitalityq!Q1207),FALSE)))</f>
        <v>0</v>
      </c>
      <c r="R1207">
        <f>NOT(hospitalityq!R1207="")*(NOT(IFERROR(ROUND(VALUE(hospitalityq!R1207),2)=VALUE(hospitalityq!R1207),FALSE)))</f>
        <v>0</v>
      </c>
    </row>
    <row r="1208" spans="1:18" x14ac:dyDescent="0.25">
      <c r="A1208">
        <f t="shared" si="18"/>
        <v>0</v>
      </c>
      <c r="C1208">
        <f>NOT(hospitalityq!C1208="")*(SUMPRODUCT(--(TRIM(hospitalityq!C6:C1208)=TRIM(hospitalityq!C1208)))&gt;1)</f>
        <v>0</v>
      </c>
      <c r="D1208">
        <f>NOT(hospitalityq!D1208="")*(COUNTIF(reference!$C$17:$C$18,TRIM(hospitalityq!D1208))=0)</f>
        <v>0</v>
      </c>
      <c r="J1208">
        <f>NOT(hospitalityq!J1208="")*(NOT(ISNUMBER(hospitalityq!J1208+0)))</f>
        <v>0</v>
      </c>
      <c r="K1208">
        <f>NOT(hospitalityq!K1208="")*(NOT(ISNUMBER(hospitalityq!K1208+0)))</f>
        <v>0</v>
      </c>
      <c r="P1208">
        <f>NOT(hospitalityq!P1208="")*(NOT(IFERROR(INT(hospitalityq!P1208)=VALUE(hospitalityq!P1208),FALSE)))</f>
        <v>0</v>
      </c>
      <c r="Q1208">
        <f>NOT(hospitalityq!Q1208="")*(NOT(IFERROR(INT(hospitalityq!Q1208)=VALUE(hospitalityq!Q1208),FALSE)))</f>
        <v>0</v>
      </c>
      <c r="R1208">
        <f>NOT(hospitalityq!R1208="")*(NOT(IFERROR(ROUND(VALUE(hospitalityq!R1208),2)=VALUE(hospitalityq!R1208),FALSE)))</f>
        <v>0</v>
      </c>
    </row>
    <row r="1209" spans="1:18" x14ac:dyDescent="0.25">
      <c r="A1209">
        <f t="shared" si="18"/>
        <v>0</v>
      </c>
      <c r="C1209">
        <f>NOT(hospitalityq!C1209="")*(SUMPRODUCT(--(TRIM(hospitalityq!C6:C1209)=TRIM(hospitalityq!C1209)))&gt;1)</f>
        <v>0</v>
      </c>
      <c r="D1209">
        <f>NOT(hospitalityq!D1209="")*(COUNTIF(reference!$C$17:$C$18,TRIM(hospitalityq!D1209))=0)</f>
        <v>0</v>
      </c>
      <c r="J1209">
        <f>NOT(hospitalityq!J1209="")*(NOT(ISNUMBER(hospitalityq!J1209+0)))</f>
        <v>0</v>
      </c>
      <c r="K1209">
        <f>NOT(hospitalityq!K1209="")*(NOT(ISNUMBER(hospitalityq!K1209+0)))</f>
        <v>0</v>
      </c>
      <c r="P1209">
        <f>NOT(hospitalityq!P1209="")*(NOT(IFERROR(INT(hospitalityq!P1209)=VALUE(hospitalityq!P1209),FALSE)))</f>
        <v>0</v>
      </c>
      <c r="Q1209">
        <f>NOT(hospitalityq!Q1209="")*(NOT(IFERROR(INT(hospitalityq!Q1209)=VALUE(hospitalityq!Q1209),FALSE)))</f>
        <v>0</v>
      </c>
      <c r="R1209">
        <f>NOT(hospitalityq!R1209="")*(NOT(IFERROR(ROUND(VALUE(hospitalityq!R1209),2)=VALUE(hospitalityq!R1209),FALSE)))</f>
        <v>0</v>
      </c>
    </row>
    <row r="1210" spans="1:18" x14ac:dyDescent="0.25">
      <c r="A1210">
        <f t="shared" si="18"/>
        <v>0</v>
      </c>
      <c r="C1210">
        <f>NOT(hospitalityq!C1210="")*(SUMPRODUCT(--(TRIM(hospitalityq!C6:C1210)=TRIM(hospitalityq!C1210)))&gt;1)</f>
        <v>0</v>
      </c>
      <c r="D1210">
        <f>NOT(hospitalityq!D1210="")*(COUNTIF(reference!$C$17:$C$18,TRIM(hospitalityq!D1210))=0)</f>
        <v>0</v>
      </c>
      <c r="J1210">
        <f>NOT(hospitalityq!J1210="")*(NOT(ISNUMBER(hospitalityq!J1210+0)))</f>
        <v>0</v>
      </c>
      <c r="K1210">
        <f>NOT(hospitalityq!K1210="")*(NOT(ISNUMBER(hospitalityq!K1210+0)))</f>
        <v>0</v>
      </c>
      <c r="P1210">
        <f>NOT(hospitalityq!P1210="")*(NOT(IFERROR(INT(hospitalityq!P1210)=VALUE(hospitalityq!P1210),FALSE)))</f>
        <v>0</v>
      </c>
      <c r="Q1210">
        <f>NOT(hospitalityq!Q1210="")*(NOT(IFERROR(INT(hospitalityq!Q1210)=VALUE(hospitalityq!Q1210),FALSE)))</f>
        <v>0</v>
      </c>
      <c r="R1210">
        <f>NOT(hospitalityq!R1210="")*(NOT(IFERROR(ROUND(VALUE(hospitalityq!R1210),2)=VALUE(hospitalityq!R1210),FALSE)))</f>
        <v>0</v>
      </c>
    </row>
    <row r="1211" spans="1:18" x14ac:dyDescent="0.25">
      <c r="A1211">
        <f t="shared" si="18"/>
        <v>0</v>
      </c>
      <c r="C1211">
        <f>NOT(hospitalityq!C1211="")*(SUMPRODUCT(--(TRIM(hospitalityq!C6:C1211)=TRIM(hospitalityq!C1211)))&gt;1)</f>
        <v>0</v>
      </c>
      <c r="D1211">
        <f>NOT(hospitalityq!D1211="")*(COUNTIF(reference!$C$17:$C$18,TRIM(hospitalityq!D1211))=0)</f>
        <v>0</v>
      </c>
      <c r="J1211">
        <f>NOT(hospitalityq!J1211="")*(NOT(ISNUMBER(hospitalityq!J1211+0)))</f>
        <v>0</v>
      </c>
      <c r="K1211">
        <f>NOT(hospitalityq!K1211="")*(NOT(ISNUMBER(hospitalityq!K1211+0)))</f>
        <v>0</v>
      </c>
      <c r="P1211">
        <f>NOT(hospitalityq!P1211="")*(NOT(IFERROR(INT(hospitalityq!P1211)=VALUE(hospitalityq!P1211),FALSE)))</f>
        <v>0</v>
      </c>
      <c r="Q1211">
        <f>NOT(hospitalityq!Q1211="")*(NOT(IFERROR(INT(hospitalityq!Q1211)=VALUE(hospitalityq!Q1211),FALSE)))</f>
        <v>0</v>
      </c>
      <c r="R1211">
        <f>NOT(hospitalityq!R1211="")*(NOT(IFERROR(ROUND(VALUE(hospitalityq!R1211),2)=VALUE(hospitalityq!R1211),FALSE)))</f>
        <v>0</v>
      </c>
    </row>
    <row r="1212" spans="1:18" x14ac:dyDescent="0.25">
      <c r="A1212">
        <f t="shared" si="18"/>
        <v>0</v>
      </c>
      <c r="C1212">
        <f>NOT(hospitalityq!C1212="")*(SUMPRODUCT(--(TRIM(hospitalityq!C6:C1212)=TRIM(hospitalityq!C1212)))&gt;1)</f>
        <v>0</v>
      </c>
      <c r="D1212">
        <f>NOT(hospitalityq!D1212="")*(COUNTIF(reference!$C$17:$C$18,TRIM(hospitalityq!D1212))=0)</f>
        <v>0</v>
      </c>
      <c r="J1212">
        <f>NOT(hospitalityq!J1212="")*(NOT(ISNUMBER(hospitalityq!J1212+0)))</f>
        <v>0</v>
      </c>
      <c r="K1212">
        <f>NOT(hospitalityq!K1212="")*(NOT(ISNUMBER(hospitalityq!K1212+0)))</f>
        <v>0</v>
      </c>
      <c r="P1212">
        <f>NOT(hospitalityq!P1212="")*(NOT(IFERROR(INT(hospitalityq!P1212)=VALUE(hospitalityq!P1212),FALSE)))</f>
        <v>0</v>
      </c>
      <c r="Q1212">
        <f>NOT(hospitalityq!Q1212="")*(NOT(IFERROR(INT(hospitalityq!Q1212)=VALUE(hospitalityq!Q1212),FALSE)))</f>
        <v>0</v>
      </c>
      <c r="R1212">
        <f>NOT(hospitalityq!R1212="")*(NOT(IFERROR(ROUND(VALUE(hospitalityq!R1212),2)=VALUE(hospitalityq!R1212),FALSE)))</f>
        <v>0</v>
      </c>
    </row>
    <row r="1213" spans="1:18" x14ac:dyDescent="0.25">
      <c r="A1213">
        <f t="shared" si="18"/>
        <v>0</v>
      </c>
      <c r="C1213">
        <f>NOT(hospitalityq!C1213="")*(SUMPRODUCT(--(TRIM(hospitalityq!C6:C1213)=TRIM(hospitalityq!C1213)))&gt;1)</f>
        <v>0</v>
      </c>
      <c r="D1213">
        <f>NOT(hospitalityq!D1213="")*(COUNTIF(reference!$C$17:$C$18,TRIM(hospitalityq!D1213))=0)</f>
        <v>0</v>
      </c>
      <c r="J1213">
        <f>NOT(hospitalityq!J1213="")*(NOT(ISNUMBER(hospitalityq!J1213+0)))</f>
        <v>0</v>
      </c>
      <c r="K1213">
        <f>NOT(hospitalityq!K1213="")*(NOT(ISNUMBER(hospitalityq!K1213+0)))</f>
        <v>0</v>
      </c>
      <c r="P1213">
        <f>NOT(hospitalityq!P1213="")*(NOT(IFERROR(INT(hospitalityq!P1213)=VALUE(hospitalityq!P1213),FALSE)))</f>
        <v>0</v>
      </c>
      <c r="Q1213">
        <f>NOT(hospitalityq!Q1213="")*(NOT(IFERROR(INT(hospitalityq!Q1213)=VALUE(hospitalityq!Q1213),FALSE)))</f>
        <v>0</v>
      </c>
      <c r="R1213">
        <f>NOT(hospitalityq!R1213="")*(NOT(IFERROR(ROUND(VALUE(hospitalityq!R1213),2)=VALUE(hospitalityq!R1213),FALSE)))</f>
        <v>0</v>
      </c>
    </row>
    <row r="1214" spans="1:18" x14ac:dyDescent="0.25">
      <c r="A1214">
        <f t="shared" si="18"/>
        <v>0</v>
      </c>
      <c r="C1214">
        <f>NOT(hospitalityq!C1214="")*(SUMPRODUCT(--(TRIM(hospitalityq!C6:C1214)=TRIM(hospitalityq!C1214)))&gt;1)</f>
        <v>0</v>
      </c>
      <c r="D1214">
        <f>NOT(hospitalityq!D1214="")*(COUNTIF(reference!$C$17:$C$18,TRIM(hospitalityq!D1214))=0)</f>
        <v>0</v>
      </c>
      <c r="J1214">
        <f>NOT(hospitalityq!J1214="")*(NOT(ISNUMBER(hospitalityq!J1214+0)))</f>
        <v>0</v>
      </c>
      <c r="K1214">
        <f>NOT(hospitalityq!K1214="")*(NOT(ISNUMBER(hospitalityq!K1214+0)))</f>
        <v>0</v>
      </c>
      <c r="P1214">
        <f>NOT(hospitalityq!P1214="")*(NOT(IFERROR(INT(hospitalityq!P1214)=VALUE(hospitalityq!P1214),FALSE)))</f>
        <v>0</v>
      </c>
      <c r="Q1214">
        <f>NOT(hospitalityq!Q1214="")*(NOT(IFERROR(INT(hospitalityq!Q1214)=VALUE(hospitalityq!Q1214),FALSE)))</f>
        <v>0</v>
      </c>
      <c r="R1214">
        <f>NOT(hospitalityq!R1214="")*(NOT(IFERROR(ROUND(VALUE(hospitalityq!R1214),2)=VALUE(hospitalityq!R1214),FALSE)))</f>
        <v>0</v>
      </c>
    </row>
    <row r="1215" spans="1:18" x14ac:dyDescent="0.25">
      <c r="A1215">
        <f t="shared" si="18"/>
        <v>0</v>
      </c>
      <c r="C1215">
        <f>NOT(hospitalityq!C1215="")*(SUMPRODUCT(--(TRIM(hospitalityq!C6:C1215)=TRIM(hospitalityq!C1215)))&gt;1)</f>
        <v>0</v>
      </c>
      <c r="D1215">
        <f>NOT(hospitalityq!D1215="")*(COUNTIF(reference!$C$17:$C$18,TRIM(hospitalityq!D1215))=0)</f>
        <v>0</v>
      </c>
      <c r="J1215">
        <f>NOT(hospitalityq!J1215="")*(NOT(ISNUMBER(hospitalityq!J1215+0)))</f>
        <v>0</v>
      </c>
      <c r="K1215">
        <f>NOT(hospitalityq!K1215="")*(NOT(ISNUMBER(hospitalityq!K1215+0)))</f>
        <v>0</v>
      </c>
      <c r="P1215">
        <f>NOT(hospitalityq!P1215="")*(NOT(IFERROR(INT(hospitalityq!P1215)=VALUE(hospitalityq!P1215),FALSE)))</f>
        <v>0</v>
      </c>
      <c r="Q1215">
        <f>NOT(hospitalityq!Q1215="")*(NOT(IFERROR(INT(hospitalityq!Q1215)=VALUE(hospitalityq!Q1215),FALSE)))</f>
        <v>0</v>
      </c>
      <c r="R1215">
        <f>NOT(hospitalityq!R1215="")*(NOT(IFERROR(ROUND(VALUE(hospitalityq!R1215),2)=VALUE(hospitalityq!R1215),FALSE)))</f>
        <v>0</v>
      </c>
    </row>
    <row r="1216" spans="1:18" x14ac:dyDescent="0.25">
      <c r="A1216">
        <f t="shared" si="18"/>
        <v>0</v>
      </c>
      <c r="C1216">
        <f>NOT(hospitalityq!C1216="")*(SUMPRODUCT(--(TRIM(hospitalityq!C6:C1216)=TRIM(hospitalityq!C1216)))&gt;1)</f>
        <v>0</v>
      </c>
      <c r="D1216">
        <f>NOT(hospitalityq!D1216="")*(COUNTIF(reference!$C$17:$C$18,TRIM(hospitalityq!D1216))=0)</f>
        <v>0</v>
      </c>
      <c r="J1216">
        <f>NOT(hospitalityq!J1216="")*(NOT(ISNUMBER(hospitalityq!J1216+0)))</f>
        <v>0</v>
      </c>
      <c r="K1216">
        <f>NOT(hospitalityq!K1216="")*(NOT(ISNUMBER(hospitalityq!K1216+0)))</f>
        <v>0</v>
      </c>
      <c r="P1216">
        <f>NOT(hospitalityq!P1216="")*(NOT(IFERROR(INT(hospitalityq!P1216)=VALUE(hospitalityq!P1216),FALSE)))</f>
        <v>0</v>
      </c>
      <c r="Q1216">
        <f>NOT(hospitalityq!Q1216="")*(NOT(IFERROR(INT(hospitalityq!Q1216)=VALUE(hospitalityq!Q1216),FALSE)))</f>
        <v>0</v>
      </c>
      <c r="R1216">
        <f>NOT(hospitalityq!R1216="")*(NOT(IFERROR(ROUND(VALUE(hospitalityq!R1216),2)=VALUE(hospitalityq!R1216),FALSE)))</f>
        <v>0</v>
      </c>
    </row>
    <row r="1217" spans="1:18" x14ac:dyDescent="0.25">
      <c r="A1217">
        <f t="shared" si="18"/>
        <v>0</v>
      </c>
      <c r="C1217">
        <f>NOT(hospitalityq!C1217="")*(SUMPRODUCT(--(TRIM(hospitalityq!C6:C1217)=TRIM(hospitalityq!C1217)))&gt;1)</f>
        <v>0</v>
      </c>
      <c r="D1217">
        <f>NOT(hospitalityq!D1217="")*(COUNTIF(reference!$C$17:$C$18,TRIM(hospitalityq!D1217))=0)</f>
        <v>0</v>
      </c>
      <c r="J1217">
        <f>NOT(hospitalityq!J1217="")*(NOT(ISNUMBER(hospitalityq!J1217+0)))</f>
        <v>0</v>
      </c>
      <c r="K1217">
        <f>NOT(hospitalityq!K1217="")*(NOT(ISNUMBER(hospitalityq!K1217+0)))</f>
        <v>0</v>
      </c>
      <c r="P1217">
        <f>NOT(hospitalityq!P1217="")*(NOT(IFERROR(INT(hospitalityq!P1217)=VALUE(hospitalityq!P1217),FALSE)))</f>
        <v>0</v>
      </c>
      <c r="Q1217">
        <f>NOT(hospitalityq!Q1217="")*(NOT(IFERROR(INT(hospitalityq!Q1217)=VALUE(hospitalityq!Q1217),FALSE)))</f>
        <v>0</v>
      </c>
      <c r="R1217">
        <f>NOT(hospitalityq!R1217="")*(NOT(IFERROR(ROUND(VALUE(hospitalityq!R1217),2)=VALUE(hospitalityq!R1217),FALSE)))</f>
        <v>0</v>
      </c>
    </row>
    <row r="1218" spans="1:18" x14ac:dyDescent="0.25">
      <c r="A1218">
        <f t="shared" si="18"/>
        <v>0</v>
      </c>
      <c r="C1218">
        <f>NOT(hospitalityq!C1218="")*(SUMPRODUCT(--(TRIM(hospitalityq!C6:C1218)=TRIM(hospitalityq!C1218)))&gt;1)</f>
        <v>0</v>
      </c>
      <c r="D1218">
        <f>NOT(hospitalityq!D1218="")*(COUNTIF(reference!$C$17:$C$18,TRIM(hospitalityq!D1218))=0)</f>
        <v>0</v>
      </c>
      <c r="J1218">
        <f>NOT(hospitalityq!J1218="")*(NOT(ISNUMBER(hospitalityq!J1218+0)))</f>
        <v>0</v>
      </c>
      <c r="K1218">
        <f>NOT(hospitalityq!K1218="")*(NOT(ISNUMBER(hospitalityq!K1218+0)))</f>
        <v>0</v>
      </c>
      <c r="P1218">
        <f>NOT(hospitalityq!P1218="")*(NOT(IFERROR(INT(hospitalityq!P1218)=VALUE(hospitalityq!P1218),FALSE)))</f>
        <v>0</v>
      </c>
      <c r="Q1218">
        <f>NOT(hospitalityq!Q1218="")*(NOT(IFERROR(INT(hospitalityq!Q1218)=VALUE(hospitalityq!Q1218),FALSE)))</f>
        <v>0</v>
      </c>
      <c r="R1218">
        <f>NOT(hospitalityq!R1218="")*(NOT(IFERROR(ROUND(VALUE(hospitalityq!R1218),2)=VALUE(hospitalityq!R1218),FALSE)))</f>
        <v>0</v>
      </c>
    </row>
    <row r="1219" spans="1:18" x14ac:dyDescent="0.25">
      <c r="A1219">
        <f t="shared" si="18"/>
        <v>0</v>
      </c>
      <c r="C1219">
        <f>NOT(hospitalityq!C1219="")*(SUMPRODUCT(--(TRIM(hospitalityq!C6:C1219)=TRIM(hospitalityq!C1219)))&gt;1)</f>
        <v>0</v>
      </c>
      <c r="D1219">
        <f>NOT(hospitalityq!D1219="")*(COUNTIF(reference!$C$17:$C$18,TRIM(hospitalityq!D1219))=0)</f>
        <v>0</v>
      </c>
      <c r="J1219">
        <f>NOT(hospitalityq!J1219="")*(NOT(ISNUMBER(hospitalityq!J1219+0)))</f>
        <v>0</v>
      </c>
      <c r="K1219">
        <f>NOT(hospitalityq!K1219="")*(NOT(ISNUMBER(hospitalityq!K1219+0)))</f>
        <v>0</v>
      </c>
      <c r="P1219">
        <f>NOT(hospitalityq!P1219="")*(NOT(IFERROR(INT(hospitalityq!P1219)=VALUE(hospitalityq!P1219),FALSE)))</f>
        <v>0</v>
      </c>
      <c r="Q1219">
        <f>NOT(hospitalityq!Q1219="")*(NOT(IFERROR(INT(hospitalityq!Q1219)=VALUE(hospitalityq!Q1219),FALSE)))</f>
        <v>0</v>
      </c>
      <c r="R1219">
        <f>NOT(hospitalityq!R1219="")*(NOT(IFERROR(ROUND(VALUE(hospitalityq!R1219),2)=VALUE(hospitalityq!R1219),FALSE)))</f>
        <v>0</v>
      </c>
    </row>
    <row r="1220" spans="1:18" x14ac:dyDescent="0.25">
      <c r="A1220">
        <f t="shared" si="18"/>
        <v>0</v>
      </c>
      <c r="C1220">
        <f>NOT(hospitalityq!C1220="")*(SUMPRODUCT(--(TRIM(hospitalityq!C6:C1220)=TRIM(hospitalityq!C1220)))&gt;1)</f>
        <v>0</v>
      </c>
      <c r="D1220">
        <f>NOT(hospitalityq!D1220="")*(COUNTIF(reference!$C$17:$C$18,TRIM(hospitalityq!D1220))=0)</f>
        <v>0</v>
      </c>
      <c r="J1220">
        <f>NOT(hospitalityq!J1220="")*(NOT(ISNUMBER(hospitalityq!J1220+0)))</f>
        <v>0</v>
      </c>
      <c r="K1220">
        <f>NOT(hospitalityq!K1220="")*(NOT(ISNUMBER(hospitalityq!K1220+0)))</f>
        <v>0</v>
      </c>
      <c r="P1220">
        <f>NOT(hospitalityq!P1220="")*(NOT(IFERROR(INT(hospitalityq!P1220)=VALUE(hospitalityq!P1220),FALSE)))</f>
        <v>0</v>
      </c>
      <c r="Q1220">
        <f>NOT(hospitalityq!Q1220="")*(NOT(IFERROR(INT(hospitalityq!Q1220)=VALUE(hospitalityq!Q1220),FALSE)))</f>
        <v>0</v>
      </c>
      <c r="R1220">
        <f>NOT(hospitalityq!R1220="")*(NOT(IFERROR(ROUND(VALUE(hospitalityq!R1220),2)=VALUE(hospitalityq!R1220),FALSE)))</f>
        <v>0</v>
      </c>
    </row>
    <row r="1221" spans="1:18" x14ac:dyDescent="0.25">
      <c r="A1221">
        <f t="shared" si="18"/>
        <v>0</v>
      </c>
      <c r="C1221">
        <f>NOT(hospitalityq!C1221="")*(SUMPRODUCT(--(TRIM(hospitalityq!C6:C1221)=TRIM(hospitalityq!C1221)))&gt;1)</f>
        <v>0</v>
      </c>
      <c r="D1221">
        <f>NOT(hospitalityq!D1221="")*(COUNTIF(reference!$C$17:$C$18,TRIM(hospitalityq!D1221))=0)</f>
        <v>0</v>
      </c>
      <c r="J1221">
        <f>NOT(hospitalityq!J1221="")*(NOT(ISNUMBER(hospitalityq!J1221+0)))</f>
        <v>0</v>
      </c>
      <c r="K1221">
        <f>NOT(hospitalityq!K1221="")*(NOT(ISNUMBER(hospitalityq!K1221+0)))</f>
        <v>0</v>
      </c>
      <c r="P1221">
        <f>NOT(hospitalityq!P1221="")*(NOT(IFERROR(INT(hospitalityq!P1221)=VALUE(hospitalityq!P1221),FALSE)))</f>
        <v>0</v>
      </c>
      <c r="Q1221">
        <f>NOT(hospitalityq!Q1221="")*(NOT(IFERROR(INT(hospitalityq!Q1221)=VALUE(hospitalityq!Q1221),FALSE)))</f>
        <v>0</v>
      </c>
      <c r="R1221">
        <f>NOT(hospitalityq!R1221="")*(NOT(IFERROR(ROUND(VALUE(hospitalityq!R1221),2)=VALUE(hospitalityq!R1221),FALSE)))</f>
        <v>0</v>
      </c>
    </row>
    <row r="1222" spans="1:18" x14ac:dyDescent="0.25">
      <c r="A1222">
        <f t="shared" ref="A1222:A1285" si="19">IFERROR(MATCH(TRUE,INDEX(C1222:R1222&lt;&gt;0,),)+2,0)</f>
        <v>0</v>
      </c>
      <c r="C1222">
        <f>NOT(hospitalityq!C1222="")*(SUMPRODUCT(--(TRIM(hospitalityq!C6:C1222)=TRIM(hospitalityq!C1222)))&gt;1)</f>
        <v>0</v>
      </c>
      <c r="D1222">
        <f>NOT(hospitalityq!D1222="")*(COUNTIF(reference!$C$17:$C$18,TRIM(hospitalityq!D1222))=0)</f>
        <v>0</v>
      </c>
      <c r="J1222">
        <f>NOT(hospitalityq!J1222="")*(NOT(ISNUMBER(hospitalityq!J1222+0)))</f>
        <v>0</v>
      </c>
      <c r="K1222">
        <f>NOT(hospitalityq!K1222="")*(NOT(ISNUMBER(hospitalityq!K1222+0)))</f>
        <v>0</v>
      </c>
      <c r="P1222">
        <f>NOT(hospitalityq!P1222="")*(NOT(IFERROR(INT(hospitalityq!P1222)=VALUE(hospitalityq!P1222),FALSE)))</f>
        <v>0</v>
      </c>
      <c r="Q1222">
        <f>NOT(hospitalityq!Q1222="")*(NOT(IFERROR(INT(hospitalityq!Q1222)=VALUE(hospitalityq!Q1222),FALSE)))</f>
        <v>0</v>
      </c>
      <c r="R1222">
        <f>NOT(hospitalityq!R1222="")*(NOT(IFERROR(ROUND(VALUE(hospitalityq!R1222),2)=VALUE(hospitalityq!R1222),FALSE)))</f>
        <v>0</v>
      </c>
    </row>
    <row r="1223" spans="1:18" x14ac:dyDescent="0.25">
      <c r="A1223">
        <f t="shared" si="19"/>
        <v>0</v>
      </c>
      <c r="C1223">
        <f>NOT(hospitalityq!C1223="")*(SUMPRODUCT(--(TRIM(hospitalityq!C6:C1223)=TRIM(hospitalityq!C1223)))&gt;1)</f>
        <v>0</v>
      </c>
      <c r="D1223">
        <f>NOT(hospitalityq!D1223="")*(COUNTIF(reference!$C$17:$C$18,TRIM(hospitalityq!D1223))=0)</f>
        <v>0</v>
      </c>
      <c r="J1223">
        <f>NOT(hospitalityq!J1223="")*(NOT(ISNUMBER(hospitalityq!J1223+0)))</f>
        <v>0</v>
      </c>
      <c r="K1223">
        <f>NOT(hospitalityq!K1223="")*(NOT(ISNUMBER(hospitalityq!K1223+0)))</f>
        <v>0</v>
      </c>
      <c r="P1223">
        <f>NOT(hospitalityq!P1223="")*(NOT(IFERROR(INT(hospitalityq!P1223)=VALUE(hospitalityq!P1223),FALSE)))</f>
        <v>0</v>
      </c>
      <c r="Q1223">
        <f>NOT(hospitalityq!Q1223="")*(NOT(IFERROR(INT(hospitalityq!Q1223)=VALUE(hospitalityq!Q1223),FALSE)))</f>
        <v>0</v>
      </c>
      <c r="R1223">
        <f>NOT(hospitalityq!R1223="")*(NOT(IFERROR(ROUND(VALUE(hospitalityq!R1223),2)=VALUE(hospitalityq!R1223),FALSE)))</f>
        <v>0</v>
      </c>
    </row>
    <row r="1224" spans="1:18" x14ac:dyDescent="0.25">
      <c r="A1224">
        <f t="shared" si="19"/>
        <v>0</v>
      </c>
      <c r="C1224">
        <f>NOT(hospitalityq!C1224="")*(SUMPRODUCT(--(TRIM(hospitalityq!C6:C1224)=TRIM(hospitalityq!C1224)))&gt;1)</f>
        <v>0</v>
      </c>
      <c r="D1224">
        <f>NOT(hospitalityq!D1224="")*(COUNTIF(reference!$C$17:$C$18,TRIM(hospitalityq!D1224))=0)</f>
        <v>0</v>
      </c>
      <c r="J1224">
        <f>NOT(hospitalityq!J1224="")*(NOT(ISNUMBER(hospitalityq!J1224+0)))</f>
        <v>0</v>
      </c>
      <c r="K1224">
        <f>NOT(hospitalityq!K1224="")*(NOT(ISNUMBER(hospitalityq!K1224+0)))</f>
        <v>0</v>
      </c>
      <c r="P1224">
        <f>NOT(hospitalityq!P1224="")*(NOT(IFERROR(INT(hospitalityq!P1224)=VALUE(hospitalityq!P1224),FALSE)))</f>
        <v>0</v>
      </c>
      <c r="Q1224">
        <f>NOT(hospitalityq!Q1224="")*(NOT(IFERROR(INT(hospitalityq!Q1224)=VALUE(hospitalityq!Q1224),FALSE)))</f>
        <v>0</v>
      </c>
      <c r="R1224">
        <f>NOT(hospitalityq!R1224="")*(NOT(IFERROR(ROUND(VALUE(hospitalityq!R1224),2)=VALUE(hospitalityq!R1224),FALSE)))</f>
        <v>0</v>
      </c>
    </row>
    <row r="1225" spans="1:18" x14ac:dyDescent="0.25">
      <c r="A1225">
        <f t="shared" si="19"/>
        <v>0</v>
      </c>
      <c r="C1225">
        <f>NOT(hospitalityq!C1225="")*(SUMPRODUCT(--(TRIM(hospitalityq!C6:C1225)=TRIM(hospitalityq!C1225)))&gt;1)</f>
        <v>0</v>
      </c>
      <c r="D1225">
        <f>NOT(hospitalityq!D1225="")*(COUNTIF(reference!$C$17:$C$18,TRIM(hospitalityq!D1225))=0)</f>
        <v>0</v>
      </c>
      <c r="J1225">
        <f>NOT(hospitalityq!J1225="")*(NOT(ISNUMBER(hospitalityq!J1225+0)))</f>
        <v>0</v>
      </c>
      <c r="K1225">
        <f>NOT(hospitalityq!K1225="")*(NOT(ISNUMBER(hospitalityq!K1225+0)))</f>
        <v>0</v>
      </c>
      <c r="P1225">
        <f>NOT(hospitalityq!P1225="")*(NOT(IFERROR(INT(hospitalityq!P1225)=VALUE(hospitalityq!P1225),FALSE)))</f>
        <v>0</v>
      </c>
      <c r="Q1225">
        <f>NOT(hospitalityq!Q1225="")*(NOT(IFERROR(INT(hospitalityq!Q1225)=VALUE(hospitalityq!Q1225),FALSE)))</f>
        <v>0</v>
      </c>
      <c r="R1225">
        <f>NOT(hospitalityq!R1225="")*(NOT(IFERROR(ROUND(VALUE(hospitalityq!R1225),2)=VALUE(hospitalityq!R1225),FALSE)))</f>
        <v>0</v>
      </c>
    </row>
    <row r="1226" spans="1:18" x14ac:dyDescent="0.25">
      <c r="A1226">
        <f t="shared" si="19"/>
        <v>0</v>
      </c>
      <c r="C1226">
        <f>NOT(hospitalityq!C1226="")*(SUMPRODUCT(--(TRIM(hospitalityq!C6:C1226)=TRIM(hospitalityq!C1226)))&gt;1)</f>
        <v>0</v>
      </c>
      <c r="D1226">
        <f>NOT(hospitalityq!D1226="")*(COUNTIF(reference!$C$17:$C$18,TRIM(hospitalityq!D1226))=0)</f>
        <v>0</v>
      </c>
      <c r="J1226">
        <f>NOT(hospitalityq!J1226="")*(NOT(ISNUMBER(hospitalityq!J1226+0)))</f>
        <v>0</v>
      </c>
      <c r="K1226">
        <f>NOT(hospitalityq!K1226="")*(NOT(ISNUMBER(hospitalityq!K1226+0)))</f>
        <v>0</v>
      </c>
      <c r="P1226">
        <f>NOT(hospitalityq!P1226="")*(NOT(IFERROR(INT(hospitalityq!P1226)=VALUE(hospitalityq!P1226),FALSE)))</f>
        <v>0</v>
      </c>
      <c r="Q1226">
        <f>NOT(hospitalityq!Q1226="")*(NOT(IFERROR(INT(hospitalityq!Q1226)=VALUE(hospitalityq!Q1226),FALSE)))</f>
        <v>0</v>
      </c>
      <c r="R1226">
        <f>NOT(hospitalityq!R1226="")*(NOT(IFERROR(ROUND(VALUE(hospitalityq!R1226),2)=VALUE(hospitalityq!R1226),FALSE)))</f>
        <v>0</v>
      </c>
    </row>
    <row r="1227" spans="1:18" x14ac:dyDescent="0.25">
      <c r="A1227">
        <f t="shared" si="19"/>
        <v>0</v>
      </c>
      <c r="C1227">
        <f>NOT(hospitalityq!C1227="")*(SUMPRODUCT(--(TRIM(hospitalityq!C6:C1227)=TRIM(hospitalityq!C1227)))&gt;1)</f>
        <v>0</v>
      </c>
      <c r="D1227">
        <f>NOT(hospitalityq!D1227="")*(COUNTIF(reference!$C$17:$C$18,TRIM(hospitalityq!D1227))=0)</f>
        <v>0</v>
      </c>
      <c r="J1227">
        <f>NOT(hospitalityq!J1227="")*(NOT(ISNUMBER(hospitalityq!J1227+0)))</f>
        <v>0</v>
      </c>
      <c r="K1227">
        <f>NOT(hospitalityq!K1227="")*(NOT(ISNUMBER(hospitalityq!K1227+0)))</f>
        <v>0</v>
      </c>
      <c r="P1227">
        <f>NOT(hospitalityq!P1227="")*(NOT(IFERROR(INT(hospitalityq!P1227)=VALUE(hospitalityq!P1227),FALSE)))</f>
        <v>0</v>
      </c>
      <c r="Q1227">
        <f>NOT(hospitalityq!Q1227="")*(NOT(IFERROR(INT(hospitalityq!Q1227)=VALUE(hospitalityq!Q1227),FALSE)))</f>
        <v>0</v>
      </c>
      <c r="R1227">
        <f>NOT(hospitalityq!R1227="")*(NOT(IFERROR(ROUND(VALUE(hospitalityq!R1227),2)=VALUE(hospitalityq!R1227),FALSE)))</f>
        <v>0</v>
      </c>
    </row>
    <row r="1228" spans="1:18" x14ac:dyDescent="0.25">
      <c r="A1228">
        <f t="shared" si="19"/>
        <v>0</v>
      </c>
      <c r="C1228">
        <f>NOT(hospitalityq!C1228="")*(SUMPRODUCT(--(TRIM(hospitalityq!C6:C1228)=TRIM(hospitalityq!C1228)))&gt;1)</f>
        <v>0</v>
      </c>
      <c r="D1228">
        <f>NOT(hospitalityq!D1228="")*(COUNTIF(reference!$C$17:$C$18,TRIM(hospitalityq!D1228))=0)</f>
        <v>0</v>
      </c>
      <c r="J1228">
        <f>NOT(hospitalityq!J1228="")*(NOT(ISNUMBER(hospitalityq!J1228+0)))</f>
        <v>0</v>
      </c>
      <c r="K1228">
        <f>NOT(hospitalityq!K1228="")*(NOT(ISNUMBER(hospitalityq!K1228+0)))</f>
        <v>0</v>
      </c>
      <c r="P1228">
        <f>NOT(hospitalityq!P1228="")*(NOT(IFERROR(INT(hospitalityq!P1228)=VALUE(hospitalityq!P1228),FALSE)))</f>
        <v>0</v>
      </c>
      <c r="Q1228">
        <f>NOT(hospitalityq!Q1228="")*(NOT(IFERROR(INT(hospitalityq!Q1228)=VALUE(hospitalityq!Q1228),FALSE)))</f>
        <v>0</v>
      </c>
      <c r="R1228">
        <f>NOT(hospitalityq!R1228="")*(NOT(IFERROR(ROUND(VALUE(hospitalityq!R1228),2)=VALUE(hospitalityq!R1228),FALSE)))</f>
        <v>0</v>
      </c>
    </row>
    <row r="1229" spans="1:18" x14ac:dyDescent="0.25">
      <c r="A1229">
        <f t="shared" si="19"/>
        <v>0</v>
      </c>
      <c r="C1229">
        <f>NOT(hospitalityq!C1229="")*(SUMPRODUCT(--(TRIM(hospitalityq!C6:C1229)=TRIM(hospitalityq!C1229)))&gt;1)</f>
        <v>0</v>
      </c>
      <c r="D1229">
        <f>NOT(hospitalityq!D1229="")*(COUNTIF(reference!$C$17:$C$18,TRIM(hospitalityq!D1229))=0)</f>
        <v>0</v>
      </c>
      <c r="J1229">
        <f>NOT(hospitalityq!J1229="")*(NOT(ISNUMBER(hospitalityq!J1229+0)))</f>
        <v>0</v>
      </c>
      <c r="K1229">
        <f>NOT(hospitalityq!K1229="")*(NOT(ISNUMBER(hospitalityq!K1229+0)))</f>
        <v>0</v>
      </c>
      <c r="P1229">
        <f>NOT(hospitalityq!P1229="")*(NOT(IFERROR(INT(hospitalityq!P1229)=VALUE(hospitalityq!P1229),FALSE)))</f>
        <v>0</v>
      </c>
      <c r="Q1229">
        <f>NOT(hospitalityq!Q1229="")*(NOT(IFERROR(INT(hospitalityq!Q1229)=VALUE(hospitalityq!Q1229),FALSE)))</f>
        <v>0</v>
      </c>
      <c r="R1229">
        <f>NOT(hospitalityq!R1229="")*(NOT(IFERROR(ROUND(VALUE(hospitalityq!R1229),2)=VALUE(hospitalityq!R1229),FALSE)))</f>
        <v>0</v>
      </c>
    </row>
    <row r="1230" spans="1:18" x14ac:dyDescent="0.25">
      <c r="A1230">
        <f t="shared" si="19"/>
        <v>0</v>
      </c>
      <c r="C1230">
        <f>NOT(hospitalityq!C1230="")*(SUMPRODUCT(--(TRIM(hospitalityq!C6:C1230)=TRIM(hospitalityq!C1230)))&gt;1)</f>
        <v>0</v>
      </c>
      <c r="D1230">
        <f>NOT(hospitalityq!D1230="")*(COUNTIF(reference!$C$17:$C$18,TRIM(hospitalityq!D1230))=0)</f>
        <v>0</v>
      </c>
      <c r="J1230">
        <f>NOT(hospitalityq!J1230="")*(NOT(ISNUMBER(hospitalityq!J1230+0)))</f>
        <v>0</v>
      </c>
      <c r="K1230">
        <f>NOT(hospitalityq!K1230="")*(NOT(ISNUMBER(hospitalityq!K1230+0)))</f>
        <v>0</v>
      </c>
      <c r="P1230">
        <f>NOT(hospitalityq!P1230="")*(NOT(IFERROR(INT(hospitalityq!P1230)=VALUE(hospitalityq!P1230),FALSE)))</f>
        <v>0</v>
      </c>
      <c r="Q1230">
        <f>NOT(hospitalityq!Q1230="")*(NOT(IFERROR(INT(hospitalityq!Q1230)=VALUE(hospitalityq!Q1230),FALSE)))</f>
        <v>0</v>
      </c>
      <c r="R1230">
        <f>NOT(hospitalityq!R1230="")*(NOT(IFERROR(ROUND(VALUE(hospitalityq!R1230),2)=VALUE(hospitalityq!R1230),FALSE)))</f>
        <v>0</v>
      </c>
    </row>
    <row r="1231" spans="1:18" x14ac:dyDescent="0.25">
      <c r="A1231">
        <f t="shared" si="19"/>
        <v>0</v>
      </c>
      <c r="C1231">
        <f>NOT(hospitalityq!C1231="")*(SUMPRODUCT(--(TRIM(hospitalityq!C6:C1231)=TRIM(hospitalityq!C1231)))&gt;1)</f>
        <v>0</v>
      </c>
      <c r="D1231">
        <f>NOT(hospitalityq!D1231="")*(COUNTIF(reference!$C$17:$C$18,TRIM(hospitalityq!D1231))=0)</f>
        <v>0</v>
      </c>
      <c r="J1231">
        <f>NOT(hospitalityq!J1231="")*(NOT(ISNUMBER(hospitalityq!J1231+0)))</f>
        <v>0</v>
      </c>
      <c r="K1231">
        <f>NOT(hospitalityq!K1231="")*(NOT(ISNUMBER(hospitalityq!K1231+0)))</f>
        <v>0</v>
      </c>
      <c r="P1231">
        <f>NOT(hospitalityq!P1231="")*(NOT(IFERROR(INT(hospitalityq!P1231)=VALUE(hospitalityq!P1231),FALSE)))</f>
        <v>0</v>
      </c>
      <c r="Q1231">
        <f>NOT(hospitalityq!Q1231="")*(NOT(IFERROR(INT(hospitalityq!Q1231)=VALUE(hospitalityq!Q1231),FALSE)))</f>
        <v>0</v>
      </c>
      <c r="R1231">
        <f>NOT(hospitalityq!R1231="")*(NOT(IFERROR(ROUND(VALUE(hospitalityq!R1231),2)=VALUE(hospitalityq!R1231),FALSE)))</f>
        <v>0</v>
      </c>
    </row>
    <row r="1232" spans="1:18" x14ac:dyDescent="0.25">
      <c r="A1232">
        <f t="shared" si="19"/>
        <v>0</v>
      </c>
      <c r="C1232">
        <f>NOT(hospitalityq!C1232="")*(SUMPRODUCT(--(TRIM(hospitalityq!C6:C1232)=TRIM(hospitalityq!C1232)))&gt;1)</f>
        <v>0</v>
      </c>
      <c r="D1232">
        <f>NOT(hospitalityq!D1232="")*(COUNTIF(reference!$C$17:$C$18,TRIM(hospitalityq!D1232))=0)</f>
        <v>0</v>
      </c>
      <c r="J1232">
        <f>NOT(hospitalityq!J1232="")*(NOT(ISNUMBER(hospitalityq!J1232+0)))</f>
        <v>0</v>
      </c>
      <c r="K1232">
        <f>NOT(hospitalityq!K1232="")*(NOT(ISNUMBER(hospitalityq!K1232+0)))</f>
        <v>0</v>
      </c>
      <c r="P1232">
        <f>NOT(hospitalityq!P1232="")*(NOT(IFERROR(INT(hospitalityq!P1232)=VALUE(hospitalityq!P1232),FALSE)))</f>
        <v>0</v>
      </c>
      <c r="Q1232">
        <f>NOT(hospitalityq!Q1232="")*(NOT(IFERROR(INT(hospitalityq!Q1232)=VALUE(hospitalityq!Q1232),FALSE)))</f>
        <v>0</v>
      </c>
      <c r="R1232">
        <f>NOT(hospitalityq!R1232="")*(NOT(IFERROR(ROUND(VALUE(hospitalityq!R1232),2)=VALUE(hospitalityq!R1232),FALSE)))</f>
        <v>0</v>
      </c>
    </row>
    <row r="1233" spans="1:18" x14ac:dyDescent="0.25">
      <c r="A1233">
        <f t="shared" si="19"/>
        <v>0</v>
      </c>
      <c r="C1233">
        <f>NOT(hospitalityq!C1233="")*(SUMPRODUCT(--(TRIM(hospitalityq!C6:C1233)=TRIM(hospitalityq!C1233)))&gt;1)</f>
        <v>0</v>
      </c>
      <c r="D1233">
        <f>NOT(hospitalityq!D1233="")*(COUNTIF(reference!$C$17:$C$18,TRIM(hospitalityq!D1233))=0)</f>
        <v>0</v>
      </c>
      <c r="J1233">
        <f>NOT(hospitalityq!J1233="")*(NOT(ISNUMBER(hospitalityq!J1233+0)))</f>
        <v>0</v>
      </c>
      <c r="K1233">
        <f>NOT(hospitalityq!K1233="")*(NOT(ISNUMBER(hospitalityq!K1233+0)))</f>
        <v>0</v>
      </c>
      <c r="P1233">
        <f>NOT(hospitalityq!P1233="")*(NOT(IFERROR(INT(hospitalityq!P1233)=VALUE(hospitalityq!P1233),FALSE)))</f>
        <v>0</v>
      </c>
      <c r="Q1233">
        <f>NOT(hospitalityq!Q1233="")*(NOT(IFERROR(INT(hospitalityq!Q1233)=VALUE(hospitalityq!Q1233),FALSE)))</f>
        <v>0</v>
      </c>
      <c r="R1233">
        <f>NOT(hospitalityq!R1233="")*(NOT(IFERROR(ROUND(VALUE(hospitalityq!R1233),2)=VALUE(hospitalityq!R1233),FALSE)))</f>
        <v>0</v>
      </c>
    </row>
    <row r="1234" spans="1:18" x14ac:dyDescent="0.25">
      <c r="A1234">
        <f t="shared" si="19"/>
        <v>0</v>
      </c>
      <c r="C1234">
        <f>NOT(hospitalityq!C1234="")*(SUMPRODUCT(--(TRIM(hospitalityq!C6:C1234)=TRIM(hospitalityq!C1234)))&gt;1)</f>
        <v>0</v>
      </c>
      <c r="D1234">
        <f>NOT(hospitalityq!D1234="")*(COUNTIF(reference!$C$17:$C$18,TRIM(hospitalityq!D1234))=0)</f>
        <v>0</v>
      </c>
      <c r="J1234">
        <f>NOT(hospitalityq!J1234="")*(NOT(ISNUMBER(hospitalityq!J1234+0)))</f>
        <v>0</v>
      </c>
      <c r="K1234">
        <f>NOT(hospitalityq!K1234="")*(NOT(ISNUMBER(hospitalityq!K1234+0)))</f>
        <v>0</v>
      </c>
      <c r="P1234">
        <f>NOT(hospitalityq!P1234="")*(NOT(IFERROR(INT(hospitalityq!P1234)=VALUE(hospitalityq!P1234),FALSE)))</f>
        <v>0</v>
      </c>
      <c r="Q1234">
        <f>NOT(hospitalityq!Q1234="")*(NOT(IFERROR(INT(hospitalityq!Q1234)=VALUE(hospitalityq!Q1234),FALSE)))</f>
        <v>0</v>
      </c>
      <c r="R1234">
        <f>NOT(hospitalityq!R1234="")*(NOT(IFERROR(ROUND(VALUE(hospitalityq!R1234),2)=VALUE(hospitalityq!R1234),FALSE)))</f>
        <v>0</v>
      </c>
    </row>
    <row r="1235" spans="1:18" x14ac:dyDescent="0.25">
      <c r="A1235">
        <f t="shared" si="19"/>
        <v>0</v>
      </c>
      <c r="C1235">
        <f>NOT(hospitalityq!C1235="")*(SUMPRODUCT(--(TRIM(hospitalityq!C6:C1235)=TRIM(hospitalityq!C1235)))&gt;1)</f>
        <v>0</v>
      </c>
      <c r="D1235">
        <f>NOT(hospitalityq!D1235="")*(COUNTIF(reference!$C$17:$C$18,TRIM(hospitalityq!D1235))=0)</f>
        <v>0</v>
      </c>
      <c r="J1235">
        <f>NOT(hospitalityq!J1235="")*(NOT(ISNUMBER(hospitalityq!J1235+0)))</f>
        <v>0</v>
      </c>
      <c r="K1235">
        <f>NOT(hospitalityq!K1235="")*(NOT(ISNUMBER(hospitalityq!K1235+0)))</f>
        <v>0</v>
      </c>
      <c r="P1235">
        <f>NOT(hospitalityq!P1235="")*(NOT(IFERROR(INT(hospitalityq!P1235)=VALUE(hospitalityq!P1235),FALSE)))</f>
        <v>0</v>
      </c>
      <c r="Q1235">
        <f>NOT(hospitalityq!Q1235="")*(NOT(IFERROR(INT(hospitalityq!Q1235)=VALUE(hospitalityq!Q1235),FALSE)))</f>
        <v>0</v>
      </c>
      <c r="R1235">
        <f>NOT(hospitalityq!R1235="")*(NOT(IFERROR(ROUND(VALUE(hospitalityq!R1235),2)=VALUE(hospitalityq!R1235),FALSE)))</f>
        <v>0</v>
      </c>
    </row>
    <row r="1236" spans="1:18" x14ac:dyDescent="0.25">
      <c r="A1236">
        <f t="shared" si="19"/>
        <v>0</v>
      </c>
      <c r="C1236">
        <f>NOT(hospitalityq!C1236="")*(SUMPRODUCT(--(TRIM(hospitalityq!C6:C1236)=TRIM(hospitalityq!C1236)))&gt;1)</f>
        <v>0</v>
      </c>
      <c r="D1236">
        <f>NOT(hospitalityq!D1236="")*(COUNTIF(reference!$C$17:$C$18,TRIM(hospitalityq!D1236))=0)</f>
        <v>0</v>
      </c>
      <c r="J1236">
        <f>NOT(hospitalityq!J1236="")*(NOT(ISNUMBER(hospitalityq!J1236+0)))</f>
        <v>0</v>
      </c>
      <c r="K1236">
        <f>NOT(hospitalityq!K1236="")*(NOT(ISNUMBER(hospitalityq!K1236+0)))</f>
        <v>0</v>
      </c>
      <c r="P1236">
        <f>NOT(hospitalityq!P1236="")*(NOT(IFERROR(INT(hospitalityq!P1236)=VALUE(hospitalityq!P1236),FALSE)))</f>
        <v>0</v>
      </c>
      <c r="Q1236">
        <f>NOT(hospitalityq!Q1236="")*(NOT(IFERROR(INT(hospitalityq!Q1236)=VALUE(hospitalityq!Q1236),FALSE)))</f>
        <v>0</v>
      </c>
      <c r="R1236">
        <f>NOT(hospitalityq!R1236="")*(NOT(IFERROR(ROUND(VALUE(hospitalityq!R1236),2)=VALUE(hospitalityq!R1236),FALSE)))</f>
        <v>0</v>
      </c>
    </row>
    <row r="1237" spans="1:18" x14ac:dyDescent="0.25">
      <c r="A1237">
        <f t="shared" si="19"/>
        <v>0</v>
      </c>
      <c r="C1237">
        <f>NOT(hospitalityq!C1237="")*(SUMPRODUCT(--(TRIM(hospitalityq!C6:C1237)=TRIM(hospitalityq!C1237)))&gt;1)</f>
        <v>0</v>
      </c>
      <c r="D1237">
        <f>NOT(hospitalityq!D1237="")*(COUNTIF(reference!$C$17:$C$18,TRIM(hospitalityq!D1237))=0)</f>
        <v>0</v>
      </c>
      <c r="J1237">
        <f>NOT(hospitalityq!J1237="")*(NOT(ISNUMBER(hospitalityq!J1237+0)))</f>
        <v>0</v>
      </c>
      <c r="K1237">
        <f>NOT(hospitalityq!K1237="")*(NOT(ISNUMBER(hospitalityq!K1237+0)))</f>
        <v>0</v>
      </c>
      <c r="P1237">
        <f>NOT(hospitalityq!P1237="")*(NOT(IFERROR(INT(hospitalityq!P1237)=VALUE(hospitalityq!P1237),FALSE)))</f>
        <v>0</v>
      </c>
      <c r="Q1237">
        <f>NOT(hospitalityq!Q1237="")*(NOT(IFERROR(INT(hospitalityq!Q1237)=VALUE(hospitalityq!Q1237),FALSE)))</f>
        <v>0</v>
      </c>
      <c r="R1237">
        <f>NOT(hospitalityq!R1237="")*(NOT(IFERROR(ROUND(VALUE(hospitalityq!R1237),2)=VALUE(hospitalityq!R1237),FALSE)))</f>
        <v>0</v>
      </c>
    </row>
    <row r="1238" spans="1:18" x14ac:dyDescent="0.25">
      <c r="A1238">
        <f t="shared" si="19"/>
        <v>0</v>
      </c>
      <c r="C1238">
        <f>NOT(hospitalityq!C1238="")*(SUMPRODUCT(--(TRIM(hospitalityq!C6:C1238)=TRIM(hospitalityq!C1238)))&gt;1)</f>
        <v>0</v>
      </c>
      <c r="D1238">
        <f>NOT(hospitalityq!D1238="")*(COUNTIF(reference!$C$17:$C$18,TRIM(hospitalityq!D1238))=0)</f>
        <v>0</v>
      </c>
      <c r="J1238">
        <f>NOT(hospitalityq!J1238="")*(NOT(ISNUMBER(hospitalityq!J1238+0)))</f>
        <v>0</v>
      </c>
      <c r="K1238">
        <f>NOT(hospitalityq!K1238="")*(NOT(ISNUMBER(hospitalityq!K1238+0)))</f>
        <v>0</v>
      </c>
      <c r="P1238">
        <f>NOT(hospitalityq!P1238="")*(NOT(IFERROR(INT(hospitalityq!P1238)=VALUE(hospitalityq!P1238),FALSE)))</f>
        <v>0</v>
      </c>
      <c r="Q1238">
        <f>NOT(hospitalityq!Q1238="")*(NOT(IFERROR(INT(hospitalityq!Q1238)=VALUE(hospitalityq!Q1238),FALSE)))</f>
        <v>0</v>
      </c>
      <c r="R1238">
        <f>NOT(hospitalityq!R1238="")*(NOT(IFERROR(ROUND(VALUE(hospitalityq!R1238),2)=VALUE(hospitalityq!R1238),FALSE)))</f>
        <v>0</v>
      </c>
    </row>
    <row r="1239" spans="1:18" x14ac:dyDescent="0.25">
      <c r="A1239">
        <f t="shared" si="19"/>
        <v>0</v>
      </c>
      <c r="C1239">
        <f>NOT(hospitalityq!C1239="")*(SUMPRODUCT(--(TRIM(hospitalityq!C6:C1239)=TRIM(hospitalityq!C1239)))&gt;1)</f>
        <v>0</v>
      </c>
      <c r="D1239">
        <f>NOT(hospitalityq!D1239="")*(COUNTIF(reference!$C$17:$C$18,TRIM(hospitalityq!D1239))=0)</f>
        <v>0</v>
      </c>
      <c r="J1239">
        <f>NOT(hospitalityq!J1239="")*(NOT(ISNUMBER(hospitalityq!J1239+0)))</f>
        <v>0</v>
      </c>
      <c r="K1239">
        <f>NOT(hospitalityq!K1239="")*(NOT(ISNUMBER(hospitalityq!K1239+0)))</f>
        <v>0</v>
      </c>
      <c r="P1239">
        <f>NOT(hospitalityq!P1239="")*(NOT(IFERROR(INT(hospitalityq!P1239)=VALUE(hospitalityq!P1239),FALSE)))</f>
        <v>0</v>
      </c>
      <c r="Q1239">
        <f>NOT(hospitalityq!Q1239="")*(NOT(IFERROR(INT(hospitalityq!Q1239)=VALUE(hospitalityq!Q1239),FALSE)))</f>
        <v>0</v>
      </c>
      <c r="R1239">
        <f>NOT(hospitalityq!R1239="")*(NOT(IFERROR(ROUND(VALUE(hospitalityq!R1239),2)=VALUE(hospitalityq!R1239),FALSE)))</f>
        <v>0</v>
      </c>
    </row>
    <row r="1240" spans="1:18" x14ac:dyDescent="0.25">
      <c r="A1240">
        <f t="shared" si="19"/>
        <v>0</v>
      </c>
      <c r="C1240">
        <f>NOT(hospitalityq!C1240="")*(SUMPRODUCT(--(TRIM(hospitalityq!C6:C1240)=TRIM(hospitalityq!C1240)))&gt;1)</f>
        <v>0</v>
      </c>
      <c r="D1240">
        <f>NOT(hospitalityq!D1240="")*(COUNTIF(reference!$C$17:$C$18,TRIM(hospitalityq!D1240))=0)</f>
        <v>0</v>
      </c>
      <c r="J1240">
        <f>NOT(hospitalityq!J1240="")*(NOT(ISNUMBER(hospitalityq!J1240+0)))</f>
        <v>0</v>
      </c>
      <c r="K1240">
        <f>NOT(hospitalityq!K1240="")*(NOT(ISNUMBER(hospitalityq!K1240+0)))</f>
        <v>0</v>
      </c>
      <c r="P1240">
        <f>NOT(hospitalityq!P1240="")*(NOT(IFERROR(INT(hospitalityq!P1240)=VALUE(hospitalityq!P1240),FALSE)))</f>
        <v>0</v>
      </c>
      <c r="Q1240">
        <f>NOT(hospitalityq!Q1240="")*(NOT(IFERROR(INT(hospitalityq!Q1240)=VALUE(hospitalityq!Q1240),FALSE)))</f>
        <v>0</v>
      </c>
      <c r="R1240">
        <f>NOT(hospitalityq!R1240="")*(NOT(IFERROR(ROUND(VALUE(hospitalityq!R1240),2)=VALUE(hospitalityq!R1240),FALSE)))</f>
        <v>0</v>
      </c>
    </row>
    <row r="1241" spans="1:18" x14ac:dyDescent="0.25">
      <c r="A1241">
        <f t="shared" si="19"/>
        <v>0</v>
      </c>
      <c r="C1241">
        <f>NOT(hospitalityq!C1241="")*(SUMPRODUCT(--(TRIM(hospitalityq!C6:C1241)=TRIM(hospitalityq!C1241)))&gt;1)</f>
        <v>0</v>
      </c>
      <c r="D1241">
        <f>NOT(hospitalityq!D1241="")*(COUNTIF(reference!$C$17:$C$18,TRIM(hospitalityq!D1241))=0)</f>
        <v>0</v>
      </c>
      <c r="J1241">
        <f>NOT(hospitalityq!J1241="")*(NOT(ISNUMBER(hospitalityq!J1241+0)))</f>
        <v>0</v>
      </c>
      <c r="K1241">
        <f>NOT(hospitalityq!K1241="")*(NOT(ISNUMBER(hospitalityq!K1241+0)))</f>
        <v>0</v>
      </c>
      <c r="P1241">
        <f>NOT(hospitalityq!P1241="")*(NOT(IFERROR(INT(hospitalityq!P1241)=VALUE(hospitalityq!P1241),FALSE)))</f>
        <v>0</v>
      </c>
      <c r="Q1241">
        <f>NOT(hospitalityq!Q1241="")*(NOT(IFERROR(INT(hospitalityq!Q1241)=VALUE(hospitalityq!Q1241),FALSE)))</f>
        <v>0</v>
      </c>
      <c r="R1241">
        <f>NOT(hospitalityq!R1241="")*(NOT(IFERROR(ROUND(VALUE(hospitalityq!R1241),2)=VALUE(hospitalityq!R1241),FALSE)))</f>
        <v>0</v>
      </c>
    </row>
    <row r="1242" spans="1:18" x14ac:dyDescent="0.25">
      <c r="A1242">
        <f t="shared" si="19"/>
        <v>0</v>
      </c>
      <c r="C1242">
        <f>NOT(hospitalityq!C1242="")*(SUMPRODUCT(--(TRIM(hospitalityq!C6:C1242)=TRIM(hospitalityq!C1242)))&gt;1)</f>
        <v>0</v>
      </c>
      <c r="D1242">
        <f>NOT(hospitalityq!D1242="")*(COUNTIF(reference!$C$17:$C$18,TRIM(hospitalityq!D1242))=0)</f>
        <v>0</v>
      </c>
      <c r="J1242">
        <f>NOT(hospitalityq!J1242="")*(NOT(ISNUMBER(hospitalityq!J1242+0)))</f>
        <v>0</v>
      </c>
      <c r="K1242">
        <f>NOT(hospitalityq!K1242="")*(NOT(ISNUMBER(hospitalityq!K1242+0)))</f>
        <v>0</v>
      </c>
      <c r="P1242">
        <f>NOT(hospitalityq!P1242="")*(NOT(IFERROR(INT(hospitalityq!P1242)=VALUE(hospitalityq!P1242),FALSE)))</f>
        <v>0</v>
      </c>
      <c r="Q1242">
        <f>NOT(hospitalityq!Q1242="")*(NOT(IFERROR(INT(hospitalityq!Q1242)=VALUE(hospitalityq!Q1242),FALSE)))</f>
        <v>0</v>
      </c>
      <c r="R1242">
        <f>NOT(hospitalityq!R1242="")*(NOT(IFERROR(ROUND(VALUE(hospitalityq!R1242),2)=VALUE(hospitalityq!R1242),FALSE)))</f>
        <v>0</v>
      </c>
    </row>
    <row r="1243" spans="1:18" x14ac:dyDescent="0.25">
      <c r="A1243">
        <f t="shared" si="19"/>
        <v>0</v>
      </c>
      <c r="C1243">
        <f>NOT(hospitalityq!C1243="")*(SUMPRODUCT(--(TRIM(hospitalityq!C6:C1243)=TRIM(hospitalityq!C1243)))&gt;1)</f>
        <v>0</v>
      </c>
      <c r="D1243">
        <f>NOT(hospitalityq!D1243="")*(COUNTIF(reference!$C$17:$C$18,TRIM(hospitalityq!D1243))=0)</f>
        <v>0</v>
      </c>
      <c r="J1243">
        <f>NOT(hospitalityq!J1243="")*(NOT(ISNUMBER(hospitalityq!J1243+0)))</f>
        <v>0</v>
      </c>
      <c r="K1243">
        <f>NOT(hospitalityq!K1243="")*(NOT(ISNUMBER(hospitalityq!K1243+0)))</f>
        <v>0</v>
      </c>
      <c r="P1243">
        <f>NOT(hospitalityq!P1243="")*(NOT(IFERROR(INT(hospitalityq!P1243)=VALUE(hospitalityq!P1243),FALSE)))</f>
        <v>0</v>
      </c>
      <c r="Q1243">
        <f>NOT(hospitalityq!Q1243="")*(NOT(IFERROR(INT(hospitalityq!Q1243)=VALUE(hospitalityq!Q1243),FALSE)))</f>
        <v>0</v>
      </c>
      <c r="R1243">
        <f>NOT(hospitalityq!R1243="")*(NOT(IFERROR(ROUND(VALUE(hospitalityq!R1243),2)=VALUE(hospitalityq!R1243),FALSE)))</f>
        <v>0</v>
      </c>
    </row>
    <row r="1244" spans="1:18" x14ac:dyDescent="0.25">
      <c r="A1244">
        <f t="shared" si="19"/>
        <v>0</v>
      </c>
      <c r="C1244">
        <f>NOT(hospitalityq!C1244="")*(SUMPRODUCT(--(TRIM(hospitalityq!C6:C1244)=TRIM(hospitalityq!C1244)))&gt;1)</f>
        <v>0</v>
      </c>
      <c r="D1244">
        <f>NOT(hospitalityq!D1244="")*(COUNTIF(reference!$C$17:$C$18,TRIM(hospitalityq!D1244))=0)</f>
        <v>0</v>
      </c>
      <c r="J1244">
        <f>NOT(hospitalityq!J1244="")*(NOT(ISNUMBER(hospitalityq!J1244+0)))</f>
        <v>0</v>
      </c>
      <c r="K1244">
        <f>NOT(hospitalityq!K1244="")*(NOT(ISNUMBER(hospitalityq!K1244+0)))</f>
        <v>0</v>
      </c>
      <c r="P1244">
        <f>NOT(hospitalityq!P1244="")*(NOT(IFERROR(INT(hospitalityq!P1244)=VALUE(hospitalityq!P1244),FALSE)))</f>
        <v>0</v>
      </c>
      <c r="Q1244">
        <f>NOT(hospitalityq!Q1244="")*(NOT(IFERROR(INT(hospitalityq!Q1244)=VALUE(hospitalityq!Q1244),FALSE)))</f>
        <v>0</v>
      </c>
      <c r="R1244">
        <f>NOT(hospitalityq!R1244="")*(NOT(IFERROR(ROUND(VALUE(hospitalityq!R1244),2)=VALUE(hospitalityq!R1244),FALSE)))</f>
        <v>0</v>
      </c>
    </row>
    <row r="1245" spans="1:18" x14ac:dyDescent="0.25">
      <c r="A1245">
        <f t="shared" si="19"/>
        <v>0</v>
      </c>
      <c r="C1245">
        <f>NOT(hospitalityq!C1245="")*(SUMPRODUCT(--(TRIM(hospitalityq!C6:C1245)=TRIM(hospitalityq!C1245)))&gt;1)</f>
        <v>0</v>
      </c>
      <c r="D1245">
        <f>NOT(hospitalityq!D1245="")*(COUNTIF(reference!$C$17:$C$18,TRIM(hospitalityq!D1245))=0)</f>
        <v>0</v>
      </c>
      <c r="J1245">
        <f>NOT(hospitalityq!J1245="")*(NOT(ISNUMBER(hospitalityq!J1245+0)))</f>
        <v>0</v>
      </c>
      <c r="K1245">
        <f>NOT(hospitalityq!K1245="")*(NOT(ISNUMBER(hospitalityq!K1245+0)))</f>
        <v>0</v>
      </c>
      <c r="P1245">
        <f>NOT(hospitalityq!P1245="")*(NOT(IFERROR(INT(hospitalityq!P1245)=VALUE(hospitalityq!P1245),FALSE)))</f>
        <v>0</v>
      </c>
      <c r="Q1245">
        <f>NOT(hospitalityq!Q1245="")*(NOT(IFERROR(INT(hospitalityq!Q1245)=VALUE(hospitalityq!Q1245),FALSE)))</f>
        <v>0</v>
      </c>
      <c r="R1245">
        <f>NOT(hospitalityq!R1245="")*(NOT(IFERROR(ROUND(VALUE(hospitalityq!R1245),2)=VALUE(hospitalityq!R1245),FALSE)))</f>
        <v>0</v>
      </c>
    </row>
    <row r="1246" spans="1:18" x14ac:dyDescent="0.25">
      <c r="A1246">
        <f t="shared" si="19"/>
        <v>0</v>
      </c>
      <c r="C1246">
        <f>NOT(hospitalityq!C1246="")*(SUMPRODUCT(--(TRIM(hospitalityq!C6:C1246)=TRIM(hospitalityq!C1246)))&gt;1)</f>
        <v>0</v>
      </c>
      <c r="D1246">
        <f>NOT(hospitalityq!D1246="")*(COUNTIF(reference!$C$17:$C$18,TRIM(hospitalityq!D1246))=0)</f>
        <v>0</v>
      </c>
      <c r="J1246">
        <f>NOT(hospitalityq!J1246="")*(NOT(ISNUMBER(hospitalityq!J1246+0)))</f>
        <v>0</v>
      </c>
      <c r="K1246">
        <f>NOT(hospitalityq!K1246="")*(NOT(ISNUMBER(hospitalityq!K1246+0)))</f>
        <v>0</v>
      </c>
      <c r="P1246">
        <f>NOT(hospitalityq!P1246="")*(NOT(IFERROR(INT(hospitalityq!P1246)=VALUE(hospitalityq!P1246),FALSE)))</f>
        <v>0</v>
      </c>
      <c r="Q1246">
        <f>NOT(hospitalityq!Q1246="")*(NOT(IFERROR(INT(hospitalityq!Q1246)=VALUE(hospitalityq!Q1246),FALSE)))</f>
        <v>0</v>
      </c>
      <c r="R1246">
        <f>NOT(hospitalityq!R1246="")*(NOT(IFERROR(ROUND(VALUE(hospitalityq!R1246),2)=VALUE(hospitalityq!R1246),FALSE)))</f>
        <v>0</v>
      </c>
    </row>
    <row r="1247" spans="1:18" x14ac:dyDescent="0.25">
      <c r="A1247">
        <f t="shared" si="19"/>
        <v>0</v>
      </c>
      <c r="C1247">
        <f>NOT(hospitalityq!C1247="")*(SUMPRODUCT(--(TRIM(hospitalityq!C6:C1247)=TRIM(hospitalityq!C1247)))&gt;1)</f>
        <v>0</v>
      </c>
      <c r="D1247">
        <f>NOT(hospitalityq!D1247="")*(COUNTIF(reference!$C$17:$C$18,TRIM(hospitalityq!D1247))=0)</f>
        <v>0</v>
      </c>
      <c r="J1247">
        <f>NOT(hospitalityq!J1247="")*(NOT(ISNUMBER(hospitalityq!J1247+0)))</f>
        <v>0</v>
      </c>
      <c r="K1247">
        <f>NOT(hospitalityq!K1247="")*(NOT(ISNUMBER(hospitalityq!K1247+0)))</f>
        <v>0</v>
      </c>
      <c r="P1247">
        <f>NOT(hospitalityq!P1247="")*(NOT(IFERROR(INT(hospitalityq!P1247)=VALUE(hospitalityq!P1247),FALSE)))</f>
        <v>0</v>
      </c>
      <c r="Q1247">
        <f>NOT(hospitalityq!Q1247="")*(NOT(IFERROR(INT(hospitalityq!Q1247)=VALUE(hospitalityq!Q1247),FALSE)))</f>
        <v>0</v>
      </c>
      <c r="R1247">
        <f>NOT(hospitalityq!R1247="")*(NOT(IFERROR(ROUND(VALUE(hospitalityq!R1247),2)=VALUE(hospitalityq!R1247),FALSE)))</f>
        <v>0</v>
      </c>
    </row>
    <row r="1248" spans="1:18" x14ac:dyDescent="0.25">
      <c r="A1248">
        <f t="shared" si="19"/>
        <v>0</v>
      </c>
      <c r="C1248">
        <f>NOT(hospitalityq!C1248="")*(SUMPRODUCT(--(TRIM(hospitalityq!C6:C1248)=TRIM(hospitalityq!C1248)))&gt;1)</f>
        <v>0</v>
      </c>
      <c r="D1248">
        <f>NOT(hospitalityq!D1248="")*(COUNTIF(reference!$C$17:$C$18,TRIM(hospitalityq!D1248))=0)</f>
        <v>0</v>
      </c>
      <c r="J1248">
        <f>NOT(hospitalityq!J1248="")*(NOT(ISNUMBER(hospitalityq!J1248+0)))</f>
        <v>0</v>
      </c>
      <c r="K1248">
        <f>NOT(hospitalityq!K1248="")*(NOT(ISNUMBER(hospitalityq!K1248+0)))</f>
        <v>0</v>
      </c>
      <c r="P1248">
        <f>NOT(hospitalityq!P1248="")*(NOT(IFERROR(INT(hospitalityq!P1248)=VALUE(hospitalityq!P1248),FALSE)))</f>
        <v>0</v>
      </c>
      <c r="Q1248">
        <f>NOT(hospitalityq!Q1248="")*(NOT(IFERROR(INT(hospitalityq!Q1248)=VALUE(hospitalityq!Q1248),FALSE)))</f>
        <v>0</v>
      </c>
      <c r="R1248">
        <f>NOT(hospitalityq!R1248="")*(NOT(IFERROR(ROUND(VALUE(hospitalityq!R1248),2)=VALUE(hospitalityq!R1248),FALSE)))</f>
        <v>0</v>
      </c>
    </row>
    <row r="1249" spans="1:18" x14ac:dyDescent="0.25">
      <c r="A1249">
        <f t="shared" si="19"/>
        <v>0</v>
      </c>
      <c r="C1249">
        <f>NOT(hospitalityq!C1249="")*(SUMPRODUCT(--(TRIM(hospitalityq!C6:C1249)=TRIM(hospitalityq!C1249)))&gt;1)</f>
        <v>0</v>
      </c>
      <c r="D1249">
        <f>NOT(hospitalityq!D1249="")*(COUNTIF(reference!$C$17:$C$18,TRIM(hospitalityq!D1249))=0)</f>
        <v>0</v>
      </c>
      <c r="J1249">
        <f>NOT(hospitalityq!J1249="")*(NOT(ISNUMBER(hospitalityq!J1249+0)))</f>
        <v>0</v>
      </c>
      <c r="K1249">
        <f>NOT(hospitalityq!K1249="")*(NOT(ISNUMBER(hospitalityq!K1249+0)))</f>
        <v>0</v>
      </c>
      <c r="P1249">
        <f>NOT(hospitalityq!P1249="")*(NOT(IFERROR(INT(hospitalityq!P1249)=VALUE(hospitalityq!P1249),FALSE)))</f>
        <v>0</v>
      </c>
      <c r="Q1249">
        <f>NOT(hospitalityq!Q1249="")*(NOT(IFERROR(INT(hospitalityq!Q1249)=VALUE(hospitalityq!Q1249),FALSE)))</f>
        <v>0</v>
      </c>
      <c r="R1249">
        <f>NOT(hospitalityq!R1249="")*(NOT(IFERROR(ROUND(VALUE(hospitalityq!R1249),2)=VALUE(hospitalityq!R1249),FALSE)))</f>
        <v>0</v>
      </c>
    </row>
    <row r="1250" spans="1:18" x14ac:dyDescent="0.25">
      <c r="A1250">
        <f t="shared" si="19"/>
        <v>0</v>
      </c>
      <c r="C1250">
        <f>NOT(hospitalityq!C1250="")*(SUMPRODUCT(--(TRIM(hospitalityq!C6:C1250)=TRIM(hospitalityq!C1250)))&gt;1)</f>
        <v>0</v>
      </c>
      <c r="D1250">
        <f>NOT(hospitalityq!D1250="")*(COUNTIF(reference!$C$17:$C$18,TRIM(hospitalityq!D1250))=0)</f>
        <v>0</v>
      </c>
      <c r="J1250">
        <f>NOT(hospitalityq!J1250="")*(NOT(ISNUMBER(hospitalityq!J1250+0)))</f>
        <v>0</v>
      </c>
      <c r="K1250">
        <f>NOT(hospitalityq!K1250="")*(NOT(ISNUMBER(hospitalityq!K1250+0)))</f>
        <v>0</v>
      </c>
      <c r="P1250">
        <f>NOT(hospitalityq!P1250="")*(NOT(IFERROR(INT(hospitalityq!P1250)=VALUE(hospitalityq!P1250),FALSE)))</f>
        <v>0</v>
      </c>
      <c r="Q1250">
        <f>NOT(hospitalityq!Q1250="")*(NOT(IFERROR(INT(hospitalityq!Q1250)=VALUE(hospitalityq!Q1250),FALSE)))</f>
        <v>0</v>
      </c>
      <c r="R1250">
        <f>NOT(hospitalityq!R1250="")*(NOT(IFERROR(ROUND(VALUE(hospitalityq!R1250),2)=VALUE(hospitalityq!R1250),FALSE)))</f>
        <v>0</v>
      </c>
    </row>
    <row r="1251" spans="1:18" x14ac:dyDescent="0.25">
      <c r="A1251">
        <f t="shared" si="19"/>
        <v>0</v>
      </c>
      <c r="C1251">
        <f>NOT(hospitalityq!C1251="")*(SUMPRODUCT(--(TRIM(hospitalityq!C6:C1251)=TRIM(hospitalityq!C1251)))&gt;1)</f>
        <v>0</v>
      </c>
      <c r="D1251">
        <f>NOT(hospitalityq!D1251="")*(COUNTIF(reference!$C$17:$C$18,TRIM(hospitalityq!D1251))=0)</f>
        <v>0</v>
      </c>
      <c r="J1251">
        <f>NOT(hospitalityq!J1251="")*(NOT(ISNUMBER(hospitalityq!J1251+0)))</f>
        <v>0</v>
      </c>
      <c r="K1251">
        <f>NOT(hospitalityq!K1251="")*(NOT(ISNUMBER(hospitalityq!K1251+0)))</f>
        <v>0</v>
      </c>
      <c r="P1251">
        <f>NOT(hospitalityq!P1251="")*(NOT(IFERROR(INT(hospitalityq!P1251)=VALUE(hospitalityq!P1251),FALSE)))</f>
        <v>0</v>
      </c>
      <c r="Q1251">
        <f>NOT(hospitalityq!Q1251="")*(NOT(IFERROR(INT(hospitalityq!Q1251)=VALUE(hospitalityq!Q1251),FALSE)))</f>
        <v>0</v>
      </c>
      <c r="R1251">
        <f>NOT(hospitalityq!R1251="")*(NOT(IFERROR(ROUND(VALUE(hospitalityq!R1251),2)=VALUE(hospitalityq!R1251),FALSE)))</f>
        <v>0</v>
      </c>
    </row>
    <row r="1252" spans="1:18" x14ac:dyDescent="0.25">
      <c r="A1252">
        <f t="shared" si="19"/>
        <v>0</v>
      </c>
      <c r="C1252">
        <f>NOT(hospitalityq!C1252="")*(SUMPRODUCT(--(TRIM(hospitalityq!C6:C1252)=TRIM(hospitalityq!C1252)))&gt;1)</f>
        <v>0</v>
      </c>
      <c r="D1252">
        <f>NOT(hospitalityq!D1252="")*(COUNTIF(reference!$C$17:$C$18,TRIM(hospitalityq!D1252))=0)</f>
        <v>0</v>
      </c>
      <c r="J1252">
        <f>NOT(hospitalityq!J1252="")*(NOT(ISNUMBER(hospitalityq!J1252+0)))</f>
        <v>0</v>
      </c>
      <c r="K1252">
        <f>NOT(hospitalityq!K1252="")*(NOT(ISNUMBER(hospitalityq!K1252+0)))</f>
        <v>0</v>
      </c>
      <c r="P1252">
        <f>NOT(hospitalityq!P1252="")*(NOT(IFERROR(INT(hospitalityq!P1252)=VALUE(hospitalityq!P1252),FALSE)))</f>
        <v>0</v>
      </c>
      <c r="Q1252">
        <f>NOT(hospitalityq!Q1252="")*(NOT(IFERROR(INT(hospitalityq!Q1252)=VALUE(hospitalityq!Q1252),FALSE)))</f>
        <v>0</v>
      </c>
      <c r="R1252">
        <f>NOT(hospitalityq!R1252="")*(NOT(IFERROR(ROUND(VALUE(hospitalityq!R1252),2)=VALUE(hospitalityq!R1252),FALSE)))</f>
        <v>0</v>
      </c>
    </row>
    <row r="1253" spans="1:18" x14ac:dyDescent="0.25">
      <c r="A1253">
        <f t="shared" si="19"/>
        <v>0</v>
      </c>
      <c r="C1253">
        <f>NOT(hospitalityq!C1253="")*(SUMPRODUCT(--(TRIM(hospitalityq!C6:C1253)=TRIM(hospitalityq!C1253)))&gt;1)</f>
        <v>0</v>
      </c>
      <c r="D1253">
        <f>NOT(hospitalityq!D1253="")*(COUNTIF(reference!$C$17:$C$18,TRIM(hospitalityq!D1253))=0)</f>
        <v>0</v>
      </c>
      <c r="J1253">
        <f>NOT(hospitalityq!J1253="")*(NOT(ISNUMBER(hospitalityq!J1253+0)))</f>
        <v>0</v>
      </c>
      <c r="K1253">
        <f>NOT(hospitalityq!K1253="")*(NOT(ISNUMBER(hospitalityq!K1253+0)))</f>
        <v>0</v>
      </c>
      <c r="P1253">
        <f>NOT(hospitalityq!P1253="")*(NOT(IFERROR(INT(hospitalityq!P1253)=VALUE(hospitalityq!P1253),FALSE)))</f>
        <v>0</v>
      </c>
      <c r="Q1253">
        <f>NOT(hospitalityq!Q1253="")*(NOT(IFERROR(INT(hospitalityq!Q1253)=VALUE(hospitalityq!Q1253),FALSE)))</f>
        <v>0</v>
      </c>
      <c r="R1253">
        <f>NOT(hospitalityq!R1253="")*(NOT(IFERROR(ROUND(VALUE(hospitalityq!R1253),2)=VALUE(hospitalityq!R1253),FALSE)))</f>
        <v>0</v>
      </c>
    </row>
    <row r="1254" spans="1:18" x14ac:dyDescent="0.25">
      <c r="A1254">
        <f t="shared" si="19"/>
        <v>0</v>
      </c>
      <c r="C1254">
        <f>NOT(hospitalityq!C1254="")*(SUMPRODUCT(--(TRIM(hospitalityq!C6:C1254)=TRIM(hospitalityq!C1254)))&gt;1)</f>
        <v>0</v>
      </c>
      <c r="D1254">
        <f>NOT(hospitalityq!D1254="")*(COUNTIF(reference!$C$17:$C$18,TRIM(hospitalityq!D1254))=0)</f>
        <v>0</v>
      </c>
      <c r="J1254">
        <f>NOT(hospitalityq!J1254="")*(NOT(ISNUMBER(hospitalityq!J1254+0)))</f>
        <v>0</v>
      </c>
      <c r="K1254">
        <f>NOT(hospitalityq!K1254="")*(NOT(ISNUMBER(hospitalityq!K1254+0)))</f>
        <v>0</v>
      </c>
      <c r="P1254">
        <f>NOT(hospitalityq!P1254="")*(NOT(IFERROR(INT(hospitalityq!P1254)=VALUE(hospitalityq!P1254),FALSE)))</f>
        <v>0</v>
      </c>
      <c r="Q1254">
        <f>NOT(hospitalityq!Q1254="")*(NOT(IFERROR(INT(hospitalityq!Q1254)=VALUE(hospitalityq!Q1254),FALSE)))</f>
        <v>0</v>
      </c>
      <c r="R1254">
        <f>NOT(hospitalityq!R1254="")*(NOT(IFERROR(ROUND(VALUE(hospitalityq!R1254),2)=VALUE(hospitalityq!R1254),FALSE)))</f>
        <v>0</v>
      </c>
    </row>
    <row r="1255" spans="1:18" x14ac:dyDescent="0.25">
      <c r="A1255">
        <f t="shared" si="19"/>
        <v>0</v>
      </c>
      <c r="C1255">
        <f>NOT(hospitalityq!C1255="")*(SUMPRODUCT(--(TRIM(hospitalityq!C6:C1255)=TRIM(hospitalityq!C1255)))&gt;1)</f>
        <v>0</v>
      </c>
      <c r="D1255">
        <f>NOT(hospitalityq!D1255="")*(COUNTIF(reference!$C$17:$C$18,TRIM(hospitalityq!D1255))=0)</f>
        <v>0</v>
      </c>
      <c r="J1255">
        <f>NOT(hospitalityq!J1255="")*(NOT(ISNUMBER(hospitalityq!J1255+0)))</f>
        <v>0</v>
      </c>
      <c r="K1255">
        <f>NOT(hospitalityq!K1255="")*(NOT(ISNUMBER(hospitalityq!K1255+0)))</f>
        <v>0</v>
      </c>
      <c r="P1255">
        <f>NOT(hospitalityq!P1255="")*(NOT(IFERROR(INT(hospitalityq!P1255)=VALUE(hospitalityq!P1255),FALSE)))</f>
        <v>0</v>
      </c>
      <c r="Q1255">
        <f>NOT(hospitalityq!Q1255="")*(NOT(IFERROR(INT(hospitalityq!Q1255)=VALUE(hospitalityq!Q1255),FALSE)))</f>
        <v>0</v>
      </c>
      <c r="R1255">
        <f>NOT(hospitalityq!R1255="")*(NOT(IFERROR(ROUND(VALUE(hospitalityq!R1255),2)=VALUE(hospitalityq!R1255),FALSE)))</f>
        <v>0</v>
      </c>
    </row>
    <row r="1256" spans="1:18" x14ac:dyDescent="0.25">
      <c r="A1256">
        <f t="shared" si="19"/>
        <v>0</v>
      </c>
      <c r="C1256">
        <f>NOT(hospitalityq!C1256="")*(SUMPRODUCT(--(TRIM(hospitalityq!C6:C1256)=TRIM(hospitalityq!C1256)))&gt;1)</f>
        <v>0</v>
      </c>
      <c r="D1256">
        <f>NOT(hospitalityq!D1256="")*(COUNTIF(reference!$C$17:$C$18,TRIM(hospitalityq!D1256))=0)</f>
        <v>0</v>
      </c>
      <c r="J1256">
        <f>NOT(hospitalityq!J1256="")*(NOT(ISNUMBER(hospitalityq!J1256+0)))</f>
        <v>0</v>
      </c>
      <c r="K1256">
        <f>NOT(hospitalityq!K1256="")*(NOT(ISNUMBER(hospitalityq!K1256+0)))</f>
        <v>0</v>
      </c>
      <c r="P1256">
        <f>NOT(hospitalityq!P1256="")*(NOT(IFERROR(INT(hospitalityq!P1256)=VALUE(hospitalityq!P1256),FALSE)))</f>
        <v>0</v>
      </c>
      <c r="Q1256">
        <f>NOT(hospitalityq!Q1256="")*(NOT(IFERROR(INT(hospitalityq!Q1256)=VALUE(hospitalityq!Q1256),FALSE)))</f>
        <v>0</v>
      </c>
      <c r="R1256">
        <f>NOT(hospitalityq!R1256="")*(NOT(IFERROR(ROUND(VALUE(hospitalityq!R1256),2)=VALUE(hospitalityq!R1256),FALSE)))</f>
        <v>0</v>
      </c>
    </row>
    <row r="1257" spans="1:18" x14ac:dyDescent="0.25">
      <c r="A1257">
        <f t="shared" si="19"/>
        <v>0</v>
      </c>
      <c r="C1257">
        <f>NOT(hospitalityq!C1257="")*(SUMPRODUCT(--(TRIM(hospitalityq!C6:C1257)=TRIM(hospitalityq!C1257)))&gt;1)</f>
        <v>0</v>
      </c>
      <c r="D1257">
        <f>NOT(hospitalityq!D1257="")*(COUNTIF(reference!$C$17:$C$18,TRIM(hospitalityq!D1257))=0)</f>
        <v>0</v>
      </c>
      <c r="J1257">
        <f>NOT(hospitalityq!J1257="")*(NOT(ISNUMBER(hospitalityq!J1257+0)))</f>
        <v>0</v>
      </c>
      <c r="K1257">
        <f>NOT(hospitalityq!K1257="")*(NOT(ISNUMBER(hospitalityq!K1257+0)))</f>
        <v>0</v>
      </c>
      <c r="P1257">
        <f>NOT(hospitalityq!P1257="")*(NOT(IFERROR(INT(hospitalityq!P1257)=VALUE(hospitalityq!P1257),FALSE)))</f>
        <v>0</v>
      </c>
      <c r="Q1257">
        <f>NOT(hospitalityq!Q1257="")*(NOT(IFERROR(INT(hospitalityq!Q1257)=VALUE(hospitalityq!Q1257),FALSE)))</f>
        <v>0</v>
      </c>
      <c r="R1257">
        <f>NOT(hospitalityq!R1257="")*(NOT(IFERROR(ROUND(VALUE(hospitalityq!R1257),2)=VALUE(hospitalityq!R1257),FALSE)))</f>
        <v>0</v>
      </c>
    </row>
    <row r="1258" spans="1:18" x14ac:dyDescent="0.25">
      <c r="A1258">
        <f t="shared" si="19"/>
        <v>0</v>
      </c>
      <c r="C1258">
        <f>NOT(hospitalityq!C1258="")*(SUMPRODUCT(--(TRIM(hospitalityq!C6:C1258)=TRIM(hospitalityq!C1258)))&gt;1)</f>
        <v>0</v>
      </c>
      <c r="D1258">
        <f>NOT(hospitalityq!D1258="")*(COUNTIF(reference!$C$17:$C$18,TRIM(hospitalityq!D1258))=0)</f>
        <v>0</v>
      </c>
      <c r="J1258">
        <f>NOT(hospitalityq!J1258="")*(NOT(ISNUMBER(hospitalityq!J1258+0)))</f>
        <v>0</v>
      </c>
      <c r="K1258">
        <f>NOT(hospitalityq!K1258="")*(NOT(ISNUMBER(hospitalityq!K1258+0)))</f>
        <v>0</v>
      </c>
      <c r="P1258">
        <f>NOT(hospitalityq!P1258="")*(NOT(IFERROR(INT(hospitalityq!P1258)=VALUE(hospitalityq!P1258),FALSE)))</f>
        <v>0</v>
      </c>
      <c r="Q1258">
        <f>NOT(hospitalityq!Q1258="")*(NOT(IFERROR(INT(hospitalityq!Q1258)=VALUE(hospitalityq!Q1258),FALSE)))</f>
        <v>0</v>
      </c>
      <c r="R1258">
        <f>NOT(hospitalityq!R1258="")*(NOT(IFERROR(ROUND(VALUE(hospitalityq!R1258),2)=VALUE(hospitalityq!R1258),FALSE)))</f>
        <v>0</v>
      </c>
    </row>
    <row r="1259" spans="1:18" x14ac:dyDescent="0.25">
      <c r="A1259">
        <f t="shared" si="19"/>
        <v>0</v>
      </c>
      <c r="C1259">
        <f>NOT(hospitalityq!C1259="")*(SUMPRODUCT(--(TRIM(hospitalityq!C6:C1259)=TRIM(hospitalityq!C1259)))&gt;1)</f>
        <v>0</v>
      </c>
      <c r="D1259">
        <f>NOT(hospitalityq!D1259="")*(COUNTIF(reference!$C$17:$C$18,TRIM(hospitalityq!D1259))=0)</f>
        <v>0</v>
      </c>
      <c r="J1259">
        <f>NOT(hospitalityq!J1259="")*(NOT(ISNUMBER(hospitalityq!J1259+0)))</f>
        <v>0</v>
      </c>
      <c r="K1259">
        <f>NOT(hospitalityq!K1259="")*(NOT(ISNUMBER(hospitalityq!K1259+0)))</f>
        <v>0</v>
      </c>
      <c r="P1259">
        <f>NOT(hospitalityq!P1259="")*(NOT(IFERROR(INT(hospitalityq!P1259)=VALUE(hospitalityq!P1259),FALSE)))</f>
        <v>0</v>
      </c>
      <c r="Q1259">
        <f>NOT(hospitalityq!Q1259="")*(NOT(IFERROR(INT(hospitalityq!Q1259)=VALUE(hospitalityq!Q1259),FALSE)))</f>
        <v>0</v>
      </c>
      <c r="R1259">
        <f>NOT(hospitalityq!R1259="")*(NOT(IFERROR(ROUND(VALUE(hospitalityq!R1259),2)=VALUE(hospitalityq!R1259),FALSE)))</f>
        <v>0</v>
      </c>
    </row>
    <row r="1260" spans="1:18" x14ac:dyDescent="0.25">
      <c r="A1260">
        <f t="shared" si="19"/>
        <v>0</v>
      </c>
      <c r="C1260">
        <f>NOT(hospitalityq!C1260="")*(SUMPRODUCT(--(TRIM(hospitalityq!C6:C1260)=TRIM(hospitalityq!C1260)))&gt;1)</f>
        <v>0</v>
      </c>
      <c r="D1260">
        <f>NOT(hospitalityq!D1260="")*(COUNTIF(reference!$C$17:$C$18,TRIM(hospitalityq!D1260))=0)</f>
        <v>0</v>
      </c>
      <c r="J1260">
        <f>NOT(hospitalityq!J1260="")*(NOT(ISNUMBER(hospitalityq!J1260+0)))</f>
        <v>0</v>
      </c>
      <c r="K1260">
        <f>NOT(hospitalityq!K1260="")*(NOT(ISNUMBER(hospitalityq!K1260+0)))</f>
        <v>0</v>
      </c>
      <c r="P1260">
        <f>NOT(hospitalityq!P1260="")*(NOT(IFERROR(INT(hospitalityq!P1260)=VALUE(hospitalityq!P1260),FALSE)))</f>
        <v>0</v>
      </c>
      <c r="Q1260">
        <f>NOT(hospitalityq!Q1260="")*(NOT(IFERROR(INT(hospitalityq!Q1260)=VALUE(hospitalityq!Q1260),FALSE)))</f>
        <v>0</v>
      </c>
      <c r="R1260">
        <f>NOT(hospitalityq!R1260="")*(NOT(IFERROR(ROUND(VALUE(hospitalityq!R1260),2)=VALUE(hospitalityq!R1260),FALSE)))</f>
        <v>0</v>
      </c>
    </row>
    <row r="1261" spans="1:18" x14ac:dyDescent="0.25">
      <c r="A1261">
        <f t="shared" si="19"/>
        <v>0</v>
      </c>
      <c r="C1261">
        <f>NOT(hospitalityq!C1261="")*(SUMPRODUCT(--(TRIM(hospitalityq!C6:C1261)=TRIM(hospitalityq!C1261)))&gt;1)</f>
        <v>0</v>
      </c>
      <c r="D1261">
        <f>NOT(hospitalityq!D1261="")*(COUNTIF(reference!$C$17:$C$18,TRIM(hospitalityq!D1261))=0)</f>
        <v>0</v>
      </c>
      <c r="J1261">
        <f>NOT(hospitalityq!J1261="")*(NOT(ISNUMBER(hospitalityq!J1261+0)))</f>
        <v>0</v>
      </c>
      <c r="K1261">
        <f>NOT(hospitalityq!K1261="")*(NOT(ISNUMBER(hospitalityq!K1261+0)))</f>
        <v>0</v>
      </c>
      <c r="P1261">
        <f>NOT(hospitalityq!P1261="")*(NOT(IFERROR(INT(hospitalityq!P1261)=VALUE(hospitalityq!P1261),FALSE)))</f>
        <v>0</v>
      </c>
      <c r="Q1261">
        <f>NOT(hospitalityq!Q1261="")*(NOT(IFERROR(INT(hospitalityq!Q1261)=VALUE(hospitalityq!Q1261),FALSE)))</f>
        <v>0</v>
      </c>
      <c r="R1261">
        <f>NOT(hospitalityq!R1261="")*(NOT(IFERROR(ROUND(VALUE(hospitalityq!R1261),2)=VALUE(hospitalityq!R1261),FALSE)))</f>
        <v>0</v>
      </c>
    </row>
    <row r="1262" spans="1:18" x14ac:dyDescent="0.25">
      <c r="A1262">
        <f t="shared" si="19"/>
        <v>0</v>
      </c>
      <c r="C1262">
        <f>NOT(hospitalityq!C1262="")*(SUMPRODUCT(--(TRIM(hospitalityq!C6:C1262)=TRIM(hospitalityq!C1262)))&gt;1)</f>
        <v>0</v>
      </c>
      <c r="D1262">
        <f>NOT(hospitalityq!D1262="")*(COUNTIF(reference!$C$17:$C$18,TRIM(hospitalityq!D1262))=0)</f>
        <v>0</v>
      </c>
      <c r="J1262">
        <f>NOT(hospitalityq!J1262="")*(NOT(ISNUMBER(hospitalityq!J1262+0)))</f>
        <v>0</v>
      </c>
      <c r="K1262">
        <f>NOT(hospitalityq!K1262="")*(NOT(ISNUMBER(hospitalityq!K1262+0)))</f>
        <v>0</v>
      </c>
      <c r="P1262">
        <f>NOT(hospitalityq!P1262="")*(NOT(IFERROR(INT(hospitalityq!P1262)=VALUE(hospitalityq!P1262),FALSE)))</f>
        <v>0</v>
      </c>
      <c r="Q1262">
        <f>NOT(hospitalityq!Q1262="")*(NOT(IFERROR(INT(hospitalityq!Q1262)=VALUE(hospitalityq!Q1262),FALSE)))</f>
        <v>0</v>
      </c>
      <c r="R1262">
        <f>NOT(hospitalityq!R1262="")*(NOT(IFERROR(ROUND(VALUE(hospitalityq!R1262),2)=VALUE(hospitalityq!R1262),FALSE)))</f>
        <v>0</v>
      </c>
    </row>
    <row r="1263" spans="1:18" x14ac:dyDescent="0.25">
      <c r="A1263">
        <f t="shared" si="19"/>
        <v>0</v>
      </c>
      <c r="C1263">
        <f>NOT(hospitalityq!C1263="")*(SUMPRODUCT(--(TRIM(hospitalityq!C6:C1263)=TRIM(hospitalityq!C1263)))&gt;1)</f>
        <v>0</v>
      </c>
      <c r="D1263">
        <f>NOT(hospitalityq!D1263="")*(COUNTIF(reference!$C$17:$C$18,TRIM(hospitalityq!D1263))=0)</f>
        <v>0</v>
      </c>
      <c r="J1263">
        <f>NOT(hospitalityq!J1263="")*(NOT(ISNUMBER(hospitalityq!J1263+0)))</f>
        <v>0</v>
      </c>
      <c r="K1263">
        <f>NOT(hospitalityq!K1263="")*(NOT(ISNUMBER(hospitalityq!K1263+0)))</f>
        <v>0</v>
      </c>
      <c r="P1263">
        <f>NOT(hospitalityq!P1263="")*(NOT(IFERROR(INT(hospitalityq!P1263)=VALUE(hospitalityq!P1263),FALSE)))</f>
        <v>0</v>
      </c>
      <c r="Q1263">
        <f>NOT(hospitalityq!Q1263="")*(NOT(IFERROR(INT(hospitalityq!Q1263)=VALUE(hospitalityq!Q1263),FALSE)))</f>
        <v>0</v>
      </c>
      <c r="R1263">
        <f>NOT(hospitalityq!R1263="")*(NOT(IFERROR(ROUND(VALUE(hospitalityq!R1263),2)=VALUE(hospitalityq!R1263),FALSE)))</f>
        <v>0</v>
      </c>
    </row>
    <row r="1264" spans="1:18" x14ac:dyDescent="0.25">
      <c r="A1264">
        <f t="shared" si="19"/>
        <v>0</v>
      </c>
      <c r="C1264">
        <f>NOT(hospitalityq!C1264="")*(SUMPRODUCT(--(TRIM(hospitalityq!C6:C1264)=TRIM(hospitalityq!C1264)))&gt;1)</f>
        <v>0</v>
      </c>
      <c r="D1264">
        <f>NOT(hospitalityq!D1264="")*(COUNTIF(reference!$C$17:$C$18,TRIM(hospitalityq!D1264))=0)</f>
        <v>0</v>
      </c>
      <c r="J1264">
        <f>NOT(hospitalityq!J1264="")*(NOT(ISNUMBER(hospitalityq!J1264+0)))</f>
        <v>0</v>
      </c>
      <c r="K1264">
        <f>NOT(hospitalityq!K1264="")*(NOT(ISNUMBER(hospitalityq!K1264+0)))</f>
        <v>0</v>
      </c>
      <c r="P1264">
        <f>NOT(hospitalityq!P1264="")*(NOT(IFERROR(INT(hospitalityq!P1264)=VALUE(hospitalityq!P1264),FALSE)))</f>
        <v>0</v>
      </c>
      <c r="Q1264">
        <f>NOT(hospitalityq!Q1264="")*(NOT(IFERROR(INT(hospitalityq!Q1264)=VALUE(hospitalityq!Q1264),FALSE)))</f>
        <v>0</v>
      </c>
      <c r="R1264">
        <f>NOT(hospitalityq!R1264="")*(NOT(IFERROR(ROUND(VALUE(hospitalityq!R1264),2)=VALUE(hospitalityq!R1264),FALSE)))</f>
        <v>0</v>
      </c>
    </row>
    <row r="1265" spans="1:18" x14ac:dyDescent="0.25">
      <c r="A1265">
        <f t="shared" si="19"/>
        <v>0</v>
      </c>
      <c r="C1265">
        <f>NOT(hospitalityq!C1265="")*(SUMPRODUCT(--(TRIM(hospitalityq!C6:C1265)=TRIM(hospitalityq!C1265)))&gt;1)</f>
        <v>0</v>
      </c>
      <c r="D1265">
        <f>NOT(hospitalityq!D1265="")*(COUNTIF(reference!$C$17:$C$18,TRIM(hospitalityq!D1265))=0)</f>
        <v>0</v>
      </c>
      <c r="J1265">
        <f>NOT(hospitalityq!J1265="")*(NOT(ISNUMBER(hospitalityq!J1265+0)))</f>
        <v>0</v>
      </c>
      <c r="K1265">
        <f>NOT(hospitalityq!K1265="")*(NOT(ISNUMBER(hospitalityq!K1265+0)))</f>
        <v>0</v>
      </c>
      <c r="P1265">
        <f>NOT(hospitalityq!P1265="")*(NOT(IFERROR(INT(hospitalityq!P1265)=VALUE(hospitalityq!P1265),FALSE)))</f>
        <v>0</v>
      </c>
      <c r="Q1265">
        <f>NOT(hospitalityq!Q1265="")*(NOT(IFERROR(INT(hospitalityq!Q1265)=VALUE(hospitalityq!Q1265),FALSE)))</f>
        <v>0</v>
      </c>
      <c r="R1265">
        <f>NOT(hospitalityq!R1265="")*(NOT(IFERROR(ROUND(VALUE(hospitalityq!R1265),2)=VALUE(hospitalityq!R1265),FALSE)))</f>
        <v>0</v>
      </c>
    </row>
    <row r="1266" spans="1:18" x14ac:dyDescent="0.25">
      <c r="A1266">
        <f t="shared" si="19"/>
        <v>0</v>
      </c>
      <c r="C1266">
        <f>NOT(hospitalityq!C1266="")*(SUMPRODUCT(--(TRIM(hospitalityq!C6:C1266)=TRIM(hospitalityq!C1266)))&gt;1)</f>
        <v>0</v>
      </c>
      <c r="D1266">
        <f>NOT(hospitalityq!D1266="")*(COUNTIF(reference!$C$17:$C$18,TRIM(hospitalityq!D1266))=0)</f>
        <v>0</v>
      </c>
      <c r="J1266">
        <f>NOT(hospitalityq!J1266="")*(NOT(ISNUMBER(hospitalityq!J1266+0)))</f>
        <v>0</v>
      </c>
      <c r="K1266">
        <f>NOT(hospitalityq!K1266="")*(NOT(ISNUMBER(hospitalityq!K1266+0)))</f>
        <v>0</v>
      </c>
      <c r="P1266">
        <f>NOT(hospitalityq!P1266="")*(NOT(IFERROR(INT(hospitalityq!P1266)=VALUE(hospitalityq!P1266),FALSE)))</f>
        <v>0</v>
      </c>
      <c r="Q1266">
        <f>NOT(hospitalityq!Q1266="")*(NOT(IFERROR(INT(hospitalityq!Q1266)=VALUE(hospitalityq!Q1266),FALSE)))</f>
        <v>0</v>
      </c>
      <c r="R1266">
        <f>NOT(hospitalityq!R1266="")*(NOT(IFERROR(ROUND(VALUE(hospitalityq!R1266),2)=VALUE(hospitalityq!R1266),FALSE)))</f>
        <v>0</v>
      </c>
    </row>
    <row r="1267" spans="1:18" x14ac:dyDescent="0.25">
      <c r="A1267">
        <f t="shared" si="19"/>
        <v>0</v>
      </c>
      <c r="C1267">
        <f>NOT(hospitalityq!C1267="")*(SUMPRODUCT(--(TRIM(hospitalityq!C6:C1267)=TRIM(hospitalityq!C1267)))&gt;1)</f>
        <v>0</v>
      </c>
      <c r="D1267">
        <f>NOT(hospitalityq!D1267="")*(COUNTIF(reference!$C$17:$C$18,TRIM(hospitalityq!D1267))=0)</f>
        <v>0</v>
      </c>
      <c r="J1267">
        <f>NOT(hospitalityq!J1267="")*(NOT(ISNUMBER(hospitalityq!J1267+0)))</f>
        <v>0</v>
      </c>
      <c r="K1267">
        <f>NOT(hospitalityq!K1267="")*(NOT(ISNUMBER(hospitalityq!K1267+0)))</f>
        <v>0</v>
      </c>
      <c r="P1267">
        <f>NOT(hospitalityq!P1267="")*(NOT(IFERROR(INT(hospitalityq!P1267)=VALUE(hospitalityq!P1267),FALSE)))</f>
        <v>0</v>
      </c>
      <c r="Q1267">
        <f>NOT(hospitalityq!Q1267="")*(NOT(IFERROR(INT(hospitalityq!Q1267)=VALUE(hospitalityq!Q1267),FALSE)))</f>
        <v>0</v>
      </c>
      <c r="R1267">
        <f>NOT(hospitalityq!R1267="")*(NOT(IFERROR(ROUND(VALUE(hospitalityq!R1267),2)=VALUE(hospitalityq!R1267),FALSE)))</f>
        <v>0</v>
      </c>
    </row>
    <row r="1268" spans="1:18" x14ac:dyDescent="0.25">
      <c r="A1268">
        <f t="shared" si="19"/>
        <v>0</v>
      </c>
      <c r="C1268">
        <f>NOT(hospitalityq!C1268="")*(SUMPRODUCT(--(TRIM(hospitalityq!C6:C1268)=TRIM(hospitalityq!C1268)))&gt;1)</f>
        <v>0</v>
      </c>
      <c r="D1268">
        <f>NOT(hospitalityq!D1268="")*(COUNTIF(reference!$C$17:$C$18,TRIM(hospitalityq!D1268))=0)</f>
        <v>0</v>
      </c>
      <c r="J1268">
        <f>NOT(hospitalityq!J1268="")*(NOT(ISNUMBER(hospitalityq!J1268+0)))</f>
        <v>0</v>
      </c>
      <c r="K1268">
        <f>NOT(hospitalityq!K1268="")*(NOT(ISNUMBER(hospitalityq!K1268+0)))</f>
        <v>0</v>
      </c>
      <c r="P1268">
        <f>NOT(hospitalityq!P1268="")*(NOT(IFERROR(INT(hospitalityq!P1268)=VALUE(hospitalityq!P1268),FALSE)))</f>
        <v>0</v>
      </c>
      <c r="Q1268">
        <f>NOT(hospitalityq!Q1268="")*(NOT(IFERROR(INT(hospitalityq!Q1268)=VALUE(hospitalityq!Q1268),FALSE)))</f>
        <v>0</v>
      </c>
      <c r="R1268">
        <f>NOT(hospitalityq!R1268="")*(NOT(IFERROR(ROUND(VALUE(hospitalityq!R1268),2)=VALUE(hospitalityq!R1268),FALSE)))</f>
        <v>0</v>
      </c>
    </row>
    <row r="1269" spans="1:18" x14ac:dyDescent="0.25">
      <c r="A1269">
        <f t="shared" si="19"/>
        <v>0</v>
      </c>
      <c r="C1269">
        <f>NOT(hospitalityq!C1269="")*(SUMPRODUCT(--(TRIM(hospitalityq!C6:C1269)=TRIM(hospitalityq!C1269)))&gt;1)</f>
        <v>0</v>
      </c>
      <c r="D1269">
        <f>NOT(hospitalityq!D1269="")*(COUNTIF(reference!$C$17:$C$18,TRIM(hospitalityq!D1269))=0)</f>
        <v>0</v>
      </c>
      <c r="J1269">
        <f>NOT(hospitalityq!J1269="")*(NOT(ISNUMBER(hospitalityq!J1269+0)))</f>
        <v>0</v>
      </c>
      <c r="K1269">
        <f>NOT(hospitalityq!K1269="")*(NOT(ISNUMBER(hospitalityq!K1269+0)))</f>
        <v>0</v>
      </c>
      <c r="P1269">
        <f>NOT(hospitalityq!P1269="")*(NOT(IFERROR(INT(hospitalityq!P1269)=VALUE(hospitalityq!P1269),FALSE)))</f>
        <v>0</v>
      </c>
      <c r="Q1269">
        <f>NOT(hospitalityq!Q1269="")*(NOT(IFERROR(INT(hospitalityq!Q1269)=VALUE(hospitalityq!Q1269),FALSE)))</f>
        <v>0</v>
      </c>
      <c r="R1269">
        <f>NOT(hospitalityq!R1269="")*(NOT(IFERROR(ROUND(VALUE(hospitalityq!R1269),2)=VALUE(hospitalityq!R1269),FALSE)))</f>
        <v>0</v>
      </c>
    </row>
    <row r="1270" spans="1:18" x14ac:dyDescent="0.25">
      <c r="A1270">
        <f t="shared" si="19"/>
        <v>0</v>
      </c>
      <c r="C1270">
        <f>NOT(hospitalityq!C1270="")*(SUMPRODUCT(--(TRIM(hospitalityq!C6:C1270)=TRIM(hospitalityq!C1270)))&gt;1)</f>
        <v>0</v>
      </c>
      <c r="D1270">
        <f>NOT(hospitalityq!D1270="")*(COUNTIF(reference!$C$17:$C$18,TRIM(hospitalityq!D1270))=0)</f>
        <v>0</v>
      </c>
      <c r="J1270">
        <f>NOT(hospitalityq!J1270="")*(NOT(ISNUMBER(hospitalityq!J1270+0)))</f>
        <v>0</v>
      </c>
      <c r="K1270">
        <f>NOT(hospitalityq!K1270="")*(NOT(ISNUMBER(hospitalityq!K1270+0)))</f>
        <v>0</v>
      </c>
      <c r="P1270">
        <f>NOT(hospitalityq!P1270="")*(NOT(IFERROR(INT(hospitalityq!P1270)=VALUE(hospitalityq!P1270),FALSE)))</f>
        <v>0</v>
      </c>
      <c r="Q1270">
        <f>NOT(hospitalityq!Q1270="")*(NOT(IFERROR(INT(hospitalityq!Q1270)=VALUE(hospitalityq!Q1270),FALSE)))</f>
        <v>0</v>
      </c>
      <c r="R1270">
        <f>NOT(hospitalityq!R1270="")*(NOT(IFERROR(ROUND(VALUE(hospitalityq!R1270),2)=VALUE(hospitalityq!R1270),FALSE)))</f>
        <v>0</v>
      </c>
    </row>
    <row r="1271" spans="1:18" x14ac:dyDescent="0.25">
      <c r="A1271">
        <f t="shared" si="19"/>
        <v>0</v>
      </c>
      <c r="C1271">
        <f>NOT(hospitalityq!C1271="")*(SUMPRODUCT(--(TRIM(hospitalityq!C6:C1271)=TRIM(hospitalityq!C1271)))&gt;1)</f>
        <v>0</v>
      </c>
      <c r="D1271">
        <f>NOT(hospitalityq!D1271="")*(COUNTIF(reference!$C$17:$C$18,TRIM(hospitalityq!D1271))=0)</f>
        <v>0</v>
      </c>
      <c r="J1271">
        <f>NOT(hospitalityq!J1271="")*(NOT(ISNUMBER(hospitalityq!J1271+0)))</f>
        <v>0</v>
      </c>
      <c r="K1271">
        <f>NOT(hospitalityq!K1271="")*(NOT(ISNUMBER(hospitalityq!K1271+0)))</f>
        <v>0</v>
      </c>
      <c r="P1271">
        <f>NOT(hospitalityq!P1271="")*(NOT(IFERROR(INT(hospitalityq!P1271)=VALUE(hospitalityq!P1271),FALSE)))</f>
        <v>0</v>
      </c>
      <c r="Q1271">
        <f>NOT(hospitalityq!Q1271="")*(NOT(IFERROR(INT(hospitalityq!Q1271)=VALUE(hospitalityq!Q1271),FALSE)))</f>
        <v>0</v>
      </c>
      <c r="R1271">
        <f>NOT(hospitalityq!R1271="")*(NOT(IFERROR(ROUND(VALUE(hospitalityq!R1271),2)=VALUE(hospitalityq!R1271),FALSE)))</f>
        <v>0</v>
      </c>
    </row>
    <row r="1272" spans="1:18" x14ac:dyDescent="0.25">
      <c r="A1272">
        <f t="shared" si="19"/>
        <v>0</v>
      </c>
      <c r="C1272">
        <f>NOT(hospitalityq!C1272="")*(SUMPRODUCT(--(TRIM(hospitalityq!C6:C1272)=TRIM(hospitalityq!C1272)))&gt;1)</f>
        <v>0</v>
      </c>
      <c r="D1272">
        <f>NOT(hospitalityq!D1272="")*(COUNTIF(reference!$C$17:$C$18,TRIM(hospitalityq!D1272))=0)</f>
        <v>0</v>
      </c>
      <c r="J1272">
        <f>NOT(hospitalityq!J1272="")*(NOT(ISNUMBER(hospitalityq!J1272+0)))</f>
        <v>0</v>
      </c>
      <c r="K1272">
        <f>NOT(hospitalityq!K1272="")*(NOT(ISNUMBER(hospitalityq!K1272+0)))</f>
        <v>0</v>
      </c>
      <c r="P1272">
        <f>NOT(hospitalityq!P1272="")*(NOT(IFERROR(INT(hospitalityq!P1272)=VALUE(hospitalityq!P1272),FALSE)))</f>
        <v>0</v>
      </c>
      <c r="Q1272">
        <f>NOT(hospitalityq!Q1272="")*(NOT(IFERROR(INT(hospitalityq!Q1272)=VALUE(hospitalityq!Q1272),FALSE)))</f>
        <v>0</v>
      </c>
      <c r="R1272">
        <f>NOT(hospitalityq!R1272="")*(NOT(IFERROR(ROUND(VALUE(hospitalityq!R1272),2)=VALUE(hospitalityq!R1272),FALSE)))</f>
        <v>0</v>
      </c>
    </row>
    <row r="1273" spans="1:18" x14ac:dyDescent="0.25">
      <c r="A1273">
        <f t="shared" si="19"/>
        <v>0</v>
      </c>
      <c r="C1273">
        <f>NOT(hospitalityq!C1273="")*(SUMPRODUCT(--(TRIM(hospitalityq!C6:C1273)=TRIM(hospitalityq!C1273)))&gt;1)</f>
        <v>0</v>
      </c>
      <c r="D1273">
        <f>NOT(hospitalityq!D1273="")*(COUNTIF(reference!$C$17:$C$18,TRIM(hospitalityq!D1273))=0)</f>
        <v>0</v>
      </c>
      <c r="J1273">
        <f>NOT(hospitalityq!J1273="")*(NOT(ISNUMBER(hospitalityq!J1273+0)))</f>
        <v>0</v>
      </c>
      <c r="K1273">
        <f>NOT(hospitalityq!K1273="")*(NOT(ISNUMBER(hospitalityq!K1273+0)))</f>
        <v>0</v>
      </c>
      <c r="P1273">
        <f>NOT(hospitalityq!P1273="")*(NOT(IFERROR(INT(hospitalityq!P1273)=VALUE(hospitalityq!P1273),FALSE)))</f>
        <v>0</v>
      </c>
      <c r="Q1273">
        <f>NOT(hospitalityq!Q1273="")*(NOT(IFERROR(INT(hospitalityq!Q1273)=VALUE(hospitalityq!Q1273),FALSE)))</f>
        <v>0</v>
      </c>
      <c r="R1273">
        <f>NOT(hospitalityq!R1273="")*(NOT(IFERROR(ROUND(VALUE(hospitalityq!R1273),2)=VALUE(hospitalityq!R1273),FALSE)))</f>
        <v>0</v>
      </c>
    </row>
    <row r="1274" spans="1:18" x14ac:dyDescent="0.25">
      <c r="A1274">
        <f t="shared" si="19"/>
        <v>0</v>
      </c>
      <c r="C1274">
        <f>NOT(hospitalityq!C1274="")*(SUMPRODUCT(--(TRIM(hospitalityq!C6:C1274)=TRIM(hospitalityq!C1274)))&gt;1)</f>
        <v>0</v>
      </c>
      <c r="D1274">
        <f>NOT(hospitalityq!D1274="")*(COUNTIF(reference!$C$17:$C$18,TRIM(hospitalityq!D1274))=0)</f>
        <v>0</v>
      </c>
      <c r="J1274">
        <f>NOT(hospitalityq!J1274="")*(NOT(ISNUMBER(hospitalityq!J1274+0)))</f>
        <v>0</v>
      </c>
      <c r="K1274">
        <f>NOT(hospitalityq!K1274="")*(NOT(ISNUMBER(hospitalityq!K1274+0)))</f>
        <v>0</v>
      </c>
      <c r="P1274">
        <f>NOT(hospitalityq!P1274="")*(NOT(IFERROR(INT(hospitalityq!P1274)=VALUE(hospitalityq!P1274),FALSE)))</f>
        <v>0</v>
      </c>
      <c r="Q1274">
        <f>NOT(hospitalityq!Q1274="")*(NOT(IFERROR(INT(hospitalityq!Q1274)=VALUE(hospitalityq!Q1274),FALSE)))</f>
        <v>0</v>
      </c>
      <c r="R1274">
        <f>NOT(hospitalityq!R1274="")*(NOT(IFERROR(ROUND(VALUE(hospitalityq!R1274),2)=VALUE(hospitalityq!R1274),FALSE)))</f>
        <v>0</v>
      </c>
    </row>
    <row r="1275" spans="1:18" x14ac:dyDescent="0.25">
      <c r="A1275">
        <f t="shared" si="19"/>
        <v>0</v>
      </c>
      <c r="C1275">
        <f>NOT(hospitalityq!C1275="")*(SUMPRODUCT(--(TRIM(hospitalityq!C6:C1275)=TRIM(hospitalityq!C1275)))&gt;1)</f>
        <v>0</v>
      </c>
      <c r="D1275">
        <f>NOT(hospitalityq!D1275="")*(COUNTIF(reference!$C$17:$C$18,TRIM(hospitalityq!D1275))=0)</f>
        <v>0</v>
      </c>
      <c r="J1275">
        <f>NOT(hospitalityq!J1275="")*(NOT(ISNUMBER(hospitalityq!J1275+0)))</f>
        <v>0</v>
      </c>
      <c r="K1275">
        <f>NOT(hospitalityq!K1275="")*(NOT(ISNUMBER(hospitalityq!K1275+0)))</f>
        <v>0</v>
      </c>
      <c r="P1275">
        <f>NOT(hospitalityq!P1275="")*(NOT(IFERROR(INT(hospitalityq!P1275)=VALUE(hospitalityq!P1275),FALSE)))</f>
        <v>0</v>
      </c>
      <c r="Q1275">
        <f>NOT(hospitalityq!Q1275="")*(NOT(IFERROR(INT(hospitalityq!Q1275)=VALUE(hospitalityq!Q1275),FALSE)))</f>
        <v>0</v>
      </c>
      <c r="R1275">
        <f>NOT(hospitalityq!R1275="")*(NOT(IFERROR(ROUND(VALUE(hospitalityq!R1275),2)=VALUE(hospitalityq!R1275),FALSE)))</f>
        <v>0</v>
      </c>
    </row>
    <row r="1276" spans="1:18" x14ac:dyDescent="0.25">
      <c r="A1276">
        <f t="shared" si="19"/>
        <v>0</v>
      </c>
      <c r="C1276">
        <f>NOT(hospitalityq!C1276="")*(SUMPRODUCT(--(TRIM(hospitalityq!C6:C1276)=TRIM(hospitalityq!C1276)))&gt;1)</f>
        <v>0</v>
      </c>
      <c r="D1276">
        <f>NOT(hospitalityq!D1276="")*(COUNTIF(reference!$C$17:$C$18,TRIM(hospitalityq!D1276))=0)</f>
        <v>0</v>
      </c>
      <c r="J1276">
        <f>NOT(hospitalityq!J1276="")*(NOT(ISNUMBER(hospitalityq!J1276+0)))</f>
        <v>0</v>
      </c>
      <c r="K1276">
        <f>NOT(hospitalityq!K1276="")*(NOT(ISNUMBER(hospitalityq!K1276+0)))</f>
        <v>0</v>
      </c>
      <c r="P1276">
        <f>NOT(hospitalityq!P1276="")*(NOT(IFERROR(INT(hospitalityq!P1276)=VALUE(hospitalityq!P1276),FALSE)))</f>
        <v>0</v>
      </c>
      <c r="Q1276">
        <f>NOT(hospitalityq!Q1276="")*(NOT(IFERROR(INT(hospitalityq!Q1276)=VALUE(hospitalityq!Q1276),FALSE)))</f>
        <v>0</v>
      </c>
      <c r="R1276">
        <f>NOT(hospitalityq!R1276="")*(NOT(IFERROR(ROUND(VALUE(hospitalityq!R1276),2)=VALUE(hospitalityq!R1276),FALSE)))</f>
        <v>0</v>
      </c>
    </row>
    <row r="1277" spans="1:18" x14ac:dyDescent="0.25">
      <c r="A1277">
        <f t="shared" si="19"/>
        <v>0</v>
      </c>
      <c r="C1277">
        <f>NOT(hospitalityq!C1277="")*(SUMPRODUCT(--(TRIM(hospitalityq!C6:C1277)=TRIM(hospitalityq!C1277)))&gt;1)</f>
        <v>0</v>
      </c>
      <c r="D1277">
        <f>NOT(hospitalityq!D1277="")*(COUNTIF(reference!$C$17:$C$18,TRIM(hospitalityq!D1277))=0)</f>
        <v>0</v>
      </c>
      <c r="J1277">
        <f>NOT(hospitalityq!J1277="")*(NOT(ISNUMBER(hospitalityq!J1277+0)))</f>
        <v>0</v>
      </c>
      <c r="K1277">
        <f>NOT(hospitalityq!K1277="")*(NOT(ISNUMBER(hospitalityq!K1277+0)))</f>
        <v>0</v>
      </c>
      <c r="P1277">
        <f>NOT(hospitalityq!P1277="")*(NOT(IFERROR(INT(hospitalityq!P1277)=VALUE(hospitalityq!P1277),FALSE)))</f>
        <v>0</v>
      </c>
      <c r="Q1277">
        <f>NOT(hospitalityq!Q1277="")*(NOT(IFERROR(INT(hospitalityq!Q1277)=VALUE(hospitalityq!Q1277),FALSE)))</f>
        <v>0</v>
      </c>
      <c r="R1277">
        <f>NOT(hospitalityq!R1277="")*(NOT(IFERROR(ROUND(VALUE(hospitalityq!R1277),2)=VALUE(hospitalityq!R1277),FALSE)))</f>
        <v>0</v>
      </c>
    </row>
    <row r="1278" spans="1:18" x14ac:dyDescent="0.25">
      <c r="A1278">
        <f t="shared" si="19"/>
        <v>0</v>
      </c>
      <c r="C1278">
        <f>NOT(hospitalityq!C1278="")*(SUMPRODUCT(--(TRIM(hospitalityq!C6:C1278)=TRIM(hospitalityq!C1278)))&gt;1)</f>
        <v>0</v>
      </c>
      <c r="D1278">
        <f>NOT(hospitalityq!D1278="")*(COUNTIF(reference!$C$17:$C$18,TRIM(hospitalityq!D1278))=0)</f>
        <v>0</v>
      </c>
      <c r="J1278">
        <f>NOT(hospitalityq!J1278="")*(NOT(ISNUMBER(hospitalityq!J1278+0)))</f>
        <v>0</v>
      </c>
      <c r="K1278">
        <f>NOT(hospitalityq!K1278="")*(NOT(ISNUMBER(hospitalityq!K1278+0)))</f>
        <v>0</v>
      </c>
      <c r="P1278">
        <f>NOT(hospitalityq!P1278="")*(NOT(IFERROR(INT(hospitalityq!P1278)=VALUE(hospitalityq!P1278),FALSE)))</f>
        <v>0</v>
      </c>
      <c r="Q1278">
        <f>NOT(hospitalityq!Q1278="")*(NOT(IFERROR(INT(hospitalityq!Q1278)=VALUE(hospitalityq!Q1278),FALSE)))</f>
        <v>0</v>
      </c>
      <c r="R1278">
        <f>NOT(hospitalityq!R1278="")*(NOT(IFERROR(ROUND(VALUE(hospitalityq!R1278),2)=VALUE(hospitalityq!R1278),FALSE)))</f>
        <v>0</v>
      </c>
    </row>
    <row r="1279" spans="1:18" x14ac:dyDescent="0.25">
      <c r="A1279">
        <f t="shared" si="19"/>
        <v>0</v>
      </c>
      <c r="C1279">
        <f>NOT(hospitalityq!C1279="")*(SUMPRODUCT(--(TRIM(hospitalityq!C6:C1279)=TRIM(hospitalityq!C1279)))&gt;1)</f>
        <v>0</v>
      </c>
      <c r="D1279">
        <f>NOT(hospitalityq!D1279="")*(COUNTIF(reference!$C$17:$C$18,TRIM(hospitalityq!D1279))=0)</f>
        <v>0</v>
      </c>
      <c r="J1279">
        <f>NOT(hospitalityq!J1279="")*(NOT(ISNUMBER(hospitalityq!J1279+0)))</f>
        <v>0</v>
      </c>
      <c r="K1279">
        <f>NOT(hospitalityq!K1279="")*(NOT(ISNUMBER(hospitalityq!K1279+0)))</f>
        <v>0</v>
      </c>
      <c r="P1279">
        <f>NOT(hospitalityq!P1279="")*(NOT(IFERROR(INT(hospitalityq!P1279)=VALUE(hospitalityq!P1279),FALSE)))</f>
        <v>0</v>
      </c>
      <c r="Q1279">
        <f>NOT(hospitalityq!Q1279="")*(NOT(IFERROR(INT(hospitalityq!Q1279)=VALUE(hospitalityq!Q1279),FALSE)))</f>
        <v>0</v>
      </c>
      <c r="R1279">
        <f>NOT(hospitalityq!R1279="")*(NOT(IFERROR(ROUND(VALUE(hospitalityq!R1279),2)=VALUE(hospitalityq!R1279),FALSE)))</f>
        <v>0</v>
      </c>
    </row>
    <row r="1280" spans="1:18" x14ac:dyDescent="0.25">
      <c r="A1280">
        <f t="shared" si="19"/>
        <v>0</v>
      </c>
      <c r="C1280">
        <f>NOT(hospitalityq!C1280="")*(SUMPRODUCT(--(TRIM(hospitalityq!C6:C1280)=TRIM(hospitalityq!C1280)))&gt;1)</f>
        <v>0</v>
      </c>
      <c r="D1280">
        <f>NOT(hospitalityq!D1280="")*(COUNTIF(reference!$C$17:$C$18,TRIM(hospitalityq!D1280))=0)</f>
        <v>0</v>
      </c>
      <c r="J1280">
        <f>NOT(hospitalityq!J1280="")*(NOT(ISNUMBER(hospitalityq!J1280+0)))</f>
        <v>0</v>
      </c>
      <c r="K1280">
        <f>NOT(hospitalityq!K1280="")*(NOT(ISNUMBER(hospitalityq!K1280+0)))</f>
        <v>0</v>
      </c>
      <c r="P1280">
        <f>NOT(hospitalityq!P1280="")*(NOT(IFERROR(INT(hospitalityq!P1280)=VALUE(hospitalityq!P1280),FALSE)))</f>
        <v>0</v>
      </c>
      <c r="Q1280">
        <f>NOT(hospitalityq!Q1280="")*(NOT(IFERROR(INT(hospitalityq!Q1280)=VALUE(hospitalityq!Q1280),FALSE)))</f>
        <v>0</v>
      </c>
      <c r="R1280">
        <f>NOT(hospitalityq!R1280="")*(NOT(IFERROR(ROUND(VALUE(hospitalityq!R1280),2)=VALUE(hospitalityq!R1280),FALSE)))</f>
        <v>0</v>
      </c>
    </row>
    <row r="1281" spans="1:18" x14ac:dyDescent="0.25">
      <c r="A1281">
        <f t="shared" si="19"/>
        <v>0</v>
      </c>
      <c r="C1281">
        <f>NOT(hospitalityq!C1281="")*(SUMPRODUCT(--(TRIM(hospitalityq!C6:C1281)=TRIM(hospitalityq!C1281)))&gt;1)</f>
        <v>0</v>
      </c>
      <c r="D1281">
        <f>NOT(hospitalityq!D1281="")*(COUNTIF(reference!$C$17:$C$18,TRIM(hospitalityq!D1281))=0)</f>
        <v>0</v>
      </c>
      <c r="J1281">
        <f>NOT(hospitalityq!J1281="")*(NOT(ISNUMBER(hospitalityq!J1281+0)))</f>
        <v>0</v>
      </c>
      <c r="K1281">
        <f>NOT(hospitalityq!K1281="")*(NOT(ISNUMBER(hospitalityq!K1281+0)))</f>
        <v>0</v>
      </c>
      <c r="P1281">
        <f>NOT(hospitalityq!P1281="")*(NOT(IFERROR(INT(hospitalityq!P1281)=VALUE(hospitalityq!P1281),FALSE)))</f>
        <v>0</v>
      </c>
      <c r="Q1281">
        <f>NOT(hospitalityq!Q1281="")*(NOT(IFERROR(INT(hospitalityq!Q1281)=VALUE(hospitalityq!Q1281),FALSE)))</f>
        <v>0</v>
      </c>
      <c r="R1281">
        <f>NOT(hospitalityq!R1281="")*(NOT(IFERROR(ROUND(VALUE(hospitalityq!R1281),2)=VALUE(hospitalityq!R1281),FALSE)))</f>
        <v>0</v>
      </c>
    </row>
    <row r="1282" spans="1:18" x14ac:dyDescent="0.25">
      <c r="A1282">
        <f t="shared" si="19"/>
        <v>0</v>
      </c>
      <c r="C1282">
        <f>NOT(hospitalityq!C1282="")*(SUMPRODUCT(--(TRIM(hospitalityq!C6:C1282)=TRIM(hospitalityq!C1282)))&gt;1)</f>
        <v>0</v>
      </c>
      <c r="D1282">
        <f>NOT(hospitalityq!D1282="")*(COUNTIF(reference!$C$17:$C$18,TRIM(hospitalityq!D1282))=0)</f>
        <v>0</v>
      </c>
      <c r="J1282">
        <f>NOT(hospitalityq!J1282="")*(NOT(ISNUMBER(hospitalityq!J1282+0)))</f>
        <v>0</v>
      </c>
      <c r="K1282">
        <f>NOT(hospitalityq!K1282="")*(NOT(ISNUMBER(hospitalityq!K1282+0)))</f>
        <v>0</v>
      </c>
      <c r="P1282">
        <f>NOT(hospitalityq!P1282="")*(NOT(IFERROR(INT(hospitalityq!P1282)=VALUE(hospitalityq!P1282),FALSE)))</f>
        <v>0</v>
      </c>
      <c r="Q1282">
        <f>NOT(hospitalityq!Q1282="")*(NOT(IFERROR(INT(hospitalityq!Q1282)=VALUE(hospitalityq!Q1282),FALSE)))</f>
        <v>0</v>
      </c>
      <c r="R1282">
        <f>NOT(hospitalityq!R1282="")*(NOT(IFERROR(ROUND(VALUE(hospitalityq!R1282),2)=VALUE(hospitalityq!R1282),FALSE)))</f>
        <v>0</v>
      </c>
    </row>
    <row r="1283" spans="1:18" x14ac:dyDescent="0.25">
      <c r="A1283">
        <f t="shared" si="19"/>
        <v>0</v>
      </c>
      <c r="C1283">
        <f>NOT(hospitalityq!C1283="")*(SUMPRODUCT(--(TRIM(hospitalityq!C6:C1283)=TRIM(hospitalityq!C1283)))&gt;1)</f>
        <v>0</v>
      </c>
      <c r="D1283">
        <f>NOT(hospitalityq!D1283="")*(COUNTIF(reference!$C$17:$C$18,TRIM(hospitalityq!D1283))=0)</f>
        <v>0</v>
      </c>
      <c r="J1283">
        <f>NOT(hospitalityq!J1283="")*(NOT(ISNUMBER(hospitalityq!J1283+0)))</f>
        <v>0</v>
      </c>
      <c r="K1283">
        <f>NOT(hospitalityq!K1283="")*(NOT(ISNUMBER(hospitalityq!K1283+0)))</f>
        <v>0</v>
      </c>
      <c r="P1283">
        <f>NOT(hospitalityq!P1283="")*(NOT(IFERROR(INT(hospitalityq!P1283)=VALUE(hospitalityq!P1283),FALSE)))</f>
        <v>0</v>
      </c>
      <c r="Q1283">
        <f>NOT(hospitalityq!Q1283="")*(NOT(IFERROR(INT(hospitalityq!Q1283)=VALUE(hospitalityq!Q1283),FALSE)))</f>
        <v>0</v>
      </c>
      <c r="R1283">
        <f>NOT(hospitalityq!R1283="")*(NOT(IFERROR(ROUND(VALUE(hospitalityq!R1283),2)=VALUE(hospitalityq!R1283),FALSE)))</f>
        <v>0</v>
      </c>
    </row>
    <row r="1284" spans="1:18" x14ac:dyDescent="0.25">
      <c r="A1284">
        <f t="shared" si="19"/>
        <v>0</v>
      </c>
      <c r="C1284">
        <f>NOT(hospitalityq!C1284="")*(SUMPRODUCT(--(TRIM(hospitalityq!C6:C1284)=TRIM(hospitalityq!C1284)))&gt;1)</f>
        <v>0</v>
      </c>
      <c r="D1284">
        <f>NOT(hospitalityq!D1284="")*(COUNTIF(reference!$C$17:$C$18,TRIM(hospitalityq!D1284))=0)</f>
        <v>0</v>
      </c>
      <c r="J1284">
        <f>NOT(hospitalityq!J1284="")*(NOT(ISNUMBER(hospitalityq!J1284+0)))</f>
        <v>0</v>
      </c>
      <c r="K1284">
        <f>NOT(hospitalityq!K1284="")*(NOT(ISNUMBER(hospitalityq!K1284+0)))</f>
        <v>0</v>
      </c>
      <c r="P1284">
        <f>NOT(hospitalityq!P1284="")*(NOT(IFERROR(INT(hospitalityq!P1284)=VALUE(hospitalityq!P1284),FALSE)))</f>
        <v>0</v>
      </c>
      <c r="Q1284">
        <f>NOT(hospitalityq!Q1284="")*(NOT(IFERROR(INT(hospitalityq!Q1284)=VALUE(hospitalityq!Q1284),FALSE)))</f>
        <v>0</v>
      </c>
      <c r="R1284">
        <f>NOT(hospitalityq!R1284="")*(NOT(IFERROR(ROUND(VALUE(hospitalityq!R1284),2)=VALUE(hospitalityq!R1284),FALSE)))</f>
        <v>0</v>
      </c>
    </row>
    <row r="1285" spans="1:18" x14ac:dyDescent="0.25">
      <c r="A1285">
        <f t="shared" si="19"/>
        <v>0</v>
      </c>
      <c r="C1285">
        <f>NOT(hospitalityq!C1285="")*(SUMPRODUCT(--(TRIM(hospitalityq!C6:C1285)=TRIM(hospitalityq!C1285)))&gt;1)</f>
        <v>0</v>
      </c>
      <c r="D1285">
        <f>NOT(hospitalityq!D1285="")*(COUNTIF(reference!$C$17:$C$18,TRIM(hospitalityq!D1285))=0)</f>
        <v>0</v>
      </c>
      <c r="J1285">
        <f>NOT(hospitalityq!J1285="")*(NOT(ISNUMBER(hospitalityq!J1285+0)))</f>
        <v>0</v>
      </c>
      <c r="K1285">
        <f>NOT(hospitalityq!K1285="")*(NOT(ISNUMBER(hospitalityq!K1285+0)))</f>
        <v>0</v>
      </c>
      <c r="P1285">
        <f>NOT(hospitalityq!P1285="")*(NOT(IFERROR(INT(hospitalityq!P1285)=VALUE(hospitalityq!P1285),FALSE)))</f>
        <v>0</v>
      </c>
      <c r="Q1285">
        <f>NOT(hospitalityq!Q1285="")*(NOT(IFERROR(INT(hospitalityq!Q1285)=VALUE(hospitalityq!Q1285),FALSE)))</f>
        <v>0</v>
      </c>
      <c r="R1285">
        <f>NOT(hospitalityq!R1285="")*(NOT(IFERROR(ROUND(VALUE(hospitalityq!R1285),2)=VALUE(hospitalityq!R1285),FALSE)))</f>
        <v>0</v>
      </c>
    </row>
    <row r="1286" spans="1:18" x14ac:dyDescent="0.25">
      <c r="A1286">
        <f t="shared" ref="A1286:A1349" si="20">IFERROR(MATCH(TRUE,INDEX(C1286:R1286&lt;&gt;0,),)+2,0)</f>
        <v>0</v>
      </c>
      <c r="C1286">
        <f>NOT(hospitalityq!C1286="")*(SUMPRODUCT(--(TRIM(hospitalityq!C6:C1286)=TRIM(hospitalityq!C1286)))&gt;1)</f>
        <v>0</v>
      </c>
      <c r="D1286">
        <f>NOT(hospitalityq!D1286="")*(COUNTIF(reference!$C$17:$C$18,TRIM(hospitalityq!D1286))=0)</f>
        <v>0</v>
      </c>
      <c r="J1286">
        <f>NOT(hospitalityq!J1286="")*(NOT(ISNUMBER(hospitalityq!J1286+0)))</f>
        <v>0</v>
      </c>
      <c r="K1286">
        <f>NOT(hospitalityq!K1286="")*(NOT(ISNUMBER(hospitalityq!K1286+0)))</f>
        <v>0</v>
      </c>
      <c r="P1286">
        <f>NOT(hospitalityq!P1286="")*(NOT(IFERROR(INT(hospitalityq!P1286)=VALUE(hospitalityq!P1286),FALSE)))</f>
        <v>0</v>
      </c>
      <c r="Q1286">
        <f>NOT(hospitalityq!Q1286="")*(NOT(IFERROR(INT(hospitalityq!Q1286)=VALUE(hospitalityq!Q1286),FALSE)))</f>
        <v>0</v>
      </c>
      <c r="R1286">
        <f>NOT(hospitalityq!R1286="")*(NOT(IFERROR(ROUND(VALUE(hospitalityq!R1286),2)=VALUE(hospitalityq!R1286),FALSE)))</f>
        <v>0</v>
      </c>
    </row>
    <row r="1287" spans="1:18" x14ac:dyDescent="0.25">
      <c r="A1287">
        <f t="shared" si="20"/>
        <v>0</v>
      </c>
      <c r="C1287">
        <f>NOT(hospitalityq!C1287="")*(SUMPRODUCT(--(TRIM(hospitalityq!C6:C1287)=TRIM(hospitalityq!C1287)))&gt;1)</f>
        <v>0</v>
      </c>
      <c r="D1287">
        <f>NOT(hospitalityq!D1287="")*(COUNTIF(reference!$C$17:$C$18,TRIM(hospitalityq!D1287))=0)</f>
        <v>0</v>
      </c>
      <c r="J1287">
        <f>NOT(hospitalityq!J1287="")*(NOT(ISNUMBER(hospitalityq!J1287+0)))</f>
        <v>0</v>
      </c>
      <c r="K1287">
        <f>NOT(hospitalityq!K1287="")*(NOT(ISNUMBER(hospitalityq!K1287+0)))</f>
        <v>0</v>
      </c>
      <c r="P1287">
        <f>NOT(hospitalityq!P1287="")*(NOT(IFERROR(INT(hospitalityq!P1287)=VALUE(hospitalityq!P1287),FALSE)))</f>
        <v>0</v>
      </c>
      <c r="Q1287">
        <f>NOT(hospitalityq!Q1287="")*(NOT(IFERROR(INT(hospitalityq!Q1287)=VALUE(hospitalityq!Q1287),FALSE)))</f>
        <v>0</v>
      </c>
      <c r="R1287">
        <f>NOT(hospitalityq!R1287="")*(NOT(IFERROR(ROUND(VALUE(hospitalityq!R1287),2)=VALUE(hospitalityq!R1287),FALSE)))</f>
        <v>0</v>
      </c>
    </row>
    <row r="1288" spans="1:18" x14ac:dyDescent="0.25">
      <c r="A1288">
        <f t="shared" si="20"/>
        <v>0</v>
      </c>
      <c r="C1288">
        <f>NOT(hospitalityq!C1288="")*(SUMPRODUCT(--(TRIM(hospitalityq!C6:C1288)=TRIM(hospitalityq!C1288)))&gt;1)</f>
        <v>0</v>
      </c>
      <c r="D1288">
        <f>NOT(hospitalityq!D1288="")*(COUNTIF(reference!$C$17:$C$18,TRIM(hospitalityq!D1288))=0)</f>
        <v>0</v>
      </c>
      <c r="J1288">
        <f>NOT(hospitalityq!J1288="")*(NOT(ISNUMBER(hospitalityq!J1288+0)))</f>
        <v>0</v>
      </c>
      <c r="K1288">
        <f>NOT(hospitalityq!K1288="")*(NOT(ISNUMBER(hospitalityq!K1288+0)))</f>
        <v>0</v>
      </c>
      <c r="P1288">
        <f>NOT(hospitalityq!P1288="")*(NOT(IFERROR(INT(hospitalityq!P1288)=VALUE(hospitalityq!P1288),FALSE)))</f>
        <v>0</v>
      </c>
      <c r="Q1288">
        <f>NOT(hospitalityq!Q1288="")*(NOT(IFERROR(INT(hospitalityq!Q1288)=VALUE(hospitalityq!Q1288),FALSE)))</f>
        <v>0</v>
      </c>
      <c r="R1288">
        <f>NOT(hospitalityq!R1288="")*(NOT(IFERROR(ROUND(VALUE(hospitalityq!R1288),2)=VALUE(hospitalityq!R1288),FALSE)))</f>
        <v>0</v>
      </c>
    </row>
    <row r="1289" spans="1:18" x14ac:dyDescent="0.25">
      <c r="A1289">
        <f t="shared" si="20"/>
        <v>0</v>
      </c>
      <c r="C1289">
        <f>NOT(hospitalityq!C1289="")*(SUMPRODUCT(--(TRIM(hospitalityq!C6:C1289)=TRIM(hospitalityq!C1289)))&gt;1)</f>
        <v>0</v>
      </c>
      <c r="D1289">
        <f>NOT(hospitalityq!D1289="")*(COUNTIF(reference!$C$17:$C$18,TRIM(hospitalityq!D1289))=0)</f>
        <v>0</v>
      </c>
      <c r="J1289">
        <f>NOT(hospitalityq!J1289="")*(NOT(ISNUMBER(hospitalityq!J1289+0)))</f>
        <v>0</v>
      </c>
      <c r="K1289">
        <f>NOT(hospitalityq!K1289="")*(NOT(ISNUMBER(hospitalityq!K1289+0)))</f>
        <v>0</v>
      </c>
      <c r="P1289">
        <f>NOT(hospitalityq!P1289="")*(NOT(IFERROR(INT(hospitalityq!P1289)=VALUE(hospitalityq!P1289),FALSE)))</f>
        <v>0</v>
      </c>
      <c r="Q1289">
        <f>NOT(hospitalityq!Q1289="")*(NOT(IFERROR(INT(hospitalityq!Q1289)=VALUE(hospitalityq!Q1289),FALSE)))</f>
        <v>0</v>
      </c>
      <c r="R1289">
        <f>NOT(hospitalityq!R1289="")*(NOT(IFERROR(ROUND(VALUE(hospitalityq!R1289),2)=VALUE(hospitalityq!R1289),FALSE)))</f>
        <v>0</v>
      </c>
    </row>
    <row r="1290" spans="1:18" x14ac:dyDescent="0.25">
      <c r="A1290">
        <f t="shared" si="20"/>
        <v>0</v>
      </c>
      <c r="C1290">
        <f>NOT(hospitalityq!C1290="")*(SUMPRODUCT(--(TRIM(hospitalityq!C6:C1290)=TRIM(hospitalityq!C1290)))&gt;1)</f>
        <v>0</v>
      </c>
      <c r="D1290">
        <f>NOT(hospitalityq!D1290="")*(COUNTIF(reference!$C$17:$C$18,TRIM(hospitalityq!D1290))=0)</f>
        <v>0</v>
      </c>
      <c r="J1290">
        <f>NOT(hospitalityq!J1290="")*(NOT(ISNUMBER(hospitalityq!J1290+0)))</f>
        <v>0</v>
      </c>
      <c r="K1290">
        <f>NOT(hospitalityq!K1290="")*(NOT(ISNUMBER(hospitalityq!K1290+0)))</f>
        <v>0</v>
      </c>
      <c r="P1290">
        <f>NOT(hospitalityq!P1290="")*(NOT(IFERROR(INT(hospitalityq!P1290)=VALUE(hospitalityq!P1290),FALSE)))</f>
        <v>0</v>
      </c>
      <c r="Q1290">
        <f>NOT(hospitalityq!Q1290="")*(NOT(IFERROR(INT(hospitalityq!Q1290)=VALUE(hospitalityq!Q1290),FALSE)))</f>
        <v>0</v>
      </c>
      <c r="R1290">
        <f>NOT(hospitalityq!R1290="")*(NOT(IFERROR(ROUND(VALUE(hospitalityq!R1290),2)=VALUE(hospitalityq!R1290),FALSE)))</f>
        <v>0</v>
      </c>
    </row>
    <row r="1291" spans="1:18" x14ac:dyDescent="0.25">
      <c r="A1291">
        <f t="shared" si="20"/>
        <v>0</v>
      </c>
      <c r="C1291">
        <f>NOT(hospitalityq!C1291="")*(SUMPRODUCT(--(TRIM(hospitalityq!C6:C1291)=TRIM(hospitalityq!C1291)))&gt;1)</f>
        <v>0</v>
      </c>
      <c r="D1291">
        <f>NOT(hospitalityq!D1291="")*(COUNTIF(reference!$C$17:$C$18,TRIM(hospitalityq!D1291))=0)</f>
        <v>0</v>
      </c>
      <c r="J1291">
        <f>NOT(hospitalityq!J1291="")*(NOT(ISNUMBER(hospitalityq!J1291+0)))</f>
        <v>0</v>
      </c>
      <c r="K1291">
        <f>NOT(hospitalityq!K1291="")*(NOT(ISNUMBER(hospitalityq!K1291+0)))</f>
        <v>0</v>
      </c>
      <c r="P1291">
        <f>NOT(hospitalityq!P1291="")*(NOT(IFERROR(INT(hospitalityq!P1291)=VALUE(hospitalityq!P1291),FALSE)))</f>
        <v>0</v>
      </c>
      <c r="Q1291">
        <f>NOT(hospitalityq!Q1291="")*(NOT(IFERROR(INT(hospitalityq!Q1291)=VALUE(hospitalityq!Q1291),FALSE)))</f>
        <v>0</v>
      </c>
      <c r="R1291">
        <f>NOT(hospitalityq!R1291="")*(NOT(IFERROR(ROUND(VALUE(hospitalityq!R1291),2)=VALUE(hospitalityq!R1291),FALSE)))</f>
        <v>0</v>
      </c>
    </row>
    <row r="1292" spans="1:18" x14ac:dyDescent="0.25">
      <c r="A1292">
        <f t="shared" si="20"/>
        <v>0</v>
      </c>
      <c r="C1292">
        <f>NOT(hospitalityq!C1292="")*(SUMPRODUCT(--(TRIM(hospitalityq!C6:C1292)=TRIM(hospitalityq!C1292)))&gt;1)</f>
        <v>0</v>
      </c>
      <c r="D1292">
        <f>NOT(hospitalityq!D1292="")*(COUNTIF(reference!$C$17:$C$18,TRIM(hospitalityq!D1292))=0)</f>
        <v>0</v>
      </c>
      <c r="J1292">
        <f>NOT(hospitalityq!J1292="")*(NOT(ISNUMBER(hospitalityq!J1292+0)))</f>
        <v>0</v>
      </c>
      <c r="K1292">
        <f>NOT(hospitalityq!K1292="")*(NOT(ISNUMBER(hospitalityq!K1292+0)))</f>
        <v>0</v>
      </c>
      <c r="P1292">
        <f>NOT(hospitalityq!P1292="")*(NOT(IFERROR(INT(hospitalityq!P1292)=VALUE(hospitalityq!P1292),FALSE)))</f>
        <v>0</v>
      </c>
      <c r="Q1292">
        <f>NOT(hospitalityq!Q1292="")*(NOT(IFERROR(INT(hospitalityq!Q1292)=VALUE(hospitalityq!Q1292),FALSE)))</f>
        <v>0</v>
      </c>
      <c r="R1292">
        <f>NOT(hospitalityq!R1292="")*(NOT(IFERROR(ROUND(VALUE(hospitalityq!R1292),2)=VALUE(hospitalityq!R1292),FALSE)))</f>
        <v>0</v>
      </c>
    </row>
    <row r="1293" spans="1:18" x14ac:dyDescent="0.25">
      <c r="A1293">
        <f t="shared" si="20"/>
        <v>0</v>
      </c>
      <c r="C1293">
        <f>NOT(hospitalityq!C1293="")*(SUMPRODUCT(--(TRIM(hospitalityq!C6:C1293)=TRIM(hospitalityq!C1293)))&gt;1)</f>
        <v>0</v>
      </c>
      <c r="D1293">
        <f>NOT(hospitalityq!D1293="")*(COUNTIF(reference!$C$17:$C$18,TRIM(hospitalityq!D1293))=0)</f>
        <v>0</v>
      </c>
      <c r="J1293">
        <f>NOT(hospitalityq!J1293="")*(NOT(ISNUMBER(hospitalityq!J1293+0)))</f>
        <v>0</v>
      </c>
      <c r="K1293">
        <f>NOT(hospitalityq!K1293="")*(NOT(ISNUMBER(hospitalityq!K1293+0)))</f>
        <v>0</v>
      </c>
      <c r="P1293">
        <f>NOT(hospitalityq!P1293="")*(NOT(IFERROR(INT(hospitalityq!P1293)=VALUE(hospitalityq!P1293),FALSE)))</f>
        <v>0</v>
      </c>
      <c r="Q1293">
        <f>NOT(hospitalityq!Q1293="")*(NOT(IFERROR(INT(hospitalityq!Q1293)=VALUE(hospitalityq!Q1293),FALSE)))</f>
        <v>0</v>
      </c>
      <c r="R1293">
        <f>NOT(hospitalityq!R1293="")*(NOT(IFERROR(ROUND(VALUE(hospitalityq!R1293),2)=VALUE(hospitalityq!R1293),FALSE)))</f>
        <v>0</v>
      </c>
    </row>
    <row r="1294" spans="1:18" x14ac:dyDescent="0.25">
      <c r="A1294">
        <f t="shared" si="20"/>
        <v>0</v>
      </c>
      <c r="C1294">
        <f>NOT(hospitalityq!C1294="")*(SUMPRODUCT(--(TRIM(hospitalityq!C6:C1294)=TRIM(hospitalityq!C1294)))&gt;1)</f>
        <v>0</v>
      </c>
      <c r="D1294">
        <f>NOT(hospitalityq!D1294="")*(COUNTIF(reference!$C$17:$C$18,TRIM(hospitalityq!D1294))=0)</f>
        <v>0</v>
      </c>
      <c r="J1294">
        <f>NOT(hospitalityq!J1294="")*(NOT(ISNUMBER(hospitalityq!J1294+0)))</f>
        <v>0</v>
      </c>
      <c r="K1294">
        <f>NOT(hospitalityq!K1294="")*(NOT(ISNUMBER(hospitalityq!K1294+0)))</f>
        <v>0</v>
      </c>
      <c r="P1294">
        <f>NOT(hospitalityq!P1294="")*(NOT(IFERROR(INT(hospitalityq!P1294)=VALUE(hospitalityq!P1294),FALSE)))</f>
        <v>0</v>
      </c>
      <c r="Q1294">
        <f>NOT(hospitalityq!Q1294="")*(NOT(IFERROR(INT(hospitalityq!Q1294)=VALUE(hospitalityq!Q1294),FALSE)))</f>
        <v>0</v>
      </c>
      <c r="R1294">
        <f>NOT(hospitalityq!R1294="")*(NOT(IFERROR(ROUND(VALUE(hospitalityq!R1294),2)=VALUE(hospitalityq!R1294),FALSE)))</f>
        <v>0</v>
      </c>
    </row>
    <row r="1295" spans="1:18" x14ac:dyDescent="0.25">
      <c r="A1295">
        <f t="shared" si="20"/>
        <v>0</v>
      </c>
      <c r="C1295">
        <f>NOT(hospitalityq!C1295="")*(SUMPRODUCT(--(TRIM(hospitalityq!C6:C1295)=TRIM(hospitalityq!C1295)))&gt;1)</f>
        <v>0</v>
      </c>
      <c r="D1295">
        <f>NOT(hospitalityq!D1295="")*(COUNTIF(reference!$C$17:$C$18,TRIM(hospitalityq!D1295))=0)</f>
        <v>0</v>
      </c>
      <c r="J1295">
        <f>NOT(hospitalityq!J1295="")*(NOT(ISNUMBER(hospitalityq!J1295+0)))</f>
        <v>0</v>
      </c>
      <c r="K1295">
        <f>NOT(hospitalityq!K1295="")*(NOT(ISNUMBER(hospitalityq!K1295+0)))</f>
        <v>0</v>
      </c>
      <c r="P1295">
        <f>NOT(hospitalityq!P1295="")*(NOT(IFERROR(INT(hospitalityq!P1295)=VALUE(hospitalityq!P1295),FALSE)))</f>
        <v>0</v>
      </c>
      <c r="Q1295">
        <f>NOT(hospitalityq!Q1295="")*(NOT(IFERROR(INT(hospitalityq!Q1295)=VALUE(hospitalityq!Q1295),FALSE)))</f>
        <v>0</v>
      </c>
      <c r="R1295">
        <f>NOT(hospitalityq!R1295="")*(NOT(IFERROR(ROUND(VALUE(hospitalityq!R1295),2)=VALUE(hospitalityq!R1295),FALSE)))</f>
        <v>0</v>
      </c>
    </row>
    <row r="1296" spans="1:18" x14ac:dyDescent="0.25">
      <c r="A1296">
        <f t="shared" si="20"/>
        <v>0</v>
      </c>
      <c r="C1296">
        <f>NOT(hospitalityq!C1296="")*(SUMPRODUCT(--(TRIM(hospitalityq!C6:C1296)=TRIM(hospitalityq!C1296)))&gt;1)</f>
        <v>0</v>
      </c>
      <c r="D1296">
        <f>NOT(hospitalityq!D1296="")*(COUNTIF(reference!$C$17:$C$18,TRIM(hospitalityq!D1296))=0)</f>
        <v>0</v>
      </c>
      <c r="J1296">
        <f>NOT(hospitalityq!J1296="")*(NOT(ISNUMBER(hospitalityq!J1296+0)))</f>
        <v>0</v>
      </c>
      <c r="K1296">
        <f>NOT(hospitalityq!K1296="")*(NOT(ISNUMBER(hospitalityq!K1296+0)))</f>
        <v>0</v>
      </c>
      <c r="P1296">
        <f>NOT(hospitalityq!P1296="")*(NOT(IFERROR(INT(hospitalityq!P1296)=VALUE(hospitalityq!P1296),FALSE)))</f>
        <v>0</v>
      </c>
      <c r="Q1296">
        <f>NOT(hospitalityq!Q1296="")*(NOT(IFERROR(INT(hospitalityq!Q1296)=VALUE(hospitalityq!Q1296),FALSE)))</f>
        <v>0</v>
      </c>
      <c r="R1296">
        <f>NOT(hospitalityq!R1296="")*(NOT(IFERROR(ROUND(VALUE(hospitalityq!R1296),2)=VALUE(hospitalityq!R1296),FALSE)))</f>
        <v>0</v>
      </c>
    </row>
    <row r="1297" spans="1:18" x14ac:dyDescent="0.25">
      <c r="A1297">
        <f t="shared" si="20"/>
        <v>0</v>
      </c>
      <c r="C1297">
        <f>NOT(hospitalityq!C1297="")*(SUMPRODUCT(--(TRIM(hospitalityq!C6:C1297)=TRIM(hospitalityq!C1297)))&gt;1)</f>
        <v>0</v>
      </c>
      <c r="D1297">
        <f>NOT(hospitalityq!D1297="")*(COUNTIF(reference!$C$17:$C$18,TRIM(hospitalityq!D1297))=0)</f>
        <v>0</v>
      </c>
      <c r="J1297">
        <f>NOT(hospitalityq!J1297="")*(NOT(ISNUMBER(hospitalityq!J1297+0)))</f>
        <v>0</v>
      </c>
      <c r="K1297">
        <f>NOT(hospitalityq!K1297="")*(NOT(ISNUMBER(hospitalityq!K1297+0)))</f>
        <v>0</v>
      </c>
      <c r="P1297">
        <f>NOT(hospitalityq!P1297="")*(NOT(IFERROR(INT(hospitalityq!P1297)=VALUE(hospitalityq!P1297),FALSE)))</f>
        <v>0</v>
      </c>
      <c r="Q1297">
        <f>NOT(hospitalityq!Q1297="")*(NOT(IFERROR(INT(hospitalityq!Q1297)=VALUE(hospitalityq!Q1297),FALSE)))</f>
        <v>0</v>
      </c>
      <c r="R1297">
        <f>NOT(hospitalityq!R1297="")*(NOT(IFERROR(ROUND(VALUE(hospitalityq!R1297),2)=VALUE(hospitalityq!R1297),FALSE)))</f>
        <v>0</v>
      </c>
    </row>
    <row r="1298" spans="1:18" x14ac:dyDescent="0.25">
      <c r="A1298">
        <f t="shared" si="20"/>
        <v>0</v>
      </c>
      <c r="C1298">
        <f>NOT(hospitalityq!C1298="")*(SUMPRODUCT(--(TRIM(hospitalityq!C6:C1298)=TRIM(hospitalityq!C1298)))&gt;1)</f>
        <v>0</v>
      </c>
      <c r="D1298">
        <f>NOT(hospitalityq!D1298="")*(COUNTIF(reference!$C$17:$C$18,TRIM(hospitalityq!D1298))=0)</f>
        <v>0</v>
      </c>
      <c r="J1298">
        <f>NOT(hospitalityq!J1298="")*(NOT(ISNUMBER(hospitalityq!J1298+0)))</f>
        <v>0</v>
      </c>
      <c r="K1298">
        <f>NOT(hospitalityq!K1298="")*(NOT(ISNUMBER(hospitalityq!K1298+0)))</f>
        <v>0</v>
      </c>
      <c r="P1298">
        <f>NOT(hospitalityq!P1298="")*(NOT(IFERROR(INT(hospitalityq!P1298)=VALUE(hospitalityq!P1298),FALSE)))</f>
        <v>0</v>
      </c>
      <c r="Q1298">
        <f>NOT(hospitalityq!Q1298="")*(NOT(IFERROR(INT(hospitalityq!Q1298)=VALUE(hospitalityq!Q1298),FALSE)))</f>
        <v>0</v>
      </c>
      <c r="R1298">
        <f>NOT(hospitalityq!R1298="")*(NOT(IFERROR(ROUND(VALUE(hospitalityq!R1298),2)=VALUE(hospitalityq!R1298),FALSE)))</f>
        <v>0</v>
      </c>
    </row>
    <row r="1299" spans="1:18" x14ac:dyDescent="0.25">
      <c r="A1299">
        <f t="shared" si="20"/>
        <v>0</v>
      </c>
      <c r="C1299">
        <f>NOT(hospitalityq!C1299="")*(SUMPRODUCT(--(TRIM(hospitalityq!C6:C1299)=TRIM(hospitalityq!C1299)))&gt;1)</f>
        <v>0</v>
      </c>
      <c r="D1299">
        <f>NOT(hospitalityq!D1299="")*(COUNTIF(reference!$C$17:$C$18,TRIM(hospitalityq!D1299))=0)</f>
        <v>0</v>
      </c>
      <c r="J1299">
        <f>NOT(hospitalityq!J1299="")*(NOT(ISNUMBER(hospitalityq!J1299+0)))</f>
        <v>0</v>
      </c>
      <c r="K1299">
        <f>NOT(hospitalityq!K1299="")*(NOT(ISNUMBER(hospitalityq!K1299+0)))</f>
        <v>0</v>
      </c>
      <c r="P1299">
        <f>NOT(hospitalityq!P1299="")*(NOT(IFERROR(INT(hospitalityq!P1299)=VALUE(hospitalityq!P1299),FALSE)))</f>
        <v>0</v>
      </c>
      <c r="Q1299">
        <f>NOT(hospitalityq!Q1299="")*(NOT(IFERROR(INT(hospitalityq!Q1299)=VALUE(hospitalityq!Q1299),FALSE)))</f>
        <v>0</v>
      </c>
      <c r="R1299">
        <f>NOT(hospitalityq!R1299="")*(NOT(IFERROR(ROUND(VALUE(hospitalityq!R1299),2)=VALUE(hospitalityq!R1299),FALSE)))</f>
        <v>0</v>
      </c>
    </row>
    <row r="1300" spans="1:18" x14ac:dyDescent="0.25">
      <c r="A1300">
        <f t="shared" si="20"/>
        <v>0</v>
      </c>
      <c r="C1300">
        <f>NOT(hospitalityq!C1300="")*(SUMPRODUCT(--(TRIM(hospitalityq!C6:C1300)=TRIM(hospitalityq!C1300)))&gt;1)</f>
        <v>0</v>
      </c>
      <c r="D1300">
        <f>NOT(hospitalityq!D1300="")*(COUNTIF(reference!$C$17:$C$18,TRIM(hospitalityq!D1300))=0)</f>
        <v>0</v>
      </c>
      <c r="J1300">
        <f>NOT(hospitalityq!J1300="")*(NOT(ISNUMBER(hospitalityq!J1300+0)))</f>
        <v>0</v>
      </c>
      <c r="K1300">
        <f>NOT(hospitalityq!K1300="")*(NOT(ISNUMBER(hospitalityq!K1300+0)))</f>
        <v>0</v>
      </c>
      <c r="P1300">
        <f>NOT(hospitalityq!P1300="")*(NOT(IFERROR(INT(hospitalityq!P1300)=VALUE(hospitalityq!P1300),FALSE)))</f>
        <v>0</v>
      </c>
      <c r="Q1300">
        <f>NOT(hospitalityq!Q1300="")*(NOT(IFERROR(INT(hospitalityq!Q1300)=VALUE(hospitalityq!Q1300),FALSE)))</f>
        <v>0</v>
      </c>
      <c r="R1300">
        <f>NOT(hospitalityq!R1300="")*(NOT(IFERROR(ROUND(VALUE(hospitalityq!R1300),2)=VALUE(hospitalityq!R1300),FALSE)))</f>
        <v>0</v>
      </c>
    </row>
    <row r="1301" spans="1:18" x14ac:dyDescent="0.25">
      <c r="A1301">
        <f t="shared" si="20"/>
        <v>0</v>
      </c>
      <c r="C1301">
        <f>NOT(hospitalityq!C1301="")*(SUMPRODUCT(--(TRIM(hospitalityq!C6:C1301)=TRIM(hospitalityq!C1301)))&gt;1)</f>
        <v>0</v>
      </c>
      <c r="D1301">
        <f>NOT(hospitalityq!D1301="")*(COUNTIF(reference!$C$17:$C$18,TRIM(hospitalityq!D1301))=0)</f>
        <v>0</v>
      </c>
      <c r="J1301">
        <f>NOT(hospitalityq!J1301="")*(NOT(ISNUMBER(hospitalityq!J1301+0)))</f>
        <v>0</v>
      </c>
      <c r="K1301">
        <f>NOT(hospitalityq!K1301="")*(NOT(ISNUMBER(hospitalityq!K1301+0)))</f>
        <v>0</v>
      </c>
      <c r="P1301">
        <f>NOT(hospitalityq!P1301="")*(NOT(IFERROR(INT(hospitalityq!P1301)=VALUE(hospitalityq!P1301),FALSE)))</f>
        <v>0</v>
      </c>
      <c r="Q1301">
        <f>NOT(hospitalityq!Q1301="")*(NOT(IFERROR(INT(hospitalityq!Q1301)=VALUE(hospitalityq!Q1301),FALSE)))</f>
        <v>0</v>
      </c>
      <c r="R1301">
        <f>NOT(hospitalityq!R1301="")*(NOT(IFERROR(ROUND(VALUE(hospitalityq!R1301),2)=VALUE(hospitalityq!R1301),FALSE)))</f>
        <v>0</v>
      </c>
    </row>
    <row r="1302" spans="1:18" x14ac:dyDescent="0.25">
      <c r="A1302">
        <f t="shared" si="20"/>
        <v>0</v>
      </c>
      <c r="C1302">
        <f>NOT(hospitalityq!C1302="")*(SUMPRODUCT(--(TRIM(hospitalityq!C6:C1302)=TRIM(hospitalityq!C1302)))&gt;1)</f>
        <v>0</v>
      </c>
      <c r="D1302">
        <f>NOT(hospitalityq!D1302="")*(COUNTIF(reference!$C$17:$C$18,TRIM(hospitalityq!D1302))=0)</f>
        <v>0</v>
      </c>
      <c r="J1302">
        <f>NOT(hospitalityq!J1302="")*(NOT(ISNUMBER(hospitalityq!J1302+0)))</f>
        <v>0</v>
      </c>
      <c r="K1302">
        <f>NOT(hospitalityq!K1302="")*(NOT(ISNUMBER(hospitalityq!K1302+0)))</f>
        <v>0</v>
      </c>
      <c r="P1302">
        <f>NOT(hospitalityq!P1302="")*(NOT(IFERROR(INT(hospitalityq!P1302)=VALUE(hospitalityq!P1302),FALSE)))</f>
        <v>0</v>
      </c>
      <c r="Q1302">
        <f>NOT(hospitalityq!Q1302="")*(NOT(IFERROR(INT(hospitalityq!Q1302)=VALUE(hospitalityq!Q1302),FALSE)))</f>
        <v>0</v>
      </c>
      <c r="R1302">
        <f>NOT(hospitalityq!R1302="")*(NOT(IFERROR(ROUND(VALUE(hospitalityq!R1302),2)=VALUE(hospitalityq!R1302),FALSE)))</f>
        <v>0</v>
      </c>
    </row>
    <row r="1303" spans="1:18" x14ac:dyDescent="0.25">
      <c r="A1303">
        <f t="shared" si="20"/>
        <v>0</v>
      </c>
      <c r="C1303">
        <f>NOT(hospitalityq!C1303="")*(SUMPRODUCT(--(TRIM(hospitalityq!C6:C1303)=TRIM(hospitalityq!C1303)))&gt;1)</f>
        <v>0</v>
      </c>
      <c r="D1303">
        <f>NOT(hospitalityq!D1303="")*(COUNTIF(reference!$C$17:$C$18,TRIM(hospitalityq!D1303))=0)</f>
        <v>0</v>
      </c>
      <c r="J1303">
        <f>NOT(hospitalityq!J1303="")*(NOT(ISNUMBER(hospitalityq!J1303+0)))</f>
        <v>0</v>
      </c>
      <c r="K1303">
        <f>NOT(hospitalityq!K1303="")*(NOT(ISNUMBER(hospitalityq!K1303+0)))</f>
        <v>0</v>
      </c>
      <c r="P1303">
        <f>NOT(hospitalityq!P1303="")*(NOT(IFERROR(INT(hospitalityq!P1303)=VALUE(hospitalityq!P1303),FALSE)))</f>
        <v>0</v>
      </c>
      <c r="Q1303">
        <f>NOT(hospitalityq!Q1303="")*(NOT(IFERROR(INT(hospitalityq!Q1303)=VALUE(hospitalityq!Q1303),FALSE)))</f>
        <v>0</v>
      </c>
      <c r="R1303">
        <f>NOT(hospitalityq!R1303="")*(NOT(IFERROR(ROUND(VALUE(hospitalityq!R1303),2)=VALUE(hospitalityq!R1303),FALSE)))</f>
        <v>0</v>
      </c>
    </row>
    <row r="1304" spans="1:18" x14ac:dyDescent="0.25">
      <c r="A1304">
        <f t="shared" si="20"/>
        <v>0</v>
      </c>
      <c r="C1304">
        <f>NOT(hospitalityq!C1304="")*(SUMPRODUCT(--(TRIM(hospitalityq!C6:C1304)=TRIM(hospitalityq!C1304)))&gt;1)</f>
        <v>0</v>
      </c>
      <c r="D1304">
        <f>NOT(hospitalityq!D1304="")*(COUNTIF(reference!$C$17:$C$18,TRIM(hospitalityq!D1304))=0)</f>
        <v>0</v>
      </c>
      <c r="J1304">
        <f>NOT(hospitalityq!J1304="")*(NOT(ISNUMBER(hospitalityq!J1304+0)))</f>
        <v>0</v>
      </c>
      <c r="K1304">
        <f>NOT(hospitalityq!K1304="")*(NOT(ISNUMBER(hospitalityq!K1304+0)))</f>
        <v>0</v>
      </c>
      <c r="P1304">
        <f>NOT(hospitalityq!P1304="")*(NOT(IFERROR(INT(hospitalityq!P1304)=VALUE(hospitalityq!P1304),FALSE)))</f>
        <v>0</v>
      </c>
      <c r="Q1304">
        <f>NOT(hospitalityq!Q1304="")*(NOT(IFERROR(INT(hospitalityq!Q1304)=VALUE(hospitalityq!Q1304),FALSE)))</f>
        <v>0</v>
      </c>
      <c r="R1304">
        <f>NOT(hospitalityq!R1304="")*(NOT(IFERROR(ROUND(VALUE(hospitalityq!R1304),2)=VALUE(hospitalityq!R1304),FALSE)))</f>
        <v>0</v>
      </c>
    </row>
    <row r="1305" spans="1:18" x14ac:dyDescent="0.25">
      <c r="A1305">
        <f t="shared" si="20"/>
        <v>0</v>
      </c>
      <c r="C1305">
        <f>NOT(hospitalityq!C1305="")*(SUMPRODUCT(--(TRIM(hospitalityq!C6:C1305)=TRIM(hospitalityq!C1305)))&gt;1)</f>
        <v>0</v>
      </c>
      <c r="D1305">
        <f>NOT(hospitalityq!D1305="")*(COUNTIF(reference!$C$17:$C$18,TRIM(hospitalityq!D1305))=0)</f>
        <v>0</v>
      </c>
      <c r="J1305">
        <f>NOT(hospitalityq!J1305="")*(NOT(ISNUMBER(hospitalityq!J1305+0)))</f>
        <v>0</v>
      </c>
      <c r="K1305">
        <f>NOT(hospitalityq!K1305="")*(NOT(ISNUMBER(hospitalityq!K1305+0)))</f>
        <v>0</v>
      </c>
      <c r="P1305">
        <f>NOT(hospitalityq!P1305="")*(NOT(IFERROR(INT(hospitalityq!P1305)=VALUE(hospitalityq!P1305),FALSE)))</f>
        <v>0</v>
      </c>
      <c r="Q1305">
        <f>NOT(hospitalityq!Q1305="")*(NOT(IFERROR(INT(hospitalityq!Q1305)=VALUE(hospitalityq!Q1305),FALSE)))</f>
        <v>0</v>
      </c>
      <c r="R1305">
        <f>NOT(hospitalityq!R1305="")*(NOT(IFERROR(ROUND(VALUE(hospitalityq!R1305),2)=VALUE(hospitalityq!R1305),FALSE)))</f>
        <v>0</v>
      </c>
    </row>
    <row r="1306" spans="1:18" x14ac:dyDescent="0.25">
      <c r="A1306">
        <f t="shared" si="20"/>
        <v>0</v>
      </c>
      <c r="C1306">
        <f>NOT(hospitalityq!C1306="")*(SUMPRODUCT(--(TRIM(hospitalityq!C6:C1306)=TRIM(hospitalityq!C1306)))&gt;1)</f>
        <v>0</v>
      </c>
      <c r="D1306">
        <f>NOT(hospitalityq!D1306="")*(COUNTIF(reference!$C$17:$C$18,TRIM(hospitalityq!D1306))=0)</f>
        <v>0</v>
      </c>
      <c r="J1306">
        <f>NOT(hospitalityq!J1306="")*(NOT(ISNUMBER(hospitalityq!J1306+0)))</f>
        <v>0</v>
      </c>
      <c r="K1306">
        <f>NOT(hospitalityq!K1306="")*(NOT(ISNUMBER(hospitalityq!K1306+0)))</f>
        <v>0</v>
      </c>
      <c r="P1306">
        <f>NOT(hospitalityq!P1306="")*(NOT(IFERROR(INT(hospitalityq!P1306)=VALUE(hospitalityq!P1306),FALSE)))</f>
        <v>0</v>
      </c>
      <c r="Q1306">
        <f>NOT(hospitalityq!Q1306="")*(NOT(IFERROR(INT(hospitalityq!Q1306)=VALUE(hospitalityq!Q1306),FALSE)))</f>
        <v>0</v>
      </c>
      <c r="R1306">
        <f>NOT(hospitalityq!R1306="")*(NOT(IFERROR(ROUND(VALUE(hospitalityq!R1306),2)=VALUE(hospitalityq!R1306),FALSE)))</f>
        <v>0</v>
      </c>
    </row>
    <row r="1307" spans="1:18" x14ac:dyDescent="0.25">
      <c r="A1307">
        <f t="shared" si="20"/>
        <v>0</v>
      </c>
      <c r="C1307">
        <f>NOT(hospitalityq!C1307="")*(SUMPRODUCT(--(TRIM(hospitalityq!C6:C1307)=TRIM(hospitalityq!C1307)))&gt;1)</f>
        <v>0</v>
      </c>
      <c r="D1307">
        <f>NOT(hospitalityq!D1307="")*(COUNTIF(reference!$C$17:$C$18,TRIM(hospitalityq!D1307))=0)</f>
        <v>0</v>
      </c>
      <c r="J1307">
        <f>NOT(hospitalityq!J1307="")*(NOT(ISNUMBER(hospitalityq!J1307+0)))</f>
        <v>0</v>
      </c>
      <c r="K1307">
        <f>NOT(hospitalityq!K1307="")*(NOT(ISNUMBER(hospitalityq!K1307+0)))</f>
        <v>0</v>
      </c>
      <c r="P1307">
        <f>NOT(hospitalityq!P1307="")*(NOT(IFERROR(INT(hospitalityq!P1307)=VALUE(hospitalityq!P1307),FALSE)))</f>
        <v>0</v>
      </c>
      <c r="Q1307">
        <f>NOT(hospitalityq!Q1307="")*(NOT(IFERROR(INT(hospitalityq!Q1307)=VALUE(hospitalityq!Q1307),FALSE)))</f>
        <v>0</v>
      </c>
      <c r="R1307">
        <f>NOT(hospitalityq!R1307="")*(NOT(IFERROR(ROUND(VALUE(hospitalityq!R1307),2)=VALUE(hospitalityq!R1307),FALSE)))</f>
        <v>0</v>
      </c>
    </row>
    <row r="1308" spans="1:18" x14ac:dyDescent="0.25">
      <c r="A1308">
        <f t="shared" si="20"/>
        <v>0</v>
      </c>
      <c r="C1308">
        <f>NOT(hospitalityq!C1308="")*(SUMPRODUCT(--(TRIM(hospitalityq!C6:C1308)=TRIM(hospitalityq!C1308)))&gt;1)</f>
        <v>0</v>
      </c>
      <c r="D1308">
        <f>NOT(hospitalityq!D1308="")*(COUNTIF(reference!$C$17:$C$18,TRIM(hospitalityq!D1308))=0)</f>
        <v>0</v>
      </c>
      <c r="J1308">
        <f>NOT(hospitalityq!J1308="")*(NOT(ISNUMBER(hospitalityq!J1308+0)))</f>
        <v>0</v>
      </c>
      <c r="K1308">
        <f>NOT(hospitalityq!K1308="")*(NOT(ISNUMBER(hospitalityq!K1308+0)))</f>
        <v>0</v>
      </c>
      <c r="P1308">
        <f>NOT(hospitalityq!P1308="")*(NOT(IFERROR(INT(hospitalityq!P1308)=VALUE(hospitalityq!P1308),FALSE)))</f>
        <v>0</v>
      </c>
      <c r="Q1308">
        <f>NOT(hospitalityq!Q1308="")*(NOT(IFERROR(INT(hospitalityq!Q1308)=VALUE(hospitalityq!Q1308),FALSE)))</f>
        <v>0</v>
      </c>
      <c r="R1308">
        <f>NOT(hospitalityq!R1308="")*(NOT(IFERROR(ROUND(VALUE(hospitalityq!R1308),2)=VALUE(hospitalityq!R1308),FALSE)))</f>
        <v>0</v>
      </c>
    </row>
    <row r="1309" spans="1:18" x14ac:dyDescent="0.25">
      <c r="A1309">
        <f t="shared" si="20"/>
        <v>0</v>
      </c>
      <c r="C1309">
        <f>NOT(hospitalityq!C1309="")*(SUMPRODUCT(--(TRIM(hospitalityq!C6:C1309)=TRIM(hospitalityq!C1309)))&gt;1)</f>
        <v>0</v>
      </c>
      <c r="D1309">
        <f>NOT(hospitalityq!D1309="")*(COUNTIF(reference!$C$17:$C$18,TRIM(hospitalityq!D1309))=0)</f>
        <v>0</v>
      </c>
      <c r="J1309">
        <f>NOT(hospitalityq!J1309="")*(NOT(ISNUMBER(hospitalityq!J1309+0)))</f>
        <v>0</v>
      </c>
      <c r="K1309">
        <f>NOT(hospitalityq!K1309="")*(NOT(ISNUMBER(hospitalityq!K1309+0)))</f>
        <v>0</v>
      </c>
      <c r="P1309">
        <f>NOT(hospitalityq!P1309="")*(NOT(IFERROR(INT(hospitalityq!P1309)=VALUE(hospitalityq!P1309),FALSE)))</f>
        <v>0</v>
      </c>
      <c r="Q1309">
        <f>NOT(hospitalityq!Q1309="")*(NOT(IFERROR(INT(hospitalityq!Q1309)=VALUE(hospitalityq!Q1309),FALSE)))</f>
        <v>0</v>
      </c>
      <c r="R1309">
        <f>NOT(hospitalityq!R1309="")*(NOT(IFERROR(ROUND(VALUE(hospitalityq!R1309),2)=VALUE(hospitalityq!R1309),FALSE)))</f>
        <v>0</v>
      </c>
    </row>
    <row r="1310" spans="1:18" x14ac:dyDescent="0.25">
      <c r="A1310">
        <f t="shared" si="20"/>
        <v>0</v>
      </c>
      <c r="C1310">
        <f>NOT(hospitalityq!C1310="")*(SUMPRODUCT(--(TRIM(hospitalityq!C6:C1310)=TRIM(hospitalityq!C1310)))&gt;1)</f>
        <v>0</v>
      </c>
      <c r="D1310">
        <f>NOT(hospitalityq!D1310="")*(COUNTIF(reference!$C$17:$C$18,TRIM(hospitalityq!D1310))=0)</f>
        <v>0</v>
      </c>
      <c r="J1310">
        <f>NOT(hospitalityq!J1310="")*(NOT(ISNUMBER(hospitalityq!J1310+0)))</f>
        <v>0</v>
      </c>
      <c r="K1310">
        <f>NOT(hospitalityq!K1310="")*(NOT(ISNUMBER(hospitalityq!K1310+0)))</f>
        <v>0</v>
      </c>
      <c r="P1310">
        <f>NOT(hospitalityq!P1310="")*(NOT(IFERROR(INT(hospitalityq!P1310)=VALUE(hospitalityq!P1310),FALSE)))</f>
        <v>0</v>
      </c>
      <c r="Q1310">
        <f>NOT(hospitalityq!Q1310="")*(NOT(IFERROR(INT(hospitalityq!Q1310)=VALUE(hospitalityq!Q1310),FALSE)))</f>
        <v>0</v>
      </c>
      <c r="R1310">
        <f>NOT(hospitalityq!R1310="")*(NOT(IFERROR(ROUND(VALUE(hospitalityq!R1310),2)=VALUE(hospitalityq!R1310),FALSE)))</f>
        <v>0</v>
      </c>
    </row>
    <row r="1311" spans="1:18" x14ac:dyDescent="0.25">
      <c r="A1311">
        <f t="shared" si="20"/>
        <v>0</v>
      </c>
      <c r="C1311">
        <f>NOT(hospitalityq!C1311="")*(SUMPRODUCT(--(TRIM(hospitalityq!C6:C1311)=TRIM(hospitalityq!C1311)))&gt;1)</f>
        <v>0</v>
      </c>
      <c r="D1311">
        <f>NOT(hospitalityq!D1311="")*(COUNTIF(reference!$C$17:$C$18,TRIM(hospitalityq!D1311))=0)</f>
        <v>0</v>
      </c>
      <c r="J1311">
        <f>NOT(hospitalityq!J1311="")*(NOT(ISNUMBER(hospitalityq!J1311+0)))</f>
        <v>0</v>
      </c>
      <c r="K1311">
        <f>NOT(hospitalityq!K1311="")*(NOT(ISNUMBER(hospitalityq!K1311+0)))</f>
        <v>0</v>
      </c>
      <c r="P1311">
        <f>NOT(hospitalityq!P1311="")*(NOT(IFERROR(INT(hospitalityq!P1311)=VALUE(hospitalityq!P1311),FALSE)))</f>
        <v>0</v>
      </c>
      <c r="Q1311">
        <f>NOT(hospitalityq!Q1311="")*(NOT(IFERROR(INT(hospitalityq!Q1311)=VALUE(hospitalityq!Q1311),FALSE)))</f>
        <v>0</v>
      </c>
      <c r="R1311">
        <f>NOT(hospitalityq!R1311="")*(NOT(IFERROR(ROUND(VALUE(hospitalityq!R1311),2)=VALUE(hospitalityq!R1311),FALSE)))</f>
        <v>0</v>
      </c>
    </row>
    <row r="1312" spans="1:18" x14ac:dyDescent="0.25">
      <c r="A1312">
        <f t="shared" si="20"/>
        <v>0</v>
      </c>
      <c r="C1312">
        <f>NOT(hospitalityq!C1312="")*(SUMPRODUCT(--(TRIM(hospitalityq!C6:C1312)=TRIM(hospitalityq!C1312)))&gt;1)</f>
        <v>0</v>
      </c>
      <c r="D1312">
        <f>NOT(hospitalityq!D1312="")*(COUNTIF(reference!$C$17:$C$18,TRIM(hospitalityq!D1312))=0)</f>
        <v>0</v>
      </c>
      <c r="J1312">
        <f>NOT(hospitalityq!J1312="")*(NOT(ISNUMBER(hospitalityq!J1312+0)))</f>
        <v>0</v>
      </c>
      <c r="K1312">
        <f>NOT(hospitalityq!K1312="")*(NOT(ISNUMBER(hospitalityq!K1312+0)))</f>
        <v>0</v>
      </c>
      <c r="P1312">
        <f>NOT(hospitalityq!P1312="")*(NOT(IFERROR(INT(hospitalityq!P1312)=VALUE(hospitalityq!P1312),FALSE)))</f>
        <v>0</v>
      </c>
      <c r="Q1312">
        <f>NOT(hospitalityq!Q1312="")*(NOT(IFERROR(INT(hospitalityq!Q1312)=VALUE(hospitalityq!Q1312),FALSE)))</f>
        <v>0</v>
      </c>
      <c r="R1312">
        <f>NOT(hospitalityq!R1312="")*(NOT(IFERROR(ROUND(VALUE(hospitalityq!R1312),2)=VALUE(hospitalityq!R1312),FALSE)))</f>
        <v>0</v>
      </c>
    </row>
    <row r="1313" spans="1:18" x14ac:dyDescent="0.25">
      <c r="A1313">
        <f t="shared" si="20"/>
        <v>0</v>
      </c>
      <c r="C1313">
        <f>NOT(hospitalityq!C1313="")*(SUMPRODUCT(--(TRIM(hospitalityq!C6:C1313)=TRIM(hospitalityq!C1313)))&gt;1)</f>
        <v>0</v>
      </c>
      <c r="D1313">
        <f>NOT(hospitalityq!D1313="")*(COUNTIF(reference!$C$17:$C$18,TRIM(hospitalityq!D1313))=0)</f>
        <v>0</v>
      </c>
      <c r="J1313">
        <f>NOT(hospitalityq!J1313="")*(NOT(ISNUMBER(hospitalityq!J1313+0)))</f>
        <v>0</v>
      </c>
      <c r="K1313">
        <f>NOT(hospitalityq!K1313="")*(NOT(ISNUMBER(hospitalityq!K1313+0)))</f>
        <v>0</v>
      </c>
      <c r="P1313">
        <f>NOT(hospitalityq!P1313="")*(NOT(IFERROR(INT(hospitalityq!P1313)=VALUE(hospitalityq!P1313),FALSE)))</f>
        <v>0</v>
      </c>
      <c r="Q1313">
        <f>NOT(hospitalityq!Q1313="")*(NOT(IFERROR(INT(hospitalityq!Q1313)=VALUE(hospitalityq!Q1313),FALSE)))</f>
        <v>0</v>
      </c>
      <c r="R1313">
        <f>NOT(hospitalityq!R1313="")*(NOT(IFERROR(ROUND(VALUE(hospitalityq!R1313),2)=VALUE(hospitalityq!R1313),FALSE)))</f>
        <v>0</v>
      </c>
    </row>
    <row r="1314" spans="1:18" x14ac:dyDescent="0.25">
      <c r="A1314">
        <f t="shared" si="20"/>
        <v>0</v>
      </c>
      <c r="C1314">
        <f>NOT(hospitalityq!C1314="")*(SUMPRODUCT(--(TRIM(hospitalityq!C6:C1314)=TRIM(hospitalityq!C1314)))&gt;1)</f>
        <v>0</v>
      </c>
      <c r="D1314">
        <f>NOT(hospitalityq!D1314="")*(COUNTIF(reference!$C$17:$C$18,TRIM(hospitalityq!D1314))=0)</f>
        <v>0</v>
      </c>
      <c r="J1314">
        <f>NOT(hospitalityq!J1314="")*(NOT(ISNUMBER(hospitalityq!J1314+0)))</f>
        <v>0</v>
      </c>
      <c r="K1314">
        <f>NOT(hospitalityq!K1314="")*(NOT(ISNUMBER(hospitalityq!K1314+0)))</f>
        <v>0</v>
      </c>
      <c r="P1314">
        <f>NOT(hospitalityq!P1314="")*(NOT(IFERROR(INT(hospitalityq!P1314)=VALUE(hospitalityq!P1314),FALSE)))</f>
        <v>0</v>
      </c>
      <c r="Q1314">
        <f>NOT(hospitalityq!Q1314="")*(NOT(IFERROR(INT(hospitalityq!Q1314)=VALUE(hospitalityq!Q1314),FALSE)))</f>
        <v>0</v>
      </c>
      <c r="R1314">
        <f>NOT(hospitalityq!R1314="")*(NOT(IFERROR(ROUND(VALUE(hospitalityq!R1314),2)=VALUE(hospitalityq!R1314),FALSE)))</f>
        <v>0</v>
      </c>
    </row>
    <row r="1315" spans="1:18" x14ac:dyDescent="0.25">
      <c r="A1315">
        <f t="shared" si="20"/>
        <v>0</v>
      </c>
      <c r="C1315">
        <f>NOT(hospitalityq!C1315="")*(SUMPRODUCT(--(TRIM(hospitalityq!C6:C1315)=TRIM(hospitalityq!C1315)))&gt;1)</f>
        <v>0</v>
      </c>
      <c r="D1315">
        <f>NOT(hospitalityq!D1315="")*(COUNTIF(reference!$C$17:$C$18,TRIM(hospitalityq!D1315))=0)</f>
        <v>0</v>
      </c>
      <c r="J1315">
        <f>NOT(hospitalityq!J1315="")*(NOT(ISNUMBER(hospitalityq!J1315+0)))</f>
        <v>0</v>
      </c>
      <c r="K1315">
        <f>NOT(hospitalityq!K1315="")*(NOT(ISNUMBER(hospitalityq!K1315+0)))</f>
        <v>0</v>
      </c>
      <c r="P1315">
        <f>NOT(hospitalityq!P1315="")*(NOT(IFERROR(INT(hospitalityq!P1315)=VALUE(hospitalityq!P1315),FALSE)))</f>
        <v>0</v>
      </c>
      <c r="Q1315">
        <f>NOT(hospitalityq!Q1315="")*(NOT(IFERROR(INT(hospitalityq!Q1315)=VALUE(hospitalityq!Q1315),FALSE)))</f>
        <v>0</v>
      </c>
      <c r="R1315">
        <f>NOT(hospitalityq!R1315="")*(NOT(IFERROR(ROUND(VALUE(hospitalityq!R1315),2)=VALUE(hospitalityq!R1315),FALSE)))</f>
        <v>0</v>
      </c>
    </row>
    <row r="1316" spans="1:18" x14ac:dyDescent="0.25">
      <c r="A1316">
        <f t="shared" si="20"/>
        <v>0</v>
      </c>
      <c r="C1316">
        <f>NOT(hospitalityq!C1316="")*(SUMPRODUCT(--(TRIM(hospitalityq!C6:C1316)=TRIM(hospitalityq!C1316)))&gt;1)</f>
        <v>0</v>
      </c>
      <c r="D1316">
        <f>NOT(hospitalityq!D1316="")*(COUNTIF(reference!$C$17:$C$18,TRIM(hospitalityq!D1316))=0)</f>
        <v>0</v>
      </c>
      <c r="J1316">
        <f>NOT(hospitalityq!J1316="")*(NOT(ISNUMBER(hospitalityq!J1316+0)))</f>
        <v>0</v>
      </c>
      <c r="K1316">
        <f>NOT(hospitalityq!K1316="")*(NOT(ISNUMBER(hospitalityq!K1316+0)))</f>
        <v>0</v>
      </c>
      <c r="P1316">
        <f>NOT(hospitalityq!P1316="")*(NOT(IFERROR(INT(hospitalityq!P1316)=VALUE(hospitalityq!P1316),FALSE)))</f>
        <v>0</v>
      </c>
      <c r="Q1316">
        <f>NOT(hospitalityq!Q1316="")*(NOT(IFERROR(INT(hospitalityq!Q1316)=VALUE(hospitalityq!Q1316),FALSE)))</f>
        <v>0</v>
      </c>
      <c r="R1316">
        <f>NOT(hospitalityq!R1316="")*(NOT(IFERROR(ROUND(VALUE(hospitalityq!R1316),2)=VALUE(hospitalityq!R1316),FALSE)))</f>
        <v>0</v>
      </c>
    </row>
    <row r="1317" spans="1:18" x14ac:dyDescent="0.25">
      <c r="A1317">
        <f t="shared" si="20"/>
        <v>0</v>
      </c>
      <c r="C1317">
        <f>NOT(hospitalityq!C1317="")*(SUMPRODUCT(--(TRIM(hospitalityq!C6:C1317)=TRIM(hospitalityq!C1317)))&gt;1)</f>
        <v>0</v>
      </c>
      <c r="D1317">
        <f>NOT(hospitalityq!D1317="")*(COUNTIF(reference!$C$17:$C$18,TRIM(hospitalityq!D1317))=0)</f>
        <v>0</v>
      </c>
      <c r="J1317">
        <f>NOT(hospitalityq!J1317="")*(NOT(ISNUMBER(hospitalityq!J1317+0)))</f>
        <v>0</v>
      </c>
      <c r="K1317">
        <f>NOT(hospitalityq!K1317="")*(NOT(ISNUMBER(hospitalityq!K1317+0)))</f>
        <v>0</v>
      </c>
      <c r="P1317">
        <f>NOT(hospitalityq!P1317="")*(NOT(IFERROR(INT(hospitalityq!P1317)=VALUE(hospitalityq!P1317),FALSE)))</f>
        <v>0</v>
      </c>
      <c r="Q1317">
        <f>NOT(hospitalityq!Q1317="")*(NOT(IFERROR(INT(hospitalityq!Q1317)=VALUE(hospitalityq!Q1317),FALSE)))</f>
        <v>0</v>
      </c>
      <c r="R1317">
        <f>NOT(hospitalityq!R1317="")*(NOT(IFERROR(ROUND(VALUE(hospitalityq!R1317),2)=VALUE(hospitalityq!R1317),FALSE)))</f>
        <v>0</v>
      </c>
    </row>
    <row r="1318" spans="1:18" x14ac:dyDescent="0.25">
      <c r="A1318">
        <f t="shared" si="20"/>
        <v>0</v>
      </c>
      <c r="C1318">
        <f>NOT(hospitalityq!C1318="")*(SUMPRODUCT(--(TRIM(hospitalityq!C6:C1318)=TRIM(hospitalityq!C1318)))&gt;1)</f>
        <v>0</v>
      </c>
      <c r="D1318">
        <f>NOT(hospitalityq!D1318="")*(COUNTIF(reference!$C$17:$C$18,TRIM(hospitalityq!D1318))=0)</f>
        <v>0</v>
      </c>
      <c r="J1318">
        <f>NOT(hospitalityq!J1318="")*(NOT(ISNUMBER(hospitalityq!J1318+0)))</f>
        <v>0</v>
      </c>
      <c r="K1318">
        <f>NOT(hospitalityq!K1318="")*(NOT(ISNUMBER(hospitalityq!K1318+0)))</f>
        <v>0</v>
      </c>
      <c r="P1318">
        <f>NOT(hospitalityq!P1318="")*(NOT(IFERROR(INT(hospitalityq!P1318)=VALUE(hospitalityq!P1318),FALSE)))</f>
        <v>0</v>
      </c>
      <c r="Q1318">
        <f>NOT(hospitalityq!Q1318="")*(NOT(IFERROR(INT(hospitalityq!Q1318)=VALUE(hospitalityq!Q1318),FALSE)))</f>
        <v>0</v>
      </c>
      <c r="R1318">
        <f>NOT(hospitalityq!R1318="")*(NOT(IFERROR(ROUND(VALUE(hospitalityq!R1318),2)=VALUE(hospitalityq!R1318),FALSE)))</f>
        <v>0</v>
      </c>
    </row>
    <row r="1319" spans="1:18" x14ac:dyDescent="0.25">
      <c r="A1319">
        <f t="shared" si="20"/>
        <v>0</v>
      </c>
      <c r="C1319">
        <f>NOT(hospitalityq!C1319="")*(SUMPRODUCT(--(TRIM(hospitalityq!C6:C1319)=TRIM(hospitalityq!C1319)))&gt;1)</f>
        <v>0</v>
      </c>
      <c r="D1319">
        <f>NOT(hospitalityq!D1319="")*(COUNTIF(reference!$C$17:$C$18,TRIM(hospitalityq!D1319))=0)</f>
        <v>0</v>
      </c>
      <c r="J1319">
        <f>NOT(hospitalityq!J1319="")*(NOT(ISNUMBER(hospitalityq!J1319+0)))</f>
        <v>0</v>
      </c>
      <c r="K1319">
        <f>NOT(hospitalityq!K1319="")*(NOT(ISNUMBER(hospitalityq!K1319+0)))</f>
        <v>0</v>
      </c>
      <c r="P1319">
        <f>NOT(hospitalityq!P1319="")*(NOT(IFERROR(INT(hospitalityq!P1319)=VALUE(hospitalityq!P1319),FALSE)))</f>
        <v>0</v>
      </c>
      <c r="Q1319">
        <f>NOT(hospitalityq!Q1319="")*(NOT(IFERROR(INT(hospitalityq!Q1319)=VALUE(hospitalityq!Q1319),FALSE)))</f>
        <v>0</v>
      </c>
      <c r="R1319">
        <f>NOT(hospitalityq!R1319="")*(NOT(IFERROR(ROUND(VALUE(hospitalityq!R1319),2)=VALUE(hospitalityq!R1319),FALSE)))</f>
        <v>0</v>
      </c>
    </row>
    <row r="1320" spans="1:18" x14ac:dyDescent="0.25">
      <c r="A1320">
        <f t="shared" si="20"/>
        <v>0</v>
      </c>
      <c r="C1320">
        <f>NOT(hospitalityq!C1320="")*(SUMPRODUCT(--(TRIM(hospitalityq!C6:C1320)=TRIM(hospitalityq!C1320)))&gt;1)</f>
        <v>0</v>
      </c>
      <c r="D1320">
        <f>NOT(hospitalityq!D1320="")*(COUNTIF(reference!$C$17:$C$18,TRIM(hospitalityq!D1320))=0)</f>
        <v>0</v>
      </c>
      <c r="J1320">
        <f>NOT(hospitalityq!J1320="")*(NOT(ISNUMBER(hospitalityq!J1320+0)))</f>
        <v>0</v>
      </c>
      <c r="K1320">
        <f>NOT(hospitalityq!K1320="")*(NOT(ISNUMBER(hospitalityq!K1320+0)))</f>
        <v>0</v>
      </c>
      <c r="P1320">
        <f>NOT(hospitalityq!P1320="")*(NOT(IFERROR(INT(hospitalityq!P1320)=VALUE(hospitalityq!P1320),FALSE)))</f>
        <v>0</v>
      </c>
      <c r="Q1320">
        <f>NOT(hospitalityq!Q1320="")*(NOT(IFERROR(INT(hospitalityq!Q1320)=VALUE(hospitalityq!Q1320),FALSE)))</f>
        <v>0</v>
      </c>
      <c r="R1320">
        <f>NOT(hospitalityq!R1320="")*(NOT(IFERROR(ROUND(VALUE(hospitalityq!R1320),2)=VALUE(hospitalityq!R1320),FALSE)))</f>
        <v>0</v>
      </c>
    </row>
    <row r="1321" spans="1:18" x14ac:dyDescent="0.25">
      <c r="A1321">
        <f t="shared" si="20"/>
        <v>0</v>
      </c>
      <c r="C1321">
        <f>NOT(hospitalityq!C1321="")*(SUMPRODUCT(--(TRIM(hospitalityq!C6:C1321)=TRIM(hospitalityq!C1321)))&gt;1)</f>
        <v>0</v>
      </c>
      <c r="D1321">
        <f>NOT(hospitalityq!D1321="")*(COUNTIF(reference!$C$17:$C$18,TRIM(hospitalityq!D1321))=0)</f>
        <v>0</v>
      </c>
      <c r="J1321">
        <f>NOT(hospitalityq!J1321="")*(NOT(ISNUMBER(hospitalityq!J1321+0)))</f>
        <v>0</v>
      </c>
      <c r="K1321">
        <f>NOT(hospitalityq!K1321="")*(NOT(ISNUMBER(hospitalityq!K1321+0)))</f>
        <v>0</v>
      </c>
      <c r="P1321">
        <f>NOT(hospitalityq!P1321="")*(NOT(IFERROR(INT(hospitalityq!P1321)=VALUE(hospitalityq!P1321),FALSE)))</f>
        <v>0</v>
      </c>
      <c r="Q1321">
        <f>NOT(hospitalityq!Q1321="")*(NOT(IFERROR(INT(hospitalityq!Q1321)=VALUE(hospitalityq!Q1321),FALSE)))</f>
        <v>0</v>
      </c>
      <c r="R1321">
        <f>NOT(hospitalityq!R1321="")*(NOT(IFERROR(ROUND(VALUE(hospitalityq!R1321),2)=VALUE(hospitalityq!R1321),FALSE)))</f>
        <v>0</v>
      </c>
    </row>
    <row r="1322" spans="1:18" x14ac:dyDescent="0.25">
      <c r="A1322">
        <f t="shared" si="20"/>
        <v>0</v>
      </c>
      <c r="C1322">
        <f>NOT(hospitalityq!C1322="")*(SUMPRODUCT(--(TRIM(hospitalityq!C6:C1322)=TRIM(hospitalityq!C1322)))&gt;1)</f>
        <v>0</v>
      </c>
      <c r="D1322">
        <f>NOT(hospitalityq!D1322="")*(COUNTIF(reference!$C$17:$C$18,TRIM(hospitalityq!D1322))=0)</f>
        <v>0</v>
      </c>
      <c r="J1322">
        <f>NOT(hospitalityq!J1322="")*(NOT(ISNUMBER(hospitalityq!J1322+0)))</f>
        <v>0</v>
      </c>
      <c r="K1322">
        <f>NOT(hospitalityq!K1322="")*(NOT(ISNUMBER(hospitalityq!K1322+0)))</f>
        <v>0</v>
      </c>
      <c r="P1322">
        <f>NOT(hospitalityq!P1322="")*(NOT(IFERROR(INT(hospitalityq!P1322)=VALUE(hospitalityq!P1322),FALSE)))</f>
        <v>0</v>
      </c>
      <c r="Q1322">
        <f>NOT(hospitalityq!Q1322="")*(NOT(IFERROR(INT(hospitalityq!Q1322)=VALUE(hospitalityq!Q1322),FALSE)))</f>
        <v>0</v>
      </c>
      <c r="R1322">
        <f>NOT(hospitalityq!R1322="")*(NOT(IFERROR(ROUND(VALUE(hospitalityq!R1322),2)=VALUE(hospitalityq!R1322),FALSE)))</f>
        <v>0</v>
      </c>
    </row>
    <row r="1323" spans="1:18" x14ac:dyDescent="0.25">
      <c r="A1323">
        <f t="shared" si="20"/>
        <v>0</v>
      </c>
      <c r="C1323">
        <f>NOT(hospitalityq!C1323="")*(SUMPRODUCT(--(TRIM(hospitalityq!C6:C1323)=TRIM(hospitalityq!C1323)))&gt;1)</f>
        <v>0</v>
      </c>
      <c r="D1323">
        <f>NOT(hospitalityq!D1323="")*(COUNTIF(reference!$C$17:$C$18,TRIM(hospitalityq!D1323))=0)</f>
        <v>0</v>
      </c>
      <c r="J1323">
        <f>NOT(hospitalityq!J1323="")*(NOT(ISNUMBER(hospitalityq!J1323+0)))</f>
        <v>0</v>
      </c>
      <c r="K1323">
        <f>NOT(hospitalityq!K1323="")*(NOT(ISNUMBER(hospitalityq!K1323+0)))</f>
        <v>0</v>
      </c>
      <c r="P1323">
        <f>NOT(hospitalityq!P1323="")*(NOT(IFERROR(INT(hospitalityq!P1323)=VALUE(hospitalityq!P1323),FALSE)))</f>
        <v>0</v>
      </c>
      <c r="Q1323">
        <f>NOT(hospitalityq!Q1323="")*(NOT(IFERROR(INT(hospitalityq!Q1323)=VALUE(hospitalityq!Q1323),FALSE)))</f>
        <v>0</v>
      </c>
      <c r="R1323">
        <f>NOT(hospitalityq!R1323="")*(NOT(IFERROR(ROUND(VALUE(hospitalityq!R1323),2)=VALUE(hospitalityq!R1323),FALSE)))</f>
        <v>0</v>
      </c>
    </row>
    <row r="1324" spans="1:18" x14ac:dyDescent="0.25">
      <c r="A1324">
        <f t="shared" si="20"/>
        <v>0</v>
      </c>
      <c r="C1324">
        <f>NOT(hospitalityq!C1324="")*(SUMPRODUCT(--(TRIM(hospitalityq!C6:C1324)=TRIM(hospitalityq!C1324)))&gt;1)</f>
        <v>0</v>
      </c>
      <c r="D1324">
        <f>NOT(hospitalityq!D1324="")*(COUNTIF(reference!$C$17:$C$18,TRIM(hospitalityq!D1324))=0)</f>
        <v>0</v>
      </c>
      <c r="J1324">
        <f>NOT(hospitalityq!J1324="")*(NOT(ISNUMBER(hospitalityq!J1324+0)))</f>
        <v>0</v>
      </c>
      <c r="K1324">
        <f>NOT(hospitalityq!K1324="")*(NOT(ISNUMBER(hospitalityq!K1324+0)))</f>
        <v>0</v>
      </c>
      <c r="P1324">
        <f>NOT(hospitalityq!P1324="")*(NOT(IFERROR(INT(hospitalityq!P1324)=VALUE(hospitalityq!P1324),FALSE)))</f>
        <v>0</v>
      </c>
      <c r="Q1324">
        <f>NOT(hospitalityq!Q1324="")*(NOT(IFERROR(INT(hospitalityq!Q1324)=VALUE(hospitalityq!Q1324),FALSE)))</f>
        <v>0</v>
      </c>
      <c r="R1324">
        <f>NOT(hospitalityq!R1324="")*(NOT(IFERROR(ROUND(VALUE(hospitalityq!R1324),2)=VALUE(hospitalityq!R1324),FALSE)))</f>
        <v>0</v>
      </c>
    </row>
    <row r="1325" spans="1:18" x14ac:dyDescent="0.25">
      <c r="A1325">
        <f t="shared" si="20"/>
        <v>0</v>
      </c>
      <c r="C1325">
        <f>NOT(hospitalityq!C1325="")*(SUMPRODUCT(--(TRIM(hospitalityq!C6:C1325)=TRIM(hospitalityq!C1325)))&gt;1)</f>
        <v>0</v>
      </c>
      <c r="D1325">
        <f>NOT(hospitalityq!D1325="")*(COUNTIF(reference!$C$17:$C$18,TRIM(hospitalityq!D1325))=0)</f>
        <v>0</v>
      </c>
      <c r="J1325">
        <f>NOT(hospitalityq!J1325="")*(NOT(ISNUMBER(hospitalityq!J1325+0)))</f>
        <v>0</v>
      </c>
      <c r="K1325">
        <f>NOT(hospitalityq!K1325="")*(NOT(ISNUMBER(hospitalityq!K1325+0)))</f>
        <v>0</v>
      </c>
      <c r="P1325">
        <f>NOT(hospitalityq!P1325="")*(NOT(IFERROR(INT(hospitalityq!P1325)=VALUE(hospitalityq!P1325),FALSE)))</f>
        <v>0</v>
      </c>
      <c r="Q1325">
        <f>NOT(hospitalityq!Q1325="")*(NOT(IFERROR(INT(hospitalityq!Q1325)=VALUE(hospitalityq!Q1325),FALSE)))</f>
        <v>0</v>
      </c>
      <c r="R1325">
        <f>NOT(hospitalityq!R1325="")*(NOT(IFERROR(ROUND(VALUE(hospitalityq!R1325),2)=VALUE(hospitalityq!R1325),FALSE)))</f>
        <v>0</v>
      </c>
    </row>
    <row r="1326" spans="1:18" x14ac:dyDescent="0.25">
      <c r="A1326">
        <f t="shared" si="20"/>
        <v>0</v>
      </c>
      <c r="C1326">
        <f>NOT(hospitalityq!C1326="")*(SUMPRODUCT(--(TRIM(hospitalityq!C6:C1326)=TRIM(hospitalityq!C1326)))&gt;1)</f>
        <v>0</v>
      </c>
      <c r="D1326">
        <f>NOT(hospitalityq!D1326="")*(COUNTIF(reference!$C$17:$C$18,TRIM(hospitalityq!D1326))=0)</f>
        <v>0</v>
      </c>
      <c r="J1326">
        <f>NOT(hospitalityq!J1326="")*(NOT(ISNUMBER(hospitalityq!J1326+0)))</f>
        <v>0</v>
      </c>
      <c r="K1326">
        <f>NOT(hospitalityq!K1326="")*(NOT(ISNUMBER(hospitalityq!K1326+0)))</f>
        <v>0</v>
      </c>
      <c r="P1326">
        <f>NOT(hospitalityq!P1326="")*(NOT(IFERROR(INT(hospitalityq!P1326)=VALUE(hospitalityq!P1326),FALSE)))</f>
        <v>0</v>
      </c>
      <c r="Q1326">
        <f>NOT(hospitalityq!Q1326="")*(NOT(IFERROR(INT(hospitalityq!Q1326)=VALUE(hospitalityq!Q1326),FALSE)))</f>
        <v>0</v>
      </c>
      <c r="R1326">
        <f>NOT(hospitalityq!R1326="")*(NOT(IFERROR(ROUND(VALUE(hospitalityq!R1326),2)=VALUE(hospitalityq!R1326),FALSE)))</f>
        <v>0</v>
      </c>
    </row>
    <row r="1327" spans="1:18" x14ac:dyDescent="0.25">
      <c r="A1327">
        <f t="shared" si="20"/>
        <v>0</v>
      </c>
      <c r="C1327">
        <f>NOT(hospitalityq!C1327="")*(SUMPRODUCT(--(TRIM(hospitalityq!C6:C1327)=TRIM(hospitalityq!C1327)))&gt;1)</f>
        <v>0</v>
      </c>
      <c r="D1327">
        <f>NOT(hospitalityq!D1327="")*(COUNTIF(reference!$C$17:$C$18,TRIM(hospitalityq!D1327))=0)</f>
        <v>0</v>
      </c>
      <c r="J1327">
        <f>NOT(hospitalityq!J1327="")*(NOT(ISNUMBER(hospitalityq!J1327+0)))</f>
        <v>0</v>
      </c>
      <c r="K1327">
        <f>NOT(hospitalityq!K1327="")*(NOT(ISNUMBER(hospitalityq!K1327+0)))</f>
        <v>0</v>
      </c>
      <c r="P1327">
        <f>NOT(hospitalityq!P1327="")*(NOT(IFERROR(INT(hospitalityq!P1327)=VALUE(hospitalityq!P1327),FALSE)))</f>
        <v>0</v>
      </c>
      <c r="Q1327">
        <f>NOT(hospitalityq!Q1327="")*(NOT(IFERROR(INT(hospitalityq!Q1327)=VALUE(hospitalityq!Q1327),FALSE)))</f>
        <v>0</v>
      </c>
      <c r="R1327">
        <f>NOT(hospitalityq!R1327="")*(NOT(IFERROR(ROUND(VALUE(hospitalityq!R1327),2)=VALUE(hospitalityq!R1327),FALSE)))</f>
        <v>0</v>
      </c>
    </row>
    <row r="1328" spans="1:18" x14ac:dyDescent="0.25">
      <c r="A1328">
        <f t="shared" si="20"/>
        <v>0</v>
      </c>
      <c r="C1328">
        <f>NOT(hospitalityq!C1328="")*(SUMPRODUCT(--(TRIM(hospitalityq!C6:C1328)=TRIM(hospitalityq!C1328)))&gt;1)</f>
        <v>0</v>
      </c>
      <c r="D1328">
        <f>NOT(hospitalityq!D1328="")*(COUNTIF(reference!$C$17:$C$18,TRIM(hospitalityq!D1328))=0)</f>
        <v>0</v>
      </c>
      <c r="J1328">
        <f>NOT(hospitalityq!J1328="")*(NOT(ISNUMBER(hospitalityq!J1328+0)))</f>
        <v>0</v>
      </c>
      <c r="K1328">
        <f>NOT(hospitalityq!K1328="")*(NOT(ISNUMBER(hospitalityq!K1328+0)))</f>
        <v>0</v>
      </c>
      <c r="P1328">
        <f>NOT(hospitalityq!P1328="")*(NOT(IFERROR(INT(hospitalityq!P1328)=VALUE(hospitalityq!P1328),FALSE)))</f>
        <v>0</v>
      </c>
      <c r="Q1328">
        <f>NOT(hospitalityq!Q1328="")*(NOT(IFERROR(INT(hospitalityq!Q1328)=VALUE(hospitalityq!Q1328),FALSE)))</f>
        <v>0</v>
      </c>
      <c r="R1328">
        <f>NOT(hospitalityq!R1328="")*(NOT(IFERROR(ROUND(VALUE(hospitalityq!R1328),2)=VALUE(hospitalityq!R1328),FALSE)))</f>
        <v>0</v>
      </c>
    </row>
    <row r="1329" spans="1:18" x14ac:dyDescent="0.25">
      <c r="A1329">
        <f t="shared" si="20"/>
        <v>0</v>
      </c>
      <c r="C1329">
        <f>NOT(hospitalityq!C1329="")*(SUMPRODUCT(--(TRIM(hospitalityq!C6:C1329)=TRIM(hospitalityq!C1329)))&gt;1)</f>
        <v>0</v>
      </c>
      <c r="D1329">
        <f>NOT(hospitalityq!D1329="")*(COUNTIF(reference!$C$17:$C$18,TRIM(hospitalityq!D1329))=0)</f>
        <v>0</v>
      </c>
      <c r="J1329">
        <f>NOT(hospitalityq!J1329="")*(NOT(ISNUMBER(hospitalityq!J1329+0)))</f>
        <v>0</v>
      </c>
      <c r="K1329">
        <f>NOT(hospitalityq!K1329="")*(NOT(ISNUMBER(hospitalityq!K1329+0)))</f>
        <v>0</v>
      </c>
      <c r="P1329">
        <f>NOT(hospitalityq!P1329="")*(NOT(IFERROR(INT(hospitalityq!P1329)=VALUE(hospitalityq!P1329),FALSE)))</f>
        <v>0</v>
      </c>
      <c r="Q1329">
        <f>NOT(hospitalityq!Q1329="")*(NOT(IFERROR(INT(hospitalityq!Q1329)=VALUE(hospitalityq!Q1329),FALSE)))</f>
        <v>0</v>
      </c>
      <c r="R1329">
        <f>NOT(hospitalityq!R1329="")*(NOT(IFERROR(ROUND(VALUE(hospitalityq!R1329),2)=VALUE(hospitalityq!R1329),FALSE)))</f>
        <v>0</v>
      </c>
    </row>
    <row r="1330" spans="1:18" x14ac:dyDescent="0.25">
      <c r="A1330">
        <f t="shared" si="20"/>
        <v>0</v>
      </c>
      <c r="C1330">
        <f>NOT(hospitalityq!C1330="")*(SUMPRODUCT(--(TRIM(hospitalityq!C6:C1330)=TRIM(hospitalityq!C1330)))&gt;1)</f>
        <v>0</v>
      </c>
      <c r="D1330">
        <f>NOT(hospitalityq!D1330="")*(COUNTIF(reference!$C$17:$C$18,TRIM(hospitalityq!D1330))=0)</f>
        <v>0</v>
      </c>
      <c r="J1330">
        <f>NOT(hospitalityq!J1330="")*(NOT(ISNUMBER(hospitalityq!J1330+0)))</f>
        <v>0</v>
      </c>
      <c r="K1330">
        <f>NOT(hospitalityq!K1330="")*(NOT(ISNUMBER(hospitalityq!K1330+0)))</f>
        <v>0</v>
      </c>
      <c r="P1330">
        <f>NOT(hospitalityq!P1330="")*(NOT(IFERROR(INT(hospitalityq!P1330)=VALUE(hospitalityq!P1330),FALSE)))</f>
        <v>0</v>
      </c>
      <c r="Q1330">
        <f>NOT(hospitalityq!Q1330="")*(NOT(IFERROR(INT(hospitalityq!Q1330)=VALUE(hospitalityq!Q1330),FALSE)))</f>
        <v>0</v>
      </c>
      <c r="R1330">
        <f>NOT(hospitalityq!R1330="")*(NOT(IFERROR(ROUND(VALUE(hospitalityq!R1330),2)=VALUE(hospitalityq!R1330),FALSE)))</f>
        <v>0</v>
      </c>
    </row>
    <row r="1331" spans="1:18" x14ac:dyDescent="0.25">
      <c r="A1331">
        <f t="shared" si="20"/>
        <v>0</v>
      </c>
      <c r="C1331">
        <f>NOT(hospitalityq!C1331="")*(SUMPRODUCT(--(TRIM(hospitalityq!C6:C1331)=TRIM(hospitalityq!C1331)))&gt;1)</f>
        <v>0</v>
      </c>
      <c r="D1331">
        <f>NOT(hospitalityq!D1331="")*(COUNTIF(reference!$C$17:$C$18,TRIM(hospitalityq!D1331))=0)</f>
        <v>0</v>
      </c>
      <c r="J1331">
        <f>NOT(hospitalityq!J1331="")*(NOT(ISNUMBER(hospitalityq!J1331+0)))</f>
        <v>0</v>
      </c>
      <c r="K1331">
        <f>NOT(hospitalityq!K1331="")*(NOT(ISNUMBER(hospitalityq!K1331+0)))</f>
        <v>0</v>
      </c>
      <c r="P1331">
        <f>NOT(hospitalityq!P1331="")*(NOT(IFERROR(INT(hospitalityq!P1331)=VALUE(hospitalityq!P1331),FALSE)))</f>
        <v>0</v>
      </c>
      <c r="Q1331">
        <f>NOT(hospitalityq!Q1331="")*(NOT(IFERROR(INT(hospitalityq!Q1331)=VALUE(hospitalityq!Q1331),FALSE)))</f>
        <v>0</v>
      </c>
      <c r="R1331">
        <f>NOT(hospitalityq!R1331="")*(NOT(IFERROR(ROUND(VALUE(hospitalityq!R1331),2)=VALUE(hospitalityq!R1331),FALSE)))</f>
        <v>0</v>
      </c>
    </row>
    <row r="1332" spans="1:18" x14ac:dyDescent="0.25">
      <c r="A1332">
        <f t="shared" si="20"/>
        <v>0</v>
      </c>
      <c r="C1332">
        <f>NOT(hospitalityq!C1332="")*(SUMPRODUCT(--(TRIM(hospitalityq!C6:C1332)=TRIM(hospitalityq!C1332)))&gt;1)</f>
        <v>0</v>
      </c>
      <c r="D1332">
        <f>NOT(hospitalityq!D1332="")*(COUNTIF(reference!$C$17:$C$18,TRIM(hospitalityq!D1332))=0)</f>
        <v>0</v>
      </c>
      <c r="J1332">
        <f>NOT(hospitalityq!J1332="")*(NOT(ISNUMBER(hospitalityq!J1332+0)))</f>
        <v>0</v>
      </c>
      <c r="K1332">
        <f>NOT(hospitalityq!K1332="")*(NOT(ISNUMBER(hospitalityq!K1332+0)))</f>
        <v>0</v>
      </c>
      <c r="P1332">
        <f>NOT(hospitalityq!P1332="")*(NOT(IFERROR(INT(hospitalityq!P1332)=VALUE(hospitalityq!P1332),FALSE)))</f>
        <v>0</v>
      </c>
      <c r="Q1332">
        <f>NOT(hospitalityq!Q1332="")*(NOT(IFERROR(INT(hospitalityq!Q1332)=VALUE(hospitalityq!Q1332),FALSE)))</f>
        <v>0</v>
      </c>
      <c r="R1332">
        <f>NOT(hospitalityq!R1332="")*(NOT(IFERROR(ROUND(VALUE(hospitalityq!R1332),2)=VALUE(hospitalityq!R1332),FALSE)))</f>
        <v>0</v>
      </c>
    </row>
    <row r="1333" spans="1:18" x14ac:dyDescent="0.25">
      <c r="A1333">
        <f t="shared" si="20"/>
        <v>0</v>
      </c>
      <c r="C1333">
        <f>NOT(hospitalityq!C1333="")*(SUMPRODUCT(--(TRIM(hospitalityq!C6:C1333)=TRIM(hospitalityq!C1333)))&gt;1)</f>
        <v>0</v>
      </c>
      <c r="D1333">
        <f>NOT(hospitalityq!D1333="")*(COUNTIF(reference!$C$17:$C$18,TRIM(hospitalityq!D1333))=0)</f>
        <v>0</v>
      </c>
      <c r="J1333">
        <f>NOT(hospitalityq!J1333="")*(NOT(ISNUMBER(hospitalityq!J1333+0)))</f>
        <v>0</v>
      </c>
      <c r="K1333">
        <f>NOT(hospitalityq!K1333="")*(NOT(ISNUMBER(hospitalityq!K1333+0)))</f>
        <v>0</v>
      </c>
      <c r="P1333">
        <f>NOT(hospitalityq!P1333="")*(NOT(IFERROR(INT(hospitalityq!P1333)=VALUE(hospitalityq!P1333),FALSE)))</f>
        <v>0</v>
      </c>
      <c r="Q1333">
        <f>NOT(hospitalityq!Q1333="")*(NOT(IFERROR(INT(hospitalityq!Q1333)=VALUE(hospitalityq!Q1333),FALSE)))</f>
        <v>0</v>
      </c>
      <c r="R1333">
        <f>NOT(hospitalityq!R1333="")*(NOT(IFERROR(ROUND(VALUE(hospitalityq!R1333),2)=VALUE(hospitalityq!R1333),FALSE)))</f>
        <v>0</v>
      </c>
    </row>
    <row r="1334" spans="1:18" x14ac:dyDescent="0.25">
      <c r="A1334">
        <f t="shared" si="20"/>
        <v>0</v>
      </c>
      <c r="C1334">
        <f>NOT(hospitalityq!C1334="")*(SUMPRODUCT(--(TRIM(hospitalityq!C6:C1334)=TRIM(hospitalityq!C1334)))&gt;1)</f>
        <v>0</v>
      </c>
      <c r="D1334">
        <f>NOT(hospitalityq!D1334="")*(COUNTIF(reference!$C$17:$C$18,TRIM(hospitalityq!D1334))=0)</f>
        <v>0</v>
      </c>
      <c r="J1334">
        <f>NOT(hospitalityq!J1334="")*(NOT(ISNUMBER(hospitalityq!J1334+0)))</f>
        <v>0</v>
      </c>
      <c r="K1334">
        <f>NOT(hospitalityq!K1334="")*(NOT(ISNUMBER(hospitalityq!K1334+0)))</f>
        <v>0</v>
      </c>
      <c r="P1334">
        <f>NOT(hospitalityq!P1334="")*(NOT(IFERROR(INT(hospitalityq!P1334)=VALUE(hospitalityq!P1334),FALSE)))</f>
        <v>0</v>
      </c>
      <c r="Q1334">
        <f>NOT(hospitalityq!Q1334="")*(NOT(IFERROR(INT(hospitalityq!Q1334)=VALUE(hospitalityq!Q1334),FALSE)))</f>
        <v>0</v>
      </c>
      <c r="R1334">
        <f>NOT(hospitalityq!R1334="")*(NOT(IFERROR(ROUND(VALUE(hospitalityq!R1334),2)=VALUE(hospitalityq!R1334),FALSE)))</f>
        <v>0</v>
      </c>
    </row>
    <row r="1335" spans="1:18" x14ac:dyDescent="0.25">
      <c r="A1335">
        <f t="shared" si="20"/>
        <v>0</v>
      </c>
      <c r="C1335">
        <f>NOT(hospitalityq!C1335="")*(SUMPRODUCT(--(TRIM(hospitalityq!C6:C1335)=TRIM(hospitalityq!C1335)))&gt;1)</f>
        <v>0</v>
      </c>
      <c r="D1335">
        <f>NOT(hospitalityq!D1335="")*(COUNTIF(reference!$C$17:$C$18,TRIM(hospitalityq!D1335))=0)</f>
        <v>0</v>
      </c>
      <c r="J1335">
        <f>NOT(hospitalityq!J1335="")*(NOT(ISNUMBER(hospitalityq!J1335+0)))</f>
        <v>0</v>
      </c>
      <c r="K1335">
        <f>NOT(hospitalityq!K1335="")*(NOT(ISNUMBER(hospitalityq!K1335+0)))</f>
        <v>0</v>
      </c>
      <c r="P1335">
        <f>NOT(hospitalityq!P1335="")*(NOT(IFERROR(INT(hospitalityq!P1335)=VALUE(hospitalityq!P1335),FALSE)))</f>
        <v>0</v>
      </c>
      <c r="Q1335">
        <f>NOT(hospitalityq!Q1335="")*(NOT(IFERROR(INT(hospitalityq!Q1335)=VALUE(hospitalityq!Q1335),FALSE)))</f>
        <v>0</v>
      </c>
      <c r="R1335">
        <f>NOT(hospitalityq!R1335="")*(NOT(IFERROR(ROUND(VALUE(hospitalityq!R1335),2)=VALUE(hospitalityq!R1335),FALSE)))</f>
        <v>0</v>
      </c>
    </row>
    <row r="1336" spans="1:18" x14ac:dyDescent="0.25">
      <c r="A1336">
        <f t="shared" si="20"/>
        <v>0</v>
      </c>
      <c r="C1336">
        <f>NOT(hospitalityq!C1336="")*(SUMPRODUCT(--(TRIM(hospitalityq!C6:C1336)=TRIM(hospitalityq!C1336)))&gt;1)</f>
        <v>0</v>
      </c>
      <c r="D1336">
        <f>NOT(hospitalityq!D1336="")*(COUNTIF(reference!$C$17:$C$18,TRIM(hospitalityq!D1336))=0)</f>
        <v>0</v>
      </c>
      <c r="J1336">
        <f>NOT(hospitalityq!J1336="")*(NOT(ISNUMBER(hospitalityq!J1336+0)))</f>
        <v>0</v>
      </c>
      <c r="K1336">
        <f>NOT(hospitalityq!K1336="")*(NOT(ISNUMBER(hospitalityq!K1336+0)))</f>
        <v>0</v>
      </c>
      <c r="P1336">
        <f>NOT(hospitalityq!P1336="")*(NOT(IFERROR(INT(hospitalityq!P1336)=VALUE(hospitalityq!P1336),FALSE)))</f>
        <v>0</v>
      </c>
      <c r="Q1336">
        <f>NOT(hospitalityq!Q1336="")*(NOT(IFERROR(INT(hospitalityq!Q1336)=VALUE(hospitalityq!Q1336),FALSE)))</f>
        <v>0</v>
      </c>
      <c r="R1336">
        <f>NOT(hospitalityq!R1336="")*(NOT(IFERROR(ROUND(VALUE(hospitalityq!R1336),2)=VALUE(hospitalityq!R1336),FALSE)))</f>
        <v>0</v>
      </c>
    </row>
    <row r="1337" spans="1:18" x14ac:dyDescent="0.25">
      <c r="A1337">
        <f t="shared" si="20"/>
        <v>0</v>
      </c>
      <c r="C1337">
        <f>NOT(hospitalityq!C1337="")*(SUMPRODUCT(--(TRIM(hospitalityq!C6:C1337)=TRIM(hospitalityq!C1337)))&gt;1)</f>
        <v>0</v>
      </c>
      <c r="D1337">
        <f>NOT(hospitalityq!D1337="")*(COUNTIF(reference!$C$17:$C$18,TRIM(hospitalityq!D1337))=0)</f>
        <v>0</v>
      </c>
      <c r="J1337">
        <f>NOT(hospitalityq!J1337="")*(NOT(ISNUMBER(hospitalityq!J1337+0)))</f>
        <v>0</v>
      </c>
      <c r="K1337">
        <f>NOT(hospitalityq!K1337="")*(NOT(ISNUMBER(hospitalityq!K1337+0)))</f>
        <v>0</v>
      </c>
      <c r="P1337">
        <f>NOT(hospitalityq!P1337="")*(NOT(IFERROR(INT(hospitalityq!P1337)=VALUE(hospitalityq!P1337),FALSE)))</f>
        <v>0</v>
      </c>
      <c r="Q1337">
        <f>NOT(hospitalityq!Q1337="")*(NOT(IFERROR(INT(hospitalityq!Q1337)=VALUE(hospitalityq!Q1337),FALSE)))</f>
        <v>0</v>
      </c>
      <c r="R1337">
        <f>NOT(hospitalityq!R1337="")*(NOT(IFERROR(ROUND(VALUE(hospitalityq!R1337),2)=VALUE(hospitalityq!R1337),FALSE)))</f>
        <v>0</v>
      </c>
    </row>
    <row r="1338" spans="1:18" x14ac:dyDescent="0.25">
      <c r="A1338">
        <f t="shared" si="20"/>
        <v>0</v>
      </c>
      <c r="C1338">
        <f>NOT(hospitalityq!C1338="")*(SUMPRODUCT(--(TRIM(hospitalityq!C6:C1338)=TRIM(hospitalityq!C1338)))&gt;1)</f>
        <v>0</v>
      </c>
      <c r="D1338">
        <f>NOT(hospitalityq!D1338="")*(COUNTIF(reference!$C$17:$C$18,TRIM(hospitalityq!D1338))=0)</f>
        <v>0</v>
      </c>
      <c r="J1338">
        <f>NOT(hospitalityq!J1338="")*(NOT(ISNUMBER(hospitalityq!J1338+0)))</f>
        <v>0</v>
      </c>
      <c r="K1338">
        <f>NOT(hospitalityq!K1338="")*(NOT(ISNUMBER(hospitalityq!K1338+0)))</f>
        <v>0</v>
      </c>
      <c r="P1338">
        <f>NOT(hospitalityq!P1338="")*(NOT(IFERROR(INT(hospitalityq!P1338)=VALUE(hospitalityq!P1338),FALSE)))</f>
        <v>0</v>
      </c>
      <c r="Q1338">
        <f>NOT(hospitalityq!Q1338="")*(NOT(IFERROR(INT(hospitalityq!Q1338)=VALUE(hospitalityq!Q1338),FALSE)))</f>
        <v>0</v>
      </c>
      <c r="R1338">
        <f>NOT(hospitalityq!R1338="")*(NOT(IFERROR(ROUND(VALUE(hospitalityq!R1338),2)=VALUE(hospitalityq!R1338),FALSE)))</f>
        <v>0</v>
      </c>
    </row>
    <row r="1339" spans="1:18" x14ac:dyDescent="0.25">
      <c r="A1339">
        <f t="shared" si="20"/>
        <v>0</v>
      </c>
      <c r="C1339">
        <f>NOT(hospitalityq!C1339="")*(SUMPRODUCT(--(TRIM(hospitalityq!C6:C1339)=TRIM(hospitalityq!C1339)))&gt;1)</f>
        <v>0</v>
      </c>
      <c r="D1339">
        <f>NOT(hospitalityq!D1339="")*(COUNTIF(reference!$C$17:$C$18,TRIM(hospitalityq!D1339))=0)</f>
        <v>0</v>
      </c>
      <c r="J1339">
        <f>NOT(hospitalityq!J1339="")*(NOT(ISNUMBER(hospitalityq!J1339+0)))</f>
        <v>0</v>
      </c>
      <c r="K1339">
        <f>NOT(hospitalityq!K1339="")*(NOT(ISNUMBER(hospitalityq!K1339+0)))</f>
        <v>0</v>
      </c>
      <c r="P1339">
        <f>NOT(hospitalityq!P1339="")*(NOT(IFERROR(INT(hospitalityq!P1339)=VALUE(hospitalityq!P1339),FALSE)))</f>
        <v>0</v>
      </c>
      <c r="Q1339">
        <f>NOT(hospitalityq!Q1339="")*(NOT(IFERROR(INT(hospitalityq!Q1339)=VALUE(hospitalityq!Q1339),FALSE)))</f>
        <v>0</v>
      </c>
      <c r="R1339">
        <f>NOT(hospitalityq!R1339="")*(NOT(IFERROR(ROUND(VALUE(hospitalityq!R1339),2)=VALUE(hospitalityq!R1339),FALSE)))</f>
        <v>0</v>
      </c>
    </row>
    <row r="1340" spans="1:18" x14ac:dyDescent="0.25">
      <c r="A1340">
        <f t="shared" si="20"/>
        <v>0</v>
      </c>
      <c r="C1340">
        <f>NOT(hospitalityq!C1340="")*(SUMPRODUCT(--(TRIM(hospitalityq!C6:C1340)=TRIM(hospitalityq!C1340)))&gt;1)</f>
        <v>0</v>
      </c>
      <c r="D1340">
        <f>NOT(hospitalityq!D1340="")*(COUNTIF(reference!$C$17:$C$18,TRIM(hospitalityq!D1340))=0)</f>
        <v>0</v>
      </c>
      <c r="J1340">
        <f>NOT(hospitalityq!J1340="")*(NOT(ISNUMBER(hospitalityq!J1340+0)))</f>
        <v>0</v>
      </c>
      <c r="K1340">
        <f>NOT(hospitalityq!K1340="")*(NOT(ISNUMBER(hospitalityq!K1340+0)))</f>
        <v>0</v>
      </c>
      <c r="P1340">
        <f>NOT(hospitalityq!P1340="")*(NOT(IFERROR(INT(hospitalityq!P1340)=VALUE(hospitalityq!P1340),FALSE)))</f>
        <v>0</v>
      </c>
      <c r="Q1340">
        <f>NOT(hospitalityq!Q1340="")*(NOT(IFERROR(INT(hospitalityq!Q1340)=VALUE(hospitalityq!Q1340),FALSE)))</f>
        <v>0</v>
      </c>
      <c r="R1340">
        <f>NOT(hospitalityq!R1340="")*(NOT(IFERROR(ROUND(VALUE(hospitalityq!R1340),2)=VALUE(hospitalityq!R1340),FALSE)))</f>
        <v>0</v>
      </c>
    </row>
    <row r="1341" spans="1:18" x14ac:dyDescent="0.25">
      <c r="A1341">
        <f t="shared" si="20"/>
        <v>0</v>
      </c>
      <c r="C1341">
        <f>NOT(hospitalityq!C1341="")*(SUMPRODUCT(--(TRIM(hospitalityq!C6:C1341)=TRIM(hospitalityq!C1341)))&gt;1)</f>
        <v>0</v>
      </c>
      <c r="D1341">
        <f>NOT(hospitalityq!D1341="")*(COUNTIF(reference!$C$17:$C$18,TRIM(hospitalityq!D1341))=0)</f>
        <v>0</v>
      </c>
      <c r="J1341">
        <f>NOT(hospitalityq!J1341="")*(NOT(ISNUMBER(hospitalityq!J1341+0)))</f>
        <v>0</v>
      </c>
      <c r="K1341">
        <f>NOT(hospitalityq!K1341="")*(NOT(ISNUMBER(hospitalityq!K1341+0)))</f>
        <v>0</v>
      </c>
      <c r="P1341">
        <f>NOT(hospitalityq!P1341="")*(NOT(IFERROR(INT(hospitalityq!P1341)=VALUE(hospitalityq!P1341),FALSE)))</f>
        <v>0</v>
      </c>
      <c r="Q1341">
        <f>NOT(hospitalityq!Q1341="")*(NOT(IFERROR(INT(hospitalityq!Q1341)=VALUE(hospitalityq!Q1341),FALSE)))</f>
        <v>0</v>
      </c>
      <c r="R1341">
        <f>NOT(hospitalityq!R1341="")*(NOT(IFERROR(ROUND(VALUE(hospitalityq!R1341),2)=VALUE(hospitalityq!R1341),FALSE)))</f>
        <v>0</v>
      </c>
    </row>
    <row r="1342" spans="1:18" x14ac:dyDescent="0.25">
      <c r="A1342">
        <f t="shared" si="20"/>
        <v>0</v>
      </c>
      <c r="C1342">
        <f>NOT(hospitalityq!C1342="")*(SUMPRODUCT(--(TRIM(hospitalityq!C6:C1342)=TRIM(hospitalityq!C1342)))&gt;1)</f>
        <v>0</v>
      </c>
      <c r="D1342">
        <f>NOT(hospitalityq!D1342="")*(COUNTIF(reference!$C$17:$C$18,TRIM(hospitalityq!D1342))=0)</f>
        <v>0</v>
      </c>
      <c r="J1342">
        <f>NOT(hospitalityq!J1342="")*(NOT(ISNUMBER(hospitalityq!J1342+0)))</f>
        <v>0</v>
      </c>
      <c r="K1342">
        <f>NOT(hospitalityq!K1342="")*(NOT(ISNUMBER(hospitalityq!K1342+0)))</f>
        <v>0</v>
      </c>
      <c r="P1342">
        <f>NOT(hospitalityq!P1342="")*(NOT(IFERROR(INT(hospitalityq!P1342)=VALUE(hospitalityq!P1342),FALSE)))</f>
        <v>0</v>
      </c>
      <c r="Q1342">
        <f>NOT(hospitalityq!Q1342="")*(NOT(IFERROR(INT(hospitalityq!Q1342)=VALUE(hospitalityq!Q1342),FALSE)))</f>
        <v>0</v>
      </c>
      <c r="R1342">
        <f>NOT(hospitalityq!R1342="")*(NOT(IFERROR(ROUND(VALUE(hospitalityq!R1342),2)=VALUE(hospitalityq!R1342),FALSE)))</f>
        <v>0</v>
      </c>
    </row>
    <row r="1343" spans="1:18" x14ac:dyDescent="0.25">
      <c r="A1343">
        <f t="shared" si="20"/>
        <v>0</v>
      </c>
      <c r="C1343">
        <f>NOT(hospitalityq!C1343="")*(SUMPRODUCT(--(TRIM(hospitalityq!C6:C1343)=TRIM(hospitalityq!C1343)))&gt;1)</f>
        <v>0</v>
      </c>
      <c r="D1343">
        <f>NOT(hospitalityq!D1343="")*(COUNTIF(reference!$C$17:$C$18,TRIM(hospitalityq!D1343))=0)</f>
        <v>0</v>
      </c>
      <c r="J1343">
        <f>NOT(hospitalityq!J1343="")*(NOT(ISNUMBER(hospitalityq!J1343+0)))</f>
        <v>0</v>
      </c>
      <c r="K1343">
        <f>NOT(hospitalityq!K1343="")*(NOT(ISNUMBER(hospitalityq!K1343+0)))</f>
        <v>0</v>
      </c>
      <c r="P1343">
        <f>NOT(hospitalityq!P1343="")*(NOT(IFERROR(INT(hospitalityq!P1343)=VALUE(hospitalityq!P1343),FALSE)))</f>
        <v>0</v>
      </c>
      <c r="Q1343">
        <f>NOT(hospitalityq!Q1343="")*(NOT(IFERROR(INT(hospitalityq!Q1343)=VALUE(hospitalityq!Q1343),FALSE)))</f>
        <v>0</v>
      </c>
      <c r="R1343">
        <f>NOT(hospitalityq!R1343="")*(NOT(IFERROR(ROUND(VALUE(hospitalityq!R1343),2)=VALUE(hospitalityq!R1343),FALSE)))</f>
        <v>0</v>
      </c>
    </row>
    <row r="1344" spans="1:18" x14ac:dyDescent="0.25">
      <c r="A1344">
        <f t="shared" si="20"/>
        <v>0</v>
      </c>
      <c r="C1344">
        <f>NOT(hospitalityq!C1344="")*(SUMPRODUCT(--(TRIM(hospitalityq!C6:C1344)=TRIM(hospitalityq!C1344)))&gt;1)</f>
        <v>0</v>
      </c>
      <c r="D1344">
        <f>NOT(hospitalityq!D1344="")*(COUNTIF(reference!$C$17:$C$18,TRIM(hospitalityq!D1344))=0)</f>
        <v>0</v>
      </c>
      <c r="J1344">
        <f>NOT(hospitalityq!J1344="")*(NOT(ISNUMBER(hospitalityq!J1344+0)))</f>
        <v>0</v>
      </c>
      <c r="K1344">
        <f>NOT(hospitalityq!K1344="")*(NOT(ISNUMBER(hospitalityq!K1344+0)))</f>
        <v>0</v>
      </c>
      <c r="P1344">
        <f>NOT(hospitalityq!P1344="")*(NOT(IFERROR(INT(hospitalityq!P1344)=VALUE(hospitalityq!P1344),FALSE)))</f>
        <v>0</v>
      </c>
      <c r="Q1344">
        <f>NOT(hospitalityq!Q1344="")*(NOT(IFERROR(INT(hospitalityq!Q1344)=VALUE(hospitalityq!Q1344),FALSE)))</f>
        <v>0</v>
      </c>
      <c r="R1344">
        <f>NOT(hospitalityq!R1344="")*(NOT(IFERROR(ROUND(VALUE(hospitalityq!R1344),2)=VALUE(hospitalityq!R1344),FALSE)))</f>
        <v>0</v>
      </c>
    </row>
    <row r="1345" spans="1:18" x14ac:dyDescent="0.25">
      <c r="A1345">
        <f t="shared" si="20"/>
        <v>0</v>
      </c>
      <c r="C1345">
        <f>NOT(hospitalityq!C1345="")*(SUMPRODUCT(--(TRIM(hospitalityq!C6:C1345)=TRIM(hospitalityq!C1345)))&gt;1)</f>
        <v>0</v>
      </c>
      <c r="D1345">
        <f>NOT(hospitalityq!D1345="")*(COUNTIF(reference!$C$17:$C$18,TRIM(hospitalityq!D1345))=0)</f>
        <v>0</v>
      </c>
      <c r="J1345">
        <f>NOT(hospitalityq!J1345="")*(NOT(ISNUMBER(hospitalityq!J1345+0)))</f>
        <v>0</v>
      </c>
      <c r="K1345">
        <f>NOT(hospitalityq!K1345="")*(NOT(ISNUMBER(hospitalityq!K1345+0)))</f>
        <v>0</v>
      </c>
      <c r="P1345">
        <f>NOT(hospitalityq!P1345="")*(NOT(IFERROR(INT(hospitalityq!P1345)=VALUE(hospitalityq!P1345),FALSE)))</f>
        <v>0</v>
      </c>
      <c r="Q1345">
        <f>NOT(hospitalityq!Q1345="")*(NOT(IFERROR(INT(hospitalityq!Q1345)=VALUE(hospitalityq!Q1345),FALSE)))</f>
        <v>0</v>
      </c>
      <c r="R1345">
        <f>NOT(hospitalityq!R1345="")*(NOT(IFERROR(ROUND(VALUE(hospitalityq!R1345),2)=VALUE(hospitalityq!R1345),FALSE)))</f>
        <v>0</v>
      </c>
    </row>
    <row r="1346" spans="1:18" x14ac:dyDescent="0.25">
      <c r="A1346">
        <f t="shared" si="20"/>
        <v>0</v>
      </c>
      <c r="C1346">
        <f>NOT(hospitalityq!C1346="")*(SUMPRODUCT(--(TRIM(hospitalityq!C6:C1346)=TRIM(hospitalityq!C1346)))&gt;1)</f>
        <v>0</v>
      </c>
      <c r="D1346">
        <f>NOT(hospitalityq!D1346="")*(COUNTIF(reference!$C$17:$C$18,TRIM(hospitalityq!D1346))=0)</f>
        <v>0</v>
      </c>
      <c r="J1346">
        <f>NOT(hospitalityq!J1346="")*(NOT(ISNUMBER(hospitalityq!J1346+0)))</f>
        <v>0</v>
      </c>
      <c r="K1346">
        <f>NOT(hospitalityq!K1346="")*(NOT(ISNUMBER(hospitalityq!K1346+0)))</f>
        <v>0</v>
      </c>
      <c r="P1346">
        <f>NOT(hospitalityq!P1346="")*(NOT(IFERROR(INT(hospitalityq!P1346)=VALUE(hospitalityq!P1346),FALSE)))</f>
        <v>0</v>
      </c>
      <c r="Q1346">
        <f>NOT(hospitalityq!Q1346="")*(NOT(IFERROR(INT(hospitalityq!Q1346)=VALUE(hospitalityq!Q1346),FALSE)))</f>
        <v>0</v>
      </c>
      <c r="R1346">
        <f>NOT(hospitalityq!R1346="")*(NOT(IFERROR(ROUND(VALUE(hospitalityq!R1346),2)=VALUE(hospitalityq!R1346),FALSE)))</f>
        <v>0</v>
      </c>
    </row>
    <row r="1347" spans="1:18" x14ac:dyDescent="0.25">
      <c r="A1347">
        <f t="shared" si="20"/>
        <v>0</v>
      </c>
      <c r="C1347">
        <f>NOT(hospitalityq!C1347="")*(SUMPRODUCT(--(TRIM(hospitalityq!C6:C1347)=TRIM(hospitalityq!C1347)))&gt;1)</f>
        <v>0</v>
      </c>
      <c r="D1347">
        <f>NOT(hospitalityq!D1347="")*(COUNTIF(reference!$C$17:$C$18,TRIM(hospitalityq!D1347))=0)</f>
        <v>0</v>
      </c>
      <c r="J1347">
        <f>NOT(hospitalityq!J1347="")*(NOT(ISNUMBER(hospitalityq!J1347+0)))</f>
        <v>0</v>
      </c>
      <c r="K1347">
        <f>NOT(hospitalityq!K1347="")*(NOT(ISNUMBER(hospitalityq!K1347+0)))</f>
        <v>0</v>
      </c>
      <c r="P1347">
        <f>NOT(hospitalityq!P1347="")*(NOT(IFERROR(INT(hospitalityq!P1347)=VALUE(hospitalityq!P1347),FALSE)))</f>
        <v>0</v>
      </c>
      <c r="Q1347">
        <f>NOT(hospitalityq!Q1347="")*(NOT(IFERROR(INT(hospitalityq!Q1347)=VALUE(hospitalityq!Q1347),FALSE)))</f>
        <v>0</v>
      </c>
      <c r="R1347">
        <f>NOT(hospitalityq!R1347="")*(NOT(IFERROR(ROUND(VALUE(hospitalityq!R1347),2)=VALUE(hospitalityq!R1347),FALSE)))</f>
        <v>0</v>
      </c>
    </row>
    <row r="1348" spans="1:18" x14ac:dyDescent="0.25">
      <c r="A1348">
        <f t="shared" si="20"/>
        <v>0</v>
      </c>
      <c r="C1348">
        <f>NOT(hospitalityq!C1348="")*(SUMPRODUCT(--(TRIM(hospitalityq!C6:C1348)=TRIM(hospitalityq!C1348)))&gt;1)</f>
        <v>0</v>
      </c>
      <c r="D1348">
        <f>NOT(hospitalityq!D1348="")*(COUNTIF(reference!$C$17:$C$18,TRIM(hospitalityq!D1348))=0)</f>
        <v>0</v>
      </c>
      <c r="J1348">
        <f>NOT(hospitalityq!J1348="")*(NOT(ISNUMBER(hospitalityq!J1348+0)))</f>
        <v>0</v>
      </c>
      <c r="K1348">
        <f>NOT(hospitalityq!K1348="")*(NOT(ISNUMBER(hospitalityq!K1348+0)))</f>
        <v>0</v>
      </c>
      <c r="P1348">
        <f>NOT(hospitalityq!P1348="")*(NOT(IFERROR(INT(hospitalityq!P1348)=VALUE(hospitalityq!P1348),FALSE)))</f>
        <v>0</v>
      </c>
      <c r="Q1348">
        <f>NOT(hospitalityq!Q1348="")*(NOT(IFERROR(INT(hospitalityq!Q1348)=VALUE(hospitalityq!Q1348),FALSE)))</f>
        <v>0</v>
      </c>
      <c r="R1348">
        <f>NOT(hospitalityq!R1348="")*(NOT(IFERROR(ROUND(VALUE(hospitalityq!R1348),2)=VALUE(hospitalityq!R1348),FALSE)))</f>
        <v>0</v>
      </c>
    </row>
    <row r="1349" spans="1:18" x14ac:dyDescent="0.25">
      <c r="A1349">
        <f t="shared" si="20"/>
        <v>0</v>
      </c>
      <c r="C1349">
        <f>NOT(hospitalityq!C1349="")*(SUMPRODUCT(--(TRIM(hospitalityq!C6:C1349)=TRIM(hospitalityq!C1349)))&gt;1)</f>
        <v>0</v>
      </c>
      <c r="D1349">
        <f>NOT(hospitalityq!D1349="")*(COUNTIF(reference!$C$17:$C$18,TRIM(hospitalityq!D1349))=0)</f>
        <v>0</v>
      </c>
      <c r="J1349">
        <f>NOT(hospitalityq!J1349="")*(NOT(ISNUMBER(hospitalityq!J1349+0)))</f>
        <v>0</v>
      </c>
      <c r="K1349">
        <f>NOT(hospitalityq!K1349="")*(NOT(ISNUMBER(hospitalityq!K1349+0)))</f>
        <v>0</v>
      </c>
      <c r="P1349">
        <f>NOT(hospitalityq!P1349="")*(NOT(IFERROR(INT(hospitalityq!P1349)=VALUE(hospitalityq!P1349),FALSE)))</f>
        <v>0</v>
      </c>
      <c r="Q1349">
        <f>NOT(hospitalityq!Q1349="")*(NOT(IFERROR(INT(hospitalityq!Q1349)=VALUE(hospitalityq!Q1349),FALSE)))</f>
        <v>0</v>
      </c>
      <c r="R1349">
        <f>NOT(hospitalityq!R1349="")*(NOT(IFERROR(ROUND(VALUE(hospitalityq!R1349),2)=VALUE(hospitalityq!R1349),FALSE)))</f>
        <v>0</v>
      </c>
    </row>
    <row r="1350" spans="1:18" x14ac:dyDescent="0.25">
      <c r="A1350">
        <f t="shared" ref="A1350:A1413" si="21">IFERROR(MATCH(TRUE,INDEX(C1350:R1350&lt;&gt;0,),)+2,0)</f>
        <v>0</v>
      </c>
      <c r="C1350">
        <f>NOT(hospitalityq!C1350="")*(SUMPRODUCT(--(TRIM(hospitalityq!C6:C1350)=TRIM(hospitalityq!C1350)))&gt;1)</f>
        <v>0</v>
      </c>
      <c r="D1350">
        <f>NOT(hospitalityq!D1350="")*(COUNTIF(reference!$C$17:$C$18,TRIM(hospitalityq!D1350))=0)</f>
        <v>0</v>
      </c>
      <c r="J1350">
        <f>NOT(hospitalityq!J1350="")*(NOT(ISNUMBER(hospitalityq!J1350+0)))</f>
        <v>0</v>
      </c>
      <c r="K1350">
        <f>NOT(hospitalityq!K1350="")*(NOT(ISNUMBER(hospitalityq!K1350+0)))</f>
        <v>0</v>
      </c>
      <c r="P1350">
        <f>NOT(hospitalityq!P1350="")*(NOT(IFERROR(INT(hospitalityq!P1350)=VALUE(hospitalityq!P1350),FALSE)))</f>
        <v>0</v>
      </c>
      <c r="Q1350">
        <f>NOT(hospitalityq!Q1350="")*(NOT(IFERROR(INT(hospitalityq!Q1350)=VALUE(hospitalityq!Q1350),FALSE)))</f>
        <v>0</v>
      </c>
      <c r="R1350">
        <f>NOT(hospitalityq!R1350="")*(NOT(IFERROR(ROUND(VALUE(hospitalityq!R1350),2)=VALUE(hospitalityq!R1350),FALSE)))</f>
        <v>0</v>
      </c>
    </row>
    <row r="1351" spans="1:18" x14ac:dyDescent="0.25">
      <c r="A1351">
        <f t="shared" si="21"/>
        <v>0</v>
      </c>
      <c r="C1351">
        <f>NOT(hospitalityq!C1351="")*(SUMPRODUCT(--(TRIM(hospitalityq!C6:C1351)=TRIM(hospitalityq!C1351)))&gt;1)</f>
        <v>0</v>
      </c>
      <c r="D1351">
        <f>NOT(hospitalityq!D1351="")*(COUNTIF(reference!$C$17:$C$18,TRIM(hospitalityq!D1351))=0)</f>
        <v>0</v>
      </c>
      <c r="J1351">
        <f>NOT(hospitalityq!J1351="")*(NOT(ISNUMBER(hospitalityq!J1351+0)))</f>
        <v>0</v>
      </c>
      <c r="K1351">
        <f>NOT(hospitalityq!K1351="")*(NOT(ISNUMBER(hospitalityq!K1351+0)))</f>
        <v>0</v>
      </c>
      <c r="P1351">
        <f>NOT(hospitalityq!P1351="")*(NOT(IFERROR(INT(hospitalityq!P1351)=VALUE(hospitalityq!P1351),FALSE)))</f>
        <v>0</v>
      </c>
      <c r="Q1351">
        <f>NOT(hospitalityq!Q1351="")*(NOT(IFERROR(INT(hospitalityq!Q1351)=VALUE(hospitalityq!Q1351),FALSE)))</f>
        <v>0</v>
      </c>
      <c r="R1351">
        <f>NOT(hospitalityq!R1351="")*(NOT(IFERROR(ROUND(VALUE(hospitalityq!R1351),2)=VALUE(hospitalityq!R1351),FALSE)))</f>
        <v>0</v>
      </c>
    </row>
    <row r="1352" spans="1:18" x14ac:dyDescent="0.25">
      <c r="A1352">
        <f t="shared" si="21"/>
        <v>0</v>
      </c>
      <c r="C1352">
        <f>NOT(hospitalityq!C1352="")*(SUMPRODUCT(--(TRIM(hospitalityq!C6:C1352)=TRIM(hospitalityq!C1352)))&gt;1)</f>
        <v>0</v>
      </c>
      <c r="D1352">
        <f>NOT(hospitalityq!D1352="")*(COUNTIF(reference!$C$17:$C$18,TRIM(hospitalityq!D1352))=0)</f>
        <v>0</v>
      </c>
      <c r="J1352">
        <f>NOT(hospitalityq!J1352="")*(NOT(ISNUMBER(hospitalityq!J1352+0)))</f>
        <v>0</v>
      </c>
      <c r="K1352">
        <f>NOT(hospitalityq!K1352="")*(NOT(ISNUMBER(hospitalityq!K1352+0)))</f>
        <v>0</v>
      </c>
      <c r="P1352">
        <f>NOT(hospitalityq!P1352="")*(NOT(IFERROR(INT(hospitalityq!P1352)=VALUE(hospitalityq!P1352),FALSE)))</f>
        <v>0</v>
      </c>
      <c r="Q1352">
        <f>NOT(hospitalityq!Q1352="")*(NOT(IFERROR(INT(hospitalityq!Q1352)=VALUE(hospitalityq!Q1352),FALSE)))</f>
        <v>0</v>
      </c>
      <c r="R1352">
        <f>NOT(hospitalityq!R1352="")*(NOT(IFERROR(ROUND(VALUE(hospitalityq!R1352),2)=VALUE(hospitalityq!R1352),FALSE)))</f>
        <v>0</v>
      </c>
    </row>
    <row r="1353" spans="1:18" x14ac:dyDescent="0.25">
      <c r="A1353">
        <f t="shared" si="21"/>
        <v>0</v>
      </c>
      <c r="C1353">
        <f>NOT(hospitalityq!C1353="")*(SUMPRODUCT(--(TRIM(hospitalityq!C6:C1353)=TRIM(hospitalityq!C1353)))&gt;1)</f>
        <v>0</v>
      </c>
      <c r="D1353">
        <f>NOT(hospitalityq!D1353="")*(COUNTIF(reference!$C$17:$C$18,TRIM(hospitalityq!D1353))=0)</f>
        <v>0</v>
      </c>
      <c r="J1353">
        <f>NOT(hospitalityq!J1353="")*(NOT(ISNUMBER(hospitalityq!J1353+0)))</f>
        <v>0</v>
      </c>
      <c r="K1353">
        <f>NOT(hospitalityq!K1353="")*(NOT(ISNUMBER(hospitalityq!K1353+0)))</f>
        <v>0</v>
      </c>
      <c r="P1353">
        <f>NOT(hospitalityq!P1353="")*(NOT(IFERROR(INT(hospitalityq!P1353)=VALUE(hospitalityq!P1353),FALSE)))</f>
        <v>0</v>
      </c>
      <c r="Q1353">
        <f>NOT(hospitalityq!Q1353="")*(NOT(IFERROR(INT(hospitalityq!Q1353)=VALUE(hospitalityq!Q1353),FALSE)))</f>
        <v>0</v>
      </c>
      <c r="R1353">
        <f>NOT(hospitalityq!R1353="")*(NOT(IFERROR(ROUND(VALUE(hospitalityq!R1353),2)=VALUE(hospitalityq!R1353),FALSE)))</f>
        <v>0</v>
      </c>
    </row>
    <row r="1354" spans="1:18" x14ac:dyDescent="0.25">
      <c r="A1354">
        <f t="shared" si="21"/>
        <v>0</v>
      </c>
      <c r="C1354">
        <f>NOT(hospitalityq!C1354="")*(SUMPRODUCT(--(TRIM(hospitalityq!C6:C1354)=TRIM(hospitalityq!C1354)))&gt;1)</f>
        <v>0</v>
      </c>
      <c r="D1354">
        <f>NOT(hospitalityq!D1354="")*(COUNTIF(reference!$C$17:$C$18,TRIM(hospitalityq!D1354))=0)</f>
        <v>0</v>
      </c>
      <c r="J1354">
        <f>NOT(hospitalityq!J1354="")*(NOT(ISNUMBER(hospitalityq!J1354+0)))</f>
        <v>0</v>
      </c>
      <c r="K1354">
        <f>NOT(hospitalityq!K1354="")*(NOT(ISNUMBER(hospitalityq!K1354+0)))</f>
        <v>0</v>
      </c>
      <c r="P1354">
        <f>NOT(hospitalityq!P1354="")*(NOT(IFERROR(INT(hospitalityq!P1354)=VALUE(hospitalityq!P1354),FALSE)))</f>
        <v>0</v>
      </c>
      <c r="Q1354">
        <f>NOT(hospitalityq!Q1354="")*(NOT(IFERROR(INT(hospitalityq!Q1354)=VALUE(hospitalityq!Q1354),FALSE)))</f>
        <v>0</v>
      </c>
      <c r="R1354">
        <f>NOT(hospitalityq!R1354="")*(NOT(IFERROR(ROUND(VALUE(hospitalityq!R1354),2)=VALUE(hospitalityq!R1354),FALSE)))</f>
        <v>0</v>
      </c>
    </row>
    <row r="1355" spans="1:18" x14ac:dyDescent="0.25">
      <c r="A1355">
        <f t="shared" si="21"/>
        <v>0</v>
      </c>
      <c r="C1355">
        <f>NOT(hospitalityq!C1355="")*(SUMPRODUCT(--(TRIM(hospitalityq!C6:C1355)=TRIM(hospitalityq!C1355)))&gt;1)</f>
        <v>0</v>
      </c>
      <c r="D1355">
        <f>NOT(hospitalityq!D1355="")*(COUNTIF(reference!$C$17:$C$18,TRIM(hospitalityq!D1355))=0)</f>
        <v>0</v>
      </c>
      <c r="J1355">
        <f>NOT(hospitalityq!J1355="")*(NOT(ISNUMBER(hospitalityq!J1355+0)))</f>
        <v>0</v>
      </c>
      <c r="K1355">
        <f>NOT(hospitalityq!K1355="")*(NOT(ISNUMBER(hospitalityq!K1355+0)))</f>
        <v>0</v>
      </c>
      <c r="P1355">
        <f>NOT(hospitalityq!P1355="")*(NOT(IFERROR(INT(hospitalityq!P1355)=VALUE(hospitalityq!P1355),FALSE)))</f>
        <v>0</v>
      </c>
      <c r="Q1355">
        <f>NOT(hospitalityq!Q1355="")*(NOT(IFERROR(INT(hospitalityq!Q1355)=VALUE(hospitalityq!Q1355),FALSE)))</f>
        <v>0</v>
      </c>
      <c r="R1355">
        <f>NOT(hospitalityq!R1355="")*(NOT(IFERROR(ROUND(VALUE(hospitalityq!R1355),2)=VALUE(hospitalityq!R1355),FALSE)))</f>
        <v>0</v>
      </c>
    </row>
    <row r="1356" spans="1:18" x14ac:dyDescent="0.25">
      <c r="A1356">
        <f t="shared" si="21"/>
        <v>0</v>
      </c>
      <c r="C1356">
        <f>NOT(hospitalityq!C1356="")*(SUMPRODUCT(--(TRIM(hospitalityq!C6:C1356)=TRIM(hospitalityq!C1356)))&gt;1)</f>
        <v>0</v>
      </c>
      <c r="D1356">
        <f>NOT(hospitalityq!D1356="")*(COUNTIF(reference!$C$17:$C$18,TRIM(hospitalityq!D1356))=0)</f>
        <v>0</v>
      </c>
      <c r="J1356">
        <f>NOT(hospitalityq!J1356="")*(NOT(ISNUMBER(hospitalityq!J1356+0)))</f>
        <v>0</v>
      </c>
      <c r="K1356">
        <f>NOT(hospitalityq!K1356="")*(NOT(ISNUMBER(hospitalityq!K1356+0)))</f>
        <v>0</v>
      </c>
      <c r="P1356">
        <f>NOT(hospitalityq!P1356="")*(NOT(IFERROR(INT(hospitalityq!P1356)=VALUE(hospitalityq!P1356),FALSE)))</f>
        <v>0</v>
      </c>
      <c r="Q1356">
        <f>NOT(hospitalityq!Q1356="")*(NOT(IFERROR(INT(hospitalityq!Q1356)=VALUE(hospitalityq!Q1356),FALSE)))</f>
        <v>0</v>
      </c>
      <c r="R1356">
        <f>NOT(hospitalityq!R1356="")*(NOT(IFERROR(ROUND(VALUE(hospitalityq!R1356),2)=VALUE(hospitalityq!R1356),FALSE)))</f>
        <v>0</v>
      </c>
    </row>
    <row r="1357" spans="1:18" x14ac:dyDescent="0.25">
      <c r="A1357">
        <f t="shared" si="21"/>
        <v>0</v>
      </c>
      <c r="C1357">
        <f>NOT(hospitalityq!C1357="")*(SUMPRODUCT(--(TRIM(hospitalityq!C6:C1357)=TRIM(hospitalityq!C1357)))&gt;1)</f>
        <v>0</v>
      </c>
      <c r="D1357">
        <f>NOT(hospitalityq!D1357="")*(COUNTIF(reference!$C$17:$C$18,TRIM(hospitalityq!D1357))=0)</f>
        <v>0</v>
      </c>
      <c r="J1357">
        <f>NOT(hospitalityq!J1357="")*(NOT(ISNUMBER(hospitalityq!J1357+0)))</f>
        <v>0</v>
      </c>
      <c r="K1357">
        <f>NOT(hospitalityq!K1357="")*(NOT(ISNUMBER(hospitalityq!K1357+0)))</f>
        <v>0</v>
      </c>
      <c r="P1357">
        <f>NOT(hospitalityq!P1357="")*(NOT(IFERROR(INT(hospitalityq!P1357)=VALUE(hospitalityq!P1357),FALSE)))</f>
        <v>0</v>
      </c>
      <c r="Q1357">
        <f>NOT(hospitalityq!Q1357="")*(NOT(IFERROR(INT(hospitalityq!Q1357)=VALUE(hospitalityq!Q1357),FALSE)))</f>
        <v>0</v>
      </c>
      <c r="R1357">
        <f>NOT(hospitalityq!R1357="")*(NOT(IFERROR(ROUND(VALUE(hospitalityq!R1357),2)=VALUE(hospitalityq!R1357),FALSE)))</f>
        <v>0</v>
      </c>
    </row>
    <row r="1358" spans="1:18" x14ac:dyDescent="0.25">
      <c r="A1358">
        <f t="shared" si="21"/>
        <v>0</v>
      </c>
      <c r="C1358">
        <f>NOT(hospitalityq!C1358="")*(SUMPRODUCT(--(TRIM(hospitalityq!C6:C1358)=TRIM(hospitalityq!C1358)))&gt;1)</f>
        <v>0</v>
      </c>
      <c r="D1358">
        <f>NOT(hospitalityq!D1358="")*(COUNTIF(reference!$C$17:$C$18,TRIM(hospitalityq!D1358))=0)</f>
        <v>0</v>
      </c>
      <c r="J1358">
        <f>NOT(hospitalityq!J1358="")*(NOT(ISNUMBER(hospitalityq!J1358+0)))</f>
        <v>0</v>
      </c>
      <c r="K1358">
        <f>NOT(hospitalityq!K1358="")*(NOT(ISNUMBER(hospitalityq!K1358+0)))</f>
        <v>0</v>
      </c>
      <c r="P1358">
        <f>NOT(hospitalityq!P1358="")*(NOT(IFERROR(INT(hospitalityq!P1358)=VALUE(hospitalityq!P1358),FALSE)))</f>
        <v>0</v>
      </c>
      <c r="Q1358">
        <f>NOT(hospitalityq!Q1358="")*(NOT(IFERROR(INT(hospitalityq!Q1358)=VALUE(hospitalityq!Q1358),FALSE)))</f>
        <v>0</v>
      </c>
      <c r="R1358">
        <f>NOT(hospitalityq!R1358="")*(NOT(IFERROR(ROUND(VALUE(hospitalityq!R1358),2)=VALUE(hospitalityq!R1358),FALSE)))</f>
        <v>0</v>
      </c>
    </row>
    <row r="1359" spans="1:18" x14ac:dyDescent="0.25">
      <c r="A1359">
        <f t="shared" si="21"/>
        <v>0</v>
      </c>
      <c r="C1359">
        <f>NOT(hospitalityq!C1359="")*(SUMPRODUCT(--(TRIM(hospitalityq!C6:C1359)=TRIM(hospitalityq!C1359)))&gt;1)</f>
        <v>0</v>
      </c>
      <c r="D1359">
        <f>NOT(hospitalityq!D1359="")*(COUNTIF(reference!$C$17:$C$18,TRIM(hospitalityq!D1359))=0)</f>
        <v>0</v>
      </c>
      <c r="J1359">
        <f>NOT(hospitalityq!J1359="")*(NOT(ISNUMBER(hospitalityq!J1359+0)))</f>
        <v>0</v>
      </c>
      <c r="K1359">
        <f>NOT(hospitalityq!K1359="")*(NOT(ISNUMBER(hospitalityq!K1359+0)))</f>
        <v>0</v>
      </c>
      <c r="P1359">
        <f>NOT(hospitalityq!P1359="")*(NOT(IFERROR(INT(hospitalityq!P1359)=VALUE(hospitalityq!P1359),FALSE)))</f>
        <v>0</v>
      </c>
      <c r="Q1359">
        <f>NOT(hospitalityq!Q1359="")*(NOT(IFERROR(INT(hospitalityq!Q1359)=VALUE(hospitalityq!Q1359),FALSE)))</f>
        <v>0</v>
      </c>
      <c r="R1359">
        <f>NOT(hospitalityq!R1359="")*(NOT(IFERROR(ROUND(VALUE(hospitalityq!R1359),2)=VALUE(hospitalityq!R1359),FALSE)))</f>
        <v>0</v>
      </c>
    </row>
    <row r="1360" spans="1:18" x14ac:dyDescent="0.25">
      <c r="A1360">
        <f t="shared" si="21"/>
        <v>0</v>
      </c>
      <c r="C1360">
        <f>NOT(hospitalityq!C1360="")*(SUMPRODUCT(--(TRIM(hospitalityq!C6:C1360)=TRIM(hospitalityq!C1360)))&gt;1)</f>
        <v>0</v>
      </c>
      <c r="D1360">
        <f>NOT(hospitalityq!D1360="")*(COUNTIF(reference!$C$17:$C$18,TRIM(hospitalityq!D1360))=0)</f>
        <v>0</v>
      </c>
      <c r="J1360">
        <f>NOT(hospitalityq!J1360="")*(NOT(ISNUMBER(hospitalityq!J1360+0)))</f>
        <v>0</v>
      </c>
      <c r="K1360">
        <f>NOT(hospitalityq!K1360="")*(NOT(ISNUMBER(hospitalityq!K1360+0)))</f>
        <v>0</v>
      </c>
      <c r="P1360">
        <f>NOT(hospitalityq!P1360="")*(NOT(IFERROR(INT(hospitalityq!P1360)=VALUE(hospitalityq!P1360),FALSE)))</f>
        <v>0</v>
      </c>
      <c r="Q1360">
        <f>NOT(hospitalityq!Q1360="")*(NOT(IFERROR(INT(hospitalityq!Q1360)=VALUE(hospitalityq!Q1360),FALSE)))</f>
        <v>0</v>
      </c>
      <c r="R1360">
        <f>NOT(hospitalityq!R1360="")*(NOT(IFERROR(ROUND(VALUE(hospitalityq!R1360),2)=VALUE(hospitalityq!R1360),FALSE)))</f>
        <v>0</v>
      </c>
    </row>
    <row r="1361" spans="1:18" x14ac:dyDescent="0.25">
      <c r="A1361">
        <f t="shared" si="21"/>
        <v>0</v>
      </c>
      <c r="C1361">
        <f>NOT(hospitalityq!C1361="")*(SUMPRODUCT(--(TRIM(hospitalityq!C6:C1361)=TRIM(hospitalityq!C1361)))&gt;1)</f>
        <v>0</v>
      </c>
      <c r="D1361">
        <f>NOT(hospitalityq!D1361="")*(COUNTIF(reference!$C$17:$C$18,TRIM(hospitalityq!D1361))=0)</f>
        <v>0</v>
      </c>
      <c r="J1361">
        <f>NOT(hospitalityq!J1361="")*(NOT(ISNUMBER(hospitalityq!J1361+0)))</f>
        <v>0</v>
      </c>
      <c r="K1361">
        <f>NOT(hospitalityq!K1361="")*(NOT(ISNUMBER(hospitalityq!K1361+0)))</f>
        <v>0</v>
      </c>
      <c r="P1361">
        <f>NOT(hospitalityq!P1361="")*(NOT(IFERROR(INT(hospitalityq!P1361)=VALUE(hospitalityq!P1361),FALSE)))</f>
        <v>0</v>
      </c>
      <c r="Q1361">
        <f>NOT(hospitalityq!Q1361="")*(NOT(IFERROR(INT(hospitalityq!Q1361)=VALUE(hospitalityq!Q1361),FALSE)))</f>
        <v>0</v>
      </c>
      <c r="R1361">
        <f>NOT(hospitalityq!R1361="")*(NOT(IFERROR(ROUND(VALUE(hospitalityq!R1361),2)=VALUE(hospitalityq!R1361),FALSE)))</f>
        <v>0</v>
      </c>
    </row>
    <row r="1362" spans="1:18" x14ac:dyDescent="0.25">
      <c r="A1362">
        <f t="shared" si="21"/>
        <v>0</v>
      </c>
      <c r="C1362">
        <f>NOT(hospitalityq!C1362="")*(SUMPRODUCT(--(TRIM(hospitalityq!C6:C1362)=TRIM(hospitalityq!C1362)))&gt;1)</f>
        <v>0</v>
      </c>
      <c r="D1362">
        <f>NOT(hospitalityq!D1362="")*(COUNTIF(reference!$C$17:$C$18,TRIM(hospitalityq!D1362))=0)</f>
        <v>0</v>
      </c>
      <c r="J1362">
        <f>NOT(hospitalityq!J1362="")*(NOT(ISNUMBER(hospitalityq!J1362+0)))</f>
        <v>0</v>
      </c>
      <c r="K1362">
        <f>NOT(hospitalityq!K1362="")*(NOT(ISNUMBER(hospitalityq!K1362+0)))</f>
        <v>0</v>
      </c>
      <c r="P1362">
        <f>NOT(hospitalityq!P1362="")*(NOT(IFERROR(INT(hospitalityq!P1362)=VALUE(hospitalityq!P1362),FALSE)))</f>
        <v>0</v>
      </c>
      <c r="Q1362">
        <f>NOT(hospitalityq!Q1362="")*(NOT(IFERROR(INT(hospitalityq!Q1362)=VALUE(hospitalityq!Q1362),FALSE)))</f>
        <v>0</v>
      </c>
      <c r="R1362">
        <f>NOT(hospitalityq!R1362="")*(NOT(IFERROR(ROUND(VALUE(hospitalityq!R1362),2)=VALUE(hospitalityq!R1362),FALSE)))</f>
        <v>0</v>
      </c>
    </row>
    <row r="1363" spans="1:18" x14ac:dyDescent="0.25">
      <c r="A1363">
        <f t="shared" si="21"/>
        <v>0</v>
      </c>
      <c r="C1363">
        <f>NOT(hospitalityq!C1363="")*(SUMPRODUCT(--(TRIM(hospitalityq!C6:C1363)=TRIM(hospitalityq!C1363)))&gt;1)</f>
        <v>0</v>
      </c>
      <c r="D1363">
        <f>NOT(hospitalityq!D1363="")*(COUNTIF(reference!$C$17:$C$18,TRIM(hospitalityq!D1363))=0)</f>
        <v>0</v>
      </c>
      <c r="J1363">
        <f>NOT(hospitalityq!J1363="")*(NOT(ISNUMBER(hospitalityq!J1363+0)))</f>
        <v>0</v>
      </c>
      <c r="K1363">
        <f>NOT(hospitalityq!K1363="")*(NOT(ISNUMBER(hospitalityq!K1363+0)))</f>
        <v>0</v>
      </c>
      <c r="P1363">
        <f>NOT(hospitalityq!P1363="")*(NOT(IFERROR(INT(hospitalityq!P1363)=VALUE(hospitalityq!P1363),FALSE)))</f>
        <v>0</v>
      </c>
      <c r="Q1363">
        <f>NOT(hospitalityq!Q1363="")*(NOT(IFERROR(INT(hospitalityq!Q1363)=VALUE(hospitalityq!Q1363),FALSE)))</f>
        <v>0</v>
      </c>
      <c r="R1363">
        <f>NOT(hospitalityq!R1363="")*(NOT(IFERROR(ROUND(VALUE(hospitalityq!R1363),2)=VALUE(hospitalityq!R1363),FALSE)))</f>
        <v>0</v>
      </c>
    </row>
    <row r="1364" spans="1:18" x14ac:dyDescent="0.25">
      <c r="A1364">
        <f t="shared" si="21"/>
        <v>0</v>
      </c>
      <c r="C1364">
        <f>NOT(hospitalityq!C1364="")*(SUMPRODUCT(--(TRIM(hospitalityq!C6:C1364)=TRIM(hospitalityq!C1364)))&gt;1)</f>
        <v>0</v>
      </c>
      <c r="D1364">
        <f>NOT(hospitalityq!D1364="")*(COUNTIF(reference!$C$17:$C$18,TRIM(hospitalityq!D1364))=0)</f>
        <v>0</v>
      </c>
      <c r="J1364">
        <f>NOT(hospitalityq!J1364="")*(NOT(ISNUMBER(hospitalityq!J1364+0)))</f>
        <v>0</v>
      </c>
      <c r="K1364">
        <f>NOT(hospitalityq!K1364="")*(NOT(ISNUMBER(hospitalityq!K1364+0)))</f>
        <v>0</v>
      </c>
      <c r="P1364">
        <f>NOT(hospitalityq!P1364="")*(NOT(IFERROR(INT(hospitalityq!P1364)=VALUE(hospitalityq!P1364),FALSE)))</f>
        <v>0</v>
      </c>
      <c r="Q1364">
        <f>NOT(hospitalityq!Q1364="")*(NOT(IFERROR(INT(hospitalityq!Q1364)=VALUE(hospitalityq!Q1364),FALSE)))</f>
        <v>0</v>
      </c>
      <c r="R1364">
        <f>NOT(hospitalityq!R1364="")*(NOT(IFERROR(ROUND(VALUE(hospitalityq!R1364),2)=VALUE(hospitalityq!R1364),FALSE)))</f>
        <v>0</v>
      </c>
    </row>
    <row r="1365" spans="1:18" x14ac:dyDescent="0.25">
      <c r="A1365">
        <f t="shared" si="21"/>
        <v>0</v>
      </c>
      <c r="C1365">
        <f>NOT(hospitalityq!C1365="")*(SUMPRODUCT(--(TRIM(hospitalityq!C6:C1365)=TRIM(hospitalityq!C1365)))&gt;1)</f>
        <v>0</v>
      </c>
      <c r="D1365">
        <f>NOT(hospitalityq!D1365="")*(COUNTIF(reference!$C$17:$C$18,TRIM(hospitalityq!D1365))=0)</f>
        <v>0</v>
      </c>
      <c r="J1365">
        <f>NOT(hospitalityq!J1365="")*(NOT(ISNUMBER(hospitalityq!J1365+0)))</f>
        <v>0</v>
      </c>
      <c r="K1365">
        <f>NOT(hospitalityq!K1365="")*(NOT(ISNUMBER(hospitalityq!K1365+0)))</f>
        <v>0</v>
      </c>
      <c r="P1365">
        <f>NOT(hospitalityq!P1365="")*(NOT(IFERROR(INT(hospitalityq!P1365)=VALUE(hospitalityq!P1365),FALSE)))</f>
        <v>0</v>
      </c>
      <c r="Q1365">
        <f>NOT(hospitalityq!Q1365="")*(NOT(IFERROR(INT(hospitalityq!Q1365)=VALUE(hospitalityq!Q1365),FALSE)))</f>
        <v>0</v>
      </c>
      <c r="R1365">
        <f>NOT(hospitalityq!R1365="")*(NOT(IFERROR(ROUND(VALUE(hospitalityq!R1365),2)=VALUE(hospitalityq!R1365),FALSE)))</f>
        <v>0</v>
      </c>
    </row>
    <row r="1366" spans="1:18" x14ac:dyDescent="0.25">
      <c r="A1366">
        <f t="shared" si="21"/>
        <v>0</v>
      </c>
      <c r="C1366">
        <f>NOT(hospitalityq!C1366="")*(SUMPRODUCT(--(TRIM(hospitalityq!C6:C1366)=TRIM(hospitalityq!C1366)))&gt;1)</f>
        <v>0</v>
      </c>
      <c r="D1366">
        <f>NOT(hospitalityq!D1366="")*(COUNTIF(reference!$C$17:$C$18,TRIM(hospitalityq!D1366))=0)</f>
        <v>0</v>
      </c>
      <c r="J1366">
        <f>NOT(hospitalityq!J1366="")*(NOT(ISNUMBER(hospitalityq!J1366+0)))</f>
        <v>0</v>
      </c>
      <c r="K1366">
        <f>NOT(hospitalityq!K1366="")*(NOT(ISNUMBER(hospitalityq!K1366+0)))</f>
        <v>0</v>
      </c>
      <c r="P1366">
        <f>NOT(hospitalityq!P1366="")*(NOT(IFERROR(INT(hospitalityq!P1366)=VALUE(hospitalityq!P1366),FALSE)))</f>
        <v>0</v>
      </c>
      <c r="Q1366">
        <f>NOT(hospitalityq!Q1366="")*(NOT(IFERROR(INT(hospitalityq!Q1366)=VALUE(hospitalityq!Q1366),FALSE)))</f>
        <v>0</v>
      </c>
      <c r="R1366">
        <f>NOT(hospitalityq!R1366="")*(NOT(IFERROR(ROUND(VALUE(hospitalityq!R1366),2)=VALUE(hospitalityq!R1366),FALSE)))</f>
        <v>0</v>
      </c>
    </row>
    <row r="1367" spans="1:18" x14ac:dyDescent="0.25">
      <c r="A1367">
        <f t="shared" si="21"/>
        <v>0</v>
      </c>
      <c r="C1367">
        <f>NOT(hospitalityq!C1367="")*(SUMPRODUCT(--(TRIM(hospitalityq!C6:C1367)=TRIM(hospitalityq!C1367)))&gt;1)</f>
        <v>0</v>
      </c>
      <c r="D1367">
        <f>NOT(hospitalityq!D1367="")*(COUNTIF(reference!$C$17:$C$18,TRIM(hospitalityq!D1367))=0)</f>
        <v>0</v>
      </c>
      <c r="J1367">
        <f>NOT(hospitalityq!J1367="")*(NOT(ISNUMBER(hospitalityq!J1367+0)))</f>
        <v>0</v>
      </c>
      <c r="K1367">
        <f>NOT(hospitalityq!K1367="")*(NOT(ISNUMBER(hospitalityq!K1367+0)))</f>
        <v>0</v>
      </c>
      <c r="P1367">
        <f>NOT(hospitalityq!P1367="")*(NOT(IFERROR(INT(hospitalityq!P1367)=VALUE(hospitalityq!P1367),FALSE)))</f>
        <v>0</v>
      </c>
      <c r="Q1367">
        <f>NOT(hospitalityq!Q1367="")*(NOT(IFERROR(INT(hospitalityq!Q1367)=VALUE(hospitalityq!Q1367),FALSE)))</f>
        <v>0</v>
      </c>
      <c r="R1367">
        <f>NOT(hospitalityq!R1367="")*(NOT(IFERROR(ROUND(VALUE(hospitalityq!R1367),2)=VALUE(hospitalityq!R1367),FALSE)))</f>
        <v>0</v>
      </c>
    </row>
    <row r="1368" spans="1:18" x14ac:dyDescent="0.25">
      <c r="A1368">
        <f t="shared" si="21"/>
        <v>0</v>
      </c>
      <c r="C1368">
        <f>NOT(hospitalityq!C1368="")*(SUMPRODUCT(--(TRIM(hospitalityq!C6:C1368)=TRIM(hospitalityq!C1368)))&gt;1)</f>
        <v>0</v>
      </c>
      <c r="D1368">
        <f>NOT(hospitalityq!D1368="")*(COUNTIF(reference!$C$17:$C$18,TRIM(hospitalityq!D1368))=0)</f>
        <v>0</v>
      </c>
      <c r="J1368">
        <f>NOT(hospitalityq!J1368="")*(NOT(ISNUMBER(hospitalityq!J1368+0)))</f>
        <v>0</v>
      </c>
      <c r="K1368">
        <f>NOT(hospitalityq!K1368="")*(NOT(ISNUMBER(hospitalityq!K1368+0)))</f>
        <v>0</v>
      </c>
      <c r="P1368">
        <f>NOT(hospitalityq!P1368="")*(NOT(IFERROR(INT(hospitalityq!P1368)=VALUE(hospitalityq!P1368),FALSE)))</f>
        <v>0</v>
      </c>
      <c r="Q1368">
        <f>NOT(hospitalityq!Q1368="")*(NOT(IFERROR(INT(hospitalityq!Q1368)=VALUE(hospitalityq!Q1368),FALSE)))</f>
        <v>0</v>
      </c>
      <c r="R1368">
        <f>NOT(hospitalityq!R1368="")*(NOT(IFERROR(ROUND(VALUE(hospitalityq!R1368),2)=VALUE(hospitalityq!R1368),FALSE)))</f>
        <v>0</v>
      </c>
    </row>
    <row r="1369" spans="1:18" x14ac:dyDescent="0.25">
      <c r="A1369">
        <f t="shared" si="21"/>
        <v>0</v>
      </c>
      <c r="C1369">
        <f>NOT(hospitalityq!C1369="")*(SUMPRODUCT(--(TRIM(hospitalityq!C6:C1369)=TRIM(hospitalityq!C1369)))&gt;1)</f>
        <v>0</v>
      </c>
      <c r="D1369">
        <f>NOT(hospitalityq!D1369="")*(COUNTIF(reference!$C$17:$C$18,TRIM(hospitalityq!D1369))=0)</f>
        <v>0</v>
      </c>
      <c r="J1369">
        <f>NOT(hospitalityq!J1369="")*(NOT(ISNUMBER(hospitalityq!J1369+0)))</f>
        <v>0</v>
      </c>
      <c r="K1369">
        <f>NOT(hospitalityq!K1369="")*(NOT(ISNUMBER(hospitalityq!K1369+0)))</f>
        <v>0</v>
      </c>
      <c r="P1369">
        <f>NOT(hospitalityq!P1369="")*(NOT(IFERROR(INT(hospitalityq!P1369)=VALUE(hospitalityq!P1369),FALSE)))</f>
        <v>0</v>
      </c>
      <c r="Q1369">
        <f>NOT(hospitalityq!Q1369="")*(NOT(IFERROR(INT(hospitalityq!Q1369)=VALUE(hospitalityq!Q1369),FALSE)))</f>
        <v>0</v>
      </c>
      <c r="R1369">
        <f>NOT(hospitalityq!R1369="")*(NOT(IFERROR(ROUND(VALUE(hospitalityq!R1369),2)=VALUE(hospitalityq!R1369),FALSE)))</f>
        <v>0</v>
      </c>
    </row>
    <row r="1370" spans="1:18" x14ac:dyDescent="0.25">
      <c r="A1370">
        <f t="shared" si="21"/>
        <v>0</v>
      </c>
      <c r="C1370">
        <f>NOT(hospitalityq!C1370="")*(SUMPRODUCT(--(TRIM(hospitalityq!C6:C1370)=TRIM(hospitalityq!C1370)))&gt;1)</f>
        <v>0</v>
      </c>
      <c r="D1370">
        <f>NOT(hospitalityq!D1370="")*(COUNTIF(reference!$C$17:$C$18,TRIM(hospitalityq!D1370))=0)</f>
        <v>0</v>
      </c>
      <c r="J1370">
        <f>NOT(hospitalityq!J1370="")*(NOT(ISNUMBER(hospitalityq!J1370+0)))</f>
        <v>0</v>
      </c>
      <c r="K1370">
        <f>NOT(hospitalityq!K1370="")*(NOT(ISNUMBER(hospitalityq!K1370+0)))</f>
        <v>0</v>
      </c>
      <c r="P1370">
        <f>NOT(hospitalityq!P1370="")*(NOT(IFERROR(INT(hospitalityq!P1370)=VALUE(hospitalityq!P1370),FALSE)))</f>
        <v>0</v>
      </c>
      <c r="Q1370">
        <f>NOT(hospitalityq!Q1370="")*(NOT(IFERROR(INT(hospitalityq!Q1370)=VALUE(hospitalityq!Q1370),FALSE)))</f>
        <v>0</v>
      </c>
      <c r="R1370">
        <f>NOT(hospitalityq!R1370="")*(NOT(IFERROR(ROUND(VALUE(hospitalityq!R1370),2)=VALUE(hospitalityq!R1370),FALSE)))</f>
        <v>0</v>
      </c>
    </row>
    <row r="1371" spans="1:18" x14ac:dyDescent="0.25">
      <c r="A1371">
        <f t="shared" si="21"/>
        <v>0</v>
      </c>
      <c r="C1371">
        <f>NOT(hospitalityq!C1371="")*(SUMPRODUCT(--(TRIM(hospitalityq!C6:C1371)=TRIM(hospitalityq!C1371)))&gt;1)</f>
        <v>0</v>
      </c>
      <c r="D1371">
        <f>NOT(hospitalityq!D1371="")*(COUNTIF(reference!$C$17:$C$18,TRIM(hospitalityq!D1371))=0)</f>
        <v>0</v>
      </c>
      <c r="J1371">
        <f>NOT(hospitalityq!J1371="")*(NOT(ISNUMBER(hospitalityq!J1371+0)))</f>
        <v>0</v>
      </c>
      <c r="K1371">
        <f>NOT(hospitalityq!K1371="")*(NOT(ISNUMBER(hospitalityq!K1371+0)))</f>
        <v>0</v>
      </c>
      <c r="P1371">
        <f>NOT(hospitalityq!P1371="")*(NOT(IFERROR(INT(hospitalityq!P1371)=VALUE(hospitalityq!P1371),FALSE)))</f>
        <v>0</v>
      </c>
      <c r="Q1371">
        <f>NOT(hospitalityq!Q1371="")*(NOT(IFERROR(INT(hospitalityq!Q1371)=VALUE(hospitalityq!Q1371),FALSE)))</f>
        <v>0</v>
      </c>
      <c r="R1371">
        <f>NOT(hospitalityq!R1371="")*(NOT(IFERROR(ROUND(VALUE(hospitalityq!R1371),2)=VALUE(hospitalityq!R1371),FALSE)))</f>
        <v>0</v>
      </c>
    </row>
    <row r="1372" spans="1:18" x14ac:dyDescent="0.25">
      <c r="A1372">
        <f t="shared" si="21"/>
        <v>0</v>
      </c>
      <c r="C1372">
        <f>NOT(hospitalityq!C1372="")*(SUMPRODUCT(--(TRIM(hospitalityq!C6:C1372)=TRIM(hospitalityq!C1372)))&gt;1)</f>
        <v>0</v>
      </c>
      <c r="D1372">
        <f>NOT(hospitalityq!D1372="")*(COUNTIF(reference!$C$17:$C$18,TRIM(hospitalityq!D1372))=0)</f>
        <v>0</v>
      </c>
      <c r="J1372">
        <f>NOT(hospitalityq!J1372="")*(NOT(ISNUMBER(hospitalityq!J1372+0)))</f>
        <v>0</v>
      </c>
      <c r="K1372">
        <f>NOT(hospitalityq!K1372="")*(NOT(ISNUMBER(hospitalityq!K1372+0)))</f>
        <v>0</v>
      </c>
      <c r="P1372">
        <f>NOT(hospitalityq!P1372="")*(NOT(IFERROR(INT(hospitalityq!P1372)=VALUE(hospitalityq!P1372),FALSE)))</f>
        <v>0</v>
      </c>
      <c r="Q1372">
        <f>NOT(hospitalityq!Q1372="")*(NOT(IFERROR(INT(hospitalityq!Q1372)=VALUE(hospitalityq!Q1372),FALSE)))</f>
        <v>0</v>
      </c>
      <c r="R1372">
        <f>NOT(hospitalityq!R1372="")*(NOT(IFERROR(ROUND(VALUE(hospitalityq!R1372),2)=VALUE(hospitalityq!R1372),FALSE)))</f>
        <v>0</v>
      </c>
    </row>
    <row r="1373" spans="1:18" x14ac:dyDescent="0.25">
      <c r="A1373">
        <f t="shared" si="21"/>
        <v>0</v>
      </c>
      <c r="C1373">
        <f>NOT(hospitalityq!C1373="")*(SUMPRODUCT(--(TRIM(hospitalityq!C6:C1373)=TRIM(hospitalityq!C1373)))&gt;1)</f>
        <v>0</v>
      </c>
      <c r="D1373">
        <f>NOT(hospitalityq!D1373="")*(COUNTIF(reference!$C$17:$C$18,TRIM(hospitalityq!D1373))=0)</f>
        <v>0</v>
      </c>
      <c r="J1373">
        <f>NOT(hospitalityq!J1373="")*(NOT(ISNUMBER(hospitalityq!J1373+0)))</f>
        <v>0</v>
      </c>
      <c r="K1373">
        <f>NOT(hospitalityq!K1373="")*(NOT(ISNUMBER(hospitalityq!K1373+0)))</f>
        <v>0</v>
      </c>
      <c r="P1373">
        <f>NOT(hospitalityq!P1373="")*(NOT(IFERROR(INT(hospitalityq!P1373)=VALUE(hospitalityq!P1373),FALSE)))</f>
        <v>0</v>
      </c>
      <c r="Q1373">
        <f>NOT(hospitalityq!Q1373="")*(NOT(IFERROR(INT(hospitalityq!Q1373)=VALUE(hospitalityq!Q1373),FALSE)))</f>
        <v>0</v>
      </c>
      <c r="R1373">
        <f>NOT(hospitalityq!R1373="")*(NOT(IFERROR(ROUND(VALUE(hospitalityq!R1373),2)=VALUE(hospitalityq!R1373),FALSE)))</f>
        <v>0</v>
      </c>
    </row>
    <row r="1374" spans="1:18" x14ac:dyDescent="0.25">
      <c r="A1374">
        <f t="shared" si="21"/>
        <v>0</v>
      </c>
      <c r="C1374">
        <f>NOT(hospitalityq!C1374="")*(SUMPRODUCT(--(TRIM(hospitalityq!C6:C1374)=TRIM(hospitalityq!C1374)))&gt;1)</f>
        <v>0</v>
      </c>
      <c r="D1374">
        <f>NOT(hospitalityq!D1374="")*(COUNTIF(reference!$C$17:$C$18,TRIM(hospitalityq!D1374))=0)</f>
        <v>0</v>
      </c>
      <c r="J1374">
        <f>NOT(hospitalityq!J1374="")*(NOT(ISNUMBER(hospitalityq!J1374+0)))</f>
        <v>0</v>
      </c>
      <c r="K1374">
        <f>NOT(hospitalityq!K1374="")*(NOT(ISNUMBER(hospitalityq!K1374+0)))</f>
        <v>0</v>
      </c>
      <c r="P1374">
        <f>NOT(hospitalityq!P1374="")*(NOT(IFERROR(INT(hospitalityq!P1374)=VALUE(hospitalityq!P1374),FALSE)))</f>
        <v>0</v>
      </c>
      <c r="Q1374">
        <f>NOT(hospitalityq!Q1374="")*(NOT(IFERROR(INT(hospitalityq!Q1374)=VALUE(hospitalityq!Q1374),FALSE)))</f>
        <v>0</v>
      </c>
      <c r="R1374">
        <f>NOT(hospitalityq!R1374="")*(NOT(IFERROR(ROUND(VALUE(hospitalityq!R1374),2)=VALUE(hospitalityq!R1374),FALSE)))</f>
        <v>0</v>
      </c>
    </row>
    <row r="1375" spans="1:18" x14ac:dyDescent="0.25">
      <c r="A1375">
        <f t="shared" si="21"/>
        <v>0</v>
      </c>
      <c r="C1375">
        <f>NOT(hospitalityq!C1375="")*(SUMPRODUCT(--(TRIM(hospitalityq!C6:C1375)=TRIM(hospitalityq!C1375)))&gt;1)</f>
        <v>0</v>
      </c>
      <c r="D1375">
        <f>NOT(hospitalityq!D1375="")*(COUNTIF(reference!$C$17:$C$18,TRIM(hospitalityq!D1375))=0)</f>
        <v>0</v>
      </c>
      <c r="J1375">
        <f>NOT(hospitalityq!J1375="")*(NOT(ISNUMBER(hospitalityq!J1375+0)))</f>
        <v>0</v>
      </c>
      <c r="K1375">
        <f>NOT(hospitalityq!K1375="")*(NOT(ISNUMBER(hospitalityq!K1375+0)))</f>
        <v>0</v>
      </c>
      <c r="P1375">
        <f>NOT(hospitalityq!P1375="")*(NOT(IFERROR(INT(hospitalityq!P1375)=VALUE(hospitalityq!P1375),FALSE)))</f>
        <v>0</v>
      </c>
      <c r="Q1375">
        <f>NOT(hospitalityq!Q1375="")*(NOT(IFERROR(INT(hospitalityq!Q1375)=VALUE(hospitalityq!Q1375),FALSE)))</f>
        <v>0</v>
      </c>
      <c r="R1375">
        <f>NOT(hospitalityq!R1375="")*(NOT(IFERROR(ROUND(VALUE(hospitalityq!R1375),2)=VALUE(hospitalityq!R1375),FALSE)))</f>
        <v>0</v>
      </c>
    </row>
    <row r="1376" spans="1:18" x14ac:dyDescent="0.25">
      <c r="A1376">
        <f t="shared" si="21"/>
        <v>0</v>
      </c>
      <c r="C1376">
        <f>NOT(hospitalityq!C1376="")*(SUMPRODUCT(--(TRIM(hospitalityq!C6:C1376)=TRIM(hospitalityq!C1376)))&gt;1)</f>
        <v>0</v>
      </c>
      <c r="D1376">
        <f>NOT(hospitalityq!D1376="")*(COUNTIF(reference!$C$17:$C$18,TRIM(hospitalityq!D1376))=0)</f>
        <v>0</v>
      </c>
      <c r="J1376">
        <f>NOT(hospitalityq!J1376="")*(NOT(ISNUMBER(hospitalityq!J1376+0)))</f>
        <v>0</v>
      </c>
      <c r="K1376">
        <f>NOT(hospitalityq!K1376="")*(NOT(ISNUMBER(hospitalityq!K1376+0)))</f>
        <v>0</v>
      </c>
      <c r="P1376">
        <f>NOT(hospitalityq!P1376="")*(NOT(IFERROR(INT(hospitalityq!P1376)=VALUE(hospitalityq!P1376),FALSE)))</f>
        <v>0</v>
      </c>
      <c r="Q1376">
        <f>NOT(hospitalityq!Q1376="")*(NOT(IFERROR(INT(hospitalityq!Q1376)=VALUE(hospitalityq!Q1376),FALSE)))</f>
        <v>0</v>
      </c>
      <c r="R1376">
        <f>NOT(hospitalityq!R1376="")*(NOT(IFERROR(ROUND(VALUE(hospitalityq!R1376),2)=VALUE(hospitalityq!R1376),FALSE)))</f>
        <v>0</v>
      </c>
    </row>
    <row r="1377" spans="1:18" x14ac:dyDescent="0.25">
      <c r="A1377">
        <f t="shared" si="21"/>
        <v>0</v>
      </c>
      <c r="C1377">
        <f>NOT(hospitalityq!C1377="")*(SUMPRODUCT(--(TRIM(hospitalityq!C6:C1377)=TRIM(hospitalityq!C1377)))&gt;1)</f>
        <v>0</v>
      </c>
      <c r="D1377">
        <f>NOT(hospitalityq!D1377="")*(COUNTIF(reference!$C$17:$C$18,TRIM(hospitalityq!D1377))=0)</f>
        <v>0</v>
      </c>
      <c r="J1377">
        <f>NOT(hospitalityq!J1377="")*(NOT(ISNUMBER(hospitalityq!J1377+0)))</f>
        <v>0</v>
      </c>
      <c r="K1377">
        <f>NOT(hospitalityq!K1377="")*(NOT(ISNUMBER(hospitalityq!K1377+0)))</f>
        <v>0</v>
      </c>
      <c r="P1377">
        <f>NOT(hospitalityq!P1377="")*(NOT(IFERROR(INT(hospitalityq!P1377)=VALUE(hospitalityq!P1377),FALSE)))</f>
        <v>0</v>
      </c>
      <c r="Q1377">
        <f>NOT(hospitalityq!Q1377="")*(NOT(IFERROR(INT(hospitalityq!Q1377)=VALUE(hospitalityq!Q1377),FALSE)))</f>
        <v>0</v>
      </c>
      <c r="R1377">
        <f>NOT(hospitalityq!R1377="")*(NOT(IFERROR(ROUND(VALUE(hospitalityq!R1377),2)=VALUE(hospitalityq!R1377),FALSE)))</f>
        <v>0</v>
      </c>
    </row>
    <row r="1378" spans="1:18" x14ac:dyDescent="0.25">
      <c r="A1378">
        <f t="shared" si="21"/>
        <v>0</v>
      </c>
      <c r="C1378">
        <f>NOT(hospitalityq!C1378="")*(SUMPRODUCT(--(TRIM(hospitalityq!C6:C1378)=TRIM(hospitalityq!C1378)))&gt;1)</f>
        <v>0</v>
      </c>
      <c r="D1378">
        <f>NOT(hospitalityq!D1378="")*(COUNTIF(reference!$C$17:$C$18,TRIM(hospitalityq!D1378))=0)</f>
        <v>0</v>
      </c>
      <c r="J1378">
        <f>NOT(hospitalityq!J1378="")*(NOT(ISNUMBER(hospitalityq!J1378+0)))</f>
        <v>0</v>
      </c>
      <c r="K1378">
        <f>NOT(hospitalityq!K1378="")*(NOT(ISNUMBER(hospitalityq!K1378+0)))</f>
        <v>0</v>
      </c>
      <c r="P1378">
        <f>NOT(hospitalityq!P1378="")*(NOT(IFERROR(INT(hospitalityq!P1378)=VALUE(hospitalityq!P1378),FALSE)))</f>
        <v>0</v>
      </c>
      <c r="Q1378">
        <f>NOT(hospitalityq!Q1378="")*(NOT(IFERROR(INT(hospitalityq!Q1378)=VALUE(hospitalityq!Q1378),FALSE)))</f>
        <v>0</v>
      </c>
      <c r="R1378">
        <f>NOT(hospitalityq!R1378="")*(NOT(IFERROR(ROUND(VALUE(hospitalityq!R1378),2)=VALUE(hospitalityq!R1378),FALSE)))</f>
        <v>0</v>
      </c>
    </row>
    <row r="1379" spans="1:18" x14ac:dyDescent="0.25">
      <c r="A1379">
        <f t="shared" si="21"/>
        <v>0</v>
      </c>
      <c r="C1379">
        <f>NOT(hospitalityq!C1379="")*(SUMPRODUCT(--(TRIM(hospitalityq!C6:C1379)=TRIM(hospitalityq!C1379)))&gt;1)</f>
        <v>0</v>
      </c>
      <c r="D1379">
        <f>NOT(hospitalityq!D1379="")*(COUNTIF(reference!$C$17:$C$18,TRIM(hospitalityq!D1379))=0)</f>
        <v>0</v>
      </c>
      <c r="J1379">
        <f>NOT(hospitalityq!J1379="")*(NOT(ISNUMBER(hospitalityq!J1379+0)))</f>
        <v>0</v>
      </c>
      <c r="K1379">
        <f>NOT(hospitalityq!K1379="")*(NOT(ISNUMBER(hospitalityq!K1379+0)))</f>
        <v>0</v>
      </c>
      <c r="P1379">
        <f>NOT(hospitalityq!P1379="")*(NOT(IFERROR(INT(hospitalityq!P1379)=VALUE(hospitalityq!P1379),FALSE)))</f>
        <v>0</v>
      </c>
      <c r="Q1379">
        <f>NOT(hospitalityq!Q1379="")*(NOT(IFERROR(INT(hospitalityq!Q1379)=VALUE(hospitalityq!Q1379),FALSE)))</f>
        <v>0</v>
      </c>
      <c r="R1379">
        <f>NOT(hospitalityq!R1379="")*(NOT(IFERROR(ROUND(VALUE(hospitalityq!R1379),2)=VALUE(hospitalityq!R1379),FALSE)))</f>
        <v>0</v>
      </c>
    </row>
    <row r="1380" spans="1:18" x14ac:dyDescent="0.25">
      <c r="A1380">
        <f t="shared" si="21"/>
        <v>0</v>
      </c>
      <c r="C1380">
        <f>NOT(hospitalityq!C1380="")*(SUMPRODUCT(--(TRIM(hospitalityq!C6:C1380)=TRIM(hospitalityq!C1380)))&gt;1)</f>
        <v>0</v>
      </c>
      <c r="D1380">
        <f>NOT(hospitalityq!D1380="")*(COUNTIF(reference!$C$17:$C$18,TRIM(hospitalityq!D1380))=0)</f>
        <v>0</v>
      </c>
      <c r="J1380">
        <f>NOT(hospitalityq!J1380="")*(NOT(ISNUMBER(hospitalityq!J1380+0)))</f>
        <v>0</v>
      </c>
      <c r="K1380">
        <f>NOT(hospitalityq!K1380="")*(NOT(ISNUMBER(hospitalityq!K1380+0)))</f>
        <v>0</v>
      </c>
      <c r="P1380">
        <f>NOT(hospitalityq!P1380="")*(NOT(IFERROR(INT(hospitalityq!P1380)=VALUE(hospitalityq!P1380),FALSE)))</f>
        <v>0</v>
      </c>
      <c r="Q1380">
        <f>NOT(hospitalityq!Q1380="")*(NOT(IFERROR(INT(hospitalityq!Q1380)=VALUE(hospitalityq!Q1380),FALSE)))</f>
        <v>0</v>
      </c>
      <c r="R1380">
        <f>NOT(hospitalityq!R1380="")*(NOT(IFERROR(ROUND(VALUE(hospitalityq!R1380),2)=VALUE(hospitalityq!R1380),FALSE)))</f>
        <v>0</v>
      </c>
    </row>
    <row r="1381" spans="1:18" x14ac:dyDescent="0.25">
      <c r="A1381">
        <f t="shared" si="21"/>
        <v>0</v>
      </c>
      <c r="C1381">
        <f>NOT(hospitalityq!C1381="")*(SUMPRODUCT(--(TRIM(hospitalityq!C6:C1381)=TRIM(hospitalityq!C1381)))&gt;1)</f>
        <v>0</v>
      </c>
      <c r="D1381">
        <f>NOT(hospitalityq!D1381="")*(COUNTIF(reference!$C$17:$C$18,TRIM(hospitalityq!D1381))=0)</f>
        <v>0</v>
      </c>
      <c r="J1381">
        <f>NOT(hospitalityq!J1381="")*(NOT(ISNUMBER(hospitalityq!J1381+0)))</f>
        <v>0</v>
      </c>
      <c r="K1381">
        <f>NOT(hospitalityq!K1381="")*(NOT(ISNUMBER(hospitalityq!K1381+0)))</f>
        <v>0</v>
      </c>
      <c r="P1381">
        <f>NOT(hospitalityq!P1381="")*(NOT(IFERROR(INT(hospitalityq!P1381)=VALUE(hospitalityq!P1381),FALSE)))</f>
        <v>0</v>
      </c>
      <c r="Q1381">
        <f>NOT(hospitalityq!Q1381="")*(NOT(IFERROR(INT(hospitalityq!Q1381)=VALUE(hospitalityq!Q1381),FALSE)))</f>
        <v>0</v>
      </c>
      <c r="R1381">
        <f>NOT(hospitalityq!R1381="")*(NOT(IFERROR(ROUND(VALUE(hospitalityq!R1381),2)=VALUE(hospitalityq!R1381),FALSE)))</f>
        <v>0</v>
      </c>
    </row>
    <row r="1382" spans="1:18" x14ac:dyDescent="0.25">
      <c r="A1382">
        <f t="shared" si="21"/>
        <v>0</v>
      </c>
      <c r="C1382">
        <f>NOT(hospitalityq!C1382="")*(SUMPRODUCT(--(TRIM(hospitalityq!C6:C1382)=TRIM(hospitalityq!C1382)))&gt;1)</f>
        <v>0</v>
      </c>
      <c r="D1382">
        <f>NOT(hospitalityq!D1382="")*(COUNTIF(reference!$C$17:$C$18,TRIM(hospitalityq!D1382))=0)</f>
        <v>0</v>
      </c>
      <c r="J1382">
        <f>NOT(hospitalityq!J1382="")*(NOT(ISNUMBER(hospitalityq!J1382+0)))</f>
        <v>0</v>
      </c>
      <c r="K1382">
        <f>NOT(hospitalityq!K1382="")*(NOT(ISNUMBER(hospitalityq!K1382+0)))</f>
        <v>0</v>
      </c>
      <c r="P1382">
        <f>NOT(hospitalityq!P1382="")*(NOT(IFERROR(INT(hospitalityq!P1382)=VALUE(hospitalityq!P1382),FALSE)))</f>
        <v>0</v>
      </c>
      <c r="Q1382">
        <f>NOT(hospitalityq!Q1382="")*(NOT(IFERROR(INT(hospitalityq!Q1382)=VALUE(hospitalityq!Q1382),FALSE)))</f>
        <v>0</v>
      </c>
      <c r="R1382">
        <f>NOT(hospitalityq!R1382="")*(NOT(IFERROR(ROUND(VALUE(hospitalityq!R1382),2)=VALUE(hospitalityq!R1382),FALSE)))</f>
        <v>0</v>
      </c>
    </row>
    <row r="1383" spans="1:18" x14ac:dyDescent="0.25">
      <c r="A1383">
        <f t="shared" si="21"/>
        <v>0</v>
      </c>
      <c r="C1383">
        <f>NOT(hospitalityq!C1383="")*(SUMPRODUCT(--(TRIM(hospitalityq!C6:C1383)=TRIM(hospitalityq!C1383)))&gt;1)</f>
        <v>0</v>
      </c>
      <c r="D1383">
        <f>NOT(hospitalityq!D1383="")*(COUNTIF(reference!$C$17:$C$18,TRIM(hospitalityq!D1383))=0)</f>
        <v>0</v>
      </c>
      <c r="J1383">
        <f>NOT(hospitalityq!J1383="")*(NOT(ISNUMBER(hospitalityq!J1383+0)))</f>
        <v>0</v>
      </c>
      <c r="K1383">
        <f>NOT(hospitalityq!K1383="")*(NOT(ISNUMBER(hospitalityq!K1383+0)))</f>
        <v>0</v>
      </c>
      <c r="P1383">
        <f>NOT(hospitalityq!P1383="")*(NOT(IFERROR(INT(hospitalityq!P1383)=VALUE(hospitalityq!P1383),FALSE)))</f>
        <v>0</v>
      </c>
      <c r="Q1383">
        <f>NOT(hospitalityq!Q1383="")*(NOT(IFERROR(INT(hospitalityq!Q1383)=VALUE(hospitalityq!Q1383),FALSE)))</f>
        <v>0</v>
      </c>
      <c r="R1383">
        <f>NOT(hospitalityq!R1383="")*(NOT(IFERROR(ROUND(VALUE(hospitalityq!R1383),2)=VALUE(hospitalityq!R1383),FALSE)))</f>
        <v>0</v>
      </c>
    </row>
    <row r="1384" spans="1:18" x14ac:dyDescent="0.25">
      <c r="A1384">
        <f t="shared" si="21"/>
        <v>0</v>
      </c>
      <c r="C1384">
        <f>NOT(hospitalityq!C1384="")*(SUMPRODUCT(--(TRIM(hospitalityq!C6:C1384)=TRIM(hospitalityq!C1384)))&gt;1)</f>
        <v>0</v>
      </c>
      <c r="D1384">
        <f>NOT(hospitalityq!D1384="")*(COUNTIF(reference!$C$17:$C$18,TRIM(hospitalityq!D1384))=0)</f>
        <v>0</v>
      </c>
      <c r="J1384">
        <f>NOT(hospitalityq!J1384="")*(NOT(ISNUMBER(hospitalityq!J1384+0)))</f>
        <v>0</v>
      </c>
      <c r="K1384">
        <f>NOT(hospitalityq!K1384="")*(NOT(ISNUMBER(hospitalityq!K1384+0)))</f>
        <v>0</v>
      </c>
      <c r="P1384">
        <f>NOT(hospitalityq!P1384="")*(NOT(IFERROR(INT(hospitalityq!P1384)=VALUE(hospitalityq!P1384),FALSE)))</f>
        <v>0</v>
      </c>
      <c r="Q1384">
        <f>NOT(hospitalityq!Q1384="")*(NOT(IFERROR(INT(hospitalityq!Q1384)=VALUE(hospitalityq!Q1384),FALSE)))</f>
        <v>0</v>
      </c>
      <c r="R1384">
        <f>NOT(hospitalityq!R1384="")*(NOT(IFERROR(ROUND(VALUE(hospitalityq!R1384),2)=VALUE(hospitalityq!R1384),FALSE)))</f>
        <v>0</v>
      </c>
    </row>
    <row r="1385" spans="1:18" x14ac:dyDescent="0.25">
      <c r="A1385">
        <f t="shared" si="21"/>
        <v>0</v>
      </c>
      <c r="C1385">
        <f>NOT(hospitalityq!C1385="")*(SUMPRODUCT(--(TRIM(hospitalityq!C6:C1385)=TRIM(hospitalityq!C1385)))&gt;1)</f>
        <v>0</v>
      </c>
      <c r="D1385">
        <f>NOT(hospitalityq!D1385="")*(COUNTIF(reference!$C$17:$C$18,TRIM(hospitalityq!D1385))=0)</f>
        <v>0</v>
      </c>
      <c r="J1385">
        <f>NOT(hospitalityq!J1385="")*(NOT(ISNUMBER(hospitalityq!J1385+0)))</f>
        <v>0</v>
      </c>
      <c r="K1385">
        <f>NOT(hospitalityq!K1385="")*(NOT(ISNUMBER(hospitalityq!K1385+0)))</f>
        <v>0</v>
      </c>
      <c r="P1385">
        <f>NOT(hospitalityq!P1385="")*(NOT(IFERROR(INT(hospitalityq!P1385)=VALUE(hospitalityq!P1385),FALSE)))</f>
        <v>0</v>
      </c>
      <c r="Q1385">
        <f>NOT(hospitalityq!Q1385="")*(NOT(IFERROR(INT(hospitalityq!Q1385)=VALUE(hospitalityq!Q1385),FALSE)))</f>
        <v>0</v>
      </c>
      <c r="R1385">
        <f>NOT(hospitalityq!R1385="")*(NOT(IFERROR(ROUND(VALUE(hospitalityq!R1385),2)=VALUE(hospitalityq!R1385),FALSE)))</f>
        <v>0</v>
      </c>
    </row>
    <row r="1386" spans="1:18" x14ac:dyDescent="0.25">
      <c r="A1386">
        <f t="shared" si="21"/>
        <v>0</v>
      </c>
      <c r="C1386">
        <f>NOT(hospitalityq!C1386="")*(SUMPRODUCT(--(TRIM(hospitalityq!C6:C1386)=TRIM(hospitalityq!C1386)))&gt;1)</f>
        <v>0</v>
      </c>
      <c r="D1386">
        <f>NOT(hospitalityq!D1386="")*(COUNTIF(reference!$C$17:$C$18,TRIM(hospitalityq!D1386))=0)</f>
        <v>0</v>
      </c>
      <c r="J1386">
        <f>NOT(hospitalityq!J1386="")*(NOT(ISNUMBER(hospitalityq!J1386+0)))</f>
        <v>0</v>
      </c>
      <c r="K1386">
        <f>NOT(hospitalityq!K1386="")*(NOT(ISNUMBER(hospitalityq!K1386+0)))</f>
        <v>0</v>
      </c>
      <c r="P1386">
        <f>NOT(hospitalityq!P1386="")*(NOT(IFERROR(INT(hospitalityq!P1386)=VALUE(hospitalityq!P1386),FALSE)))</f>
        <v>0</v>
      </c>
      <c r="Q1386">
        <f>NOT(hospitalityq!Q1386="")*(NOT(IFERROR(INT(hospitalityq!Q1386)=VALUE(hospitalityq!Q1386),FALSE)))</f>
        <v>0</v>
      </c>
      <c r="R1386">
        <f>NOT(hospitalityq!R1386="")*(NOT(IFERROR(ROUND(VALUE(hospitalityq!R1386),2)=VALUE(hospitalityq!R1386),FALSE)))</f>
        <v>0</v>
      </c>
    </row>
    <row r="1387" spans="1:18" x14ac:dyDescent="0.25">
      <c r="A1387">
        <f t="shared" si="21"/>
        <v>0</v>
      </c>
      <c r="C1387">
        <f>NOT(hospitalityq!C1387="")*(SUMPRODUCT(--(TRIM(hospitalityq!C6:C1387)=TRIM(hospitalityq!C1387)))&gt;1)</f>
        <v>0</v>
      </c>
      <c r="D1387">
        <f>NOT(hospitalityq!D1387="")*(COUNTIF(reference!$C$17:$C$18,TRIM(hospitalityq!D1387))=0)</f>
        <v>0</v>
      </c>
      <c r="J1387">
        <f>NOT(hospitalityq!J1387="")*(NOT(ISNUMBER(hospitalityq!J1387+0)))</f>
        <v>0</v>
      </c>
      <c r="K1387">
        <f>NOT(hospitalityq!K1387="")*(NOT(ISNUMBER(hospitalityq!K1387+0)))</f>
        <v>0</v>
      </c>
      <c r="P1387">
        <f>NOT(hospitalityq!P1387="")*(NOT(IFERROR(INT(hospitalityq!P1387)=VALUE(hospitalityq!P1387),FALSE)))</f>
        <v>0</v>
      </c>
      <c r="Q1387">
        <f>NOT(hospitalityq!Q1387="")*(NOT(IFERROR(INT(hospitalityq!Q1387)=VALUE(hospitalityq!Q1387),FALSE)))</f>
        <v>0</v>
      </c>
      <c r="R1387">
        <f>NOT(hospitalityq!R1387="")*(NOT(IFERROR(ROUND(VALUE(hospitalityq!R1387),2)=VALUE(hospitalityq!R1387),FALSE)))</f>
        <v>0</v>
      </c>
    </row>
    <row r="1388" spans="1:18" x14ac:dyDescent="0.25">
      <c r="A1388">
        <f t="shared" si="21"/>
        <v>0</v>
      </c>
      <c r="C1388">
        <f>NOT(hospitalityq!C1388="")*(SUMPRODUCT(--(TRIM(hospitalityq!C6:C1388)=TRIM(hospitalityq!C1388)))&gt;1)</f>
        <v>0</v>
      </c>
      <c r="D1388">
        <f>NOT(hospitalityq!D1388="")*(COUNTIF(reference!$C$17:$C$18,TRIM(hospitalityq!D1388))=0)</f>
        <v>0</v>
      </c>
      <c r="J1388">
        <f>NOT(hospitalityq!J1388="")*(NOT(ISNUMBER(hospitalityq!J1388+0)))</f>
        <v>0</v>
      </c>
      <c r="K1388">
        <f>NOT(hospitalityq!K1388="")*(NOT(ISNUMBER(hospitalityq!K1388+0)))</f>
        <v>0</v>
      </c>
      <c r="P1388">
        <f>NOT(hospitalityq!P1388="")*(NOT(IFERROR(INT(hospitalityq!P1388)=VALUE(hospitalityq!P1388),FALSE)))</f>
        <v>0</v>
      </c>
      <c r="Q1388">
        <f>NOT(hospitalityq!Q1388="")*(NOT(IFERROR(INT(hospitalityq!Q1388)=VALUE(hospitalityq!Q1388),FALSE)))</f>
        <v>0</v>
      </c>
      <c r="R1388">
        <f>NOT(hospitalityq!R1388="")*(NOT(IFERROR(ROUND(VALUE(hospitalityq!R1388),2)=VALUE(hospitalityq!R1388),FALSE)))</f>
        <v>0</v>
      </c>
    </row>
    <row r="1389" spans="1:18" x14ac:dyDescent="0.25">
      <c r="A1389">
        <f t="shared" si="21"/>
        <v>0</v>
      </c>
      <c r="C1389">
        <f>NOT(hospitalityq!C1389="")*(SUMPRODUCT(--(TRIM(hospitalityq!C6:C1389)=TRIM(hospitalityq!C1389)))&gt;1)</f>
        <v>0</v>
      </c>
      <c r="D1389">
        <f>NOT(hospitalityq!D1389="")*(COUNTIF(reference!$C$17:$C$18,TRIM(hospitalityq!D1389))=0)</f>
        <v>0</v>
      </c>
      <c r="J1389">
        <f>NOT(hospitalityq!J1389="")*(NOT(ISNUMBER(hospitalityq!J1389+0)))</f>
        <v>0</v>
      </c>
      <c r="K1389">
        <f>NOT(hospitalityq!K1389="")*(NOT(ISNUMBER(hospitalityq!K1389+0)))</f>
        <v>0</v>
      </c>
      <c r="P1389">
        <f>NOT(hospitalityq!P1389="")*(NOT(IFERROR(INT(hospitalityq!P1389)=VALUE(hospitalityq!P1389),FALSE)))</f>
        <v>0</v>
      </c>
      <c r="Q1389">
        <f>NOT(hospitalityq!Q1389="")*(NOT(IFERROR(INT(hospitalityq!Q1389)=VALUE(hospitalityq!Q1389),FALSE)))</f>
        <v>0</v>
      </c>
      <c r="R1389">
        <f>NOT(hospitalityq!R1389="")*(NOT(IFERROR(ROUND(VALUE(hospitalityq!R1389),2)=VALUE(hospitalityq!R1389),FALSE)))</f>
        <v>0</v>
      </c>
    </row>
    <row r="1390" spans="1:18" x14ac:dyDescent="0.25">
      <c r="A1390">
        <f t="shared" si="21"/>
        <v>0</v>
      </c>
      <c r="C1390">
        <f>NOT(hospitalityq!C1390="")*(SUMPRODUCT(--(TRIM(hospitalityq!C6:C1390)=TRIM(hospitalityq!C1390)))&gt;1)</f>
        <v>0</v>
      </c>
      <c r="D1390">
        <f>NOT(hospitalityq!D1390="")*(COUNTIF(reference!$C$17:$C$18,TRIM(hospitalityq!D1390))=0)</f>
        <v>0</v>
      </c>
      <c r="J1390">
        <f>NOT(hospitalityq!J1390="")*(NOT(ISNUMBER(hospitalityq!J1390+0)))</f>
        <v>0</v>
      </c>
      <c r="K1390">
        <f>NOT(hospitalityq!K1390="")*(NOT(ISNUMBER(hospitalityq!K1390+0)))</f>
        <v>0</v>
      </c>
      <c r="P1390">
        <f>NOT(hospitalityq!P1390="")*(NOT(IFERROR(INT(hospitalityq!P1390)=VALUE(hospitalityq!P1390),FALSE)))</f>
        <v>0</v>
      </c>
      <c r="Q1390">
        <f>NOT(hospitalityq!Q1390="")*(NOT(IFERROR(INT(hospitalityq!Q1390)=VALUE(hospitalityq!Q1390),FALSE)))</f>
        <v>0</v>
      </c>
      <c r="R1390">
        <f>NOT(hospitalityq!R1390="")*(NOT(IFERROR(ROUND(VALUE(hospitalityq!R1390),2)=VALUE(hospitalityq!R1390),FALSE)))</f>
        <v>0</v>
      </c>
    </row>
    <row r="1391" spans="1:18" x14ac:dyDescent="0.25">
      <c r="A1391">
        <f t="shared" si="21"/>
        <v>0</v>
      </c>
      <c r="C1391">
        <f>NOT(hospitalityq!C1391="")*(SUMPRODUCT(--(TRIM(hospitalityq!C6:C1391)=TRIM(hospitalityq!C1391)))&gt;1)</f>
        <v>0</v>
      </c>
      <c r="D1391">
        <f>NOT(hospitalityq!D1391="")*(COUNTIF(reference!$C$17:$C$18,TRIM(hospitalityq!D1391))=0)</f>
        <v>0</v>
      </c>
      <c r="J1391">
        <f>NOT(hospitalityq!J1391="")*(NOT(ISNUMBER(hospitalityq!J1391+0)))</f>
        <v>0</v>
      </c>
      <c r="K1391">
        <f>NOT(hospitalityq!K1391="")*(NOT(ISNUMBER(hospitalityq!K1391+0)))</f>
        <v>0</v>
      </c>
      <c r="P1391">
        <f>NOT(hospitalityq!P1391="")*(NOT(IFERROR(INT(hospitalityq!P1391)=VALUE(hospitalityq!P1391),FALSE)))</f>
        <v>0</v>
      </c>
      <c r="Q1391">
        <f>NOT(hospitalityq!Q1391="")*(NOT(IFERROR(INT(hospitalityq!Q1391)=VALUE(hospitalityq!Q1391),FALSE)))</f>
        <v>0</v>
      </c>
      <c r="R1391">
        <f>NOT(hospitalityq!R1391="")*(NOT(IFERROR(ROUND(VALUE(hospitalityq!R1391),2)=VALUE(hospitalityq!R1391),FALSE)))</f>
        <v>0</v>
      </c>
    </row>
    <row r="1392" spans="1:18" x14ac:dyDescent="0.25">
      <c r="A1392">
        <f t="shared" si="21"/>
        <v>0</v>
      </c>
      <c r="C1392">
        <f>NOT(hospitalityq!C1392="")*(SUMPRODUCT(--(TRIM(hospitalityq!C6:C1392)=TRIM(hospitalityq!C1392)))&gt;1)</f>
        <v>0</v>
      </c>
      <c r="D1392">
        <f>NOT(hospitalityq!D1392="")*(COUNTIF(reference!$C$17:$C$18,TRIM(hospitalityq!D1392))=0)</f>
        <v>0</v>
      </c>
      <c r="J1392">
        <f>NOT(hospitalityq!J1392="")*(NOT(ISNUMBER(hospitalityq!J1392+0)))</f>
        <v>0</v>
      </c>
      <c r="K1392">
        <f>NOT(hospitalityq!K1392="")*(NOT(ISNUMBER(hospitalityq!K1392+0)))</f>
        <v>0</v>
      </c>
      <c r="P1392">
        <f>NOT(hospitalityq!P1392="")*(NOT(IFERROR(INT(hospitalityq!P1392)=VALUE(hospitalityq!P1392),FALSE)))</f>
        <v>0</v>
      </c>
      <c r="Q1392">
        <f>NOT(hospitalityq!Q1392="")*(NOT(IFERROR(INT(hospitalityq!Q1392)=VALUE(hospitalityq!Q1392),FALSE)))</f>
        <v>0</v>
      </c>
      <c r="R1392">
        <f>NOT(hospitalityq!R1392="")*(NOT(IFERROR(ROUND(VALUE(hospitalityq!R1392),2)=VALUE(hospitalityq!R1392),FALSE)))</f>
        <v>0</v>
      </c>
    </row>
    <row r="1393" spans="1:18" x14ac:dyDescent="0.25">
      <c r="A1393">
        <f t="shared" si="21"/>
        <v>0</v>
      </c>
      <c r="C1393">
        <f>NOT(hospitalityq!C1393="")*(SUMPRODUCT(--(TRIM(hospitalityq!C6:C1393)=TRIM(hospitalityq!C1393)))&gt;1)</f>
        <v>0</v>
      </c>
      <c r="D1393">
        <f>NOT(hospitalityq!D1393="")*(COUNTIF(reference!$C$17:$C$18,TRIM(hospitalityq!D1393))=0)</f>
        <v>0</v>
      </c>
      <c r="J1393">
        <f>NOT(hospitalityq!J1393="")*(NOT(ISNUMBER(hospitalityq!J1393+0)))</f>
        <v>0</v>
      </c>
      <c r="K1393">
        <f>NOT(hospitalityq!K1393="")*(NOT(ISNUMBER(hospitalityq!K1393+0)))</f>
        <v>0</v>
      </c>
      <c r="P1393">
        <f>NOT(hospitalityq!P1393="")*(NOT(IFERROR(INT(hospitalityq!P1393)=VALUE(hospitalityq!P1393),FALSE)))</f>
        <v>0</v>
      </c>
      <c r="Q1393">
        <f>NOT(hospitalityq!Q1393="")*(NOT(IFERROR(INT(hospitalityq!Q1393)=VALUE(hospitalityq!Q1393),FALSE)))</f>
        <v>0</v>
      </c>
      <c r="R1393">
        <f>NOT(hospitalityq!R1393="")*(NOT(IFERROR(ROUND(VALUE(hospitalityq!R1393),2)=VALUE(hospitalityq!R1393),FALSE)))</f>
        <v>0</v>
      </c>
    </row>
    <row r="1394" spans="1:18" x14ac:dyDescent="0.25">
      <c r="A1394">
        <f t="shared" si="21"/>
        <v>0</v>
      </c>
      <c r="C1394">
        <f>NOT(hospitalityq!C1394="")*(SUMPRODUCT(--(TRIM(hospitalityq!C6:C1394)=TRIM(hospitalityq!C1394)))&gt;1)</f>
        <v>0</v>
      </c>
      <c r="D1394">
        <f>NOT(hospitalityq!D1394="")*(COUNTIF(reference!$C$17:$C$18,TRIM(hospitalityq!D1394))=0)</f>
        <v>0</v>
      </c>
      <c r="J1394">
        <f>NOT(hospitalityq!J1394="")*(NOT(ISNUMBER(hospitalityq!J1394+0)))</f>
        <v>0</v>
      </c>
      <c r="K1394">
        <f>NOT(hospitalityq!K1394="")*(NOT(ISNUMBER(hospitalityq!K1394+0)))</f>
        <v>0</v>
      </c>
      <c r="P1394">
        <f>NOT(hospitalityq!P1394="")*(NOT(IFERROR(INT(hospitalityq!P1394)=VALUE(hospitalityq!P1394),FALSE)))</f>
        <v>0</v>
      </c>
      <c r="Q1394">
        <f>NOT(hospitalityq!Q1394="")*(NOT(IFERROR(INT(hospitalityq!Q1394)=VALUE(hospitalityq!Q1394),FALSE)))</f>
        <v>0</v>
      </c>
      <c r="R1394">
        <f>NOT(hospitalityq!R1394="")*(NOT(IFERROR(ROUND(VALUE(hospitalityq!R1394),2)=VALUE(hospitalityq!R1394),FALSE)))</f>
        <v>0</v>
      </c>
    </row>
    <row r="1395" spans="1:18" x14ac:dyDescent="0.25">
      <c r="A1395">
        <f t="shared" si="21"/>
        <v>0</v>
      </c>
      <c r="C1395">
        <f>NOT(hospitalityq!C1395="")*(SUMPRODUCT(--(TRIM(hospitalityq!C6:C1395)=TRIM(hospitalityq!C1395)))&gt;1)</f>
        <v>0</v>
      </c>
      <c r="D1395">
        <f>NOT(hospitalityq!D1395="")*(COUNTIF(reference!$C$17:$C$18,TRIM(hospitalityq!D1395))=0)</f>
        <v>0</v>
      </c>
      <c r="J1395">
        <f>NOT(hospitalityq!J1395="")*(NOT(ISNUMBER(hospitalityq!J1395+0)))</f>
        <v>0</v>
      </c>
      <c r="K1395">
        <f>NOT(hospitalityq!K1395="")*(NOT(ISNUMBER(hospitalityq!K1395+0)))</f>
        <v>0</v>
      </c>
      <c r="P1395">
        <f>NOT(hospitalityq!P1395="")*(NOT(IFERROR(INT(hospitalityq!P1395)=VALUE(hospitalityq!P1395),FALSE)))</f>
        <v>0</v>
      </c>
      <c r="Q1395">
        <f>NOT(hospitalityq!Q1395="")*(NOT(IFERROR(INT(hospitalityq!Q1395)=VALUE(hospitalityq!Q1395),FALSE)))</f>
        <v>0</v>
      </c>
      <c r="R1395">
        <f>NOT(hospitalityq!R1395="")*(NOT(IFERROR(ROUND(VALUE(hospitalityq!R1395),2)=VALUE(hospitalityq!R1395),FALSE)))</f>
        <v>0</v>
      </c>
    </row>
    <row r="1396" spans="1:18" x14ac:dyDescent="0.25">
      <c r="A1396">
        <f t="shared" si="21"/>
        <v>0</v>
      </c>
      <c r="C1396">
        <f>NOT(hospitalityq!C1396="")*(SUMPRODUCT(--(TRIM(hospitalityq!C6:C1396)=TRIM(hospitalityq!C1396)))&gt;1)</f>
        <v>0</v>
      </c>
      <c r="D1396">
        <f>NOT(hospitalityq!D1396="")*(COUNTIF(reference!$C$17:$C$18,TRIM(hospitalityq!D1396))=0)</f>
        <v>0</v>
      </c>
      <c r="J1396">
        <f>NOT(hospitalityq!J1396="")*(NOT(ISNUMBER(hospitalityq!J1396+0)))</f>
        <v>0</v>
      </c>
      <c r="K1396">
        <f>NOT(hospitalityq!K1396="")*(NOT(ISNUMBER(hospitalityq!K1396+0)))</f>
        <v>0</v>
      </c>
      <c r="P1396">
        <f>NOT(hospitalityq!P1396="")*(NOT(IFERROR(INT(hospitalityq!P1396)=VALUE(hospitalityq!P1396),FALSE)))</f>
        <v>0</v>
      </c>
      <c r="Q1396">
        <f>NOT(hospitalityq!Q1396="")*(NOT(IFERROR(INT(hospitalityq!Q1396)=VALUE(hospitalityq!Q1396),FALSE)))</f>
        <v>0</v>
      </c>
      <c r="R1396">
        <f>NOT(hospitalityq!R1396="")*(NOT(IFERROR(ROUND(VALUE(hospitalityq!R1396),2)=VALUE(hospitalityq!R1396),FALSE)))</f>
        <v>0</v>
      </c>
    </row>
    <row r="1397" spans="1:18" x14ac:dyDescent="0.25">
      <c r="A1397">
        <f t="shared" si="21"/>
        <v>0</v>
      </c>
      <c r="C1397">
        <f>NOT(hospitalityq!C1397="")*(SUMPRODUCT(--(TRIM(hospitalityq!C6:C1397)=TRIM(hospitalityq!C1397)))&gt;1)</f>
        <v>0</v>
      </c>
      <c r="D1397">
        <f>NOT(hospitalityq!D1397="")*(COUNTIF(reference!$C$17:$C$18,TRIM(hospitalityq!D1397))=0)</f>
        <v>0</v>
      </c>
      <c r="J1397">
        <f>NOT(hospitalityq!J1397="")*(NOT(ISNUMBER(hospitalityq!J1397+0)))</f>
        <v>0</v>
      </c>
      <c r="K1397">
        <f>NOT(hospitalityq!K1397="")*(NOT(ISNUMBER(hospitalityq!K1397+0)))</f>
        <v>0</v>
      </c>
      <c r="P1397">
        <f>NOT(hospitalityq!P1397="")*(NOT(IFERROR(INT(hospitalityq!P1397)=VALUE(hospitalityq!P1397),FALSE)))</f>
        <v>0</v>
      </c>
      <c r="Q1397">
        <f>NOT(hospitalityq!Q1397="")*(NOT(IFERROR(INT(hospitalityq!Q1397)=VALUE(hospitalityq!Q1397),FALSE)))</f>
        <v>0</v>
      </c>
      <c r="R1397">
        <f>NOT(hospitalityq!R1397="")*(NOT(IFERROR(ROUND(VALUE(hospitalityq!R1397),2)=VALUE(hospitalityq!R1397),FALSE)))</f>
        <v>0</v>
      </c>
    </row>
    <row r="1398" spans="1:18" x14ac:dyDescent="0.25">
      <c r="A1398">
        <f t="shared" si="21"/>
        <v>0</v>
      </c>
      <c r="C1398">
        <f>NOT(hospitalityq!C1398="")*(SUMPRODUCT(--(TRIM(hospitalityq!C6:C1398)=TRIM(hospitalityq!C1398)))&gt;1)</f>
        <v>0</v>
      </c>
      <c r="D1398">
        <f>NOT(hospitalityq!D1398="")*(COUNTIF(reference!$C$17:$C$18,TRIM(hospitalityq!D1398))=0)</f>
        <v>0</v>
      </c>
      <c r="J1398">
        <f>NOT(hospitalityq!J1398="")*(NOT(ISNUMBER(hospitalityq!J1398+0)))</f>
        <v>0</v>
      </c>
      <c r="K1398">
        <f>NOT(hospitalityq!K1398="")*(NOT(ISNUMBER(hospitalityq!K1398+0)))</f>
        <v>0</v>
      </c>
      <c r="P1398">
        <f>NOT(hospitalityq!P1398="")*(NOT(IFERROR(INT(hospitalityq!P1398)=VALUE(hospitalityq!P1398),FALSE)))</f>
        <v>0</v>
      </c>
      <c r="Q1398">
        <f>NOT(hospitalityq!Q1398="")*(NOT(IFERROR(INT(hospitalityq!Q1398)=VALUE(hospitalityq!Q1398),FALSE)))</f>
        <v>0</v>
      </c>
      <c r="R1398">
        <f>NOT(hospitalityq!R1398="")*(NOT(IFERROR(ROUND(VALUE(hospitalityq!R1398),2)=VALUE(hospitalityq!R1398),FALSE)))</f>
        <v>0</v>
      </c>
    </row>
    <row r="1399" spans="1:18" x14ac:dyDescent="0.25">
      <c r="A1399">
        <f t="shared" si="21"/>
        <v>0</v>
      </c>
      <c r="C1399">
        <f>NOT(hospitalityq!C1399="")*(SUMPRODUCT(--(TRIM(hospitalityq!C6:C1399)=TRIM(hospitalityq!C1399)))&gt;1)</f>
        <v>0</v>
      </c>
      <c r="D1399">
        <f>NOT(hospitalityq!D1399="")*(COUNTIF(reference!$C$17:$C$18,TRIM(hospitalityq!D1399))=0)</f>
        <v>0</v>
      </c>
      <c r="J1399">
        <f>NOT(hospitalityq!J1399="")*(NOT(ISNUMBER(hospitalityq!J1399+0)))</f>
        <v>0</v>
      </c>
      <c r="K1399">
        <f>NOT(hospitalityq!K1399="")*(NOT(ISNUMBER(hospitalityq!K1399+0)))</f>
        <v>0</v>
      </c>
      <c r="P1399">
        <f>NOT(hospitalityq!P1399="")*(NOT(IFERROR(INT(hospitalityq!P1399)=VALUE(hospitalityq!P1399),FALSE)))</f>
        <v>0</v>
      </c>
      <c r="Q1399">
        <f>NOT(hospitalityq!Q1399="")*(NOT(IFERROR(INT(hospitalityq!Q1399)=VALUE(hospitalityq!Q1399),FALSE)))</f>
        <v>0</v>
      </c>
      <c r="R1399">
        <f>NOT(hospitalityq!R1399="")*(NOT(IFERROR(ROUND(VALUE(hospitalityq!R1399),2)=VALUE(hospitalityq!R1399),FALSE)))</f>
        <v>0</v>
      </c>
    </row>
    <row r="1400" spans="1:18" x14ac:dyDescent="0.25">
      <c r="A1400">
        <f t="shared" si="21"/>
        <v>0</v>
      </c>
      <c r="C1400">
        <f>NOT(hospitalityq!C1400="")*(SUMPRODUCT(--(TRIM(hospitalityq!C6:C1400)=TRIM(hospitalityq!C1400)))&gt;1)</f>
        <v>0</v>
      </c>
      <c r="D1400">
        <f>NOT(hospitalityq!D1400="")*(COUNTIF(reference!$C$17:$C$18,TRIM(hospitalityq!D1400))=0)</f>
        <v>0</v>
      </c>
      <c r="J1400">
        <f>NOT(hospitalityq!J1400="")*(NOT(ISNUMBER(hospitalityq!J1400+0)))</f>
        <v>0</v>
      </c>
      <c r="K1400">
        <f>NOT(hospitalityq!K1400="")*(NOT(ISNUMBER(hospitalityq!K1400+0)))</f>
        <v>0</v>
      </c>
      <c r="P1400">
        <f>NOT(hospitalityq!P1400="")*(NOT(IFERROR(INT(hospitalityq!P1400)=VALUE(hospitalityq!P1400),FALSE)))</f>
        <v>0</v>
      </c>
      <c r="Q1400">
        <f>NOT(hospitalityq!Q1400="")*(NOT(IFERROR(INT(hospitalityq!Q1400)=VALUE(hospitalityq!Q1400),FALSE)))</f>
        <v>0</v>
      </c>
      <c r="R1400">
        <f>NOT(hospitalityq!R1400="")*(NOT(IFERROR(ROUND(VALUE(hospitalityq!R1400),2)=VALUE(hospitalityq!R1400),FALSE)))</f>
        <v>0</v>
      </c>
    </row>
    <row r="1401" spans="1:18" x14ac:dyDescent="0.25">
      <c r="A1401">
        <f t="shared" si="21"/>
        <v>0</v>
      </c>
      <c r="C1401">
        <f>NOT(hospitalityq!C1401="")*(SUMPRODUCT(--(TRIM(hospitalityq!C6:C1401)=TRIM(hospitalityq!C1401)))&gt;1)</f>
        <v>0</v>
      </c>
      <c r="D1401">
        <f>NOT(hospitalityq!D1401="")*(COUNTIF(reference!$C$17:$C$18,TRIM(hospitalityq!D1401))=0)</f>
        <v>0</v>
      </c>
      <c r="J1401">
        <f>NOT(hospitalityq!J1401="")*(NOT(ISNUMBER(hospitalityq!J1401+0)))</f>
        <v>0</v>
      </c>
      <c r="K1401">
        <f>NOT(hospitalityq!K1401="")*(NOT(ISNUMBER(hospitalityq!K1401+0)))</f>
        <v>0</v>
      </c>
      <c r="P1401">
        <f>NOT(hospitalityq!P1401="")*(NOT(IFERROR(INT(hospitalityq!P1401)=VALUE(hospitalityq!P1401),FALSE)))</f>
        <v>0</v>
      </c>
      <c r="Q1401">
        <f>NOT(hospitalityq!Q1401="")*(NOT(IFERROR(INT(hospitalityq!Q1401)=VALUE(hospitalityq!Q1401),FALSE)))</f>
        <v>0</v>
      </c>
      <c r="R1401">
        <f>NOT(hospitalityq!R1401="")*(NOT(IFERROR(ROUND(VALUE(hospitalityq!R1401),2)=VALUE(hospitalityq!R1401),FALSE)))</f>
        <v>0</v>
      </c>
    </row>
    <row r="1402" spans="1:18" x14ac:dyDescent="0.25">
      <c r="A1402">
        <f t="shared" si="21"/>
        <v>0</v>
      </c>
      <c r="C1402">
        <f>NOT(hospitalityq!C1402="")*(SUMPRODUCT(--(TRIM(hospitalityq!C6:C1402)=TRIM(hospitalityq!C1402)))&gt;1)</f>
        <v>0</v>
      </c>
      <c r="D1402">
        <f>NOT(hospitalityq!D1402="")*(COUNTIF(reference!$C$17:$C$18,TRIM(hospitalityq!D1402))=0)</f>
        <v>0</v>
      </c>
      <c r="J1402">
        <f>NOT(hospitalityq!J1402="")*(NOT(ISNUMBER(hospitalityq!J1402+0)))</f>
        <v>0</v>
      </c>
      <c r="K1402">
        <f>NOT(hospitalityq!K1402="")*(NOT(ISNUMBER(hospitalityq!K1402+0)))</f>
        <v>0</v>
      </c>
      <c r="P1402">
        <f>NOT(hospitalityq!P1402="")*(NOT(IFERROR(INT(hospitalityq!P1402)=VALUE(hospitalityq!P1402),FALSE)))</f>
        <v>0</v>
      </c>
      <c r="Q1402">
        <f>NOT(hospitalityq!Q1402="")*(NOT(IFERROR(INT(hospitalityq!Q1402)=VALUE(hospitalityq!Q1402),FALSE)))</f>
        <v>0</v>
      </c>
      <c r="R1402">
        <f>NOT(hospitalityq!R1402="")*(NOT(IFERROR(ROUND(VALUE(hospitalityq!R1402),2)=VALUE(hospitalityq!R1402),FALSE)))</f>
        <v>0</v>
      </c>
    </row>
    <row r="1403" spans="1:18" x14ac:dyDescent="0.25">
      <c r="A1403">
        <f t="shared" si="21"/>
        <v>0</v>
      </c>
      <c r="C1403">
        <f>NOT(hospitalityq!C1403="")*(SUMPRODUCT(--(TRIM(hospitalityq!C6:C1403)=TRIM(hospitalityq!C1403)))&gt;1)</f>
        <v>0</v>
      </c>
      <c r="D1403">
        <f>NOT(hospitalityq!D1403="")*(COUNTIF(reference!$C$17:$C$18,TRIM(hospitalityq!D1403))=0)</f>
        <v>0</v>
      </c>
      <c r="J1403">
        <f>NOT(hospitalityq!J1403="")*(NOT(ISNUMBER(hospitalityq!J1403+0)))</f>
        <v>0</v>
      </c>
      <c r="K1403">
        <f>NOT(hospitalityq!K1403="")*(NOT(ISNUMBER(hospitalityq!K1403+0)))</f>
        <v>0</v>
      </c>
      <c r="P1403">
        <f>NOT(hospitalityq!P1403="")*(NOT(IFERROR(INT(hospitalityq!P1403)=VALUE(hospitalityq!P1403),FALSE)))</f>
        <v>0</v>
      </c>
      <c r="Q1403">
        <f>NOT(hospitalityq!Q1403="")*(NOT(IFERROR(INT(hospitalityq!Q1403)=VALUE(hospitalityq!Q1403),FALSE)))</f>
        <v>0</v>
      </c>
      <c r="R1403">
        <f>NOT(hospitalityq!R1403="")*(NOT(IFERROR(ROUND(VALUE(hospitalityq!R1403),2)=VALUE(hospitalityq!R1403),FALSE)))</f>
        <v>0</v>
      </c>
    </row>
    <row r="1404" spans="1:18" x14ac:dyDescent="0.25">
      <c r="A1404">
        <f t="shared" si="21"/>
        <v>0</v>
      </c>
      <c r="C1404">
        <f>NOT(hospitalityq!C1404="")*(SUMPRODUCT(--(TRIM(hospitalityq!C6:C1404)=TRIM(hospitalityq!C1404)))&gt;1)</f>
        <v>0</v>
      </c>
      <c r="D1404">
        <f>NOT(hospitalityq!D1404="")*(COUNTIF(reference!$C$17:$C$18,TRIM(hospitalityq!D1404))=0)</f>
        <v>0</v>
      </c>
      <c r="J1404">
        <f>NOT(hospitalityq!J1404="")*(NOT(ISNUMBER(hospitalityq!J1404+0)))</f>
        <v>0</v>
      </c>
      <c r="K1404">
        <f>NOT(hospitalityq!K1404="")*(NOT(ISNUMBER(hospitalityq!K1404+0)))</f>
        <v>0</v>
      </c>
      <c r="P1404">
        <f>NOT(hospitalityq!P1404="")*(NOT(IFERROR(INT(hospitalityq!P1404)=VALUE(hospitalityq!P1404),FALSE)))</f>
        <v>0</v>
      </c>
      <c r="Q1404">
        <f>NOT(hospitalityq!Q1404="")*(NOT(IFERROR(INT(hospitalityq!Q1404)=VALUE(hospitalityq!Q1404),FALSE)))</f>
        <v>0</v>
      </c>
      <c r="R1404">
        <f>NOT(hospitalityq!R1404="")*(NOT(IFERROR(ROUND(VALUE(hospitalityq!R1404),2)=VALUE(hospitalityq!R1404),FALSE)))</f>
        <v>0</v>
      </c>
    </row>
    <row r="1405" spans="1:18" x14ac:dyDescent="0.25">
      <c r="A1405">
        <f t="shared" si="21"/>
        <v>0</v>
      </c>
      <c r="C1405">
        <f>NOT(hospitalityq!C1405="")*(SUMPRODUCT(--(TRIM(hospitalityq!C6:C1405)=TRIM(hospitalityq!C1405)))&gt;1)</f>
        <v>0</v>
      </c>
      <c r="D1405">
        <f>NOT(hospitalityq!D1405="")*(COUNTIF(reference!$C$17:$C$18,TRIM(hospitalityq!D1405))=0)</f>
        <v>0</v>
      </c>
      <c r="J1405">
        <f>NOT(hospitalityq!J1405="")*(NOT(ISNUMBER(hospitalityq!J1405+0)))</f>
        <v>0</v>
      </c>
      <c r="K1405">
        <f>NOT(hospitalityq!K1405="")*(NOT(ISNUMBER(hospitalityq!K1405+0)))</f>
        <v>0</v>
      </c>
      <c r="P1405">
        <f>NOT(hospitalityq!P1405="")*(NOT(IFERROR(INT(hospitalityq!P1405)=VALUE(hospitalityq!P1405),FALSE)))</f>
        <v>0</v>
      </c>
      <c r="Q1405">
        <f>NOT(hospitalityq!Q1405="")*(NOT(IFERROR(INT(hospitalityq!Q1405)=VALUE(hospitalityq!Q1405),FALSE)))</f>
        <v>0</v>
      </c>
      <c r="R1405">
        <f>NOT(hospitalityq!R1405="")*(NOT(IFERROR(ROUND(VALUE(hospitalityq!R1405),2)=VALUE(hospitalityq!R1405),FALSE)))</f>
        <v>0</v>
      </c>
    </row>
    <row r="1406" spans="1:18" x14ac:dyDescent="0.25">
      <c r="A1406">
        <f t="shared" si="21"/>
        <v>0</v>
      </c>
      <c r="C1406">
        <f>NOT(hospitalityq!C1406="")*(SUMPRODUCT(--(TRIM(hospitalityq!C6:C1406)=TRIM(hospitalityq!C1406)))&gt;1)</f>
        <v>0</v>
      </c>
      <c r="D1406">
        <f>NOT(hospitalityq!D1406="")*(COUNTIF(reference!$C$17:$C$18,TRIM(hospitalityq!D1406))=0)</f>
        <v>0</v>
      </c>
      <c r="J1406">
        <f>NOT(hospitalityq!J1406="")*(NOT(ISNUMBER(hospitalityq!J1406+0)))</f>
        <v>0</v>
      </c>
      <c r="K1406">
        <f>NOT(hospitalityq!K1406="")*(NOT(ISNUMBER(hospitalityq!K1406+0)))</f>
        <v>0</v>
      </c>
      <c r="P1406">
        <f>NOT(hospitalityq!P1406="")*(NOT(IFERROR(INT(hospitalityq!P1406)=VALUE(hospitalityq!P1406),FALSE)))</f>
        <v>0</v>
      </c>
      <c r="Q1406">
        <f>NOT(hospitalityq!Q1406="")*(NOT(IFERROR(INT(hospitalityq!Q1406)=VALUE(hospitalityq!Q1406),FALSE)))</f>
        <v>0</v>
      </c>
      <c r="R1406">
        <f>NOT(hospitalityq!R1406="")*(NOT(IFERROR(ROUND(VALUE(hospitalityq!R1406),2)=VALUE(hospitalityq!R1406),FALSE)))</f>
        <v>0</v>
      </c>
    </row>
    <row r="1407" spans="1:18" x14ac:dyDescent="0.25">
      <c r="A1407">
        <f t="shared" si="21"/>
        <v>0</v>
      </c>
      <c r="C1407">
        <f>NOT(hospitalityq!C1407="")*(SUMPRODUCT(--(TRIM(hospitalityq!C6:C1407)=TRIM(hospitalityq!C1407)))&gt;1)</f>
        <v>0</v>
      </c>
      <c r="D1407">
        <f>NOT(hospitalityq!D1407="")*(COUNTIF(reference!$C$17:$C$18,TRIM(hospitalityq!D1407))=0)</f>
        <v>0</v>
      </c>
      <c r="J1407">
        <f>NOT(hospitalityq!J1407="")*(NOT(ISNUMBER(hospitalityq!J1407+0)))</f>
        <v>0</v>
      </c>
      <c r="K1407">
        <f>NOT(hospitalityq!K1407="")*(NOT(ISNUMBER(hospitalityq!K1407+0)))</f>
        <v>0</v>
      </c>
      <c r="P1407">
        <f>NOT(hospitalityq!P1407="")*(NOT(IFERROR(INT(hospitalityq!P1407)=VALUE(hospitalityq!P1407),FALSE)))</f>
        <v>0</v>
      </c>
      <c r="Q1407">
        <f>NOT(hospitalityq!Q1407="")*(NOT(IFERROR(INT(hospitalityq!Q1407)=VALUE(hospitalityq!Q1407),FALSE)))</f>
        <v>0</v>
      </c>
      <c r="R1407">
        <f>NOT(hospitalityq!R1407="")*(NOT(IFERROR(ROUND(VALUE(hospitalityq!R1407),2)=VALUE(hospitalityq!R1407),FALSE)))</f>
        <v>0</v>
      </c>
    </row>
    <row r="1408" spans="1:18" x14ac:dyDescent="0.25">
      <c r="A1408">
        <f t="shared" si="21"/>
        <v>0</v>
      </c>
      <c r="C1408">
        <f>NOT(hospitalityq!C1408="")*(SUMPRODUCT(--(TRIM(hospitalityq!C6:C1408)=TRIM(hospitalityq!C1408)))&gt;1)</f>
        <v>0</v>
      </c>
      <c r="D1408">
        <f>NOT(hospitalityq!D1408="")*(COUNTIF(reference!$C$17:$C$18,TRIM(hospitalityq!D1408))=0)</f>
        <v>0</v>
      </c>
      <c r="J1408">
        <f>NOT(hospitalityq!J1408="")*(NOT(ISNUMBER(hospitalityq!J1408+0)))</f>
        <v>0</v>
      </c>
      <c r="K1408">
        <f>NOT(hospitalityq!K1408="")*(NOT(ISNUMBER(hospitalityq!K1408+0)))</f>
        <v>0</v>
      </c>
      <c r="P1408">
        <f>NOT(hospitalityq!P1408="")*(NOT(IFERROR(INT(hospitalityq!P1408)=VALUE(hospitalityq!P1408),FALSE)))</f>
        <v>0</v>
      </c>
      <c r="Q1408">
        <f>NOT(hospitalityq!Q1408="")*(NOT(IFERROR(INT(hospitalityq!Q1408)=VALUE(hospitalityq!Q1408),FALSE)))</f>
        <v>0</v>
      </c>
      <c r="R1408">
        <f>NOT(hospitalityq!R1408="")*(NOT(IFERROR(ROUND(VALUE(hospitalityq!R1408),2)=VALUE(hospitalityq!R1408),FALSE)))</f>
        <v>0</v>
      </c>
    </row>
    <row r="1409" spans="1:18" x14ac:dyDescent="0.25">
      <c r="A1409">
        <f t="shared" si="21"/>
        <v>0</v>
      </c>
      <c r="C1409">
        <f>NOT(hospitalityq!C1409="")*(SUMPRODUCT(--(TRIM(hospitalityq!C6:C1409)=TRIM(hospitalityq!C1409)))&gt;1)</f>
        <v>0</v>
      </c>
      <c r="D1409">
        <f>NOT(hospitalityq!D1409="")*(COUNTIF(reference!$C$17:$C$18,TRIM(hospitalityq!D1409))=0)</f>
        <v>0</v>
      </c>
      <c r="J1409">
        <f>NOT(hospitalityq!J1409="")*(NOT(ISNUMBER(hospitalityq!J1409+0)))</f>
        <v>0</v>
      </c>
      <c r="K1409">
        <f>NOT(hospitalityq!K1409="")*(NOT(ISNUMBER(hospitalityq!K1409+0)))</f>
        <v>0</v>
      </c>
      <c r="P1409">
        <f>NOT(hospitalityq!P1409="")*(NOT(IFERROR(INT(hospitalityq!P1409)=VALUE(hospitalityq!P1409),FALSE)))</f>
        <v>0</v>
      </c>
      <c r="Q1409">
        <f>NOT(hospitalityq!Q1409="")*(NOT(IFERROR(INT(hospitalityq!Q1409)=VALUE(hospitalityq!Q1409),FALSE)))</f>
        <v>0</v>
      </c>
      <c r="R1409">
        <f>NOT(hospitalityq!R1409="")*(NOT(IFERROR(ROUND(VALUE(hospitalityq!R1409),2)=VALUE(hospitalityq!R1409),FALSE)))</f>
        <v>0</v>
      </c>
    </row>
    <row r="1410" spans="1:18" x14ac:dyDescent="0.25">
      <c r="A1410">
        <f t="shared" si="21"/>
        <v>0</v>
      </c>
      <c r="C1410">
        <f>NOT(hospitalityq!C1410="")*(SUMPRODUCT(--(TRIM(hospitalityq!C6:C1410)=TRIM(hospitalityq!C1410)))&gt;1)</f>
        <v>0</v>
      </c>
      <c r="D1410">
        <f>NOT(hospitalityq!D1410="")*(COUNTIF(reference!$C$17:$C$18,TRIM(hospitalityq!D1410))=0)</f>
        <v>0</v>
      </c>
      <c r="J1410">
        <f>NOT(hospitalityq!J1410="")*(NOT(ISNUMBER(hospitalityq!J1410+0)))</f>
        <v>0</v>
      </c>
      <c r="K1410">
        <f>NOT(hospitalityq!K1410="")*(NOT(ISNUMBER(hospitalityq!K1410+0)))</f>
        <v>0</v>
      </c>
      <c r="P1410">
        <f>NOT(hospitalityq!P1410="")*(NOT(IFERROR(INT(hospitalityq!P1410)=VALUE(hospitalityq!P1410),FALSE)))</f>
        <v>0</v>
      </c>
      <c r="Q1410">
        <f>NOT(hospitalityq!Q1410="")*(NOT(IFERROR(INT(hospitalityq!Q1410)=VALUE(hospitalityq!Q1410),FALSE)))</f>
        <v>0</v>
      </c>
      <c r="R1410">
        <f>NOT(hospitalityq!R1410="")*(NOT(IFERROR(ROUND(VALUE(hospitalityq!R1410),2)=VALUE(hospitalityq!R1410),FALSE)))</f>
        <v>0</v>
      </c>
    </row>
    <row r="1411" spans="1:18" x14ac:dyDescent="0.25">
      <c r="A1411">
        <f t="shared" si="21"/>
        <v>0</v>
      </c>
      <c r="C1411">
        <f>NOT(hospitalityq!C1411="")*(SUMPRODUCT(--(TRIM(hospitalityq!C6:C1411)=TRIM(hospitalityq!C1411)))&gt;1)</f>
        <v>0</v>
      </c>
      <c r="D1411">
        <f>NOT(hospitalityq!D1411="")*(COUNTIF(reference!$C$17:$C$18,TRIM(hospitalityq!D1411))=0)</f>
        <v>0</v>
      </c>
      <c r="J1411">
        <f>NOT(hospitalityq!J1411="")*(NOT(ISNUMBER(hospitalityq!J1411+0)))</f>
        <v>0</v>
      </c>
      <c r="K1411">
        <f>NOT(hospitalityq!K1411="")*(NOT(ISNUMBER(hospitalityq!K1411+0)))</f>
        <v>0</v>
      </c>
      <c r="P1411">
        <f>NOT(hospitalityq!P1411="")*(NOT(IFERROR(INT(hospitalityq!P1411)=VALUE(hospitalityq!P1411),FALSE)))</f>
        <v>0</v>
      </c>
      <c r="Q1411">
        <f>NOT(hospitalityq!Q1411="")*(NOT(IFERROR(INT(hospitalityq!Q1411)=VALUE(hospitalityq!Q1411),FALSE)))</f>
        <v>0</v>
      </c>
      <c r="R1411">
        <f>NOT(hospitalityq!R1411="")*(NOT(IFERROR(ROUND(VALUE(hospitalityq!R1411),2)=VALUE(hospitalityq!R1411),FALSE)))</f>
        <v>0</v>
      </c>
    </row>
    <row r="1412" spans="1:18" x14ac:dyDescent="0.25">
      <c r="A1412">
        <f t="shared" si="21"/>
        <v>0</v>
      </c>
      <c r="C1412">
        <f>NOT(hospitalityq!C1412="")*(SUMPRODUCT(--(TRIM(hospitalityq!C6:C1412)=TRIM(hospitalityq!C1412)))&gt;1)</f>
        <v>0</v>
      </c>
      <c r="D1412">
        <f>NOT(hospitalityq!D1412="")*(COUNTIF(reference!$C$17:$C$18,TRIM(hospitalityq!D1412))=0)</f>
        <v>0</v>
      </c>
      <c r="J1412">
        <f>NOT(hospitalityq!J1412="")*(NOT(ISNUMBER(hospitalityq!J1412+0)))</f>
        <v>0</v>
      </c>
      <c r="K1412">
        <f>NOT(hospitalityq!K1412="")*(NOT(ISNUMBER(hospitalityq!K1412+0)))</f>
        <v>0</v>
      </c>
      <c r="P1412">
        <f>NOT(hospitalityq!P1412="")*(NOT(IFERROR(INT(hospitalityq!P1412)=VALUE(hospitalityq!P1412),FALSE)))</f>
        <v>0</v>
      </c>
      <c r="Q1412">
        <f>NOT(hospitalityq!Q1412="")*(NOT(IFERROR(INT(hospitalityq!Q1412)=VALUE(hospitalityq!Q1412),FALSE)))</f>
        <v>0</v>
      </c>
      <c r="R1412">
        <f>NOT(hospitalityq!R1412="")*(NOT(IFERROR(ROUND(VALUE(hospitalityq!R1412),2)=VALUE(hospitalityq!R1412),FALSE)))</f>
        <v>0</v>
      </c>
    </row>
    <row r="1413" spans="1:18" x14ac:dyDescent="0.25">
      <c r="A1413">
        <f t="shared" si="21"/>
        <v>0</v>
      </c>
      <c r="C1413">
        <f>NOT(hospitalityq!C1413="")*(SUMPRODUCT(--(TRIM(hospitalityq!C6:C1413)=TRIM(hospitalityq!C1413)))&gt;1)</f>
        <v>0</v>
      </c>
      <c r="D1413">
        <f>NOT(hospitalityq!D1413="")*(COUNTIF(reference!$C$17:$C$18,TRIM(hospitalityq!D1413))=0)</f>
        <v>0</v>
      </c>
      <c r="J1413">
        <f>NOT(hospitalityq!J1413="")*(NOT(ISNUMBER(hospitalityq!J1413+0)))</f>
        <v>0</v>
      </c>
      <c r="K1413">
        <f>NOT(hospitalityq!K1413="")*(NOT(ISNUMBER(hospitalityq!K1413+0)))</f>
        <v>0</v>
      </c>
      <c r="P1413">
        <f>NOT(hospitalityq!P1413="")*(NOT(IFERROR(INT(hospitalityq!P1413)=VALUE(hospitalityq!P1413),FALSE)))</f>
        <v>0</v>
      </c>
      <c r="Q1413">
        <f>NOT(hospitalityq!Q1413="")*(NOT(IFERROR(INT(hospitalityq!Q1413)=VALUE(hospitalityq!Q1413),FALSE)))</f>
        <v>0</v>
      </c>
      <c r="R1413">
        <f>NOT(hospitalityq!R1413="")*(NOT(IFERROR(ROUND(VALUE(hospitalityq!R1413),2)=VALUE(hospitalityq!R1413),FALSE)))</f>
        <v>0</v>
      </c>
    </row>
    <row r="1414" spans="1:18" x14ac:dyDescent="0.25">
      <c r="A1414">
        <f t="shared" ref="A1414:A1477" si="22">IFERROR(MATCH(TRUE,INDEX(C1414:R1414&lt;&gt;0,),)+2,0)</f>
        <v>0</v>
      </c>
      <c r="C1414">
        <f>NOT(hospitalityq!C1414="")*(SUMPRODUCT(--(TRIM(hospitalityq!C6:C1414)=TRIM(hospitalityq!C1414)))&gt;1)</f>
        <v>0</v>
      </c>
      <c r="D1414">
        <f>NOT(hospitalityq!D1414="")*(COUNTIF(reference!$C$17:$C$18,TRIM(hospitalityq!D1414))=0)</f>
        <v>0</v>
      </c>
      <c r="J1414">
        <f>NOT(hospitalityq!J1414="")*(NOT(ISNUMBER(hospitalityq!J1414+0)))</f>
        <v>0</v>
      </c>
      <c r="K1414">
        <f>NOT(hospitalityq!K1414="")*(NOT(ISNUMBER(hospitalityq!K1414+0)))</f>
        <v>0</v>
      </c>
      <c r="P1414">
        <f>NOT(hospitalityq!P1414="")*(NOT(IFERROR(INT(hospitalityq!P1414)=VALUE(hospitalityq!P1414),FALSE)))</f>
        <v>0</v>
      </c>
      <c r="Q1414">
        <f>NOT(hospitalityq!Q1414="")*(NOT(IFERROR(INT(hospitalityq!Q1414)=VALUE(hospitalityq!Q1414),FALSE)))</f>
        <v>0</v>
      </c>
      <c r="R1414">
        <f>NOT(hospitalityq!R1414="")*(NOT(IFERROR(ROUND(VALUE(hospitalityq!R1414),2)=VALUE(hospitalityq!R1414),FALSE)))</f>
        <v>0</v>
      </c>
    </row>
    <row r="1415" spans="1:18" x14ac:dyDescent="0.25">
      <c r="A1415">
        <f t="shared" si="22"/>
        <v>0</v>
      </c>
      <c r="C1415">
        <f>NOT(hospitalityq!C1415="")*(SUMPRODUCT(--(TRIM(hospitalityq!C6:C1415)=TRIM(hospitalityq!C1415)))&gt;1)</f>
        <v>0</v>
      </c>
      <c r="D1415">
        <f>NOT(hospitalityq!D1415="")*(COUNTIF(reference!$C$17:$C$18,TRIM(hospitalityq!D1415))=0)</f>
        <v>0</v>
      </c>
      <c r="J1415">
        <f>NOT(hospitalityq!J1415="")*(NOT(ISNUMBER(hospitalityq!J1415+0)))</f>
        <v>0</v>
      </c>
      <c r="K1415">
        <f>NOT(hospitalityq!K1415="")*(NOT(ISNUMBER(hospitalityq!K1415+0)))</f>
        <v>0</v>
      </c>
      <c r="P1415">
        <f>NOT(hospitalityq!P1415="")*(NOT(IFERROR(INT(hospitalityq!P1415)=VALUE(hospitalityq!P1415),FALSE)))</f>
        <v>0</v>
      </c>
      <c r="Q1415">
        <f>NOT(hospitalityq!Q1415="")*(NOT(IFERROR(INT(hospitalityq!Q1415)=VALUE(hospitalityq!Q1415),FALSE)))</f>
        <v>0</v>
      </c>
      <c r="R1415">
        <f>NOT(hospitalityq!R1415="")*(NOT(IFERROR(ROUND(VALUE(hospitalityq!R1415),2)=VALUE(hospitalityq!R1415),FALSE)))</f>
        <v>0</v>
      </c>
    </row>
    <row r="1416" spans="1:18" x14ac:dyDescent="0.25">
      <c r="A1416">
        <f t="shared" si="22"/>
        <v>0</v>
      </c>
      <c r="C1416">
        <f>NOT(hospitalityq!C1416="")*(SUMPRODUCT(--(TRIM(hospitalityq!C6:C1416)=TRIM(hospitalityq!C1416)))&gt;1)</f>
        <v>0</v>
      </c>
      <c r="D1416">
        <f>NOT(hospitalityq!D1416="")*(COUNTIF(reference!$C$17:$C$18,TRIM(hospitalityq!D1416))=0)</f>
        <v>0</v>
      </c>
      <c r="J1416">
        <f>NOT(hospitalityq!J1416="")*(NOT(ISNUMBER(hospitalityq!J1416+0)))</f>
        <v>0</v>
      </c>
      <c r="K1416">
        <f>NOT(hospitalityq!K1416="")*(NOT(ISNUMBER(hospitalityq!K1416+0)))</f>
        <v>0</v>
      </c>
      <c r="P1416">
        <f>NOT(hospitalityq!P1416="")*(NOT(IFERROR(INT(hospitalityq!P1416)=VALUE(hospitalityq!P1416),FALSE)))</f>
        <v>0</v>
      </c>
      <c r="Q1416">
        <f>NOT(hospitalityq!Q1416="")*(NOT(IFERROR(INT(hospitalityq!Q1416)=VALUE(hospitalityq!Q1416),FALSE)))</f>
        <v>0</v>
      </c>
      <c r="R1416">
        <f>NOT(hospitalityq!R1416="")*(NOT(IFERROR(ROUND(VALUE(hospitalityq!R1416),2)=VALUE(hospitalityq!R1416),FALSE)))</f>
        <v>0</v>
      </c>
    </row>
    <row r="1417" spans="1:18" x14ac:dyDescent="0.25">
      <c r="A1417">
        <f t="shared" si="22"/>
        <v>0</v>
      </c>
      <c r="C1417">
        <f>NOT(hospitalityq!C1417="")*(SUMPRODUCT(--(TRIM(hospitalityq!C6:C1417)=TRIM(hospitalityq!C1417)))&gt;1)</f>
        <v>0</v>
      </c>
      <c r="D1417">
        <f>NOT(hospitalityq!D1417="")*(COUNTIF(reference!$C$17:$C$18,TRIM(hospitalityq!D1417))=0)</f>
        <v>0</v>
      </c>
      <c r="J1417">
        <f>NOT(hospitalityq!J1417="")*(NOT(ISNUMBER(hospitalityq!J1417+0)))</f>
        <v>0</v>
      </c>
      <c r="K1417">
        <f>NOT(hospitalityq!K1417="")*(NOT(ISNUMBER(hospitalityq!K1417+0)))</f>
        <v>0</v>
      </c>
      <c r="P1417">
        <f>NOT(hospitalityq!P1417="")*(NOT(IFERROR(INT(hospitalityq!P1417)=VALUE(hospitalityq!P1417),FALSE)))</f>
        <v>0</v>
      </c>
      <c r="Q1417">
        <f>NOT(hospitalityq!Q1417="")*(NOT(IFERROR(INT(hospitalityq!Q1417)=VALUE(hospitalityq!Q1417),FALSE)))</f>
        <v>0</v>
      </c>
      <c r="R1417">
        <f>NOT(hospitalityq!R1417="")*(NOT(IFERROR(ROUND(VALUE(hospitalityq!R1417),2)=VALUE(hospitalityq!R1417),FALSE)))</f>
        <v>0</v>
      </c>
    </row>
    <row r="1418" spans="1:18" x14ac:dyDescent="0.25">
      <c r="A1418">
        <f t="shared" si="22"/>
        <v>0</v>
      </c>
      <c r="C1418">
        <f>NOT(hospitalityq!C1418="")*(SUMPRODUCT(--(TRIM(hospitalityq!C6:C1418)=TRIM(hospitalityq!C1418)))&gt;1)</f>
        <v>0</v>
      </c>
      <c r="D1418">
        <f>NOT(hospitalityq!D1418="")*(COUNTIF(reference!$C$17:$C$18,TRIM(hospitalityq!D1418))=0)</f>
        <v>0</v>
      </c>
      <c r="J1418">
        <f>NOT(hospitalityq!J1418="")*(NOT(ISNUMBER(hospitalityq!J1418+0)))</f>
        <v>0</v>
      </c>
      <c r="K1418">
        <f>NOT(hospitalityq!K1418="")*(NOT(ISNUMBER(hospitalityq!K1418+0)))</f>
        <v>0</v>
      </c>
      <c r="P1418">
        <f>NOT(hospitalityq!P1418="")*(NOT(IFERROR(INT(hospitalityq!P1418)=VALUE(hospitalityq!P1418),FALSE)))</f>
        <v>0</v>
      </c>
      <c r="Q1418">
        <f>NOT(hospitalityq!Q1418="")*(NOT(IFERROR(INT(hospitalityq!Q1418)=VALUE(hospitalityq!Q1418),FALSE)))</f>
        <v>0</v>
      </c>
      <c r="R1418">
        <f>NOT(hospitalityq!R1418="")*(NOT(IFERROR(ROUND(VALUE(hospitalityq!R1418),2)=VALUE(hospitalityq!R1418),FALSE)))</f>
        <v>0</v>
      </c>
    </row>
    <row r="1419" spans="1:18" x14ac:dyDescent="0.25">
      <c r="A1419">
        <f t="shared" si="22"/>
        <v>0</v>
      </c>
      <c r="C1419">
        <f>NOT(hospitalityq!C1419="")*(SUMPRODUCT(--(TRIM(hospitalityq!C6:C1419)=TRIM(hospitalityq!C1419)))&gt;1)</f>
        <v>0</v>
      </c>
      <c r="D1419">
        <f>NOT(hospitalityq!D1419="")*(COUNTIF(reference!$C$17:$C$18,TRIM(hospitalityq!D1419))=0)</f>
        <v>0</v>
      </c>
      <c r="J1419">
        <f>NOT(hospitalityq!J1419="")*(NOT(ISNUMBER(hospitalityq!J1419+0)))</f>
        <v>0</v>
      </c>
      <c r="K1419">
        <f>NOT(hospitalityq!K1419="")*(NOT(ISNUMBER(hospitalityq!K1419+0)))</f>
        <v>0</v>
      </c>
      <c r="P1419">
        <f>NOT(hospitalityq!P1419="")*(NOT(IFERROR(INT(hospitalityq!P1419)=VALUE(hospitalityq!P1419),FALSE)))</f>
        <v>0</v>
      </c>
      <c r="Q1419">
        <f>NOT(hospitalityq!Q1419="")*(NOT(IFERROR(INT(hospitalityq!Q1419)=VALUE(hospitalityq!Q1419),FALSE)))</f>
        <v>0</v>
      </c>
      <c r="R1419">
        <f>NOT(hospitalityq!R1419="")*(NOT(IFERROR(ROUND(VALUE(hospitalityq!R1419),2)=VALUE(hospitalityq!R1419),FALSE)))</f>
        <v>0</v>
      </c>
    </row>
    <row r="1420" spans="1:18" x14ac:dyDescent="0.25">
      <c r="A1420">
        <f t="shared" si="22"/>
        <v>0</v>
      </c>
      <c r="C1420">
        <f>NOT(hospitalityq!C1420="")*(SUMPRODUCT(--(TRIM(hospitalityq!C6:C1420)=TRIM(hospitalityq!C1420)))&gt;1)</f>
        <v>0</v>
      </c>
      <c r="D1420">
        <f>NOT(hospitalityq!D1420="")*(COUNTIF(reference!$C$17:$C$18,TRIM(hospitalityq!D1420))=0)</f>
        <v>0</v>
      </c>
      <c r="J1420">
        <f>NOT(hospitalityq!J1420="")*(NOT(ISNUMBER(hospitalityq!J1420+0)))</f>
        <v>0</v>
      </c>
      <c r="K1420">
        <f>NOT(hospitalityq!K1420="")*(NOT(ISNUMBER(hospitalityq!K1420+0)))</f>
        <v>0</v>
      </c>
      <c r="P1420">
        <f>NOT(hospitalityq!P1420="")*(NOT(IFERROR(INT(hospitalityq!P1420)=VALUE(hospitalityq!P1420),FALSE)))</f>
        <v>0</v>
      </c>
      <c r="Q1420">
        <f>NOT(hospitalityq!Q1420="")*(NOT(IFERROR(INT(hospitalityq!Q1420)=VALUE(hospitalityq!Q1420),FALSE)))</f>
        <v>0</v>
      </c>
      <c r="R1420">
        <f>NOT(hospitalityq!R1420="")*(NOT(IFERROR(ROUND(VALUE(hospitalityq!R1420),2)=VALUE(hospitalityq!R1420),FALSE)))</f>
        <v>0</v>
      </c>
    </row>
    <row r="1421" spans="1:18" x14ac:dyDescent="0.25">
      <c r="A1421">
        <f t="shared" si="22"/>
        <v>0</v>
      </c>
      <c r="C1421">
        <f>NOT(hospitalityq!C1421="")*(SUMPRODUCT(--(TRIM(hospitalityq!C6:C1421)=TRIM(hospitalityq!C1421)))&gt;1)</f>
        <v>0</v>
      </c>
      <c r="D1421">
        <f>NOT(hospitalityq!D1421="")*(COUNTIF(reference!$C$17:$C$18,TRIM(hospitalityq!D1421))=0)</f>
        <v>0</v>
      </c>
      <c r="J1421">
        <f>NOT(hospitalityq!J1421="")*(NOT(ISNUMBER(hospitalityq!J1421+0)))</f>
        <v>0</v>
      </c>
      <c r="K1421">
        <f>NOT(hospitalityq!K1421="")*(NOT(ISNUMBER(hospitalityq!K1421+0)))</f>
        <v>0</v>
      </c>
      <c r="P1421">
        <f>NOT(hospitalityq!P1421="")*(NOT(IFERROR(INT(hospitalityq!P1421)=VALUE(hospitalityq!P1421),FALSE)))</f>
        <v>0</v>
      </c>
      <c r="Q1421">
        <f>NOT(hospitalityq!Q1421="")*(NOT(IFERROR(INT(hospitalityq!Q1421)=VALUE(hospitalityq!Q1421),FALSE)))</f>
        <v>0</v>
      </c>
      <c r="R1421">
        <f>NOT(hospitalityq!R1421="")*(NOT(IFERROR(ROUND(VALUE(hospitalityq!R1421),2)=VALUE(hospitalityq!R1421),FALSE)))</f>
        <v>0</v>
      </c>
    </row>
    <row r="1422" spans="1:18" x14ac:dyDescent="0.25">
      <c r="A1422">
        <f t="shared" si="22"/>
        <v>0</v>
      </c>
      <c r="C1422">
        <f>NOT(hospitalityq!C1422="")*(SUMPRODUCT(--(TRIM(hospitalityq!C6:C1422)=TRIM(hospitalityq!C1422)))&gt;1)</f>
        <v>0</v>
      </c>
      <c r="D1422">
        <f>NOT(hospitalityq!D1422="")*(COUNTIF(reference!$C$17:$C$18,TRIM(hospitalityq!D1422))=0)</f>
        <v>0</v>
      </c>
      <c r="J1422">
        <f>NOT(hospitalityq!J1422="")*(NOT(ISNUMBER(hospitalityq!J1422+0)))</f>
        <v>0</v>
      </c>
      <c r="K1422">
        <f>NOT(hospitalityq!K1422="")*(NOT(ISNUMBER(hospitalityq!K1422+0)))</f>
        <v>0</v>
      </c>
      <c r="P1422">
        <f>NOT(hospitalityq!P1422="")*(NOT(IFERROR(INT(hospitalityq!P1422)=VALUE(hospitalityq!P1422),FALSE)))</f>
        <v>0</v>
      </c>
      <c r="Q1422">
        <f>NOT(hospitalityq!Q1422="")*(NOT(IFERROR(INT(hospitalityq!Q1422)=VALUE(hospitalityq!Q1422),FALSE)))</f>
        <v>0</v>
      </c>
      <c r="R1422">
        <f>NOT(hospitalityq!R1422="")*(NOT(IFERROR(ROUND(VALUE(hospitalityq!R1422),2)=VALUE(hospitalityq!R1422),FALSE)))</f>
        <v>0</v>
      </c>
    </row>
    <row r="1423" spans="1:18" x14ac:dyDescent="0.25">
      <c r="A1423">
        <f t="shared" si="22"/>
        <v>0</v>
      </c>
      <c r="C1423">
        <f>NOT(hospitalityq!C1423="")*(SUMPRODUCT(--(TRIM(hospitalityq!C6:C1423)=TRIM(hospitalityq!C1423)))&gt;1)</f>
        <v>0</v>
      </c>
      <c r="D1423">
        <f>NOT(hospitalityq!D1423="")*(COUNTIF(reference!$C$17:$C$18,TRIM(hospitalityq!D1423))=0)</f>
        <v>0</v>
      </c>
      <c r="J1423">
        <f>NOT(hospitalityq!J1423="")*(NOT(ISNUMBER(hospitalityq!J1423+0)))</f>
        <v>0</v>
      </c>
      <c r="K1423">
        <f>NOT(hospitalityq!K1423="")*(NOT(ISNUMBER(hospitalityq!K1423+0)))</f>
        <v>0</v>
      </c>
      <c r="P1423">
        <f>NOT(hospitalityq!P1423="")*(NOT(IFERROR(INT(hospitalityq!P1423)=VALUE(hospitalityq!P1423),FALSE)))</f>
        <v>0</v>
      </c>
      <c r="Q1423">
        <f>NOT(hospitalityq!Q1423="")*(NOT(IFERROR(INT(hospitalityq!Q1423)=VALUE(hospitalityq!Q1423),FALSE)))</f>
        <v>0</v>
      </c>
      <c r="R1423">
        <f>NOT(hospitalityq!R1423="")*(NOT(IFERROR(ROUND(VALUE(hospitalityq!R1423),2)=VALUE(hospitalityq!R1423),FALSE)))</f>
        <v>0</v>
      </c>
    </row>
    <row r="1424" spans="1:18" x14ac:dyDescent="0.25">
      <c r="A1424">
        <f t="shared" si="22"/>
        <v>0</v>
      </c>
      <c r="C1424">
        <f>NOT(hospitalityq!C1424="")*(SUMPRODUCT(--(TRIM(hospitalityq!C6:C1424)=TRIM(hospitalityq!C1424)))&gt;1)</f>
        <v>0</v>
      </c>
      <c r="D1424">
        <f>NOT(hospitalityq!D1424="")*(COUNTIF(reference!$C$17:$C$18,TRIM(hospitalityq!D1424))=0)</f>
        <v>0</v>
      </c>
      <c r="J1424">
        <f>NOT(hospitalityq!J1424="")*(NOT(ISNUMBER(hospitalityq!J1424+0)))</f>
        <v>0</v>
      </c>
      <c r="K1424">
        <f>NOT(hospitalityq!K1424="")*(NOT(ISNUMBER(hospitalityq!K1424+0)))</f>
        <v>0</v>
      </c>
      <c r="P1424">
        <f>NOT(hospitalityq!P1424="")*(NOT(IFERROR(INT(hospitalityq!P1424)=VALUE(hospitalityq!P1424),FALSE)))</f>
        <v>0</v>
      </c>
      <c r="Q1424">
        <f>NOT(hospitalityq!Q1424="")*(NOT(IFERROR(INT(hospitalityq!Q1424)=VALUE(hospitalityq!Q1424),FALSE)))</f>
        <v>0</v>
      </c>
      <c r="R1424">
        <f>NOT(hospitalityq!R1424="")*(NOT(IFERROR(ROUND(VALUE(hospitalityq!R1424),2)=VALUE(hospitalityq!R1424),FALSE)))</f>
        <v>0</v>
      </c>
    </row>
    <row r="1425" spans="1:18" x14ac:dyDescent="0.25">
      <c r="A1425">
        <f t="shared" si="22"/>
        <v>0</v>
      </c>
      <c r="C1425">
        <f>NOT(hospitalityq!C1425="")*(SUMPRODUCT(--(TRIM(hospitalityq!C6:C1425)=TRIM(hospitalityq!C1425)))&gt;1)</f>
        <v>0</v>
      </c>
      <c r="D1425">
        <f>NOT(hospitalityq!D1425="")*(COUNTIF(reference!$C$17:$C$18,TRIM(hospitalityq!D1425))=0)</f>
        <v>0</v>
      </c>
      <c r="J1425">
        <f>NOT(hospitalityq!J1425="")*(NOT(ISNUMBER(hospitalityq!J1425+0)))</f>
        <v>0</v>
      </c>
      <c r="K1425">
        <f>NOT(hospitalityq!K1425="")*(NOT(ISNUMBER(hospitalityq!K1425+0)))</f>
        <v>0</v>
      </c>
      <c r="P1425">
        <f>NOT(hospitalityq!P1425="")*(NOT(IFERROR(INT(hospitalityq!P1425)=VALUE(hospitalityq!P1425),FALSE)))</f>
        <v>0</v>
      </c>
      <c r="Q1425">
        <f>NOT(hospitalityq!Q1425="")*(NOT(IFERROR(INT(hospitalityq!Q1425)=VALUE(hospitalityq!Q1425),FALSE)))</f>
        <v>0</v>
      </c>
      <c r="R1425">
        <f>NOT(hospitalityq!R1425="")*(NOT(IFERROR(ROUND(VALUE(hospitalityq!R1425),2)=VALUE(hospitalityq!R1425),FALSE)))</f>
        <v>0</v>
      </c>
    </row>
    <row r="1426" spans="1:18" x14ac:dyDescent="0.25">
      <c r="A1426">
        <f t="shared" si="22"/>
        <v>0</v>
      </c>
      <c r="C1426">
        <f>NOT(hospitalityq!C1426="")*(SUMPRODUCT(--(TRIM(hospitalityq!C6:C1426)=TRIM(hospitalityq!C1426)))&gt;1)</f>
        <v>0</v>
      </c>
      <c r="D1426">
        <f>NOT(hospitalityq!D1426="")*(COUNTIF(reference!$C$17:$C$18,TRIM(hospitalityq!D1426))=0)</f>
        <v>0</v>
      </c>
      <c r="J1426">
        <f>NOT(hospitalityq!J1426="")*(NOT(ISNUMBER(hospitalityq!J1426+0)))</f>
        <v>0</v>
      </c>
      <c r="K1426">
        <f>NOT(hospitalityq!K1426="")*(NOT(ISNUMBER(hospitalityq!K1426+0)))</f>
        <v>0</v>
      </c>
      <c r="P1426">
        <f>NOT(hospitalityq!P1426="")*(NOT(IFERROR(INT(hospitalityq!P1426)=VALUE(hospitalityq!P1426),FALSE)))</f>
        <v>0</v>
      </c>
      <c r="Q1426">
        <f>NOT(hospitalityq!Q1426="")*(NOT(IFERROR(INT(hospitalityq!Q1426)=VALUE(hospitalityq!Q1426),FALSE)))</f>
        <v>0</v>
      </c>
      <c r="R1426">
        <f>NOT(hospitalityq!R1426="")*(NOT(IFERROR(ROUND(VALUE(hospitalityq!R1426),2)=VALUE(hospitalityq!R1426),FALSE)))</f>
        <v>0</v>
      </c>
    </row>
    <row r="1427" spans="1:18" x14ac:dyDescent="0.25">
      <c r="A1427">
        <f t="shared" si="22"/>
        <v>0</v>
      </c>
      <c r="C1427">
        <f>NOT(hospitalityq!C1427="")*(SUMPRODUCT(--(TRIM(hospitalityq!C6:C1427)=TRIM(hospitalityq!C1427)))&gt;1)</f>
        <v>0</v>
      </c>
      <c r="D1427">
        <f>NOT(hospitalityq!D1427="")*(COUNTIF(reference!$C$17:$C$18,TRIM(hospitalityq!D1427))=0)</f>
        <v>0</v>
      </c>
      <c r="J1427">
        <f>NOT(hospitalityq!J1427="")*(NOT(ISNUMBER(hospitalityq!J1427+0)))</f>
        <v>0</v>
      </c>
      <c r="K1427">
        <f>NOT(hospitalityq!K1427="")*(NOT(ISNUMBER(hospitalityq!K1427+0)))</f>
        <v>0</v>
      </c>
      <c r="P1427">
        <f>NOT(hospitalityq!P1427="")*(NOT(IFERROR(INT(hospitalityq!P1427)=VALUE(hospitalityq!P1427),FALSE)))</f>
        <v>0</v>
      </c>
      <c r="Q1427">
        <f>NOT(hospitalityq!Q1427="")*(NOT(IFERROR(INT(hospitalityq!Q1427)=VALUE(hospitalityq!Q1427),FALSE)))</f>
        <v>0</v>
      </c>
      <c r="R1427">
        <f>NOT(hospitalityq!R1427="")*(NOT(IFERROR(ROUND(VALUE(hospitalityq!R1427),2)=VALUE(hospitalityq!R1427),FALSE)))</f>
        <v>0</v>
      </c>
    </row>
    <row r="1428" spans="1:18" x14ac:dyDescent="0.25">
      <c r="A1428">
        <f t="shared" si="22"/>
        <v>0</v>
      </c>
      <c r="C1428">
        <f>NOT(hospitalityq!C1428="")*(SUMPRODUCT(--(TRIM(hospitalityq!C6:C1428)=TRIM(hospitalityq!C1428)))&gt;1)</f>
        <v>0</v>
      </c>
      <c r="D1428">
        <f>NOT(hospitalityq!D1428="")*(COUNTIF(reference!$C$17:$C$18,TRIM(hospitalityq!D1428))=0)</f>
        <v>0</v>
      </c>
      <c r="J1428">
        <f>NOT(hospitalityq!J1428="")*(NOT(ISNUMBER(hospitalityq!J1428+0)))</f>
        <v>0</v>
      </c>
      <c r="K1428">
        <f>NOT(hospitalityq!K1428="")*(NOT(ISNUMBER(hospitalityq!K1428+0)))</f>
        <v>0</v>
      </c>
      <c r="P1428">
        <f>NOT(hospitalityq!P1428="")*(NOT(IFERROR(INT(hospitalityq!P1428)=VALUE(hospitalityq!P1428),FALSE)))</f>
        <v>0</v>
      </c>
      <c r="Q1428">
        <f>NOT(hospitalityq!Q1428="")*(NOT(IFERROR(INT(hospitalityq!Q1428)=VALUE(hospitalityq!Q1428),FALSE)))</f>
        <v>0</v>
      </c>
      <c r="R1428">
        <f>NOT(hospitalityq!R1428="")*(NOT(IFERROR(ROUND(VALUE(hospitalityq!R1428),2)=VALUE(hospitalityq!R1428),FALSE)))</f>
        <v>0</v>
      </c>
    </row>
    <row r="1429" spans="1:18" x14ac:dyDescent="0.25">
      <c r="A1429">
        <f t="shared" si="22"/>
        <v>0</v>
      </c>
      <c r="C1429">
        <f>NOT(hospitalityq!C1429="")*(SUMPRODUCT(--(TRIM(hospitalityq!C6:C1429)=TRIM(hospitalityq!C1429)))&gt;1)</f>
        <v>0</v>
      </c>
      <c r="D1429">
        <f>NOT(hospitalityq!D1429="")*(COUNTIF(reference!$C$17:$C$18,TRIM(hospitalityq!D1429))=0)</f>
        <v>0</v>
      </c>
      <c r="J1429">
        <f>NOT(hospitalityq!J1429="")*(NOT(ISNUMBER(hospitalityq!J1429+0)))</f>
        <v>0</v>
      </c>
      <c r="K1429">
        <f>NOT(hospitalityq!K1429="")*(NOT(ISNUMBER(hospitalityq!K1429+0)))</f>
        <v>0</v>
      </c>
      <c r="P1429">
        <f>NOT(hospitalityq!P1429="")*(NOT(IFERROR(INT(hospitalityq!P1429)=VALUE(hospitalityq!P1429),FALSE)))</f>
        <v>0</v>
      </c>
      <c r="Q1429">
        <f>NOT(hospitalityq!Q1429="")*(NOT(IFERROR(INT(hospitalityq!Q1429)=VALUE(hospitalityq!Q1429),FALSE)))</f>
        <v>0</v>
      </c>
      <c r="R1429">
        <f>NOT(hospitalityq!R1429="")*(NOT(IFERROR(ROUND(VALUE(hospitalityq!R1429),2)=VALUE(hospitalityq!R1429),FALSE)))</f>
        <v>0</v>
      </c>
    </row>
    <row r="1430" spans="1:18" x14ac:dyDescent="0.25">
      <c r="A1430">
        <f t="shared" si="22"/>
        <v>0</v>
      </c>
      <c r="C1430">
        <f>NOT(hospitalityq!C1430="")*(SUMPRODUCT(--(TRIM(hospitalityq!C6:C1430)=TRIM(hospitalityq!C1430)))&gt;1)</f>
        <v>0</v>
      </c>
      <c r="D1430">
        <f>NOT(hospitalityq!D1430="")*(COUNTIF(reference!$C$17:$C$18,TRIM(hospitalityq!D1430))=0)</f>
        <v>0</v>
      </c>
      <c r="J1430">
        <f>NOT(hospitalityq!J1430="")*(NOT(ISNUMBER(hospitalityq!J1430+0)))</f>
        <v>0</v>
      </c>
      <c r="K1430">
        <f>NOT(hospitalityq!K1430="")*(NOT(ISNUMBER(hospitalityq!K1430+0)))</f>
        <v>0</v>
      </c>
      <c r="P1430">
        <f>NOT(hospitalityq!P1430="")*(NOT(IFERROR(INT(hospitalityq!P1430)=VALUE(hospitalityq!P1430),FALSE)))</f>
        <v>0</v>
      </c>
      <c r="Q1430">
        <f>NOT(hospitalityq!Q1430="")*(NOT(IFERROR(INT(hospitalityq!Q1430)=VALUE(hospitalityq!Q1430),FALSE)))</f>
        <v>0</v>
      </c>
      <c r="R1430">
        <f>NOT(hospitalityq!R1430="")*(NOT(IFERROR(ROUND(VALUE(hospitalityq!R1430),2)=VALUE(hospitalityq!R1430),FALSE)))</f>
        <v>0</v>
      </c>
    </row>
    <row r="1431" spans="1:18" x14ac:dyDescent="0.25">
      <c r="A1431">
        <f t="shared" si="22"/>
        <v>0</v>
      </c>
      <c r="C1431">
        <f>NOT(hospitalityq!C1431="")*(SUMPRODUCT(--(TRIM(hospitalityq!C6:C1431)=TRIM(hospitalityq!C1431)))&gt;1)</f>
        <v>0</v>
      </c>
      <c r="D1431">
        <f>NOT(hospitalityq!D1431="")*(COUNTIF(reference!$C$17:$C$18,TRIM(hospitalityq!D1431))=0)</f>
        <v>0</v>
      </c>
      <c r="J1431">
        <f>NOT(hospitalityq!J1431="")*(NOT(ISNUMBER(hospitalityq!J1431+0)))</f>
        <v>0</v>
      </c>
      <c r="K1431">
        <f>NOT(hospitalityq!K1431="")*(NOT(ISNUMBER(hospitalityq!K1431+0)))</f>
        <v>0</v>
      </c>
      <c r="P1431">
        <f>NOT(hospitalityq!P1431="")*(NOT(IFERROR(INT(hospitalityq!P1431)=VALUE(hospitalityq!P1431),FALSE)))</f>
        <v>0</v>
      </c>
      <c r="Q1431">
        <f>NOT(hospitalityq!Q1431="")*(NOT(IFERROR(INT(hospitalityq!Q1431)=VALUE(hospitalityq!Q1431),FALSE)))</f>
        <v>0</v>
      </c>
      <c r="R1431">
        <f>NOT(hospitalityq!R1431="")*(NOT(IFERROR(ROUND(VALUE(hospitalityq!R1431),2)=VALUE(hospitalityq!R1431),FALSE)))</f>
        <v>0</v>
      </c>
    </row>
    <row r="1432" spans="1:18" x14ac:dyDescent="0.25">
      <c r="A1432">
        <f t="shared" si="22"/>
        <v>0</v>
      </c>
      <c r="C1432">
        <f>NOT(hospitalityq!C1432="")*(SUMPRODUCT(--(TRIM(hospitalityq!C6:C1432)=TRIM(hospitalityq!C1432)))&gt;1)</f>
        <v>0</v>
      </c>
      <c r="D1432">
        <f>NOT(hospitalityq!D1432="")*(COUNTIF(reference!$C$17:$C$18,TRIM(hospitalityq!D1432))=0)</f>
        <v>0</v>
      </c>
      <c r="J1432">
        <f>NOT(hospitalityq!J1432="")*(NOT(ISNUMBER(hospitalityq!J1432+0)))</f>
        <v>0</v>
      </c>
      <c r="K1432">
        <f>NOT(hospitalityq!K1432="")*(NOT(ISNUMBER(hospitalityq!K1432+0)))</f>
        <v>0</v>
      </c>
      <c r="P1432">
        <f>NOT(hospitalityq!P1432="")*(NOT(IFERROR(INT(hospitalityq!P1432)=VALUE(hospitalityq!P1432),FALSE)))</f>
        <v>0</v>
      </c>
      <c r="Q1432">
        <f>NOT(hospitalityq!Q1432="")*(NOT(IFERROR(INT(hospitalityq!Q1432)=VALUE(hospitalityq!Q1432),FALSE)))</f>
        <v>0</v>
      </c>
      <c r="R1432">
        <f>NOT(hospitalityq!R1432="")*(NOT(IFERROR(ROUND(VALUE(hospitalityq!R1432),2)=VALUE(hospitalityq!R1432),FALSE)))</f>
        <v>0</v>
      </c>
    </row>
    <row r="1433" spans="1:18" x14ac:dyDescent="0.25">
      <c r="A1433">
        <f t="shared" si="22"/>
        <v>0</v>
      </c>
      <c r="C1433">
        <f>NOT(hospitalityq!C1433="")*(SUMPRODUCT(--(TRIM(hospitalityq!C6:C1433)=TRIM(hospitalityq!C1433)))&gt;1)</f>
        <v>0</v>
      </c>
      <c r="D1433">
        <f>NOT(hospitalityq!D1433="")*(COUNTIF(reference!$C$17:$C$18,TRIM(hospitalityq!D1433))=0)</f>
        <v>0</v>
      </c>
      <c r="J1433">
        <f>NOT(hospitalityq!J1433="")*(NOT(ISNUMBER(hospitalityq!J1433+0)))</f>
        <v>0</v>
      </c>
      <c r="K1433">
        <f>NOT(hospitalityq!K1433="")*(NOT(ISNUMBER(hospitalityq!K1433+0)))</f>
        <v>0</v>
      </c>
      <c r="P1433">
        <f>NOT(hospitalityq!P1433="")*(NOT(IFERROR(INT(hospitalityq!P1433)=VALUE(hospitalityq!P1433),FALSE)))</f>
        <v>0</v>
      </c>
      <c r="Q1433">
        <f>NOT(hospitalityq!Q1433="")*(NOT(IFERROR(INT(hospitalityq!Q1433)=VALUE(hospitalityq!Q1433),FALSE)))</f>
        <v>0</v>
      </c>
      <c r="R1433">
        <f>NOT(hospitalityq!R1433="")*(NOT(IFERROR(ROUND(VALUE(hospitalityq!R1433),2)=VALUE(hospitalityq!R1433),FALSE)))</f>
        <v>0</v>
      </c>
    </row>
    <row r="1434" spans="1:18" x14ac:dyDescent="0.25">
      <c r="A1434">
        <f t="shared" si="22"/>
        <v>0</v>
      </c>
      <c r="C1434">
        <f>NOT(hospitalityq!C1434="")*(SUMPRODUCT(--(TRIM(hospitalityq!C6:C1434)=TRIM(hospitalityq!C1434)))&gt;1)</f>
        <v>0</v>
      </c>
      <c r="D1434">
        <f>NOT(hospitalityq!D1434="")*(COUNTIF(reference!$C$17:$C$18,TRIM(hospitalityq!D1434))=0)</f>
        <v>0</v>
      </c>
      <c r="J1434">
        <f>NOT(hospitalityq!J1434="")*(NOT(ISNUMBER(hospitalityq!J1434+0)))</f>
        <v>0</v>
      </c>
      <c r="K1434">
        <f>NOT(hospitalityq!K1434="")*(NOT(ISNUMBER(hospitalityq!K1434+0)))</f>
        <v>0</v>
      </c>
      <c r="P1434">
        <f>NOT(hospitalityq!P1434="")*(NOT(IFERROR(INT(hospitalityq!P1434)=VALUE(hospitalityq!P1434),FALSE)))</f>
        <v>0</v>
      </c>
      <c r="Q1434">
        <f>NOT(hospitalityq!Q1434="")*(NOT(IFERROR(INT(hospitalityq!Q1434)=VALUE(hospitalityq!Q1434),FALSE)))</f>
        <v>0</v>
      </c>
      <c r="R1434">
        <f>NOT(hospitalityq!R1434="")*(NOT(IFERROR(ROUND(VALUE(hospitalityq!R1434),2)=VALUE(hospitalityq!R1434),FALSE)))</f>
        <v>0</v>
      </c>
    </row>
    <row r="1435" spans="1:18" x14ac:dyDescent="0.25">
      <c r="A1435">
        <f t="shared" si="22"/>
        <v>0</v>
      </c>
      <c r="C1435">
        <f>NOT(hospitalityq!C1435="")*(SUMPRODUCT(--(TRIM(hospitalityq!C6:C1435)=TRIM(hospitalityq!C1435)))&gt;1)</f>
        <v>0</v>
      </c>
      <c r="D1435">
        <f>NOT(hospitalityq!D1435="")*(COUNTIF(reference!$C$17:$C$18,TRIM(hospitalityq!D1435))=0)</f>
        <v>0</v>
      </c>
      <c r="J1435">
        <f>NOT(hospitalityq!J1435="")*(NOT(ISNUMBER(hospitalityq!J1435+0)))</f>
        <v>0</v>
      </c>
      <c r="K1435">
        <f>NOT(hospitalityq!K1435="")*(NOT(ISNUMBER(hospitalityq!K1435+0)))</f>
        <v>0</v>
      </c>
      <c r="P1435">
        <f>NOT(hospitalityq!P1435="")*(NOT(IFERROR(INT(hospitalityq!P1435)=VALUE(hospitalityq!P1435),FALSE)))</f>
        <v>0</v>
      </c>
      <c r="Q1435">
        <f>NOT(hospitalityq!Q1435="")*(NOT(IFERROR(INT(hospitalityq!Q1435)=VALUE(hospitalityq!Q1435),FALSE)))</f>
        <v>0</v>
      </c>
      <c r="R1435">
        <f>NOT(hospitalityq!R1435="")*(NOT(IFERROR(ROUND(VALUE(hospitalityq!R1435),2)=VALUE(hospitalityq!R1435),FALSE)))</f>
        <v>0</v>
      </c>
    </row>
    <row r="1436" spans="1:18" x14ac:dyDescent="0.25">
      <c r="A1436">
        <f t="shared" si="22"/>
        <v>0</v>
      </c>
      <c r="C1436">
        <f>NOT(hospitalityq!C1436="")*(SUMPRODUCT(--(TRIM(hospitalityq!C6:C1436)=TRIM(hospitalityq!C1436)))&gt;1)</f>
        <v>0</v>
      </c>
      <c r="D1436">
        <f>NOT(hospitalityq!D1436="")*(COUNTIF(reference!$C$17:$C$18,TRIM(hospitalityq!D1436))=0)</f>
        <v>0</v>
      </c>
      <c r="J1436">
        <f>NOT(hospitalityq!J1436="")*(NOT(ISNUMBER(hospitalityq!J1436+0)))</f>
        <v>0</v>
      </c>
      <c r="K1436">
        <f>NOT(hospitalityq!K1436="")*(NOT(ISNUMBER(hospitalityq!K1436+0)))</f>
        <v>0</v>
      </c>
      <c r="P1436">
        <f>NOT(hospitalityq!P1436="")*(NOT(IFERROR(INT(hospitalityq!P1436)=VALUE(hospitalityq!P1436),FALSE)))</f>
        <v>0</v>
      </c>
      <c r="Q1436">
        <f>NOT(hospitalityq!Q1436="")*(NOT(IFERROR(INT(hospitalityq!Q1436)=VALUE(hospitalityq!Q1436),FALSE)))</f>
        <v>0</v>
      </c>
      <c r="R1436">
        <f>NOT(hospitalityq!R1436="")*(NOT(IFERROR(ROUND(VALUE(hospitalityq!R1436),2)=VALUE(hospitalityq!R1436),FALSE)))</f>
        <v>0</v>
      </c>
    </row>
    <row r="1437" spans="1:18" x14ac:dyDescent="0.25">
      <c r="A1437">
        <f t="shared" si="22"/>
        <v>0</v>
      </c>
      <c r="C1437">
        <f>NOT(hospitalityq!C1437="")*(SUMPRODUCT(--(TRIM(hospitalityq!C6:C1437)=TRIM(hospitalityq!C1437)))&gt;1)</f>
        <v>0</v>
      </c>
      <c r="D1437">
        <f>NOT(hospitalityq!D1437="")*(COUNTIF(reference!$C$17:$C$18,TRIM(hospitalityq!D1437))=0)</f>
        <v>0</v>
      </c>
      <c r="J1437">
        <f>NOT(hospitalityq!J1437="")*(NOT(ISNUMBER(hospitalityq!J1437+0)))</f>
        <v>0</v>
      </c>
      <c r="K1437">
        <f>NOT(hospitalityq!K1437="")*(NOT(ISNUMBER(hospitalityq!K1437+0)))</f>
        <v>0</v>
      </c>
      <c r="P1437">
        <f>NOT(hospitalityq!P1437="")*(NOT(IFERROR(INT(hospitalityq!P1437)=VALUE(hospitalityq!P1437),FALSE)))</f>
        <v>0</v>
      </c>
      <c r="Q1437">
        <f>NOT(hospitalityq!Q1437="")*(NOT(IFERROR(INT(hospitalityq!Q1437)=VALUE(hospitalityq!Q1437),FALSE)))</f>
        <v>0</v>
      </c>
      <c r="R1437">
        <f>NOT(hospitalityq!R1437="")*(NOT(IFERROR(ROUND(VALUE(hospitalityq!R1437),2)=VALUE(hospitalityq!R1437),FALSE)))</f>
        <v>0</v>
      </c>
    </row>
    <row r="1438" spans="1:18" x14ac:dyDescent="0.25">
      <c r="A1438">
        <f t="shared" si="22"/>
        <v>0</v>
      </c>
      <c r="C1438">
        <f>NOT(hospitalityq!C1438="")*(SUMPRODUCT(--(TRIM(hospitalityq!C6:C1438)=TRIM(hospitalityq!C1438)))&gt;1)</f>
        <v>0</v>
      </c>
      <c r="D1438">
        <f>NOT(hospitalityq!D1438="")*(COUNTIF(reference!$C$17:$C$18,TRIM(hospitalityq!D1438))=0)</f>
        <v>0</v>
      </c>
      <c r="J1438">
        <f>NOT(hospitalityq!J1438="")*(NOT(ISNUMBER(hospitalityq!J1438+0)))</f>
        <v>0</v>
      </c>
      <c r="K1438">
        <f>NOT(hospitalityq!K1438="")*(NOT(ISNUMBER(hospitalityq!K1438+0)))</f>
        <v>0</v>
      </c>
      <c r="P1438">
        <f>NOT(hospitalityq!P1438="")*(NOT(IFERROR(INT(hospitalityq!P1438)=VALUE(hospitalityq!P1438),FALSE)))</f>
        <v>0</v>
      </c>
      <c r="Q1438">
        <f>NOT(hospitalityq!Q1438="")*(NOT(IFERROR(INT(hospitalityq!Q1438)=VALUE(hospitalityq!Q1438),FALSE)))</f>
        <v>0</v>
      </c>
      <c r="R1438">
        <f>NOT(hospitalityq!R1438="")*(NOT(IFERROR(ROUND(VALUE(hospitalityq!R1438),2)=VALUE(hospitalityq!R1438),FALSE)))</f>
        <v>0</v>
      </c>
    </row>
    <row r="1439" spans="1:18" x14ac:dyDescent="0.25">
      <c r="A1439">
        <f t="shared" si="22"/>
        <v>0</v>
      </c>
      <c r="C1439">
        <f>NOT(hospitalityq!C1439="")*(SUMPRODUCT(--(TRIM(hospitalityq!C6:C1439)=TRIM(hospitalityq!C1439)))&gt;1)</f>
        <v>0</v>
      </c>
      <c r="D1439">
        <f>NOT(hospitalityq!D1439="")*(COUNTIF(reference!$C$17:$C$18,TRIM(hospitalityq!D1439))=0)</f>
        <v>0</v>
      </c>
      <c r="J1439">
        <f>NOT(hospitalityq!J1439="")*(NOT(ISNUMBER(hospitalityq!J1439+0)))</f>
        <v>0</v>
      </c>
      <c r="K1439">
        <f>NOT(hospitalityq!K1439="")*(NOT(ISNUMBER(hospitalityq!K1439+0)))</f>
        <v>0</v>
      </c>
      <c r="P1439">
        <f>NOT(hospitalityq!P1439="")*(NOT(IFERROR(INT(hospitalityq!P1439)=VALUE(hospitalityq!P1439),FALSE)))</f>
        <v>0</v>
      </c>
      <c r="Q1439">
        <f>NOT(hospitalityq!Q1439="")*(NOT(IFERROR(INT(hospitalityq!Q1439)=VALUE(hospitalityq!Q1439),FALSE)))</f>
        <v>0</v>
      </c>
      <c r="R1439">
        <f>NOT(hospitalityq!R1439="")*(NOT(IFERROR(ROUND(VALUE(hospitalityq!R1439),2)=VALUE(hospitalityq!R1439),FALSE)))</f>
        <v>0</v>
      </c>
    </row>
    <row r="1440" spans="1:18" x14ac:dyDescent="0.25">
      <c r="A1440">
        <f t="shared" si="22"/>
        <v>0</v>
      </c>
      <c r="C1440">
        <f>NOT(hospitalityq!C1440="")*(SUMPRODUCT(--(TRIM(hospitalityq!C6:C1440)=TRIM(hospitalityq!C1440)))&gt;1)</f>
        <v>0</v>
      </c>
      <c r="D1440">
        <f>NOT(hospitalityq!D1440="")*(COUNTIF(reference!$C$17:$C$18,TRIM(hospitalityq!D1440))=0)</f>
        <v>0</v>
      </c>
      <c r="J1440">
        <f>NOT(hospitalityq!J1440="")*(NOT(ISNUMBER(hospitalityq!J1440+0)))</f>
        <v>0</v>
      </c>
      <c r="K1440">
        <f>NOT(hospitalityq!K1440="")*(NOT(ISNUMBER(hospitalityq!K1440+0)))</f>
        <v>0</v>
      </c>
      <c r="P1440">
        <f>NOT(hospitalityq!P1440="")*(NOT(IFERROR(INT(hospitalityq!P1440)=VALUE(hospitalityq!P1440),FALSE)))</f>
        <v>0</v>
      </c>
      <c r="Q1440">
        <f>NOT(hospitalityq!Q1440="")*(NOT(IFERROR(INT(hospitalityq!Q1440)=VALUE(hospitalityq!Q1440),FALSE)))</f>
        <v>0</v>
      </c>
      <c r="R1440">
        <f>NOT(hospitalityq!R1440="")*(NOT(IFERROR(ROUND(VALUE(hospitalityq!R1440),2)=VALUE(hospitalityq!R1440),FALSE)))</f>
        <v>0</v>
      </c>
    </row>
    <row r="1441" spans="1:18" x14ac:dyDescent="0.25">
      <c r="A1441">
        <f t="shared" si="22"/>
        <v>0</v>
      </c>
      <c r="C1441">
        <f>NOT(hospitalityq!C1441="")*(SUMPRODUCT(--(TRIM(hospitalityq!C6:C1441)=TRIM(hospitalityq!C1441)))&gt;1)</f>
        <v>0</v>
      </c>
      <c r="D1441">
        <f>NOT(hospitalityq!D1441="")*(COUNTIF(reference!$C$17:$C$18,TRIM(hospitalityq!D1441))=0)</f>
        <v>0</v>
      </c>
      <c r="J1441">
        <f>NOT(hospitalityq!J1441="")*(NOT(ISNUMBER(hospitalityq!J1441+0)))</f>
        <v>0</v>
      </c>
      <c r="K1441">
        <f>NOT(hospitalityq!K1441="")*(NOT(ISNUMBER(hospitalityq!K1441+0)))</f>
        <v>0</v>
      </c>
      <c r="P1441">
        <f>NOT(hospitalityq!P1441="")*(NOT(IFERROR(INT(hospitalityq!P1441)=VALUE(hospitalityq!P1441),FALSE)))</f>
        <v>0</v>
      </c>
      <c r="Q1441">
        <f>NOT(hospitalityq!Q1441="")*(NOT(IFERROR(INT(hospitalityq!Q1441)=VALUE(hospitalityq!Q1441),FALSE)))</f>
        <v>0</v>
      </c>
      <c r="R1441">
        <f>NOT(hospitalityq!R1441="")*(NOT(IFERROR(ROUND(VALUE(hospitalityq!R1441),2)=VALUE(hospitalityq!R1441),FALSE)))</f>
        <v>0</v>
      </c>
    </row>
    <row r="1442" spans="1:18" x14ac:dyDescent="0.25">
      <c r="A1442">
        <f t="shared" si="22"/>
        <v>0</v>
      </c>
      <c r="C1442">
        <f>NOT(hospitalityq!C1442="")*(SUMPRODUCT(--(TRIM(hospitalityq!C6:C1442)=TRIM(hospitalityq!C1442)))&gt;1)</f>
        <v>0</v>
      </c>
      <c r="D1442">
        <f>NOT(hospitalityq!D1442="")*(COUNTIF(reference!$C$17:$C$18,TRIM(hospitalityq!D1442))=0)</f>
        <v>0</v>
      </c>
      <c r="J1442">
        <f>NOT(hospitalityq!J1442="")*(NOT(ISNUMBER(hospitalityq!J1442+0)))</f>
        <v>0</v>
      </c>
      <c r="K1442">
        <f>NOT(hospitalityq!K1442="")*(NOT(ISNUMBER(hospitalityq!K1442+0)))</f>
        <v>0</v>
      </c>
      <c r="P1442">
        <f>NOT(hospitalityq!P1442="")*(NOT(IFERROR(INT(hospitalityq!P1442)=VALUE(hospitalityq!P1442),FALSE)))</f>
        <v>0</v>
      </c>
      <c r="Q1442">
        <f>NOT(hospitalityq!Q1442="")*(NOT(IFERROR(INT(hospitalityq!Q1442)=VALUE(hospitalityq!Q1442),FALSE)))</f>
        <v>0</v>
      </c>
      <c r="R1442">
        <f>NOT(hospitalityq!R1442="")*(NOT(IFERROR(ROUND(VALUE(hospitalityq!R1442),2)=VALUE(hospitalityq!R1442),FALSE)))</f>
        <v>0</v>
      </c>
    </row>
    <row r="1443" spans="1:18" x14ac:dyDescent="0.25">
      <c r="A1443">
        <f t="shared" si="22"/>
        <v>0</v>
      </c>
      <c r="C1443">
        <f>NOT(hospitalityq!C1443="")*(SUMPRODUCT(--(TRIM(hospitalityq!C6:C1443)=TRIM(hospitalityq!C1443)))&gt;1)</f>
        <v>0</v>
      </c>
      <c r="D1443">
        <f>NOT(hospitalityq!D1443="")*(COUNTIF(reference!$C$17:$C$18,TRIM(hospitalityq!D1443))=0)</f>
        <v>0</v>
      </c>
      <c r="J1443">
        <f>NOT(hospitalityq!J1443="")*(NOT(ISNUMBER(hospitalityq!J1443+0)))</f>
        <v>0</v>
      </c>
      <c r="K1443">
        <f>NOT(hospitalityq!K1443="")*(NOT(ISNUMBER(hospitalityq!K1443+0)))</f>
        <v>0</v>
      </c>
      <c r="P1443">
        <f>NOT(hospitalityq!P1443="")*(NOT(IFERROR(INT(hospitalityq!P1443)=VALUE(hospitalityq!P1443),FALSE)))</f>
        <v>0</v>
      </c>
      <c r="Q1443">
        <f>NOT(hospitalityq!Q1443="")*(NOT(IFERROR(INT(hospitalityq!Q1443)=VALUE(hospitalityq!Q1443),FALSE)))</f>
        <v>0</v>
      </c>
      <c r="R1443">
        <f>NOT(hospitalityq!R1443="")*(NOT(IFERROR(ROUND(VALUE(hospitalityq!R1443),2)=VALUE(hospitalityq!R1443),FALSE)))</f>
        <v>0</v>
      </c>
    </row>
    <row r="1444" spans="1:18" x14ac:dyDescent="0.25">
      <c r="A1444">
        <f t="shared" si="22"/>
        <v>0</v>
      </c>
      <c r="C1444">
        <f>NOT(hospitalityq!C1444="")*(SUMPRODUCT(--(TRIM(hospitalityq!C6:C1444)=TRIM(hospitalityq!C1444)))&gt;1)</f>
        <v>0</v>
      </c>
      <c r="D1444">
        <f>NOT(hospitalityq!D1444="")*(COUNTIF(reference!$C$17:$C$18,TRIM(hospitalityq!D1444))=0)</f>
        <v>0</v>
      </c>
      <c r="J1444">
        <f>NOT(hospitalityq!J1444="")*(NOT(ISNUMBER(hospitalityq!J1444+0)))</f>
        <v>0</v>
      </c>
      <c r="K1444">
        <f>NOT(hospitalityq!K1444="")*(NOT(ISNUMBER(hospitalityq!K1444+0)))</f>
        <v>0</v>
      </c>
      <c r="P1444">
        <f>NOT(hospitalityq!P1444="")*(NOT(IFERROR(INT(hospitalityq!P1444)=VALUE(hospitalityq!P1444),FALSE)))</f>
        <v>0</v>
      </c>
      <c r="Q1444">
        <f>NOT(hospitalityq!Q1444="")*(NOT(IFERROR(INT(hospitalityq!Q1444)=VALUE(hospitalityq!Q1444),FALSE)))</f>
        <v>0</v>
      </c>
      <c r="R1444">
        <f>NOT(hospitalityq!R1444="")*(NOT(IFERROR(ROUND(VALUE(hospitalityq!R1444),2)=VALUE(hospitalityq!R1444),FALSE)))</f>
        <v>0</v>
      </c>
    </row>
    <row r="1445" spans="1:18" x14ac:dyDescent="0.25">
      <c r="A1445">
        <f t="shared" si="22"/>
        <v>0</v>
      </c>
      <c r="C1445">
        <f>NOT(hospitalityq!C1445="")*(SUMPRODUCT(--(TRIM(hospitalityq!C6:C1445)=TRIM(hospitalityq!C1445)))&gt;1)</f>
        <v>0</v>
      </c>
      <c r="D1445">
        <f>NOT(hospitalityq!D1445="")*(COUNTIF(reference!$C$17:$C$18,TRIM(hospitalityq!D1445))=0)</f>
        <v>0</v>
      </c>
      <c r="J1445">
        <f>NOT(hospitalityq!J1445="")*(NOT(ISNUMBER(hospitalityq!J1445+0)))</f>
        <v>0</v>
      </c>
      <c r="K1445">
        <f>NOT(hospitalityq!K1445="")*(NOT(ISNUMBER(hospitalityq!K1445+0)))</f>
        <v>0</v>
      </c>
      <c r="P1445">
        <f>NOT(hospitalityq!P1445="")*(NOT(IFERROR(INT(hospitalityq!P1445)=VALUE(hospitalityq!P1445),FALSE)))</f>
        <v>0</v>
      </c>
      <c r="Q1445">
        <f>NOT(hospitalityq!Q1445="")*(NOT(IFERROR(INT(hospitalityq!Q1445)=VALUE(hospitalityq!Q1445),FALSE)))</f>
        <v>0</v>
      </c>
      <c r="R1445">
        <f>NOT(hospitalityq!R1445="")*(NOT(IFERROR(ROUND(VALUE(hospitalityq!R1445),2)=VALUE(hospitalityq!R1445),FALSE)))</f>
        <v>0</v>
      </c>
    </row>
    <row r="1446" spans="1:18" x14ac:dyDescent="0.25">
      <c r="A1446">
        <f t="shared" si="22"/>
        <v>0</v>
      </c>
      <c r="C1446">
        <f>NOT(hospitalityq!C1446="")*(SUMPRODUCT(--(TRIM(hospitalityq!C6:C1446)=TRIM(hospitalityq!C1446)))&gt;1)</f>
        <v>0</v>
      </c>
      <c r="D1446">
        <f>NOT(hospitalityq!D1446="")*(COUNTIF(reference!$C$17:$C$18,TRIM(hospitalityq!D1446))=0)</f>
        <v>0</v>
      </c>
      <c r="J1446">
        <f>NOT(hospitalityq!J1446="")*(NOT(ISNUMBER(hospitalityq!J1446+0)))</f>
        <v>0</v>
      </c>
      <c r="K1446">
        <f>NOT(hospitalityq!K1446="")*(NOT(ISNUMBER(hospitalityq!K1446+0)))</f>
        <v>0</v>
      </c>
      <c r="P1446">
        <f>NOT(hospitalityq!P1446="")*(NOT(IFERROR(INT(hospitalityq!P1446)=VALUE(hospitalityq!P1446),FALSE)))</f>
        <v>0</v>
      </c>
      <c r="Q1446">
        <f>NOT(hospitalityq!Q1446="")*(NOT(IFERROR(INT(hospitalityq!Q1446)=VALUE(hospitalityq!Q1446),FALSE)))</f>
        <v>0</v>
      </c>
      <c r="R1446">
        <f>NOT(hospitalityq!R1446="")*(NOT(IFERROR(ROUND(VALUE(hospitalityq!R1446),2)=VALUE(hospitalityq!R1446),FALSE)))</f>
        <v>0</v>
      </c>
    </row>
    <row r="1447" spans="1:18" x14ac:dyDescent="0.25">
      <c r="A1447">
        <f t="shared" si="22"/>
        <v>0</v>
      </c>
      <c r="C1447">
        <f>NOT(hospitalityq!C1447="")*(SUMPRODUCT(--(TRIM(hospitalityq!C6:C1447)=TRIM(hospitalityq!C1447)))&gt;1)</f>
        <v>0</v>
      </c>
      <c r="D1447">
        <f>NOT(hospitalityq!D1447="")*(COUNTIF(reference!$C$17:$C$18,TRIM(hospitalityq!D1447))=0)</f>
        <v>0</v>
      </c>
      <c r="J1447">
        <f>NOT(hospitalityq!J1447="")*(NOT(ISNUMBER(hospitalityq!J1447+0)))</f>
        <v>0</v>
      </c>
      <c r="K1447">
        <f>NOT(hospitalityq!K1447="")*(NOT(ISNUMBER(hospitalityq!K1447+0)))</f>
        <v>0</v>
      </c>
      <c r="P1447">
        <f>NOT(hospitalityq!P1447="")*(NOT(IFERROR(INT(hospitalityq!P1447)=VALUE(hospitalityq!P1447),FALSE)))</f>
        <v>0</v>
      </c>
      <c r="Q1447">
        <f>NOT(hospitalityq!Q1447="")*(NOT(IFERROR(INT(hospitalityq!Q1447)=VALUE(hospitalityq!Q1447),FALSE)))</f>
        <v>0</v>
      </c>
      <c r="R1447">
        <f>NOT(hospitalityq!R1447="")*(NOT(IFERROR(ROUND(VALUE(hospitalityq!R1447),2)=VALUE(hospitalityq!R1447),FALSE)))</f>
        <v>0</v>
      </c>
    </row>
    <row r="1448" spans="1:18" x14ac:dyDescent="0.25">
      <c r="A1448">
        <f t="shared" si="22"/>
        <v>0</v>
      </c>
      <c r="C1448">
        <f>NOT(hospitalityq!C1448="")*(SUMPRODUCT(--(TRIM(hospitalityq!C6:C1448)=TRIM(hospitalityq!C1448)))&gt;1)</f>
        <v>0</v>
      </c>
      <c r="D1448">
        <f>NOT(hospitalityq!D1448="")*(COUNTIF(reference!$C$17:$C$18,TRIM(hospitalityq!D1448))=0)</f>
        <v>0</v>
      </c>
      <c r="J1448">
        <f>NOT(hospitalityq!J1448="")*(NOT(ISNUMBER(hospitalityq!J1448+0)))</f>
        <v>0</v>
      </c>
      <c r="K1448">
        <f>NOT(hospitalityq!K1448="")*(NOT(ISNUMBER(hospitalityq!K1448+0)))</f>
        <v>0</v>
      </c>
      <c r="P1448">
        <f>NOT(hospitalityq!P1448="")*(NOT(IFERROR(INT(hospitalityq!P1448)=VALUE(hospitalityq!P1448),FALSE)))</f>
        <v>0</v>
      </c>
      <c r="Q1448">
        <f>NOT(hospitalityq!Q1448="")*(NOT(IFERROR(INT(hospitalityq!Q1448)=VALUE(hospitalityq!Q1448),FALSE)))</f>
        <v>0</v>
      </c>
      <c r="R1448">
        <f>NOT(hospitalityq!R1448="")*(NOT(IFERROR(ROUND(VALUE(hospitalityq!R1448),2)=VALUE(hospitalityq!R1448),FALSE)))</f>
        <v>0</v>
      </c>
    </row>
    <row r="1449" spans="1:18" x14ac:dyDescent="0.25">
      <c r="A1449">
        <f t="shared" si="22"/>
        <v>0</v>
      </c>
      <c r="C1449">
        <f>NOT(hospitalityq!C1449="")*(SUMPRODUCT(--(TRIM(hospitalityq!C6:C1449)=TRIM(hospitalityq!C1449)))&gt;1)</f>
        <v>0</v>
      </c>
      <c r="D1449">
        <f>NOT(hospitalityq!D1449="")*(COUNTIF(reference!$C$17:$C$18,TRIM(hospitalityq!D1449))=0)</f>
        <v>0</v>
      </c>
      <c r="J1449">
        <f>NOT(hospitalityq!J1449="")*(NOT(ISNUMBER(hospitalityq!J1449+0)))</f>
        <v>0</v>
      </c>
      <c r="K1449">
        <f>NOT(hospitalityq!K1449="")*(NOT(ISNUMBER(hospitalityq!K1449+0)))</f>
        <v>0</v>
      </c>
      <c r="P1449">
        <f>NOT(hospitalityq!P1449="")*(NOT(IFERROR(INT(hospitalityq!P1449)=VALUE(hospitalityq!P1449),FALSE)))</f>
        <v>0</v>
      </c>
      <c r="Q1449">
        <f>NOT(hospitalityq!Q1449="")*(NOT(IFERROR(INT(hospitalityq!Q1449)=VALUE(hospitalityq!Q1449),FALSE)))</f>
        <v>0</v>
      </c>
      <c r="R1449">
        <f>NOT(hospitalityq!R1449="")*(NOT(IFERROR(ROUND(VALUE(hospitalityq!R1449),2)=VALUE(hospitalityq!R1449),FALSE)))</f>
        <v>0</v>
      </c>
    </row>
    <row r="1450" spans="1:18" x14ac:dyDescent="0.25">
      <c r="A1450">
        <f t="shared" si="22"/>
        <v>0</v>
      </c>
      <c r="C1450">
        <f>NOT(hospitalityq!C1450="")*(SUMPRODUCT(--(TRIM(hospitalityq!C6:C1450)=TRIM(hospitalityq!C1450)))&gt;1)</f>
        <v>0</v>
      </c>
      <c r="D1450">
        <f>NOT(hospitalityq!D1450="")*(COUNTIF(reference!$C$17:$C$18,TRIM(hospitalityq!D1450))=0)</f>
        <v>0</v>
      </c>
      <c r="J1450">
        <f>NOT(hospitalityq!J1450="")*(NOT(ISNUMBER(hospitalityq!J1450+0)))</f>
        <v>0</v>
      </c>
      <c r="K1450">
        <f>NOT(hospitalityq!K1450="")*(NOT(ISNUMBER(hospitalityq!K1450+0)))</f>
        <v>0</v>
      </c>
      <c r="P1450">
        <f>NOT(hospitalityq!P1450="")*(NOT(IFERROR(INT(hospitalityq!P1450)=VALUE(hospitalityq!P1450),FALSE)))</f>
        <v>0</v>
      </c>
      <c r="Q1450">
        <f>NOT(hospitalityq!Q1450="")*(NOT(IFERROR(INT(hospitalityq!Q1450)=VALUE(hospitalityq!Q1450),FALSE)))</f>
        <v>0</v>
      </c>
      <c r="R1450">
        <f>NOT(hospitalityq!R1450="")*(NOT(IFERROR(ROUND(VALUE(hospitalityq!R1450),2)=VALUE(hospitalityq!R1450),FALSE)))</f>
        <v>0</v>
      </c>
    </row>
    <row r="1451" spans="1:18" x14ac:dyDescent="0.25">
      <c r="A1451">
        <f t="shared" si="22"/>
        <v>0</v>
      </c>
      <c r="C1451">
        <f>NOT(hospitalityq!C1451="")*(SUMPRODUCT(--(TRIM(hospitalityq!C6:C1451)=TRIM(hospitalityq!C1451)))&gt;1)</f>
        <v>0</v>
      </c>
      <c r="D1451">
        <f>NOT(hospitalityq!D1451="")*(COUNTIF(reference!$C$17:$C$18,TRIM(hospitalityq!D1451))=0)</f>
        <v>0</v>
      </c>
      <c r="J1451">
        <f>NOT(hospitalityq!J1451="")*(NOT(ISNUMBER(hospitalityq!J1451+0)))</f>
        <v>0</v>
      </c>
      <c r="K1451">
        <f>NOT(hospitalityq!K1451="")*(NOT(ISNUMBER(hospitalityq!K1451+0)))</f>
        <v>0</v>
      </c>
      <c r="P1451">
        <f>NOT(hospitalityq!P1451="")*(NOT(IFERROR(INT(hospitalityq!P1451)=VALUE(hospitalityq!P1451),FALSE)))</f>
        <v>0</v>
      </c>
      <c r="Q1451">
        <f>NOT(hospitalityq!Q1451="")*(NOT(IFERROR(INT(hospitalityq!Q1451)=VALUE(hospitalityq!Q1451),FALSE)))</f>
        <v>0</v>
      </c>
      <c r="R1451">
        <f>NOT(hospitalityq!R1451="")*(NOT(IFERROR(ROUND(VALUE(hospitalityq!R1451),2)=VALUE(hospitalityq!R1451),FALSE)))</f>
        <v>0</v>
      </c>
    </row>
    <row r="1452" spans="1:18" x14ac:dyDescent="0.25">
      <c r="A1452">
        <f t="shared" si="22"/>
        <v>0</v>
      </c>
      <c r="C1452">
        <f>NOT(hospitalityq!C1452="")*(SUMPRODUCT(--(TRIM(hospitalityq!C6:C1452)=TRIM(hospitalityq!C1452)))&gt;1)</f>
        <v>0</v>
      </c>
      <c r="D1452">
        <f>NOT(hospitalityq!D1452="")*(COUNTIF(reference!$C$17:$C$18,TRIM(hospitalityq!D1452))=0)</f>
        <v>0</v>
      </c>
      <c r="J1452">
        <f>NOT(hospitalityq!J1452="")*(NOT(ISNUMBER(hospitalityq!J1452+0)))</f>
        <v>0</v>
      </c>
      <c r="K1452">
        <f>NOT(hospitalityq!K1452="")*(NOT(ISNUMBER(hospitalityq!K1452+0)))</f>
        <v>0</v>
      </c>
      <c r="P1452">
        <f>NOT(hospitalityq!P1452="")*(NOT(IFERROR(INT(hospitalityq!P1452)=VALUE(hospitalityq!P1452),FALSE)))</f>
        <v>0</v>
      </c>
      <c r="Q1452">
        <f>NOT(hospitalityq!Q1452="")*(NOT(IFERROR(INT(hospitalityq!Q1452)=VALUE(hospitalityq!Q1452),FALSE)))</f>
        <v>0</v>
      </c>
      <c r="R1452">
        <f>NOT(hospitalityq!R1452="")*(NOT(IFERROR(ROUND(VALUE(hospitalityq!R1452),2)=VALUE(hospitalityq!R1452),FALSE)))</f>
        <v>0</v>
      </c>
    </row>
    <row r="1453" spans="1:18" x14ac:dyDescent="0.25">
      <c r="A1453">
        <f t="shared" si="22"/>
        <v>0</v>
      </c>
      <c r="C1453">
        <f>NOT(hospitalityq!C1453="")*(SUMPRODUCT(--(TRIM(hospitalityq!C6:C1453)=TRIM(hospitalityq!C1453)))&gt;1)</f>
        <v>0</v>
      </c>
      <c r="D1453">
        <f>NOT(hospitalityq!D1453="")*(COUNTIF(reference!$C$17:$C$18,TRIM(hospitalityq!D1453))=0)</f>
        <v>0</v>
      </c>
      <c r="J1453">
        <f>NOT(hospitalityq!J1453="")*(NOT(ISNUMBER(hospitalityq!J1453+0)))</f>
        <v>0</v>
      </c>
      <c r="K1453">
        <f>NOT(hospitalityq!K1453="")*(NOT(ISNUMBER(hospitalityq!K1453+0)))</f>
        <v>0</v>
      </c>
      <c r="P1453">
        <f>NOT(hospitalityq!P1453="")*(NOT(IFERROR(INT(hospitalityq!P1453)=VALUE(hospitalityq!P1453),FALSE)))</f>
        <v>0</v>
      </c>
      <c r="Q1453">
        <f>NOT(hospitalityq!Q1453="")*(NOT(IFERROR(INT(hospitalityq!Q1453)=VALUE(hospitalityq!Q1453),FALSE)))</f>
        <v>0</v>
      </c>
      <c r="R1453">
        <f>NOT(hospitalityq!R1453="")*(NOT(IFERROR(ROUND(VALUE(hospitalityq!R1453),2)=VALUE(hospitalityq!R1453),FALSE)))</f>
        <v>0</v>
      </c>
    </row>
    <row r="1454" spans="1:18" x14ac:dyDescent="0.25">
      <c r="A1454">
        <f t="shared" si="22"/>
        <v>0</v>
      </c>
      <c r="C1454">
        <f>NOT(hospitalityq!C1454="")*(SUMPRODUCT(--(TRIM(hospitalityq!C6:C1454)=TRIM(hospitalityq!C1454)))&gt;1)</f>
        <v>0</v>
      </c>
      <c r="D1454">
        <f>NOT(hospitalityq!D1454="")*(COUNTIF(reference!$C$17:$C$18,TRIM(hospitalityq!D1454))=0)</f>
        <v>0</v>
      </c>
      <c r="J1454">
        <f>NOT(hospitalityq!J1454="")*(NOT(ISNUMBER(hospitalityq!J1454+0)))</f>
        <v>0</v>
      </c>
      <c r="K1454">
        <f>NOT(hospitalityq!K1454="")*(NOT(ISNUMBER(hospitalityq!K1454+0)))</f>
        <v>0</v>
      </c>
      <c r="P1454">
        <f>NOT(hospitalityq!P1454="")*(NOT(IFERROR(INT(hospitalityq!P1454)=VALUE(hospitalityq!P1454),FALSE)))</f>
        <v>0</v>
      </c>
      <c r="Q1454">
        <f>NOT(hospitalityq!Q1454="")*(NOT(IFERROR(INT(hospitalityq!Q1454)=VALUE(hospitalityq!Q1454),FALSE)))</f>
        <v>0</v>
      </c>
      <c r="R1454">
        <f>NOT(hospitalityq!R1454="")*(NOT(IFERROR(ROUND(VALUE(hospitalityq!R1454),2)=VALUE(hospitalityq!R1454),FALSE)))</f>
        <v>0</v>
      </c>
    </row>
    <row r="1455" spans="1:18" x14ac:dyDescent="0.25">
      <c r="A1455">
        <f t="shared" si="22"/>
        <v>0</v>
      </c>
      <c r="C1455">
        <f>NOT(hospitalityq!C1455="")*(SUMPRODUCT(--(TRIM(hospitalityq!C6:C1455)=TRIM(hospitalityq!C1455)))&gt;1)</f>
        <v>0</v>
      </c>
      <c r="D1455">
        <f>NOT(hospitalityq!D1455="")*(COUNTIF(reference!$C$17:$C$18,TRIM(hospitalityq!D1455))=0)</f>
        <v>0</v>
      </c>
      <c r="J1455">
        <f>NOT(hospitalityq!J1455="")*(NOT(ISNUMBER(hospitalityq!J1455+0)))</f>
        <v>0</v>
      </c>
      <c r="K1455">
        <f>NOT(hospitalityq!K1455="")*(NOT(ISNUMBER(hospitalityq!K1455+0)))</f>
        <v>0</v>
      </c>
      <c r="P1455">
        <f>NOT(hospitalityq!P1455="")*(NOT(IFERROR(INT(hospitalityq!P1455)=VALUE(hospitalityq!P1455),FALSE)))</f>
        <v>0</v>
      </c>
      <c r="Q1455">
        <f>NOT(hospitalityq!Q1455="")*(NOT(IFERROR(INT(hospitalityq!Q1455)=VALUE(hospitalityq!Q1455),FALSE)))</f>
        <v>0</v>
      </c>
      <c r="R1455">
        <f>NOT(hospitalityq!R1455="")*(NOT(IFERROR(ROUND(VALUE(hospitalityq!R1455),2)=VALUE(hospitalityq!R1455),FALSE)))</f>
        <v>0</v>
      </c>
    </row>
    <row r="1456" spans="1:18" x14ac:dyDescent="0.25">
      <c r="A1456">
        <f t="shared" si="22"/>
        <v>0</v>
      </c>
      <c r="C1456">
        <f>NOT(hospitalityq!C1456="")*(SUMPRODUCT(--(TRIM(hospitalityq!C6:C1456)=TRIM(hospitalityq!C1456)))&gt;1)</f>
        <v>0</v>
      </c>
      <c r="D1456">
        <f>NOT(hospitalityq!D1456="")*(COUNTIF(reference!$C$17:$C$18,TRIM(hospitalityq!D1456))=0)</f>
        <v>0</v>
      </c>
      <c r="J1456">
        <f>NOT(hospitalityq!J1456="")*(NOT(ISNUMBER(hospitalityq!J1456+0)))</f>
        <v>0</v>
      </c>
      <c r="K1456">
        <f>NOT(hospitalityq!K1456="")*(NOT(ISNUMBER(hospitalityq!K1456+0)))</f>
        <v>0</v>
      </c>
      <c r="P1456">
        <f>NOT(hospitalityq!P1456="")*(NOT(IFERROR(INT(hospitalityq!P1456)=VALUE(hospitalityq!P1456),FALSE)))</f>
        <v>0</v>
      </c>
      <c r="Q1456">
        <f>NOT(hospitalityq!Q1456="")*(NOT(IFERROR(INT(hospitalityq!Q1456)=VALUE(hospitalityq!Q1456),FALSE)))</f>
        <v>0</v>
      </c>
      <c r="R1456">
        <f>NOT(hospitalityq!R1456="")*(NOT(IFERROR(ROUND(VALUE(hospitalityq!R1456),2)=VALUE(hospitalityq!R1456),FALSE)))</f>
        <v>0</v>
      </c>
    </row>
    <row r="1457" spans="1:18" x14ac:dyDescent="0.25">
      <c r="A1457">
        <f t="shared" si="22"/>
        <v>0</v>
      </c>
      <c r="C1457">
        <f>NOT(hospitalityq!C1457="")*(SUMPRODUCT(--(TRIM(hospitalityq!C6:C1457)=TRIM(hospitalityq!C1457)))&gt;1)</f>
        <v>0</v>
      </c>
      <c r="D1457">
        <f>NOT(hospitalityq!D1457="")*(COUNTIF(reference!$C$17:$C$18,TRIM(hospitalityq!D1457))=0)</f>
        <v>0</v>
      </c>
      <c r="J1457">
        <f>NOT(hospitalityq!J1457="")*(NOT(ISNUMBER(hospitalityq!J1457+0)))</f>
        <v>0</v>
      </c>
      <c r="K1457">
        <f>NOT(hospitalityq!K1457="")*(NOT(ISNUMBER(hospitalityq!K1457+0)))</f>
        <v>0</v>
      </c>
      <c r="P1457">
        <f>NOT(hospitalityq!P1457="")*(NOT(IFERROR(INT(hospitalityq!P1457)=VALUE(hospitalityq!P1457),FALSE)))</f>
        <v>0</v>
      </c>
      <c r="Q1457">
        <f>NOT(hospitalityq!Q1457="")*(NOT(IFERROR(INT(hospitalityq!Q1457)=VALUE(hospitalityq!Q1457),FALSE)))</f>
        <v>0</v>
      </c>
      <c r="R1457">
        <f>NOT(hospitalityq!R1457="")*(NOT(IFERROR(ROUND(VALUE(hospitalityq!R1457),2)=VALUE(hospitalityq!R1457),FALSE)))</f>
        <v>0</v>
      </c>
    </row>
    <row r="1458" spans="1:18" x14ac:dyDescent="0.25">
      <c r="A1458">
        <f t="shared" si="22"/>
        <v>0</v>
      </c>
      <c r="C1458">
        <f>NOT(hospitalityq!C1458="")*(SUMPRODUCT(--(TRIM(hospitalityq!C6:C1458)=TRIM(hospitalityq!C1458)))&gt;1)</f>
        <v>0</v>
      </c>
      <c r="D1458">
        <f>NOT(hospitalityq!D1458="")*(COUNTIF(reference!$C$17:$C$18,TRIM(hospitalityq!D1458))=0)</f>
        <v>0</v>
      </c>
      <c r="J1458">
        <f>NOT(hospitalityq!J1458="")*(NOT(ISNUMBER(hospitalityq!J1458+0)))</f>
        <v>0</v>
      </c>
      <c r="K1458">
        <f>NOT(hospitalityq!K1458="")*(NOT(ISNUMBER(hospitalityq!K1458+0)))</f>
        <v>0</v>
      </c>
      <c r="P1458">
        <f>NOT(hospitalityq!P1458="")*(NOT(IFERROR(INT(hospitalityq!P1458)=VALUE(hospitalityq!P1458),FALSE)))</f>
        <v>0</v>
      </c>
      <c r="Q1458">
        <f>NOT(hospitalityq!Q1458="")*(NOT(IFERROR(INT(hospitalityq!Q1458)=VALUE(hospitalityq!Q1458),FALSE)))</f>
        <v>0</v>
      </c>
      <c r="R1458">
        <f>NOT(hospitalityq!R1458="")*(NOT(IFERROR(ROUND(VALUE(hospitalityq!R1458),2)=VALUE(hospitalityq!R1458),FALSE)))</f>
        <v>0</v>
      </c>
    </row>
    <row r="1459" spans="1:18" x14ac:dyDescent="0.25">
      <c r="A1459">
        <f t="shared" si="22"/>
        <v>0</v>
      </c>
      <c r="C1459">
        <f>NOT(hospitalityq!C1459="")*(SUMPRODUCT(--(TRIM(hospitalityq!C6:C1459)=TRIM(hospitalityq!C1459)))&gt;1)</f>
        <v>0</v>
      </c>
      <c r="D1459">
        <f>NOT(hospitalityq!D1459="")*(COUNTIF(reference!$C$17:$C$18,TRIM(hospitalityq!D1459))=0)</f>
        <v>0</v>
      </c>
      <c r="J1459">
        <f>NOT(hospitalityq!J1459="")*(NOT(ISNUMBER(hospitalityq!J1459+0)))</f>
        <v>0</v>
      </c>
      <c r="K1459">
        <f>NOT(hospitalityq!K1459="")*(NOT(ISNUMBER(hospitalityq!K1459+0)))</f>
        <v>0</v>
      </c>
      <c r="P1459">
        <f>NOT(hospitalityq!P1459="")*(NOT(IFERROR(INT(hospitalityq!P1459)=VALUE(hospitalityq!P1459),FALSE)))</f>
        <v>0</v>
      </c>
      <c r="Q1459">
        <f>NOT(hospitalityq!Q1459="")*(NOT(IFERROR(INT(hospitalityq!Q1459)=VALUE(hospitalityq!Q1459),FALSE)))</f>
        <v>0</v>
      </c>
      <c r="R1459">
        <f>NOT(hospitalityq!R1459="")*(NOT(IFERROR(ROUND(VALUE(hospitalityq!R1459),2)=VALUE(hospitalityq!R1459),FALSE)))</f>
        <v>0</v>
      </c>
    </row>
    <row r="1460" spans="1:18" x14ac:dyDescent="0.25">
      <c r="A1460">
        <f t="shared" si="22"/>
        <v>0</v>
      </c>
      <c r="C1460">
        <f>NOT(hospitalityq!C1460="")*(SUMPRODUCT(--(TRIM(hospitalityq!C6:C1460)=TRIM(hospitalityq!C1460)))&gt;1)</f>
        <v>0</v>
      </c>
      <c r="D1460">
        <f>NOT(hospitalityq!D1460="")*(COUNTIF(reference!$C$17:$C$18,TRIM(hospitalityq!D1460))=0)</f>
        <v>0</v>
      </c>
      <c r="J1460">
        <f>NOT(hospitalityq!J1460="")*(NOT(ISNUMBER(hospitalityq!J1460+0)))</f>
        <v>0</v>
      </c>
      <c r="K1460">
        <f>NOT(hospitalityq!K1460="")*(NOT(ISNUMBER(hospitalityq!K1460+0)))</f>
        <v>0</v>
      </c>
      <c r="P1460">
        <f>NOT(hospitalityq!P1460="")*(NOT(IFERROR(INT(hospitalityq!P1460)=VALUE(hospitalityq!P1460),FALSE)))</f>
        <v>0</v>
      </c>
      <c r="Q1460">
        <f>NOT(hospitalityq!Q1460="")*(NOT(IFERROR(INT(hospitalityq!Q1460)=VALUE(hospitalityq!Q1460),FALSE)))</f>
        <v>0</v>
      </c>
      <c r="R1460">
        <f>NOT(hospitalityq!R1460="")*(NOT(IFERROR(ROUND(VALUE(hospitalityq!R1460),2)=VALUE(hospitalityq!R1460),FALSE)))</f>
        <v>0</v>
      </c>
    </row>
    <row r="1461" spans="1:18" x14ac:dyDescent="0.25">
      <c r="A1461">
        <f t="shared" si="22"/>
        <v>0</v>
      </c>
      <c r="C1461">
        <f>NOT(hospitalityq!C1461="")*(SUMPRODUCT(--(TRIM(hospitalityq!C6:C1461)=TRIM(hospitalityq!C1461)))&gt;1)</f>
        <v>0</v>
      </c>
      <c r="D1461">
        <f>NOT(hospitalityq!D1461="")*(COUNTIF(reference!$C$17:$C$18,TRIM(hospitalityq!D1461))=0)</f>
        <v>0</v>
      </c>
      <c r="J1461">
        <f>NOT(hospitalityq!J1461="")*(NOT(ISNUMBER(hospitalityq!J1461+0)))</f>
        <v>0</v>
      </c>
      <c r="K1461">
        <f>NOT(hospitalityq!K1461="")*(NOT(ISNUMBER(hospitalityq!K1461+0)))</f>
        <v>0</v>
      </c>
      <c r="P1461">
        <f>NOT(hospitalityq!P1461="")*(NOT(IFERROR(INT(hospitalityq!P1461)=VALUE(hospitalityq!P1461),FALSE)))</f>
        <v>0</v>
      </c>
      <c r="Q1461">
        <f>NOT(hospitalityq!Q1461="")*(NOT(IFERROR(INT(hospitalityq!Q1461)=VALUE(hospitalityq!Q1461),FALSE)))</f>
        <v>0</v>
      </c>
      <c r="R1461">
        <f>NOT(hospitalityq!R1461="")*(NOT(IFERROR(ROUND(VALUE(hospitalityq!R1461),2)=VALUE(hospitalityq!R1461),FALSE)))</f>
        <v>0</v>
      </c>
    </row>
    <row r="1462" spans="1:18" x14ac:dyDescent="0.25">
      <c r="A1462">
        <f t="shared" si="22"/>
        <v>0</v>
      </c>
      <c r="C1462">
        <f>NOT(hospitalityq!C1462="")*(SUMPRODUCT(--(TRIM(hospitalityq!C6:C1462)=TRIM(hospitalityq!C1462)))&gt;1)</f>
        <v>0</v>
      </c>
      <c r="D1462">
        <f>NOT(hospitalityq!D1462="")*(COUNTIF(reference!$C$17:$C$18,TRIM(hospitalityq!D1462))=0)</f>
        <v>0</v>
      </c>
      <c r="J1462">
        <f>NOT(hospitalityq!J1462="")*(NOT(ISNUMBER(hospitalityq!J1462+0)))</f>
        <v>0</v>
      </c>
      <c r="K1462">
        <f>NOT(hospitalityq!K1462="")*(NOT(ISNUMBER(hospitalityq!K1462+0)))</f>
        <v>0</v>
      </c>
      <c r="P1462">
        <f>NOT(hospitalityq!P1462="")*(NOT(IFERROR(INT(hospitalityq!P1462)=VALUE(hospitalityq!P1462),FALSE)))</f>
        <v>0</v>
      </c>
      <c r="Q1462">
        <f>NOT(hospitalityq!Q1462="")*(NOT(IFERROR(INT(hospitalityq!Q1462)=VALUE(hospitalityq!Q1462),FALSE)))</f>
        <v>0</v>
      </c>
      <c r="R1462">
        <f>NOT(hospitalityq!R1462="")*(NOT(IFERROR(ROUND(VALUE(hospitalityq!R1462),2)=VALUE(hospitalityq!R1462),FALSE)))</f>
        <v>0</v>
      </c>
    </row>
    <row r="1463" spans="1:18" x14ac:dyDescent="0.25">
      <c r="A1463">
        <f t="shared" si="22"/>
        <v>0</v>
      </c>
      <c r="C1463">
        <f>NOT(hospitalityq!C1463="")*(SUMPRODUCT(--(TRIM(hospitalityq!C6:C1463)=TRIM(hospitalityq!C1463)))&gt;1)</f>
        <v>0</v>
      </c>
      <c r="D1463">
        <f>NOT(hospitalityq!D1463="")*(COUNTIF(reference!$C$17:$C$18,TRIM(hospitalityq!D1463))=0)</f>
        <v>0</v>
      </c>
      <c r="J1463">
        <f>NOT(hospitalityq!J1463="")*(NOT(ISNUMBER(hospitalityq!J1463+0)))</f>
        <v>0</v>
      </c>
      <c r="K1463">
        <f>NOT(hospitalityq!K1463="")*(NOT(ISNUMBER(hospitalityq!K1463+0)))</f>
        <v>0</v>
      </c>
      <c r="P1463">
        <f>NOT(hospitalityq!P1463="")*(NOT(IFERROR(INT(hospitalityq!P1463)=VALUE(hospitalityq!P1463),FALSE)))</f>
        <v>0</v>
      </c>
      <c r="Q1463">
        <f>NOT(hospitalityq!Q1463="")*(NOT(IFERROR(INT(hospitalityq!Q1463)=VALUE(hospitalityq!Q1463),FALSE)))</f>
        <v>0</v>
      </c>
      <c r="R1463">
        <f>NOT(hospitalityq!R1463="")*(NOT(IFERROR(ROUND(VALUE(hospitalityq!R1463),2)=VALUE(hospitalityq!R1463),FALSE)))</f>
        <v>0</v>
      </c>
    </row>
    <row r="1464" spans="1:18" x14ac:dyDescent="0.25">
      <c r="A1464">
        <f t="shared" si="22"/>
        <v>0</v>
      </c>
      <c r="C1464">
        <f>NOT(hospitalityq!C1464="")*(SUMPRODUCT(--(TRIM(hospitalityq!C6:C1464)=TRIM(hospitalityq!C1464)))&gt;1)</f>
        <v>0</v>
      </c>
      <c r="D1464">
        <f>NOT(hospitalityq!D1464="")*(COUNTIF(reference!$C$17:$C$18,TRIM(hospitalityq!D1464))=0)</f>
        <v>0</v>
      </c>
      <c r="J1464">
        <f>NOT(hospitalityq!J1464="")*(NOT(ISNUMBER(hospitalityq!J1464+0)))</f>
        <v>0</v>
      </c>
      <c r="K1464">
        <f>NOT(hospitalityq!K1464="")*(NOT(ISNUMBER(hospitalityq!K1464+0)))</f>
        <v>0</v>
      </c>
      <c r="P1464">
        <f>NOT(hospitalityq!P1464="")*(NOT(IFERROR(INT(hospitalityq!P1464)=VALUE(hospitalityq!P1464),FALSE)))</f>
        <v>0</v>
      </c>
      <c r="Q1464">
        <f>NOT(hospitalityq!Q1464="")*(NOT(IFERROR(INT(hospitalityq!Q1464)=VALUE(hospitalityq!Q1464),FALSE)))</f>
        <v>0</v>
      </c>
      <c r="R1464">
        <f>NOT(hospitalityq!R1464="")*(NOT(IFERROR(ROUND(VALUE(hospitalityq!R1464),2)=VALUE(hospitalityq!R1464),FALSE)))</f>
        <v>0</v>
      </c>
    </row>
    <row r="1465" spans="1:18" x14ac:dyDescent="0.25">
      <c r="A1465">
        <f t="shared" si="22"/>
        <v>0</v>
      </c>
      <c r="C1465">
        <f>NOT(hospitalityq!C1465="")*(SUMPRODUCT(--(TRIM(hospitalityq!C6:C1465)=TRIM(hospitalityq!C1465)))&gt;1)</f>
        <v>0</v>
      </c>
      <c r="D1465">
        <f>NOT(hospitalityq!D1465="")*(COUNTIF(reference!$C$17:$C$18,TRIM(hospitalityq!D1465))=0)</f>
        <v>0</v>
      </c>
      <c r="J1465">
        <f>NOT(hospitalityq!J1465="")*(NOT(ISNUMBER(hospitalityq!J1465+0)))</f>
        <v>0</v>
      </c>
      <c r="K1465">
        <f>NOT(hospitalityq!K1465="")*(NOT(ISNUMBER(hospitalityq!K1465+0)))</f>
        <v>0</v>
      </c>
      <c r="P1465">
        <f>NOT(hospitalityq!P1465="")*(NOT(IFERROR(INT(hospitalityq!P1465)=VALUE(hospitalityq!P1465),FALSE)))</f>
        <v>0</v>
      </c>
      <c r="Q1465">
        <f>NOT(hospitalityq!Q1465="")*(NOT(IFERROR(INT(hospitalityq!Q1465)=VALUE(hospitalityq!Q1465),FALSE)))</f>
        <v>0</v>
      </c>
      <c r="R1465">
        <f>NOT(hospitalityq!R1465="")*(NOT(IFERROR(ROUND(VALUE(hospitalityq!R1465),2)=VALUE(hospitalityq!R1465),FALSE)))</f>
        <v>0</v>
      </c>
    </row>
    <row r="1466" spans="1:18" x14ac:dyDescent="0.25">
      <c r="A1466">
        <f t="shared" si="22"/>
        <v>0</v>
      </c>
      <c r="C1466">
        <f>NOT(hospitalityq!C1466="")*(SUMPRODUCT(--(TRIM(hospitalityq!C6:C1466)=TRIM(hospitalityq!C1466)))&gt;1)</f>
        <v>0</v>
      </c>
      <c r="D1466">
        <f>NOT(hospitalityq!D1466="")*(COUNTIF(reference!$C$17:$C$18,TRIM(hospitalityq!D1466))=0)</f>
        <v>0</v>
      </c>
      <c r="J1466">
        <f>NOT(hospitalityq!J1466="")*(NOT(ISNUMBER(hospitalityq!J1466+0)))</f>
        <v>0</v>
      </c>
      <c r="K1466">
        <f>NOT(hospitalityq!K1466="")*(NOT(ISNUMBER(hospitalityq!K1466+0)))</f>
        <v>0</v>
      </c>
      <c r="P1466">
        <f>NOT(hospitalityq!P1466="")*(NOT(IFERROR(INT(hospitalityq!P1466)=VALUE(hospitalityq!P1466),FALSE)))</f>
        <v>0</v>
      </c>
      <c r="Q1466">
        <f>NOT(hospitalityq!Q1466="")*(NOT(IFERROR(INT(hospitalityq!Q1466)=VALUE(hospitalityq!Q1466),FALSE)))</f>
        <v>0</v>
      </c>
      <c r="R1466">
        <f>NOT(hospitalityq!R1466="")*(NOT(IFERROR(ROUND(VALUE(hospitalityq!R1466),2)=VALUE(hospitalityq!R1466),FALSE)))</f>
        <v>0</v>
      </c>
    </row>
    <row r="1467" spans="1:18" x14ac:dyDescent="0.25">
      <c r="A1467">
        <f t="shared" si="22"/>
        <v>0</v>
      </c>
      <c r="C1467">
        <f>NOT(hospitalityq!C1467="")*(SUMPRODUCT(--(TRIM(hospitalityq!C6:C1467)=TRIM(hospitalityq!C1467)))&gt;1)</f>
        <v>0</v>
      </c>
      <c r="D1467">
        <f>NOT(hospitalityq!D1467="")*(COUNTIF(reference!$C$17:$C$18,TRIM(hospitalityq!D1467))=0)</f>
        <v>0</v>
      </c>
      <c r="J1467">
        <f>NOT(hospitalityq!J1467="")*(NOT(ISNUMBER(hospitalityq!J1467+0)))</f>
        <v>0</v>
      </c>
      <c r="K1467">
        <f>NOT(hospitalityq!K1467="")*(NOT(ISNUMBER(hospitalityq!K1467+0)))</f>
        <v>0</v>
      </c>
      <c r="P1467">
        <f>NOT(hospitalityq!P1467="")*(NOT(IFERROR(INT(hospitalityq!P1467)=VALUE(hospitalityq!P1467),FALSE)))</f>
        <v>0</v>
      </c>
      <c r="Q1467">
        <f>NOT(hospitalityq!Q1467="")*(NOT(IFERROR(INT(hospitalityq!Q1467)=VALUE(hospitalityq!Q1467),FALSE)))</f>
        <v>0</v>
      </c>
      <c r="R1467">
        <f>NOT(hospitalityq!R1467="")*(NOT(IFERROR(ROUND(VALUE(hospitalityq!R1467),2)=VALUE(hospitalityq!R1467),FALSE)))</f>
        <v>0</v>
      </c>
    </row>
    <row r="1468" spans="1:18" x14ac:dyDescent="0.25">
      <c r="A1468">
        <f t="shared" si="22"/>
        <v>0</v>
      </c>
      <c r="C1468">
        <f>NOT(hospitalityq!C1468="")*(SUMPRODUCT(--(TRIM(hospitalityq!C6:C1468)=TRIM(hospitalityq!C1468)))&gt;1)</f>
        <v>0</v>
      </c>
      <c r="D1468">
        <f>NOT(hospitalityq!D1468="")*(COUNTIF(reference!$C$17:$C$18,TRIM(hospitalityq!D1468))=0)</f>
        <v>0</v>
      </c>
      <c r="J1468">
        <f>NOT(hospitalityq!J1468="")*(NOT(ISNUMBER(hospitalityq!J1468+0)))</f>
        <v>0</v>
      </c>
      <c r="K1468">
        <f>NOT(hospitalityq!K1468="")*(NOT(ISNUMBER(hospitalityq!K1468+0)))</f>
        <v>0</v>
      </c>
      <c r="P1468">
        <f>NOT(hospitalityq!P1468="")*(NOT(IFERROR(INT(hospitalityq!P1468)=VALUE(hospitalityq!P1468),FALSE)))</f>
        <v>0</v>
      </c>
      <c r="Q1468">
        <f>NOT(hospitalityq!Q1468="")*(NOT(IFERROR(INT(hospitalityq!Q1468)=VALUE(hospitalityq!Q1468),FALSE)))</f>
        <v>0</v>
      </c>
      <c r="R1468">
        <f>NOT(hospitalityq!R1468="")*(NOT(IFERROR(ROUND(VALUE(hospitalityq!R1468),2)=VALUE(hospitalityq!R1468),FALSE)))</f>
        <v>0</v>
      </c>
    </row>
    <row r="1469" spans="1:18" x14ac:dyDescent="0.25">
      <c r="A1469">
        <f t="shared" si="22"/>
        <v>0</v>
      </c>
      <c r="C1469">
        <f>NOT(hospitalityq!C1469="")*(SUMPRODUCT(--(TRIM(hospitalityq!C6:C1469)=TRIM(hospitalityq!C1469)))&gt;1)</f>
        <v>0</v>
      </c>
      <c r="D1469">
        <f>NOT(hospitalityq!D1469="")*(COUNTIF(reference!$C$17:$C$18,TRIM(hospitalityq!D1469))=0)</f>
        <v>0</v>
      </c>
      <c r="J1469">
        <f>NOT(hospitalityq!J1469="")*(NOT(ISNUMBER(hospitalityq!J1469+0)))</f>
        <v>0</v>
      </c>
      <c r="K1469">
        <f>NOT(hospitalityq!K1469="")*(NOT(ISNUMBER(hospitalityq!K1469+0)))</f>
        <v>0</v>
      </c>
      <c r="P1469">
        <f>NOT(hospitalityq!P1469="")*(NOT(IFERROR(INT(hospitalityq!P1469)=VALUE(hospitalityq!P1469),FALSE)))</f>
        <v>0</v>
      </c>
      <c r="Q1469">
        <f>NOT(hospitalityq!Q1469="")*(NOT(IFERROR(INT(hospitalityq!Q1469)=VALUE(hospitalityq!Q1469),FALSE)))</f>
        <v>0</v>
      </c>
      <c r="R1469">
        <f>NOT(hospitalityq!R1469="")*(NOT(IFERROR(ROUND(VALUE(hospitalityq!R1469),2)=VALUE(hospitalityq!R1469),FALSE)))</f>
        <v>0</v>
      </c>
    </row>
    <row r="1470" spans="1:18" x14ac:dyDescent="0.25">
      <c r="A1470">
        <f t="shared" si="22"/>
        <v>0</v>
      </c>
      <c r="C1470">
        <f>NOT(hospitalityq!C1470="")*(SUMPRODUCT(--(TRIM(hospitalityq!C6:C1470)=TRIM(hospitalityq!C1470)))&gt;1)</f>
        <v>0</v>
      </c>
      <c r="D1470">
        <f>NOT(hospitalityq!D1470="")*(COUNTIF(reference!$C$17:$C$18,TRIM(hospitalityq!D1470))=0)</f>
        <v>0</v>
      </c>
      <c r="J1470">
        <f>NOT(hospitalityq!J1470="")*(NOT(ISNUMBER(hospitalityq!J1470+0)))</f>
        <v>0</v>
      </c>
      <c r="K1470">
        <f>NOT(hospitalityq!K1470="")*(NOT(ISNUMBER(hospitalityq!K1470+0)))</f>
        <v>0</v>
      </c>
      <c r="P1470">
        <f>NOT(hospitalityq!P1470="")*(NOT(IFERROR(INT(hospitalityq!P1470)=VALUE(hospitalityq!P1470),FALSE)))</f>
        <v>0</v>
      </c>
      <c r="Q1470">
        <f>NOT(hospitalityq!Q1470="")*(NOT(IFERROR(INT(hospitalityq!Q1470)=VALUE(hospitalityq!Q1470),FALSE)))</f>
        <v>0</v>
      </c>
      <c r="R1470">
        <f>NOT(hospitalityq!R1470="")*(NOT(IFERROR(ROUND(VALUE(hospitalityq!R1470),2)=VALUE(hospitalityq!R1470),FALSE)))</f>
        <v>0</v>
      </c>
    </row>
    <row r="1471" spans="1:18" x14ac:dyDescent="0.25">
      <c r="A1471">
        <f t="shared" si="22"/>
        <v>0</v>
      </c>
      <c r="C1471">
        <f>NOT(hospitalityq!C1471="")*(SUMPRODUCT(--(TRIM(hospitalityq!C6:C1471)=TRIM(hospitalityq!C1471)))&gt;1)</f>
        <v>0</v>
      </c>
      <c r="D1471">
        <f>NOT(hospitalityq!D1471="")*(COUNTIF(reference!$C$17:$C$18,TRIM(hospitalityq!D1471))=0)</f>
        <v>0</v>
      </c>
      <c r="J1471">
        <f>NOT(hospitalityq!J1471="")*(NOT(ISNUMBER(hospitalityq!J1471+0)))</f>
        <v>0</v>
      </c>
      <c r="K1471">
        <f>NOT(hospitalityq!K1471="")*(NOT(ISNUMBER(hospitalityq!K1471+0)))</f>
        <v>0</v>
      </c>
      <c r="P1471">
        <f>NOT(hospitalityq!P1471="")*(NOT(IFERROR(INT(hospitalityq!P1471)=VALUE(hospitalityq!P1471),FALSE)))</f>
        <v>0</v>
      </c>
      <c r="Q1471">
        <f>NOT(hospitalityq!Q1471="")*(NOT(IFERROR(INT(hospitalityq!Q1471)=VALUE(hospitalityq!Q1471),FALSE)))</f>
        <v>0</v>
      </c>
      <c r="R1471">
        <f>NOT(hospitalityq!R1471="")*(NOT(IFERROR(ROUND(VALUE(hospitalityq!R1471),2)=VALUE(hospitalityq!R1471),FALSE)))</f>
        <v>0</v>
      </c>
    </row>
    <row r="1472" spans="1:18" x14ac:dyDescent="0.25">
      <c r="A1472">
        <f t="shared" si="22"/>
        <v>0</v>
      </c>
      <c r="C1472">
        <f>NOT(hospitalityq!C1472="")*(SUMPRODUCT(--(TRIM(hospitalityq!C6:C1472)=TRIM(hospitalityq!C1472)))&gt;1)</f>
        <v>0</v>
      </c>
      <c r="D1472">
        <f>NOT(hospitalityq!D1472="")*(COUNTIF(reference!$C$17:$C$18,TRIM(hospitalityq!D1472))=0)</f>
        <v>0</v>
      </c>
      <c r="J1472">
        <f>NOT(hospitalityq!J1472="")*(NOT(ISNUMBER(hospitalityq!J1472+0)))</f>
        <v>0</v>
      </c>
      <c r="K1472">
        <f>NOT(hospitalityq!K1472="")*(NOT(ISNUMBER(hospitalityq!K1472+0)))</f>
        <v>0</v>
      </c>
      <c r="P1472">
        <f>NOT(hospitalityq!P1472="")*(NOT(IFERROR(INT(hospitalityq!P1472)=VALUE(hospitalityq!P1472),FALSE)))</f>
        <v>0</v>
      </c>
      <c r="Q1472">
        <f>NOT(hospitalityq!Q1472="")*(NOT(IFERROR(INT(hospitalityq!Q1472)=VALUE(hospitalityq!Q1472),FALSE)))</f>
        <v>0</v>
      </c>
      <c r="R1472">
        <f>NOT(hospitalityq!R1472="")*(NOT(IFERROR(ROUND(VALUE(hospitalityq!R1472),2)=VALUE(hospitalityq!R1472),FALSE)))</f>
        <v>0</v>
      </c>
    </row>
    <row r="1473" spans="1:18" x14ac:dyDescent="0.25">
      <c r="A1473">
        <f t="shared" si="22"/>
        <v>0</v>
      </c>
      <c r="C1473">
        <f>NOT(hospitalityq!C1473="")*(SUMPRODUCT(--(TRIM(hospitalityq!C6:C1473)=TRIM(hospitalityq!C1473)))&gt;1)</f>
        <v>0</v>
      </c>
      <c r="D1473">
        <f>NOT(hospitalityq!D1473="")*(COUNTIF(reference!$C$17:$C$18,TRIM(hospitalityq!D1473))=0)</f>
        <v>0</v>
      </c>
      <c r="J1473">
        <f>NOT(hospitalityq!J1473="")*(NOT(ISNUMBER(hospitalityq!J1473+0)))</f>
        <v>0</v>
      </c>
      <c r="K1473">
        <f>NOT(hospitalityq!K1473="")*(NOT(ISNUMBER(hospitalityq!K1473+0)))</f>
        <v>0</v>
      </c>
      <c r="P1473">
        <f>NOT(hospitalityq!P1473="")*(NOT(IFERROR(INT(hospitalityq!P1473)=VALUE(hospitalityq!P1473),FALSE)))</f>
        <v>0</v>
      </c>
      <c r="Q1473">
        <f>NOT(hospitalityq!Q1473="")*(NOT(IFERROR(INT(hospitalityq!Q1473)=VALUE(hospitalityq!Q1473),FALSE)))</f>
        <v>0</v>
      </c>
      <c r="R1473">
        <f>NOT(hospitalityq!R1473="")*(NOT(IFERROR(ROUND(VALUE(hospitalityq!R1473),2)=VALUE(hospitalityq!R1473),FALSE)))</f>
        <v>0</v>
      </c>
    </row>
    <row r="1474" spans="1:18" x14ac:dyDescent="0.25">
      <c r="A1474">
        <f t="shared" si="22"/>
        <v>0</v>
      </c>
      <c r="C1474">
        <f>NOT(hospitalityq!C1474="")*(SUMPRODUCT(--(TRIM(hospitalityq!C6:C1474)=TRIM(hospitalityq!C1474)))&gt;1)</f>
        <v>0</v>
      </c>
      <c r="D1474">
        <f>NOT(hospitalityq!D1474="")*(COUNTIF(reference!$C$17:$C$18,TRIM(hospitalityq!D1474))=0)</f>
        <v>0</v>
      </c>
      <c r="J1474">
        <f>NOT(hospitalityq!J1474="")*(NOT(ISNUMBER(hospitalityq!J1474+0)))</f>
        <v>0</v>
      </c>
      <c r="K1474">
        <f>NOT(hospitalityq!K1474="")*(NOT(ISNUMBER(hospitalityq!K1474+0)))</f>
        <v>0</v>
      </c>
      <c r="P1474">
        <f>NOT(hospitalityq!P1474="")*(NOT(IFERROR(INT(hospitalityq!P1474)=VALUE(hospitalityq!P1474),FALSE)))</f>
        <v>0</v>
      </c>
      <c r="Q1474">
        <f>NOT(hospitalityq!Q1474="")*(NOT(IFERROR(INT(hospitalityq!Q1474)=VALUE(hospitalityq!Q1474),FALSE)))</f>
        <v>0</v>
      </c>
      <c r="R1474">
        <f>NOT(hospitalityq!R1474="")*(NOT(IFERROR(ROUND(VALUE(hospitalityq!R1474),2)=VALUE(hospitalityq!R1474),FALSE)))</f>
        <v>0</v>
      </c>
    </row>
    <row r="1475" spans="1:18" x14ac:dyDescent="0.25">
      <c r="A1475">
        <f t="shared" si="22"/>
        <v>0</v>
      </c>
      <c r="C1475">
        <f>NOT(hospitalityq!C1475="")*(SUMPRODUCT(--(TRIM(hospitalityq!C6:C1475)=TRIM(hospitalityq!C1475)))&gt;1)</f>
        <v>0</v>
      </c>
      <c r="D1475">
        <f>NOT(hospitalityq!D1475="")*(COUNTIF(reference!$C$17:$C$18,TRIM(hospitalityq!D1475))=0)</f>
        <v>0</v>
      </c>
      <c r="J1475">
        <f>NOT(hospitalityq!J1475="")*(NOT(ISNUMBER(hospitalityq!J1475+0)))</f>
        <v>0</v>
      </c>
      <c r="K1475">
        <f>NOT(hospitalityq!K1475="")*(NOT(ISNUMBER(hospitalityq!K1475+0)))</f>
        <v>0</v>
      </c>
      <c r="P1475">
        <f>NOT(hospitalityq!P1475="")*(NOT(IFERROR(INT(hospitalityq!P1475)=VALUE(hospitalityq!P1475),FALSE)))</f>
        <v>0</v>
      </c>
      <c r="Q1475">
        <f>NOT(hospitalityq!Q1475="")*(NOT(IFERROR(INT(hospitalityq!Q1475)=VALUE(hospitalityq!Q1475),FALSE)))</f>
        <v>0</v>
      </c>
      <c r="R1475">
        <f>NOT(hospitalityq!R1475="")*(NOT(IFERROR(ROUND(VALUE(hospitalityq!R1475),2)=VALUE(hospitalityq!R1475),FALSE)))</f>
        <v>0</v>
      </c>
    </row>
    <row r="1476" spans="1:18" x14ac:dyDescent="0.25">
      <c r="A1476">
        <f t="shared" si="22"/>
        <v>0</v>
      </c>
      <c r="C1476">
        <f>NOT(hospitalityq!C1476="")*(SUMPRODUCT(--(TRIM(hospitalityq!C6:C1476)=TRIM(hospitalityq!C1476)))&gt;1)</f>
        <v>0</v>
      </c>
      <c r="D1476">
        <f>NOT(hospitalityq!D1476="")*(COUNTIF(reference!$C$17:$C$18,TRIM(hospitalityq!D1476))=0)</f>
        <v>0</v>
      </c>
      <c r="J1476">
        <f>NOT(hospitalityq!J1476="")*(NOT(ISNUMBER(hospitalityq!J1476+0)))</f>
        <v>0</v>
      </c>
      <c r="K1476">
        <f>NOT(hospitalityq!K1476="")*(NOT(ISNUMBER(hospitalityq!K1476+0)))</f>
        <v>0</v>
      </c>
      <c r="P1476">
        <f>NOT(hospitalityq!P1476="")*(NOT(IFERROR(INT(hospitalityq!P1476)=VALUE(hospitalityq!P1476),FALSE)))</f>
        <v>0</v>
      </c>
      <c r="Q1476">
        <f>NOT(hospitalityq!Q1476="")*(NOT(IFERROR(INT(hospitalityq!Q1476)=VALUE(hospitalityq!Q1476),FALSE)))</f>
        <v>0</v>
      </c>
      <c r="R1476">
        <f>NOT(hospitalityq!R1476="")*(NOT(IFERROR(ROUND(VALUE(hospitalityq!R1476),2)=VALUE(hospitalityq!R1476),FALSE)))</f>
        <v>0</v>
      </c>
    </row>
    <row r="1477" spans="1:18" x14ac:dyDescent="0.25">
      <c r="A1477">
        <f t="shared" si="22"/>
        <v>0</v>
      </c>
      <c r="C1477">
        <f>NOT(hospitalityq!C1477="")*(SUMPRODUCT(--(TRIM(hospitalityq!C6:C1477)=TRIM(hospitalityq!C1477)))&gt;1)</f>
        <v>0</v>
      </c>
      <c r="D1477">
        <f>NOT(hospitalityq!D1477="")*(COUNTIF(reference!$C$17:$C$18,TRIM(hospitalityq!D1477))=0)</f>
        <v>0</v>
      </c>
      <c r="J1477">
        <f>NOT(hospitalityq!J1477="")*(NOT(ISNUMBER(hospitalityq!J1477+0)))</f>
        <v>0</v>
      </c>
      <c r="K1477">
        <f>NOT(hospitalityq!K1477="")*(NOT(ISNUMBER(hospitalityq!K1477+0)))</f>
        <v>0</v>
      </c>
      <c r="P1477">
        <f>NOT(hospitalityq!P1477="")*(NOT(IFERROR(INT(hospitalityq!P1477)=VALUE(hospitalityq!P1477),FALSE)))</f>
        <v>0</v>
      </c>
      <c r="Q1477">
        <f>NOT(hospitalityq!Q1477="")*(NOT(IFERROR(INT(hospitalityq!Q1477)=VALUE(hospitalityq!Q1477),FALSE)))</f>
        <v>0</v>
      </c>
      <c r="R1477">
        <f>NOT(hospitalityq!R1477="")*(NOT(IFERROR(ROUND(VALUE(hospitalityq!R1477),2)=VALUE(hospitalityq!R1477),FALSE)))</f>
        <v>0</v>
      </c>
    </row>
    <row r="1478" spans="1:18" x14ac:dyDescent="0.25">
      <c r="A1478">
        <f t="shared" ref="A1478:A1541" si="23">IFERROR(MATCH(TRUE,INDEX(C1478:R1478&lt;&gt;0,),)+2,0)</f>
        <v>0</v>
      </c>
      <c r="C1478">
        <f>NOT(hospitalityq!C1478="")*(SUMPRODUCT(--(TRIM(hospitalityq!C6:C1478)=TRIM(hospitalityq!C1478)))&gt;1)</f>
        <v>0</v>
      </c>
      <c r="D1478">
        <f>NOT(hospitalityq!D1478="")*(COUNTIF(reference!$C$17:$C$18,TRIM(hospitalityq!D1478))=0)</f>
        <v>0</v>
      </c>
      <c r="J1478">
        <f>NOT(hospitalityq!J1478="")*(NOT(ISNUMBER(hospitalityq!J1478+0)))</f>
        <v>0</v>
      </c>
      <c r="K1478">
        <f>NOT(hospitalityq!K1478="")*(NOT(ISNUMBER(hospitalityq!K1478+0)))</f>
        <v>0</v>
      </c>
      <c r="P1478">
        <f>NOT(hospitalityq!P1478="")*(NOT(IFERROR(INT(hospitalityq!P1478)=VALUE(hospitalityq!P1478),FALSE)))</f>
        <v>0</v>
      </c>
      <c r="Q1478">
        <f>NOT(hospitalityq!Q1478="")*(NOT(IFERROR(INT(hospitalityq!Q1478)=VALUE(hospitalityq!Q1478),FALSE)))</f>
        <v>0</v>
      </c>
      <c r="R1478">
        <f>NOT(hospitalityq!R1478="")*(NOT(IFERROR(ROUND(VALUE(hospitalityq!R1478),2)=VALUE(hospitalityq!R1478),FALSE)))</f>
        <v>0</v>
      </c>
    </row>
    <row r="1479" spans="1:18" x14ac:dyDescent="0.25">
      <c r="A1479">
        <f t="shared" si="23"/>
        <v>0</v>
      </c>
      <c r="C1479">
        <f>NOT(hospitalityq!C1479="")*(SUMPRODUCT(--(TRIM(hospitalityq!C6:C1479)=TRIM(hospitalityq!C1479)))&gt;1)</f>
        <v>0</v>
      </c>
      <c r="D1479">
        <f>NOT(hospitalityq!D1479="")*(COUNTIF(reference!$C$17:$C$18,TRIM(hospitalityq!D1479))=0)</f>
        <v>0</v>
      </c>
      <c r="J1479">
        <f>NOT(hospitalityq!J1479="")*(NOT(ISNUMBER(hospitalityq!J1479+0)))</f>
        <v>0</v>
      </c>
      <c r="K1479">
        <f>NOT(hospitalityq!K1479="")*(NOT(ISNUMBER(hospitalityq!K1479+0)))</f>
        <v>0</v>
      </c>
      <c r="P1479">
        <f>NOT(hospitalityq!P1479="")*(NOT(IFERROR(INT(hospitalityq!P1479)=VALUE(hospitalityq!P1479),FALSE)))</f>
        <v>0</v>
      </c>
      <c r="Q1479">
        <f>NOT(hospitalityq!Q1479="")*(NOT(IFERROR(INT(hospitalityq!Q1479)=VALUE(hospitalityq!Q1479),FALSE)))</f>
        <v>0</v>
      </c>
      <c r="R1479">
        <f>NOT(hospitalityq!R1479="")*(NOT(IFERROR(ROUND(VALUE(hospitalityq!R1479),2)=VALUE(hospitalityq!R1479),FALSE)))</f>
        <v>0</v>
      </c>
    </row>
    <row r="1480" spans="1:18" x14ac:dyDescent="0.25">
      <c r="A1480">
        <f t="shared" si="23"/>
        <v>0</v>
      </c>
      <c r="C1480">
        <f>NOT(hospitalityq!C1480="")*(SUMPRODUCT(--(TRIM(hospitalityq!C6:C1480)=TRIM(hospitalityq!C1480)))&gt;1)</f>
        <v>0</v>
      </c>
      <c r="D1480">
        <f>NOT(hospitalityq!D1480="")*(COUNTIF(reference!$C$17:$C$18,TRIM(hospitalityq!D1480))=0)</f>
        <v>0</v>
      </c>
      <c r="J1480">
        <f>NOT(hospitalityq!J1480="")*(NOT(ISNUMBER(hospitalityq!J1480+0)))</f>
        <v>0</v>
      </c>
      <c r="K1480">
        <f>NOT(hospitalityq!K1480="")*(NOT(ISNUMBER(hospitalityq!K1480+0)))</f>
        <v>0</v>
      </c>
      <c r="P1480">
        <f>NOT(hospitalityq!P1480="")*(NOT(IFERROR(INT(hospitalityq!P1480)=VALUE(hospitalityq!P1480),FALSE)))</f>
        <v>0</v>
      </c>
      <c r="Q1480">
        <f>NOT(hospitalityq!Q1480="")*(NOT(IFERROR(INT(hospitalityq!Q1480)=VALUE(hospitalityq!Q1480),FALSE)))</f>
        <v>0</v>
      </c>
      <c r="R1480">
        <f>NOT(hospitalityq!R1480="")*(NOT(IFERROR(ROUND(VALUE(hospitalityq!R1480),2)=VALUE(hospitalityq!R1480),FALSE)))</f>
        <v>0</v>
      </c>
    </row>
    <row r="1481" spans="1:18" x14ac:dyDescent="0.25">
      <c r="A1481">
        <f t="shared" si="23"/>
        <v>0</v>
      </c>
      <c r="C1481">
        <f>NOT(hospitalityq!C1481="")*(SUMPRODUCT(--(TRIM(hospitalityq!C6:C1481)=TRIM(hospitalityq!C1481)))&gt;1)</f>
        <v>0</v>
      </c>
      <c r="D1481">
        <f>NOT(hospitalityq!D1481="")*(COUNTIF(reference!$C$17:$C$18,TRIM(hospitalityq!D1481))=0)</f>
        <v>0</v>
      </c>
      <c r="J1481">
        <f>NOT(hospitalityq!J1481="")*(NOT(ISNUMBER(hospitalityq!J1481+0)))</f>
        <v>0</v>
      </c>
      <c r="K1481">
        <f>NOT(hospitalityq!K1481="")*(NOT(ISNUMBER(hospitalityq!K1481+0)))</f>
        <v>0</v>
      </c>
      <c r="P1481">
        <f>NOT(hospitalityq!P1481="")*(NOT(IFERROR(INT(hospitalityq!P1481)=VALUE(hospitalityq!P1481),FALSE)))</f>
        <v>0</v>
      </c>
      <c r="Q1481">
        <f>NOT(hospitalityq!Q1481="")*(NOT(IFERROR(INT(hospitalityq!Q1481)=VALUE(hospitalityq!Q1481),FALSE)))</f>
        <v>0</v>
      </c>
      <c r="R1481">
        <f>NOT(hospitalityq!R1481="")*(NOT(IFERROR(ROUND(VALUE(hospitalityq!R1481),2)=VALUE(hospitalityq!R1481),FALSE)))</f>
        <v>0</v>
      </c>
    </row>
    <row r="1482" spans="1:18" x14ac:dyDescent="0.25">
      <c r="A1482">
        <f t="shared" si="23"/>
        <v>0</v>
      </c>
      <c r="C1482">
        <f>NOT(hospitalityq!C1482="")*(SUMPRODUCT(--(TRIM(hospitalityq!C6:C1482)=TRIM(hospitalityq!C1482)))&gt;1)</f>
        <v>0</v>
      </c>
      <c r="D1482">
        <f>NOT(hospitalityq!D1482="")*(COUNTIF(reference!$C$17:$C$18,TRIM(hospitalityq!D1482))=0)</f>
        <v>0</v>
      </c>
      <c r="J1482">
        <f>NOT(hospitalityq!J1482="")*(NOT(ISNUMBER(hospitalityq!J1482+0)))</f>
        <v>0</v>
      </c>
      <c r="K1482">
        <f>NOT(hospitalityq!K1482="")*(NOT(ISNUMBER(hospitalityq!K1482+0)))</f>
        <v>0</v>
      </c>
      <c r="P1482">
        <f>NOT(hospitalityq!P1482="")*(NOT(IFERROR(INT(hospitalityq!P1482)=VALUE(hospitalityq!P1482),FALSE)))</f>
        <v>0</v>
      </c>
      <c r="Q1482">
        <f>NOT(hospitalityq!Q1482="")*(NOT(IFERROR(INT(hospitalityq!Q1482)=VALUE(hospitalityq!Q1482),FALSE)))</f>
        <v>0</v>
      </c>
      <c r="R1482">
        <f>NOT(hospitalityq!R1482="")*(NOT(IFERROR(ROUND(VALUE(hospitalityq!R1482),2)=VALUE(hospitalityq!R1482),FALSE)))</f>
        <v>0</v>
      </c>
    </row>
    <row r="1483" spans="1:18" x14ac:dyDescent="0.25">
      <c r="A1483">
        <f t="shared" si="23"/>
        <v>0</v>
      </c>
      <c r="C1483">
        <f>NOT(hospitalityq!C1483="")*(SUMPRODUCT(--(TRIM(hospitalityq!C6:C1483)=TRIM(hospitalityq!C1483)))&gt;1)</f>
        <v>0</v>
      </c>
      <c r="D1483">
        <f>NOT(hospitalityq!D1483="")*(COUNTIF(reference!$C$17:$C$18,TRIM(hospitalityq!D1483))=0)</f>
        <v>0</v>
      </c>
      <c r="J1483">
        <f>NOT(hospitalityq!J1483="")*(NOT(ISNUMBER(hospitalityq!J1483+0)))</f>
        <v>0</v>
      </c>
      <c r="K1483">
        <f>NOT(hospitalityq!K1483="")*(NOT(ISNUMBER(hospitalityq!K1483+0)))</f>
        <v>0</v>
      </c>
      <c r="P1483">
        <f>NOT(hospitalityq!P1483="")*(NOT(IFERROR(INT(hospitalityq!P1483)=VALUE(hospitalityq!P1483),FALSE)))</f>
        <v>0</v>
      </c>
      <c r="Q1483">
        <f>NOT(hospitalityq!Q1483="")*(NOT(IFERROR(INT(hospitalityq!Q1483)=VALUE(hospitalityq!Q1483),FALSE)))</f>
        <v>0</v>
      </c>
      <c r="R1483">
        <f>NOT(hospitalityq!R1483="")*(NOT(IFERROR(ROUND(VALUE(hospitalityq!R1483),2)=VALUE(hospitalityq!R1483),FALSE)))</f>
        <v>0</v>
      </c>
    </row>
    <row r="1484" spans="1:18" x14ac:dyDescent="0.25">
      <c r="A1484">
        <f t="shared" si="23"/>
        <v>0</v>
      </c>
      <c r="C1484">
        <f>NOT(hospitalityq!C1484="")*(SUMPRODUCT(--(TRIM(hospitalityq!C6:C1484)=TRIM(hospitalityq!C1484)))&gt;1)</f>
        <v>0</v>
      </c>
      <c r="D1484">
        <f>NOT(hospitalityq!D1484="")*(COUNTIF(reference!$C$17:$C$18,TRIM(hospitalityq!D1484))=0)</f>
        <v>0</v>
      </c>
      <c r="J1484">
        <f>NOT(hospitalityq!J1484="")*(NOT(ISNUMBER(hospitalityq!J1484+0)))</f>
        <v>0</v>
      </c>
      <c r="K1484">
        <f>NOT(hospitalityq!K1484="")*(NOT(ISNUMBER(hospitalityq!K1484+0)))</f>
        <v>0</v>
      </c>
      <c r="P1484">
        <f>NOT(hospitalityq!P1484="")*(NOT(IFERROR(INT(hospitalityq!P1484)=VALUE(hospitalityq!P1484),FALSE)))</f>
        <v>0</v>
      </c>
      <c r="Q1484">
        <f>NOT(hospitalityq!Q1484="")*(NOT(IFERROR(INT(hospitalityq!Q1484)=VALUE(hospitalityq!Q1484),FALSE)))</f>
        <v>0</v>
      </c>
      <c r="R1484">
        <f>NOT(hospitalityq!R1484="")*(NOT(IFERROR(ROUND(VALUE(hospitalityq!R1484),2)=VALUE(hospitalityq!R1484),FALSE)))</f>
        <v>0</v>
      </c>
    </row>
    <row r="1485" spans="1:18" x14ac:dyDescent="0.25">
      <c r="A1485">
        <f t="shared" si="23"/>
        <v>0</v>
      </c>
      <c r="C1485">
        <f>NOT(hospitalityq!C1485="")*(SUMPRODUCT(--(TRIM(hospitalityq!C6:C1485)=TRIM(hospitalityq!C1485)))&gt;1)</f>
        <v>0</v>
      </c>
      <c r="D1485">
        <f>NOT(hospitalityq!D1485="")*(COUNTIF(reference!$C$17:$C$18,TRIM(hospitalityq!D1485))=0)</f>
        <v>0</v>
      </c>
      <c r="J1485">
        <f>NOT(hospitalityq!J1485="")*(NOT(ISNUMBER(hospitalityq!J1485+0)))</f>
        <v>0</v>
      </c>
      <c r="K1485">
        <f>NOT(hospitalityq!K1485="")*(NOT(ISNUMBER(hospitalityq!K1485+0)))</f>
        <v>0</v>
      </c>
      <c r="P1485">
        <f>NOT(hospitalityq!P1485="")*(NOT(IFERROR(INT(hospitalityq!P1485)=VALUE(hospitalityq!P1485),FALSE)))</f>
        <v>0</v>
      </c>
      <c r="Q1485">
        <f>NOT(hospitalityq!Q1485="")*(NOT(IFERROR(INT(hospitalityq!Q1485)=VALUE(hospitalityq!Q1485),FALSE)))</f>
        <v>0</v>
      </c>
      <c r="R1485">
        <f>NOT(hospitalityq!R1485="")*(NOT(IFERROR(ROUND(VALUE(hospitalityq!R1485),2)=VALUE(hospitalityq!R1485),FALSE)))</f>
        <v>0</v>
      </c>
    </row>
    <row r="1486" spans="1:18" x14ac:dyDescent="0.25">
      <c r="A1486">
        <f t="shared" si="23"/>
        <v>0</v>
      </c>
      <c r="C1486">
        <f>NOT(hospitalityq!C1486="")*(SUMPRODUCT(--(TRIM(hospitalityq!C6:C1486)=TRIM(hospitalityq!C1486)))&gt;1)</f>
        <v>0</v>
      </c>
      <c r="D1486">
        <f>NOT(hospitalityq!D1486="")*(COUNTIF(reference!$C$17:$C$18,TRIM(hospitalityq!D1486))=0)</f>
        <v>0</v>
      </c>
      <c r="J1486">
        <f>NOT(hospitalityq!J1486="")*(NOT(ISNUMBER(hospitalityq!J1486+0)))</f>
        <v>0</v>
      </c>
      <c r="K1486">
        <f>NOT(hospitalityq!K1486="")*(NOT(ISNUMBER(hospitalityq!K1486+0)))</f>
        <v>0</v>
      </c>
      <c r="P1486">
        <f>NOT(hospitalityq!P1486="")*(NOT(IFERROR(INT(hospitalityq!P1486)=VALUE(hospitalityq!P1486),FALSE)))</f>
        <v>0</v>
      </c>
      <c r="Q1486">
        <f>NOT(hospitalityq!Q1486="")*(NOT(IFERROR(INT(hospitalityq!Q1486)=VALUE(hospitalityq!Q1486),FALSE)))</f>
        <v>0</v>
      </c>
      <c r="R1486">
        <f>NOT(hospitalityq!R1486="")*(NOT(IFERROR(ROUND(VALUE(hospitalityq!R1486),2)=VALUE(hospitalityq!R1486),FALSE)))</f>
        <v>0</v>
      </c>
    </row>
    <row r="1487" spans="1:18" x14ac:dyDescent="0.25">
      <c r="A1487">
        <f t="shared" si="23"/>
        <v>0</v>
      </c>
      <c r="C1487">
        <f>NOT(hospitalityq!C1487="")*(SUMPRODUCT(--(TRIM(hospitalityq!C6:C1487)=TRIM(hospitalityq!C1487)))&gt;1)</f>
        <v>0</v>
      </c>
      <c r="D1487">
        <f>NOT(hospitalityq!D1487="")*(COUNTIF(reference!$C$17:$C$18,TRIM(hospitalityq!D1487))=0)</f>
        <v>0</v>
      </c>
      <c r="J1487">
        <f>NOT(hospitalityq!J1487="")*(NOT(ISNUMBER(hospitalityq!J1487+0)))</f>
        <v>0</v>
      </c>
      <c r="K1487">
        <f>NOT(hospitalityq!K1487="")*(NOT(ISNUMBER(hospitalityq!K1487+0)))</f>
        <v>0</v>
      </c>
      <c r="P1487">
        <f>NOT(hospitalityq!P1487="")*(NOT(IFERROR(INT(hospitalityq!P1487)=VALUE(hospitalityq!P1487),FALSE)))</f>
        <v>0</v>
      </c>
      <c r="Q1487">
        <f>NOT(hospitalityq!Q1487="")*(NOT(IFERROR(INT(hospitalityq!Q1487)=VALUE(hospitalityq!Q1487),FALSE)))</f>
        <v>0</v>
      </c>
      <c r="R1487">
        <f>NOT(hospitalityq!R1487="")*(NOT(IFERROR(ROUND(VALUE(hospitalityq!R1487),2)=VALUE(hospitalityq!R1487),FALSE)))</f>
        <v>0</v>
      </c>
    </row>
    <row r="1488" spans="1:18" x14ac:dyDescent="0.25">
      <c r="A1488">
        <f t="shared" si="23"/>
        <v>0</v>
      </c>
      <c r="C1488">
        <f>NOT(hospitalityq!C1488="")*(SUMPRODUCT(--(TRIM(hospitalityq!C6:C1488)=TRIM(hospitalityq!C1488)))&gt;1)</f>
        <v>0</v>
      </c>
      <c r="D1488">
        <f>NOT(hospitalityq!D1488="")*(COUNTIF(reference!$C$17:$C$18,TRIM(hospitalityq!D1488))=0)</f>
        <v>0</v>
      </c>
      <c r="J1488">
        <f>NOT(hospitalityq!J1488="")*(NOT(ISNUMBER(hospitalityq!J1488+0)))</f>
        <v>0</v>
      </c>
      <c r="K1488">
        <f>NOT(hospitalityq!K1488="")*(NOT(ISNUMBER(hospitalityq!K1488+0)))</f>
        <v>0</v>
      </c>
      <c r="P1488">
        <f>NOT(hospitalityq!P1488="")*(NOT(IFERROR(INT(hospitalityq!P1488)=VALUE(hospitalityq!P1488),FALSE)))</f>
        <v>0</v>
      </c>
      <c r="Q1488">
        <f>NOT(hospitalityq!Q1488="")*(NOT(IFERROR(INT(hospitalityq!Q1488)=VALUE(hospitalityq!Q1488),FALSE)))</f>
        <v>0</v>
      </c>
      <c r="R1488">
        <f>NOT(hospitalityq!R1488="")*(NOT(IFERROR(ROUND(VALUE(hospitalityq!R1488),2)=VALUE(hospitalityq!R1488),FALSE)))</f>
        <v>0</v>
      </c>
    </row>
    <row r="1489" spans="1:18" x14ac:dyDescent="0.25">
      <c r="A1489">
        <f t="shared" si="23"/>
        <v>0</v>
      </c>
      <c r="C1489">
        <f>NOT(hospitalityq!C1489="")*(SUMPRODUCT(--(TRIM(hospitalityq!C6:C1489)=TRIM(hospitalityq!C1489)))&gt;1)</f>
        <v>0</v>
      </c>
      <c r="D1489">
        <f>NOT(hospitalityq!D1489="")*(COUNTIF(reference!$C$17:$C$18,TRIM(hospitalityq!D1489))=0)</f>
        <v>0</v>
      </c>
      <c r="J1489">
        <f>NOT(hospitalityq!J1489="")*(NOT(ISNUMBER(hospitalityq!J1489+0)))</f>
        <v>0</v>
      </c>
      <c r="K1489">
        <f>NOT(hospitalityq!K1489="")*(NOT(ISNUMBER(hospitalityq!K1489+0)))</f>
        <v>0</v>
      </c>
      <c r="P1489">
        <f>NOT(hospitalityq!P1489="")*(NOT(IFERROR(INT(hospitalityq!P1489)=VALUE(hospitalityq!P1489),FALSE)))</f>
        <v>0</v>
      </c>
      <c r="Q1489">
        <f>NOT(hospitalityq!Q1489="")*(NOT(IFERROR(INT(hospitalityq!Q1489)=VALUE(hospitalityq!Q1489),FALSE)))</f>
        <v>0</v>
      </c>
      <c r="R1489">
        <f>NOT(hospitalityq!R1489="")*(NOT(IFERROR(ROUND(VALUE(hospitalityq!R1489),2)=VALUE(hospitalityq!R1489),FALSE)))</f>
        <v>0</v>
      </c>
    </row>
    <row r="1490" spans="1:18" x14ac:dyDescent="0.25">
      <c r="A1490">
        <f t="shared" si="23"/>
        <v>0</v>
      </c>
      <c r="C1490">
        <f>NOT(hospitalityq!C1490="")*(SUMPRODUCT(--(TRIM(hospitalityq!C6:C1490)=TRIM(hospitalityq!C1490)))&gt;1)</f>
        <v>0</v>
      </c>
      <c r="D1490">
        <f>NOT(hospitalityq!D1490="")*(COUNTIF(reference!$C$17:$C$18,TRIM(hospitalityq!D1490))=0)</f>
        <v>0</v>
      </c>
      <c r="J1490">
        <f>NOT(hospitalityq!J1490="")*(NOT(ISNUMBER(hospitalityq!J1490+0)))</f>
        <v>0</v>
      </c>
      <c r="K1490">
        <f>NOT(hospitalityq!K1490="")*(NOT(ISNUMBER(hospitalityq!K1490+0)))</f>
        <v>0</v>
      </c>
      <c r="P1490">
        <f>NOT(hospitalityq!P1490="")*(NOT(IFERROR(INT(hospitalityq!P1490)=VALUE(hospitalityq!P1490),FALSE)))</f>
        <v>0</v>
      </c>
      <c r="Q1490">
        <f>NOT(hospitalityq!Q1490="")*(NOT(IFERROR(INT(hospitalityq!Q1490)=VALUE(hospitalityq!Q1490),FALSE)))</f>
        <v>0</v>
      </c>
      <c r="R1490">
        <f>NOT(hospitalityq!R1490="")*(NOT(IFERROR(ROUND(VALUE(hospitalityq!R1490),2)=VALUE(hospitalityq!R1490),FALSE)))</f>
        <v>0</v>
      </c>
    </row>
    <row r="1491" spans="1:18" x14ac:dyDescent="0.25">
      <c r="A1491">
        <f t="shared" si="23"/>
        <v>0</v>
      </c>
      <c r="C1491">
        <f>NOT(hospitalityq!C1491="")*(SUMPRODUCT(--(TRIM(hospitalityq!C6:C1491)=TRIM(hospitalityq!C1491)))&gt;1)</f>
        <v>0</v>
      </c>
      <c r="D1491">
        <f>NOT(hospitalityq!D1491="")*(COUNTIF(reference!$C$17:$C$18,TRIM(hospitalityq!D1491))=0)</f>
        <v>0</v>
      </c>
      <c r="J1491">
        <f>NOT(hospitalityq!J1491="")*(NOT(ISNUMBER(hospitalityq!J1491+0)))</f>
        <v>0</v>
      </c>
      <c r="K1491">
        <f>NOT(hospitalityq!K1491="")*(NOT(ISNUMBER(hospitalityq!K1491+0)))</f>
        <v>0</v>
      </c>
      <c r="P1491">
        <f>NOT(hospitalityq!P1491="")*(NOT(IFERROR(INT(hospitalityq!P1491)=VALUE(hospitalityq!P1491),FALSE)))</f>
        <v>0</v>
      </c>
      <c r="Q1491">
        <f>NOT(hospitalityq!Q1491="")*(NOT(IFERROR(INT(hospitalityq!Q1491)=VALUE(hospitalityq!Q1491),FALSE)))</f>
        <v>0</v>
      </c>
      <c r="R1491">
        <f>NOT(hospitalityq!R1491="")*(NOT(IFERROR(ROUND(VALUE(hospitalityq!R1491),2)=VALUE(hospitalityq!R1491),FALSE)))</f>
        <v>0</v>
      </c>
    </row>
    <row r="1492" spans="1:18" x14ac:dyDescent="0.25">
      <c r="A1492">
        <f t="shared" si="23"/>
        <v>0</v>
      </c>
      <c r="C1492">
        <f>NOT(hospitalityq!C1492="")*(SUMPRODUCT(--(TRIM(hospitalityq!C6:C1492)=TRIM(hospitalityq!C1492)))&gt;1)</f>
        <v>0</v>
      </c>
      <c r="D1492">
        <f>NOT(hospitalityq!D1492="")*(COUNTIF(reference!$C$17:$C$18,TRIM(hospitalityq!D1492))=0)</f>
        <v>0</v>
      </c>
      <c r="J1492">
        <f>NOT(hospitalityq!J1492="")*(NOT(ISNUMBER(hospitalityq!J1492+0)))</f>
        <v>0</v>
      </c>
      <c r="K1492">
        <f>NOT(hospitalityq!K1492="")*(NOT(ISNUMBER(hospitalityq!K1492+0)))</f>
        <v>0</v>
      </c>
      <c r="P1492">
        <f>NOT(hospitalityq!P1492="")*(NOT(IFERROR(INT(hospitalityq!P1492)=VALUE(hospitalityq!P1492),FALSE)))</f>
        <v>0</v>
      </c>
      <c r="Q1492">
        <f>NOT(hospitalityq!Q1492="")*(NOT(IFERROR(INT(hospitalityq!Q1492)=VALUE(hospitalityq!Q1492),FALSE)))</f>
        <v>0</v>
      </c>
      <c r="R1492">
        <f>NOT(hospitalityq!R1492="")*(NOT(IFERROR(ROUND(VALUE(hospitalityq!R1492),2)=VALUE(hospitalityq!R1492),FALSE)))</f>
        <v>0</v>
      </c>
    </row>
    <row r="1493" spans="1:18" x14ac:dyDescent="0.25">
      <c r="A1493">
        <f t="shared" si="23"/>
        <v>0</v>
      </c>
      <c r="C1493">
        <f>NOT(hospitalityq!C1493="")*(SUMPRODUCT(--(TRIM(hospitalityq!C6:C1493)=TRIM(hospitalityq!C1493)))&gt;1)</f>
        <v>0</v>
      </c>
      <c r="D1493">
        <f>NOT(hospitalityq!D1493="")*(COUNTIF(reference!$C$17:$C$18,TRIM(hospitalityq!D1493))=0)</f>
        <v>0</v>
      </c>
      <c r="J1493">
        <f>NOT(hospitalityq!J1493="")*(NOT(ISNUMBER(hospitalityq!J1493+0)))</f>
        <v>0</v>
      </c>
      <c r="K1493">
        <f>NOT(hospitalityq!K1493="")*(NOT(ISNUMBER(hospitalityq!K1493+0)))</f>
        <v>0</v>
      </c>
      <c r="P1493">
        <f>NOT(hospitalityq!P1493="")*(NOT(IFERROR(INT(hospitalityq!P1493)=VALUE(hospitalityq!P1493),FALSE)))</f>
        <v>0</v>
      </c>
      <c r="Q1493">
        <f>NOT(hospitalityq!Q1493="")*(NOT(IFERROR(INT(hospitalityq!Q1493)=VALUE(hospitalityq!Q1493),FALSE)))</f>
        <v>0</v>
      </c>
      <c r="R1493">
        <f>NOT(hospitalityq!R1493="")*(NOT(IFERROR(ROUND(VALUE(hospitalityq!R1493),2)=VALUE(hospitalityq!R1493),FALSE)))</f>
        <v>0</v>
      </c>
    </row>
    <row r="1494" spans="1:18" x14ac:dyDescent="0.25">
      <c r="A1494">
        <f t="shared" si="23"/>
        <v>0</v>
      </c>
      <c r="C1494">
        <f>NOT(hospitalityq!C1494="")*(SUMPRODUCT(--(TRIM(hospitalityq!C6:C1494)=TRIM(hospitalityq!C1494)))&gt;1)</f>
        <v>0</v>
      </c>
      <c r="D1494">
        <f>NOT(hospitalityq!D1494="")*(COUNTIF(reference!$C$17:$C$18,TRIM(hospitalityq!D1494))=0)</f>
        <v>0</v>
      </c>
      <c r="J1494">
        <f>NOT(hospitalityq!J1494="")*(NOT(ISNUMBER(hospitalityq!J1494+0)))</f>
        <v>0</v>
      </c>
      <c r="K1494">
        <f>NOT(hospitalityq!K1494="")*(NOT(ISNUMBER(hospitalityq!K1494+0)))</f>
        <v>0</v>
      </c>
      <c r="P1494">
        <f>NOT(hospitalityq!P1494="")*(NOT(IFERROR(INT(hospitalityq!P1494)=VALUE(hospitalityq!P1494),FALSE)))</f>
        <v>0</v>
      </c>
      <c r="Q1494">
        <f>NOT(hospitalityq!Q1494="")*(NOT(IFERROR(INT(hospitalityq!Q1494)=VALUE(hospitalityq!Q1494),FALSE)))</f>
        <v>0</v>
      </c>
      <c r="R1494">
        <f>NOT(hospitalityq!R1494="")*(NOT(IFERROR(ROUND(VALUE(hospitalityq!R1494),2)=VALUE(hospitalityq!R1494),FALSE)))</f>
        <v>0</v>
      </c>
    </row>
    <row r="1495" spans="1:18" x14ac:dyDescent="0.25">
      <c r="A1495">
        <f t="shared" si="23"/>
        <v>0</v>
      </c>
      <c r="C1495">
        <f>NOT(hospitalityq!C1495="")*(SUMPRODUCT(--(TRIM(hospitalityq!C6:C1495)=TRIM(hospitalityq!C1495)))&gt;1)</f>
        <v>0</v>
      </c>
      <c r="D1495">
        <f>NOT(hospitalityq!D1495="")*(COUNTIF(reference!$C$17:$C$18,TRIM(hospitalityq!D1495))=0)</f>
        <v>0</v>
      </c>
      <c r="J1495">
        <f>NOT(hospitalityq!J1495="")*(NOT(ISNUMBER(hospitalityq!J1495+0)))</f>
        <v>0</v>
      </c>
      <c r="K1495">
        <f>NOT(hospitalityq!K1495="")*(NOT(ISNUMBER(hospitalityq!K1495+0)))</f>
        <v>0</v>
      </c>
      <c r="P1495">
        <f>NOT(hospitalityq!P1495="")*(NOT(IFERROR(INT(hospitalityq!P1495)=VALUE(hospitalityq!P1495),FALSE)))</f>
        <v>0</v>
      </c>
      <c r="Q1495">
        <f>NOT(hospitalityq!Q1495="")*(NOT(IFERROR(INT(hospitalityq!Q1495)=VALUE(hospitalityq!Q1495),FALSE)))</f>
        <v>0</v>
      </c>
      <c r="R1495">
        <f>NOT(hospitalityq!R1495="")*(NOT(IFERROR(ROUND(VALUE(hospitalityq!R1495),2)=VALUE(hospitalityq!R1495),FALSE)))</f>
        <v>0</v>
      </c>
    </row>
    <row r="1496" spans="1:18" x14ac:dyDescent="0.25">
      <c r="A1496">
        <f t="shared" si="23"/>
        <v>0</v>
      </c>
      <c r="C1496">
        <f>NOT(hospitalityq!C1496="")*(SUMPRODUCT(--(TRIM(hospitalityq!C6:C1496)=TRIM(hospitalityq!C1496)))&gt;1)</f>
        <v>0</v>
      </c>
      <c r="D1496">
        <f>NOT(hospitalityq!D1496="")*(COUNTIF(reference!$C$17:$C$18,TRIM(hospitalityq!D1496))=0)</f>
        <v>0</v>
      </c>
      <c r="J1496">
        <f>NOT(hospitalityq!J1496="")*(NOT(ISNUMBER(hospitalityq!J1496+0)))</f>
        <v>0</v>
      </c>
      <c r="K1496">
        <f>NOT(hospitalityq!K1496="")*(NOT(ISNUMBER(hospitalityq!K1496+0)))</f>
        <v>0</v>
      </c>
      <c r="P1496">
        <f>NOT(hospitalityq!P1496="")*(NOT(IFERROR(INT(hospitalityq!P1496)=VALUE(hospitalityq!P1496),FALSE)))</f>
        <v>0</v>
      </c>
      <c r="Q1496">
        <f>NOT(hospitalityq!Q1496="")*(NOT(IFERROR(INT(hospitalityq!Q1496)=VALUE(hospitalityq!Q1496),FALSE)))</f>
        <v>0</v>
      </c>
      <c r="R1496">
        <f>NOT(hospitalityq!R1496="")*(NOT(IFERROR(ROUND(VALUE(hospitalityq!R1496),2)=VALUE(hospitalityq!R1496),FALSE)))</f>
        <v>0</v>
      </c>
    </row>
    <row r="1497" spans="1:18" x14ac:dyDescent="0.25">
      <c r="A1497">
        <f t="shared" si="23"/>
        <v>0</v>
      </c>
      <c r="C1497">
        <f>NOT(hospitalityq!C1497="")*(SUMPRODUCT(--(TRIM(hospitalityq!C6:C1497)=TRIM(hospitalityq!C1497)))&gt;1)</f>
        <v>0</v>
      </c>
      <c r="D1497">
        <f>NOT(hospitalityq!D1497="")*(COUNTIF(reference!$C$17:$C$18,TRIM(hospitalityq!D1497))=0)</f>
        <v>0</v>
      </c>
      <c r="J1497">
        <f>NOT(hospitalityq!J1497="")*(NOT(ISNUMBER(hospitalityq!J1497+0)))</f>
        <v>0</v>
      </c>
      <c r="K1497">
        <f>NOT(hospitalityq!K1497="")*(NOT(ISNUMBER(hospitalityq!K1497+0)))</f>
        <v>0</v>
      </c>
      <c r="P1497">
        <f>NOT(hospitalityq!P1497="")*(NOT(IFERROR(INT(hospitalityq!P1497)=VALUE(hospitalityq!P1497),FALSE)))</f>
        <v>0</v>
      </c>
      <c r="Q1497">
        <f>NOT(hospitalityq!Q1497="")*(NOT(IFERROR(INT(hospitalityq!Q1497)=VALUE(hospitalityq!Q1497),FALSE)))</f>
        <v>0</v>
      </c>
      <c r="R1497">
        <f>NOT(hospitalityq!R1497="")*(NOT(IFERROR(ROUND(VALUE(hospitalityq!R1497),2)=VALUE(hospitalityq!R1497),FALSE)))</f>
        <v>0</v>
      </c>
    </row>
    <row r="1498" spans="1:18" x14ac:dyDescent="0.25">
      <c r="A1498">
        <f t="shared" si="23"/>
        <v>0</v>
      </c>
      <c r="C1498">
        <f>NOT(hospitalityq!C1498="")*(SUMPRODUCT(--(TRIM(hospitalityq!C6:C1498)=TRIM(hospitalityq!C1498)))&gt;1)</f>
        <v>0</v>
      </c>
      <c r="D1498">
        <f>NOT(hospitalityq!D1498="")*(COUNTIF(reference!$C$17:$C$18,TRIM(hospitalityq!D1498))=0)</f>
        <v>0</v>
      </c>
      <c r="J1498">
        <f>NOT(hospitalityq!J1498="")*(NOT(ISNUMBER(hospitalityq!J1498+0)))</f>
        <v>0</v>
      </c>
      <c r="K1498">
        <f>NOT(hospitalityq!K1498="")*(NOT(ISNUMBER(hospitalityq!K1498+0)))</f>
        <v>0</v>
      </c>
      <c r="P1498">
        <f>NOT(hospitalityq!P1498="")*(NOT(IFERROR(INT(hospitalityq!P1498)=VALUE(hospitalityq!P1498),FALSE)))</f>
        <v>0</v>
      </c>
      <c r="Q1498">
        <f>NOT(hospitalityq!Q1498="")*(NOT(IFERROR(INT(hospitalityq!Q1498)=VALUE(hospitalityq!Q1498),FALSE)))</f>
        <v>0</v>
      </c>
      <c r="R1498">
        <f>NOT(hospitalityq!R1498="")*(NOT(IFERROR(ROUND(VALUE(hospitalityq!R1498),2)=VALUE(hospitalityq!R1498),FALSE)))</f>
        <v>0</v>
      </c>
    </row>
    <row r="1499" spans="1:18" x14ac:dyDescent="0.25">
      <c r="A1499">
        <f t="shared" si="23"/>
        <v>0</v>
      </c>
      <c r="C1499">
        <f>NOT(hospitalityq!C1499="")*(SUMPRODUCT(--(TRIM(hospitalityq!C6:C1499)=TRIM(hospitalityq!C1499)))&gt;1)</f>
        <v>0</v>
      </c>
      <c r="D1499">
        <f>NOT(hospitalityq!D1499="")*(COUNTIF(reference!$C$17:$C$18,TRIM(hospitalityq!D1499))=0)</f>
        <v>0</v>
      </c>
      <c r="J1499">
        <f>NOT(hospitalityq!J1499="")*(NOT(ISNUMBER(hospitalityq!J1499+0)))</f>
        <v>0</v>
      </c>
      <c r="K1499">
        <f>NOT(hospitalityq!K1499="")*(NOT(ISNUMBER(hospitalityq!K1499+0)))</f>
        <v>0</v>
      </c>
      <c r="P1499">
        <f>NOT(hospitalityq!P1499="")*(NOT(IFERROR(INT(hospitalityq!P1499)=VALUE(hospitalityq!P1499),FALSE)))</f>
        <v>0</v>
      </c>
      <c r="Q1499">
        <f>NOT(hospitalityq!Q1499="")*(NOT(IFERROR(INT(hospitalityq!Q1499)=VALUE(hospitalityq!Q1499),FALSE)))</f>
        <v>0</v>
      </c>
      <c r="R1499">
        <f>NOT(hospitalityq!R1499="")*(NOT(IFERROR(ROUND(VALUE(hospitalityq!R1499),2)=VALUE(hospitalityq!R1499),FALSE)))</f>
        <v>0</v>
      </c>
    </row>
    <row r="1500" spans="1:18" x14ac:dyDescent="0.25">
      <c r="A1500">
        <f t="shared" si="23"/>
        <v>0</v>
      </c>
      <c r="C1500">
        <f>NOT(hospitalityq!C1500="")*(SUMPRODUCT(--(TRIM(hospitalityq!C6:C1500)=TRIM(hospitalityq!C1500)))&gt;1)</f>
        <v>0</v>
      </c>
      <c r="D1500">
        <f>NOT(hospitalityq!D1500="")*(COUNTIF(reference!$C$17:$C$18,TRIM(hospitalityq!D1500))=0)</f>
        <v>0</v>
      </c>
      <c r="J1500">
        <f>NOT(hospitalityq!J1500="")*(NOT(ISNUMBER(hospitalityq!J1500+0)))</f>
        <v>0</v>
      </c>
      <c r="K1500">
        <f>NOT(hospitalityq!K1500="")*(NOT(ISNUMBER(hospitalityq!K1500+0)))</f>
        <v>0</v>
      </c>
      <c r="P1500">
        <f>NOT(hospitalityq!P1500="")*(NOT(IFERROR(INT(hospitalityq!P1500)=VALUE(hospitalityq!P1500),FALSE)))</f>
        <v>0</v>
      </c>
      <c r="Q1500">
        <f>NOT(hospitalityq!Q1500="")*(NOT(IFERROR(INT(hospitalityq!Q1500)=VALUE(hospitalityq!Q1500),FALSE)))</f>
        <v>0</v>
      </c>
      <c r="R1500">
        <f>NOT(hospitalityq!R1500="")*(NOT(IFERROR(ROUND(VALUE(hospitalityq!R1500),2)=VALUE(hospitalityq!R1500),FALSE)))</f>
        <v>0</v>
      </c>
    </row>
    <row r="1501" spans="1:18" x14ac:dyDescent="0.25">
      <c r="A1501">
        <f t="shared" si="23"/>
        <v>0</v>
      </c>
      <c r="C1501">
        <f>NOT(hospitalityq!C1501="")*(SUMPRODUCT(--(TRIM(hospitalityq!C6:C1501)=TRIM(hospitalityq!C1501)))&gt;1)</f>
        <v>0</v>
      </c>
      <c r="D1501">
        <f>NOT(hospitalityq!D1501="")*(COUNTIF(reference!$C$17:$C$18,TRIM(hospitalityq!D1501))=0)</f>
        <v>0</v>
      </c>
      <c r="J1501">
        <f>NOT(hospitalityq!J1501="")*(NOT(ISNUMBER(hospitalityq!J1501+0)))</f>
        <v>0</v>
      </c>
      <c r="K1501">
        <f>NOT(hospitalityq!K1501="")*(NOT(ISNUMBER(hospitalityq!K1501+0)))</f>
        <v>0</v>
      </c>
      <c r="P1501">
        <f>NOT(hospitalityq!P1501="")*(NOT(IFERROR(INT(hospitalityq!P1501)=VALUE(hospitalityq!P1501),FALSE)))</f>
        <v>0</v>
      </c>
      <c r="Q1501">
        <f>NOT(hospitalityq!Q1501="")*(NOT(IFERROR(INT(hospitalityq!Q1501)=VALUE(hospitalityq!Q1501),FALSE)))</f>
        <v>0</v>
      </c>
      <c r="R1501">
        <f>NOT(hospitalityq!R1501="")*(NOT(IFERROR(ROUND(VALUE(hospitalityq!R1501),2)=VALUE(hospitalityq!R1501),FALSE)))</f>
        <v>0</v>
      </c>
    </row>
    <row r="1502" spans="1:18" x14ac:dyDescent="0.25">
      <c r="A1502">
        <f t="shared" si="23"/>
        <v>0</v>
      </c>
      <c r="C1502">
        <f>NOT(hospitalityq!C1502="")*(SUMPRODUCT(--(TRIM(hospitalityq!C6:C1502)=TRIM(hospitalityq!C1502)))&gt;1)</f>
        <v>0</v>
      </c>
      <c r="D1502">
        <f>NOT(hospitalityq!D1502="")*(COUNTIF(reference!$C$17:$C$18,TRIM(hospitalityq!D1502))=0)</f>
        <v>0</v>
      </c>
      <c r="J1502">
        <f>NOT(hospitalityq!J1502="")*(NOT(ISNUMBER(hospitalityq!J1502+0)))</f>
        <v>0</v>
      </c>
      <c r="K1502">
        <f>NOT(hospitalityq!K1502="")*(NOT(ISNUMBER(hospitalityq!K1502+0)))</f>
        <v>0</v>
      </c>
      <c r="P1502">
        <f>NOT(hospitalityq!P1502="")*(NOT(IFERROR(INT(hospitalityq!P1502)=VALUE(hospitalityq!P1502),FALSE)))</f>
        <v>0</v>
      </c>
      <c r="Q1502">
        <f>NOT(hospitalityq!Q1502="")*(NOT(IFERROR(INT(hospitalityq!Q1502)=VALUE(hospitalityq!Q1502),FALSE)))</f>
        <v>0</v>
      </c>
      <c r="R1502">
        <f>NOT(hospitalityq!R1502="")*(NOT(IFERROR(ROUND(VALUE(hospitalityq!R1502),2)=VALUE(hospitalityq!R1502),FALSE)))</f>
        <v>0</v>
      </c>
    </row>
    <row r="1503" spans="1:18" x14ac:dyDescent="0.25">
      <c r="A1503">
        <f t="shared" si="23"/>
        <v>0</v>
      </c>
      <c r="C1503">
        <f>NOT(hospitalityq!C1503="")*(SUMPRODUCT(--(TRIM(hospitalityq!C6:C1503)=TRIM(hospitalityq!C1503)))&gt;1)</f>
        <v>0</v>
      </c>
      <c r="D1503">
        <f>NOT(hospitalityq!D1503="")*(COUNTIF(reference!$C$17:$C$18,TRIM(hospitalityq!D1503))=0)</f>
        <v>0</v>
      </c>
      <c r="J1503">
        <f>NOT(hospitalityq!J1503="")*(NOT(ISNUMBER(hospitalityq!J1503+0)))</f>
        <v>0</v>
      </c>
      <c r="K1503">
        <f>NOT(hospitalityq!K1503="")*(NOT(ISNUMBER(hospitalityq!K1503+0)))</f>
        <v>0</v>
      </c>
      <c r="P1503">
        <f>NOT(hospitalityq!P1503="")*(NOT(IFERROR(INT(hospitalityq!P1503)=VALUE(hospitalityq!P1503),FALSE)))</f>
        <v>0</v>
      </c>
      <c r="Q1503">
        <f>NOT(hospitalityq!Q1503="")*(NOT(IFERROR(INT(hospitalityq!Q1503)=VALUE(hospitalityq!Q1503),FALSE)))</f>
        <v>0</v>
      </c>
      <c r="R1503">
        <f>NOT(hospitalityq!R1503="")*(NOT(IFERROR(ROUND(VALUE(hospitalityq!R1503),2)=VALUE(hospitalityq!R1503),FALSE)))</f>
        <v>0</v>
      </c>
    </row>
    <row r="1504" spans="1:18" x14ac:dyDescent="0.25">
      <c r="A1504">
        <f t="shared" si="23"/>
        <v>0</v>
      </c>
      <c r="C1504">
        <f>NOT(hospitalityq!C1504="")*(SUMPRODUCT(--(TRIM(hospitalityq!C6:C1504)=TRIM(hospitalityq!C1504)))&gt;1)</f>
        <v>0</v>
      </c>
      <c r="D1504">
        <f>NOT(hospitalityq!D1504="")*(COUNTIF(reference!$C$17:$C$18,TRIM(hospitalityq!D1504))=0)</f>
        <v>0</v>
      </c>
      <c r="J1504">
        <f>NOT(hospitalityq!J1504="")*(NOT(ISNUMBER(hospitalityq!J1504+0)))</f>
        <v>0</v>
      </c>
      <c r="K1504">
        <f>NOT(hospitalityq!K1504="")*(NOT(ISNUMBER(hospitalityq!K1504+0)))</f>
        <v>0</v>
      </c>
      <c r="P1504">
        <f>NOT(hospitalityq!P1504="")*(NOT(IFERROR(INT(hospitalityq!P1504)=VALUE(hospitalityq!P1504),FALSE)))</f>
        <v>0</v>
      </c>
      <c r="Q1504">
        <f>NOT(hospitalityq!Q1504="")*(NOT(IFERROR(INT(hospitalityq!Q1504)=VALUE(hospitalityq!Q1504),FALSE)))</f>
        <v>0</v>
      </c>
      <c r="R1504">
        <f>NOT(hospitalityq!R1504="")*(NOT(IFERROR(ROUND(VALUE(hospitalityq!R1504),2)=VALUE(hospitalityq!R1504),FALSE)))</f>
        <v>0</v>
      </c>
    </row>
    <row r="1505" spans="1:18" x14ac:dyDescent="0.25">
      <c r="A1505">
        <f t="shared" si="23"/>
        <v>0</v>
      </c>
      <c r="C1505">
        <f>NOT(hospitalityq!C1505="")*(SUMPRODUCT(--(TRIM(hospitalityq!C6:C1505)=TRIM(hospitalityq!C1505)))&gt;1)</f>
        <v>0</v>
      </c>
      <c r="D1505">
        <f>NOT(hospitalityq!D1505="")*(COUNTIF(reference!$C$17:$C$18,TRIM(hospitalityq!D1505))=0)</f>
        <v>0</v>
      </c>
      <c r="J1505">
        <f>NOT(hospitalityq!J1505="")*(NOT(ISNUMBER(hospitalityq!J1505+0)))</f>
        <v>0</v>
      </c>
      <c r="K1505">
        <f>NOT(hospitalityq!K1505="")*(NOT(ISNUMBER(hospitalityq!K1505+0)))</f>
        <v>0</v>
      </c>
      <c r="P1505">
        <f>NOT(hospitalityq!P1505="")*(NOT(IFERROR(INT(hospitalityq!P1505)=VALUE(hospitalityq!P1505),FALSE)))</f>
        <v>0</v>
      </c>
      <c r="Q1505">
        <f>NOT(hospitalityq!Q1505="")*(NOT(IFERROR(INT(hospitalityq!Q1505)=VALUE(hospitalityq!Q1505),FALSE)))</f>
        <v>0</v>
      </c>
      <c r="R1505">
        <f>NOT(hospitalityq!R1505="")*(NOT(IFERROR(ROUND(VALUE(hospitalityq!R1505),2)=VALUE(hospitalityq!R1505),FALSE)))</f>
        <v>0</v>
      </c>
    </row>
    <row r="1506" spans="1:18" x14ac:dyDescent="0.25">
      <c r="A1506">
        <f t="shared" si="23"/>
        <v>0</v>
      </c>
      <c r="C1506">
        <f>NOT(hospitalityq!C1506="")*(SUMPRODUCT(--(TRIM(hospitalityq!C6:C1506)=TRIM(hospitalityq!C1506)))&gt;1)</f>
        <v>0</v>
      </c>
      <c r="D1506">
        <f>NOT(hospitalityq!D1506="")*(COUNTIF(reference!$C$17:$C$18,TRIM(hospitalityq!D1506))=0)</f>
        <v>0</v>
      </c>
      <c r="J1506">
        <f>NOT(hospitalityq!J1506="")*(NOT(ISNUMBER(hospitalityq!J1506+0)))</f>
        <v>0</v>
      </c>
      <c r="K1506">
        <f>NOT(hospitalityq!K1506="")*(NOT(ISNUMBER(hospitalityq!K1506+0)))</f>
        <v>0</v>
      </c>
      <c r="P1506">
        <f>NOT(hospitalityq!P1506="")*(NOT(IFERROR(INT(hospitalityq!P1506)=VALUE(hospitalityq!P1506),FALSE)))</f>
        <v>0</v>
      </c>
      <c r="Q1506">
        <f>NOT(hospitalityq!Q1506="")*(NOT(IFERROR(INT(hospitalityq!Q1506)=VALUE(hospitalityq!Q1506),FALSE)))</f>
        <v>0</v>
      </c>
      <c r="R1506">
        <f>NOT(hospitalityq!R1506="")*(NOT(IFERROR(ROUND(VALUE(hospitalityq!R1506),2)=VALUE(hospitalityq!R1506),FALSE)))</f>
        <v>0</v>
      </c>
    </row>
    <row r="1507" spans="1:18" x14ac:dyDescent="0.25">
      <c r="A1507">
        <f t="shared" si="23"/>
        <v>0</v>
      </c>
      <c r="C1507">
        <f>NOT(hospitalityq!C1507="")*(SUMPRODUCT(--(TRIM(hospitalityq!C6:C1507)=TRIM(hospitalityq!C1507)))&gt;1)</f>
        <v>0</v>
      </c>
      <c r="D1507">
        <f>NOT(hospitalityq!D1507="")*(COUNTIF(reference!$C$17:$C$18,TRIM(hospitalityq!D1507))=0)</f>
        <v>0</v>
      </c>
      <c r="J1507">
        <f>NOT(hospitalityq!J1507="")*(NOT(ISNUMBER(hospitalityq!J1507+0)))</f>
        <v>0</v>
      </c>
      <c r="K1507">
        <f>NOT(hospitalityq!K1507="")*(NOT(ISNUMBER(hospitalityq!K1507+0)))</f>
        <v>0</v>
      </c>
      <c r="P1507">
        <f>NOT(hospitalityq!P1507="")*(NOT(IFERROR(INT(hospitalityq!P1507)=VALUE(hospitalityq!P1507),FALSE)))</f>
        <v>0</v>
      </c>
      <c r="Q1507">
        <f>NOT(hospitalityq!Q1507="")*(NOT(IFERROR(INT(hospitalityq!Q1507)=VALUE(hospitalityq!Q1507),FALSE)))</f>
        <v>0</v>
      </c>
      <c r="R1507">
        <f>NOT(hospitalityq!R1507="")*(NOT(IFERROR(ROUND(VALUE(hospitalityq!R1507),2)=VALUE(hospitalityq!R1507),FALSE)))</f>
        <v>0</v>
      </c>
    </row>
    <row r="1508" spans="1:18" x14ac:dyDescent="0.25">
      <c r="A1508">
        <f t="shared" si="23"/>
        <v>0</v>
      </c>
      <c r="C1508">
        <f>NOT(hospitalityq!C1508="")*(SUMPRODUCT(--(TRIM(hospitalityq!C6:C1508)=TRIM(hospitalityq!C1508)))&gt;1)</f>
        <v>0</v>
      </c>
      <c r="D1508">
        <f>NOT(hospitalityq!D1508="")*(COUNTIF(reference!$C$17:$C$18,TRIM(hospitalityq!D1508))=0)</f>
        <v>0</v>
      </c>
      <c r="J1508">
        <f>NOT(hospitalityq!J1508="")*(NOT(ISNUMBER(hospitalityq!J1508+0)))</f>
        <v>0</v>
      </c>
      <c r="K1508">
        <f>NOT(hospitalityq!K1508="")*(NOT(ISNUMBER(hospitalityq!K1508+0)))</f>
        <v>0</v>
      </c>
      <c r="P1508">
        <f>NOT(hospitalityq!P1508="")*(NOT(IFERROR(INT(hospitalityq!P1508)=VALUE(hospitalityq!P1508),FALSE)))</f>
        <v>0</v>
      </c>
      <c r="Q1508">
        <f>NOT(hospitalityq!Q1508="")*(NOT(IFERROR(INT(hospitalityq!Q1508)=VALUE(hospitalityq!Q1508),FALSE)))</f>
        <v>0</v>
      </c>
      <c r="R1508">
        <f>NOT(hospitalityq!R1508="")*(NOT(IFERROR(ROUND(VALUE(hospitalityq!R1508),2)=VALUE(hospitalityq!R1508),FALSE)))</f>
        <v>0</v>
      </c>
    </row>
    <row r="1509" spans="1:18" x14ac:dyDescent="0.25">
      <c r="A1509">
        <f t="shared" si="23"/>
        <v>0</v>
      </c>
      <c r="C1509">
        <f>NOT(hospitalityq!C1509="")*(SUMPRODUCT(--(TRIM(hospitalityq!C6:C1509)=TRIM(hospitalityq!C1509)))&gt;1)</f>
        <v>0</v>
      </c>
      <c r="D1509">
        <f>NOT(hospitalityq!D1509="")*(COUNTIF(reference!$C$17:$C$18,TRIM(hospitalityq!D1509))=0)</f>
        <v>0</v>
      </c>
      <c r="J1509">
        <f>NOT(hospitalityq!J1509="")*(NOT(ISNUMBER(hospitalityq!J1509+0)))</f>
        <v>0</v>
      </c>
      <c r="K1509">
        <f>NOT(hospitalityq!K1509="")*(NOT(ISNUMBER(hospitalityq!K1509+0)))</f>
        <v>0</v>
      </c>
      <c r="P1509">
        <f>NOT(hospitalityq!P1509="")*(NOT(IFERROR(INT(hospitalityq!P1509)=VALUE(hospitalityq!P1509),FALSE)))</f>
        <v>0</v>
      </c>
      <c r="Q1509">
        <f>NOT(hospitalityq!Q1509="")*(NOT(IFERROR(INT(hospitalityq!Q1509)=VALUE(hospitalityq!Q1509),FALSE)))</f>
        <v>0</v>
      </c>
      <c r="R1509">
        <f>NOT(hospitalityq!R1509="")*(NOT(IFERROR(ROUND(VALUE(hospitalityq!R1509),2)=VALUE(hospitalityq!R1509),FALSE)))</f>
        <v>0</v>
      </c>
    </row>
    <row r="1510" spans="1:18" x14ac:dyDescent="0.25">
      <c r="A1510">
        <f t="shared" si="23"/>
        <v>0</v>
      </c>
      <c r="C1510">
        <f>NOT(hospitalityq!C1510="")*(SUMPRODUCT(--(TRIM(hospitalityq!C6:C1510)=TRIM(hospitalityq!C1510)))&gt;1)</f>
        <v>0</v>
      </c>
      <c r="D1510">
        <f>NOT(hospitalityq!D1510="")*(COUNTIF(reference!$C$17:$C$18,TRIM(hospitalityq!D1510))=0)</f>
        <v>0</v>
      </c>
      <c r="J1510">
        <f>NOT(hospitalityq!J1510="")*(NOT(ISNUMBER(hospitalityq!J1510+0)))</f>
        <v>0</v>
      </c>
      <c r="K1510">
        <f>NOT(hospitalityq!K1510="")*(NOT(ISNUMBER(hospitalityq!K1510+0)))</f>
        <v>0</v>
      </c>
      <c r="P1510">
        <f>NOT(hospitalityq!P1510="")*(NOT(IFERROR(INT(hospitalityq!P1510)=VALUE(hospitalityq!P1510),FALSE)))</f>
        <v>0</v>
      </c>
      <c r="Q1510">
        <f>NOT(hospitalityq!Q1510="")*(NOT(IFERROR(INT(hospitalityq!Q1510)=VALUE(hospitalityq!Q1510),FALSE)))</f>
        <v>0</v>
      </c>
      <c r="R1510">
        <f>NOT(hospitalityq!R1510="")*(NOT(IFERROR(ROUND(VALUE(hospitalityq!R1510),2)=VALUE(hospitalityq!R1510),FALSE)))</f>
        <v>0</v>
      </c>
    </row>
    <row r="1511" spans="1:18" x14ac:dyDescent="0.25">
      <c r="A1511">
        <f t="shared" si="23"/>
        <v>0</v>
      </c>
      <c r="C1511">
        <f>NOT(hospitalityq!C1511="")*(SUMPRODUCT(--(TRIM(hospitalityq!C6:C1511)=TRIM(hospitalityq!C1511)))&gt;1)</f>
        <v>0</v>
      </c>
      <c r="D1511">
        <f>NOT(hospitalityq!D1511="")*(COUNTIF(reference!$C$17:$C$18,TRIM(hospitalityq!D1511))=0)</f>
        <v>0</v>
      </c>
      <c r="J1511">
        <f>NOT(hospitalityq!J1511="")*(NOT(ISNUMBER(hospitalityq!J1511+0)))</f>
        <v>0</v>
      </c>
      <c r="K1511">
        <f>NOT(hospitalityq!K1511="")*(NOT(ISNUMBER(hospitalityq!K1511+0)))</f>
        <v>0</v>
      </c>
      <c r="P1511">
        <f>NOT(hospitalityq!P1511="")*(NOT(IFERROR(INT(hospitalityq!P1511)=VALUE(hospitalityq!P1511),FALSE)))</f>
        <v>0</v>
      </c>
      <c r="Q1511">
        <f>NOT(hospitalityq!Q1511="")*(NOT(IFERROR(INT(hospitalityq!Q1511)=VALUE(hospitalityq!Q1511),FALSE)))</f>
        <v>0</v>
      </c>
      <c r="R1511">
        <f>NOT(hospitalityq!R1511="")*(NOT(IFERROR(ROUND(VALUE(hospitalityq!R1511),2)=VALUE(hospitalityq!R1511),FALSE)))</f>
        <v>0</v>
      </c>
    </row>
    <row r="1512" spans="1:18" x14ac:dyDescent="0.25">
      <c r="A1512">
        <f t="shared" si="23"/>
        <v>0</v>
      </c>
      <c r="C1512">
        <f>NOT(hospitalityq!C1512="")*(SUMPRODUCT(--(TRIM(hospitalityq!C6:C1512)=TRIM(hospitalityq!C1512)))&gt;1)</f>
        <v>0</v>
      </c>
      <c r="D1512">
        <f>NOT(hospitalityq!D1512="")*(COUNTIF(reference!$C$17:$C$18,TRIM(hospitalityq!D1512))=0)</f>
        <v>0</v>
      </c>
      <c r="J1512">
        <f>NOT(hospitalityq!J1512="")*(NOT(ISNUMBER(hospitalityq!J1512+0)))</f>
        <v>0</v>
      </c>
      <c r="K1512">
        <f>NOT(hospitalityq!K1512="")*(NOT(ISNUMBER(hospitalityq!K1512+0)))</f>
        <v>0</v>
      </c>
      <c r="P1512">
        <f>NOT(hospitalityq!P1512="")*(NOT(IFERROR(INT(hospitalityq!P1512)=VALUE(hospitalityq!P1512),FALSE)))</f>
        <v>0</v>
      </c>
      <c r="Q1512">
        <f>NOT(hospitalityq!Q1512="")*(NOT(IFERROR(INT(hospitalityq!Q1512)=VALUE(hospitalityq!Q1512),FALSE)))</f>
        <v>0</v>
      </c>
      <c r="R1512">
        <f>NOT(hospitalityq!R1512="")*(NOT(IFERROR(ROUND(VALUE(hospitalityq!R1512),2)=VALUE(hospitalityq!R1512),FALSE)))</f>
        <v>0</v>
      </c>
    </row>
    <row r="1513" spans="1:18" x14ac:dyDescent="0.25">
      <c r="A1513">
        <f t="shared" si="23"/>
        <v>0</v>
      </c>
      <c r="C1513">
        <f>NOT(hospitalityq!C1513="")*(SUMPRODUCT(--(TRIM(hospitalityq!C6:C1513)=TRIM(hospitalityq!C1513)))&gt;1)</f>
        <v>0</v>
      </c>
      <c r="D1513">
        <f>NOT(hospitalityq!D1513="")*(COUNTIF(reference!$C$17:$C$18,TRIM(hospitalityq!D1513))=0)</f>
        <v>0</v>
      </c>
      <c r="J1513">
        <f>NOT(hospitalityq!J1513="")*(NOT(ISNUMBER(hospitalityq!J1513+0)))</f>
        <v>0</v>
      </c>
      <c r="K1513">
        <f>NOT(hospitalityq!K1513="")*(NOT(ISNUMBER(hospitalityq!K1513+0)))</f>
        <v>0</v>
      </c>
      <c r="P1513">
        <f>NOT(hospitalityq!P1513="")*(NOT(IFERROR(INT(hospitalityq!P1513)=VALUE(hospitalityq!P1513),FALSE)))</f>
        <v>0</v>
      </c>
      <c r="Q1513">
        <f>NOT(hospitalityq!Q1513="")*(NOT(IFERROR(INT(hospitalityq!Q1513)=VALUE(hospitalityq!Q1513),FALSE)))</f>
        <v>0</v>
      </c>
      <c r="R1513">
        <f>NOT(hospitalityq!R1513="")*(NOT(IFERROR(ROUND(VALUE(hospitalityq!R1513),2)=VALUE(hospitalityq!R1513),FALSE)))</f>
        <v>0</v>
      </c>
    </row>
    <row r="1514" spans="1:18" x14ac:dyDescent="0.25">
      <c r="A1514">
        <f t="shared" si="23"/>
        <v>0</v>
      </c>
      <c r="C1514">
        <f>NOT(hospitalityq!C1514="")*(SUMPRODUCT(--(TRIM(hospitalityq!C6:C1514)=TRIM(hospitalityq!C1514)))&gt;1)</f>
        <v>0</v>
      </c>
      <c r="D1514">
        <f>NOT(hospitalityq!D1514="")*(COUNTIF(reference!$C$17:$C$18,TRIM(hospitalityq!D1514))=0)</f>
        <v>0</v>
      </c>
      <c r="J1514">
        <f>NOT(hospitalityq!J1514="")*(NOT(ISNUMBER(hospitalityq!J1514+0)))</f>
        <v>0</v>
      </c>
      <c r="K1514">
        <f>NOT(hospitalityq!K1514="")*(NOT(ISNUMBER(hospitalityq!K1514+0)))</f>
        <v>0</v>
      </c>
      <c r="P1514">
        <f>NOT(hospitalityq!P1514="")*(NOT(IFERROR(INT(hospitalityq!P1514)=VALUE(hospitalityq!P1514),FALSE)))</f>
        <v>0</v>
      </c>
      <c r="Q1514">
        <f>NOT(hospitalityq!Q1514="")*(NOT(IFERROR(INT(hospitalityq!Q1514)=VALUE(hospitalityq!Q1514),FALSE)))</f>
        <v>0</v>
      </c>
      <c r="R1514">
        <f>NOT(hospitalityq!R1514="")*(NOT(IFERROR(ROUND(VALUE(hospitalityq!R1514),2)=VALUE(hospitalityq!R1514),FALSE)))</f>
        <v>0</v>
      </c>
    </row>
    <row r="1515" spans="1:18" x14ac:dyDescent="0.25">
      <c r="A1515">
        <f t="shared" si="23"/>
        <v>0</v>
      </c>
      <c r="C1515">
        <f>NOT(hospitalityq!C1515="")*(SUMPRODUCT(--(TRIM(hospitalityq!C6:C1515)=TRIM(hospitalityq!C1515)))&gt;1)</f>
        <v>0</v>
      </c>
      <c r="D1515">
        <f>NOT(hospitalityq!D1515="")*(COUNTIF(reference!$C$17:$C$18,TRIM(hospitalityq!D1515))=0)</f>
        <v>0</v>
      </c>
      <c r="J1515">
        <f>NOT(hospitalityq!J1515="")*(NOT(ISNUMBER(hospitalityq!J1515+0)))</f>
        <v>0</v>
      </c>
      <c r="K1515">
        <f>NOT(hospitalityq!K1515="")*(NOT(ISNUMBER(hospitalityq!K1515+0)))</f>
        <v>0</v>
      </c>
      <c r="P1515">
        <f>NOT(hospitalityq!P1515="")*(NOT(IFERROR(INT(hospitalityq!P1515)=VALUE(hospitalityq!P1515),FALSE)))</f>
        <v>0</v>
      </c>
      <c r="Q1515">
        <f>NOT(hospitalityq!Q1515="")*(NOT(IFERROR(INT(hospitalityq!Q1515)=VALUE(hospitalityq!Q1515),FALSE)))</f>
        <v>0</v>
      </c>
      <c r="R1515">
        <f>NOT(hospitalityq!R1515="")*(NOT(IFERROR(ROUND(VALUE(hospitalityq!R1515),2)=VALUE(hospitalityq!R1515),FALSE)))</f>
        <v>0</v>
      </c>
    </row>
    <row r="1516" spans="1:18" x14ac:dyDescent="0.25">
      <c r="A1516">
        <f t="shared" si="23"/>
        <v>0</v>
      </c>
      <c r="C1516">
        <f>NOT(hospitalityq!C1516="")*(SUMPRODUCT(--(TRIM(hospitalityq!C6:C1516)=TRIM(hospitalityq!C1516)))&gt;1)</f>
        <v>0</v>
      </c>
      <c r="D1516">
        <f>NOT(hospitalityq!D1516="")*(COUNTIF(reference!$C$17:$C$18,TRIM(hospitalityq!D1516))=0)</f>
        <v>0</v>
      </c>
      <c r="J1516">
        <f>NOT(hospitalityq!J1516="")*(NOT(ISNUMBER(hospitalityq!J1516+0)))</f>
        <v>0</v>
      </c>
      <c r="K1516">
        <f>NOT(hospitalityq!K1516="")*(NOT(ISNUMBER(hospitalityq!K1516+0)))</f>
        <v>0</v>
      </c>
      <c r="P1516">
        <f>NOT(hospitalityq!P1516="")*(NOT(IFERROR(INT(hospitalityq!P1516)=VALUE(hospitalityq!P1516),FALSE)))</f>
        <v>0</v>
      </c>
      <c r="Q1516">
        <f>NOT(hospitalityq!Q1516="")*(NOT(IFERROR(INT(hospitalityq!Q1516)=VALUE(hospitalityq!Q1516),FALSE)))</f>
        <v>0</v>
      </c>
      <c r="R1516">
        <f>NOT(hospitalityq!R1516="")*(NOT(IFERROR(ROUND(VALUE(hospitalityq!R1516),2)=VALUE(hospitalityq!R1516),FALSE)))</f>
        <v>0</v>
      </c>
    </row>
    <row r="1517" spans="1:18" x14ac:dyDescent="0.25">
      <c r="A1517">
        <f t="shared" si="23"/>
        <v>0</v>
      </c>
      <c r="C1517">
        <f>NOT(hospitalityq!C1517="")*(SUMPRODUCT(--(TRIM(hospitalityq!C6:C1517)=TRIM(hospitalityq!C1517)))&gt;1)</f>
        <v>0</v>
      </c>
      <c r="D1517">
        <f>NOT(hospitalityq!D1517="")*(COUNTIF(reference!$C$17:$C$18,TRIM(hospitalityq!D1517))=0)</f>
        <v>0</v>
      </c>
      <c r="J1517">
        <f>NOT(hospitalityq!J1517="")*(NOT(ISNUMBER(hospitalityq!J1517+0)))</f>
        <v>0</v>
      </c>
      <c r="K1517">
        <f>NOT(hospitalityq!K1517="")*(NOT(ISNUMBER(hospitalityq!K1517+0)))</f>
        <v>0</v>
      </c>
      <c r="P1517">
        <f>NOT(hospitalityq!P1517="")*(NOT(IFERROR(INT(hospitalityq!P1517)=VALUE(hospitalityq!P1517),FALSE)))</f>
        <v>0</v>
      </c>
      <c r="Q1517">
        <f>NOT(hospitalityq!Q1517="")*(NOT(IFERROR(INT(hospitalityq!Q1517)=VALUE(hospitalityq!Q1517),FALSE)))</f>
        <v>0</v>
      </c>
      <c r="R1517">
        <f>NOT(hospitalityq!R1517="")*(NOT(IFERROR(ROUND(VALUE(hospitalityq!R1517),2)=VALUE(hospitalityq!R1517),FALSE)))</f>
        <v>0</v>
      </c>
    </row>
    <row r="1518" spans="1:18" x14ac:dyDescent="0.25">
      <c r="A1518">
        <f t="shared" si="23"/>
        <v>0</v>
      </c>
      <c r="C1518">
        <f>NOT(hospitalityq!C1518="")*(SUMPRODUCT(--(TRIM(hospitalityq!C6:C1518)=TRIM(hospitalityq!C1518)))&gt;1)</f>
        <v>0</v>
      </c>
      <c r="D1518">
        <f>NOT(hospitalityq!D1518="")*(COUNTIF(reference!$C$17:$C$18,TRIM(hospitalityq!D1518))=0)</f>
        <v>0</v>
      </c>
      <c r="J1518">
        <f>NOT(hospitalityq!J1518="")*(NOT(ISNUMBER(hospitalityq!J1518+0)))</f>
        <v>0</v>
      </c>
      <c r="K1518">
        <f>NOT(hospitalityq!K1518="")*(NOT(ISNUMBER(hospitalityq!K1518+0)))</f>
        <v>0</v>
      </c>
      <c r="P1518">
        <f>NOT(hospitalityq!P1518="")*(NOT(IFERROR(INT(hospitalityq!P1518)=VALUE(hospitalityq!P1518),FALSE)))</f>
        <v>0</v>
      </c>
      <c r="Q1518">
        <f>NOT(hospitalityq!Q1518="")*(NOT(IFERROR(INT(hospitalityq!Q1518)=VALUE(hospitalityq!Q1518),FALSE)))</f>
        <v>0</v>
      </c>
      <c r="R1518">
        <f>NOT(hospitalityq!R1518="")*(NOT(IFERROR(ROUND(VALUE(hospitalityq!R1518),2)=VALUE(hospitalityq!R1518),FALSE)))</f>
        <v>0</v>
      </c>
    </row>
    <row r="1519" spans="1:18" x14ac:dyDescent="0.25">
      <c r="A1519">
        <f t="shared" si="23"/>
        <v>0</v>
      </c>
      <c r="C1519">
        <f>NOT(hospitalityq!C1519="")*(SUMPRODUCT(--(TRIM(hospitalityq!C6:C1519)=TRIM(hospitalityq!C1519)))&gt;1)</f>
        <v>0</v>
      </c>
      <c r="D1519">
        <f>NOT(hospitalityq!D1519="")*(COUNTIF(reference!$C$17:$C$18,TRIM(hospitalityq!D1519))=0)</f>
        <v>0</v>
      </c>
      <c r="J1519">
        <f>NOT(hospitalityq!J1519="")*(NOT(ISNUMBER(hospitalityq!J1519+0)))</f>
        <v>0</v>
      </c>
      <c r="K1519">
        <f>NOT(hospitalityq!K1519="")*(NOT(ISNUMBER(hospitalityq!K1519+0)))</f>
        <v>0</v>
      </c>
      <c r="P1519">
        <f>NOT(hospitalityq!P1519="")*(NOT(IFERROR(INT(hospitalityq!P1519)=VALUE(hospitalityq!P1519),FALSE)))</f>
        <v>0</v>
      </c>
      <c r="Q1519">
        <f>NOT(hospitalityq!Q1519="")*(NOT(IFERROR(INT(hospitalityq!Q1519)=VALUE(hospitalityq!Q1519),FALSE)))</f>
        <v>0</v>
      </c>
      <c r="R1519">
        <f>NOT(hospitalityq!R1519="")*(NOT(IFERROR(ROUND(VALUE(hospitalityq!R1519),2)=VALUE(hospitalityq!R1519),FALSE)))</f>
        <v>0</v>
      </c>
    </row>
    <row r="1520" spans="1:18" x14ac:dyDescent="0.25">
      <c r="A1520">
        <f t="shared" si="23"/>
        <v>0</v>
      </c>
      <c r="C1520">
        <f>NOT(hospitalityq!C1520="")*(SUMPRODUCT(--(TRIM(hospitalityq!C6:C1520)=TRIM(hospitalityq!C1520)))&gt;1)</f>
        <v>0</v>
      </c>
      <c r="D1520">
        <f>NOT(hospitalityq!D1520="")*(COUNTIF(reference!$C$17:$C$18,TRIM(hospitalityq!D1520))=0)</f>
        <v>0</v>
      </c>
      <c r="J1520">
        <f>NOT(hospitalityq!J1520="")*(NOT(ISNUMBER(hospitalityq!J1520+0)))</f>
        <v>0</v>
      </c>
      <c r="K1520">
        <f>NOT(hospitalityq!K1520="")*(NOT(ISNUMBER(hospitalityq!K1520+0)))</f>
        <v>0</v>
      </c>
      <c r="P1520">
        <f>NOT(hospitalityq!P1520="")*(NOT(IFERROR(INT(hospitalityq!P1520)=VALUE(hospitalityq!P1520),FALSE)))</f>
        <v>0</v>
      </c>
      <c r="Q1520">
        <f>NOT(hospitalityq!Q1520="")*(NOT(IFERROR(INT(hospitalityq!Q1520)=VALUE(hospitalityq!Q1520),FALSE)))</f>
        <v>0</v>
      </c>
      <c r="R1520">
        <f>NOT(hospitalityq!R1520="")*(NOT(IFERROR(ROUND(VALUE(hospitalityq!R1520),2)=VALUE(hospitalityq!R1520),FALSE)))</f>
        <v>0</v>
      </c>
    </row>
    <row r="1521" spans="1:18" x14ac:dyDescent="0.25">
      <c r="A1521">
        <f t="shared" si="23"/>
        <v>0</v>
      </c>
      <c r="C1521">
        <f>NOT(hospitalityq!C1521="")*(SUMPRODUCT(--(TRIM(hospitalityq!C6:C1521)=TRIM(hospitalityq!C1521)))&gt;1)</f>
        <v>0</v>
      </c>
      <c r="D1521">
        <f>NOT(hospitalityq!D1521="")*(COUNTIF(reference!$C$17:$C$18,TRIM(hospitalityq!D1521))=0)</f>
        <v>0</v>
      </c>
      <c r="J1521">
        <f>NOT(hospitalityq!J1521="")*(NOT(ISNUMBER(hospitalityq!J1521+0)))</f>
        <v>0</v>
      </c>
      <c r="K1521">
        <f>NOT(hospitalityq!K1521="")*(NOT(ISNUMBER(hospitalityq!K1521+0)))</f>
        <v>0</v>
      </c>
      <c r="P1521">
        <f>NOT(hospitalityq!P1521="")*(NOT(IFERROR(INT(hospitalityq!P1521)=VALUE(hospitalityq!P1521),FALSE)))</f>
        <v>0</v>
      </c>
      <c r="Q1521">
        <f>NOT(hospitalityq!Q1521="")*(NOT(IFERROR(INT(hospitalityq!Q1521)=VALUE(hospitalityq!Q1521),FALSE)))</f>
        <v>0</v>
      </c>
      <c r="R1521">
        <f>NOT(hospitalityq!R1521="")*(NOT(IFERROR(ROUND(VALUE(hospitalityq!R1521),2)=VALUE(hospitalityq!R1521),FALSE)))</f>
        <v>0</v>
      </c>
    </row>
    <row r="1522" spans="1:18" x14ac:dyDescent="0.25">
      <c r="A1522">
        <f t="shared" si="23"/>
        <v>0</v>
      </c>
      <c r="C1522">
        <f>NOT(hospitalityq!C1522="")*(SUMPRODUCT(--(TRIM(hospitalityq!C6:C1522)=TRIM(hospitalityq!C1522)))&gt;1)</f>
        <v>0</v>
      </c>
      <c r="D1522">
        <f>NOT(hospitalityq!D1522="")*(COUNTIF(reference!$C$17:$C$18,TRIM(hospitalityq!D1522))=0)</f>
        <v>0</v>
      </c>
      <c r="J1522">
        <f>NOT(hospitalityq!J1522="")*(NOT(ISNUMBER(hospitalityq!J1522+0)))</f>
        <v>0</v>
      </c>
      <c r="K1522">
        <f>NOT(hospitalityq!K1522="")*(NOT(ISNUMBER(hospitalityq!K1522+0)))</f>
        <v>0</v>
      </c>
      <c r="P1522">
        <f>NOT(hospitalityq!P1522="")*(NOT(IFERROR(INT(hospitalityq!P1522)=VALUE(hospitalityq!P1522),FALSE)))</f>
        <v>0</v>
      </c>
      <c r="Q1522">
        <f>NOT(hospitalityq!Q1522="")*(NOT(IFERROR(INT(hospitalityq!Q1522)=VALUE(hospitalityq!Q1522),FALSE)))</f>
        <v>0</v>
      </c>
      <c r="R1522">
        <f>NOT(hospitalityq!R1522="")*(NOT(IFERROR(ROUND(VALUE(hospitalityq!R1522),2)=VALUE(hospitalityq!R1522),FALSE)))</f>
        <v>0</v>
      </c>
    </row>
    <row r="1523" spans="1:18" x14ac:dyDescent="0.25">
      <c r="A1523">
        <f t="shared" si="23"/>
        <v>0</v>
      </c>
      <c r="C1523">
        <f>NOT(hospitalityq!C1523="")*(SUMPRODUCT(--(TRIM(hospitalityq!C6:C1523)=TRIM(hospitalityq!C1523)))&gt;1)</f>
        <v>0</v>
      </c>
      <c r="D1523">
        <f>NOT(hospitalityq!D1523="")*(COUNTIF(reference!$C$17:$C$18,TRIM(hospitalityq!D1523))=0)</f>
        <v>0</v>
      </c>
      <c r="J1523">
        <f>NOT(hospitalityq!J1523="")*(NOT(ISNUMBER(hospitalityq!J1523+0)))</f>
        <v>0</v>
      </c>
      <c r="K1523">
        <f>NOT(hospitalityq!K1523="")*(NOT(ISNUMBER(hospitalityq!K1523+0)))</f>
        <v>0</v>
      </c>
      <c r="P1523">
        <f>NOT(hospitalityq!P1523="")*(NOT(IFERROR(INT(hospitalityq!P1523)=VALUE(hospitalityq!P1523),FALSE)))</f>
        <v>0</v>
      </c>
      <c r="Q1523">
        <f>NOT(hospitalityq!Q1523="")*(NOT(IFERROR(INT(hospitalityq!Q1523)=VALUE(hospitalityq!Q1523),FALSE)))</f>
        <v>0</v>
      </c>
      <c r="R1523">
        <f>NOT(hospitalityq!R1523="")*(NOT(IFERROR(ROUND(VALUE(hospitalityq!R1523),2)=VALUE(hospitalityq!R1523),FALSE)))</f>
        <v>0</v>
      </c>
    </row>
    <row r="1524" spans="1:18" x14ac:dyDescent="0.25">
      <c r="A1524">
        <f t="shared" si="23"/>
        <v>0</v>
      </c>
      <c r="C1524">
        <f>NOT(hospitalityq!C1524="")*(SUMPRODUCT(--(TRIM(hospitalityq!C6:C1524)=TRIM(hospitalityq!C1524)))&gt;1)</f>
        <v>0</v>
      </c>
      <c r="D1524">
        <f>NOT(hospitalityq!D1524="")*(COUNTIF(reference!$C$17:$C$18,TRIM(hospitalityq!D1524))=0)</f>
        <v>0</v>
      </c>
      <c r="J1524">
        <f>NOT(hospitalityq!J1524="")*(NOT(ISNUMBER(hospitalityq!J1524+0)))</f>
        <v>0</v>
      </c>
      <c r="K1524">
        <f>NOT(hospitalityq!K1524="")*(NOT(ISNUMBER(hospitalityq!K1524+0)))</f>
        <v>0</v>
      </c>
      <c r="P1524">
        <f>NOT(hospitalityq!P1524="")*(NOT(IFERROR(INT(hospitalityq!P1524)=VALUE(hospitalityq!P1524),FALSE)))</f>
        <v>0</v>
      </c>
      <c r="Q1524">
        <f>NOT(hospitalityq!Q1524="")*(NOT(IFERROR(INT(hospitalityq!Q1524)=VALUE(hospitalityq!Q1524),FALSE)))</f>
        <v>0</v>
      </c>
      <c r="R1524">
        <f>NOT(hospitalityq!R1524="")*(NOT(IFERROR(ROUND(VALUE(hospitalityq!R1524),2)=VALUE(hospitalityq!R1524),FALSE)))</f>
        <v>0</v>
      </c>
    </row>
    <row r="1525" spans="1:18" x14ac:dyDescent="0.25">
      <c r="A1525">
        <f t="shared" si="23"/>
        <v>0</v>
      </c>
      <c r="C1525">
        <f>NOT(hospitalityq!C1525="")*(SUMPRODUCT(--(TRIM(hospitalityq!C6:C1525)=TRIM(hospitalityq!C1525)))&gt;1)</f>
        <v>0</v>
      </c>
      <c r="D1525">
        <f>NOT(hospitalityq!D1525="")*(COUNTIF(reference!$C$17:$C$18,TRIM(hospitalityq!D1525))=0)</f>
        <v>0</v>
      </c>
      <c r="J1525">
        <f>NOT(hospitalityq!J1525="")*(NOT(ISNUMBER(hospitalityq!J1525+0)))</f>
        <v>0</v>
      </c>
      <c r="K1525">
        <f>NOT(hospitalityq!K1525="")*(NOT(ISNUMBER(hospitalityq!K1525+0)))</f>
        <v>0</v>
      </c>
      <c r="P1525">
        <f>NOT(hospitalityq!P1525="")*(NOT(IFERROR(INT(hospitalityq!P1525)=VALUE(hospitalityq!P1525),FALSE)))</f>
        <v>0</v>
      </c>
      <c r="Q1525">
        <f>NOT(hospitalityq!Q1525="")*(NOT(IFERROR(INT(hospitalityq!Q1525)=VALUE(hospitalityq!Q1525),FALSE)))</f>
        <v>0</v>
      </c>
      <c r="R1525">
        <f>NOT(hospitalityq!R1525="")*(NOT(IFERROR(ROUND(VALUE(hospitalityq!R1525),2)=VALUE(hospitalityq!R1525),FALSE)))</f>
        <v>0</v>
      </c>
    </row>
    <row r="1526" spans="1:18" x14ac:dyDescent="0.25">
      <c r="A1526">
        <f t="shared" si="23"/>
        <v>0</v>
      </c>
      <c r="C1526">
        <f>NOT(hospitalityq!C1526="")*(SUMPRODUCT(--(TRIM(hospitalityq!C6:C1526)=TRIM(hospitalityq!C1526)))&gt;1)</f>
        <v>0</v>
      </c>
      <c r="D1526">
        <f>NOT(hospitalityq!D1526="")*(COUNTIF(reference!$C$17:$C$18,TRIM(hospitalityq!D1526))=0)</f>
        <v>0</v>
      </c>
      <c r="J1526">
        <f>NOT(hospitalityq!J1526="")*(NOT(ISNUMBER(hospitalityq!J1526+0)))</f>
        <v>0</v>
      </c>
      <c r="K1526">
        <f>NOT(hospitalityq!K1526="")*(NOT(ISNUMBER(hospitalityq!K1526+0)))</f>
        <v>0</v>
      </c>
      <c r="P1526">
        <f>NOT(hospitalityq!P1526="")*(NOT(IFERROR(INT(hospitalityq!P1526)=VALUE(hospitalityq!P1526),FALSE)))</f>
        <v>0</v>
      </c>
      <c r="Q1526">
        <f>NOT(hospitalityq!Q1526="")*(NOT(IFERROR(INT(hospitalityq!Q1526)=VALUE(hospitalityq!Q1526),FALSE)))</f>
        <v>0</v>
      </c>
      <c r="R1526">
        <f>NOT(hospitalityq!R1526="")*(NOT(IFERROR(ROUND(VALUE(hospitalityq!R1526),2)=VALUE(hospitalityq!R1526),FALSE)))</f>
        <v>0</v>
      </c>
    </row>
    <row r="1527" spans="1:18" x14ac:dyDescent="0.25">
      <c r="A1527">
        <f t="shared" si="23"/>
        <v>0</v>
      </c>
      <c r="C1527">
        <f>NOT(hospitalityq!C1527="")*(SUMPRODUCT(--(TRIM(hospitalityq!C6:C1527)=TRIM(hospitalityq!C1527)))&gt;1)</f>
        <v>0</v>
      </c>
      <c r="D1527">
        <f>NOT(hospitalityq!D1527="")*(COUNTIF(reference!$C$17:$C$18,TRIM(hospitalityq!D1527))=0)</f>
        <v>0</v>
      </c>
      <c r="J1527">
        <f>NOT(hospitalityq!J1527="")*(NOT(ISNUMBER(hospitalityq!J1527+0)))</f>
        <v>0</v>
      </c>
      <c r="K1527">
        <f>NOT(hospitalityq!K1527="")*(NOT(ISNUMBER(hospitalityq!K1527+0)))</f>
        <v>0</v>
      </c>
      <c r="P1527">
        <f>NOT(hospitalityq!P1527="")*(NOT(IFERROR(INT(hospitalityq!P1527)=VALUE(hospitalityq!P1527),FALSE)))</f>
        <v>0</v>
      </c>
      <c r="Q1527">
        <f>NOT(hospitalityq!Q1527="")*(NOT(IFERROR(INT(hospitalityq!Q1527)=VALUE(hospitalityq!Q1527),FALSE)))</f>
        <v>0</v>
      </c>
      <c r="R1527">
        <f>NOT(hospitalityq!R1527="")*(NOT(IFERROR(ROUND(VALUE(hospitalityq!R1527),2)=VALUE(hospitalityq!R1527),FALSE)))</f>
        <v>0</v>
      </c>
    </row>
    <row r="1528" spans="1:18" x14ac:dyDescent="0.25">
      <c r="A1528">
        <f t="shared" si="23"/>
        <v>0</v>
      </c>
      <c r="C1528">
        <f>NOT(hospitalityq!C1528="")*(SUMPRODUCT(--(TRIM(hospitalityq!C6:C1528)=TRIM(hospitalityq!C1528)))&gt;1)</f>
        <v>0</v>
      </c>
      <c r="D1528">
        <f>NOT(hospitalityq!D1528="")*(COUNTIF(reference!$C$17:$C$18,TRIM(hospitalityq!D1528))=0)</f>
        <v>0</v>
      </c>
      <c r="J1528">
        <f>NOT(hospitalityq!J1528="")*(NOT(ISNUMBER(hospitalityq!J1528+0)))</f>
        <v>0</v>
      </c>
      <c r="K1528">
        <f>NOT(hospitalityq!K1528="")*(NOT(ISNUMBER(hospitalityq!K1528+0)))</f>
        <v>0</v>
      </c>
      <c r="P1528">
        <f>NOT(hospitalityq!P1528="")*(NOT(IFERROR(INT(hospitalityq!P1528)=VALUE(hospitalityq!P1528),FALSE)))</f>
        <v>0</v>
      </c>
      <c r="Q1528">
        <f>NOT(hospitalityq!Q1528="")*(NOT(IFERROR(INT(hospitalityq!Q1528)=VALUE(hospitalityq!Q1528),FALSE)))</f>
        <v>0</v>
      </c>
      <c r="R1528">
        <f>NOT(hospitalityq!R1528="")*(NOT(IFERROR(ROUND(VALUE(hospitalityq!R1528),2)=VALUE(hospitalityq!R1528),FALSE)))</f>
        <v>0</v>
      </c>
    </row>
    <row r="1529" spans="1:18" x14ac:dyDescent="0.25">
      <c r="A1529">
        <f t="shared" si="23"/>
        <v>0</v>
      </c>
      <c r="C1529">
        <f>NOT(hospitalityq!C1529="")*(SUMPRODUCT(--(TRIM(hospitalityq!C6:C1529)=TRIM(hospitalityq!C1529)))&gt;1)</f>
        <v>0</v>
      </c>
      <c r="D1529">
        <f>NOT(hospitalityq!D1529="")*(COUNTIF(reference!$C$17:$C$18,TRIM(hospitalityq!D1529))=0)</f>
        <v>0</v>
      </c>
      <c r="J1529">
        <f>NOT(hospitalityq!J1529="")*(NOT(ISNUMBER(hospitalityq!J1529+0)))</f>
        <v>0</v>
      </c>
      <c r="K1529">
        <f>NOT(hospitalityq!K1529="")*(NOT(ISNUMBER(hospitalityq!K1529+0)))</f>
        <v>0</v>
      </c>
      <c r="P1529">
        <f>NOT(hospitalityq!P1529="")*(NOT(IFERROR(INT(hospitalityq!P1529)=VALUE(hospitalityq!P1529),FALSE)))</f>
        <v>0</v>
      </c>
      <c r="Q1529">
        <f>NOT(hospitalityq!Q1529="")*(NOT(IFERROR(INT(hospitalityq!Q1529)=VALUE(hospitalityq!Q1529),FALSE)))</f>
        <v>0</v>
      </c>
      <c r="R1529">
        <f>NOT(hospitalityq!R1529="")*(NOT(IFERROR(ROUND(VALUE(hospitalityq!R1529),2)=VALUE(hospitalityq!R1529),FALSE)))</f>
        <v>0</v>
      </c>
    </row>
    <row r="1530" spans="1:18" x14ac:dyDescent="0.25">
      <c r="A1530">
        <f t="shared" si="23"/>
        <v>0</v>
      </c>
      <c r="C1530">
        <f>NOT(hospitalityq!C1530="")*(SUMPRODUCT(--(TRIM(hospitalityq!C6:C1530)=TRIM(hospitalityq!C1530)))&gt;1)</f>
        <v>0</v>
      </c>
      <c r="D1530">
        <f>NOT(hospitalityq!D1530="")*(COUNTIF(reference!$C$17:$C$18,TRIM(hospitalityq!D1530))=0)</f>
        <v>0</v>
      </c>
      <c r="J1530">
        <f>NOT(hospitalityq!J1530="")*(NOT(ISNUMBER(hospitalityq!J1530+0)))</f>
        <v>0</v>
      </c>
      <c r="K1530">
        <f>NOT(hospitalityq!K1530="")*(NOT(ISNUMBER(hospitalityq!K1530+0)))</f>
        <v>0</v>
      </c>
      <c r="P1530">
        <f>NOT(hospitalityq!P1530="")*(NOT(IFERROR(INT(hospitalityq!P1530)=VALUE(hospitalityq!P1530),FALSE)))</f>
        <v>0</v>
      </c>
      <c r="Q1530">
        <f>NOT(hospitalityq!Q1530="")*(NOT(IFERROR(INT(hospitalityq!Q1530)=VALUE(hospitalityq!Q1530),FALSE)))</f>
        <v>0</v>
      </c>
      <c r="R1530">
        <f>NOT(hospitalityq!R1530="")*(NOT(IFERROR(ROUND(VALUE(hospitalityq!R1530),2)=VALUE(hospitalityq!R1530),FALSE)))</f>
        <v>0</v>
      </c>
    </row>
    <row r="1531" spans="1:18" x14ac:dyDescent="0.25">
      <c r="A1531">
        <f t="shared" si="23"/>
        <v>0</v>
      </c>
      <c r="C1531">
        <f>NOT(hospitalityq!C1531="")*(SUMPRODUCT(--(TRIM(hospitalityq!C6:C1531)=TRIM(hospitalityq!C1531)))&gt;1)</f>
        <v>0</v>
      </c>
      <c r="D1531">
        <f>NOT(hospitalityq!D1531="")*(COUNTIF(reference!$C$17:$C$18,TRIM(hospitalityq!D1531))=0)</f>
        <v>0</v>
      </c>
      <c r="J1531">
        <f>NOT(hospitalityq!J1531="")*(NOT(ISNUMBER(hospitalityq!J1531+0)))</f>
        <v>0</v>
      </c>
      <c r="K1531">
        <f>NOT(hospitalityq!K1531="")*(NOT(ISNUMBER(hospitalityq!K1531+0)))</f>
        <v>0</v>
      </c>
      <c r="P1531">
        <f>NOT(hospitalityq!P1531="")*(NOT(IFERROR(INT(hospitalityq!P1531)=VALUE(hospitalityq!P1531),FALSE)))</f>
        <v>0</v>
      </c>
      <c r="Q1531">
        <f>NOT(hospitalityq!Q1531="")*(NOT(IFERROR(INT(hospitalityq!Q1531)=VALUE(hospitalityq!Q1531),FALSE)))</f>
        <v>0</v>
      </c>
      <c r="R1531">
        <f>NOT(hospitalityq!R1531="")*(NOT(IFERROR(ROUND(VALUE(hospitalityq!R1531),2)=VALUE(hospitalityq!R1531),FALSE)))</f>
        <v>0</v>
      </c>
    </row>
    <row r="1532" spans="1:18" x14ac:dyDescent="0.25">
      <c r="A1532">
        <f t="shared" si="23"/>
        <v>0</v>
      </c>
      <c r="C1532">
        <f>NOT(hospitalityq!C1532="")*(SUMPRODUCT(--(TRIM(hospitalityq!C6:C1532)=TRIM(hospitalityq!C1532)))&gt;1)</f>
        <v>0</v>
      </c>
      <c r="D1532">
        <f>NOT(hospitalityq!D1532="")*(COUNTIF(reference!$C$17:$C$18,TRIM(hospitalityq!D1532))=0)</f>
        <v>0</v>
      </c>
      <c r="J1532">
        <f>NOT(hospitalityq!J1532="")*(NOT(ISNUMBER(hospitalityq!J1532+0)))</f>
        <v>0</v>
      </c>
      <c r="K1532">
        <f>NOT(hospitalityq!K1532="")*(NOT(ISNUMBER(hospitalityq!K1532+0)))</f>
        <v>0</v>
      </c>
      <c r="P1532">
        <f>NOT(hospitalityq!P1532="")*(NOT(IFERROR(INT(hospitalityq!P1532)=VALUE(hospitalityq!P1532),FALSE)))</f>
        <v>0</v>
      </c>
      <c r="Q1532">
        <f>NOT(hospitalityq!Q1532="")*(NOT(IFERROR(INT(hospitalityq!Q1532)=VALUE(hospitalityq!Q1532),FALSE)))</f>
        <v>0</v>
      </c>
      <c r="R1532">
        <f>NOT(hospitalityq!R1532="")*(NOT(IFERROR(ROUND(VALUE(hospitalityq!R1532),2)=VALUE(hospitalityq!R1532),FALSE)))</f>
        <v>0</v>
      </c>
    </row>
    <row r="1533" spans="1:18" x14ac:dyDescent="0.25">
      <c r="A1533">
        <f t="shared" si="23"/>
        <v>0</v>
      </c>
      <c r="C1533">
        <f>NOT(hospitalityq!C1533="")*(SUMPRODUCT(--(TRIM(hospitalityq!C6:C1533)=TRIM(hospitalityq!C1533)))&gt;1)</f>
        <v>0</v>
      </c>
      <c r="D1533">
        <f>NOT(hospitalityq!D1533="")*(COUNTIF(reference!$C$17:$C$18,TRIM(hospitalityq!D1533))=0)</f>
        <v>0</v>
      </c>
      <c r="J1533">
        <f>NOT(hospitalityq!J1533="")*(NOT(ISNUMBER(hospitalityq!J1533+0)))</f>
        <v>0</v>
      </c>
      <c r="K1533">
        <f>NOT(hospitalityq!K1533="")*(NOT(ISNUMBER(hospitalityq!K1533+0)))</f>
        <v>0</v>
      </c>
      <c r="P1533">
        <f>NOT(hospitalityq!P1533="")*(NOT(IFERROR(INT(hospitalityq!P1533)=VALUE(hospitalityq!P1533),FALSE)))</f>
        <v>0</v>
      </c>
      <c r="Q1533">
        <f>NOT(hospitalityq!Q1533="")*(NOT(IFERROR(INT(hospitalityq!Q1533)=VALUE(hospitalityq!Q1533),FALSE)))</f>
        <v>0</v>
      </c>
      <c r="R1533">
        <f>NOT(hospitalityq!R1533="")*(NOT(IFERROR(ROUND(VALUE(hospitalityq!R1533),2)=VALUE(hospitalityq!R1533),FALSE)))</f>
        <v>0</v>
      </c>
    </row>
    <row r="1534" spans="1:18" x14ac:dyDescent="0.25">
      <c r="A1534">
        <f t="shared" si="23"/>
        <v>0</v>
      </c>
      <c r="C1534">
        <f>NOT(hospitalityq!C1534="")*(SUMPRODUCT(--(TRIM(hospitalityq!C6:C1534)=TRIM(hospitalityq!C1534)))&gt;1)</f>
        <v>0</v>
      </c>
      <c r="D1534">
        <f>NOT(hospitalityq!D1534="")*(COUNTIF(reference!$C$17:$C$18,TRIM(hospitalityq!D1534))=0)</f>
        <v>0</v>
      </c>
      <c r="J1534">
        <f>NOT(hospitalityq!J1534="")*(NOT(ISNUMBER(hospitalityq!J1534+0)))</f>
        <v>0</v>
      </c>
      <c r="K1534">
        <f>NOT(hospitalityq!K1534="")*(NOT(ISNUMBER(hospitalityq!K1534+0)))</f>
        <v>0</v>
      </c>
      <c r="P1534">
        <f>NOT(hospitalityq!P1534="")*(NOT(IFERROR(INT(hospitalityq!P1534)=VALUE(hospitalityq!P1534),FALSE)))</f>
        <v>0</v>
      </c>
      <c r="Q1534">
        <f>NOT(hospitalityq!Q1534="")*(NOT(IFERROR(INT(hospitalityq!Q1534)=VALUE(hospitalityq!Q1534),FALSE)))</f>
        <v>0</v>
      </c>
      <c r="R1534">
        <f>NOT(hospitalityq!R1534="")*(NOT(IFERROR(ROUND(VALUE(hospitalityq!R1534),2)=VALUE(hospitalityq!R1534),FALSE)))</f>
        <v>0</v>
      </c>
    </row>
    <row r="1535" spans="1:18" x14ac:dyDescent="0.25">
      <c r="A1535">
        <f t="shared" si="23"/>
        <v>0</v>
      </c>
      <c r="C1535">
        <f>NOT(hospitalityq!C1535="")*(SUMPRODUCT(--(TRIM(hospitalityq!C6:C1535)=TRIM(hospitalityq!C1535)))&gt;1)</f>
        <v>0</v>
      </c>
      <c r="D1535">
        <f>NOT(hospitalityq!D1535="")*(COUNTIF(reference!$C$17:$C$18,TRIM(hospitalityq!D1535))=0)</f>
        <v>0</v>
      </c>
      <c r="J1535">
        <f>NOT(hospitalityq!J1535="")*(NOT(ISNUMBER(hospitalityq!J1535+0)))</f>
        <v>0</v>
      </c>
      <c r="K1535">
        <f>NOT(hospitalityq!K1535="")*(NOT(ISNUMBER(hospitalityq!K1535+0)))</f>
        <v>0</v>
      </c>
      <c r="P1535">
        <f>NOT(hospitalityq!P1535="")*(NOT(IFERROR(INT(hospitalityq!P1535)=VALUE(hospitalityq!P1535),FALSE)))</f>
        <v>0</v>
      </c>
      <c r="Q1535">
        <f>NOT(hospitalityq!Q1535="")*(NOT(IFERROR(INT(hospitalityq!Q1535)=VALUE(hospitalityq!Q1535),FALSE)))</f>
        <v>0</v>
      </c>
      <c r="R1535">
        <f>NOT(hospitalityq!R1535="")*(NOT(IFERROR(ROUND(VALUE(hospitalityq!R1535),2)=VALUE(hospitalityq!R1535),FALSE)))</f>
        <v>0</v>
      </c>
    </row>
    <row r="1536" spans="1:18" x14ac:dyDescent="0.25">
      <c r="A1536">
        <f t="shared" si="23"/>
        <v>0</v>
      </c>
      <c r="C1536">
        <f>NOT(hospitalityq!C1536="")*(SUMPRODUCT(--(TRIM(hospitalityq!C6:C1536)=TRIM(hospitalityq!C1536)))&gt;1)</f>
        <v>0</v>
      </c>
      <c r="D1536">
        <f>NOT(hospitalityq!D1536="")*(COUNTIF(reference!$C$17:$C$18,TRIM(hospitalityq!D1536))=0)</f>
        <v>0</v>
      </c>
      <c r="J1536">
        <f>NOT(hospitalityq!J1536="")*(NOT(ISNUMBER(hospitalityq!J1536+0)))</f>
        <v>0</v>
      </c>
      <c r="K1536">
        <f>NOT(hospitalityq!K1536="")*(NOT(ISNUMBER(hospitalityq!K1536+0)))</f>
        <v>0</v>
      </c>
      <c r="P1536">
        <f>NOT(hospitalityq!P1536="")*(NOT(IFERROR(INT(hospitalityq!P1536)=VALUE(hospitalityq!P1536),FALSE)))</f>
        <v>0</v>
      </c>
      <c r="Q1536">
        <f>NOT(hospitalityq!Q1536="")*(NOT(IFERROR(INT(hospitalityq!Q1536)=VALUE(hospitalityq!Q1536),FALSE)))</f>
        <v>0</v>
      </c>
      <c r="R1536">
        <f>NOT(hospitalityq!R1536="")*(NOT(IFERROR(ROUND(VALUE(hospitalityq!R1536),2)=VALUE(hospitalityq!R1536),FALSE)))</f>
        <v>0</v>
      </c>
    </row>
    <row r="1537" spans="1:18" x14ac:dyDescent="0.25">
      <c r="A1537">
        <f t="shared" si="23"/>
        <v>0</v>
      </c>
      <c r="C1537">
        <f>NOT(hospitalityq!C1537="")*(SUMPRODUCT(--(TRIM(hospitalityq!C6:C1537)=TRIM(hospitalityq!C1537)))&gt;1)</f>
        <v>0</v>
      </c>
      <c r="D1537">
        <f>NOT(hospitalityq!D1537="")*(COUNTIF(reference!$C$17:$C$18,TRIM(hospitalityq!D1537))=0)</f>
        <v>0</v>
      </c>
      <c r="J1537">
        <f>NOT(hospitalityq!J1537="")*(NOT(ISNUMBER(hospitalityq!J1537+0)))</f>
        <v>0</v>
      </c>
      <c r="K1537">
        <f>NOT(hospitalityq!K1537="")*(NOT(ISNUMBER(hospitalityq!K1537+0)))</f>
        <v>0</v>
      </c>
      <c r="P1537">
        <f>NOT(hospitalityq!P1537="")*(NOT(IFERROR(INT(hospitalityq!P1537)=VALUE(hospitalityq!P1537),FALSE)))</f>
        <v>0</v>
      </c>
      <c r="Q1537">
        <f>NOT(hospitalityq!Q1537="")*(NOT(IFERROR(INT(hospitalityq!Q1537)=VALUE(hospitalityq!Q1537),FALSE)))</f>
        <v>0</v>
      </c>
      <c r="R1537">
        <f>NOT(hospitalityq!R1537="")*(NOT(IFERROR(ROUND(VALUE(hospitalityq!R1537),2)=VALUE(hospitalityq!R1537),FALSE)))</f>
        <v>0</v>
      </c>
    </row>
    <row r="1538" spans="1:18" x14ac:dyDescent="0.25">
      <c r="A1538">
        <f t="shared" si="23"/>
        <v>0</v>
      </c>
      <c r="C1538">
        <f>NOT(hospitalityq!C1538="")*(SUMPRODUCT(--(TRIM(hospitalityq!C6:C1538)=TRIM(hospitalityq!C1538)))&gt;1)</f>
        <v>0</v>
      </c>
      <c r="D1538">
        <f>NOT(hospitalityq!D1538="")*(COUNTIF(reference!$C$17:$C$18,TRIM(hospitalityq!D1538))=0)</f>
        <v>0</v>
      </c>
      <c r="J1538">
        <f>NOT(hospitalityq!J1538="")*(NOT(ISNUMBER(hospitalityq!J1538+0)))</f>
        <v>0</v>
      </c>
      <c r="K1538">
        <f>NOT(hospitalityq!K1538="")*(NOT(ISNUMBER(hospitalityq!K1538+0)))</f>
        <v>0</v>
      </c>
      <c r="P1538">
        <f>NOT(hospitalityq!P1538="")*(NOT(IFERROR(INT(hospitalityq!P1538)=VALUE(hospitalityq!P1538),FALSE)))</f>
        <v>0</v>
      </c>
      <c r="Q1538">
        <f>NOT(hospitalityq!Q1538="")*(NOT(IFERROR(INT(hospitalityq!Q1538)=VALUE(hospitalityq!Q1538),FALSE)))</f>
        <v>0</v>
      </c>
      <c r="R1538">
        <f>NOT(hospitalityq!R1538="")*(NOT(IFERROR(ROUND(VALUE(hospitalityq!R1538),2)=VALUE(hospitalityq!R1538),FALSE)))</f>
        <v>0</v>
      </c>
    </row>
    <row r="1539" spans="1:18" x14ac:dyDescent="0.25">
      <c r="A1539">
        <f t="shared" si="23"/>
        <v>0</v>
      </c>
      <c r="C1539">
        <f>NOT(hospitalityq!C1539="")*(SUMPRODUCT(--(TRIM(hospitalityq!C6:C1539)=TRIM(hospitalityq!C1539)))&gt;1)</f>
        <v>0</v>
      </c>
      <c r="D1539">
        <f>NOT(hospitalityq!D1539="")*(COUNTIF(reference!$C$17:$C$18,TRIM(hospitalityq!D1539))=0)</f>
        <v>0</v>
      </c>
      <c r="J1539">
        <f>NOT(hospitalityq!J1539="")*(NOT(ISNUMBER(hospitalityq!J1539+0)))</f>
        <v>0</v>
      </c>
      <c r="K1539">
        <f>NOT(hospitalityq!K1539="")*(NOT(ISNUMBER(hospitalityq!K1539+0)))</f>
        <v>0</v>
      </c>
      <c r="P1539">
        <f>NOT(hospitalityq!P1539="")*(NOT(IFERROR(INT(hospitalityq!P1539)=VALUE(hospitalityq!P1539),FALSE)))</f>
        <v>0</v>
      </c>
      <c r="Q1539">
        <f>NOT(hospitalityq!Q1539="")*(NOT(IFERROR(INT(hospitalityq!Q1539)=VALUE(hospitalityq!Q1539),FALSE)))</f>
        <v>0</v>
      </c>
      <c r="R1539">
        <f>NOT(hospitalityq!R1539="")*(NOT(IFERROR(ROUND(VALUE(hospitalityq!R1539),2)=VALUE(hospitalityq!R1539),FALSE)))</f>
        <v>0</v>
      </c>
    </row>
    <row r="1540" spans="1:18" x14ac:dyDescent="0.25">
      <c r="A1540">
        <f t="shared" si="23"/>
        <v>0</v>
      </c>
      <c r="C1540">
        <f>NOT(hospitalityq!C1540="")*(SUMPRODUCT(--(TRIM(hospitalityq!C6:C1540)=TRIM(hospitalityq!C1540)))&gt;1)</f>
        <v>0</v>
      </c>
      <c r="D1540">
        <f>NOT(hospitalityq!D1540="")*(COUNTIF(reference!$C$17:$C$18,TRIM(hospitalityq!D1540))=0)</f>
        <v>0</v>
      </c>
      <c r="J1540">
        <f>NOT(hospitalityq!J1540="")*(NOT(ISNUMBER(hospitalityq!J1540+0)))</f>
        <v>0</v>
      </c>
      <c r="K1540">
        <f>NOT(hospitalityq!K1540="")*(NOT(ISNUMBER(hospitalityq!K1540+0)))</f>
        <v>0</v>
      </c>
      <c r="P1540">
        <f>NOT(hospitalityq!P1540="")*(NOT(IFERROR(INT(hospitalityq!P1540)=VALUE(hospitalityq!P1540),FALSE)))</f>
        <v>0</v>
      </c>
      <c r="Q1540">
        <f>NOT(hospitalityq!Q1540="")*(NOT(IFERROR(INT(hospitalityq!Q1540)=VALUE(hospitalityq!Q1540),FALSE)))</f>
        <v>0</v>
      </c>
      <c r="R1540">
        <f>NOT(hospitalityq!R1540="")*(NOT(IFERROR(ROUND(VALUE(hospitalityq!R1540),2)=VALUE(hospitalityq!R1540),FALSE)))</f>
        <v>0</v>
      </c>
    </row>
    <row r="1541" spans="1:18" x14ac:dyDescent="0.25">
      <c r="A1541">
        <f t="shared" si="23"/>
        <v>0</v>
      </c>
      <c r="C1541">
        <f>NOT(hospitalityq!C1541="")*(SUMPRODUCT(--(TRIM(hospitalityq!C6:C1541)=TRIM(hospitalityq!C1541)))&gt;1)</f>
        <v>0</v>
      </c>
      <c r="D1541">
        <f>NOT(hospitalityq!D1541="")*(COUNTIF(reference!$C$17:$C$18,TRIM(hospitalityq!D1541))=0)</f>
        <v>0</v>
      </c>
      <c r="J1541">
        <f>NOT(hospitalityq!J1541="")*(NOT(ISNUMBER(hospitalityq!J1541+0)))</f>
        <v>0</v>
      </c>
      <c r="K1541">
        <f>NOT(hospitalityq!K1541="")*(NOT(ISNUMBER(hospitalityq!K1541+0)))</f>
        <v>0</v>
      </c>
      <c r="P1541">
        <f>NOT(hospitalityq!P1541="")*(NOT(IFERROR(INT(hospitalityq!P1541)=VALUE(hospitalityq!P1541),FALSE)))</f>
        <v>0</v>
      </c>
      <c r="Q1541">
        <f>NOT(hospitalityq!Q1541="")*(NOT(IFERROR(INT(hospitalityq!Q1541)=VALUE(hospitalityq!Q1541),FALSE)))</f>
        <v>0</v>
      </c>
      <c r="R1541">
        <f>NOT(hospitalityq!R1541="")*(NOT(IFERROR(ROUND(VALUE(hospitalityq!R1541),2)=VALUE(hospitalityq!R1541),FALSE)))</f>
        <v>0</v>
      </c>
    </row>
    <row r="1542" spans="1:18" x14ac:dyDescent="0.25">
      <c r="A1542">
        <f t="shared" ref="A1542:A1605" si="24">IFERROR(MATCH(TRUE,INDEX(C1542:R1542&lt;&gt;0,),)+2,0)</f>
        <v>0</v>
      </c>
      <c r="C1542">
        <f>NOT(hospitalityq!C1542="")*(SUMPRODUCT(--(TRIM(hospitalityq!C6:C1542)=TRIM(hospitalityq!C1542)))&gt;1)</f>
        <v>0</v>
      </c>
      <c r="D1542">
        <f>NOT(hospitalityq!D1542="")*(COUNTIF(reference!$C$17:$C$18,TRIM(hospitalityq!D1542))=0)</f>
        <v>0</v>
      </c>
      <c r="J1542">
        <f>NOT(hospitalityq!J1542="")*(NOT(ISNUMBER(hospitalityq!J1542+0)))</f>
        <v>0</v>
      </c>
      <c r="K1542">
        <f>NOT(hospitalityq!K1542="")*(NOT(ISNUMBER(hospitalityq!K1542+0)))</f>
        <v>0</v>
      </c>
      <c r="P1542">
        <f>NOT(hospitalityq!P1542="")*(NOT(IFERROR(INT(hospitalityq!P1542)=VALUE(hospitalityq!P1542),FALSE)))</f>
        <v>0</v>
      </c>
      <c r="Q1542">
        <f>NOT(hospitalityq!Q1542="")*(NOT(IFERROR(INT(hospitalityq!Q1542)=VALUE(hospitalityq!Q1542),FALSE)))</f>
        <v>0</v>
      </c>
      <c r="R1542">
        <f>NOT(hospitalityq!R1542="")*(NOT(IFERROR(ROUND(VALUE(hospitalityq!R1542),2)=VALUE(hospitalityq!R1542),FALSE)))</f>
        <v>0</v>
      </c>
    </row>
    <row r="1543" spans="1:18" x14ac:dyDescent="0.25">
      <c r="A1543">
        <f t="shared" si="24"/>
        <v>0</v>
      </c>
      <c r="C1543">
        <f>NOT(hospitalityq!C1543="")*(SUMPRODUCT(--(TRIM(hospitalityq!C6:C1543)=TRIM(hospitalityq!C1543)))&gt;1)</f>
        <v>0</v>
      </c>
      <c r="D1543">
        <f>NOT(hospitalityq!D1543="")*(COUNTIF(reference!$C$17:$C$18,TRIM(hospitalityq!D1543))=0)</f>
        <v>0</v>
      </c>
      <c r="J1543">
        <f>NOT(hospitalityq!J1543="")*(NOT(ISNUMBER(hospitalityq!J1543+0)))</f>
        <v>0</v>
      </c>
      <c r="K1543">
        <f>NOT(hospitalityq!K1543="")*(NOT(ISNUMBER(hospitalityq!K1543+0)))</f>
        <v>0</v>
      </c>
      <c r="P1543">
        <f>NOT(hospitalityq!P1543="")*(NOT(IFERROR(INT(hospitalityq!P1543)=VALUE(hospitalityq!P1543),FALSE)))</f>
        <v>0</v>
      </c>
      <c r="Q1543">
        <f>NOT(hospitalityq!Q1543="")*(NOT(IFERROR(INT(hospitalityq!Q1543)=VALUE(hospitalityq!Q1543),FALSE)))</f>
        <v>0</v>
      </c>
      <c r="R1543">
        <f>NOT(hospitalityq!R1543="")*(NOT(IFERROR(ROUND(VALUE(hospitalityq!R1543),2)=VALUE(hospitalityq!R1543),FALSE)))</f>
        <v>0</v>
      </c>
    </row>
    <row r="1544" spans="1:18" x14ac:dyDescent="0.25">
      <c r="A1544">
        <f t="shared" si="24"/>
        <v>0</v>
      </c>
      <c r="C1544">
        <f>NOT(hospitalityq!C1544="")*(SUMPRODUCT(--(TRIM(hospitalityq!C6:C1544)=TRIM(hospitalityq!C1544)))&gt;1)</f>
        <v>0</v>
      </c>
      <c r="D1544">
        <f>NOT(hospitalityq!D1544="")*(COUNTIF(reference!$C$17:$C$18,TRIM(hospitalityq!D1544))=0)</f>
        <v>0</v>
      </c>
      <c r="J1544">
        <f>NOT(hospitalityq!J1544="")*(NOT(ISNUMBER(hospitalityq!J1544+0)))</f>
        <v>0</v>
      </c>
      <c r="K1544">
        <f>NOT(hospitalityq!K1544="")*(NOT(ISNUMBER(hospitalityq!K1544+0)))</f>
        <v>0</v>
      </c>
      <c r="P1544">
        <f>NOT(hospitalityq!P1544="")*(NOT(IFERROR(INT(hospitalityq!P1544)=VALUE(hospitalityq!P1544),FALSE)))</f>
        <v>0</v>
      </c>
      <c r="Q1544">
        <f>NOT(hospitalityq!Q1544="")*(NOT(IFERROR(INT(hospitalityq!Q1544)=VALUE(hospitalityq!Q1544),FALSE)))</f>
        <v>0</v>
      </c>
      <c r="R1544">
        <f>NOT(hospitalityq!R1544="")*(NOT(IFERROR(ROUND(VALUE(hospitalityq!R1544),2)=VALUE(hospitalityq!R1544),FALSE)))</f>
        <v>0</v>
      </c>
    </row>
    <row r="1545" spans="1:18" x14ac:dyDescent="0.25">
      <c r="A1545">
        <f t="shared" si="24"/>
        <v>0</v>
      </c>
      <c r="C1545">
        <f>NOT(hospitalityq!C1545="")*(SUMPRODUCT(--(TRIM(hospitalityq!C6:C1545)=TRIM(hospitalityq!C1545)))&gt;1)</f>
        <v>0</v>
      </c>
      <c r="D1545">
        <f>NOT(hospitalityq!D1545="")*(COUNTIF(reference!$C$17:$C$18,TRIM(hospitalityq!D1545))=0)</f>
        <v>0</v>
      </c>
      <c r="J1545">
        <f>NOT(hospitalityq!J1545="")*(NOT(ISNUMBER(hospitalityq!J1545+0)))</f>
        <v>0</v>
      </c>
      <c r="K1545">
        <f>NOT(hospitalityq!K1545="")*(NOT(ISNUMBER(hospitalityq!K1545+0)))</f>
        <v>0</v>
      </c>
      <c r="P1545">
        <f>NOT(hospitalityq!P1545="")*(NOT(IFERROR(INT(hospitalityq!P1545)=VALUE(hospitalityq!P1545),FALSE)))</f>
        <v>0</v>
      </c>
      <c r="Q1545">
        <f>NOT(hospitalityq!Q1545="")*(NOT(IFERROR(INT(hospitalityq!Q1545)=VALUE(hospitalityq!Q1545),FALSE)))</f>
        <v>0</v>
      </c>
      <c r="R1545">
        <f>NOT(hospitalityq!R1545="")*(NOT(IFERROR(ROUND(VALUE(hospitalityq!R1545),2)=VALUE(hospitalityq!R1545),FALSE)))</f>
        <v>0</v>
      </c>
    </row>
    <row r="1546" spans="1:18" x14ac:dyDescent="0.25">
      <c r="A1546">
        <f t="shared" si="24"/>
        <v>0</v>
      </c>
      <c r="C1546">
        <f>NOT(hospitalityq!C1546="")*(SUMPRODUCT(--(TRIM(hospitalityq!C6:C1546)=TRIM(hospitalityq!C1546)))&gt;1)</f>
        <v>0</v>
      </c>
      <c r="D1546">
        <f>NOT(hospitalityq!D1546="")*(COUNTIF(reference!$C$17:$C$18,TRIM(hospitalityq!D1546))=0)</f>
        <v>0</v>
      </c>
      <c r="J1546">
        <f>NOT(hospitalityq!J1546="")*(NOT(ISNUMBER(hospitalityq!J1546+0)))</f>
        <v>0</v>
      </c>
      <c r="K1546">
        <f>NOT(hospitalityq!K1546="")*(NOT(ISNUMBER(hospitalityq!K1546+0)))</f>
        <v>0</v>
      </c>
      <c r="P1546">
        <f>NOT(hospitalityq!P1546="")*(NOT(IFERROR(INT(hospitalityq!P1546)=VALUE(hospitalityq!P1546),FALSE)))</f>
        <v>0</v>
      </c>
      <c r="Q1546">
        <f>NOT(hospitalityq!Q1546="")*(NOT(IFERROR(INT(hospitalityq!Q1546)=VALUE(hospitalityq!Q1546),FALSE)))</f>
        <v>0</v>
      </c>
      <c r="R1546">
        <f>NOT(hospitalityq!R1546="")*(NOT(IFERROR(ROUND(VALUE(hospitalityq!R1546),2)=VALUE(hospitalityq!R1546),FALSE)))</f>
        <v>0</v>
      </c>
    </row>
    <row r="1547" spans="1:18" x14ac:dyDescent="0.25">
      <c r="A1547">
        <f t="shared" si="24"/>
        <v>0</v>
      </c>
      <c r="C1547">
        <f>NOT(hospitalityq!C1547="")*(SUMPRODUCT(--(TRIM(hospitalityq!C6:C1547)=TRIM(hospitalityq!C1547)))&gt;1)</f>
        <v>0</v>
      </c>
      <c r="D1547">
        <f>NOT(hospitalityq!D1547="")*(COUNTIF(reference!$C$17:$C$18,TRIM(hospitalityq!D1547))=0)</f>
        <v>0</v>
      </c>
      <c r="J1547">
        <f>NOT(hospitalityq!J1547="")*(NOT(ISNUMBER(hospitalityq!J1547+0)))</f>
        <v>0</v>
      </c>
      <c r="K1547">
        <f>NOT(hospitalityq!K1547="")*(NOT(ISNUMBER(hospitalityq!K1547+0)))</f>
        <v>0</v>
      </c>
      <c r="P1547">
        <f>NOT(hospitalityq!P1547="")*(NOT(IFERROR(INT(hospitalityq!P1547)=VALUE(hospitalityq!P1547),FALSE)))</f>
        <v>0</v>
      </c>
      <c r="Q1547">
        <f>NOT(hospitalityq!Q1547="")*(NOT(IFERROR(INT(hospitalityq!Q1547)=VALUE(hospitalityq!Q1547),FALSE)))</f>
        <v>0</v>
      </c>
      <c r="R1547">
        <f>NOT(hospitalityq!R1547="")*(NOT(IFERROR(ROUND(VALUE(hospitalityq!R1547),2)=VALUE(hospitalityq!R1547),FALSE)))</f>
        <v>0</v>
      </c>
    </row>
    <row r="1548" spans="1:18" x14ac:dyDescent="0.25">
      <c r="A1548">
        <f t="shared" si="24"/>
        <v>0</v>
      </c>
      <c r="C1548">
        <f>NOT(hospitalityq!C1548="")*(SUMPRODUCT(--(TRIM(hospitalityq!C6:C1548)=TRIM(hospitalityq!C1548)))&gt;1)</f>
        <v>0</v>
      </c>
      <c r="D1548">
        <f>NOT(hospitalityq!D1548="")*(COUNTIF(reference!$C$17:$C$18,TRIM(hospitalityq!D1548))=0)</f>
        <v>0</v>
      </c>
      <c r="J1548">
        <f>NOT(hospitalityq!J1548="")*(NOT(ISNUMBER(hospitalityq!J1548+0)))</f>
        <v>0</v>
      </c>
      <c r="K1548">
        <f>NOT(hospitalityq!K1548="")*(NOT(ISNUMBER(hospitalityq!K1548+0)))</f>
        <v>0</v>
      </c>
      <c r="P1548">
        <f>NOT(hospitalityq!P1548="")*(NOT(IFERROR(INT(hospitalityq!P1548)=VALUE(hospitalityq!P1548),FALSE)))</f>
        <v>0</v>
      </c>
      <c r="Q1548">
        <f>NOT(hospitalityq!Q1548="")*(NOT(IFERROR(INT(hospitalityq!Q1548)=VALUE(hospitalityq!Q1548),FALSE)))</f>
        <v>0</v>
      </c>
      <c r="R1548">
        <f>NOT(hospitalityq!R1548="")*(NOT(IFERROR(ROUND(VALUE(hospitalityq!R1548),2)=VALUE(hospitalityq!R1548),FALSE)))</f>
        <v>0</v>
      </c>
    </row>
    <row r="1549" spans="1:18" x14ac:dyDescent="0.25">
      <c r="A1549">
        <f t="shared" si="24"/>
        <v>0</v>
      </c>
      <c r="C1549">
        <f>NOT(hospitalityq!C1549="")*(SUMPRODUCT(--(TRIM(hospitalityq!C6:C1549)=TRIM(hospitalityq!C1549)))&gt;1)</f>
        <v>0</v>
      </c>
      <c r="D1549">
        <f>NOT(hospitalityq!D1549="")*(COUNTIF(reference!$C$17:$C$18,TRIM(hospitalityq!D1549))=0)</f>
        <v>0</v>
      </c>
      <c r="J1549">
        <f>NOT(hospitalityq!J1549="")*(NOT(ISNUMBER(hospitalityq!J1549+0)))</f>
        <v>0</v>
      </c>
      <c r="K1549">
        <f>NOT(hospitalityq!K1549="")*(NOT(ISNUMBER(hospitalityq!K1549+0)))</f>
        <v>0</v>
      </c>
      <c r="P1549">
        <f>NOT(hospitalityq!P1549="")*(NOT(IFERROR(INT(hospitalityq!P1549)=VALUE(hospitalityq!P1549),FALSE)))</f>
        <v>0</v>
      </c>
      <c r="Q1549">
        <f>NOT(hospitalityq!Q1549="")*(NOT(IFERROR(INT(hospitalityq!Q1549)=VALUE(hospitalityq!Q1549),FALSE)))</f>
        <v>0</v>
      </c>
      <c r="R1549">
        <f>NOT(hospitalityq!R1549="")*(NOT(IFERROR(ROUND(VALUE(hospitalityq!R1549),2)=VALUE(hospitalityq!R1549),FALSE)))</f>
        <v>0</v>
      </c>
    </row>
    <row r="1550" spans="1:18" x14ac:dyDescent="0.25">
      <c r="A1550">
        <f t="shared" si="24"/>
        <v>0</v>
      </c>
      <c r="C1550">
        <f>NOT(hospitalityq!C1550="")*(SUMPRODUCT(--(TRIM(hospitalityq!C6:C1550)=TRIM(hospitalityq!C1550)))&gt;1)</f>
        <v>0</v>
      </c>
      <c r="D1550">
        <f>NOT(hospitalityq!D1550="")*(COUNTIF(reference!$C$17:$C$18,TRIM(hospitalityq!D1550))=0)</f>
        <v>0</v>
      </c>
      <c r="J1550">
        <f>NOT(hospitalityq!J1550="")*(NOT(ISNUMBER(hospitalityq!J1550+0)))</f>
        <v>0</v>
      </c>
      <c r="K1550">
        <f>NOT(hospitalityq!K1550="")*(NOT(ISNUMBER(hospitalityq!K1550+0)))</f>
        <v>0</v>
      </c>
      <c r="P1550">
        <f>NOT(hospitalityq!P1550="")*(NOT(IFERROR(INT(hospitalityq!P1550)=VALUE(hospitalityq!P1550),FALSE)))</f>
        <v>0</v>
      </c>
      <c r="Q1550">
        <f>NOT(hospitalityq!Q1550="")*(NOT(IFERROR(INT(hospitalityq!Q1550)=VALUE(hospitalityq!Q1550),FALSE)))</f>
        <v>0</v>
      </c>
      <c r="R1550">
        <f>NOT(hospitalityq!R1550="")*(NOT(IFERROR(ROUND(VALUE(hospitalityq!R1550),2)=VALUE(hospitalityq!R1550),FALSE)))</f>
        <v>0</v>
      </c>
    </row>
    <row r="1551" spans="1:18" x14ac:dyDescent="0.25">
      <c r="A1551">
        <f t="shared" si="24"/>
        <v>0</v>
      </c>
      <c r="C1551">
        <f>NOT(hospitalityq!C1551="")*(SUMPRODUCT(--(TRIM(hospitalityq!C6:C1551)=TRIM(hospitalityq!C1551)))&gt;1)</f>
        <v>0</v>
      </c>
      <c r="D1551">
        <f>NOT(hospitalityq!D1551="")*(COUNTIF(reference!$C$17:$C$18,TRIM(hospitalityq!D1551))=0)</f>
        <v>0</v>
      </c>
      <c r="J1551">
        <f>NOT(hospitalityq!J1551="")*(NOT(ISNUMBER(hospitalityq!J1551+0)))</f>
        <v>0</v>
      </c>
      <c r="K1551">
        <f>NOT(hospitalityq!K1551="")*(NOT(ISNUMBER(hospitalityq!K1551+0)))</f>
        <v>0</v>
      </c>
      <c r="P1551">
        <f>NOT(hospitalityq!P1551="")*(NOT(IFERROR(INT(hospitalityq!P1551)=VALUE(hospitalityq!P1551),FALSE)))</f>
        <v>0</v>
      </c>
      <c r="Q1551">
        <f>NOT(hospitalityq!Q1551="")*(NOT(IFERROR(INT(hospitalityq!Q1551)=VALUE(hospitalityq!Q1551),FALSE)))</f>
        <v>0</v>
      </c>
      <c r="R1551">
        <f>NOT(hospitalityq!R1551="")*(NOT(IFERROR(ROUND(VALUE(hospitalityq!R1551),2)=VALUE(hospitalityq!R1551),FALSE)))</f>
        <v>0</v>
      </c>
    </row>
    <row r="1552" spans="1:18" x14ac:dyDescent="0.25">
      <c r="A1552">
        <f t="shared" si="24"/>
        <v>0</v>
      </c>
      <c r="C1552">
        <f>NOT(hospitalityq!C1552="")*(SUMPRODUCT(--(TRIM(hospitalityq!C6:C1552)=TRIM(hospitalityq!C1552)))&gt;1)</f>
        <v>0</v>
      </c>
      <c r="D1552">
        <f>NOT(hospitalityq!D1552="")*(COUNTIF(reference!$C$17:$C$18,TRIM(hospitalityq!D1552))=0)</f>
        <v>0</v>
      </c>
      <c r="J1552">
        <f>NOT(hospitalityq!J1552="")*(NOT(ISNUMBER(hospitalityq!J1552+0)))</f>
        <v>0</v>
      </c>
      <c r="K1552">
        <f>NOT(hospitalityq!K1552="")*(NOT(ISNUMBER(hospitalityq!K1552+0)))</f>
        <v>0</v>
      </c>
      <c r="P1552">
        <f>NOT(hospitalityq!P1552="")*(NOT(IFERROR(INT(hospitalityq!P1552)=VALUE(hospitalityq!P1552),FALSE)))</f>
        <v>0</v>
      </c>
      <c r="Q1552">
        <f>NOT(hospitalityq!Q1552="")*(NOT(IFERROR(INT(hospitalityq!Q1552)=VALUE(hospitalityq!Q1552),FALSE)))</f>
        <v>0</v>
      </c>
      <c r="R1552">
        <f>NOT(hospitalityq!R1552="")*(NOT(IFERROR(ROUND(VALUE(hospitalityq!R1552),2)=VALUE(hospitalityq!R1552),FALSE)))</f>
        <v>0</v>
      </c>
    </row>
    <row r="1553" spans="1:18" x14ac:dyDescent="0.25">
      <c r="A1553">
        <f t="shared" si="24"/>
        <v>0</v>
      </c>
      <c r="C1553">
        <f>NOT(hospitalityq!C1553="")*(SUMPRODUCT(--(TRIM(hospitalityq!C6:C1553)=TRIM(hospitalityq!C1553)))&gt;1)</f>
        <v>0</v>
      </c>
      <c r="D1553">
        <f>NOT(hospitalityq!D1553="")*(COUNTIF(reference!$C$17:$C$18,TRIM(hospitalityq!D1553))=0)</f>
        <v>0</v>
      </c>
      <c r="J1553">
        <f>NOT(hospitalityq!J1553="")*(NOT(ISNUMBER(hospitalityq!J1553+0)))</f>
        <v>0</v>
      </c>
      <c r="K1553">
        <f>NOT(hospitalityq!K1553="")*(NOT(ISNUMBER(hospitalityq!K1553+0)))</f>
        <v>0</v>
      </c>
      <c r="P1553">
        <f>NOT(hospitalityq!P1553="")*(NOT(IFERROR(INT(hospitalityq!P1553)=VALUE(hospitalityq!P1553),FALSE)))</f>
        <v>0</v>
      </c>
      <c r="Q1553">
        <f>NOT(hospitalityq!Q1553="")*(NOT(IFERROR(INT(hospitalityq!Q1553)=VALUE(hospitalityq!Q1553),FALSE)))</f>
        <v>0</v>
      </c>
      <c r="R1553">
        <f>NOT(hospitalityq!R1553="")*(NOT(IFERROR(ROUND(VALUE(hospitalityq!R1553),2)=VALUE(hospitalityq!R1553),FALSE)))</f>
        <v>0</v>
      </c>
    </row>
    <row r="1554" spans="1:18" x14ac:dyDescent="0.25">
      <c r="A1554">
        <f t="shared" si="24"/>
        <v>0</v>
      </c>
      <c r="C1554">
        <f>NOT(hospitalityq!C1554="")*(SUMPRODUCT(--(TRIM(hospitalityq!C6:C1554)=TRIM(hospitalityq!C1554)))&gt;1)</f>
        <v>0</v>
      </c>
      <c r="D1554">
        <f>NOT(hospitalityq!D1554="")*(COUNTIF(reference!$C$17:$C$18,TRIM(hospitalityq!D1554))=0)</f>
        <v>0</v>
      </c>
      <c r="J1554">
        <f>NOT(hospitalityq!J1554="")*(NOT(ISNUMBER(hospitalityq!J1554+0)))</f>
        <v>0</v>
      </c>
      <c r="K1554">
        <f>NOT(hospitalityq!K1554="")*(NOT(ISNUMBER(hospitalityq!K1554+0)))</f>
        <v>0</v>
      </c>
      <c r="P1554">
        <f>NOT(hospitalityq!P1554="")*(NOT(IFERROR(INT(hospitalityq!P1554)=VALUE(hospitalityq!P1554),FALSE)))</f>
        <v>0</v>
      </c>
      <c r="Q1554">
        <f>NOT(hospitalityq!Q1554="")*(NOT(IFERROR(INT(hospitalityq!Q1554)=VALUE(hospitalityq!Q1554),FALSE)))</f>
        <v>0</v>
      </c>
      <c r="R1554">
        <f>NOT(hospitalityq!R1554="")*(NOT(IFERROR(ROUND(VALUE(hospitalityq!R1554),2)=VALUE(hospitalityq!R1554),FALSE)))</f>
        <v>0</v>
      </c>
    </row>
    <row r="1555" spans="1:18" x14ac:dyDescent="0.25">
      <c r="A1555">
        <f t="shared" si="24"/>
        <v>0</v>
      </c>
      <c r="C1555">
        <f>NOT(hospitalityq!C1555="")*(SUMPRODUCT(--(TRIM(hospitalityq!C6:C1555)=TRIM(hospitalityq!C1555)))&gt;1)</f>
        <v>0</v>
      </c>
      <c r="D1555">
        <f>NOT(hospitalityq!D1555="")*(COUNTIF(reference!$C$17:$C$18,TRIM(hospitalityq!D1555))=0)</f>
        <v>0</v>
      </c>
      <c r="J1555">
        <f>NOT(hospitalityq!J1555="")*(NOT(ISNUMBER(hospitalityq!J1555+0)))</f>
        <v>0</v>
      </c>
      <c r="K1555">
        <f>NOT(hospitalityq!K1555="")*(NOT(ISNUMBER(hospitalityq!K1555+0)))</f>
        <v>0</v>
      </c>
      <c r="P1555">
        <f>NOT(hospitalityq!P1555="")*(NOT(IFERROR(INT(hospitalityq!P1555)=VALUE(hospitalityq!P1555),FALSE)))</f>
        <v>0</v>
      </c>
      <c r="Q1555">
        <f>NOT(hospitalityq!Q1555="")*(NOT(IFERROR(INT(hospitalityq!Q1555)=VALUE(hospitalityq!Q1555),FALSE)))</f>
        <v>0</v>
      </c>
      <c r="R1555">
        <f>NOT(hospitalityq!R1555="")*(NOT(IFERROR(ROUND(VALUE(hospitalityq!R1555),2)=VALUE(hospitalityq!R1555),FALSE)))</f>
        <v>0</v>
      </c>
    </row>
    <row r="1556" spans="1:18" x14ac:dyDescent="0.25">
      <c r="A1556">
        <f t="shared" si="24"/>
        <v>0</v>
      </c>
      <c r="C1556">
        <f>NOT(hospitalityq!C1556="")*(SUMPRODUCT(--(TRIM(hospitalityq!C6:C1556)=TRIM(hospitalityq!C1556)))&gt;1)</f>
        <v>0</v>
      </c>
      <c r="D1556">
        <f>NOT(hospitalityq!D1556="")*(COUNTIF(reference!$C$17:$C$18,TRIM(hospitalityq!D1556))=0)</f>
        <v>0</v>
      </c>
      <c r="J1556">
        <f>NOT(hospitalityq!J1556="")*(NOT(ISNUMBER(hospitalityq!J1556+0)))</f>
        <v>0</v>
      </c>
      <c r="K1556">
        <f>NOT(hospitalityq!K1556="")*(NOT(ISNUMBER(hospitalityq!K1556+0)))</f>
        <v>0</v>
      </c>
      <c r="P1556">
        <f>NOT(hospitalityq!P1556="")*(NOT(IFERROR(INT(hospitalityq!P1556)=VALUE(hospitalityq!P1556),FALSE)))</f>
        <v>0</v>
      </c>
      <c r="Q1556">
        <f>NOT(hospitalityq!Q1556="")*(NOT(IFERROR(INT(hospitalityq!Q1556)=VALUE(hospitalityq!Q1556),FALSE)))</f>
        <v>0</v>
      </c>
      <c r="R1556">
        <f>NOT(hospitalityq!R1556="")*(NOT(IFERROR(ROUND(VALUE(hospitalityq!R1556),2)=VALUE(hospitalityq!R1556),FALSE)))</f>
        <v>0</v>
      </c>
    </row>
    <row r="1557" spans="1:18" x14ac:dyDescent="0.25">
      <c r="A1557">
        <f t="shared" si="24"/>
        <v>0</v>
      </c>
      <c r="C1557">
        <f>NOT(hospitalityq!C1557="")*(SUMPRODUCT(--(TRIM(hospitalityq!C6:C1557)=TRIM(hospitalityq!C1557)))&gt;1)</f>
        <v>0</v>
      </c>
      <c r="D1557">
        <f>NOT(hospitalityq!D1557="")*(COUNTIF(reference!$C$17:$C$18,TRIM(hospitalityq!D1557))=0)</f>
        <v>0</v>
      </c>
      <c r="J1557">
        <f>NOT(hospitalityq!J1557="")*(NOT(ISNUMBER(hospitalityq!J1557+0)))</f>
        <v>0</v>
      </c>
      <c r="K1557">
        <f>NOT(hospitalityq!K1557="")*(NOT(ISNUMBER(hospitalityq!K1557+0)))</f>
        <v>0</v>
      </c>
      <c r="P1557">
        <f>NOT(hospitalityq!P1557="")*(NOT(IFERROR(INT(hospitalityq!P1557)=VALUE(hospitalityq!P1557),FALSE)))</f>
        <v>0</v>
      </c>
      <c r="Q1557">
        <f>NOT(hospitalityq!Q1557="")*(NOT(IFERROR(INT(hospitalityq!Q1557)=VALUE(hospitalityq!Q1557),FALSE)))</f>
        <v>0</v>
      </c>
      <c r="R1557">
        <f>NOT(hospitalityq!R1557="")*(NOT(IFERROR(ROUND(VALUE(hospitalityq!R1557),2)=VALUE(hospitalityq!R1557),FALSE)))</f>
        <v>0</v>
      </c>
    </row>
    <row r="1558" spans="1:18" x14ac:dyDescent="0.25">
      <c r="A1558">
        <f t="shared" si="24"/>
        <v>0</v>
      </c>
      <c r="C1558">
        <f>NOT(hospitalityq!C1558="")*(SUMPRODUCT(--(TRIM(hospitalityq!C6:C1558)=TRIM(hospitalityq!C1558)))&gt;1)</f>
        <v>0</v>
      </c>
      <c r="D1558">
        <f>NOT(hospitalityq!D1558="")*(COUNTIF(reference!$C$17:$C$18,TRIM(hospitalityq!D1558))=0)</f>
        <v>0</v>
      </c>
      <c r="J1558">
        <f>NOT(hospitalityq!J1558="")*(NOT(ISNUMBER(hospitalityq!J1558+0)))</f>
        <v>0</v>
      </c>
      <c r="K1558">
        <f>NOT(hospitalityq!K1558="")*(NOT(ISNUMBER(hospitalityq!K1558+0)))</f>
        <v>0</v>
      </c>
      <c r="P1558">
        <f>NOT(hospitalityq!P1558="")*(NOT(IFERROR(INT(hospitalityq!P1558)=VALUE(hospitalityq!P1558),FALSE)))</f>
        <v>0</v>
      </c>
      <c r="Q1558">
        <f>NOT(hospitalityq!Q1558="")*(NOT(IFERROR(INT(hospitalityq!Q1558)=VALUE(hospitalityq!Q1558),FALSE)))</f>
        <v>0</v>
      </c>
      <c r="R1558">
        <f>NOT(hospitalityq!R1558="")*(NOT(IFERROR(ROUND(VALUE(hospitalityq!R1558),2)=VALUE(hospitalityq!R1558),FALSE)))</f>
        <v>0</v>
      </c>
    </row>
    <row r="1559" spans="1:18" x14ac:dyDescent="0.25">
      <c r="A1559">
        <f t="shared" si="24"/>
        <v>0</v>
      </c>
      <c r="C1559">
        <f>NOT(hospitalityq!C1559="")*(SUMPRODUCT(--(TRIM(hospitalityq!C6:C1559)=TRIM(hospitalityq!C1559)))&gt;1)</f>
        <v>0</v>
      </c>
      <c r="D1559">
        <f>NOT(hospitalityq!D1559="")*(COUNTIF(reference!$C$17:$C$18,TRIM(hospitalityq!D1559))=0)</f>
        <v>0</v>
      </c>
      <c r="J1559">
        <f>NOT(hospitalityq!J1559="")*(NOT(ISNUMBER(hospitalityq!J1559+0)))</f>
        <v>0</v>
      </c>
      <c r="K1559">
        <f>NOT(hospitalityq!K1559="")*(NOT(ISNUMBER(hospitalityq!K1559+0)))</f>
        <v>0</v>
      </c>
      <c r="P1559">
        <f>NOT(hospitalityq!P1559="")*(NOT(IFERROR(INT(hospitalityq!P1559)=VALUE(hospitalityq!P1559),FALSE)))</f>
        <v>0</v>
      </c>
      <c r="Q1559">
        <f>NOT(hospitalityq!Q1559="")*(NOT(IFERROR(INT(hospitalityq!Q1559)=VALUE(hospitalityq!Q1559),FALSE)))</f>
        <v>0</v>
      </c>
      <c r="R1559">
        <f>NOT(hospitalityq!R1559="")*(NOT(IFERROR(ROUND(VALUE(hospitalityq!R1559),2)=VALUE(hospitalityq!R1559),FALSE)))</f>
        <v>0</v>
      </c>
    </row>
    <row r="1560" spans="1:18" x14ac:dyDescent="0.25">
      <c r="A1560">
        <f t="shared" si="24"/>
        <v>0</v>
      </c>
      <c r="C1560">
        <f>NOT(hospitalityq!C1560="")*(SUMPRODUCT(--(TRIM(hospitalityq!C6:C1560)=TRIM(hospitalityq!C1560)))&gt;1)</f>
        <v>0</v>
      </c>
      <c r="D1560">
        <f>NOT(hospitalityq!D1560="")*(COUNTIF(reference!$C$17:$C$18,TRIM(hospitalityq!D1560))=0)</f>
        <v>0</v>
      </c>
      <c r="J1560">
        <f>NOT(hospitalityq!J1560="")*(NOT(ISNUMBER(hospitalityq!J1560+0)))</f>
        <v>0</v>
      </c>
      <c r="K1560">
        <f>NOT(hospitalityq!K1560="")*(NOT(ISNUMBER(hospitalityq!K1560+0)))</f>
        <v>0</v>
      </c>
      <c r="P1560">
        <f>NOT(hospitalityq!P1560="")*(NOT(IFERROR(INT(hospitalityq!P1560)=VALUE(hospitalityq!P1560),FALSE)))</f>
        <v>0</v>
      </c>
      <c r="Q1560">
        <f>NOT(hospitalityq!Q1560="")*(NOT(IFERROR(INT(hospitalityq!Q1560)=VALUE(hospitalityq!Q1560),FALSE)))</f>
        <v>0</v>
      </c>
      <c r="R1560">
        <f>NOT(hospitalityq!R1560="")*(NOT(IFERROR(ROUND(VALUE(hospitalityq!R1560),2)=VALUE(hospitalityq!R1560),FALSE)))</f>
        <v>0</v>
      </c>
    </row>
    <row r="1561" spans="1:18" x14ac:dyDescent="0.25">
      <c r="A1561">
        <f t="shared" si="24"/>
        <v>0</v>
      </c>
      <c r="C1561">
        <f>NOT(hospitalityq!C1561="")*(SUMPRODUCT(--(TRIM(hospitalityq!C6:C1561)=TRIM(hospitalityq!C1561)))&gt;1)</f>
        <v>0</v>
      </c>
      <c r="D1561">
        <f>NOT(hospitalityq!D1561="")*(COUNTIF(reference!$C$17:$C$18,TRIM(hospitalityq!D1561))=0)</f>
        <v>0</v>
      </c>
      <c r="J1561">
        <f>NOT(hospitalityq!J1561="")*(NOT(ISNUMBER(hospitalityq!J1561+0)))</f>
        <v>0</v>
      </c>
      <c r="K1561">
        <f>NOT(hospitalityq!K1561="")*(NOT(ISNUMBER(hospitalityq!K1561+0)))</f>
        <v>0</v>
      </c>
      <c r="P1561">
        <f>NOT(hospitalityq!P1561="")*(NOT(IFERROR(INT(hospitalityq!P1561)=VALUE(hospitalityq!P1561),FALSE)))</f>
        <v>0</v>
      </c>
      <c r="Q1561">
        <f>NOT(hospitalityq!Q1561="")*(NOT(IFERROR(INT(hospitalityq!Q1561)=VALUE(hospitalityq!Q1561),FALSE)))</f>
        <v>0</v>
      </c>
      <c r="R1561">
        <f>NOT(hospitalityq!R1561="")*(NOT(IFERROR(ROUND(VALUE(hospitalityq!R1561),2)=VALUE(hospitalityq!R1561),FALSE)))</f>
        <v>0</v>
      </c>
    </row>
    <row r="1562" spans="1:18" x14ac:dyDescent="0.25">
      <c r="A1562">
        <f t="shared" si="24"/>
        <v>0</v>
      </c>
      <c r="C1562">
        <f>NOT(hospitalityq!C1562="")*(SUMPRODUCT(--(TRIM(hospitalityq!C6:C1562)=TRIM(hospitalityq!C1562)))&gt;1)</f>
        <v>0</v>
      </c>
      <c r="D1562">
        <f>NOT(hospitalityq!D1562="")*(COUNTIF(reference!$C$17:$C$18,TRIM(hospitalityq!D1562))=0)</f>
        <v>0</v>
      </c>
      <c r="J1562">
        <f>NOT(hospitalityq!J1562="")*(NOT(ISNUMBER(hospitalityq!J1562+0)))</f>
        <v>0</v>
      </c>
      <c r="K1562">
        <f>NOT(hospitalityq!K1562="")*(NOT(ISNUMBER(hospitalityq!K1562+0)))</f>
        <v>0</v>
      </c>
      <c r="P1562">
        <f>NOT(hospitalityq!P1562="")*(NOT(IFERROR(INT(hospitalityq!P1562)=VALUE(hospitalityq!P1562),FALSE)))</f>
        <v>0</v>
      </c>
      <c r="Q1562">
        <f>NOT(hospitalityq!Q1562="")*(NOT(IFERROR(INT(hospitalityq!Q1562)=VALUE(hospitalityq!Q1562),FALSE)))</f>
        <v>0</v>
      </c>
      <c r="R1562">
        <f>NOT(hospitalityq!R1562="")*(NOT(IFERROR(ROUND(VALUE(hospitalityq!R1562),2)=VALUE(hospitalityq!R1562),FALSE)))</f>
        <v>0</v>
      </c>
    </row>
    <row r="1563" spans="1:18" x14ac:dyDescent="0.25">
      <c r="A1563">
        <f t="shared" si="24"/>
        <v>0</v>
      </c>
      <c r="C1563">
        <f>NOT(hospitalityq!C1563="")*(SUMPRODUCT(--(TRIM(hospitalityq!C6:C1563)=TRIM(hospitalityq!C1563)))&gt;1)</f>
        <v>0</v>
      </c>
      <c r="D1563">
        <f>NOT(hospitalityq!D1563="")*(COUNTIF(reference!$C$17:$C$18,TRIM(hospitalityq!D1563))=0)</f>
        <v>0</v>
      </c>
      <c r="J1563">
        <f>NOT(hospitalityq!J1563="")*(NOT(ISNUMBER(hospitalityq!J1563+0)))</f>
        <v>0</v>
      </c>
      <c r="K1563">
        <f>NOT(hospitalityq!K1563="")*(NOT(ISNUMBER(hospitalityq!K1563+0)))</f>
        <v>0</v>
      </c>
      <c r="P1563">
        <f>NOT(hospitalityq!P1563="")*(NOT(IFERROR(INT(hospitalityq!P1563)=VALUE(hospitalityq!P1563),FALSE)))</f>
        <v>0</v>
      </c>
      <c r="Q1563">
        <f>NOT(hospitalityq!Q1563="")*(NOT(IFERROR(INT(hospitalityq!Q1563)=VALUE(hospitalityq!Q1563),FALSE)))</f>
        <v>0</v>
      </c>
      <c r="R1563">
        <f>NOT(hospitalityq!R1563="")*(NOT(IFERROR(ROUND(VALUE(hospitalityq!R1563),2)=VALUE(hospitalityq!R1563),FALSE)))</f>
        <v>0</v>
      </c>
    </row>
    <row r="1564" spans="1:18" x14ac:dyDescent="0.25">
      <c r="A1564">
        <f t="shared" si="24"/>
        <v>0</v>
      </c>
      <c r="C1564">
        <f>NOT(hospitalityq!C1564="")*(SUMPRODUCT(--(TRIM(hospitalityq!C6:C1564)=TRIM(hospitalityq!C1564)))&gt;1)</f>
        <v>0</v>
      </c>
      <c r="D1564">
        <f>NOT(hospitalityq!D1564="")*(COUNTIF(reference!$C$17:$C$18,TRIM(hospitalityq!D1564))=0)</f>
        <v>0</v>
      </c>
      <c r="J1564">
        <f>NOT(hospitalityq!J1564="")*(NOT(ISNUMBER(hospitalityq!J1564+0)))</f>
        <v>0</v>
      </c>
      <c r="K1564">
        <f>NOT(hospitalityq!K1564="")*(NOT(ISNUMBER(hospitalityq!K1564+0)))</f>
        <v>0</v>
      </c>
      <c r="P1564">
        <f>NOT(hospitalityq!P1564="")*(NOT(IFERROR(INT(hospitalityq!P1564)=VALUE(hospitalityq!P1564),FALSE)))</f>
        <v>0</v>
      </c>
      <c r="Q1564">
        <f>NOT(hospitalityq!Q1564="")*(NOT(IFERROR(INT(hospitalityq!Q1564)=VALUE(hospitalityq!Q1564),FALSE)))</f>
        <v>0</v>
      </c>
      <c r="R1564">
        <f>NOT(hospitalityq!R1564="")*(NOT(IFERROR(ROUND(VALUE(hospitalityq!R1564),2)=VALUE(hospitalityq!R1564),FALSE)))</f>
        <v>0</v>
      </c>
    </row>
    <row r="1565" spans="1:18" x14ac:dyDescent="0.25">
      <c r="A1565">
        <f t="shared" si="24"/>
        <v>0</v>
      </c>
      <c r="C1565">
        <f>NOT(hospitalityq!C1565="")*(SUMPRODUCT(--(TRIM(hospitalityq!C6:C1565)=TRIM(hospitalityq!C1565)))&gt;1)</f>
        <v>0</v>
      </c>
      <c r="D1565">
        <f>NOT(hospitalityq!D1565="")*(COUNTIF(reference!$C$17:$C$18,TRIM(hospitalityq!D1565))=0)</f>
        <v>0</v>
      </c>
      <c r="J1565">
        <f>NOT(hospitalityq!J1565="")*(NOT(ISNUMBER(hospitalityq!J1565+0)))</f>
        <v>0</v>
      </c>
      <c r="K1565">
        <f>NOT(hospitalityq!K1565="")*(NOT(ISNUMBER(hospitalityq!K1565+0)))</f>
        <v>0</v>
      </c>
      <c r="P1565">
        <f>NOT(hospitalityq!P1565="")*(NOT(IFERROR(INT(hospitalityq!P1565)=VALUE(hospitalityq!P1565),FALSE)))</f>
        <v>0</v>
      </c>
      <c r="Q1565">
        <f>NOT(hospitalityq!Q1565="")*(NOT(IFERROR(INT(hospitalityq!Q1565)=VALUE(hospitalityq!Q1565),FALSE)))</f>
        <v>0</v>
      </c>
      <c r="R1565">
        <f>NOT(hospitalityq!R1565="")*(NOT(IFERROR(ROUND(VALUE(hospitalityq!R1565),2)=VALUE(hospitalityq!R1565),FALSE)))</f>
        <v>0</v>
      </c>
    </row>
    <row r="1566" spans="1:18" x14ac:dyDescent="0.25">
      <c r="A1566">
        <f t="shared" si="24"/>
        <v>0</v>
      </c>
      <c r="C1566">
        <f>NOT(hospitalityq!C1566="")*(SUMPRODUCT(--(TRIM(hospitalityq!C6:C1566)=TRIM(hospitalityq!C1566)))&gt;1)</f>
        <v>0</v>
      </c>
      <c r="D1566">
        <f>NOT(hospitalityq!D1566="")*(COUNTIF(reference!$C$17:$C$18,TRIM(hospitalityq!D1566))=0)</f>
        <v>0</v>
      </c>
      <c r="J1566">
        <f>NOT(hospitalityq!J1566="")*(NOT(ISNUMBER(hospitalityq!J1566+0)))</f>
        <v>0</v>
      </c>
      <c r="K1566">
        <f>NOT(hospitalityq!K1566="")*(NOT(ISNUMBER(hospitalityq!K1566+0)))</f>
        <v>0</v>
      </c>
      <c r="P1566">
        <f>NOT(hospitalityq!P1566="")*(NOT(IFERROR(INT(hospitalityq!P1566)=VALUE(hospitalityq!P1566),FALSE)))</f>
        <v>0</v>
      </c>
      <c r="Q1566">
        <f>NOT(hospitalityq!Q1566="")*(NOT(IFERROR(INT(hospitalityq!Q1566)=VALUE(hospitalityq!Q1566),FALSE)))</f>
        <v>0</v>
      </c>
      <c r="R1566">
        <f>NOT(hospitalityq!R1566="")*(NOT(IFERROR(ROUND(VALUE(hospitalityq!R1566),2)=VALUE(hospitalityq!R1566),FALSE)))</f>
        <v>0</v>
      </c>
    </row>
    <row r="1567" spans="1:18" x14ac:dyDescent="0.25">
      <c r="A1567">
        <f t="shared" si="24"/>
        <v>0</v>
      </c>
      <c r="C1567">
        <f>NOT(hospitalityq!C1567="")*(SUMPRODUCT(--(TRIM(hospitalityq!C6:C1567)=TRIM(hospitalityq!C1567)))&gt;1)</f>
        <v>0</v>
      </c>
      <c r="D1567">
        <f>NOT(hospitalityq!D1567="")*(COUNTIF(reference!$C$17:$C$18,TRIM(hospitalityq!D1567))=0)</f>
        <v>0</v>
      </c>
      <c r="J1567">
        <f>NOT(hospitalityq!J1567="")*(NOT(ISNUMBER(hospitalityq!J1567+0)))</f>
        <v>0</v>
      </c>
      <c r="K1567">
        <f>NOT(hospitalityq!K1567="")*(NOT(ISNUMBER(hospitalityq!K1567+0)))</f>
        <v>0</v>
      </c>
      <c r="P1567">
        <f>NOT(hospitalityq!P1567="")*(NOT(IFERROR(INT(hospitalityq!P1567)=VALUE(hospitalityq!P1567),FALSE)))</f>
        <v>0</v>
      </c>
      <c r="Q1567">
        <f>NOT(hospitalityq!Q1567="")*(NOT(IFERROR(INT(hospitalityq!Q1567)=VALUE(hospitalityq!Q1567),FALSE)))</f>
        <v>0</v>
      </c>
      <c r="R1567">
        <f>NOT(hospitalityq!R1567="")*(NOT(IFERROR(ROUND(VALUE(hospitalityq!R1567),2)=VALUE(hospitalityq!R1567),FALSE)))</f>
        <v>0</v>
      </c>
    </row>
    <row r="1568" spans="1:18" x14ac:dyDescent="0.25">
      <c r="A1568">
        <f t="shared" si="24"/>
        <v>0</v>
      </c>
      <c r="C1568">
        <f>NOT(hospitalityq!C1568="")*(SUMPRODUCT(--(TRIM(hospitalityq!C6:C1568)=TRIM(hospitalityq!C1568)))&gt;1)</f>
        <v>0</v>
      </c>
      <c r="D1568">
        <f>NOT(hospitalityq!D1568="")*(COUNTIF(reference!$C$17:$C$18,TRIM(hospitalityq!D1568))=0)</f>
        <v>0</v>
      </c>
      <c r="J1568">
        <f>NOT(hospitalityq!J1568="")*(NOT(ISNUMBER(hospitalityq!J1568+0)))</f>
        <v>0</v>
      </c>
      <c r="K1568">
        <f>NOT(hospitalityq!K1568="")*(NOT(ISNUMBER(hospitalityq!K1568+0)))</f>
        <v>0</v>
      </c>
      <c r="P1568">
        <f>NOT(hospitalityq!P1568="")*(NOT(IFERROR(INT(hospitalityq!P1568)=VALUE(hospitalityq!P1568),FALSE)))</f>
        <v>0</v>
      </c>
      <c r="Q1568">
        <f>NOT(hospitalityq!Q1568="")*(NOT(IFERROR(INT(hospitalityq!Q1568)=VALUE(hospitalityq!Q1568),FALSE)))</f>
        <v>0</v>
      </c>
      <c r="R1568">
        <f>NOT(hospitalityq!R1568="")*(NOT(IFERROR(ROUND(VALUE(hospitalityq!R1568),2)=VALUE(hospitalityq!R1568),FALSE)))</f>
        <v>0</v>
      </c>
    </row>
    <row r="1569" spans="1:18" x14ac:dyDescent="0.25">
      <c r="A1569">
        <f t="shared" si="24"/>
        <v>0</v>
      </c>
      <c r="C1569">
        <f>NOT(hospitalityq!C1569="")*(SUMPRODUCT(--(TRIM(hospitalityq!C6:C1569)=TRIM(hospitalityq!C1569)))&gt;1)</f>
        <v>0</v>
      </c>
      <c r="D1569">
        <f>NOT(hospitalityq!D1569="")*(COUNTIF(reference!$C$17:$C$18,TRIM(hospitalityq!D1569))=0)</f>
        <v>0</v>
      </c>
      <c r="J1569">
        <f>NOT(hospitalityq!J1569="")*(NOT(ISNUMBER(hospitalityq!J1569+0)))</f>
        <v>0</v>
      </c>
      <c r="K1569">
        <f>NOT(hospitalityq!K1569="")*(NOT(ISNUMBER(hospitalityq!K1569+0)))</f>
        <v>0</v>
      </c>
      <c r="P1569">
        <f>NOT(hospitalityq!P1569="")*(NOT(IFERROR(INT(hospitalityq!P1569)=VALUE(hospitalityq!P1569),FALSE)))</f>
        <v>0</v>
      </c>
      <c r="Q1569">
        <f>NOT(hospitalityq!Q1569="")*(NOT(IFERROR(INT(hospitalityq!Q1569)=VALUE(hospitalityq!Q1569),FALSE)))</f>
        <v>0</v>
      </c>
      <c r="R1569">
        <f>NOT(hospitalityq!R1569="")*(NOT(IFERROR(ROUND(VALUE(hospitalityq!R1569),2)=VALUE(hospitalityq!R1569),FALSE)))</f>
        <v>0</v>
      </c>
    </row>
    <row r="1570" spans="1:18" x14ac:dyDescent="0.25">
      <c r="A1570">
        <f t="shared" si="24"/>
        <v>0</v>
      </c>
      <c r="C1570">
        <f>NOT(hospitalityq!C1570="")*(SUMPRODUCT(--(TRIM(hospitalityq!C6:C1570)=TRIM(hospitalityq!C1570)))&gt;1)</f>
        <v>0</v>
      </c>
      <c r="D1570">
        <f>NOT(hospitalityq!D1570="")*(COUNTIF(reference!$C$17:$C$18,TRIM(hospitalityq!D1570))=0)</f>
        <v>0</v>
      </c>
      <c r="J1570">
        <f>NOT(hospitalityq!J1570="")*(NOT(ISNUMBER(hospitalityq!J1570+0)))</f>
        <v>0</v>
      </c>
      <c r="K1570">
        <f>NOT(hospitalityq!K1570="")*(NOT(ISNUMBER(hospitalityq!K1570+0)))</f>
        <v>0</v>
      </c>
      <c r="P1570">
        <f>NOT(hospitalityq!P1570="")*(NOT(IFERROR(INT(hospitalityq!P1570)=VALUE(hospitalityq!P1570),FALSE)))</f>
        <v>0</v>
      </c>
      <c r="Q1570">
        <f>NOT(hospitalityq!Q1570="")*(NOT(IFERROR(INT(hospitalityq!Q1570)=VALUE(hospitalityq!Q1570),FALSE)))</f>
        <v>0</v>
      </c>
      <c r="R1570">
        <f>NOT(hospitalityq!R1570="")*(NOT(IFERROR(ROUND(VALUE(hospitalityq!R1570),2)=VALUE(hospitalityq!R1570),FALSE)))</f>
        <v>0</v>
      </c>
    </row>
    <row r="1571" spans="1:18" x14ac:dyDescent="0.25">
      <c r="A1571">
        <f t="shared" si="24"/>
        <v>0</v>
      </c>
      <c r="C1571">
        <f>NOT(hospitalityq!C1571="")*(SUMPRODUCT(--(TRIM(hospitalityq!C6:C1571)=TRIM(hospitalityq!C1571)))&gt;1)</f>
        <v>0</v>
      </c>
      <c r="D1571">
        <f>NOT(hospitalityq!D1571="")*(COUNTIF(reference!$C$17:$C$18,TRIM(hospitalityq!D1571))=0)</f>
        <v>0</v>
      </c>
      <c r="J1571">
        <f>NOT(hospitalityq!J1571="")*(NOT(ISNUMBER(hospitalityq!J1571+0)))</f>
        <v>0</v>
      </c>
      <c r="K1571">
        <f>NOT(hospitalityq!K1571="")*(NOT(ISNUMBER(hospitalityq!K1571+0)))</f>
        <v>0</v>
      </c>
      <c r="P1571">
        <f>NOT(hospitalityq!P1571="")*(NOT(IFERROR(INT(hospitalityq!P1571)=VALUE(hospitalityq!P1571),FALSE)))</f>
        <v>0</v>
      </c>
      <c r="Q1571">
        <f>NOT(hospitalityq!Q1571="")*(NOT(IFERROR(INT(hospitalityq!Q1571)=VALUE(hospitalityq!Q1571),FALSE)))</f>
        <v>0</v>
      </c>
      <c r="R1571">
        <f>NOT(hospitalityq!R1571="")*(NOT(IFERROR(ROUND(VALUE(hospitalityq!R1571),2)=VALUE(hospitalityq!R1571),FALSE)))</f>
        <v>0</v>
      </c>
    </row>
    <row r="1572" spans="1:18" x14ac:dyDescent="0.25">
      <c r="A1572">
        <f t="shared" si="24"/>
        <v>0</v>
      </c>
      <c r="C1572">
        <f>NOT(hospitalityq!C1572="")*(SUMPRODUCT(--(TRIM(hospitalityq!C6:C1572)=TRIM(hospitalityq!C1572)))&gt;1)</f>
        <v>0</v>
      </c>
      <c r="D1572">
        <f>NOT(hospitalityq!D1572="")*(COUNTIF(reference!$C$17:$C$18,TRIM(hospitalityq!D1572))=0)</f>
        <v>0</v>
      </c>
      <c r="J1572">
        <f>NOT(hospitalityq!J1572="")*(NOT(ISNUMBER(hospitalityq!J1572+0)))</f>
        <v>0</v>
      </c>
      <c r="K1572">
        <f>NOT(hospitalityq!K1572="")*(NOT(ISNUMBER(hospitalityq!K1572+0)))</f>
        <v>0</v>
      </c>
      <c r="P1572">
        <f>NOT(hospitalityq!P1572="")*(NOT(IFERROR(INT(hospitalityq!P1572)=VALUE(hospitalityq!P1572),FALSE)))</f>
        <v>0</v>
      </c>
      <c r="Q1572">
        <f>NOT(hospitalityq!Q1572="")*(NOT(IFERROR(INT(hospitalityq!Q1572)=VALUE(hospitalityq!Q1572),FALSE)))</f>
        <v>0</v>
      </c>
      <c r="R1572">
        <f>NOT(hospitalityq!R1572="")*(NOT(IFERROR(ROUND(VALUE(hospitalityq!R1572),2)=VALUE(hospitalityq!R1572),FALSE)))</f>
        <v>0</v>
      </c>
    </row>
    <row r="1573" spans="1:18" x14ac:dyDescent="0.25">
      <c r="A1573">
        <f t="shared" si="24"/>
        <v>0</v>
      </c>
      <c r="C1573">
        <f>NOT(hospitalityq!C1573="")*(SUMPRODUCT(--(TRIM(hospitalityq!C6:C1573)=TRIM(hospitalityq!C1573)))&gt;1)</f>
        <v>0</v>
      </c>
      <c r="D1573">
        <f>NOT(hospitalityq!D1573="")*(COUNTIF(reference!$C$17:$C$18,TRIM(hospitalityq!D1573))=0)</f>
        <v>0</v>
      </c>
      <c r="J1573">
        <f>NOT(hospitalityq!J1573="")*(NOT(ISNUMBER(hospitalityq!J1573+0)))</f>
        <v>0</v>
      </c>
      <c r="K1573">
        <f>NOT(hospitalityq!K1573="")*(NOT(ISNUMBER(hospitalityq!K1573+0)))</f>
        <v>0</v>
      </c>
      <c r="P1573">
        <f>NOT(hospitalityq!P1573="")*(NOT(IFERROR(INT(hospitalityq!P1573)=VALUE(hospitalityq!P1573),FALSE)))</f>
        <v>0</v>
      </c>
      <c r="Q1573">
        <f>NOT(hospitalityq!Q1573="")*(NOT(IFERROR(INT(hospitalityq!Q1573)=VALUE(hospitalityq!Q1573),FALSE)))</f>
        <v>0</v>
      </c>
      <c r="R1573">
        <f>NOT(hospitalityq!R1573="")*(NOT(IFERROR(ROUND(VALUE(hospitalityq!R1573),2)=VALUE(hospitalityq!R1573),FALSE)))</f>
        <v>0</v>
      </c>
    </row>
    <row r="1574" spans="1:18" x14ac:dyDescent="0.25">
      <c r="A1574">
        <f t="shared" si="24"/>
        <v>0</v>
      </c>
      <c r="C1574">
        <f>NOT(hospitalityq!C1574="")*(SUMPRODUCT(--(TRIM(hospitalityq!C6:C1574)=TRIM(hospitalityq!C1574)))&gt;1)</f>
        <v>0</v>
      </c>
      <c r="D1574">
        <f>NOT(hospitalityq!D1574="")*(COUNTIF(reference!$C$17:$C$18,TRIM(hospitalityq!D1574))=0)</f>
        <v>0</v>
      </c>
      <c r="J1574">
        <f>NOT(hospitalityq!J1574="")*(NOT(ISNUMBER(hospitalityq!J1574+0)))</f>
        <v>0</v>
      </c>
      <c r="K1574">
        <f>NOT(hospitalityq!K1574="")*(NOT(ISNUMBER(hospitalityq!K1574+0)))</f>
        <v>0</v>
      </c>
      <c r="P1574">
        <f>NOT(hospitalityq!P1574="")*(NOT(IFERROR(INT(hospitalityq!P1574)=VALUE(hospitalityq!P1574),FALSE)))</f>
        <v>0</v>
      </c>
      <c r="Q1574">
        <f>NOT(hospitalityq!Q1574="")*(NOT(IFERROR(INT(hospitalityq!Q1574)=VALUE(hospitalityq!Q1574),FALSE)))</f>
        <v>0</v>
      </c>
      <c r="R1574">
        <f>NOT(hospitalityq!R1574="")*(NOT(IFERROR(ROUND(VALUE(hospitalityq!R1574),2)=VALUE(hospitalityq!R1574),FALSE)))</f>
        <v>0</v>
      </c>
    </row>
    <row r="1575" spans="1:18" x14ac:dyDescent="0.25">
      <c r="A1575">
        <f t="shared" si="24"/>
        <v>0</v>
      </c>
      <c r="C1575">
        <f>NOT(hospitalityq!C1575="")*(SUMPRODUCT(--(TRIM(hospitalityq!C6:C1575)=TRIM(hospitalityq!C1575)))&gt;1)</f>
        <v>0</v>
      </c>
      <c r="D1575">
        <f>NOT(hospitalityq!D1575="")*(COUNTIF(reference!$C$17:$C$18,TRIM(hospitalityq!D1575))=0)</f>
        <v>0</v>
      </c>
      <c r="J1575">
        <f>NOT(hospitalityq!J1575="")*(NOT(ISNUMBER(hospitalityq!J1575+0)))</f>
        <v>0</v>
      </c>
      <c r="K1575">
        <f>NOT(hospitalityq!K1575="")*(NOT(ISNUMBER(hospitalityq!K1575+0)))</f>
        <v>0</v>
      </c>
      <c r="P1575">
        <f>NOT(hospitalityq!P1575="")*(NOT(IFERROR(INT(hospitalityq!P1575)=VALUE(hospitalityq!P1575),FALSE)))</f>
        <v>0</v>
      </c>
      <c r="Q1575">
        <f>NOT(hospitalityq!Q1575="")*(NOT(IFERROR(INT(hospitalityq!Q1575)=VALUE(hospitalityq!Q1575),FALSE)))</f>
        <v>0</v>
      </c>
      <c r="R1575">
        <f>NOT(hospitalityq!R1575="")*(NOT(IFERROR(ROUND(VALUE(hospitalityq!R1575),2)=VALUE(hospitalityq!R1575),FALSE)))</f>
        <v>0</v>
      </c>
    </row>
    <row r="1576" spans="1:18" x14ac:dyDescent="0.25">
      <c r="A1576">
        <f t="shared" si="24"/>
        <v>0</v>
      </c>
      <c r="C1576">
        <f>NOT(hospitalityq!C1576="")*(SUMPRODUCT(--(TRIM(hospitalityq!C6:C1576)=TRIM(hospitalityq!C1576)))&gt;1)</f>
        <v>0</v>
      </c>
      <c r="D1576">
        <f>NOT(hospitalityq!D1576="")*(COUNTIF(reference!$C$17:$C$18,TRIM(hospitalityq!D1576))=0)</f>
        <v>0</v>
      </c>
      <c r="J1576">
        <f>NOT(hospitalityq!J1576="")*(NOT(ISNUMBER(hospitalityq!J1576+0)))</f>
        <v>0</v>
      </c>
      <c r="K1576">
        <f>NOT(hospitalityq!K1576="")*(NOT(ISNUMBER(hospitalityq!K1576+0)))</f>
        <v>0</v>
      </c>
      <c r="P1576">
        <f>NOT(hospitalityq!P1576="")*(NOT(IFERROR(INT(hospitalityq!P1576)=VALUE(hospitalityq!P1576),FALSE)))</f>
        <v>0</v>
      </c>
      <c r="Q1576">
        <f>NOT(hospitalityq!Q1576="")*(NOT(IFERROR(INT(hospitalityq!Q1576)=VALUE(hospitalityq!Q1576),FALSE)))</f>
        <v>0</v>
      </c>
      <c r="R1576">
        <f>NOT(hospitalityq!R1576="")*(NOT(IFERROR(ROUND(VALUE(hospitalityq!R1576),2)=VALUE(hospitalityq!R1576),FALSE)))</f>
        <v>0</v>
      </c>
    </row>
    <row r="1577" spans="1:18" x14ac:dyDescent="0.25">
      <c r="A1577">
        <f t="shared" si="24"/>
        <v>0</v>
      </c>
      <c r="C1577">
        <f>NOT(hospitalityq!C1577="")*(SUMPRODUCT(--(TRIM(hospitalityq!C6:C1577)=TRIM(hospitalityq!C1577)))&gt;1)</f>
        <v>0</v>
      </c>
      <c r="D1577">
        <f>NOT(hospitalityq!D1577="")*(COUNTIF(reference!$C$17:$C$18,TRIM(hospitalityq!D1577))=0)</f>
        <v>0</v>
      </c>
      <c r="J1577">
        <f>NOT(hospitalityq!J1577="")*(NOT(ISNUMBER(hospitalityq!J1577+0)))</f>
        <v>0</v>
      </c>
      <c r="K1577">
        <f>NOT(hospitalityq!K1577="")*(NOT(ISNUMBER(hospitalityq!K1577+0)))</f>
        <v>0</v>
      </c>
      <c r="P1577">
        <f>NOT(hospitalityq!P1577="")*(NOT(IFERROR(INT(hospitalityq!P1577)=VALUE(hospitalityq!P1577),FALSE)))</f>
        <v>0</v>
      </c>
      <c r="Q1577">
        <f>NOT(hospitalityq!Q1577="")*(NOT(IFERROR(INT(hospitalityq!Q1577)=VALUE(hospitalityq!Q1577),FALSE)))</f>
        <v>0</v>
      </c>
      <c r="R1577">
        <f>NOT(hospitalityq!R1577="")*(NOT(IFERROR(ROUND(VALUE(hospitalityq!R1577),2)=VALUE(hospitalityq!R1577),FALSE)))</f>
        <v>0</v>
      </c>
    </row>
    <row r="1578" spans="1:18" x14ac:dyDescent="0.25">
      <c r="A1578">
        <f t="shared" si="24"/>
        <v>0</v>
      </c>
      <c r="C1578">
        <f>NOT(hospitalityq!C1578="")*(SUMPRODUCT(--(TRIM(hospitalityq!C6:C1578)=TRIM(hospitalityq!C1578)))&gt;1)</f>
        <v>0</v>
      </c>
      <c r="D1578">
        <f>NOT(hospitalityq!D1578="")*(COUNTIF(reference!$C$17:$C$18,TRIM(hospitalityq!D1578))=0)</f>
        <v>0</v>
      </c>
      <c r="J1578">
        <f>NOT(hospitalityq!J1578="")*(NOT(ISNUMBER(hospitalityq!J1578+0)))</f>
        <v>0</v>
      </c>
      <c r="K1578">
        <f>NOT(hospitalityq!K1578="")*(NOT(ISNUMBER(hospitalityq!K1578+0)))</f>
        <v>0</v>
      </c>
      <c r="P1578">
        <f>NOT(hospitalityq!P1578="")*(NOT(IFERROR(INT(hospitalityq!P1578)=VALUE(hospitalityq!P1578),FALSE)))</f>
        <v>0</v>
      </c>
      <c r="Q1578">
        <f>NOT(hospitalityq!Q1578="")*(NOT(IFERROR(INT(hospitalityq!Q1578)=VALUE(hospitalityq!Q1578),FALSE)))</f>
        <v>0</v>
      </c>
      <c r="R1578">
        <f>NOT(hospitalityq!R1578="")*(NOT(IFERROR(ROUND(VALUE(hospitalityq!R1578),2)=VALUE(hospitalityq!R1578),FALSE)))</f>
        <v>0</v>
      </c>
    </row>
    <row r="1579" spans="1:18" x14ac:dyDescent="0.25">
      <c r="A1579">
        <f t="shared" si="24"/>
        <v>0</v>
      </c>
      <c r="C1579">
        <f>NOT(hospitalityq!C1579="")*(SUMPRODUCT(--(TRIM(hospitalityq!C6:C1579)=TRIM(hospitalityq!C1579)))&gt;1)</f>
        <v>0</v>
      </c>
      <c r="D1579">
        <f>NOT(hospitalityq!D1579="")*(COUNTIF(reference!$C$17:$C$18,TRIM(hospitalityq!D1579))=0)</f>
        <v>0</v>
      </c>
      <c r="J1579">
        <f>NOT(hospitalityq!J1579="")*(NOT(ISNUMBER(hospitalityq!J1579+0)))</f>
        <v>0</v>
      </c>
      <c r="K1579">
        <f>NOT(hospitalityq!K1579="")*(NOT(ISNUMBER(hospitalityq!K1579+0)))</f>
        <v>0</v>
      </c>
      <c r="P1579">
        <f>NOT(hospitalityq!P1579="")*(NOT(IFERROR(INT(hospitalityq!P1579)=VALUE(hospitalityq!P1579),FALSE)))</f>
        <v>0</v>
      </c>
      <c r="Q1579">
        <f>NOT(hospitalityq!Q1579="")*(NOT(IFERROR(INT(hospitalityq!Q1579)=VALUE(hospitalityq!Q1579),FALSE)))</f>
        <v>0</v>
      </c>
      <c r="R1579">
        <f>NOT(hospitalityq!R1579="")*(NOT(IFERROR(ROUND(VALUE(hospitalityq!R1579),2)=VALUE(hospitalityq!R1579),FALSE)))</f>
        <v>0</v>
      </c>
    </row>
    <row r="1580" spans="1:18" x14ac:dyDescent="0.25">
      <c r="A1580">
        <f t="shared" si="24"/>
        <v>0</v>
      </c>
      <c r="C1580">
        <f>NOT(hospitalityq!C1580="")*(SUMPRODUCT(--(TRIM(hospitalityq!C6:C1580)=TRIM(hospitalityq!C1580)))&gt;1)</f>
        <v>0</v>
      </c>
      <c r="D1580">
        <f>NOT(hospitalityq!D1580="")*(COUNTIF(reference!$C$17:$C$18,TRIM(hospitalityq!D1580))=0)</f>
        <v>0</v>
      </c>
      <c r="J1580">
        <f>NOT(hospitalityq!J1580="")*(NOT(ISNUMBER(hospitalityq!J1580+0)))</f>
        <v>0</v>
      </c>
      <c r="K1580">
        <f>NOT(hospitalityq!K1580="")*(NOT(ISNUMBER(hospitalityq!K1580+0)))</f>
        <v>0</v>
      </c>
      <c r="P1580">
        <f>NOT(hospitalityq!P1580="")*(NOT(IFERROR(INT(hospitalityq!P1580)=VALUE(hospitalityq!P1580),FALSE)))</f>
        <v>0</v>
      </c>
      <c r="Q1580">
        <f>NOT(hospitalityq!Q1580="")*(NOT(IFERROR(INT(hospitalityq!Q1580)=VALUE(hospitalityq!Q1580),FALSE)))</f>
        <v>0</v>
      </c>
      <c r="R1580">
        <f>NOT(hospitalityq!R1580="")*(NOT(IFERROR(ROUND(VALUE(hospitalityq!R1580),2)=VALUE(hospitalityq!R1580),FALSE)))</f>
        <v>0</v>
      </c>
    </row>
    <row r="1581" spans="1:18" x14ac:dyDescent="0.25">
      <c r="A1581">
        <f t="shared" si="24"/>
        <v>0</v>
      </c>
      <c r="C1581">
        <f>NOT(hospitalityq!C1581="")*(SUMPRODUCT(--(TRIM(hospitalityq!C6:C1581)=TRIM(hospitalityq!C1581)))&gt;1)</f>
        <v>0</v>
      </c>
      <c r="D1581">
        <f>NOT(hospitalityq!D1581="")*(COUNTIF(reference!$C$17:$C$18,TRIM(hospitalityq!D1581))=0)</f>
        <v>0</v>
      </c>
      <c r="J1581">
        <f>NOT(hospitalityq!J1581="")*(NOT(ISNUMBER(hospitalityq!J1581+0)))</f>
        <v>0</v>
      </c>
      <c r="K1581">
        <f>NOT(hospitalityq!K1581="")*(NOT(ISNUMBER(hospitalityq!K1581+0)))</f>
        <v>0</v>
      </c>
      <c r="P1581">
        <f>NOT(hospitalityq!P1581="")*(NOT(IFERROR(INT(hospitalityq!P1581)=VALUE(hospitalityq!P1581),FALSE)))</f>
        <v>0</v>
      </c>
      <c r="Q1581">
        <f>NOT(hospitalityq!Q1581="")*(NOT(IFERROR(INT(hospitalityq!Q1581)=VALUE(hospitalityq!Q1581),FALSE)))</f>
        <v>0</v>
      </c>
      <c r="R1581">
        <f>NOT(hospitalityq!R1581="")*(NOT(IFERROR(ROUND(VALUE(hospitalityq!R1581),2)=VALUE(hospitalityq!R1581),FALSE)))</f>
        <v>0</v>
      </c>
    </row>
    <row r="1582" spans="1:18" x14ac:dyDescent="0.25">
      <c r="A1582">
        <f t="shared" si="24"/>
        <v>0</v>
      </c>
      <c r="C1582">
        <f>NOT(hospitalityq!C1582="")*(SUMPRODUCT(--(TRIM(hospitalityq!C6:C1582)=TRIM(hospitalityq!C1582)))&gt;1)</f>
        <v>0</v>
      </c>
      <c r="D1582">
        <f>NOT(hospitalityq!D1582="")*(COUNTIF(reference!$C$17:$C$18,TRIM(hospitalityq!D1582))=0)</f>
        <v>0</v>
      </c>
      <c r="J1582">
        <f>NOT(hospitalityq!J1582="")*(NOT(ISNUMBER(hospitalityq!J1582+0)))</f>
        <v>0</v>
      </c>
      <c r="K1582">
        <f>NOT(hospitalityq!K1582="")*(NOT(ISNUMBER(hospitalityq!K1582+0)))</f>
        <v>0</v>
      </c>
      <c r="P1582">
        <f>NOT(hospitalityq!P1582="")*(NOT(IFERROR(INT(hospitalityq!P1582)=VALUE(hospitalityq!P1582),FALSE)))</f>
        <v>0</v>
      </c>
      <c r="Q1582">
        <f>NOT(hospitalityq!Q1582="")*(NOT(IFERROR(INT(hospitalityq!Q1582)=VALUE(hospitalityq!Q1582),FALSE)))</f>
        <v>0</v>
      </c>
      <c r="R1582">
        <f>NOT(hospitalityq!R1582="")*(NOT(IFERROR(ROUND(VALUE(hospitalityq!R1582),2)=VALUE(hospitalityq!R1582),FALSE)))</f>
        <v>0</v>
      </c>
    </row>
    <row r="1583" spans="1:18" x14ac:dyDescent="0.25">
      <c r="A1583">
        <f t="shared" si="24"/>
        <v>0</v>
      </c>
      <c r="C1583">
        <f>NOT(hospitalityq!C1583="")*(SUMPRODUCT(--(TRIM(hospitalityq!C6:C1583)=TRIM(hospitalityq!C1583)))&gt;1)</f>
        <v>0</v>
      </c>
      <c r="D1583">
        <f>NOT(hospitalityq!D1583="")*(COUNTIF(reference!$C$17:$C$18,TRIM(hospitalityq!D1583))=0)</f>
        <v>0</v>
      </c>
      <c r="J1583">
        <f>NOT(hospitalityq!J1583="")*(NOT(ISNUMBER(hospitalityq!J1583+0)))</f>
        <v>0</v>
      </c>
      <c r="K1583">
        <f>NOT(hospitalityq!K1583="")*(NOT(ISNUMBER(hospitalityq!K1583+0)))</f>
        <v>0</v>
      </c>
      <c r="P1583">
        <f>NOT(hospitalityq!P1583="")*(NOT(IFERROR(INT(hospitalityq!P1583)=VALUE(hospitalityq!P1583),FALSE)))</f>
        <v>0</v>
      </c>
      <c r="Q1583">
        <f>NOT(hospitalityq!Q1583="")*(NOT(IFERROR(INT(hospitalityq!Q1583)=VALUE(hospitalityq!Q1583),FALSE)))</f>
        <v>0</v>
      </c>
      <c r="R1583">
        <f>NOT(hospitalityq!R1583="")*(NOT(IFERROR(ROUND(VALUE(hospitalityq!R1583),2)=VALUE(hospitalityq!R1583),FALSE)))</f>
        <v>0</v>
      </c>
    </row>
    <row r="1584" spans="1:18" x14ac:dyDescent="0.25">
      <c r="A1584">
        <f t="shared" si="24"/>
        <v>0</v>
      </c>
      <c r="C1584">
        <f>NOT(hospitalityq!C1584="")*(SUMPRODUCT(--(TRIM(hospitalityq!C6:C1584)=TRIM(hospitalityq!C1584)))&gt;1)</f>
        <v>0</v>
      </c>
      <c r="D1584">
        <f>NOT(hospitalityq!D1584="")*(COUNTIF(reference!$C$17:$C$18,TRIM(hospitalityq!D1584))=0)</f>
        <v>0</v>
      </c>
      <c r="J1584">
        <f>NOT(hospitalityq!J1584="")*(NOT(ISNUMBER(hospitalityq!J1584+0)))</f>
        <v>0</v>
      </c>
      <c r="K1584">
        <f>NOT(hospitalityq!K1584="")*(NOT(ISNUMBER(hospitalityq!K1584+0)))</f>
        <v>0</v>
      </c>
      <c r="P1584">
        <f>NOT(hospitalityq!P1584="")*(NOT(IFERROR(INT(hospitalityq!P1584)=VALUE(hospitalityq!P1584),FALSE)))</f>
        <v>0</v>
      </c>
      <c r="Q1584">
        <f>NOT(hospitalityq!Q1584="")*(NOT(IFERROR(INT(hospitalityq!Q1584)=VALUE(hospitalityq!Q1584),FALSE)))</f>
        <v>0</v>
      </c>
      <c r="R1584">
        <f>NOT(hospitalityq!R1584="")*(NOT(IFERROR(ROUND(VALUE(hospitalityq!R1584),2)=VALUE(hospitalityq!R1584),FALSE)))</f>
        <v>0</v>
      </c>
    </row>
    <row r="1585" spans="1:18" x14ac:dyDescent="0.25">
      <c r="A1585">
        <f t="shared" si="24"/>
        <v>0</v>
      </c>
      <c r="C1585">
        <f>NOT(hospitalityq!C1585="")*(SUMPRODUCT(--(TRIM(hospitalityq!C6:C1585)=TRIM(hospitalityq!C1585)))&gt;1)</f>
        <v>0</v>
      </c>
      <c r="D1585">
        <f>NOT(hospitalityq!D1585="")*(COUNTIF(reference!$C$17:$C$18,TRIM(hospitalityq!D1585))=0)</f>
        <v>0</v>
      </c>
      <c r="J1585">
        <f>NOT(hospitalityq!J1585="")*(NOT(ISNUMBER(hospitalityq!J1585+0)))</f>
        <v>0</v>
      </c>
      <c r="K1585">
        <f>NOT(hospitalityq!K1585="")*(NOT(ISNUMBER(hospitalityq!K1585+0)))</f>
        <v>0</v>
      </c>
      <c r="P1585">
        <f>NOT(hospitalityq!P1585="")*(NOT(IFERROR(INT(hospitalityq!P1585)=VALUE(hospitalityq!P1585),FALSE)))</f>
        <v>0</v>
      </c>
      <c r="Q1585">
        <f>NOT(hospitalityq!Q1585="")*(NOT(IFERROR(INT(hospitalityq!Q1585)=VALUE(hospitalityq!Q1585),FALSE)))</f>
        <v>0</v>
      </c>
      <c r="R1585">
        <f>NOT(hospitalityq!R1585="")*(NOT(IFERROR(ROUND(VALUE(hospitalityq!R1585),2)=VALUE(hospitalityq!R1585),FALSE)))</f>
        <v>0</v>
      </c>
    </row>
    <row r="1586" spans="1:18" x14ac:dyDescent="0.25">
      <c r="A1586">
        <f t="shared" si="24"/>
        <v>0</v>
      </c>
      <c r="C1586">
        <f>NOT(hospitalityq!C1586="")*(SUMPRODUCT(--(TRIM(hospitalityq!C6:C1586)=TRIM(hospitalityq!C1586)))&gt;1)</f>
        <v>0</v>
      </c>
      <c r="D1586">
        <f>NOT(hospitalityq!D1586="")*(COUNTIF(reference!$C$17:$C$18,TRIM(hospitalityq!D1586))=0)</f>
        <v>0</v>
      </c>
      <c r="J1586">
        <f>NOT(hospitalityq!J1586="")*(NOT(ISNUMBER(hospitalityq!J1586+0)))</f>
        <v>0</v>
      </c>
      <c r="K1586">
        <f>NOT(hospitalityq!K1586="")*(NOT(ISNUMBER(hospitalityq!K1586+0)))</f>
        <v>0</v>
      </c>
      <c r="P1586">
        <f>NOT(hospitalityq!P1586="")*(NOT(IFERROR(INT(hospitalityq!P1586)=VALUE(hospitalityq!P1586),FALSE)))</f>
        <v>0</v>
      </c>
      <c r="Q1586">
        <f>NOT(hospitalityq!Q1586="")*(NOT(IFERROR(INT(hospitalityq!Q1586)=VALUE(hospitalityq!Q1586),FALSE)))</f>
        <v>0</v>
      </c>
      <c r="R1586">
        <f>NOT(hospitalityq!R1586="")*(NOT(IFERROR(ROUND(VALUE(hospitalityq!R1586),2)=VALUE(hospitalityq!R1586),FALSE)))</f>
        <v>0</v>
      </c>
    </row>
    <row r="1587" spans="1:18" x14ac:dyDescent="0.25">
      <c r="A1587">
        <f t="shared" si="24"/>
        <v>0</v>
      </c>
      <c r="C1587">
        <f>NOT(hospitalityq!C1587="")*(SUMPRODUCT(--(TRIM(hospitalityq!C6:C1587)=TRIM(hospitalityq!C1587)))&gt;1)</f>
        <v>0</v>
      </c>
      <c r="D1587">
        <f>NOT(hospitalityq!D1587="")*(COUNTIF(reference!$C$17:$C$18,TRIM(hospitalityq!D1587))=0)</f>
        <v>0</v>
      </c>
      <c r="J1587">
        <f>NOT(hospitalityq!J1587="")*(NOT(ISNUMBER(hospitalityq!J1587+0)))</f>
        <v>0</v>
      </c>
      <c r="K1587">
        <f>NOT(hospitalityq!K1587="")*(NOT(ISNUMBER(hospitalityq!K1587+0)))</f>
        <v>0</v>
      </c>
      <c r="P1587">
        <f>NOT(hospitalityq!P1587="")*(NOT(IFERROR(INT(hospitalityq!P1587)=VALUE(hospitalityq!P1587),FALSE)))</f>
        <v>0</v>
      </c>
      <c r="Q1587">
        <f>NOT(hospitalityq!Q1587="")*(NOT(IFERROR(INT(hospitalityq!Q1587)=VALUE(hospitalityq!Q1587),FALSE)))</f>
        <v>0</v>
      </c>
      <c r="R1587">
        <f>NOT(hospitalityq!R1587="")*(NOT(IFERROR(ROUND(VALUE(hospitalityq!R1587),2)=VALUE(hospitalityq!R1587),FALSE)))</f>
        <v>0</v>
      </c>
    </row>
    <row r="1588" spans="1:18" x14ac:dyDescent="0.25">
      <c r="A1588">
        <f t="shared" si="24"/>
        <v>0</v>
      </c>
      <c r="C1588">
        <f>NOT(hospitalityq!C1588="")*(SUMPRODUCT(--(TRIM(hospitalityq!C6:C1588)=TRIM(hospitalityq!C1588)))&gt;1)</f>
        <v>0</v>
      </c>
      <c r="D1588">
        <f>NOT(hospitalityq!D1588="")*(COUNTIF(reference!$C$17:$C$18,TRIM(hospitalityq!D1588))=0)</f>
        <v>0</v>
      </c>
      <c r="J1588">
        <f>NOT(hospitalityq!J1588="")*(NOT(ISNUMBER(hospitalityq!J1588+0)))</f>
        <v>0</v>
      </c>
      <c r="K1588">
        <f>NOT(hospitalityq!K1588="")*(NOT(ISNUMBER(hospitalityq!K1588+0)))</f>
        <v>0</v>
      </c>
      <c r="P1588">
        <f>NOT(hospitalityq!P1588="")*(NOT(IFERROR(INT(hospitalityq!P1588)=VALUE(hospitalityq!P1588),FALSE)))</f>
        <v>0</v>
      </c>
      <c r="Q1588">
        <f>NOT(hospitalityq!Q1588="")*(NOT(IFERROR(INT(hospitalityq!Q1588)=VALUE(hospitalityq!Q1588),FALSE)))</f>
        <v>0</v>
      </c>
      <c r="R1588">
        <f>NOT(hospitalityq!R1588="")*(NOT(IFERROR(ROUND(VALUE(hospitalityq!R1588),2)=VALUE(hospitalityq!R1588),FALSE)))</f>
        <v>0</v>
      </c>
    </row>
    <row r="1589" spans="1:18" x14ac:dyDescent="0.25">
      <c r="A1589">
        <f t="shared" si="24"/>
        <v>0</v>
      </c>
      <c r="C1589">
        <f>NOT(hospitalityq!C1589="")*(SUMPRODUCT(--(TRIM(hospitalityq!C6:C1589)=TRIM(hospitalityq!C1589)))&gt;1)</f>
        <v>0</v>
      </c>
      <c r="D1589">
        <f>NOT(hospitalityq!D1589="")*(COUNTIF(reference!$C$17:$C$18,TRIM(hospitalityq!D1589))=0)</f>
        <v>0</v>
      </c>
      <c r="J1589">
        <f>NOT(hospitalityq!J1589="")*(NOT(ISNUMBER(hospitalityq!J1589+0)))</f>
        <v>0</v>
      </c>
      <c r="K1589">
        <f>NOT(hospitalityq!K1589="")*(NOT(ISNUMBER(hospitalityq!K1589+0)))</f>
        <v>0</v>
      </c>
      <c r="P1589">
        <f>NOT(hospitalityq!P1589="")*(NOT(IFERROR(INT(hospitalityq!P1589)=VALUE(hospitalityq!P1589),FALSE)))</f>
        <v>0</v>
      </c>
      <c r="Q1589">
        <f>NOT(hospitalityq!Q1589="")*(NOT(IFERROR(INT(hospitalityq!Q1589)=VALUE(hospitalityq!Q1589),FALSE)))</f>
        <v>0</v>
      </c>
      <c r="R1589">
        <f>NOT(hospitalityq!R1589="")*(NOT(IFERROR(ROUND(VALUE(hospitalityq!R1589),2)=VALUE(hospitalityq!R1589),FALSE)))</f>
        <v>0</v>
      </c>
    </row>
    <row r="1590" spans="1:18" x14ac:dyDescent="0.25">
      <c r="A1590">
        <f t="shared" si="24"/>
        <v>0</v>
      </c>
      <c r="C1590">
        <f>NOT(hospitalityq!C1590="")*(SUMPRODUCT(--(TRIM(hospitalityq!C6:C1590)=TRIM(hospitalityq!C1590)))&gt;1)</f>
        <v>0</v>
      </c>
      <c r="D1590">
        <f>NOT(hospitalityq!D1590="")*(COUNTIF(reference!$C$17:$C$18,TRIM(hospitalityq!D1590))=0)</f>
        <v>0</v>
      </c>
      <c r="J1590">
        <f>NOT(hospitalityq!J1590="")*(NOT(ISNUMBER(hospitalityq!J1590+0)))</f>
        <v>0</v>
      </c>
      <c r="K1590">
        <f>NOT(hospitalityq!K1590="")*(NOT(ISNUMBER(hospitalityq!K1590+0)))</f>
        <v>0</v>
      </c>
      <c r="P1590">
        <f>NOT(hospitalityq!P1590="")*(NOT(IFERROR(INT(hospitalityq!P1590)=VALUE(hospitalityq!P1590),FALSE)))</f>
        <v>0</v>
      </c>
      <c r="Q1590">
        <f>NOT(hospitalityq!Q1590="")*(NOT(IFERROR(INT(hospitalityq!Q1590)=VALUE(hospitalityq!Q1590),FALSE)))</f>
        <v>0</v>
      </c>
      <c r="R1590">
        <f>NOT(hospitalityq!R1590="")*(NOT(IFERROR(ROUND(VALUE(hospitalityq!R1590),2)=VALUE(hospitalityq!R1590),FALSE)))</f>
        <v>0</v>
      </c>
    </row>
    <row r="1591" spans="1:18" x14ac:dyDescent="0.25">
      <c r="A1591">
        <f t="shared" si="24"/>
        <v>0</v>
      </c>
      <c r="C1591">
        <f>NOT(hospitalityq!C1591="")*(SUMPRODUCT(--(TRIM(hospitalityq!C6:C1591)=TRIM(hospitalityq!C1591)))&gt;1)</f>
        <v>0</v>
      </c>
      <c r="D1591">
        <f>NOT(hospitalityq!D1591="")*(COUNTIF(reference!$C$17:$C$18,TRIM(hospitalityq!D1591))=0)</f>
        <v>0</v>
      </c>
      <c r="J1591">
        <f>NOT(hospitalityq!J1591="")*(NOT(ISNUMBER(hospitalityq!J1591+0)))</f>
        <v>0</v>
      </c>
      <c r="K1591">
        <f>NOT(hospitalityq!K1591="")*(NOT(ISNUMBER(hospitalityq!K1591+0)))</f>
        <v>0</v>
      </c>
      <c r="P1591">
        <f>NOT(hospitalityq!P1591="")*(NOT(IFERROR(INT(hospitalityq!P1591)=VALUE(hospitalityq!P1591),FALSE)))</f>
        <v>0</v>
      </c>
      <c r="Q1591">
        <f>NOT(hospitalityq!Q1591="")*(NOT(IFERROR(INT(hospitalityq!Q1591)=VALUE(hospitalityq!Q1591),FALSE)))</f>
        <v>0</v>
      </c>
      <c r="R1591">
        <f>NOT(hospitalityq!R1591="")*(NOT(IFERROR(ROUND(VALUE(hospitalityq!R1591),2)=VALUE(hospitalityq!R1591),FALSE)))</f>
        <v>0</v>
      </c>
    </row>
    <row r="1592" spans="1:18" x14ac:dyDescent="0.25">
      <c r="A1592">
        <f t="shared" si="24"/>
        <v>0</v>
      </c>
      <c r="C1592">
        <f>NOT(hospitalityq!C1592="")*(SUMPRODUCT(--(TRIM(hospitalityq!C6:C1592)=TRIM(hospitalityq!C1592)))&gt;1)</f>
        <v>0</v>
      </c>
      <c r="D1592">
        <f>NOT(hospitalityq!D1592="")*(COUNTIF(reference!$C$17:$C$18,TRIM(hospitalityq!D1592))=0)</f>
        <v>0</v>
      </c>
      <c r="J1592">
        <f>NOT(hospitalityq!J1592="")*(NOT(ISNUMBER(hospitalityq!J1592+0)))</f>
        <v>0</v>
      </c>
      <c r="K1592">
        <f>NOT(hospitalityq!K1592="")*(NOT(ISNUMBER(hospitalityq!K1592+0)))</f>
        <v>0</v>
      </c>
      <c r="P1592">
        <f>NOT(hospitalityq!P1592="")*(NOT(IFERROR(INT(hospitalityq!P1592)=VALUE(hospitalityq!P1592),FALSE)))</f>
        <v>0</v>
      </c>
      <c r="Q1592">
        <f>NOT(hospitalityq!Q1592="")*(NOT(IFERROR(INT(hospitalityq!Q1592)=VALUE(hospitalityq!Q1592),FALSE)))</f>
        <v>0</v>
      </c>
      <c r="R1592">
        <f>NOT(hospitalityq!R1592="")*(NOT(IFERROR(ROUND(VALUE(hospitalityq!R1592),2)=VALUE(hospitalityq!R1592),FALSE)))</f>
        <v>0</v>
      </c>
    </row>
    <row r="1593" spans="1:18" x14ac:dyDescent="0.25">
      <c r="A1593">
        <f t="shared" si="24"/>
        <v>0</v>
      </c>
      <c r="C1593">
        <f>NOT(hospitalityq!C1593="")*(SUMPRODUCT(--(TRIM(hospitalityq!C6:C1593)=TRIM(hospitalityq!C1593)))&gt;1)</f>
        <v>0</v>
      </c>
      <c r="D1593">
        <f>NOT(hospitalityq!D1593="")*(COUNTIF(reference!$C$17:$C$18,TRIM(hospitalityq!D1593))=0)</f>
        <v>0</v>
      </c>
      <c r="J1593">
        <f>NOT(hospitalityq!J1593="")*(NOT(ISNUMBER(hospitalityq!J1593+0)))</f>
        <v>0</v>
      </c>
      <c r="K1593">
        <f>NOT(hospitalityq!K1593="")*(NOT(ISNUMBER(hospitalityq!K1593+0)))</f>
        <v>0</v>
      </c>
      <c r="P1593">
        <f>NOT(hospitalityq!P1593="")*(NOT(IFERROR(INT(hospitalityq!P1593)=VALUE(hospitalityq!P1593),FALSE)))</f>
        <v>0</v>
      </c>
      <c r="Q1593">
        <f>NOT(hospitalityq!Q1593="")*(NOT(IFERROR(INT(hospitalityq!Q1593)=VALUE(hospitalityq!Q1593),FALSE)))</f>
        <v>0</v>
      </c>
      <c r="R1593">
        <f>NOT(hospitalityq!R1593="")*(NOT(IFERROR(ROUND(VALUE(hospitalityq!R1593),2)=VALUE(hospitalityq!R1593),FALSE)))</f>
        <v>0</v>
      </c>
    </row>
    <row r="1594" spans="1:18" x14ac:dyDescent="0.25">
      <c r="A1594">
        <f t="shared" si="24"/>
        <v>0</v>
      </c>
      <c r="C1594">
        <f>NOT(hospitalityq!C1594="")*(SUMPRODUCT(--(TRIM(hospitalityq!C6:C1594)=TRIM(hospitalityq!C1594)))&gt;1)</f>
        <v>0</v>
      </c>
      <c r="D1594">
        <f>NOT(hospitalityq!D1594="")*(COUNTIF(reference!$C$17:$C$18,TRIM(hospitalityq!D1594))=0)</f>
        <v>0</v>
      </c>
      <c r="J1594">
        <f>NOT(hospitalityq!J1594="")*(NOT(ISNUMBER(hospitalityq!J1594+0)))</f>
        <v>0</v>
      </c>
      <c r="K1594">
        <f>NOT(hospitalityq!K1594="")*(NOT(ISNUMBER(hospitalityq!K1594+0)))</f>
        <v>0</v>
      </c>
      <c r="P1594">
        <f>NOT(hospitalityq!P1594="")*(NOT(IFERROR(INT(hospitalityq!P1594)=VALUE(hospitalityq!P1594),FALSE)))</f>
        <v>0</v>
      </c>
      <c r="Q1594">
        <f>NOT(hospitalityq!Q1594="")*(NOT(IFERROR(INT(hospitalityq!Q1594)=VALUE(hospitalityq!Q1594),FALSE)))</f>
        <v>0</v>
      </c>
      <c r="R1594">
        <f>NOT(hospitalityq!R1594="")*(NOT(IFERROR(ROUND(VALUE(hospitalityq!R1594),2)=VALUE(hospitalityq!R1594),FALSE)))</f>
        <v>0</v>
      </c>
    </row>
    <row r="1595" spans="1:18" x14ac:dyDescent="0.25">
      <c r="A1595">
        <f t="shared" si="24"/>
        <v>0</v>
      </c>
      <c r="C1595">
        <f>NOT(hospitalityq!C1595="")*(SUMPRODUCT(--(TRIM(hospitalityq!C6:C1595)=TRIM(hospitalityq!C1595)))&gt;1)</f>
        <v>0</v>
      </c>
      <c r="D1595">
        <f>NOT(hospitalityq!D1595="")*(COUNTIF(reference!$C$17:$C$18,TRIM(hospitalityq!D1595))=0)</f>
        <v>0</v>
      </c>
      <c r="J1595">
        <f>NOT(hospitalityq!J1595="")*(NOT(ISNUMBER(hospitalityq!J1595+0)))</f>
        <v>0</v>
      </c>
      <c r="K1595">
        <f>NOT(hospitalityq!K1595="")*(NOT(ISNUMBER(hospitalityq!K1595+0)))</f>
        <v>0</v>
      </c>
      <c r="P1595">
        <f>NOT(hospitalityq!P1595="")*(NOT(IFERROR(INT(hospitalityq!P1595)=VALUE(hospitalityq!P1595),FALSE)))</f>
        <v>0</v>
      </c>
      <c r="Q1595">
        <f>NOT(hospitalityq!Q1595="")*(NOT(IFERROR(INT(hospitalityq!Q1595)=VALUE(hospitalityq!Q1595),FALSE)))</f>
        <v>0</v>
      </c>
      <c r="R1595">
        <f>NOT(hospitalityq!R1595="")*(NOT(IFERROR(ROUND(VALUE(hospitalityq!R1595),2)=VALUE(hospitalityq!R1595),FALSE)))</f>
        <v>0</v>
      </c>
    </row>
    <row r="1596" spans="1:18" x14ac:dyDescent="0.25">
      <c r="A1596">
        <f t="shared" si="24"/>
        <v>0</v>
      </c>
      <c r="C1596">
        <f>NOT(hospitalityq!C1596="")*(SUMPRODUCT(--(TRIM(hospitalityq!C6:C1596)=TRIM(hospitalityq!C1596)))&gt;1)</f>
        <v>0</v>
      </c>
      <c r="D1596">
        <f>NOT(hospitalityq!D1596="")*(COUNTIF(reference!$C$17:$C$18,TRIM(hospitalityq!D1596))=0)</f>
        <v>0</v>
      </c>
      <c r="J1596">
        <f>NOT(hospitalityq!J1596="")*(NOT(ISNUMBER(hospitalityq!J1596+0)))</f>
        <v>0</v>
      </c>
      <c r="K1596">
        <f>NOT(hospitalityq!K1596="")*(NOT(ISNUMBER(hospitalityq!K1596+0)))</f>
        <v>0</v>
      </c>
      <c r="P1596">
        <f>NOT(hospitalityq!P1596="")*(NOT(IFERROR(INT(hospitalityq!P1596)=VALUE(hospitalityq!P1596),FALSE)))</f>
        <v>0</v>
      </c>
      <c r="Q1596">
        <f>NOT(hospitalityq!Q1596="")*(NOT(IFERROR(INT(hospitalityq!Q1596)=VALUE(hospitalityq!Q1596),FALSE)))</f>
        <v>0</v>
      </c>
      <c r="R1596">
        <f>NOT(hospitalityq!R1596="")*(NOT(IFERROR(ROUND(VALUE(hospitalityq!R1596),2)=VALUE(hospitalityq!R1596),FALSE)))</f>
        <v>0</v>
      </c>
    </row>
    <row r="1597" spans="1:18" x14ac:dyDescent="0.25">
      <c r="A1597">
        <f t="shared" si="24"/>
        <v>0</v>
      </c>
      <c r="C1597">
        <f>NOT(hospitalityq!C1597="")*(SUMPRODUCT(--(TRIM(hospitalityq!C6:C1597)=TRIM(hospitalityq!C1597)))&gt;1)</f>
        <v>0</v>
      </c>
      <c r="D1597">
        <f>NOT(hospitalityq!D1597="")*(COUNTIF(reference!$C$17:$C$18,TRIM(hospitalityq!D1597))=0)</f>
        <v>0</v>
      </c>
      <c r="J1597">
        <f>NOT(hospitalityq!J1597="")*(NOT(ISNUMBER(hospitalityq!J1597+0)))</f>
        <v>0</v>
      </c>
      <c r="K1597">
        <f>NOT(hospitalityq!K1597="")*(NOT(ISNUMBER(hospitalityq!K1597+0)))</f>
        <v>0</v>
      </c>
      <c r="P1597">
        <f>NOT(hospitalityq!P1597="")*(NOT(IFERROR(INT(hospitalityq!P1597)=VALUE(hospitalityq!P1597),FALSE)))</f>
        <v>0</v>
      </c>
      <c r="Q1597">
        <f>NOT(hospitalityq!Q1597="")*(NOT(IFERROR(INT(hospitalityq!Q1597)=VALUE(hospitalityq!Q1597),FALSE)))</f>
        <v>0</v>
      </c>
      <c r="R1597">
        <f>NOT(hospitalityq!R1597="")*(NOT(IFERROR(ROUND(VALUE(hospitalityq!R1597),2)=VALUE(hospitalityq!R1597),FALSE)))</f>
        <v>0</v>
      </c>
    </row>
    <row r="1598" spans="1:18" x14ac:dyDescent="0.25">
      <c r="A1598">
        <f t="shared" si="24"/>
        <v>0</v>
      </c>
      <c r="C1598">
        <f>NOT(hospitalityq!C1598="")*(SUMPRODUCT(--(TRIM(hospitalityq!C6:C1598)=TRIM(hospitalityq!C1598)))&gt;1)</f>
        <v>0</v>
      </c>
      <c r="D1598">
        <f>NOT(hospitalityq!D1598="")*(COUNTIF(reference!$C$17:$C$18,TRIM(hospitalityq!D1598))=0)</f>
        <v>0</v>
      </c>
      <c r="J1598">
        <f>NOT(hospitalityq!J1598="")*(NOT(ISNUMBER(hospitalityq!J1598+0)))</f>
        <v>0</v>
      </c>
      <c r="K1598">
        <f>NOT(hospitalityq!K1598="")*(NOT(ISNUMBER(hospitalityq!K1598+0)))</f>
        <v>0</v>
      </c>
      <c r="P1598">
        <f>NOT(hospitalityq!P1598="")*(NOT(IFERROR(INT(hospitalityq!P1598)=VALUE(hospitalityq!P1598),FALSE)))</f>
        <v>0</v>
      </c>
      <c r="Q1598">
        <f>NOT(hospitalityq!Q1598="")*(NOT(IFERROR(INT(hospitalityq!Q1598)=VALUE(hospitalityq!Q1598),FALSE)))</f>
        <v>0</v>
      </c>
      <c r="R1598">
        <f>NOT(hospitalityq!R1598="")*(NOT(IFERROR(ROUND(VALUE(hospitalityq!R1598),2)=VALUE(hospitalityq!R1598),FALSE)))</f>
        <v>0</v>
      </c>
    </row>
    <row r="1599" spans="1:18" x14ac:dyDescent="0.25">
      <c r="A1599">
        <f t="shared" si="24"/>
        <v>0</v>
      </c>
      <c r="C1599">
        <f>NOT(hospitalityq!C1599="")*(SUMPRODUCT(--(TRIM(hospitalityq!C6:C1599)=TRIM(hospitalityq!C1599)))&gt;1)</f>
        <v>0</v>
      </c>
      <c r="D1599">
        <f>NOT(hospitalityq!D1599="")*(COUNTIF(reference!$C$17:$C$18,TRIM(hospitalityq!D1599))=0)</f>
        <v>0</v>
      </c>
      <c r="J1599">
        <f>NOT(hospitalityq!J1599="")*(NOT(ISNUMBER(hospitalityq!J1599+0)))</f>
        <v>0</v>
      </c>
      <c r="K1599">
        <f>NOT(hospitalityq!K1599="")*(NOT(ISNUMBER(hospitalityq!K1599+0)))</f>
        <v>0</v>
      </c>
      <c r="P1599">
        <f>NOT(hospitalityq!P1599="")*(NOT(IFERROR(INT(hospitalityq!P1599)=VALUE(hospitalityq!P1599),FALSE)))</f>
        <v>0</v>
      </c>
      <c r="Q1599">
        <f>NOT(hospitalityq!Q1599="")*(NOT(IFERROR(INT(hospitalityq!Q1599)=VALUE(hospitalityq!Q1599),FALSE)))</f>
        <v>0</v>
      </c>
      <c r="R1599">
        <f>NOT(hospitalityq!R1599="")*(NOT(IFERROR(ROUND(VALUE(hospitalityq!R1599),2)=VALUE(hospitalityq!R1599),FALSE)))</f>
        <v>0</v>
      </c>
    </row>
    <row r="1600" spans="1:18" x14ac:dyDescent="0.25">
      <c r="A1600">
        <f t="shared" si="24"/>
        <v>0</v>
      </c>
      <c r="C1600">
        <f>NOT(hospitalityq!C1600="")*(SUMPRODUCT(--(TRIM(hospitalityq!C6:C1600)=TRIM(hospitalityq!C1600)))&gt;1)</f>
        <v>0</v>
      </c>
      <c r="D1600">
        <f>NOT(hospitalityq!D1600="")*(COUNTIF(reference!$C$17:$C$18,TRIM(hospitalityq!D1600))=0)</f>
        <v>0</v>
      </c>
      <c r="J1600">
        <f>NOT(hospitalityq!J1600="")*(NOT(ISNUMBER(hospitalityq!J1600+0)))</f>
        <v>0</v>
      </c>
      <c r="K1600">
        <f>NOT(hospitalityq!K1600="")*(NOT(ISNUMBER(hospitalityq!K1600+0)))</f>
        <v>0</v>
      </c>
      <c r="P1600">
        <f>NOT(hospitalityq!P1600="")*(NOT(IFERROR(INT(hospitalityq!P1600)=VALUE(hospitalityq!P1600),FALSE)))</f>
        <v>0</v>
      </c>
      <c r="Q1600">
        <f>NOT(hospitalityq!Q1600="")*(NOT(IFERROR(INT(hospitalityq!Q1600)=VALUE(hospitalityq!Q1600),FALSE)))</f>
        <v>0</v>
      </c>
      <c r="R1600">
        <f>NOT(hospitalityq!R1600="")*(NOT(IFERROR(ROUND(VALUE(hospitalityq!R1600),2)=VALUE(hospitalityq!R1600),FALSE)))</f>
        <v>0</v>
      </c>
    </row>
    <row r="1601" spans="1:18" x14ac:dyDescent="0.25">
      <c r="A1601">
        <f t="shared" si="24"/>
        <v>0</v>
      </c>
      <c r="C1601">
        <f>NOT(hospitalityq!C1601="")*(SUMPRODUCT(--(TRIM(hospitalityq!C6:C1601)=TRIM(hospitalityq!C1601)))&gt;1)</f>
        <v>0</v>
      </c>
      <c r="D1601">
        <f>NOT(hospitalityq!D1601="")*(COUNTIF(reference!$C$17:$C$18,TRIM(hospitalityq!D1601))=0)</f>
        <v>0</v>
      </c>
      <c r="J1601">
        <f>NOT(hospitalityq!J1601="")*(NOT(ISNUMBER(hospitalityq!J1601+0)))</f>
        <v>0</v>
      </c>
      <c r="K1601">
        <f>NOT(hospitalityq!K1601="")*(NOT(ISNUMBER(hospitalityq!K1601+0)))</f>
        <v>0</v>
      </c>
      <c r="P1601">
        <f>NOT(hospitalityq!P1601="")*(NOT(IFERROR(INT(hospitalityq!P1601)=VALUE(hospitalityq!P1601),FALSE)))</f>
        <v>0</v>
      </c>
      <c r="Q1601">
        <f>NOT(hospitalityq!Q1601="")*(NOT(IFERROR(INT(hospitalityq!Q1601)=VALUE(hospitalityq!Q1601),FALSE)))</f>
        <v>0</v>
      </c>
      <c r="R1601">
        <f>NOT(hospitalityq!R1601="")*(NOT(IFERROR(ROUND(VALUE(hospitalityq!R1601),2)=VALUE(hospitalityq!R1601),FALSE)))</f>
        <v>0</v>
      </c>
    </row>
    <row r="1602" spans="1:18" x14ac:dyDescent="0.25">
      <c r="A1602">
        <f t="shared" si="24"/>
        <v>0</v>
      </c>
      <c r="C1602">
        <f>NOT(hospitalityq!C1602="")*(SUMPRODUCT(--(TRIM(hospitalityq!C6:C1602)=TRIM(hospitalityq!C1602)))&gt;1)</f>
        <v>0</v>
      </c>
      <c r="D1602">
        <f>NOT(hospitalityq!D1602="")*(COUNTIF(reference!$C$17:$C$18,TRIM(hospitalityq!D1602))=0)</f>
        <v>0</v>
      </c>
      <c r="J1602">
        <f>NOT(hospitalityq!J1602="")*(NOT(ISNUMBER(hospitalityq!J1602+0)))</f>
        <v>0</v>
      </c>
      <c r="K1602">
        <f>NOT(hospitalityq!K1602="")*(NOT(ISNUMBER(hospitalityq!K1602+0)))</f>
        <v>0</v>
      </c>
      <c r="P1602">
        <f>NOT(hospitalityq!P1602="")*(NOT(IFERROR(INT(hospitalityq!P1602)=VALUE(hospitalityq!P1602),FALSE)))</f>
        <v>0</v>
      </c>
      <c r="Q1602">
        <f>NOT(hospitalityq!Q1602="")*(NOT(IFERROR(INT(hospitalityq!Q1602)=VALUE(hospitalityq!Q1602),FALSE)))</f>
        <v>0</v>
      </c>
      <c r="R1602">
        <f>NOT(hospitalityq!R1602="")*(NOT(IFERROR(ROUND(VALUE(hospitalityq!R1602),2)=VALUE(hospitalityq!R1602),FALSE)))</f>
        <v>0</v>
      </c>
    </row>
    <row r="1603" spans="1:18" x14ac:dyDescent="0.25">
      <c r="A1603">
        <f t="shared" si="24"/>
        <v>0</v>
      </c>
      <c r="C1603">
        <f>NOT(hospitalityq!C1603="")*(SUMPRODUCT(--(TRIM(hospitalityq!C6:C1603)=TRIM(hospitalityq!C1603)))&gt;1)</f>
        <v>0</v>
      </c>
      <c r="D1603">
        <f>NOT(hospitalityq!D1603="")*(COUNTIF(reference!$C$17:$C$18,TRIM(hospitalityq!D1603))=0)</f>
        <v>0</v>
      </c>
      <c r="J1603">
        <f>NOT(hospitalityq!J1603="")*(NOT(ISNUMBER(hospitalityq!J1603+0)))</f>
        <v>0</v>
      </c>
      <c r="K1603">
        <f>NOT(hospitalityq!K1603="")*(NOT(ISNUMBER(hospitalityq!K1603+0)))</f>
        <v>0</v>
      </c>
      <c r="P1603">
        <f>NOT(hospitalityq!P1603="")*(NOT(IFERROR(INT(hospitalityq!P1603)=VALUE(hospitalityq!P1603),FALSE)))</f>
        <v>0</v>
      </c>
      <c r="Q1603">
        <f>NOT(hospitalityq!Q1603="")*(NOT(IFERROR(INT(hospitalityq!Q1603)=VALUE(hospitalityq!Q1603),FALSE)))</f>
        <v>0</v>
      </c>
      <c r="R1603">
        <f>NOT(hospitalityq!R1603="")*(NOT(IFERROR(ROUND(VALUE(hospitalityq!R1603),2)=VALUE(hospitalityq!R1603),FALSE)))</f>
        <v>0</v>
      </c>
    </row>
    <row r="1604" spans="1:18" x14ac:dyDescent="0.25">
      <c r="A1604">
        <f t="shared" si="24"/>
        <v>0</v>
      </c>
      <c r="C1604">
        <f>NOT(hospitalityq!C1604="")*(SUMPRODUCT(--(TRIM(hospitalityq!C6:C1604)=TRIM(hospitalityq!C1604)))&gt;1)</f>
        <v>0</v>
      </c>
      <c r="D1604">
        <f>NOT(hospitalityq!D1604="")*(COUNTIF(reference!$C$17:$C$18,TRIM(hospitalityq!D1604))=0)</f>
        <v>0</v>
      </c>
      <c r="J1604">
        <f>NOT(hospitalityq!J1604="")*(NOT(ISNUMBER(hospitalityq!J1604+0)))</f>
        <v>0</v>
      </c>
      <c r="K1604">
        <f>NOT(hospitalityq!K1604="")*(NOT(ISNUMBER(hospitalityq!K1604+0)))</f>
        <v>0</v>
      </c>
      <c r="P1604">
        <f>NOT(hospitalityq!P1604="")*(NOT(IFERROR(INT(hospitalityq!P1604)=VALUE(hospitalityq!P1604),FALSE)))</f>
        <v>0</v>
      </c>
      <c r="Q1604">
        <f>NOT(hospitalityq!Q1604="")*(NOT(IFERROR(INT(hospitalityq!Q1604)=VALUE(hospitalityq!Q1604),FALSE)))</f>
        <v>0</v>
      </c>
      <c r="R1604">
        <f>NOT(hospitalityq!R1604="")*(NOT(IFERROR(ROUND(VALUE(hospitalityq!R1604),2)=VALUE(hospitalityq!R1604),FALSE)))</f>
        <v>0</v>
      </c>
    </row>
    <row r="1605" spans="1:18" x14ac:dyDescent="0.25">
      <c r="A1605">
        <f t="shared" si="24"/>
        <v>0</v>
      </c>
      <c r="C1605">
        <f>NOT(hospitalityq!C1605="")*(SUMPRODUCT(--(TRIM(hospitalityq!C6:C1605)=TRIM(hospitalityq!C1605)))&gt;1)</f>
        <v>0</v>
      </c>
      <c r="D1605">
        <f>NOT(hospitalityq!D1605="")*(COUNTIF(reference!$C$17:$C$18,TRIM(hospitalityq!D1605))=0)</f>
        <v>0</v>
      </c>
      <c r="J1605">
        <f>NOT(hospitalityq!J1605="")*(NOT(ISNUMBER(hospitalityq!J1605+0)))</f>
        <v>0</v>
      </c>
      <c r="K1605">
        <f>NOT(hospitalityq!K1605="")*(NOT(ISNUMBER(hospitalityq!K1605+0)))</f>
        <v>0</v>
      </c>
      <c r="P1605">
        <f>NOT(hospitalityq!P1605="")*(NOT(IFERROR(INT(hospitalityq!P1605)=VALUE(hospitalityq!P1605),FALSE)))</f>
        <v>0</v>
      </c>
      <c r="Q1605">
        <f>NOT(hospitalityq!Q1605="")*(NOT(IFERROR(INT(hospitalityq!Q1605)=VALUE(hospitalityq!Q1605),FALSE)))</f>
        <v>0</v>
      </c>
      <c r="R1605">
        <f>NOT(hospitalityq!R1605="")*(NOT(IFERROR(ROUND(VALUE(hospitalityq!R1605),2)=VALUE(hospitalityq!R1605),FALSE)))</f>
        <v>0</v>
      </c>
    </row>
    <row r="1606" spans="1:18" x14ac:dyDescent="0.25">
      <c r="A1606">
        <f t="shared" ref="A1606:A1669" si="25">IFERROR(MATCH(TRUE,INDEX(C1606:R1606&lt;&gt;0,),)+2,0)</f>
        <v>0</v>
      </c>
      <c r="C1606">
        <f>NOT(hospitalityq!C1606="")*(SUMPRODUCT(--(TRIM(hospitalityq!C6:C1606)=TRIM(hospitalityq!C1606)))&gt;1)</f>
        <v>0</v>
      </c>
      <c r="D1606">
        <f>NOT(hospitalityq!D1606="")*(COUNTIF(reference!$C$17:$C$18,TRIM(hospitalityq!D1606))=0)</f>
        <v>0</v>
      </c>
      <c r="J1606">
        <f>NOT(hospitalityq!J1606="")*(NOT(ISNUMBER(hospitalityq!J1606+0)))</f>
        <v>0</v>
      </c>
      <c r="K1606">
        <f>NOT(hospitalityq!K1606="")*(NOT(ISNUMBER(hospitalityq!K1606+0)))</f>
        <v>0</v>
      </c>
      <c r="P1606">
        <f>NOT(hospitalityq!P1606="")*(NOT(IFERROR(INT(hospitalityq!P1606)=VALUE(hospitalityq!P1606),FALSE)))</f>
        <v>0</v>
      </c>
      <c r="Q1606">
        <f>NOT(hospitalityq!Q1606="")*(NOT(IFERROR(INT(hospitalityq!Q1606)=VALUE(hospitalityq!Q1606),FALSE)))</f>
        <v>0</v>
      </c>
      <c r="R1606">
        <f>NOT(hospitalityq!R1606="")*(NOT(IFERROR(ROUND(VALUE(hospitalityq!R1606),2)=VALUE(hospitalityq!R1606),FALSE)))</f>
        <v>0</v>
      </c>
    </row>
    <row r="1607" spans="1:18" x14ac:dyDescent="0.25">
      <c r="A1607">
        <f t="shared" si="25"/>
        <v>0</v>
      </c>
      <c r="C1607">
        <f>NOT(hospitalityq!C1607="")*(SUMPRODUCT(--(TRIM(hospitalityq!C6:C1607)=TRIM(hospitalityq!C1607)))&gt;1)</f>
        <v>0</v>
      </c>
      <c r="D1607">
        <f>NOT(hospitalityq!D1607="")*(COUNTIF(reference!$C$17:$C$18,TRIM(hospitalityq!D1607))=0)</f>
        <v>0</v>
      </c>
      <c r="J1607">
        <f>NOT(hospitalityq!J1607="")*(NOT(ISNUMBER(hospitalityq!J1607+0)))</f>
        <v>0</v>
      </c>
      <c r="K1607">
        <f>NOT(hospitalityq!K1607="")*(NOT(ISNUMBER(hospitalityq!K1607+0)))</f>
        <v>0</v>
      </c>
      <c r="P1607">
        <f>NOT(hospitalityq!P1607="")*(NOT(IFERROR(INT(hospitalityq!P1607)=VALUE(hospitalityq!P1607),FALSE)))</f>
        <v>0</v>
      </c>
      <c r="Q1607">
        <f>NOT(hospitalityq!Q1607="")*(NOT(IFERROR(INT(hospitalityq!Q1607)=VALUE(hospitalityq!Q1607),FALSE)))</f>
        <v>0</v>
      </c>
      <c r="R1607">
        <f>NOT(hospitalityq!R1607="")*(NOT(IFERROR(ROUND(VALUE(hospitalityq!R1607),2)=VALUE(hospitalityq!R1607),FALSE)))</f>
        <v>0</v>
      </c>
    </row>
    <row r="1608" spans="1:18" x14ac:dyDescent="0.25">
      <c r="A1608">
        <f t="shared" si="25"/>
        <v>0</v>
      </c>
      <c r="C1608">
        <f>NOT(hospitalityq!C1608="")*(SUMPRODUCT(--(TRIM(hospitalityq!C6:C1608)=TRIM(hospitalityq!C1608)))&gt;1)</f>
        <v>0</v>
      </c>
      <c r="D1608">
        <f>NOT(hospitalityq!D1608="")*(COUNTIF(reference!$C$17:$C$18,TRIM(hospitalityq!D1608))=0)</f>
        <v>0</v>
      </c>
      <c r="J1608">
        <f>NOT(hospitalityq!J1608="")*(NOT(ISNUMBER(hospitalityq!J1608+0)))</f>
        <v>0</v>
      </c>
      <c r="K1608">
        <f>NOT(hospitalityq!K1608="")*(NOT(ISNUMBER(hospitalityq!K1608+0)))</f>
        <v>0</v>
      </c>
      <c r="P1608">
        <f>NOT(hospitalityq!P1608="")*(NOT(IFERROR(INT(hospitalityq!P1608)=VALUE(hospitalityq!P1608),FALSE)))</f>
        <v>0</v>
      </c>
      <c r="Q1608">
        <f>NOT(hospitalityq!Q1608="")*(NOT(IFERROR(INT(hospitalityq!Q1608)=VALUE(hospitalityq!Q1608),FALSE)))</f>
        <v>0</v>
      </c>
      <c r="R1608">
        <f>NOT(hospitalityq!R1608="")*(NOT(IFERROR(ROUND(VALUE(hospitalityq!R1608),2)=VALUE(hospitalityq!R1608),FALSE)))</f>
        <v>0</v>
      </c>
    </row>
    <row r="1609" spans="1:18" x14ac:dyDescent="0.25">
      <c r="A1609">
        <f t="shared" si="25"/>
        <v>0</v>
      </c>
      <c r="C1609">
        <f>NOT(hospitalityq!C1609="")*(SUMPRODUCT(--(TRIM(hospitalityq!C6:C1609)=TRIM(hospitalityq!C1609)))&gt;1)</f>
        <v>0</v>
      </c>
      <c r="D1609">
        <f>NOT(hospitalityq!D1609="")*(COUNTIF(reference!$C$17:$C$18,TRIM(hospitalityq!D1609))=0)</f>
        <v>0</v>
      </c>
      <c r="J1609">
        <f>NOT(hospitalityq!J1609="")*(NOT(ISNUMBER(hospitalityq!J1609+0)))</f>
        <v>0</v>
      </c>
      <c r="K1609">
        <f>NOT(hospitalityq!K1609="")*(NOT(ISNUMBER(hospitalityq!K1609+0)))</f>
        <v>0</v>
      </c>
      <c r="P1609">
        <f>NOT(hospitalityq!P1609="")*(NOT(IFERROR(INT(hospitalityq!P1609)=VALUE(hospitalityq!P1609),FALSE)))</f>
        <v>0</v>
      </c>
      <c r="Q1609">
        <f>NOT(hospitalityq!Q1609="")*(NOT(IFERROR(INT(hospitalityq!Q1609)=VALUE(hospitalityq!Q1609),FALSE)))</f>
        <v>0</v>
      </c>
      <c r="R1609">
        <f>NOT(hospitalityq!R1609="")*(NOT(IFERROR(ROUND(VALUE(hospitalityq!R1609),2)=VALUE(hospitalityq!R1609),FALSE)))</f>
        <v>0</v>
      </c>
    </row>
    <row r="1610" spans="1:18" x14ac:dyDescent="0.25">
      <c r="A1610">
        <f t="shared" si="25"/>
        <v>0</v>
      </c>
      <c r="C1610">
        <f>NOT(hospitalityq!C1610="")*(SUMPRODUCT(--(TRIM(hospitalityq!C6:C1610)=TRIM(hospitalityq!C1610)))&gt;1)</f>
        <v>0</v>
      </c>
      <c r="D1610">
        <f>NOT(hospitalityq!D1610="")*(COUNTIF(reference!$C$17:$C$18,TRIM(hospitalityq!D1610))=0)</f>
        <v>0</v>
      </c>
      <c r="J1610">
        <f>NOT(hospitalityq!J1610="")*(NOT(ISNUMBER(hospitalityq!J1610+0)))</f>
        <v>0</v>
      </c>
      <c r="K1610">
        <f>NOT(hospitalityq!K1610="")*(NOT(ISNUMBER(hospitalityq!K1610+0)))</f>
        <v>0</v>
      </c>
      <c r="P1610">
        <f>NOT(hospitalityq!P1610="")*(NOT(IFERROR(INT(hospitalityq!P1610)=VALUE(hospitalityq!P1610),FALSE)))</f>
        <v>0</v>
      </c>
      <c r="Q1610">
        <f>NOT(hospitalityq!Q1610="")*(NOT(IFERROR(INT(hospitalityq!Q1610)=VALUE(hospitalityq!Q1610),FALSE)))</f>
        <v>0</v>
      </c>
      <c r="R1610">
        <f>NOT(hospitalityq!R1610="")*(NOT(IFERROR(ROUND(VALUE(hospitalityq!R1610),2)=VALUE(hospitalityq!R1610),FALSE)))</f>
        <v>0</v>
      </c>
    </row>
    <row r="1611" spans="1:18" x14ac:dyDescent="0.25">
      <c r="A1611">
        <f t="shared" si="25"/>
        <v>0</v>
      </c>
      <c r="C1611">
        <f>NOT(hospitalityq!C1611="")*(SUMPRODUCT(--(TRIM(hospitalityq!C6:C1611)=TRIM(hospitalityq!C1611)))&gt;1)</f>
        <v>0</v>
      </c>
      <c r="D1611">
        <f>NOT(hospitalityq!D1611="")*(COUNTIF(reference!$C$17:$C$18,TRIM(hospitalityq!D1611))=0)</f>
        <v>0</v>
      </c>
      <c r="J1611">
        <f>NOT(hospitalityq!J1611="")*(NOT(ISNUMBER(hospitalityq!J1611+0)))</f>
        <v>0</v>
      </c>
      <c r="K1611">
        <f>NOT(hospitalityq!K1611="")*(NOT(ISNUMBER(hospitalityq!K1611+0)))</f>
        <v>0</v>
      </c>
      <c r="P1611">
        <f>NOT(hospitalityq!P1611="")*(NOT(IFERROR(INT(hospitalityq!P1611)=VALUE(hospitalityq!P1611),FALSE)))</f>
        <v>0</v>
      </c>
      <c r="Q1611">
        <f>NOT(hospitalityq!Q1611="")*(NOT(IFERROR(INT(hospitalityq!Q1611)=VALUE(hospitalityq!Q1611),FALSE)))</f>
        <v>0</v>
      </c>
      <c r="R1611">
        <f>NOT(hospitalityq!R1611="")*(NOT(IFERROR(ROUND(VALUE(hospitalityq!R1611),2)=VALUE(hospitalityq!R1611),FALSE)))</f>
        <v>0</v>
      </c>
    </row>
    <row r="1612" spans="1:18" x14ac:dyDescent="0.25">
      <c r="A1612">
        <f t="shared" si="25"/>
        <v>0</v>
      </c>
      <c r="C1612">
        <f>NOT(hospitalityq!C1612="")*(SUMPRODUCT(--(TRIM(hospitalityq!C6:C1612)=TRIM(hospitalityq!C1612)))&gt;1)</f>
        <v>0</v>
      </c>
      <c r="D1612">
        <f>NOT(hospitalityq!D1612="")*(COUNTIF(reference!$C$17:$C$18,TRIM(hospitalityq!D1612))=0)</f>
        <v>0</v>
      </c>
      <c r="J1612">
        <f>NOT(hospitalityq!J1612="")*(NOT(ISNUMBER(hospitalityq!J1612+0)))</f>
        <v>0</v>
      </c>
      <c r="K1612">
        <f>NOT(hospitalityq!K1612="")*(NOT(ISNUMBER(hospitalityq!K1612+0)))</f>
        <v>0</v>
      </c>
      <c r="P1612">
        <f>NOT(hospitalityq!P1612="")*(NOT(IFERROR(INT(hospitalityq!P1612)=VALUE(hospitalityq!P1612),FALSE)))</f>
        <v>0</v>
      </c>
      <c r="Q1612">
        <f>NOT(hospitalityq!Q1612="")*(NOT(IFERROR(INT(hospitalityq!Q1612)=VALUE(hospitalityq!Q1612),FALSE)))</f>
        <v>0</v>
      </c>
      <c r="R1612">
        <f>NOT(hospitalityq!R1612="")*(NOT(IFERROR(ROUND(VALUE(hospitalityq!R1612),2)=VALUE(hospitalityq!R1612),FALSE)))</f>
        <v>0</v>
      </c>
    </row>
    <row r="1613" spans="1:18" x14ac:dyDescent="0.25">
      <c r="A1613">
        <f t="shared" si="25"/>
        <v>0</v>
      </c>
      <c r="C1613">
        <f>NOT(hospitalityq!C1613="")*(SUMPRODUCT(--(TRIM(hospitalityq!C6:C1613)=TRIM(hospitalityq!C1613)))&gt;1)</f>
        <v>0</v>
      </c>
      <c r="D1613">
        <f>NOT(hospitalityq!D1613="")*(COUNTIF(reference!$C$17:$C$18,TRIM(hospitalityq!D1613))=0)</f>
        <v>0</v>
      </c>
      <c r="J1613">
        <f>NOT(hospitalityq!J1613="")*(NOT(ISNUMBER(hospitalityq!J1613+0)))</f>
        <v>0</v>
      </c>
      <c r="K1613">
        <f>NOT(hospitalityq!K1613="")*(NOT(ISNUMBER(hospitalityq!K1613+0)))</f>
        <v>0</v>
      </c>
      <c r="P1613">
        <f>NOT(hospitalityq!P1613="")*(NOT(IFERROR(INT(hospitalityq!P1613)=VALUE(hospitalityq!P1613),FALSE)))</f>
        <v>0</v>
      </c>
      <c r="Q1613">
        <f>NOT(hospitalityq!Q1613="")*(NOT(IFERROR(INT(hospitalityq!Q1613)=VALUE(hospitalityq!Q1613),FALSE)))</f>
        <v>0</v>
      </c>
      <c r="R1613">
        <f>NOT(hospitalityq!R1613="")*(NOT(IFERROR(ROUND(VALUE(hospitalityq!R1613),2)=VALUE(hospitalityq!R1613),FALSE)))</f>
        <v>0</v>
      </c>
    </row>
    <row r="1614" spans="1:18" x14ac:dyDescent="0.25">
      <c r="A1614">
        <f t="shared" si="25"/>
        <v>0</v>
      </c>
      <c r="C1614">
        <f>NOT(hospitalityq!C1614="")*(SUMPRODUCT(--(TRIM(hospitalityq!C6:C1614)=TRIM(hospitalityq!C1614)))&gt;1)</f>
        <v>0</v>
      </c>
      <c r="D1614">
        <f>NOT(hospitalityq!D1614="")*(COUNTIF(reference!$C$17:$C$18,TRIM(hospitalityq!D1614))=0)</f>
        <v>0</v>
      </c>
      <c r="J1614">
        <f>NOT(hospitalityq!J1614="")*(NOT(ISNUMBER(hospitalityq!J1614+0)))</f>
        <v>0</v>
      </c>
      <c r="K1614">
        <f>NOT(hospitalityq!K1614="")*(NOT(ISNUMBER(hospitalityq!K1614+0)))</f>
        <v>0</v>
      </c>
      <c r="P1614">
        <f>NOT(hospitalityq!P1614="")*(NOT(IFERROR(INT(hospitalityq!P1614)=VALUE(hospitalityq!P1614),FALSE)))</f>
        <v>0</v>
      </c>
      <c r="Q1614">
        <f>NOT(hospitalityq!Q1614="")*(NOT(IFERROR(INT(hospitalityq!Q1614)=VALUE(hospitalityq!Q1614),FALSE)))</f>
        <v>0</v>
      </c>
      <c r="R1614">
        <f>NOT(hospitalityq!R1614="")*(NOT(IFERROR(ROUND(VALUE(hospitalityq!R1614),2)=VALUE(hospitalityq!R1614),FALSE)))</f>
        <v>0</v>
      </c>
    </row>
    <row r="1615" spans="1:18" x14ac:dyDescent="0.25">
      <c r="A1615">
        <f t="shared" si="25"/>
        <v>0</v>
      </c>
      <c r="C1615">
        <f>NOT(hospitalityq!C1615="")*(SUMPRODUCT(--(TRIM(hospitalityq!C6:C1615)=TRIM(hospitalityq!C1615)))&gt;1)</f>
        <v>0</v>
      </c>
      <c r="D1615">
        <f>NOT(hospitalityq!D1615="")*(COUNTIF(reference!$C$17:$C$18,TRIM(hospitalityq!D1615))=0)</f>
        <v>0</v>
      </c>
      <c r="J1615">
        <f>NOT(hospitalityq!J1615="")*(NOT(ISNUMBER(hospitalityq!J1615+0)))</f>
        <v>0</v>
      </c>
      <c r="K1615">
        <f>NOT(hospitalityq!K1615="")*(NOT(ISNUMBER(hospitalityq!K1615+0)))</f>
        <v>0</v>
      </c>
      <c r="P1615">
        <f>NOT(hospitalityq!P1615="")*(NOT(IFERROR(INT(hospitalityq!P1615)=VALUE(hospitalityq!P1615),FALSE)))</f>
        <v>0</v>
      </c>
      <c r="Q1615">
        <f>NOT(hospitalityq!Q1615="")*(NOT(IFERROR(INT(hospitalityq!Q1615)=VALUE(hospitalityq!Q1615),FALSE)))</f>
        <v>0</v>
      </c>
      <c r="R1615">
        <f>NOT(hospitalityq!R1615="")*(NOT(IFERROR(ROUND(VALUE(hospitalityq!R1615),2)=VALUE(hospitalityq!R1615),FALSE)))</f>
        <v>0</v>
      </c>
    </row>
    <row r="1616" spans="1:18" x14ac:dyDescent="0.25">
      <c r="A1616">
        <f t="shared" si="25"/>
        <v>0</v>
      </c>
      <c r="C1616">
        <f>NOT(hospitalityq!C1616="")*(SUMPRODUCT(--(TRIM(hospitalityq!C6:C1616)=TRIM(hospitalityq!C1616)))&gt;1)</f>
        <v>0</v>
      </c>
      <c r="D1616">
        <f>NOT(hospitalityq!D1616="")*(COUNTIF(reference!$C$17:$C$18,TRIM(hospitalityq!D1616))=0)</f>
        <v>0</v>
      </c>
      <c r="J1616">
        <f>NOT(hospitalityq!J1616="")*(NOT(ISNUMBER(hospitalityq!J1616+0)))</f>
        <v>0</v>
      </c>
      <c r="K1616">
        <f>NOT(hospitalityq!K1616="")*(NOT(ISNUMBER(hospitalityq!K1616+0)))</f>
        <v>0</v>
      </c>
      <c r="P1616">
        <f>NOT(hospitalityq!P1616="")*(NOT(IFERROR(INT(hospitalityq!P1616)=VALUE(hospitalityq!P1616),FALSE)))</f>
        <v>0</v>
      </c>
      <c r="Q1616">
        <f>NOT(hospitalityq!Q1616="")*(NOT(IFERROR(INT(hospitalityq!Q1616)=VALUE(hospitalityq!Q1616),FALSE)))</f>
        <v>0</v>
      </c>
      <c r="R1616">
        <f>NOT(hospitalityq!R1616="")*(NOT(IFERROR(ROUND(VALUE(hospitalityq!R1616),2)=VALUE(hospitalityq!R1616),FALSE)))</f>
        <v>0</v>
      </c>
    </row>
    <row r="1617" spans="1:18" x14ac:dyDescent="0.25">
      <c r="A1617">
        <f t="shared" si="25"/>
        <v>0</v>
      </c>
      <c r="C1617">
        <f>NOT(hospitalityq!C1617="")*(SUMPRODUCT(--(TRIM(hospitalityq!C6:C1617)=TRIM(hospitalityq!C1617)))&gt;1)</f>
        <v>0</v>
      </c>
      <c r="D1617">
        <f>NOT(hospitalityq!D1617="")*(COUNTIF(reference!$C$17:$C$18,TRIM(hospitalityq!D1617))=0)</f>
        <v>0</v>
      </c>
      <c r="J1617">
        <f>NOT(hospitalityq!J1617="")*(NOT(ISNUMBER(hospitalityq!J1617+0)))</f>
        <v>0</v>
      </c>
      <c r="K1617">
        <f>NOT(hospitalityq!K1617="")*(NOT(ISNUMBER(hospitalityq!K1617+0)))</f>
        <v>0</v>
      </c>
      <c r="P1617">
        <f>NOT(hospitalityq!P1617="")*(NOT(IFERROR(INT(hospitalityq!P1617)=VALUE(hospitalityq!P1617),FALSE)))</f>
        <v>0</v>
      </c>
      <c r="Q1617">
        <f>NOT(hospitalityq!Q1617="")*(NOT(IFERROR(INT(hospitalityq!Q1617)=VALUE(hospitalityq!Q1617),FALSE)))</f>
        <v>0</v>
      </c>
      <c r="R1617">
        <f>NOT(hospitalityq!R1617="")*(NOT(IFERROR(ROUND(VALUE(hospitalityq!R1617),2)=VALUE(hospitalityq!R1617),FALSE)))</f>
        <v>0</v>
      </c>
    </row>
    <row r="1618" spans="1:18" x14ac:dyDescent="0.25">
      <c r="A1618">
        <f t="shared" si="25"/>
        <v>0</v>
      </c>
      <c r="C1618">
        <f>NOT(hospitalityq!C1618="")*(SUMPRODUCT(--(TRIM(hospitalityq!C6:C1618)=TRIM(hospitalityq!C1618)))&gt;1)</f>
        <v>0</v>
      </c>
      <c r="D1618">
        <f>NOT(hospitalityq!D1618="")*(COUNTIF(reference!$C$17:$C$18,TRIM(hospitalityq!D1618))=0)</f>
        <v>0</v>
      </c>
      <c r="J1618">
        <f>NOT(hospitalityq!J1618="")*(NOT(ISNUMBER(hospitalityq!J1618+0)))</f>
        <v>0</v>
      </c>
      <c r="K1618">
        <f>NOT(hospitalityq!K1618="")*(NOT(ISNUMBER(hospitalityq!K1618+0)))</f>
        <v>0</v>
      </c>
      <c r="P1618">
        <f>NOT(hospitalityq!P1618="")*(NOT(IFERROR(INT(hospitalityq!P1618)=VALUE(hospitalityq!P1618),FALSE)))</f>
        <v>0</v>
      </c>
      <c r="Q1618">
        <f>NOT(hospitalityq!Q1618="")*(NOT(IFERROR(INT(hospitalityq!Q1618)=VALUE(hospitalityq!Q1618),FALSE)))</f>
        <v>0</v>
      </c>
      <c r="R1618">
        <f>NOT(hospitalityq!R1618="")*(NOT(IFERROR(ROUND(VALUE(hospitalityq!R1618),2)=VALUE(hospitalityq!R1618),FALSE)))</f>
        <v>0</v>
      </c>
    </row>
    <row r="1619" spans="1:18" x14ac:dyDescent="0.25">
      <c r="A1619">
        <f t="shared" si="25"/>
        <v>0</v>
      </c>
      <c r="C1619">
        <f>NOT(hospitalityq!C1619="")*(SUMPRODUCT(--(TRIM(hospitalityq!C6:C1619)=TRIM(hospitalityq!C1619)))&gt;1)</f>
        <v>0</v>
      </c>
      <c r="D1619">
        <f>NOT(hospitalityq!D1619="")*(COUNTIF(reference!$C$17:$C$18,TRIM(hospitalityq!D1619))=0)</f>
        <v>0</v>
      </c>
      <c r="J1619">
        <f>NOT(hospitalityq!J1619="")*(NOT(ISNUMBER(hospitalityq!J1619+0)))</f>
        <v>0</v>
      </c>
      <c r="K1619">
        <f>NOT(hospitalityq!K1619="")*(NOT(ISNUMBER(hospitalityq!K1619+0)))</f>
        <v>0</v>
      </c>
      <c r="P1619">
        <f>NOT(hospitalityq!P1619="")*(NOT(IFERROR(INT(hospitalityq!P1619)=VALUE(hospitalityq!P1619),FALSE)))</f>
        <v>0</v>
      </c>
      <c r="Q1619">
        <f>NOT(hospitalityq!Q1619="")*(NOT(IFERROR(INT(hospitalityq!Q1619)=VALUE(hospitalityq!Q1619),FALSE)))</f>
        <v>0</v>
      </c>
      <c r="R1619">
        <f>NOT(hospitalityq!R1619="")*(NOT(IFERROR(ROUND(VALUE(hospitalityq!R1619),2)=VALUE(hospitalityq!R1619),FALSE)))</f>
        <v>0</v>
      </c>
    </row>
    <row r="1620" spans="1:18" x14ac:dyDescent="0.25">
      <c r="A1620">
        <f t="shared" si="25"/>
        <v>0</v>
      </c>
      <c r="C1620">
        <f>NOT(hospitalityq!C1620="")*(SUMPRODUCT(--(TRIM(hospitalityq!C6:C1620)=TRIM(hospitalityq!C1620)))&gt;1)</f>
        <v>0</v>
      </c>
      <c r="D1620">
        <f>NOT(hospitalityq!D1620="")*(COUNTIF(reference!$C$17:$C$18,TRIM(hospitalityq!D1620))=0)</f>
        <v>0</v>
      </c>
      <c r="J1620">
        <f>NOT(hospitalityq!J1620="")*(NOT(ISNUMBER(hospitalityq!J1620+0)))</f>
        <v>0</v>
      </c>
      <c r="K1620">
        <f>NOT(hospitalityq!K1620="")*(NOT(ISNUMBER(hospitalityq!K1620+0)))</f>
        <v>0</v>
      </c>
      <c r="P1620">
        <f>NOT(hospitalityq!P1620="")*(NOT(IFERROR(INT(hospitalityq!P1620)=VALUE(hospitalityq!P1620),FALSE)))</f>
        <v>0</v>
      </c>
      <c r="Q1620">
        <f>NOT(hospitalityq!Q1620="")*(NOT(IFERROR(INT(hospitalityq!Q1620)=VALUE(hospitalityq!Q1620),FALSE)))</f>
        <v>0</v>
      </c>
      <c r="R1620">
        <f>NOT(hospitalityq!R1620="")*(NOT(IFERROR(ROUND(VALUE(hospitalityq!R1620),2)=VALUE(hospitalityq!R1620),FALSE)))</f>
        <v>0</v>
      </c>
    </row>
    <row r="1621" spans="1:18" x14ac:dyDescent="0.25">
      <c r="A1621">
        <f t="shared" si="25"/>
        <v>0</v>
      </c>
      <c r="C1621">
        <f>NOT(hospitalityq!C1621="")*(SUMPRODUCT(--(TRIM(hospitalityq!C6:C1621)=TRIM(hospitalityq!C1621)))&gt;1)</f>
        <v>0</v>
      </c>
      <c r="D1621">
        <f>NOT(hospitalityq!D1621="")*(COUNTIF(reference!$C$17:$C$18,TRIM(hospitalityq!D1621))=0)</f>
        <v>0</v>
      </c>
      <c r="J1621">
        <f>NOT(hospitalityq!J1621="")*(NOT(ISNUMBER(hospitalityq!J1621+0)))</f>
        <v>0</v>
      </c>
      <c r="K1621">
        <f>NOT(hospitalityq!K1621="")*(NOT(ISNUMBER(hospitalityq!K1621+0)))</f>
        <v>0</v>
      </c>
      <c r="P1621">
        <f>NOT(hospitalityq!P1621="")*(NOT(IFERROR(INT(hospitalityq!P1621)=VALUE(hospitalityq!P1621),FALSE)))</f>
        <v>0</v>
      </c>
      <c r="Q1621">
        <f>NOT(hospitalityq!Q1621="")*(NOT(IFERROR(INT(hospitalityq!Q1621)=VALUE(hospitalityq!Q1621),FALSE)))</f>
        <v>0</v>
      </c>
      <c r="R1621">
        <f>NOT(hospitalityq!R1621="")*(NOT(IFERROR(ROUND(VALUE(hospitalityq!R1621),2)=VALUE(hospitalityq!R1621),FALSE)))</f>
        <v>0</v>
      </c>
    </row>
    <row r="1622" spans="1:18" x14ac:dyDescent="0.25">
      <c r="A1622">
        <f t="shared" si="25"/>
        <v>0</v>
      </c>
      <c r="C1622">
        <f>NOT(hospitalityq!C1622="")*(SUMPRODUCT(--(TRIM(hospitalityq!C6:C1622)=TRIM(hospitalityq!C1622)))&gt;1)</f>
        <v>0</v>
      </c>
      <c r="D1622">
        <f>NOT(hospitalityq!D1622="")*(COUNTIF(reference!$C$17:$C$18,TRIM(hospitalityq!D1622))=0)</f>
        <v>0</v>
      </c>
      <c r="J1622">
        <f>NOT(hospitalityq!J1622="")*(NOT(ISNUMBER(hospitalityq!J1622+0)))</f>
        <v>0</v>
      </c>
      <c r="K1622">
        <f>NOT(hospitalityq!K1622="")*(NOT(ISNUMBER(hospitalityq!K1622+0)))</f>
        <v>0</v>
      </c>
      <c r="P1622">
        <f>NOT(hospitalityq!P1622="")*(NOT(IFERROR(INT(hospitalityq!P1622)=VALUE(hospitalityq!P1622),FALSE)))</f>
        <v>0</v>
      </c>
      <c r="Q1622">
        <f>NOT(hospitalityq!Q1622="")*(NOT(IFERROR(INT(hospitalityq!Q1622)=VALUE(hospitalityq!Q1622),FALSE)))</f>
        <v>0</v>
      </c>
      <c r="R1622">
        <f>NOT(hospitalityq!R1622="")*(NOT(IFERROR(ROUND(VALUE(hospitalityq!R1622),2)=VALUE(hospitalityq!R1622),FALSE)))</f>
        <v>0</v>
      </c>
    </row>
    <row r="1623" spans="1:18" x14ac:dyDescent="0.25">
      <c r="A1623">
        <f t="shared" si="25"/>
        <v>0</v>
      </c>
      <c r="C1623">
        <f>NOT(hospitalityq!C1623="")*(SUMPRODUCT(--(TRIM(hospitalityq!C6:C1623)=TRIM(hospitalityq!C1623)))&gt;1)</f>
        <v>0</v>
      </c>
      <c r="D1623">
        <f>NOT(hospitalityq!D1623="")*(COUNTIF(reference!$C$17:$C$18,TRIM(hospitalityq!D1623))=0)</f>
        <v>0</v>
      </c>
      <c r="J1623">
        <f>NOT(hospitalityq!J1623="")*(NOT(ISNUMBER(hospitalityq!J1623+0)))</f>
        <v>0</v>
      </c>
      <c r="K1623">
        <f>NOT(hospitalityq!K1623="")*(NOT(ISNUMBER(hospitalityq!K1623+0)))</f>
        <v>0</v>
      </c>
      <c r="P1623">
        <f>NOT(hospitalityq!P1623="")*(NOT(IFERROR(INT(hospitalityq!P1623)=VALUE(hospitalityq!P1623),FALSE)))</f>
        <v>0</v>
      </c>
      <c r="Q1623">
        <f>NOT(hospitalityq!Q1623="")*(NOT(IFERROR(INT(hospitalityq!Q1623)=VALUE(hospitalityq!Q1623),FALSE)))</f>
        <v>0</v>
      </c>
      <c r="R1623">
        <f>NOT(hospitalityq!R1623="")*(NOT(IFERROR(ROUND(VALUE(hospitalityq!R1623),2)=VALUE(hospitalityq!R1623),FALSE)))</f>
        <v>0</v>
      </c>
    </row>
    <row r="1624" spans="1:18" x14ac:dyDescent="0.25">
      <c r="A1624">
        <f t="shared" si="25"/>
        <v>0</v>
      </c>
      <c r="C1624">
        <f>NOT(hospitalityq!C1624="")*(SUMPRODUCT(--(TRIM(hospitalityq!C6:C1624)=TRIM(hospitalityq!C1624)))&gt;1)</f>
        <v>0</v>
      </c>
      <c r="D1624">
        <f>NOT(hospitalityq!D1624="")*(COUNTIF(reference!$C$17:$C$18,TRIM(hospitalityq!D1624))=0)</f>
        <v>0</v>
      </c>
      <c r="J1624">
        <f>NOT(hospitalityq!J1624="")*(NOT(ISNUMBER(hospitalityq!J1624+0)))</f>
        <v>0</v>
      </c>
      <c r="K1624">
        <f>NOT(hospitalityq!K1624="")*(NOT(ISNUMBER(hospitalityq!K1624+0)))</f>
        <v>0</v>
      </c>
      <c r="P1624">
        <f>NOT(hospitalityq!P1624="")*(NOT(IFERROR(INT(hospitalityq!P1624)=VALUE(hospitalityq!P1624),FALSE)))</f>
        <v>0</v>
      </c>
      <c r="Q1624">
        <f>NOT(hospitalityq!Q1624="")*(NOT(IFERROR(INT(hospitalityq!Q1624)=VALUE(hospitalityq!Q1624),FALSE)))</f>
        <v>0</v>
      </c>
      <c r="R1624">
        <f>NOT(hospitalityq!R1624="")*(NOT(IFERROR(ROUND(VALUE(hospitalityq!R1624),2)=VALUE(hospitalityq!R1624),FALSE)))</f>
        <v>0</v>
      </c>
    </row>
    <row r="1625" spans="1:18" x14ac:dyDescent="0.25">
      <c r="A1625">
        <f t="shared" si="25"/>
        <v>0</v>
      </c>
      <c r="C1625">
        <f>NOT(hospitalityq!C1625="")*(SUMPRODUCT(--(TRIM(hospitalityq!C6:C1625)=TRIM(hospitalityq!C1625)))&gt;1)</f>
        <v>0</v>
      </c>
      <c r="D1625">
        <f>NOT(hospitalityq!D1625="")*(COUNTIF(reference!$C$17:$C$18,TRIM(hospitalityq!D1625))=0)</f>
        <v>0</v>
      </c>
      <c r="J1625">
        <f>NOT(hospitalityq!J1625="")*(NOT(ISNUMBER(hospitalityq!J1625+0)))</f>
        <v>0</v>
      </c>
      <c r="K1625">
        <f>NOT(hospitalityq!K1625="")*(NOT(ISNUMBER(hospitalityq!K1625+0)))</f>
        <v>0</v>
      </c>
      <c r="P1625">
        <f>NOT(hospitalityq!P1625="")*(NOT(IFERROR(INT(hospitalityq!P1625)=VALUE(hospitalityq!P1625),FALSE)))</f>
        <v>0</v>
      </c>
      <c r="Q1625">
        <f>NOT(hospitalityq!Q1625="")*(NOT(IFERROR(INT(hospitalityq!Q1625)=VALUE(hospitalityq!Q1625),FALSE)))</f>
        <v>0</v>
      </c>
      <c r="R1625">
        <f>NOT(hospitalityq!R1625="")*(NOT(IFERROR(ROUND(VALUE(hospitalityq!R1625),2)=VALUE(hospitalityq!R1625),FALSE)))</f>
        <v>0</v>
      </c>
    </row>
    <row r="1626" spans="1:18" x14ac:dyDescent="0.25">
      <c r="A1626">
        <f t="shared" si="25"/>
        <v>0</v>
      </c>
      <c r="C1626">
        <f>NOT(hospitalityq!C1626="")*(SUMPRODUCT(--(TRIM(hospitalityq!C6:C1626)=TRIM(hospitalityq!C1626)))&gt;1)</f>
        <v>0</v>
      </c>
      <c r="D1626">
        <f>NOT(hospitalityq!D1626="")*(COUNTIF(reference!$C$17:$C$18,TRIM(hospitalityq!D1626))=0)</f>
        <v>0</v>
      </c>
      <c r="J1626">
        <f>NOT(hospitalityq!J1626="")*(NOT(ISNUMBER(hospitalityq!J1626+0)))</f>
        <v>0</v>
      </c>
      <c r="K1626">
        <f>NOT(hospitalityq!K1626="")*(NOT(ISNUMBER(hospitalityq!K1626+0)))</f>
        <v>0</v>
      </c>
      <c r="P1626">
        <f>NOT(hospitalityq!P1626="")*(NOT(IFERROR(INT(hospitalityq!P1626)=VALUE(hospitalityq!P1626),FALSE)))</f>
        <v>0</v>
      </c>
      <c r="Q1626">
        <f>NOT(hospitalityq!Q1626="")*(NOT(IFERROR(INT(hospitalityq!Q1626)=VALUE(hospitalityq!Q1626),FALSE)))</f>
        <v>0</v>
      </c>
      <c r="R1626">
        <f>NOT(hospitalityq!R1626="")*(NOT(IFERROR(ROUND(VALUE(hospitalityq!R1626),2)=VALUE(hospitalityq!R1626),FALSE)))</f>
        <v>0</v>
      </c>
    </row>
    <row r="1627" spans="1:18" x14ac:dyDescent="0.25">
      <c r="A1627">
        <f t="shared" si="25"/>
        <v>0</v>
      </c>
      <c r="C1627">
        <f>NOT(hospitalityq!C1627="")*(SUMPRODUCT(--(TRIM(hospitalityq!C6:C1627)=TRIM(hospitalityq!C1627)))&gt;1)</f>
        <v>0</v>
      </c>
      <c r="D1627">
        <f>NOT(hospitalityq!D1627="")*(COUNTIF(reference!$C$17:$C$18,TRIM(hospitalityq!D1627))=0)</f>
        <v>0</v>
      </c>
      <c r="J1627">
        <f>NOT(hospitalityq!J1627="")*(NOT(ISNUMBER(hospitalityq!J1627+0)))</f>
        <v>0</v>
      </c>
      <c r="K1627">
        <f>NOT(hospitalityq!K1627="")*(NOT(ISNUMBER(hospitalityq!K1627+0)))</f>
        <v>0</v>
      </c>
      <c r="P1627">
        <f>NOT(hospitalityq!P1627="")*(NOT(IFERROR(INT(hospitalityq!P1627)=VALUE(hospitalityq!P1627),FALSE)))</f>
        <v>0</v>
      </c>
      <c r="Q1627">
        <f>NOT(hospitalityq!Q1627="")*(NOT(IFERROR(INT(hospitalityq!Q1627)=VALUE(hospitalityq!Q1627),FALSE)))</f>
        <v>0</v>
      </c>
      <c r="R1627">
        <f>NOT(hospitalityq!R1627="")*(NOT(IFERROR(ROUND(VALUE(hospitalityq!R1627),2)=VALUE(hospitalityq!R1627),FALSE)))</f>
        <v>0</v>
      </c>
    </row>
    <row r="1628" spans="1:18" x14ac:dyDescent="0.25">
      <c r="A1628">
        <f t="shared" si="25"/>
        <v>0</v>
      </c>
      <c r="C1628">
        <f>NOT(hospitalityq!C1628="")*(SUMPRODUCT(--(TRIM(hospitalityq!C6:C1628)=TRIM(hospitalityq!C1628)))&gt;1)</f>
        <v>0</v>
      </c>
      <c r="D1628">
        <f>NOT(hospitalityq!D1628="")*(COUNTIF(reference!$C$17:$C$18,TRIM(hospitalityq!D1628))=0)</f>
        <v>0</v>
      </c>
      <c r="J1628">
        <f>NOT(hospitalityq!J1628="")*(NOT(ISNUMBER(hospitalityq!J1628+0)))</f>
        <v>0</v>
      </c>
      <c r="K1628">
        <f>NOT(hospitalityq!K1628="")*(NOT(ISNUMBER(hospitalityq!K1628+0)))</f>
        <v>0</v>
      </c>
      <c r="P1628">
        <f>NOT(hospitalityq!P1628="")*(NOT(IFERROR(INT(hospitalityq!P1628)=VALUE(hospitalityq!P1628),FALSE)))</f>
        <v>0</v>
      </c>
      <c r="Q1628">
        <f>NOT(hospitalityq!Q1628="")*(NOT(IFERROR(INT(hospitalityq!Q1628)=VALUE(hospitalityq!Q1628),FALSE)))</f>
        <v>0</v>
      </c>
      <c r="R1628">
        <f>NOT(hospitalityq!R1628="")*(NOT(IFERROR(ROUND(VALUE(hospitalityq!R1628),2)=VALUE(hospitalityq!R1628),FALSE)))</f>
        <v>0</v>
      </c>
    </row>
    <row r="1629" spans="1:18" x14ac:dyDescent="0.25">
      <c r="A1629">
        <f t="shared" si="25"/>
        <v>0</v>
      </c>
      <c r="C1629">
        <f>NOT(hospitalityq!C1629="")*(SUMPRODUCT(--(TRIM(hospitalityq!C6:C1629)=TRIM(hospitalityq!C1629)))&gt;1)</f>
        <v>0</v>
      </c>
      <c r="D1629">
        <f>NOT(hospitalityq!D1629="")*(COUNTIF(reference!$C$17:$C$18,TRIM(hospitalityq!D1629))=0)</f>
        <v>0</v>
      </c>
      <c r="J1629">
        <f>NOT(hospitalityq!J1629="")*(NOT(ISNUMBER(hospitalityq!J1629+0)))</f>
        <v>0</v>
      </c>
      <c r="K1629">
        <f>NOT(hospitalityq!K1629="")*(NOT(ISNUMBER(hospitalityq!K1629+0)))</f>
        <v>0</v>
      </c>
      <c r="P1629">
        <f>NOT(hospitalityq!P1629="")*(NOT(IFERROR(INT(hospitalityq!P1629)=VALUE(hospitalityq!P1629),FALSE)))</f>
        <v>0</v>
      </c>
      <c r="Q1629">
        <f>NOT(hospitalityq!Q1629="")*(NOT(IFERROR(INT(hospitalityq!Q1629)=VALUE(hospitalityq!Q1629),FALSE)))</f>
        <v>0</v>
      </c>
      <c r="R1629">
        <f>NOT(hospitalityq!R1629="")*(NOT(IFERROR(ROUND(VALUE(hospitalityq!R1629),2)=VALUE(hospitalityq!R1629),FALSE)))</f>
        <v>0</v>
      </c>
    </row>
    <row r="1630" spans="1:18" x14ac:dyDescent="0.25">
      <c r="A1630">
        <f t="shared" si="25"/>
        <v>0</v>
      </c>
      <c r="C1630">
        <f>NOT(hospitalityq!C1630="")*(SUMPRODUCT(--(TRIM(hospitalityq!C6:C1630)=TRIM(hospitalityq!C1630)))&gt;1)</f>
        <v>0</v>
      </c>
      <c r="D1630">
        <f>NOT(hospitalityq!D1630="")*(COUNTIF(reference!$C$17:$C$18,TRIM(hospitalityq!D1630))=0)</f>
        <v>0</v>
      </c>
      <c r="J1630">
        <f>NOT(hospitalityq!J1630="")*(NOT(ISNUMBER(hospitalityq!J1630+0)))</f>
        <v>0</v>
      </c>
      <c r="K1630">
        <f>NOT(hospitalityq!K1630="")*(NOT(ISNUMBER(hospitalityq!K1630+0)))</f>
        <v>0</v>
      </c>
      <c r="P1630">
        <f>NOT(hospitalityq!P1630="")*(NOT(IFERROR(INT(hospitalityq!P1630)=VALUE(hospitalityq!P1630),FALSE)))</f>
        <v>0</v>
      </c>
      <c r="Q1630">
        <f>NOT(hospitalityq!Q1630="")*(NOT(IFERROR(INT(hospitalityq!Q1630)=VALUE(hospitalityq!Q1630),FALSE)))</f>
        <v>0</v>
      </c>
      <c r="R1630">
        <f>NOT(hospitalityq!R1630="")*(NOT(IFERROR(ROUND(VALUE(hospitalityq!R1630),2)=VALUE(hospitalityq!R1630),FALSE)))</f>
        <v>0</v>
      </c>
    </row>
    <row r="1631" spans="1:18" x14ac:dyDescent="0.25">
      <c r="A1631">
        <f t="shared" si="25"/>
        <v>0</v>
      </c>
      <c r="C1631">
        <f>NOT(hospitalityq!C1631="")*(SUMPRODUCT(--(TRIM(hospitalityq!C6:C1631)=TRIM(hospitalityq!C1631)))&gt;1)</f>
        <v>0</v>
      </c>
      <c r="D1631">
        <f>NOT(hospitalityq!D1631="")*(COUNTIF(reference!$C$17:$C$18,TRIM(hospitalityq!D1631))=0)</f>
        <v>0</v>
      </c>
      <c r="J1631">
        <f>NOT(hospitalityq!J1631="")*(NOT(ISNUMBER(hospitalityq!J1631+0)))</f>
        <v>0</v>
      </c>
      <c r="K1631">
        <f>NOT(hospitalityq!K1631="")*(NOT(ISNUMBER(hospitalityq!K1631+0)))</f>
        <v>0</v>
      </c>
      <c r="P1631">
        <f>NOT(hospitalityq!P1631="")*(NOT(IFERROR(INT(hospitalityq!P1631)=VALUE(hospitalityq!P1631),FALSE)))</f>
        <v>0</v>
      </c>
      <c r="Q1631">
        <f>NOT(hospitalityq!Q1631="")*(NOT(IFERROR(INT(hospitalityq!Q1631)=VALUE(hospitalityq!Q1631),FALSE)))</f>
        <v>0</v>
      </c>
      <c r="R1631">
        <f>NOT(hospitalityq!R1631="")*(NOT(IFERROR(ROUND(VALUE(hospitalityq!R1631),2)=VALUE(hospitalityq!R1631),FALSE)))</f>
        <v>0</v>
      </c>
    </row>
    <row r="1632" spans="1:18" x14ac:dyDescent="0.25">
      <c r="A1632">
        <f t="shared" si="25"/>
        <v>0</v>
      </c>
      <c r="C1632">
        <f>NOT(hospitalityq!C1632="")*(SUMPRODUCT(--(TRIM(hospitalityq!C6:C1632)=TRIM(hospitalityq!C1632)))&gt;1)</f>
        <v>0</v>
      </c>
      <c r="D1632">
        <f>NOT(hospitalityq!D1632="")*(COUNTIF(reference!$C$17:$C$18,TRIM(hospitalityq!D1632))=0)</f>
        <v>0</v>
      </c>
      <c r="J1632">
        <f>NOT(hospitalityq!J1632="")*(NOT(ISNUMBER(hospitalityq!J1632+0)))</f>
        <v>0</v>
      </c>
      <c r="K1632">
        <f>NOT(hospitalityq!K1632="")*(NOT(ISNUMBER(hospitalityq!K1632+0)))</f>
        <v>0</v>
      </c>
      <c r="P1632">
        <f>NOT(hospitalityq!P1632="")*(NOT(IFERROR(INT(hospitalityq!P1632)=VALUE(hospitalityq!P1632),FALSE)))</f>
        <v>0</v>
      </c>
      <c r="Q1632">
        <f>NOT(hospitalityq!Q1632="")*(NOT(IFERROR(INT(hospitalityq!Q1632)=VALUE(hospitalityq!Q1632),FALSE)))</f>
        <v>0</v>
      </c>
      <c r="R1632">
        <f>NOT(hospitalityq!R1632="")*(NOT(IFERROR(ROUND(VALUE(hospitalityq!R1632),2)=VALUE(hospitalityq!R1632),FALSE)))</f>
        <v>0</v>
      </c>
    </row>
    <row r="1633" spans="1:18" x14ac:dyDescent="0.25">
      <c r="A1633">
        <f t="shared" si="25"/>
        <v>0</v>
      </c>
      <c r="C1633">
        <f>NOT(hospitalityq!C1633="")*(SUMPRODUCT(--(TRIM(hospitalityq!C6:C1633)=TRIM(hospitalityq!C1633)))&gt;1)</f>
        <v>0</v>
      </c>
      <c r="D1633">
        <f>NOT(hospitalityq!D1633="")*(COUNTIF(reference!$C$17:$C$18,TRIM(hospitalityq!D1633))=0)</f>
        <v>0</v>
      </c>
      <c r="J1633">
        <f>NOT(hospitalityq!J1633="")*(NOT(ISNUMBER(hospitalityq!J1633+0)))</f>
        <v>0</v>
      </c>
      <c r="K1633">
        <f>NOT(hospitalityq!K1633="")*(NOT(ISNUMBER(hospitalityq!K1633+0)))</f>
        <v>0</v>
      </c>
      <c r="P1633">
        <f>NOT(hospitalityq!P1633="")*(NOT(IFERROR(INT(hospitalityq!P1633)=VALUE(hospitalityq!P1633),FALSE)))</f>
        <v>0</v>
      </c>
      <c r="Q1633">
        <f>NOT(hospitalityq!Q1633="")*(NOT(IFERROR(INT(hospitalityq!Q1633)=VALUE(hospitalityq!Q1633),FALSE)))</f>
        <v>0</v>
      </c>
      <c r="R1633">
        <f>NOT(hospitalityq!R1633="")*(NOT(IFERROR(ROUND(VALUE(hospitalityq!R1633),2)=VALUE(hospitalityq!R1633),FALSE)))</f>
        <v>0</v>
      </c>
    </row>
    <row r="1634" spans="1:18" x14ac:dyDescent="0.25">
      <c r="A1634">
        <f t="shared" si="25"/>
        <v>0</v>
      </c>
      <c r="C1634">
        <f>NOT(hospitalityq!C1634="")*(SUMPRODUCT(--(TRIM(hospitalityq!C6:C1634)=TRIM(hospitalityq!C1634)))&gt;1)</f>
        <v>0</v>
      </c>
      <c r="D1634">
        <f>NOT(hospitalityq!D1634="")*(COUNTIF(reference!$C$17:$C$18,TRIM(hospitalityq!D1634))=0)</f>
        <v>0</v>
      </c>
      <c r="J1634">
        <f>NOT(hospitalityq!J1634="")*(NOT(ISNUMBER(hospitalityq!J1634+0)))</f>
        <v>0</v>
      </c>
      <c r="K1634">
        <f>NOT(hospitalityq!K1634="")*(NOT(ISNUMBER(hospitalityq!K1634+0)))</f>
        <v>0</v>
      </c>
      <c r="P1634">
        <f>NOT(hospitalityq!P1634="")*(NOT(IFERROR(INT(hospitalityq!P1634)=VALUE(hospitalityq!P1634),FALSE)))</f>
        <v>0</v>
      </c>
      <c r="Q1634">
        <f>NOT(hospitalityq!Q1634="")*(NOT(IFERROR(INT(hospitalityq!Q1634)=VALUE(hospitalityq!Q1634),FALSE)))</f>
        <v>0</v>
      </c>
      <c r="R1634">
        <f>NOT(hospitalityq!R1634="")*(NOT(IFERROR(ROUND(VALUE(hospitalityq!R1634),2)=VALUE(hospitalityq!R1634),FALSE)))</f>
        <v>0</v>
      </c>
    </row>
    <row r="1635" spans="1:18" x14ac:dyDescent="0.25">
      <c r="A1635">
        <f t="shared" si="25"/>
        <v>0</v>
      </c>
      <c r="C1635">
        <f>NOT(hospitalityq!C1635="")*(SUMPRODUCT(--(TRIM(hospitalityq!C6:C1635)=TRIM(hospitalityq!C1635)))&gt;1)</f>
        <v>0</v>
      </c>
      <c r="D1635">
        <f>NOT(hospitalityq!D1635="")*(COUNTIF(reference!$C$17:$C$18,TRIM(hospitalityq!D1635))=0)</f>
        <v>0</v>
      </c>
      <c r="J1635">
        <f>NOT(hospitalityq!J1635="")*(NOT(ISNUMBER(hospitalityq!J1635+0)))</f>
        <v>0</v>
      </c>
      <c r="K1635">
        <f>NOT(hospitalityq!K1635="")*(NOT(ISNUMBER(hospitalityq!K1635+0)))</f>
        <v>0</v>
      </c>
      <c r="P1635">
        <f>NOT(hospitalityq!P1635="")*(NOT(IFERROR(INT(hospitalityq!P1635)=VALUE(hospitalityq!P1635),FALSE)))</f>
        <v>0</v>
      </c>
      <c r="Q1635">
        <f>NOT(hospitalityq!Q1635="")*(NOT(IFERROR(INT(hospitalityq!Q1635)=VALUE(hospitalityq!Q1635),FALSE)))</f>
        <v>0</v>
      </c>
      <c r="R1635">
        <f>NOT(hospitalityq!R1635="")*(NOT(IFERROR(ROUND(VALUE(hospitalityq!R1635),2)=VALUE(hospitalityq!R1635),FALSE)))</f>
        <v>0</v>
      </c>
    </row>
    <row r="1636" spans="1:18" x14ac:dyDescent="0.25">
      <c r="A1636">
        <f t="shared" si="25"/>
        <v>0</v>
      </c>
      <c r="C1636">
        <f>NOT(hospitalityq!C1636="")*(SUMPRODUCT(--(TRIM(hospitalityq!C6:C1636)=TRIM(hospitalityq!C1636)))&gt;1)</f>
        <v>0</v>
      </c>
      <c r="D1636">
        <f>NOT(hospitalityq!D1636="")*(COUNTIF(reference!$C$17:$C$18,TRIM(hospitalityq!D1636))=0)</f>
        <v>0</v>
      </c>
      <c r="J1636">
        <f>NOT(hospitalityq!J1636="")*(NOT(ISNUMBER(hospitalityq!J1636+0)))</f>
        <v>0</v>
      </c>
      <c r="K1636">
        <f>NOT(hospitalityq!K1636="")*(NOT(ISNUMBER(hospitalityq!K1636+0)))</f>
        <v>0</v>
      </c>
      <c r="P1636">
        <f>NOT(hospitalityq!P1636="")*(NOT(IFERROR(INT(hospitalityq!P1636)=VALUE(hospitalityq!P1636),FALSE)))</f>
        <v>0</v>
      </c>
      <c r="Q1636">
        <f>NOT(hospitalityq!Q1636="")*(NOT(IFERROR(INT(hospitalityq!Q1636)=VALUE(hospitalityq!Q1636),FALSE)))</f>
        <v>0</v>
      </c>
      <c r="R1636">
        <f>NOT(hospitalityq!R1636="")*(NOT(IFERROR(ROUND(VALUE(hospitalityq!R1636),2)=VALUE(hospitalityq!R1636),FALSE)))</f>
        <v>0</v>
      </c>
    </row>
    <row r="1637" spans="1:18" x14ac:dyDescent="0.25">
      <c r="A1637">
        <f t="shared" si="25"/>
        <v>0</v>
      </c>
      <c r="C1637">
        <f>NOT(hospitalityq!C1637="")*(SUMPRODUCT(--(TRIM(hospitalityq!C6:C1637)=TRIM(hospitalityq!C1637)))&gt;1)</f>
        <v>0</v>
      </c>
      <c r="D1637">
        <f>NOT(hospitalityq!D1637="")*(COUNTIF(reference!$C$17:$C$18,TRIM(hospitalityq!D1637))=0)</f>
        <v>0</v>
      </c>
      <c r="J1637">
        <f>NOT(hospitalityq!J1637="")*(NOT(ISNUMBER(hospitalityq!J1637+0)))</f>
        <v>0</v>
      </c>
      <c r="K1637">
        <f>NOT(hospitalityq!K1637="")*(NOT(ISNUMBER(hospitalityq!K1637+0)))</f>
        <v>0</v>
      </c>
      <c r="P1637">
        <f>NOT(hospitalityq!P1637="")*(NOT(IFERROR(INT(hospitalityq!P1637)=VALUE(hospitalityq!P1637),FALSE)))</f>
        <v>0</v>
      </c>
      <c r="Q1637">
        <f>NOT(hospitalityq!Q1637="")*(NOT(IFERROR(INT(hospitalityq!Q1637)=VALUE(hospitalityq!Q1637),FALSE)))</f>
        <v>0</v>
      </c>
      <c r="R1637">
        <f>NOT(hospitalityq!R1637="")*(NOT(IFERROR(ROUND(VALUE(hospitalityq!R1637),2)=VALUE(hospitalityq!R1637),FALSE)))</f>
        <v>0</v>
      </c>
    </row>
    <row r="1638" spans="1:18" x14ac:dyDescent="0.25">
      <c r="A1638">
        <f t="shared" si="25"/>
        <v>0</v>
      </c>
      <c r="C1638">
        <f>NOT(hospitalityq!C1638="")*(SUMPRODUCT(--(TRIM(hospitalityq!C6:C1638)=TRIM(hospitalityq!C1638)))&gt;1)</f>
        <v>0</v>
      </c>
      <c r="D1638">
        <f>NOT(hospitalityq!D1638="")*(COUNTIF(reference!$C$17:$C$18,TRIM(hospitalityq!D1638))=0)</f>
        <v>0</v>
      </c>
      <c r="J1638">
        <f>NOT(hospitalityq!J1638="")*(NOT(ISNUMBER(hospitalityq!J1638+0)))</f>
        <v>0</v>
      </c>
      <c r="K1638">
        <f>NOT(hospitalityq!K1638="")*(NOT(ISNUMBER(hospitalityq!K1638+0)))</f>
        <v>0</v>
      </c>
      <c r="P1638">
        <f>NOT(hospitalityq!P1638="")*(NOT(IFERROR(INT(hospitalityq!P1638)=VALUE(hospitalityq!P1638),FALSE)))</f>
        <v>0</v>
      </c>
      <c r="Q1638">
        <f>NOT(hospitalityq!Q1638="")*(NOT(IFERROR(INT(hospitalityq!Q1638)=VALUE(hospitalityq!Q1638),FALSE)))</f>
        <v>0</v>
      </c>
      <c r="R1638">
        <f>NOT(hospitalityq!R1638="")*(NOT(IFERROR(ROUND(VALUE(hospitalityq!R1638),2)=VALUE(hospitalityq!R1638),FALSE)))</f>
        <v>0</v>
      </c>
    </row>
    <row r="1639" spans="1:18" x14ac:dyDescent="0.25">
      <c r="A1639">
        <f t="shared" si="25"/>
        <v>0</v>
      </c>
      <c r="C1639">
        <f>NOT(hospitalityq!C1639="")*(SUMPRODUCT(--(TRIM(hospitalityq!C6:C1639)=TRIM(hospitalityq!C1639)))&gt;1)</f>
        <v>0</v>
      </c>
      <c r="D1639">
        <f>NOT(hospitalityq!D1639="")*(COUNTIF(reference!$C$17:$C$18,TRIM(hospitalityq!D1639))=0)</f>
        <v>0</v>
      </c>
      <c r="J1639">
        <f>NOT(hospitalityq!J1639="")*(NOT(ISNUMBER(hospitalityq!J1639+0)))</f>
        <v>0</v>
      </c>
      <c r="K1639">
        <f>NOT(hospitalityq!K1639="")*(NOT(ISNUMBER(hospitalityq!K1639+0)))</f>
        <v>0</v>
      </c>
      <c r="P1639">
        <f>NOT(hospitalityq!P1639="")*(NOT(IFERROR(INT(hospitalityq!P1639)=VALUE(hospitalityq!P1639),FALSE)))</f>
        <v>0</v>
      </c>
      <c r="Q1639">
        <f>NOT(hospitalityq!Q1639="")*(NOT(IFERROR(INT(hospitalityq!Q1639)=VALUE(hospitalityq!Q1639),FALSE)))</f>
        <v>0</v>
      </c>
      <c r="R1639">
        <f>NOT(hospitalityq!R1639="")*(NOT(IFERROR(ROUND(VALUE(hospitalityq!R1639),2)=VALUE(hospitalityq!R1639),FALSE)))</f>
        <v>0</v>
      </c>
    </row>
    <row r="1640" spans="1:18" x14ac:dyDescent="0.25">
      <c r="A1640">
        <f t="shared" si="25"/>
        <v>0</v>
      </c>
      <c r="C1640">
        <f>NOT(hospitalityq!C1640="")*(SUMPRODUCT(--(TRIM(hospitalityq!C6:C1640)=TRIM(hospitalityq!C1640)))&gt;1)</f>
        <v>0</v>
      </c>
      <c r="D1640">
        <f>NOT(hospitalityq!D1640="")*(COUNTIF(reference!$C$17:$C$18,TRIM(hospitalityq!D1640))=0)</f>
        <v>0</v>
      </c>
      <c r="J1640">
        <f>NOT(hospitalityq!J1640="")*(NOT(ISNUMBER(hospitalityq!J1640+0)))</f>
        <v>0</v>
      </c>
      <c r="K1640">
        <f>NOT(hospitalityq!K1640="")*(NOT(ISNUMBER(hospitalityq!K1640+0)))</f>
        <v>0</v>
      </c>
      <c r="P1640">
        <f>NOT(hospitalityq!P1640="")*(NOT(IFERROR(INT(hospitalityq!P1640)=VALUE(hospitalityq!P1640),FALSE)))</f>
        <v>0</v>
      </c>
      <c r="Q1640">
        <f>NOT(hospitalityq!Q1640="")*(NOT(IFERROR(INT(hospitalityq!Q1640)=VALUE(hospitalityq!Q1640),FALSE)))</f>
        <v>0</v>
      </c>
      <c r="R1640">
        <f>NOT(hospitalityq!R1640="")*(NOT(IFERROR(ROUND(VALUE(hospitalityq!R1640),2)=VALUE(hospitalityq!R1640),FALSE)))</f>
        <v>0</v>
      </c>
    </row>
    <row r="1641" spans="1:18" x14ac:dyDescent="0.25">
      <c r="A1641">
        <f t="shared" si="25"/>
        <v>0</v>
      </c>
      <c r="C1641">
        <f>NOT(hospitalityq!C1641="")*(SUMPRODUCT(--(TRIM(hospitalityq!C6:C1641)=TRIM(hospitalityq!C1641)))&gt;1)</f>
        <v>0</v>
      </c>
      <c r="D1641">
        <f>NOT(hospitalityq!D1641="")*(COUNTIF(reference!$C$17:$C$18,TRIM(hospitalityq!D1641))=0)</f>
        <v>0</v>
      </c>
      <c r="J1641">
        <f>NOT(hospitalityq!J1641="")*(NOT(ISNUMBER(hospitalityq!J1641+0)))</f>
        <v>0</v>
      </c>
      <c r="K1641">
        <f>NOT(hospitalityq!K1641="")*(NOT(ISNUMBER(hospitalityq!K1641+0)))</f>
        <v>0</v>
      </c>
      <c r="P1641">
        <f>NOT(hospitalityq!P1641="")*(NOT(IFERROR(INT(hospitalityq!P1641)=VALUE(hospitalityq!P1641),FALSE)))</f>
        <v>0</v>
      </c>
      <c r="Q1641">
        <f>NOT(hospitalityq!Q1641="")*(NOT(IFERROR(INT(hospitalityq!Q1641)=VALUE(hospitalityq!Q1641),FALSE)))</f>
        <v>0</v>
      </c>
      <c r="R1641">
        <f>NOT(hospitalityq!R1641="")*(NOT(IFERROR(ROUND(VALUE(hospitalityq!R1641),2)=VALUE(hospitalityq!R1641),FALSE)))</f>
        <v>0</v>
      </c>
    </row>
    <row r="1642" spans="1:18" x14ac:dyDescent="0.25">
      <c r="A1642">
        <f t="shared" si="25"/>
        <v>0</v>
      </c>
      <c r="C1642">
        <f>NOT(hospitalityq!C1642="")*(SUMPRODUCT(--(TRIM(hospitalityq!C6:C1642)=TRIM(hospitalityq!C1642)))&gt;1)</f>
        <v>0</v>
      </c>
      <c r="D1642">
        <f>NOT(hospitalityq!D1642="")*(COUNTIF(reference!$C$17:$C$18,TRIM(hospitalityq!D1642))=0)</f>
        <v>0</v>
      </c>
      <c r="J1642">
        <f>NOT(hospitalityq!J1642="")*(NOT(ISNUMBER(hospitalityq!J1642+0)))</f>
        <v>0</v>
      </c>
      <c r="K1642">
        <f>NOT(hospitalityq!K1642="")*(NOT(ISNUMBER(hospitalityq!K1642+0)))</f>
        <v>0</v>
      </c>
      <c r="P1642">
        <f>NOT(hospitalityq!P1642="")*(NOT(IFERROR(INT(hospitalityq!P1642)=VALUE(hospitalityq!P1642),FALSE)))</f>
        <v>0</v>
      </c>
      <c r="Q1642">
        <f>NOT(hospitalityq!Q1642="")*(NOT(IFERROR(INT(hospitalityq!Q1642)=VALUE(hospitalityq!Q1642),FALSE)))</f>
        <v>0</v>
      </c>
      <c r="R1642">
        <f>NOT(hospitalityq!R1642="")*(NOT(IFERROR(ROUND(VALUE(hospitalityq!R1642),2)=VALUE(hospitalityq!R1642),FALSE)))</f>
        <v>0</v>
      </c>
    </row>
    <row r="1643" spans="1:18" x14ac:dyDescent="0.25">
      <c r="A1643">
        <f t="shared" si="25"/>
        <v>0</v>
      </c>
      <c r="C1643">
        <f>NOT(hospitalityq!C1643="")*(SUMPRODUCT(--(TRIM(hospitalityq!C6:C1643)=TRIM(hospitalityq!C1643)))&gt;1)</f>
        <v>0</v>
      </c>
      <c r="D1643">
        <f>NOT(hospitalityq!D1643="")*(COUNTIF(reference!$C$17:$C$18,TRIM(hospitalityq!D1643))=0)</f>
        <v>0</v>
      </c>
      <c r="J1643">
        <f>NOT(hospitalityq!J1643="")*(NOT(ISNUMBER(hospitalityq!J1643+0)))</f>
        <v>0</v>
      </c>
      <c r="K1643">
        <f>NOT(hospitalityq!K1643="")*(NOT(ISNUMBER(hospitalityq!K1643+0)))</f>
        <v>0</v>
      </c>
      <c r="P1643">
        <f>NOT(hospitalityq!P1643="")*(NOT(IFERROR(INT(hospitalityq!P1643)=VALUE(hospitalityq!P1643),FALSE)))</f>
        <v>0</v>
      </c>
      <c r="Q1643">
        <f>NOT(hospitalityq!Q1643="")*(NOT(IFERROR(INT(hospitalityq!Q1643)=VALUE(hospitalityq!Q1643),FALSE)))</f>
        <v>0</v>
      </c>
      <c r="R1643">
        <f>NOT(hospitalityq!R1643="")*(NOT(IFERROR(ROUND(VALUE(hospitalityq!R1643),2)=VALUE(hospitalityq!R1643),FALSE)))</f>
        <v>0</v>
      </c>
    </row>
    <row r="1644" spans="1:18" x14ac:dyDescent="0.25">
      <c r="A1644">
        <f t="shared" si="25"/>
        <v>0</v>
      </c>
      <c r="C1644">
        <f>NOT(hospitalityq!C1644="")*(SUMPRODUCT(--(TRIM(hospitalityq!C6:C1644)=TRIM(hospitalityq!C1644)))&gt;1)</f>
        <v>0</v>
      </c>
      <c r="D1644">
        <f>NOT(hospitalityq!D1644="")*(COUNTIF(reference!$C$17:$C$18,TRIM(hospitalityq!D1644))=0)</f>
        <v>0</v>
      </c>
      <c r="J1644">
        <f>NOT(hospitalityq!J1644="")*(NOT(ISNUMBER(hospitalityq!J1644+0)))</f>
        <v>0</v>
      </c>
      <c r="K1644">
        <f>NOT(hospitalityq!K1644="")*(NOT(ISNUMBER(hospitalityq!K1644+0)))</f>
        <v>0</v>
      </c>
      <c r="P1644">
        <f>NOT(hospitalityq!P1644="")*(NOT(IFERROR(INT(hospitalityq!P1644)=VALUE(hospitalityq!P1644),FALSE)))</f>
        <v>0</v>
      </c>
      <c r="Q1644">
        <f>NOT(hospitalityq!Q1644="")*(NOT(IFERROR(INT(hospitalityq!Q1644)=VALUE(hospitalityq!Q1644),FALSE)))</f>
        <v>0</v>
      </c>
      <c r="R1644">
        <f>NOT(hospitalityq!R1644="")*(NOT(IFERROR(ROUND(VALUE(hospitalityq!R1644),2)=VALUE(hospitalityq!R1644),FALSE)))</f>
        <v>0</v>
      </c>
    </row>
    <row r="1645" spans="1:18" x14ac:dyDescent="0.25">
      <c r="A1645">
        <f t="shared" si="25"/>
        <v>0</v>
      </c>
      <c r="C1645">
        <f>NOT(hospitalityq!C1645="")*(SUMPRODUCT(--(TRIM(hospitalityq!C6:C1645)=TRIM(hospitalityq!C1645)))&gt;1)</f>
        <v>0</v>
      </c>
      <c r="D1645">
        <f>NOT(hospitalityq!D1645="")*(COUNTIF(reference!$C$17:$C$18,TRIM(hospitalityq!D1645))=0)</f>
        <v>0</v>
      </c>
      <c r="J1645">
        <f>NOT(hospitalityq!J1645="")*(NOT(ISNUMBER(hospitalityq!J1645+0)))</f>
        <v>0</v>
      </c>
      <c r="K1645">
        <f>NOT(hospitalityq!K1645="")*(NOT(ISNUMBER(hospitalityq!K1645+0)))</f>
        <v>0</v>
      </c>
      <c r="P1645">
        <f>NOT(hospitalityq!P1645="")*(NOT(IFERROR(INT(hospitalityq!P1645)=VALUE(hospitalityq!P1645),FALSE)))</f>
        <v>0</v>
      </c>
      <c r="Q1645">
        <f>NOT(hospitalityq!Q1645="")*(NOT(IFERROR(INT(hospitalityq!Q1645)=VALUE(hospitalityq!Q1645),FALSE)))</f>
        <v>0</v>
      </c>
      <c r="R1645">
        <f>NOT(hospitalityq!R1645="")*(NOT(IFERROR(ROUND(VALUE(hospitalityq!R1645),2)=VALUE(hospitalityq!R1645),FALSE)))</f>
        <v>0</v>
      </c>
    </row>
    <row r="1646" spans="1:18" x14ac:dyDescent="0.25">
      <c r="A1646">
        <f t="shared" si="25"/>
        <v>0</v>
      </c>
      <c r="C1646">
        <f>NOT(hospitalityq!C1646="")*(SUMPRODUCT(--(TRIM(hospitalityq!C6:C1646)=TRIM(hospitalityq!C1646)))&gt;1)</f>
        <v>0</v>
      </c>
      <c r="D1646">
        <f>NOT(hospitalityq!D1646="")*(COUNTIF(reference!$C$17:$C$18,TRIM(hospitalityq!D1646))=0)</f>
        <v>0</v>
      </c>
      <c r="J1646">
        <f>NOT(hospitalityq!J1646="")*(NOT(ISNUMBER(hospitalityq!J1646+0)))</f>
        <v>0</v>
      </c>
      <c r="K1646">
        <f>NOT(hospitalityq!K1646="")*(NOT(ISNUMBER(hospitalityq!K1646+0)))</f>
        <v>0</v>
      </c>
      <c r="P1646">
        <f>NOT(hospitalityq!P1646="")*(NOT(IFERROR(INT(hospitalityq!P1646)=VALUE(hospitalityq!P1646),FALSE)))</f>
        <v>0</v>
      </c>
      <c r="Q1646">
        <f>NOT(hospitalityq!Q1646="")*(NOT(IFERROR(INT(hospitalityq!Q1646)=VALUE(hospitalityq!Q1646),FALSE)))</f>
        <v>0</v>
      </c>
      <c r="R1646">
        <f>NOT(hospitalityq!R1646="")*(NOT(IFERROR(ROUND(VALUE(hospitalityq!R1646),2)=VALUE(hospitalityq!R1646),FALSE)))</f>
        <v>0</v>
      </c>
    </row>
    <row r="1647" spans="1:18" x14ac:dyDescent="0.25">
      <c r="A1647">
        <f t="shared" si="25"/>
        <v>0</v>
      </c>
      <c r="C1647">
        <f>NOT(hospitalityq!C1647="")*(SUMPRODUCT(--(TRIM(hospitalityq!C6:C1647)=TRIM(hospitalityq!C1647)))&gt;1)</f>
        <v>0</v>
      </c>
      <c r="D1647">
        <f>NOT(hospitalityq!D1647="")*(COUNTIF(reference!$C$17:$C$18,TRIM(hospitalityq!D1647))=0)</f>
        <v>0</v>
      </c>
      <c r="J1647">
        <f>NOT(hospitalityq!J1647="")*(NOT(ISNUMBER(hospitalityq!J1647+0)))</f>
        <v>0</v>
      </c>
      <c r="K1647">
        <f>NOT(hospitalityq!K1647="")*(NOT(ISNUMBER(hospitalityq!K1647+0)))</f>
        <v>0</v>
      </c>
      <c r="P1647">
        <f>NOT(hospitalityq!P1647="")*(NOT(IFERROR(INT(hospitalityq!P1647)=VALUE(hospitalityq!P1647),FALSE)))</f>
        <v>0</v>
      </c>
      <c r="Q1647">
        <f>NOT(hospitalityq!Q1647="")*(NOT(IFERROR(INT(hospitalityq!Q1647)=VALUE(hospitalityq!Q1647),FALSE)))</f>
        <v>0</v>
      </c>
      <c r="R1647">
        <f>NOT(hospitalityq!R1647="")*(NOT(IFERROR(ROUND(VALUE(hospitalityq!R1647),2)=VALUE(hospitalityq!R1647),FALSE)))</f>
        <v>0</v>
      </c>
    </row>
    <row r="1648" spans="1:18" x14ac:dyDescent="0.25">
      <c r="A1648">
        <f t="shared" si="25"/>
        <v>0</v>
      </c>
      <c r="C1648">
        <f>NOT(hospitalityq!C1648="")*(SUMPRODUCT(--(TRIM(hospitalityq!C6:C1648)=TRIM(hospitalityq!C1648)))&gt;1)</f>
        <v>0</v>
      </c>
      <c r="D1648">
        <f>NOT(hospitalityq!D1648="")*(COUNTIF(reference!$C$17:$C$18,TRIM(hospitalityq!D1648))=0)</f>
        <v>0</v>
      </c>
      <c r="J1648">
        <f>NOT(hospitalityq!J1648="")*(NOT(ISNUMBER(hospitalityq!J1648+0)))</f>
        <v>0</v>
      </c>
      <c r="K1648">
        <f>NOT(hospitalityq!K1648="")*(NOT(ISNUMBER(hospitalityq!K1648+0)))</f>
        <v>0</v>
      </c>
      <c r="P1648">
        <f>NOT(hospitalityq!P1648="")*(NOT(IFERROR(INT(hospitalityq!P1648)=VALUE(hospitalityq!P1648),FALSE)))</f>
        <v>0</v>
      </c>
      <c r="Q1648">
        <f>NOT(hospitalityq!Q1648="")*(NOT(IFERROR(INT(hospitalityq!Q1648)=VALUE(hospitalityq!Q1648),FALSE)))</f>
        <v>0</v>
      </c>
      <c r="R1648">
        <f>NOT(hospitalityq!R1648="")*(NOT(IFERROR(ROUND(VALUE(hospitalityq!R1648),2)=VALUE(hospitalityq!R1648),FALSE)))</f>
        <v>0</v>
      </c>
    </row>
    <row r="1649" spans="1:18" x14ac:dyDescent="0.25">
      <c r="A1649">
        <f t="shared" si="25"/>
        <v>0</v>
      </c>
      <c r="C1649">
        <f>NOT(hospitalityq!C1649="")*(SUMPRODUCT(--(TRIM(hospitalityq!C6:C1649)=TRIM(hospitalityq!C1649)))&gt;1)</f>
        <v>0</v>
      </c>
      <c r="D1649">
        <f>NOT(hospitalityq!D1649="")*(COUNTIF(reference!$C$17:$C$18,TRIM(hospitalityq!D1649))=0)</f>
        <v>0</v>
      </c>
      <c r="J1649">
        <f>NOT(hospitalityq!J1649="")*(NOT(ISNUMBER(hospitalityq!J1649+0)))</f>
        <v>0</v>
      </c>
      <c r="K1649">
        <f>NOT(hospitalityq!K1649="")*(NOT(ISNUMBER(hospitalityq!K1649+0)))</f>
        <v>0</v>
      </c>
      <c r="P1649">
        <f>NOT(hospitalityq!P1649="")*(NOT(IFERROR(INT(hospitalityq!P1649)=VALUE(hospitalityq!P1649),FALSE)))</f>
        <v>0</v>
      </c>
      <c r="Q1649">
        <f>NOT(hospitalityq!Q1649="")*(NOT(IFERROR(INT(hospitalityq!Q1649)=VALUE(hospitalityq!Q1649),FALSE)))</f>
        <v>0</v>
      </c>
      <c r="R1649">
        <f>NOT(hospitalityq!R1649="")*(NOT(IFERROR(ROUND(VALUE(hospitalityq!R1649),2)=VALUE(hospitalityq!R1649),FALSE)))</f>
        <v>0</v>
      </c>
    </row>
    <row r="1650" spans="1:18" x14ac:dyDescent="0.25">
      <c r="A1650">
        <f t="shared" si="25"/>
        <v>0</v>
      </c>
      <c r="C1650">
        <f>NOT(hospitalityq!C1650="")*(SUMPRODUCT(--(TRIM(hospitalityq!C6:C1650)=TRIM(hospitalityq!C1650)))&gt;1)</f>
        <v>0</v>
      </c>
      <c r="D1650">
        <f>NOT(hospitalityq!D1650="")*(COUNTIF(reference!$C$17:$C$18,TRIM(hospitalityq!D1650))=0)</f>
        <v>0</v>
      </c>
      <c r="J1650">
        <f>NOT(hospitalityq!J1650="")*(NOT(ISNUMBER(hospitalityq!J1650+0)))</f>
        <v>0</v>
      </c>
      <c r="K1650">
        <f>NOT(hospitalityq!K1650="")*(NOT(ISNUMBER(hospitalityq!K1650+0)))</f>
        <v>0</v>
      </c>
      <c r="P1650">
        <f>NOT(hospitalityq!P1650="")*(NOT(IFERROR(INT(hospitalityq!P1650)=VALUE(hospitalityq!P1650),FALSE)))</f>
        <v>0</v>
      </c>
      <c r="Q1650">
        <f>NOT(hospitalityq!Q1650="")*(NOT(IFERROR(INT(hospitalityq!Q1650)=VALUE(hospitalityq!Q1650),FALSE)))</f>
        <v>0</v>
      </c>
      <c r="R1650">
        <f>NOT(hospitalityq!R1650="")*(NOT(IFERROR(ROUND(VALUE(hospitalityq!R1650),2)=VALUE(hospitalityq!R1650),FALSE)))</f>
        <v>0</v>
      </c>
    </row>
    <row r="1651" spans="1:18" x14ac:dyDescent="0.25">
      <c r="A1651">
        <f t="shared" si="25"/>
        <v>0</v>
      </c>
      <c r="C1651">
        <f>NOT(hospitalityq!C1651="")*(SUMPRODUCT(--(TRIM(hospitalityq!C6:C1651)=TRIM(hospitalityq!C1651)))&gt;1)</f>
        <v>0</v>
      </c>
      <c r="D1651">
        <f>NOT(hospitalityq!D1651="")*(COUNTIF(reference!$C$17:$C$18,TRIM(hospitalityq!D1651))=0)</f>
        <v>0</v>
      </c>
      <c r="J1651">
        <f>NOT(hospitalityq!J1651="")*(NOT(ISNUMBER(hospitalityq!J1651+0)))</f>
        <v>0</v>
      </c>
      <c r="K1651">
        <f>NOT(hospitalityq!K1651="")*(NOT(ISNUMBER(hospitalityq!K1651+0)))</f>
        <v>0</v>
      </c>
      <c r="P1651">
        <f>NOT(hospitalityq!P1651="")*(NOT(IFERROR(INT(hospitalityq!P1651)=VALUE(hospitalityq!P1651),FALSE)))</f>
        <v>0</v>
      </c>
      <c r="Q1651">
        <f>NOT(hospitalityq!Q1651="")*(NOT(IFERROR(INT(hospitalityq!Q1651)=VALUE(hospitalityq!Q1651),FALSE)))</f>
        <v>0</v>
      </c>
      <c r="R1651">
        <f>NOT(hospitalityq!R1651="")*(NOT(IFERROR(ROUND(VALUE(hospitalityq!R1651),2)=VALUE(hospitalityq!R1651),FALSE)))</f>
        <v>0</v>
      </c>
    </row>
    <row r="1652" spans="1:18" x14ac:dyDescent="0.25">
      <c r="A1652">
        <f t="shared" si="25"/>
        <v>0</v>
      </c>
      <c r="C1652">
        <f>NOT(hospitalityq!C1652="")*(SUMPRODUCT(--(TRIM(hospitalityq!C6:C1652)=TRIM(hospitalityq!C1652)))&gt;1)</f>
        <v>0</v>
      </c>
      <c r="D1652">
        <f>NOT(hospitalityq!D1652="")*(COUNTIF(reference!$C$17:$C$18,TRIM(hospitalityq!D1652))=0)</f>
        <v>0</v>
      </c>
      <c r="J1652">
        <f>NOT(hospitalityq!J1652="")*(NOT(ISNUMBER(hospitalityq!J1652+0)))</f>
        <v>0</v>
      </c>
      <c r="K1652">
        <f>NOT(hospitalityq!K1652="")*(NOT(ISNUMBER(hospitalityq!K1652+0)))</f>
        <v>0</v>
      </c>
      <c r="P1652">
        <f>NOT(hospitalityq!P1652="")*(NOT(IFERROR(INT(hospitalityq!P1652)=VALUE(hospitalityq!P1652),FALSE)))</f>
        <v>0</v>
      </c>
      <c r="Q1652">
        <f>NOT(hospitalityq!Q1652="")*(NOT(IFERROR(INT(hospitalityq!Q1652)=VALUE(hospitalityq!Q1652),FALSE)))</f>
        <v>0</v>
      </c>
      <c r="R1652">
        <f>NOT(hospitalityq!R1652="")*(NOT(IFERROR(ROUND(VALUE(hospitalityq!R1652),2)=VALUE(hospitalityq!R1652),FALSE)))</f>
        <v>0</v>
      </c>
    </row>
    <row r="1653" spans="1:18" x14ac:dyDescent="0.25">
      <c r="A1653">
        <f t="shared" si="25"/>
        <v>0</v>
      </c>
      <c r="C1653">
        <f>NOT(hospitalityq!C1653="")*(SUMPRODUCT(--(TRIM(hospitalityq!C6:C1653)=TRIM(hospitalityq!C1653)))&gt;1)</f>
        <v>0</v>
      </c>
      <c r="D1653">
        <f>NOT(hospitalityq!D1653="")*(COUNTIF(reference!$C$17:$C$18,TRIM(hospitalityq!D1653))=0)</f>
        <v>0</v>
      </c>
      <c r="J1653">
        <f>NOT(hospitalityq!J1653="")*(NOT(ISNUMBER(hospitalityq!J1653+0)))</f>
        <v>0</v>
      </c>
      <c r="K1653">
        <f>NOT(hospitalityq!K1653="")*(NOT(ISNUMBER(hospitalityq!K1653+0)))</f>
        <v>0</v>
      </c>
      <c r="P1653">
        <f>NOT(hospitalityq!P1653="")*(NOT(IFERROR(INT(hospitalityq!P1653)=VALUE(hospitalityq!P1653),FALSE)))</f>
        <v>0</v>
      </c>
      <c r="Q1653">
        <f>NOT(hospitalityq!Q1653="")*(NOT(IFERROR(INT(hospitalityq!Q1653)=VALUE(hospitalityq!Q1653),FALSE)))</f>
        <v>0</v>
      </c>
      <c r="R1653">
        <f>NOT(hospitalityq!R1653="")*(NOT(IFERROR(ROUND(VALUE(hospitalityq!R1653),2)=VALUE(hospitalityq!R1653),FALSE)))</f>
        <v>0</v>
      </c>
    </row>
    <row r="1654" spans="1:18" x14ac:dyDescent="0.25">
      <c r="A1654">
        <f t="shared" si="25"/>
        <v>0</v>
      </c>
      <c r="C1654">
        <f>NOT(hospitalityq!C1654="")*(SUMPRODUCT(--(TRIM(hospitalityq!C6:C1654)=TRIM(hospitalityq!C1654)))&gt;1)</f>
        <v>0</v>
      </c>
      <c r="D1654">
        <f>NOT(hospitalityq!D1654="")*(COUNTIF(reference!$C$17:$C$18,TRIM(hospitalityq!D1654))=0)</f>
        <v>0</v>
      </c>
      <c r="J1654">
        <f>NOT(hospitalityq!J1654="")*(NOT(ISNUMBER(hospitalityq!J1654+0)))</f>
        <v>0</v>
      </c>
      <c r="K1654">
        <f>NOT(hospitalityq!K1654="")*(NOT(ISNUMBER(hospitalityq!K1654+0)))</f>
        <v>0</v>
      </c>
      <c r="P1654">
        <f>NOT(hospitalityq!P1654="")*(NOT(IFERROR(INT(hospitalityq!P1654)=VALUE(hospitalityq!P1654),FALSE)))</f>
        <v>0</v>
      </c>
      <c r="Q1654">
        <f>NOT(hospitalityq!Q1654="")*(NOT(IFERROR(INT(hospitalityq!Q1654)=VALUE(hospitalityq!Q1654),FALSE)))</f>
        <v>0</v>
      </c>
      <c r="R1654">
        <f>NOT(hospitalityq!R1654="")*(NOT(IFERROR(ROUND(VALUE(hospitalityq!R1654),2)=VALUE(hospitalityq!R1654),FALSE)))</f>
        <v>0</v>
      </c>
    </row>
    <row r="1655" spans="1:18" x14ac:dyDescent="0.25">
      <c r="A1655">
        <f t="shared" si="25"/>
        <v>0</v>
      </c>
      <c r="C1655">
        <f>NOT(hospitalityq!C1655="")*(SUMPRODUCT(--(TRIM(hospitalityq!C6:C1655)=TRIM(hospitalityq!C1655)))&gt;1)</f>
        <v>0</v>
      </c>
      <c r="D1655">
        <f>NOT(hospitalityq!D1655="")*(COUNTIF(reference!$C$17:$C$18,TRIM(hospitalityq!D1655))=0)</f>
        <v>0</v>
      </c>
      <c r="J1655">
        <f>NOT(hospitalityq!J1655="")*(NOT(ISNUMBER(hospitalityq!J1655+0)))</f>
        <v>0</v>
      </c>
      <c r="K1655">
        <f>NOT(hospitalityq!K1655="")*(NOT(ISNUMBER(hospitalityq!K1655+0)))</f>
        <v>0</v>
      </c>
      <c r="P1655">
        <f>NOT(hospitalityq!P1655="")*(NOT(IFERROR(INT(hospitalityq!P1655)=VALUE(hospitalityq!P1655),FALSE)))</f>
        <v>0</v>
      </c>
      <c r="Q1655">
        <f>NOT(hospitalityq!Q1655="")*(NOT(IFERROR(INT(hospitalityq!Q1655)=VALUE(hospitalityq!Q1655),FALSE)))</f>
        <v>0</v>
      </c>
      <c r="R1655">
        <f>NOT(hospitalityq!R1655="")*(NOT(IFERROR(ROUND(VALUE(hospitalityq!R1655),2)=VALUE(hospitalityq!R1655),FALSE)))</f>
        <v>0</v>
      </c>
    </row>
    <row r="1656" spans="1:18" x14ac:dyDescent="0.25">
      <c r="A1656">
        <f t="shared" si="25"/>
        <v>0</v>
      </c>
      <c r="C1656">
        <f>NOT(hospitalityq!C1656="")*(SUMPRODUCT(--(TRIM(hospitalityq!C6:C1656)=TRIM(hospitalityq!C1656)))&gt;1)</f>
        <v>0</v>
      </c>
      <c r="D1656">
        <f>NOT(hospitalityq!D1656="")*(COUNTIF(reference!$C$17:$C$18,TRIM(hospitalityq!D1656))=0)</f>
        <v>0</v>
      </c>
      <c r="J1656">
        <f>NOT(hospitalityq!J1656="")*(NOT(ISNUMBER(hospitalityq!J1656+0)))</f>
        <v>0</v>
      </c>
      <c r="K1656">
        <f>NOT(hospitalityq!K1656="")*(NOT(ISNUMBER(hospitalityq!K1656+0)))</f>
        <v>0</v>
      </c>
      <c r="P1656">
        <f>NOT(hospitalityq!P1656="")*(NOT(IFERROR(INT(hospitalityq!P1656)=VALUE(hospitalityq!P1656),FALSE)))</f>
        <v>0</v>
      </c>
      <c r="Q1656">
        <f>NOT(hospitalityq!Q1656="")*(NOT(IFERROR(INT(hospitalityq!Q1656)=VALUE(hospitalityq!Q1656),FALSE)))</f>
        <v>0</v>
      </c>
      <c r="R1656">
        <f>NOT(hospitalityq!R1656="")*(NOT(IFERROR(ROUND(VALUE(hospitalityq!R1656),2)=VALUE(hospitalityq!R1656),FALSE)))</f>
        <v>0</v>
      </c>
    </row>
    <row r="1657" spans="1:18" x14ac:dyDescent="0.25">
      <c r="A1657">
        <f t="shared" si="25"/>
        <v>0</v>
      </c>
      <c r="C1657">
        <f>NOT(hospitalityq!C1657="")*(SUMPRODUCT(--(TRIM(hospitalityq!C6:C1657)=TRIM(hospitalityq!C1657)))&gt;1)</f>
        <v>0</v>
      </c>
      <c r="D1657">
        <f>NOT(hospitalityq!D1657="")*(COUNTIF(reference!$C$17:$C$18,TRIM(hospitalityq!D1657))=0)</f>
        <v>0</v>
      </c>
      <c r="J1657">
        <f>NOT(hospitalityq!J1657="")*(NOT(ISNUMBER(hospitalityq!J1657+0)))</f>
        <v>0</v>
      </c>
      <c r="K1657">
        <f>NOT(hospitalityq!K1657="")*(NOT(ISNUMBER(hospitalityq!K1657+0)))</f>
        <v>0</v>
      </c>
      <c r="P1657">
        <f>NOT(hospitalityq!P1657="")*(NOT(IFERROR(INT(hospitalityq!P1657)=VALUE(hospitalityq!P1657),FALSE)))</f>
        <v>0</v>
      </c>
      <c r="Q1657">
        <f>NOT(hospitalityq!Q1657="")*(NOT(IFERROR(INT(hospitalityq!Q1657)=VALUE(hospitalityq!Q1657),FALSE)))</f>
        <v>0</v>
      </c>
      <c r="R1657">
        <f>NOT(hospitalityq!R1657="")*(NOT(IFERROR(ROUND(VALUE(hospitalityq!R1657),2)=VALUE(hospitalityq!R1657),FALSE)))</f>
        <v>0</v>
      </c>
    </row>
    <row r="1658" spans="1:18" x14ac:dyDescent="0.25">
      <c r="A1658">
        <f t="shared" si="25"/>
        <v>0</v>
      </c>
      <c r="C1658">
        <f>NOT(hospitalityq!C1658="")*(SUMPRODUCT(--(TRIM(hospitalityq!C6:C1658)=TRIM(hospitalityq!C1658)))&gt;1)</f>
        <v>0</v>
      </c>
      <c r="D1658">
        <f>NOT(hospitalityq!D1658="")*(COUNTIF(reference!$C$17:$C$18,TRIM(hospitalityq!D1658))=0)</f>
        <v>0</v>
      </c>
      <c r="J1658">
        <f>NOT(hospitalityq!J1658="")*(NOT(ISNUMBER(hospitalityq!J1658+0)))</f>
        <v>0</v>
      </c>
      <c r="K1658">
        <f>NOT(hospitalityq!K1658="")*(NOT(ISNUMBER(hospitalityq!K1658+0)))</f>
        <v>0</v>
      </c>
      <c r="P1658">
        <f>NOT(hospitalityq!P1658="")*(NOT(IFERROR(INT(hospitalityq!P1658)=VALUE(hospitalityq!P1658),FALSE)))</f>
        <v>0</v>
      </c>
      <c r="Q1658">
        <f>NOT(hospitalityq!Q1658="")*(NOT(IFERROR(INT(hospitalityq!Q1658)=VALUE(hospitalityq!Q1658),FALSE)))</f>
        <v>0</v>
      </c>
      <c r="R1658">
        <f>NOT(hospitalityq!R1658="")*(NOT(IFERROR(ROUND(VALUE(hospitalityq!R1658),2)=VALUE(hospitalityq!R1658),FALSE)))</f>
        <v>0</v>
      </c>
    </row>
    <row r="1659" spans="1:18" x14ac:dyDescent="0.25">
      <c r="A1659">
        <f t="shared" si="25"/>
        <v>0</v>
      </c>
      <c r="C1659">
        <f>NOT(hospitalityq!C1659="")*(SUMPRODUCT(--(TRIM(hospitalityq!C6:C1659)=TRIM(hospitalityq!C1659)))&gt;1)</f>
        <v>0</v>
      </c>
      <c r="D1659">
        <f>NOT(hospitalityq!D1659="")*(COUNTIF(reference!$C$17:$C$18,TRIM(hospitalityq!D1659))=0)</f>
        <v>0</v>
      </c>
      <c r="J1659">
        <f>NOT(hospitalityq!J1659="")*(NOT(ISNUMBER(hospitalityq!J1659+0)))</f>
        <v>0</v>
      </c>
      <c r="K1659">
        <f>NOT(hospitalityq!K1659="")*(NOT(ISNUMBER(hospitalityq!K1659+0)))</f>
        <v>0</v>
      </c>
      <c r="P1659">
        <f>NOT(hospitalityq!P1659="")*(NOT(IFERROR(INT(hospitalityq!P1659)=VALUE(hospitalityq!P1659),FALSE)))</f>
        <v>0</v>
      </c>
      <c r="Q1659">
        <f>NOT(hospitalityq!Q1659="")*(NOT(IFERROR(INT(hospitalityq!Q1659)=VALUE(hospitalityq!Q1659),FALSE)))</f>
        <v>0</v>
      </c>
      <c r="R1659">
        <f>NOT(hospitalityq!R1659="")*(NOT(IFERROR(ROUND(VALUE(hospitalityq!R1659),2)=VALUE(hospitalityq!R1659),FALSE)))</f>
        <v>0</v>
      </c>
    </row>
    <row r="1660" spans="1:18" x14ac:dyDescent="0.25">
      <c r="A1660">
        <f t="shared" si="25"/>
        <v>0</v>
      </c>
      <c r="C1660">
        <f>NOT(hospitalityq!C1660="")*(SUMPRODUCT(--(TRIM(hospitalityq!C6:C1660)=TRIM(hospitalityq!C1660)))&gt;1)</f>
        <v>0</v>
      </c>
      <c r="D1660">
        <f>NOT(hospitalityq!D1660="")*(COUNTIF(reference!$C$17:$C$18,TRIM(hospitalityq!D1660))=0)</f>
        <v>0</v>
      </c>
      <c r="J1660">
        <f>NOT(hospitalityq!J1660="")*(NOT(ISNUMBER(hospitalityq!J1660+0)))</f>
        <v>0</v>
      </c>
      <c r="K1660">
        <f>NOT(hospitalityq!K1660="")*(NOT(ISNUMBER(hospitalityq!K1660+0)))</f>
        <v>0</v>
      </c>
      <c r="P1660">
        <f>NOT(hospitalityq!P1660="")*(NOT(IFERROR(INT(hospitalityq!P1660)=VALUE(hospitalityq!P1660),FALSE)))</f>
        <v>0</v>
      </c>
      <c r="Q1660">
        <f>NOT(hospitalityq!Q1660="")*(NOT(IFERROR(INT(hospitalityq!Q1660)=VALUE(hospitalityq!Q1660),FALSE)))</f>
        <v>0</v>
      </c>
      <c r="R1660">
        <f>NOT(hospitalityq!R1660="")*(NOT(IFERROR(ROUND(VALUE(hospitalityq!R1660),2)=VALUE(hospitalityq!R1660),FALSE)))</f>
        <v>0</v>
      </c>
    </row>
    <row r="1661" spans="1:18" x14ac:dyDescent="0.25">
      <c r="A1661">
        <f t="shared" si="25"/>
        <v>0</v>
      </c>
      <c r="C1661">
        <f>NOT(hospitalityq!C1661="")*(SUMPRODUCT(--(TRIM(hospitalityq!C6:C1661)=TRIM(hospitalityq!C1661)))&gt;1)</f>
        <v>0</v>
      </c>
      <c r="D1661">
        <f>NOT(hospitalityq!D1661="")*(COUNTIF(reference!$C$17:$C$18,TRIM(hospitalityq!D1661))=0)</f>
        <v>0</v>
      </c>
      <c r="J1661">
        <f>NOT(hospitalityq!J1661="")*(NOT(ISNUMBER(hospitalityq!J1661+0)))</f>
        <v>0</v>
      </c>
      <c r="K1661">
        <f>NOT(hospitalityq!K1661="")*(NOT(ISNUMBER(hospitalityq!K1661+0)))</f>
        <v>0</v>
      </c>
      <c r="P1661">
        <f>NOT(hospitalityq!P1661="")*(NOT(IFERROR(INT(hospitalityq!P1661)=VALUE(hospitalityq!P1661),FALSE)))</f>
        <v>0</v>
      </c>
      <c r="Q1661">
        <f>NOT(hospitalityq!Q1661="")*(NOT(IFERROR(INT(hospitalityq!Q1661)=VALUE(hospitalityq!Q1661),FALSE)))</f>
        <v>0</v>
      </c>
      <c r="R1661">
        <f>NOT(hospitalityq!R1661="")*(NOT(IFERROR(ROUND(VALUE(hospitalityq!R1661),2)=VALUE(hospitalityq!R1661),FALSE)))</f>
        <v>0</v>
      </c>
    </row>
    <row r="1662" spans="1:18" x14ac:dyDescent="0.25">
      <c r="A1662">
        <f t="shared" si="25"/>
        <v>0</v>
      </c>
      <c r="C1662">
        <f>NOT(hospitalityq!C1662="")*(SUMPRODUCT(--(TRIM(hospitalityq!C6:C1662)=TRIM(hospitalityq!C1662)))&gt;1)</f>
        <v>0</v>
      </c>
      <c r="D1662">
        <f>NOT(hospitalityq!D1662="")*(COUNTIF(reference!$C$17:$C$18,TRIM(hospitalityq!D1662))=0)</f>
        <v>0</v>
      </c>
      <c r="J1662">
        <f>NOT(hospitalityq!J1662="")*(NOT(ISNUMBER(hospitalityq!J1662+0)))</f>
        <v>0</v>
      </c>
      <c r="K1662">
        <f>NOT(hospitalityq!K1662="")*(NOT(ISNUMBER(hospitalityq!K1662+0)))</f>
        <v>0</v>
      </c>
      <c r="P1662">
        <f>NOT(hospitalityq!P1662="")*(NOT(IFERROR(INT(hospitalityq!P1662)=VALUE(hospitalityq!P1662),FALSE)))</f>
        <v>0</v>
      </c>
      <c r="Q1662">
        <f>NOT(hospitalityq!Q1662="")*(NOT(IFERROR(INT(hospitalityq!Q1662)=VALUE(hospitalityq!Q1662),FALSE)))</f>
        <v>0</v>
      </c>
      <c r="R1662">
        <f>NOT(hospitalityq!R1662="")*(NOT(IFERROR(ROUND(VALUE(hospitalityq!R1662),2)=VALUE(hospitalityq!R1662),FALSE)))</f>
        <v>0</v>
      </c>
    </row>
    <row r="1663" spans="1:18" x14ac:dyDescent="0.25">
      <c r="A1663">
        <f t="shared" si="25"/>
        <v>0</v>
      </c>
      <c r="C1663">
        <f>NOT(hospitalityq!C1663="")*(SUMPRODUCT(--(TRIM(hospitalityq!C6:C1663)=TRIM(hospitalityq!C1663)))&gt;1)</f>
        <v>0</v>
      </c>
      <c r="D1663">
        <f>NOT(hospitalityq!D1663="")*(COUNTIF(reference!$C$17:$C$18,TRIM(hospitalityq!D1663))=0)</f>
        <v>0</v>
      </c>
      <c r="J1663">
        <f>NOT(hospitalityq!J1663="")*(NOT(ISNUMBER(hospitalityq!J1663+0)))</f>
        <v>0</v>
      </c>
      <c r="K1663">
        <f>NOT(hospitalityq!K1663="")*(NOT(ISNUMBER(hospitalityq!K1663+0)))</f>
        <v>0</v>
      </c>
      <c r="P1663">
        <f>NOT(hospitalityq!P1663="")*(NOT(IFERROR(INT(hospitalityq!P1663)=VALUE(hospitalityq!P1663),FALSE)))</f>
        <v>0</v>
      </c>
      <c r="Q1663">
        <f>NOT(hospitalityq!Q1663="")*(NOT(IFERROR(INT(hospitalityq!Q1663)=VALUE(hospitalityq!Q1663),FALSE)))</f>
        <v>0</v>
      </c>
      <c r="R1663">
        <f>NOT(hospitalityq!R1663="")*(NOT(IFERROR(ROUND(VALUE(hospitalityq!R1663),2)=VALUE(hospitalityq!R1663),FALSE)))</f>
        <v>0</v>
      </c>
    </row>
    <row r="1664" spans="1:18" x14ac:dyDescent="0.25">
      <c r="A1664">
        <f t="shared" si="25"/>
        <v>0</v>
      </c>
      <c r="C1664">
        <f>NOT(hospitalityq!C1664="")*(SUMPRODUCT(--(TRIM(hospitalityq!C6:C1664)=TRIM(hospitalityq!C1664)))&gt;1)</f>
        <v>0</v>
      </c>
      <c r="D1664">
        <f>NOT(hospitalityq!D1664="")*(COUNTIF(reference!$C$17:$C$18,TRIM(hospitalityq!D1664))=0)</f>
        <v>0</v>
      </c>
      <c r="J1664">
        <f>NOT(hospitalityq!J1664="")*(NOT(ISNUMBER(hospitalityq!J1664+0)))</f>
        <v>0</v>
      </c>
      <c r="K1664">
        <f>NOT(hospitalityq!K1664="")*(NOT(ISNUMBER(hospitalityq!K1664+0)))</f>
        <v>0</v>
      </c>
      <c r="P1664">
        <f>NOT(hospitalityq!P1664="")*(NOT(IFERROR(INT(hospitalityq!P1664)=VALUE(hospitalityq!P1664),FALSE)))</f>
        <v>0</v>
      </c>
      <c r="Q1664">
        <f>NOT(hospitalityq!Q1664="")*(NOT(IFERROR(INT(hospitalityq!Q1664)=VALUE(hospitalityq!Q1664),FALSE)))</f>
        <v>0</v>
      </c>
      <c r="R1664">
        <f>NOT(hospitalityq!R1664="")*(NOT(IFERROR(ROUND(VALUE(hospitalityq!R1664),2)=VALUE(hospitalityq!R1664),FALSE)))</f>
        <v>0</v>
      </c>
    </row>
    <row r="1665" spans="1:18" x14ac:dyDescent="0.25">
      <c r="A1665">
        <f t="shared" si="25"/>
        <v>0</v>
      </c>
      <c r="C1665">
        <f>NOT(hospitalityq!C1665="")*(SUMPRODUCT(--(TRIM(hospitalityq!C6:C1665)=TRIM(hospitalityq!C1665)))&gt;1)</f>
        <v>0</v>
      </c>
      <c r="D1665">
        <f>NOT(hospitalityq!D1665="")*(COUNTIF(reference!$C$17:$C$18,TRIM(hospitalityq!D1665))=0)</f>
        <v>0</v>
      </c>
      <c r="J1665">
        <f>NOT(hospitalityq!J1665="")*(NOT(ISNUMBER(hospitalityq!J1665+0)))</f>
        <v>0</v>
      </c>
      <c r="K1665">
        <f>NOT(hospitalityq!K1665="")*(NOT(ISNUMBER(hospitalityq!K1665+0)))</f>
        <v>0</v>
      </c>
      <c r="P1665">
        <f>NOT(hospitalityq!P1665="")*(NOT(IFERROR(INT(hospitalityq!P1665)=VALUE(hospitalityq!P1665),FALSE)))</f>
        <v>0</v>
      </c>
      <c r="Q1665">
        <f>NOT(hospitalityq!Q1665="")*(NOT(IFERROR(INT(hospitalityq!Q1665)=VALUE(hospitalityq!Q1665),FALSE)))</f>
        <v>0</v>
      </c>
      <c r="R1665">
        <f>NOT(hospitalityq!R1665="")*(NOT(IFERROR(ROUND(VALUE(hospitalityq!R1665),2)=VALUE(hospitalityq!R1665),FALSE)))</f>
        <v>0</v>
      </c>
    </row>
    <row r="1666" spans="1:18" x14ac:dyDescent="0.25">
      <c r="A1666">
        <f t="shared" si="25"/>
        <v>0</v>
      </c>
      <c r="C1666">
        <f>NOT(hospitalityq!C1666="")*(SUMPRODUCT(--(TRIM(hospitalityq!C6:C1666)=TRIM(hospitalityq!C1666)))&gt;1)</f>
        <v>0</v>
      </c>
      <c r="D1666">
        <f>NOT(hospitalityq!D1666="")*(COUNTIF(reference!$C$17:$C$18,TRIM(hospitalityq!D1666))=0)</f>
        <v>0</v>
      </c>
      <c r="J1666">
        <f>NOT(hospitalityq!J1666="")*(NOT(ISNUMBER(hospitalityq!J1666+0)))</f>
        <v>0</v>
      </c>
      <c r="K1666">
        <f>NOT(hospitalityq!K1666="")*(NOT(ISNUMBER(hospitalityq!K1666+0)))</f>
        <v>0</v>
      </c>
      <c r="P1666">
        <f>NOT(hospitalityq!P1666="")*(NOT(IFERROR(INT(hospitalityq!P1666)=VALUE(hospitalityq!P1666),FALSE)))</f>
        <v>0</v>
      </c>
      <c r="Q1666">
        <f>NOT(hospitalityq!Q1666="")*(NOT(IFERROR(INT(hospitalityq!Q1666)=VALUE(hospitalityq!Q1666),FALSE)))</f>
        <v>0</v>
      </c>
      <c r="R1666">
        <f>NOT(hospitalityq!R1666="")*(NOT(IFERROR(ROUND(VALUE(hospitalityq!R1666),2)=VALUE(hospitalityq!R1666),FALSE)))</f>
        <v>0</v>
      </c>
    </row>
    <row r="1667" spans="1:18" x14ac:dyDescent="0.25">
      <c r="A1667">
        <f t="shared" si="25"/>
        <v>0</v>
      </c>
      <c r="C1667">
        <f>NOT(hospitalityq!C1667="")*(SUMPRODUCT(--(TRIM(hospitalityq!C6:C1667)=TRIM(hospitalityq!C1667)))&gt;1)</f>
        <v>0</v>
      </c>
      <c r="D1667">
        <f>NOT(hospitalityq!D1667="")*(COUNTIF(reference!$C$17:$C$18,TRIM(hospitalityq!D1667))=0)</f>
        <v>0</v>
      </c>
      <c r="J1667">
        <f>NOT(hospitalityq!J1667="")*(NOT(ISNUMBER(hospitalityq!J1667+0)))</f>
        <v>0</v>
      </c>
      <c r="K1667">
        <f>NOT(hospitalityq!K1667="")*(NOT(ISNUMBER(hospitalityq!K1667+0)))</f>
        <v>0</v>
      </c>
      <c r="P1667">
        <f>NOT(hospitalityq!P1667="")*(NOT(IFERROR(INT(hospitalityq!P1667)=VALUE(hospitalityq!P1667),FALSE)))</f>
        <v>0</v>
      </c>
      <c r="Q1667">
        <f>NOT(hospitalityq!Q1667="")*(NOT(IFERROR(INT(hospitalityq!Q1667)=VALUE(hospitalityq!Q1667),FALSE)))</f>
        <v>0</v>
      </c>
      <c r="R1667">
        <f>NOT(hospitalityq!R1667="")*(NOT(IFERROR(ROUND(VALUE(hospitalityq!R1667),2)=VALUE(hospitalityq!R1667),FALSE)))</f>
        <v>0</v>
      </c>
    </row>
    <row r="1668" spans="1:18" x14ac:dyDescent="0.25">
      <c r="A1668">
        <f t="shared" si="25"/>
        <v>0</v>
      </c>
      <c r="C1668">
        <f>NOT(hospitalityq!C1668="")*(SUMPRODUCT(--(TRIM(hospitalityq!C6:C1668)=TRIM(hospitalityq!C1668)))&gt;1)</f>
        <v>0</v>
      </c>
      <c r="D1668">
        <f>NOT(hospitalityq!D1668="")*(COUNTIF(reference!$C$17:$C$18,TRIM(hospitalityq!D1668))=0)</f>
        <v>0</v>
      </c>
      <c r="J1668">
        <f>NOT(hospitalityq!J1668="")*(NOT(ISNUMBER(hospitalityq!J1668+0)))</f>
        <v>0</v>
      </c>
      <c r="K1668">
        <f>NOT(hospitalityq!K1668="")*(NOT(ISNUMBER(hospitalityq!K1668+0)))</f>
        <v>0</v>
      </c>
      <c r="P1668">
        <f>NOT(hospitalityq!P1668="")*(NOT(IFERROR(INT(hospitalityq!P1668)=VALUE(hospitalityq!P1668),FALSE)))</f>
        <v>0</v>
      </c>
      <c r="Q1668">
        <f>NOT(hospitalityq!Q1668="")*(NOT(IFERROR(INT(hospitalityq!Q1668)=VALUE(hospitalityq!Q1668),FALSE)))</f>
        <v>0</v>
      </c>
      <c r="R1668">
        <f>NOT(hospitalityq!R1668="")*(NOT(IFERROR(ROUND(VALUE(hospitalityq!R1668),2)=VALUE(hospitalityq!R1668),FALSE)))</f>
        <v>0</v>
      </c>
    </row>
    <row r="1669" spans="1:18" x14ac:dyDescent="0.25">
      <c r="A1669">
        <f t="shared" si="25"/>
        <v>0</v>
      </c>
      <c r="C1669">
        <f>NOT(hospitalityq!C1669="")*(SUMPRODUCT(--(TRIM(hospitalityq!C6:C1669)=TRIM(hospitalityq!C1669)))&gt;1)</f>
        <v>0</v>
      </c>
      <c r="D1669">
        <f>NOT(hospitalityq!D1669="")*(COUNTIF(reference!$C$17:$C$18,TRIM(hospitalityq!D1669))=0)</f>
        <v>0</v>
      </c>
      <c r="J1669">
        <f>NOT(hospitalityq!J1669="")*(NOT(ISNUMBER(hospitalityq!J1669+0)))</f>
        <v>0</v>
      </c>
      <c r="K1669">
        <f>NOT(hospitalityq!K1669="")*(NOT(ISNUMBER(hospitalityq!K1669+0)))</f>
        <v>0</v>
      </c>
      <c r="P1669">
        <f>NOT(hospitalityq!P1669="")*(NOT(IFERROR(INT(hospitalityq!P1669)=VALUE(hospitalityq!P1669),FALSE)))</f>
        <v>0</v>
      </c>
      <c r="Q1669">
        <f>NOT(hospitalityq!Q1669="")*(NOT(IFERROR(INT(hospitalityq!Q1669)=VALUE(hospitalityq!Q1669),FALSE)))</f>
        <v>0</v>
      </c>
      <c r="R1669">
        <f>NOT(hospitalityq!R1669="")*(NOT(IFERROR(ROUND(VALUE(hospitalityq!R1669),2)=VALUE(hospitalityq!R1669),FALSE)))</f>
        <v>0</v>
      </c>
    </row>
    <row r="1670" spans="1:18" x14ac:dyDescent="0.25">
      <c r="A1670">
        <f t="shared" ref="A1670:A1733" si="26">IFERROR(MATCH(TRUE,INDEX(C1670:R1670&lt;&gt;0,),)+2,0)</f>
        <v>0</v>
      </c>
      <c r="C1670">
        <f>NOT(hospitalityq!C1670="")*(SUMPRODUCT(--(TRIM(hospitalityq!C6:C1670)=TRIM(hospitalityq!C1670)))&gt;1)</f>
        <v>0</v>
      </c>
      <c r="D1670">
        <f>NOT(hospitalityq!D1670="")*(COUNTIF(reference!$C$17:$C$18,TRIM(hospitalityq!D1670))=0)</f>
        <v>0</v>
      </c>
      <c r="J1670">
        <f>NOT(hospitalityq!J1670="")*(NOT(ISNUMBER(hospitalityq!J1670+0)))</f>
        <v>0</v>
      </c>
      <c r="K1670">
        <f>NOT(hospitalityq!K1670="")*(NOT(ISNUMBER(hospitalityq!K1670+0)))</f>
        <v>0</v>
      </c>
      <c r="P1670">
        <f>NOT(hospitalityq!P1670="")*(NOT(IFERROR(INT(hospitalityq!P1670)=VALUE(hospitalityq!P1670),FALSE)))</f>
        <v>0</v>
      </c>
      <c r="Q1670">
        <f>NOT(hospitalityq!Q1670="")*(NOT(IFERROR(INT(hospitalityq!Q1670)=VALUE(hospitalityq!Q1670),FALSE)))</f>
        <v>0</v>
      </c>
      <c r="R1670">
        <f>NOT(hospitalityq!R1670="")*(NOT(IFERROR(ROUND(VALUE(hospitalityq!R1670),2)=VALUE(hospitalityq!R1670),FALSE)))</f>
        <v>0</v>
      </c>
    </row>
    <row r="1671" spans="1:18" x14ac:dyDescent="0.25">
      <c r="A1671">
        <f t="shared" si="26"/>
        <v>0</v>
      </c>
      <c r="C1671">
        <f>NOT(hospitalityq!C1671="")*(SUMPRODUCT(--(TRIM(hospitalityq!C6:C1671)=TRIM(hospitalityq!C1671)))&gt;1)</f>
        <v>0</v>
      </c>
      <c r="D1671">
        <f>NOT(hospitalityq!D1671="")*(COUNTIF(reference!$C$17:$C$18,TRIM(hospitalityq!D1671))=0)</f>
        <v>0</v>
      </c>
      <c r="J1671">
        <f>NOT(hospitalityq!J1671="")*(NOT(ISNUMBER(hospitalityq!J1671+0)))</f>
        <v>0</v>
      </c>
      <c r="K1671">
        <f>NOT(hospitalityq!K1671="")*(NOT(ISNUMBER(hospitalityq!K1671+0)))</f>
        <v>0</v>
      </c>
      <c r="P1671">
        <f>NOT(hospitalityq!P1671="")*(NOT(IFERROR(INT(hospitalityq!P1671)=VALUE(hospitalityq!P1671),FALSE)))</f>
        <v>0</v>
      </c>
      <c r="Q1671">
        <f>NOT(hospitalityq!Q1671="")*(NOT(IFERROR(INT(hospitalityq!Q1671)=VALUE(hospitalityq!Q1671),FALSE)))</f>
        <v>0</v>
      </c>
      <c r="R1671">
        <f>NOT(hospitalityq!R1671="")*(NOT(IFERROR(ROUND(VALUE(hospitalityq!R1671),2)=VALUE(hospitalityq!R1671),FALSE)))</f>
        <v>0</v>
      </c>
    </row>
    <row r="1672" spans="1:18" x14ac:dyDescent="0.25">
      <c r="A1672">
        <f t="shared" si="26"/>
        <v>0</v>
      </c>
      <c r="C1672">
        <f>NOT(hospitalityq!C1672="")*(SUMPRODUCT(--(TRIM(hospitalityq!C6:C1672)=TRIM(hospitalityq!C1672)))&gt;1)</f>
        <v>0</v>
      </c>
      <c r="D1672">
        <f>NOT(hospitalityq!D1672="")*(COUNTIF(reference!$C$17:$C$18,TRIM(hospitalityq!D1672))=0)</f>
        <v>0</v>
      </c>
      <c r="J1672">
        <f>NOT(hospitalityq!J1672="")*(NOT(ISNUMBER(hospitalityq!J1672+0)))</f>
        <v>0</v>
      </c>
      <c r="K1672">
        <f>NOT(hospitalityq!K1672="")*(NOT(ISNUMBER(hospitalityq!K1672+0)))</f>
        <v>0</v>
      </c>
      <c r="P1672">
        <f>NOT(hospitalityq!P1672="")*(NOT(IFERROR(INT(hospitalityq!P1672)=VALUE(hospitalityq!P1672),FALSE)))</f>
        <v>0</v>
      </c>
      <c r="Q1672">
        <f>NOT(hospitalityq!Q1672="")*(NOT(IFERROR(INT(hospitalityq!Q1672)=VALUE(hospitalityq!Q1672),FALSE)))</f>
        <v>0</v>
      </c>
      <c r="R1672">
        <f>NOT(hospitalityq!R1672="")*(NOT(IFERROR(ROUND(VALUE(hospitalityq!R1672),2)=VALUE(hospitalityq!R1672),FALSE)))</f>
        <v>0</v>
      </c>
    </row>
    <row r="1673" spans="1:18" x14ac:dyDescent="0.25">
      <c r="A1673">
        <f t="shared" si="26"/>
        <v>0</v>
      </c>
      <c r="C1673">
        <f>NOT(hospitalityq!C1673="")*(SUMPRODUCT(--(TRIM(hospitalityq!C6:C1673)=TRIM(hospitalityq!C1673)))&gt;1)</f>
        <v>0</v>
      </c>
      <c r="D1673">
        <f>NOT(hospitalityq!D1673="")*(COUNTIF(reference!$C$17:$C$18,TRIM(hospitalityq!D1673))=0)</f>
        <v>0</v>
      </c>
      <c r="J1673">
        <f>NOT(hospitalityq!J1673="")*(NOT(ISNUMBER(hospitalityq!J1673+0)))</f>
        <v>0</v>
      </c>
      <c r="K1673">
        <f>NOT(hospitalityq!K1673="")*(NOT(ISNUMBER(hospitalityq!K1673+0)))</f>
        <v>0</v>
      </c>
      <c r="P1673">
        <f>NOT(hospitalityq!P1673="")*(NOT(IFERROR(INT(hospitalityq!P1673)=VALUE(hospitalityq!P1673),FALSE)))</f>
        <v>0</v>
      </c>
      <c r="Q1673">
        <f>NOT(hospitalityq!Q1673="")*(NOT(IFERROR(INT(hospitalityq!Q1673)=VALUE(hospitalityq!Q1673),FALSE)))</f>
        <v>0</v>
      </c>
      <c r="R1673">
        <f>NOT(hospitalityq!R1673="")*(NOT(IFERROR(ROUND(VALUE(hospitalityq!R1673),2)=VALUE(hospitalityq!R1673),FALSE)))</f>
        <v>0</v>
      </c>
    </row>
    <row r="1674" spans="1:18" x14ac:dyDescent="0.25">
      <c r="A1674">
        <f t="shared" si="26"/>
        <v>0</v>
      </c>
      <c r="C1674">
        <f>NOT(hospitalityq!C1674="")*(SUMPRODUCT(--(TRIM(hospitalityq!C6:C1674)=TRIM(hospitalityq!C1674)))&gt;1)</f>
        <v>0</v>
      </c>
      <c r="D1674">
        <f>NOT(hospitalityq!D1674="")*(COUNTIF(reference!$C$17:$C$18,TRIM(hospitalityq!D1674))=0)</f>
        <v>0</v>
      </c>
      <c r="J1674">
        <f>NOT(hospitalityq!J1674="")*(NOT(ISNUMBER(hospitalityq!J1674+0)))</f>
        <v>0</v>
      </c>
      <c r="K1674">
        <f>NOT(hospitalityq!K1674="")*(NOT(ISNUMBER(hospitalityq!K1674+0)))</f>
        <v>0</v>
      </c>
      <c r="P1674">
        <f>NOT(hospitalityq!P1674="")*(NOT(IFERROR(INT(hospitalityq!P1674)=VALUE(hospitalityq!P1674),FALSE)))</f>
        <v>0</v>
      </c>
      <c r="Q1674">
        <f>NOT(hospitalityq!Q1674="")*(NOT(IFERROR(INT(hospitalityq!Q1674)=VALUE(hospitalityq!Q1674),FALSE)))</f>
        <v>0</v>
      </c>
      <c r="R1674">
        <f>NOT(hospitalityq!R1674="")*(NOT(IFERROR(ROUND(VALUE(hospitalityq!R1674),2)=VALUE(hospitalityq!R1674),FALSE)))</f>
        <v>0</v>
      </c>
    </row>
    <row r="1675" spans="1:18" x14ac:dyDescent="0.25">
      <c r="A1675">
        <f t="shared" si="26"/>
        <v>0</v>
      </c>
      <c r="C1675">
        <f>NOT(hospitalityq!C1675="")*(SUMPRODUCT(--(TRIM(hospitalityq!C6:C1675)=TRIM(hospitalityq!C1675)))&gt;1)</f>
        <v>0</v>
      </c>
      <c r="D1675">
        <f>NOT(hospitalityq!D1675="")*(COUNTIF(reference!$C$17:$C$18,TRIM(hospitalityq!D1675))=0)</f>
        <v>0</v>
      </c>
      <c r="J1675">
        <f>NOT(hospitalityq!J1675="")*(NOT(ISNUMBER(hospitalityq!J1675+0)))</f>
        <v>0</v>
      </c>
      <c r="K1675">
        <f>NOT(hospitalityq!K1675="")*(NOT(ISNUMBER(hospitalityq!K1675+0)))</f>
        <v>0</v>
      </c>
      <c r="P1675">
        <f>NOT(hospitalityq!P1675="")*(NOT(IFERROR(INT(hospitalityq!P1675)=VALUE(hospitalityq!P1675),FALSE)))</f>
        <v>0</v>
      </c>
      <c r="Q1675">
        <f>NOT(hospitalityq!Q1675="")*(NOT(IFERROR(INT(hospitalityq!Q1675)=VALUE(hospitalityq!Q1675),FALSE)))</f>
        <v>0</v>
      </c>
      <c r="R1675">
        <f>NOT(hospitalityq!R1675="")*(NOT(IFERROR(ROUND(VALUE(hospitalityq!R1675),2)=VALUE(hospitalityq!R1675),FALSE)))</f>
        <v>0</v>
      </c>
    </row>
    <row r="1676" spans="1:18" x14ac:dyDescent="0.25">
      <c r="A1676">
        <f t="shared" si="26"/>
        <v>0</v>
      </c>
      <c r="C1676">
        <f>NOT(hospitalityq!C1676="")*(SUMPRODUCT(--(TRIM(hospitalityq!C6:C1676)=TRIM(hospitalityq!C1676)))&gt;1)</f>
        <v>0</v>
      </c>
      <c r="D1676">
        <f>NOT(hospitalityq!D1676="")*(COUNTIF(reference!$C$17:$C$18,TRIM(hospitalityq!D1676))=0)</f>
        <v>0</v>
      </c>
      <c r="J1676">
        <f>NOT(hospitalityq!J1676="")*(NOT(ISNUMBER(hospitalityq!J1676+0)))</f>
        <v>0</v>
      </c>
      <c r="K1676">
        <f>NOT(hospitalityq!K1676="")*(NOT(ISNUMBER(hospitalityq!K1676+0)))</f>
        <v>0</v>
      </c>
      <c r="P1676">
        <f>NOT(hospitalityq!P1676="")*(NOT(IFERROR(INT(hospitalityq!P1676)=VALUE(hospitalityq!P1676),FALSE)))</f>
        <v>0</v>
      </c>
      <c r="Q1676">
        <f>NOT(hospitalityq!Q1676="")*(NOT(IFERROR(INT(hospitalityq!Q1676)=VALUE(hospitalityq!Q1676),FALSE)))</f>
        <v>0</v>
      </c>
      <c r="R1676">
        <f>NOT(hospitalityq!R1676="")*(NOT(IFERROR(ROUND(VALUE(hospitalityq!R1676),2)=VALUE(hospitalityq!R1676),FALSE)))</f>
        <v>0</v>
      </c>
    </row>
    <row r="1677" spans="1:18" x14ac:dyDescent="0.25">
      <c r="A1677">
        <f t="shared" si="26"/>
        <v>0</v>
      </c>
      <c r="C1677">
        <f>NOT(hospitalityq!C1677="")*(SUMPRODUCT(--(TRIM(hospitalityq!C6:C1677)=TRIM(hospitalityq!C1677)))&gt;1)</f>
        <v>0</v>
      </c>
      <c r="D1677">
        <f>NOT(hospitalityq!D1677="")*(COUNTIF(reference!$C$17:$C$18,TRIM(hospitalityq!D1677))=0)</f>
        <v>0</v>
      </c>
      <c r="J1677">
        <f>NOT(hospitalityq!J1677="")*(NOT(ISNUMBER(hospitalityq!J1677+0)))</f>
        <v>0</v>
      </c>
      <c r="K1677">
        <f>NOT(hospitalityq!K1677="")*(NOT(ISNUMBER(hospitalityq!K1677+0)))</f>
        <v>0</v>
      </c>
      <c r="P1677">
        <f>NOT(hospitalityq!P1677="")*(NOT(IFERROR(INT(hospitalityq!P1677)=VALUE(hospitalityq!P1677),FALSE)))</f>
        <v>0</v>
      </c>
      <c r="Q1677">
        <f>NOT(hospitalityq!Q1677="")*(NOT(IFERROR(INT(hospitalityq!Q1677)=VALUE(hospitalityq!Q1677),FALSE)))</f>
        <v>0</v>
      </c>
      <c r="R1677">
        <f>NOT(hospitalityq!R1677="")*(NOT(IFERROR(ROUND(VALUE(hospitalityq!R1677),2)=VALUE(hospitalityq!R1677),FALSE)))</f>
        <v>0</v>
      </c>
    </row>
    <row r="1678" spans="1:18" x14ac:dyDescent="0.25">
      <c r="A1678">
        <f t="shared" si="26"/>
        <v>0</v>
      </c>
      <c r="C1678">
        <f>NOT(hospitalityq!C1678="")*(SUMPRODUCT(--(TRIM(hospitalityq!C6:C1678)=TRIM(hospitalityq!C1678)))&gt;1)</f>
        <v>0</v>
      </c>
      <c r="D1678">
        <f>NOT(hospitalityq!D1678="")*(COUNTIF(reference!$C$17:$C$18,TRIM(hospitalityq!D1678))=0)</f>
        <v>0</v>
      </c>
      <c r="J1678">
        <f>NOT(hospitalityq!J1678="")*(NOT(ISNUMBER(hospitalityq!J1678+0)))</f>
        <v>0</v>
      </c>
      <c r="K1678">
        <f>NOT(hospitalityq!K1678="")*(NOT(ISNUMBER(hospitalityq!K1678+0)))</f>
        <v>0</v>
      </c>
      <c r="P1678">
        <f>NOT(hospitalityq!P1678="")*(NOT(IFERROR(INT(hospitalityq!P1678)=VALUE(hospitalityq!P1678),FALSE)))</f>
        <v>0</v>
      </c>
      <c r="Q1678">
        <f>NOT(hospitalityq!Q1678="")*(NOT(IFERROR(INT(hospitalityq!Q1678)=VALUE(hospitalityq!Q1678),FALSE)))</f>
        <v>0</v>
      </c>
      <c r="R1678">
        <f>NOT(hospitalityq!R1678="")*(NOT(IFERROR(ROUND(VALUE(hospitalityq!R1678),2)=VALUE(hospitalityq!R1678),FALSE)))</f>
        <v>0</v>
      </c>
    </row>
    <row r="1679" spans="1:18" x14ac:dyDescent="0.25">
      <c r="A1679">
        <f t="shared" si="26"/>
        <v>0</v>
      </c>
      <c r="C1679">
        <f>NOT(hospitalityq!C1679="")*(SUMPRODUCT(--(TRIM(hospitalityq!C6:C1679)=TRIM(hospitalityq!C1679)))&gt;1)</f>
        <v>0</v>
      </c>
      <c r="D1679">
        <f>NOT(hospitalityq!D1679="")*(COUNTIF(reference!$C$17:$C$18,TRIM(hospitalityq!D1679))=0)</f>
        <v>0</v>
      </c>
      <c r="J1679">
        <f>NOT(hospitalityq!J1679="")*(NOT(ISNUMBER(hospitalityq!J1679+0)))</f>
        <v>0</v>
      </c>
      <c r="K1679">
        <f>NOT(hospitalityq!K1679="")*(NOT(ISNUMBER(hospitalityq!K1679+0)))</f>
        <v>0</v>
      </c>
      <c r="P1679">
        <f>NOT(hospitalityq!P1679="")*(NOT(IFERROR(INT(hospitalityq!P1679)=VALUE(hospitalityq!P1679),FALSE)))</f>
        <v>0</v>
      </c>
      <c r="Q1679">
        <f>NOT(hospitalityq!Q1679="")*(NOT(IFERROR(INT(hospitalityq!Q1679)=VALUE(hospitalityq!Q1679),FALSE)))</f>
        <v>0</v>
      </c>
      <c r="R1679">
        <f>NOT(hospitalityq!R1679="")*(NOT(IFERROR(ROUND(VALUE(hospitalityq!R1679),2)=VALUE(hospitalityq!R1679),FALSE)))</f>
        <v>0</v>
      </c>
    </row>
    <row r="1680" spans="1:18" x14ac:dyDescent="0.25">
      <c r="A1680">
        <f t="shared" si="26"/>
        <v>0</v>
      </c>
      <c r="C1680">
        <f>NOT(hospitalityq!C1680="")*(SUMPRODUCT(--(TRIM(hospitalityq!C6:C1680)=TRIM(hospitalityq!C1680)))&gt;1)</f>
        <v>0</v>
      </c>
      <c r="D1680">
        <f>NOT(hospitalityq!D1680="")*(COUNTIF(reference!$C$17:$C$18,TRIM(hospitalityq!D1680))=0)</f>
        <v>0</v>
      </c>
      <c r="J1680">
        <f>NOT(hospitalityq!J1680="")*(NOT(ISNUMBER(hospitalityq!J1680+0)))</f>
        <v>0</v>
      </c>
      <c r="K1680">
        <f>NOT(hospitalityq!K1680="")*(NOT(ISNUMBER(hospitalityq!K1680+0)))</f>
        <v>0</v>
      </c>
      <c r="P1680">
        <f>NOT(hospitalityq!P1680="")*(NOT(IFERROR(INT(hospitalityq!P1680)=VALUE(hospitalityq!P1680),FALSE)))</f>
        <v>0</v>
      </c>
      <c r="Q1680">
        <f>NOT(hospitalityq!Q1680="")*(NOT(IFERROR(INT(hospitalityq!Q1680)=VALUE(hospitalityq!Q1680),FALSE)))</f>
        <v>0</v>
      </c>
      <c r="R1680">
        <f>NOT(hospitalityq!R1680="")*(NOT(IFERROR(ROUND(VALUE(hospitalityq!R1680),2)=VALUE(hospitalityq!R1680),FALSE)))</f>
        <v>0</v>
      </c>
    </row>
    <row r="1681" spans="1:18" x14ac:dyDescent="0.25">
      <c r="A1681">
        <f t="shared" si="26"/>
        <v>0</v>
      </c>
      <c r="C1681">
        <f>NOT(hospitalityq!C1681="")*(SUMPRODUCT(--(TRIM(hospitalityq!C6:C1681)=TRIM(hospitalityq!C1681)))&gt;1)</f>
        <v>0</v>
      </c>
      <c r="D1681">
        <f>NOT(hospitalityq!D1681="")*(COUNTIF(reference!$C$17:$C$18,TRIM(hospitalityq!D1681))=0)</f>
        <v>0</v>
      </c>
      <c r="J1681">
        <f>NOT(hospitalityq!J1681="")*(NOT(ISNUMBER(hospitalityq!J1681+0)))</f>
        <v>0</v>
      </c>
      <c r="K1681">
        <f>NOT(hospitalityq!K1681="")*(NOT(ISNUMBER(hospitalityq!K1681+0)))</f>
        <v>0</v>
      </c>
      <c r="P1681">
        <f>NOT(hospitalityq!P1681="")*(NOT(IFERROR(INT(hospitalityq!P1681)=VALUE(hospitalityq!P1681),FALSE)))</f>
        <v>0</v>
      </c>
      <c r="Q1681">
        <f>NOT(hospitalityq!Q1681="")*(NOT(IFERROR(INT(hospitalityq!Q1681)=VALUE(hospitalityq!Q1681),FALSE)))</f>
        <v>0</v>
      </c>
      <c r="R1681">
        <f>NOT(hospitalityq!R1681="")*(NOT(IFERROR(ROUND(VALUE(hospitalityq!R1681),2)=VALUE(hospitalityq!R1681),FALSE)))</f>
        <v>0</v>
      </c>
    </row>
    <row r="1682" spans="1:18" x14ac:dyDescent="0.25">
      <c r="A1682">
        <f t="shared" si="26"/>
        <v>0</v>
      </c>
      <c r="C1682">
        <f>NOT(hospitalityq!C1682="")*(SUMPRODUCT(--(TRIM(hospitalityq!C6:C1682)=TRIM(hospitalityq!C1682)))&gt;1)</f>
        <v>0</v>
      </c>
      <c r="D1682">
        <f>NOT(hospitalityq!D1682="")*(COUNTIF(reference!$C$17:$C$18,TRIM(hospitalityq!D1682))=0)</f>
        <v>0</v>
      </c>
      <c r="J1682">
        <f>NOT(hospitalityq!J1682="")*(NOT(ISNUMBER(hospitalityq!J1682+0)))</f>
        <v>0</v>
      </c>
      <c r="K1682">
        <f>NOT(hospitalityq!K1682="")*(NOT(ISNUMBER(hospitalityq!K1682+0)))</f>
        <v>0</v>
      </c>
      <c r="P1682">
        <f>NOT(hospitalityq!P1682="")*(NOT(IFERROR(INT(hospitalityq!P1682)=VALUE(hospitalityq!P1682),FALSE)))</f>
        <v>0</v>
      </c>
      <c r="Q1682">
        <f>NOT(hospitalityq!Q1682="")*(NOT(IFERROR(INT(hospitalityq!Q1682)=VALUE(hospitalityq!Q1682),FALSE)))</f>
        <v>0</v>
      </c>
      <c r="R1682">
        <f>NOT(hospitalityq!R1682="")*(NOT(IFERROR(ROUND(VALUE(hospitalityq!R1682),2)=VALUE(hospitalityq!R1682),FALSE)))</f>
        <v>0</v>
      </c>
    </row>
    <row r="1683" spans="1:18" x14ac:dyDescent="0.25">
      <c r="A1683">
        <f t="shared" si="26"/>
        <v>0</v>
      </c>
      <c r="C1683">
        <f>NOT(hospitalityq!C1683="")*(SUMPRODUCT(--(TRIM(hospitalityq!C6:C1683)=TRIM(hospitalityq!C1683)))&gt;1)</f>
        <v>0</v>
      </c>
      <c r="D1683">
        <f>NOT(hospitalityq!D1683="")*(COUNTIF(reference!$C$17:$C$18,TRIM(hospitalityq!D1683))=0)</f>
        <v>0</v>
      </c>
      <c r="J1683">
        <f>NOT(hospitalityq!J1683="")*(NOT(ISNUMBER(hospitalityq!J1683+0)))</f>
        <v>0</v>
      </c>
      <c r="K1683">
        <f>NOT(hospitalityq!K1683="")*(NOT(ISNUMBER(hospitalityq!K1683+0)))</f>
        <v>0</v>
      </c>
      <c r="P1683">
        <f>NOT(hospitalityq!P1683="")*(NOT(IFERROR(INT(hospitalityq!P1683)=VALUE(hospitalityq!P1683),FALSE)))</f>
        <v>0</v>
      </c>
      <c r="Q1683">
        <f>NOT(hospitalityq!Q1683="")*(NOT(IFERROR(INT(hospitalityq!Q1683)=VALUE(hospitalityq!Q1683),FALSE)))</f>
        <v>0</v>
      </c>
      <c r="R1683">
        <f>NOT(hospitalityq!R1683="")*(NOT(IFERROR(ROUND(VALUE(hospitalityq!R1683),2)=VALUE(hospitalityq!R1683),FALSE)))</f>
        <v>0</v>
      </c>
    </row>
    <row r="1684" spans="1:18" x14ac:dyDescent="0.25">
      <c r="A1684">
        <f t="shared" si="26"/>
        <v>0</v>
      </c>
      <c r="C1684">
        <f>NOT(hospitalityq!C1684="")*(SUMPRODUCT(--(TRIM(hospitalityq!C6:C1684)=TRIM(hospitalityq!C1684)))&gt;1)</f>
        <v>0</v>
      </c>
      <c r="D1684">
        <f>NOT(hospitalityq!D1684="")*(COUNTIF(reference!$C$17:$C$18,TRIM(hospitalityq!D1684))=0)</f>
        <v>0</v>
      </c>
      <c r="J1684">
        <f>NOT(hospitalityq!J1684="")*(NOT(ISNUMBER(hospitalityq!J1684+0)))</f>
        <v>0</v>
      </c>
      <c r="K1684">
        <f>NOT(hospitalityq!K1684="")*(NOT(ISNUMBER(hospitalityq!K1684+0)))</f>
        <v>0</v>
      </c>
      <c r="P1684">
        <f>NOT(hospitalityq!P1684="")*(NOT(IFERROR(INT(hospitalityq!P1684)=VALUE(hospitalityq!P1684),FALSE)))</f>
        <v>0</v>
      </c>
      <c r="Q1684">
        <f>NOT(hospitalityq!Q1684="")*(NOT(IFERROR(INT(hospitalityq!Q1684)=VALUE(hospitalityq!Q1684),FALSE)))</f>
        <v>0</v>
      </c>
      <c r="R1684">
        <f>NOT(hospitalityq!R1684="")*(NOT(IFERROR(ROUND(VALUE(hospitalityq!R1684),2)=VALUE(hospitalityq!R1684),FALSE)))</f>
        <v>0</v>
      </c>
    </row>
    <row r="1685" spans="1:18" x14ac:dyDescent="0.25">
      <c r="A1685">
        <f t="shared" si="26"/>
        <v>0</v>
      </c>
      <c r="C1685">
        <f>NOT(hospitalityq!C1685="")*(SUMPRODUCT(--(TRIM(hospitalityq!C6:C1685)=TRIM(hospitalityq!C1685)))&gt;1)</f>
        <v>0</v>
      </c>
      <c r="D1685">
        <f>NOT(hospitalityq!D1685="")*(COUNTIF(reference!$C$17:$C$18,TRIM(hospitalityq!D1685))=0)</f>
        <v>0</v>
      </c>
      <c r="J1685">
        <f>NOT(hospitalityq!J1685="")*(NOT(ISNUMBER(hospitalityq!J1685+0)))</f>
        <v>0</v>
      </c>
      <c r="K1685">
        <f>NOT(hospitalityq!K1685="")*(NOT(ISNUMBER(hospitalityq!K1685+0)))</f>
        <v>0</v>
      </c>
      <c r="P1685">
        <f>NOT(hospitalityq!P1685="")*(NOT(IFERROR(INT(hospitalityq!P1685)=VALUE(hospitalityq!P1685),FALSE)))</f>
        <v>0</v>
      </c>
      <c r="Q1685">
        <f>NOT(hospitalityq!Q1685="")*(NOT(IFERROR(INT(hospitalityq!Q1685)=VALUE(hospitalityq!Q1685),FALSE)))</f>
        <v>0</v>
      </c>
      <c r="R1685">
        <f>NOT(hospitalityq!R1685="")*(NOT(IFERROR(ROUND(VALUE(hospitalityq!R1685),2)=VALUE(hospitalityq!R1685),FALSE)))</f>
        <v>0</v>
      </c>
    </row>
    <row r="1686" spans="1:18" x14ac:dyDescent="0.25">
      <c r="A1686">
        <f t="shared" si="26"/>
        <v>0</v>
      </c>
      <c r="C1686">
        <f>NOT(hospitalityq!C1686="")*(SUMPRODUCT(--(TRIM(hospitalityq!C6:C1686)=TRIM(hospitalityq!C1686)))&gt;1)</f>
        <v>0</v>
      </c>
      <c r="D1686">
        <f>NOT(hospitalityq!D1686="")*(COUNTIF(reference!$C$17:$C$18,TRIM(hospitalityq!D1686))=0)</f>
        <v>0</v>
      </c>
      <c r="J1686">
        <f>NOT(hospitalityq!J1686="")*(NOT(ISNUMBER(hospitalityq!J1686+0)))</f>
        <v>0</v>
      </c>
      <c r="K1686">
        <f>NOT(hospitalityq!K1686="")*(NOT(ISNUMBER(hospitalityq!K1686+0)))</f>
        <v>0</v>
      </c>
      <c r="P1686">
        <f>NOT(hospitalityq!P1686="")*(NOT(IFERROR(INT(hospitalityq!P1686)=VALUE(hospitalityq!P1686),FALSE)))</f>
        <v>0</v>
      </c>
      <c r="Q1686">
        <f>NOT(hospitalityq!Q1686="")*(NOT(IFERROR(INT(hospitalityq!Q1686)=VALUE(hospitalityq!Q1686),FALSE)))</f>
        <v>0</v>
      </c>
      <c r="R1686">
        <f>NOT(hospitalityq!R1686="")*(NOT(IFERROR(ROUND(VALUE(hospitalityq!R1686),2)=VALUE(hospitalityq!R1686),FALSE)))</f>
        <v>0</v>
      </c>
    </row>
    <row r="1687" spans="1:18" x14ac:dyDescent="0.25">
      <c r="A1687">
        <f t="shared" si="26"/>
        <v>0</v>
      </c>
      <c r="C1687">
        <f>NOT(hospitalityq!C1687="")*(SUMPRODUCT(--(TRIM(hospitalityq!C6:C1687)=TRIM(hospitalityq!C1687)))&gt;1)</f>
        <v>0</v>
      </c>
      <c r="D1687">
        <f>NOT(hospitalityq!D1687="")*(COUNTIF(reference!$C$17:$C$18,TRIM(hospitalityq!D1687))=0)</f>
        <v>0</v>
      </c>
      <c r="J1687">
        <f>NOT(hospitalityq!J1687="")*(NOT(ISNUMBER(hospitalityq!J1687+0)))</f>
        <v>0</v>
      </c>
      <c r="K1687">
        <f>NOT(hospitalityq!K1687="")*(NOT(ISNUMBER(hospitalityq!K1687+0)))</f>
        <v>0</v>
      </c>
      <c r="P1687">
        <f>NOT(hospitalityq!P1687="")*(NOT(IFERROR(INT(hospitalityq!P1687)=VALUE(hospitalityq!P1687),FALSE)))</f>
        <v>0</v>
      </c>
      <c r="Q1687">
        <f>NOT(hospitalityq!Q1687="")*(NOT(IFERROR(INT(hospitalityq!Q1687)=VALUE(hospitalityq!Q1687),FALSE)))</f>
        <v>0</v>
      </c>
      <c r="R1687">
        <f>NOT(hospitalityq!R1687="")*(NOT(IFERROR(ROUND(VALUE(hospitalityq!R1687),2)=VALUE(hospitalityq!R1687),FALSE)))</f>
        <v>0</v>
      </c>
    </row>
    <row r="1688" spans="1:18" x14ac:dyDescent="0.25">
      <c r="A1688">
        <f t="shared" si="26"/>
        <v>0</v>
      </c>
      <c r="C1688">
        <f>NOT(hospitalityq!C1688="")*(SUMPRODUCT(--(TRIM(hospitalityq!C6:C1688)=TRIM(hospitalityq!C1688)))&gt;1)</f>
        <v>0</v>
      </c>
      <c r="D1688">
        <f>NOT(hospitalityq!D1688="")*(COUNTIF(reference!$C$17:$C$18,TRIM(hospitalityq!D1688))=0)</f>
        <v>0</v>
      </c>
      <c r="J1688">
        <f>NOT(hospitalityq!J1688="")*(NOT(ISNUMBER(hospitalityq!J1688+0)))</f>
        <v>0</v>
      </c>
      <c r="K1688">
        <f>NOT(hospitalityq!K1688="")*(NOT(ISNUMBER(hospitalityq!K1688+0)))</f>
        <v>0</v>
      </c>
      <c r="P1688">
        <f>NOT(hospitalityq!P1688="")*(NOT(IFERROR(INT(hospitalityq!P1688)=VALUE(hospitalityq!P1688),FALSE)))</f>
        <v>0</v>
      </c>
      <c r="Q1688">
        <f>NOT(hospitalityq!Q1688="")*(NOT(IFERROR(INT(hospitalityq!Q1688)=VALUE(hospitalityq!Q1688),FALSE)))</f>
        <v>0</v>
      </c>
      <c r="R1688">
        <f>NOT(hospitalityq!R1688="")*(NOT(IFERROR(ROUND(VALUE(hospitalityq!R1688),2)=VALUE(hospitalityq!R1688),FALSE)))</f>
        <v>0</v>
      </c>
    </row>
    <row r="1689" spans="1:18" x14ac:dyDescent="0.25">
      <c r="A1689">
        <f t="shared" si="26"/>
        <v>0</v>
      </c>
      <c r="C1689">
        <f>NOT(hospitalityq!C1689="")*(SUMPRODUCT(--(TRIM(hospitalityq!C6:C1689)=TRIM(hospitalityq!C1689)))&gt;1)</f>
        <v>0</v>
      </c>
      <c r="D1689">
        <f>NOT(hospitalityq!D1689="")*(COUNTIF(reference!$C$17:$C$18,TRIM(hospitalityq!D1689))=0)</f>
        <v>0</v>
      </c>
      <c r="J1689">
        <f>NOT(hospitalityq!J1689="")*(NOT(ISNUMBER(hospitalityq!J1689+0)))</f>
        <v>0</v>
      </c>
      <c r="K1689">
        <f>NOT(hospitalityq!K1689="")*(NOT(ISNUMBER(hospitalityq!K1689+0)))</f>
        <v>0</v>
      </c>
      <c r="P1689">
        <f>NOT(hospitalityq!P1689="")*(NOT(IFERROR(INT(hospitalityq!P1689)=VALUE(hospitalityq!P1689),FALSE)))</f>
        <v>0</v>
      </c>
      <c r="Q1689">
        <f>NOT(hospitalityq!Q1689="")*(NOT(IFERROR(INT(hospitalityq!Q1689)=VALUE(hospitalityq!Q1689),FALSE)))</f>
        <v>0</v>
      </c>
      <c r="R1689">
        <f>NOT(hospitalityq!R1689="")*(NOT(IFERROR(ROUND(VALUE(hospitalityq!R1689),2)=VALUE(hospitalityq!R1689),FALSE)))</f>
        <v>0</v>
      </c>
    </row>
    <row r="1690" spans="1:18" x14ac:dyDescent="0.25">
      <c r="A1690">
        <f t="shared" si="26"/>
        <v>0</v>
      </c>
      <c r="C1690">
        <f>NOT(hospitalityq!C1690="")*(SUMPRODUCT(--(TRIM(hospitalityq!C6:C1690)=TRIM(hospitalityq!C1690)))&gt;1)</f>
        <v>0</v>
      </c>
      <c r="D1690">
        <f>NOT(hospitalityq!D1690="")*(COUNTIF(reference!$C$17:$C$18,TRIM(hospitalityq!D1690))=0)</f>
        <v>0</v>
      </c>
      <c r="J1690">
        <f>NOT(hospitalityq!J1690="")*(NOT(ISNUMBER(hospitalityq!J1690+0)))</f>
        <v>0</v>
      </c>
      <c r="K1690">
        <f>NOT(hospitalityq!K1690="")*(NOT(ISNUMBER(hospitalityq!K1690+0)))</f>
        <v>0</v>
      </c>
      <c r="P1690">
        <f>NOT(hospitalityq!P1690="")*(NOT(IFERROR(INT(hospitalityq!P1690)=VALUE(hospitalityq!P1690),FALSE)))</f>
        <v>0</v>
      </c>
      <c r="Q1690">
        <f>NOT(hospitalityq!Q1690="")*(NOT(IFERROR(INT(hospitalityq!Q1690)=VALUE(hospitalityq!Q1690),FALSE)))</f>
        <v>0</v>
      </c>
      <c r="R1690">
        <f>NOT(hospitalityq!R1690="")*(NOT(IFERROR(ROUND(VALUE(hospitalityq!R1690),2)=VALUE(hospitalityq!R1690),FALSE)))</f>
        <v>0</v>
      </c>
    </row>
    <row r="1691" spans="1:18" x14ac:dyDescent="0.25">
      <c r="A1691">
        <f t="shared" si="26"/>
        <v>0</v>
      </c>
      <c r="C1691">
        <f>NOT(hospitalityq!C1691="")*(SUMPRODUCT(--(TRIM(hospitalityq!C6:C1691)=TRIM(hospitalityq!C1691)))&gt;1)</f>
        <v>0</v>
      </c>
      <c r="D1691">
        <f>NOT(hospitalityq!D1691="")*(COUNTIF(reference!$C$17:$C$18,TRIM(hospitalityq!D1691))=0)</f>
        <v>0</v>
      </c>
      <c r="J1691">
        <f>NOT(hospitalityq!J1691="")*(NOT(ISNUMBER(hospitalityq!J1691+0)))</f>
        <v>0</v>
      </c>
      <c r="K1691">
        <f>NOT(hospitalityq!K1691="")*(NOT(ISNUMBER(hospitalityq!K1691+0)))</f>
        <v>0</v>
      </c>
      <c r="P1691">
        <f>NOT(hospitalityq!P1691="")*(NOT(IFERROR(INT(hospitalityq!P1691)=VALUE(hospitalityq!P1691),FALSE)))</f>
        <v>0</v>
      </c>
      <c r="Q1691">
        <f>NOT(hospitalityq!Q1691="")*(NOT(IFERROR(INT(hospitalityq!Q1691)=VALUE(hospitalityq!Q1691),FALSE)))</f>
        <v>0</v>
      </c>
      <c r="R1691">
        <f>NOT(hospitalityq!R1691="")*(NOT(IFERROR(ROUND(VALUE(hospitalityq!R1691),2)=VALUE(hospitalityq!R1691),FALSE)))</f>
        <v>0</v>
      </c>
    </row>
    <row r="1692" spans="1:18" x14ac:dyDescent="0.25">
      <c r="A1692">
        <f t="shared" si="26"/>
        <v>0</v>
      </c>
      <c r="C1692">
        <f>NOT(hospitalityq!C1692="")*(SUMPRODUCT(--(TRIM(hospitalityq!C6:C1692)=TRIM(hospitalityq!C1692)))&gt;1)</f>
        <v>0</v>
      </c>
      <c r="D1692">
        <f>NOT(hospitalityq!D1692="")*(COUNTIF(reference!$C$17:$C$18,TRIM(hospitalityq!D1692))=0)</f>
        <v>0</v>
      </c>
      <c r="J1692">
        <f>NOT(hospitalityq!J1692="")*(NOT(ISNUMBER(hospitalityq!J1692+0)))</f>
        <v>0</v>
      </c>
      <c r="K1692">
        <f>NOT(hospitalityq!K1692="")*(NOT(ISNUMBER(hospitalityq!K1692+0)))</f>
        <v>0</v>
      </c>
      <c r="P1692">
        <f>NOT(hospitalityq!P1692="")*(NOT(IFERROR(INT(hospitalityq!P1692)=VALUE(hospitalityq!P1692),FALSE)))</f>
        <v>0</v>
      </c>
      <c r="Q1692">
        <f>NOT(hospitalityq!Q1692="")*(NOT(IFERROR(INT(hospitalityq!Q1692)=VALUE(hospitalityq!Q1692),FALSE)))</f>
        <v>0</v>
      </c>
      <c r="R1692">
        <f>NOT(hospitalityq!R1692="")*(NOT(IFERROR(ROUND(VALUE(hospitalityq!R1692),2)=VALUE(hospitalityq!R1692),FALSE)))</f>
        <v>0</v>
      </c>
    </row>
    <row r="1693" spans="1:18" x14ac:dyDescent="0.25">
      <c r="A1693">
        <f t="shared" si="26"/>
        <v>0</v>
      </c>
      <c r="C1693">
        <f>NOT(hospitalityq!C1693="")*(SUMPRODUCT(--(TRIM(hospitalityq!C6:C1693)=TRIM(hospitalityq!C1693)))&gt;1)</f>
        <v>0</v>
      </c>
      <c r="D1693">
        <f>NOT(hospitalityq!D1693="")*(COUNTIF(reference!$C$17:$C$18,TRIM(hospitalityq!D1693))=0)</f>
        <v>0</v>
      </c>
      <c r="J1693">
        <f>NOT(hospitalityq!J1693="")*(NOT(ISNUMBER(hospitalityq!J1693+0)))</f>
        <v>0</v>
      </c>
      <c r="K1693">
        <f>NOT(hospitalityq!K1693="")*(NOT(ISNUMBER(hospitalityq!K1693+0)))</f>
        <v>0</v>
      </c>
      <c r="P1693">
        <f>NOT(hospitalityq!P1693="")*(NOT(IFERROR(INT(hospitalityq!P1693)=VALUE(hospitalityq!P1693),FALSE)))</f>
        <v>0</v>
      </c>
      <c r="Q1693">
        <f>NOT(hospitalityq!Q1693="")*(NOT(IFERROR(INT(hospitalityq!Q1693)=VALUE(hospitalityq!Q1693),FALSE)))</f>
        <v>0</v>
      </c>
      <c r="R1693">
        <f>NOT(hospitalityq!R1693="")*(NOT(IFERROR(ROUND(VALUE(hospitalityq!R1693),2)=VALUE(hospitalityq!R1693),FALSE)))</f>
        <v>0</v>
      </c>
    </row>
    <row r="1694" spans="1:18" x14ac:dyDescent="0.25">
      <c r="A1694">
        <f t="shared" si="26"/>
        <v>0</v>
      </c>
      <c r="C1694">
        <f>NOT(hospitalityq!C1694="")*(SUMPRODUCT(--(TRIM(hospitalityq!C6:C1694)=TRIM(hospitalityq!C1694)))&gt;1)</f>
        <v>0</v>
      </c>
      <c r="D1694">
        <f>NOT(hospitalityq!D1694="")*(COUNTIF(reference!$C$17:$C$18,TRIM(hospitalityq!D1694))=0)</f>
        <v>0</v>
      </c>
      <c r="J1694">
        <f>NOT(hospitalityq!J1694="")*(NOT(ISNUMBER(hospitalityq!J1694+0)))</f>
        <v>0</v>
      </c>
      <c r="K1694">
        <f>NOT(hospitalityq!K1694="")*(NOT(ISNUMBER(hospitalityq!K1694+0)))</f>
        <v>0</v>
      </c>
      <c r="P1694">
        <f>NOT(hospitalityq!P1694="")*(NOT(IFERROR(INT(hospitalityq!P1694)=VALUE(hospitalityq!P1694),FALSE)))</f>
        <v>0</v>
      </c>
      <c r="Q1694">
        <f>NOT(hospitalityq!Q1694="")*(NOT(IFERROR(INT(hospitalityq!Q1694)=VALUE(hospitalityq!Q1694),FALSE)))</f>
        <v>0</v>
      </c>
      <c r="R1694">
        <f>NOT(hospitalityq!R1694="")*(NOT(IFERROR(ROUND(VALUE(hospitalityq!R1694),2)=VALUE(hospitalityq!R1694),FALSE)))</f>
        <v>0</v>
      </c>
    </row>
    <row r="1695" spans="1:18" x14ac:dyDescent="0.25">
      <c r="A1695">
        <f t="shared" si="26"/>
        <v>0</v>
      </c>
      <c r="C1695">
        <f>NOT(hospitalityq!C1695="")*(SUMPRODUCT(--(TRIM(hospitalityq!C6:C1695)=TRIM(hospitalityq!C1695)))&gt;1)</f>
        <v>0</v>
      </c>
      <c r="D1695">
        <f>NOT(hospitalityq!D1695="")*(COUNTIF(reference!$C$17:$C$18,TRIM(hospitalityq!D1695))=0)</f>
        <v>0</v>
      </c>
      <c r="J1695">
        <f>NOT(hospitalityq!J1695="")*(NOT(ISNUMBER(hospitalityq!J1695+0)))</f>
        <v>0</v>
      </c>
      <c r="K1695">
        <f>NOT(hospitalityq!K1695="")*(NOT(ISNUMBER(hospitalityq!K1695+0)))</f>
        <v>0</v>
      </c>
      <c r="P1695">
        <f>NOT(hospitalityq!P1695="")*(NOT(IFERROR(INT(hospitalityq!P1695)=VALUE(hospitalityq!P1695),FALSE)))</f>
        <v>0</v>
      </c>
      <c r="Q1695">
        <f>NOT(hospitalityq!Q1695="")*(NOT(IFERROR(INT(hospitalityq!Q1695)=VALUE(hospitalityq!Q1695),FALSE)))</f>
        <v>0</v>
      </c>
      <c r="R1695">
        <f>NOT(hospitalityq!R1695="")*(NOT(IFERROR(ROUND(VALUE(hospitalityq!R1695),2)=VALUE(hospitalityq!R1695),FALSE)))</f>
        <v>0</v>
      </c>
    </row>
    <row r="1696" spans="1:18" x14ac:dyDescent="0.25">
      <c r="A1696">
        <f t="shared" si="26"/>
        <v>0</v>
      </c>
      <c r="C1696">
        <f>NOT(hospitalityq!C1696="")*(SUMPRODUCT(--(TRIM(hospitalityq!C6:C1696)=TRIM(hospitalityq!C1696)))&gt;1)</f>
        <v>0</v>
      </c>
      <c r="D1696">
        <f>NOT(hospitalityq!D1696="")*(COUNTIF(reference!$C$17:$C$18,TRIM(hospitalityq!D1696))=0)</f>
        <v>0</v>
      </c>
      <c r="J1696">
        <f>NOT(hospitalityq!J1696="")*(NOT(ISNUMBER(hospitalityq!J1696+0)))</f>
        <v>0</v>
      </c>
      <c r="K1696">
        <f>NOT(hospitalityq!K1696="")*(NOT(ISNUMBER(hospitalityq!K1696+0)))</f>
        <v>0</v>
      </c>
      <c r="P1696">
        <f>NOT(hospitalityq!P1696="")*(NOT(IFERROR(INT(hospitalityq!P1696)=VALUE(hospitalityq!P1696),FALSE)))</f>
        <v>0</v>
      </c>
      <c r="Q1696">
        <f>NOT(hospitalityq!Q1696="")*(NOT(IFERROR(INT(hospitalityq!Q1696)=VALUE(hospitalityq!Q1696),FALSE)))</f>
        <v>0</v>
      </c>
      <c r="R1696">
        <f>NOT(hospitalityq!R1696="")*(NOT(IFERROR(ROUND(VALUE(hospitalityq!R1696),2)=VALUE(hospitalityq!R1696),FALSE)))</f>
        <v>0</v>
      </c>
    </row>
    <row r="1697" spans="1:18" x14ac:dyDescent="0.25">
      <c r="A1697">
        <f t="shared" si="26"/>
        <v>0</v>
      </c>
      <c r="C1697">
        <f>NOT(hospitalityq!C1697="")*(SUMPRODUCT(--(TRIM(hospitalityq!C6:C1697)=TRIM(hospitalityq!C1697)))&gt;1)</f>
        <v>0</v>
      </c>
      <c r="D1697">
        <f>NOT(hospitalityq!D1697="")*(COUNTIF(reference!$C$17:$C$18,TRIM(hospitalityq!D1697))=0)</f>
        <v>0</v>
      </c>
      <c r="J1697">
        <f>NOT(hospitalityq!J1697="")*(NOT(ISNUMBER(hospitalityq!J1697+0)))</f>
        <v>0</v>
      </c>
      <c r="K1697">
        <f>NOT(hospitalityq!K1697="")*(NOT(ISNUMBER(hospitalityq!K1697+0)))</f>
        <v>0</v>
      </c>
      <c r="P1697">
        <f>NOT(hospitalityq!P1697="")*(NOT(IFERROR(INT(hospitalityq!P1697)=VALUE(hospitalityq!P1697),FALSE)))</f>
        <v>0</v>
      </c>
      <c r="Q1697">
        <f>NOT(hospitalityq!Q1697="")*(NOT(IFERROR(INT(hospitalityq!Q1697)=VALUE(hospitalityq!Q1697),FALSE)))</f>
        <v>0</v>
      </c>
      <c r="R1697">
        <f>NOT(hospitalityq!R1697="")*(NOT(IFERROR(ROUND(VALUE(hospitalityq!R1697),2)=VALUE(hospitalityq!R1697),FALSE)))</f>
        <v>0</v>
      </c>
    </row>
    <row r="1698" spans="1:18" x14ac:dyDescent="0.25">
      <c r="A1698">
        <f t="shared" si="26"/>
        <v>0</v>
      </c>
      <c r="C1698">
        <f>NOT(hospitalityq!C1698="")*(SUMPRODUCT(--(TRIM(hospitalityq!C6:C1698)=TRIM(hospitalityq!C1698)))&gt;1)</f>
        <v>0</v>
      </c>
      <c r="D1698">
        <f>NOT(hospitalityq!D1698="")*(COUNTIF(reference!$C$17:$C$18,TRIM(hospitalityq!D1698))=0)</f>
        <v>0</v>
      </c>
      <c r="J1698">
        <f>NOT(hospitalityq!J1698="")*(NOT(ISNUMBER(hospitalityq!J1698+0)))</f>
        <v>0</v>
      </c>
      <c r="K1698">
        <f>NOT(hospitalityq!K1698="")*(NOT(ISNUMBER(hospitalityq!K1698+0)))</f>
        <v>0</v>
      </c>
      <c r="P1698">
        <f>NOT(hospitalityq!P1698="")*(NOT(IFERROR(INT(hospitalityq!P1698)=VALUE(hospitalityq!P1698),FALSE)))</f>
        <v>0</v>
      </c>
      <c r="Q1698">
        <f>NOT(hospitalityq!Q1698="")*(NOT(IFERROR(INT(hospitalityq!Q1698)=VALUE(hospitalityq!Q1698),FALSE)))</f>
        <v>0</v>
      </c>
      <c r="R1698">
        <f>NOT(hospitalityq!R1698="")*(NOT(IFERROR(ROUND(VALUE(hospitalityq!R1698),2)=VALUE(hospitalityq!R1698),FALSE)))</f>
        <v>0</v>
      </c>
    </row>
    <row r="1699" spans="1:18" x14ac:dyDescent="0.25">
      <c r="A1699">
        <f t="shared" si="26"/>
        <v>0</v>
      </c>
      <c r="C1699">
        <f>NOT(hospitalityq!C1699="")*(SUMPRODUCT(--(TRIM(hospitalityq!C6:C1699)=TRIM(hospitalityq!C1699)))&gt;1)</f>
        <v>0</v>
      </c>
      <c r="D1699">
        <f>NOT(hospitalityq!D1699="")*(COUNTIF(reference!$C$17:$C$18,TRIM(hospitalityq!D1699))=0)</f>
        <v>0</v>
      </c>
      <c r="J1699">
        <f>NOT(hospitalityq!J1699="")*(NOT(ISNUMBER(hospitalityq!J1699+0)))</f>
        <v>0</v>
      </c>
      <c r="K1699">
        <f>NOT(hospitalityq!K1699="")*(NOT(ISNUMBER(hospitalityq!K1699+0)))</f>
        <v>0</v>
      </c>
      <c r="P1699">
        <f>NOT(hospitalityq!P1699="")*(NOT(IFERROR(INT(hospitalityq!P1699)=VALUE(hospitalityq!P1699),FALSE)))</f>
        <v>0</v>
      </c>
      <c r="Q1699">
        <f>NOT(hospitalityq!Q1699="")*(NOT(IFERROR(INT(hospitalityq!Q1699)=VALUE(hospitalityq!Q1699),FALSE)))</f>
        <v>0</v>
      </c>
      <c r="R1699">
        <f>NOT(hospitalityq!R1699="")*(NOT(IFERROR(ROUND(VALUE(hospitalityq!R1699),2)=VALUE(hospitalityq!R1699),FALSE)))</f>
        <v>0</v>
      </c>
    </row>
    <row r="1700" spans="1:18" x14ac:dyDescent="0.25">
      <c r="A1700">
        <f t="shared" si="26"/>
        <v>0</v>
      </c>
      <c r="C1700">
        <f>NOT(hospitalityq!C1700="")*(SUMPRODUCT(--(TRIM(hospitalityq!C6:C1700)=TRIM(hospitalityq!C1700)))&gt;1)</f>
        <v>0</v>
      </c>
      <c r="D1700">
        <f>NOT(hospitalityq!D1700="")*(COUNTIF(reference!$C$17:$C$18,TRIM(hospitalityq!D1700))=0)</f>
        <v>0</v>
      </c>
      <c r="J1700">
        <f>NOT(hospitalityq!J1700="")*(NOT(ISNUMBER(hospitalityq!J1700+0)))</f>
        <v>0</v>
      </c>
      <c r="K1700">
        <f>NOT(hospitalityq!K1700="")*(NOT(ISNUMBER(hospitalityq!K1700+0)))</f>
        <v>0</v>
      </c>
      <c r="P1700">
        <f>NOT(hospitalityq!P1700="")*(NOT(IFERROR(INT(hospitalityq!P1700)=VALUE(hospitalityq!P1700),FALSE)))</f>
        <v>0</v>
      </c>
      <c r="Q1700">
        <f>NOT(hospitalityq!Q1700="")*(NOT(IFERROR(INT(hospitalityq!Q1700)=VALUE(hospitalityq!Q1700),FALSE)))</f>
        <v>0</v>
      </c>
      <c r="R1700">
        <f>NOT(hospitalityq!R1700="")*(NOT(IFERROR(ROUND(VALUE(hospitalityq!R1700),2)=VALUE(hospitalityq!R1700),FALSE)))</f>
        <v>0</v>
      </c>
    </row>
    <row r="1701" spans="1:18" x14ac:dyDescent="0.25">
      <c r="A1701">
        <f t="shared" si="26"/>
        <v>0</v>
      </c>
      <c r="C1701">
        <f>NOT(hospitalityq!C1701="")*(SUMPRODUCT(--(TRIM(hospitalityq!C6:C1701)=TRIM(hospitalityq!C1701)))&gt;1)</f>
        <v>0</v>
      </c>
      <c r="D1701">
        <f>NOT(hospitalityq!D1701="")*(COUNTIF(reference!$C$17:$C$18,TRIM(hospitalityq!D1701))=0)</f>
        <v>0</v>
      </c>
      <c r="J1701">
        <f>NOT(hospitalityq!J1701="")*(NOT(ISNUMBER(hospitalityq!J1701+0)))</f>
        <v>0</v>
      </c>
      <c r="K1701">
        <f>NOT(hospitalityq!K1701="")*(NOT(ISNUMBER(hospitalityq!K1701+0)))</f>
        <v>0</v>
      </c>
      <c r="P1701">
        <f>NOT(hospitalityq!P1701="")*(NOT(IFERROR(INT(hospitalityq!P1701)=VALUE(hospitalityq!P1701),FALSE)))</f>
        <v>0</v>
      </c>
      <c r="Q1701">
        <f>NOT(hospitalityq!Q1701="")*(NOT(IFERROR(INT(hospitalityq!Q1701)=VALUE(hospitalityq!Q1701),FALSE)))</f>
        <v>0</v>
      </c>
      <c r="R1701">
        <f>NOT(hospitalityq!R1701="")*(NOT(IFERROR(ROUND(VALUE(hospitalityq!R1701),2)=VALUE(hospitalityq!R1701),FALSE)))</f>
        <v>0</v>
      </c>
    </row>
    <row r="1702" spans="1:18" x14ac:dyDescent="0.25">
      <c r="A1702">
        <f t="shared" si="26"/>
        <v>0</v>
      </c>
      <c r="C1702">
        <f>NOT(hospitalityq!C1702="")*(SUMPRODUCT(--(TRIM(hospitalityq!C6:C1702)=TRIM(hospitalityq!C1702)))&gt;1)</f>
        <v>0</v>
      </c>
      <c r="D1702">
        <f>NOT(hospitalityq!D1702="")*(COUNTIF(reference!$C$17:$C$18,TRIM(hospitalityq!D1702))=0)</f>
        <v>0</v>
      </c>
      <c r="J1702">
        <f>NOT(hospitalityq!J1702="")*(NOT(ISNUMBER(hospitalityq!J1702+0)))</f>
        <v>0</v>
      </c>
      <c r="K1702">
        <f>NOT(hospitalityq!K1702="")*(NOT(ISNUMBER(hospitalityq!K1702+0)))</f>
        <v>0</v>
      </c>
      <c r="P1702">
        <f>NOT(hospitalityq!P1702="")*(NOT(IFERROR(INT(hospitalityq!P1702)=VALUE(hospitalityq!P1702),FALSE)))</f>
        <v>0</v>
      </c>
      <c r="Q1702">
        <f>NOT(hospitalityq!Q1702="")*(NOT(IFERROR(INT(hospitalityq!Q1702)=VALUE(hospitalityq!Q1702),FALSE)))</f>
        <v>0</v>
      </c>
      <c r="R1702">
        <f>NOT(hospitalityq!R1702="")*(NOT(IFERROR(ROUND(VALUE(hospitalityq!R1702),2)=VALUE(hospitalityq!R1702),FALSE)))</f>
        <v>0</v>
      </c>
    </row>
    <row r="1703" spans="1:18" x14ac:dyDescent="0.25">
      <c r="A1703">
        <f t="shared" si="26"/>
        <v>0</v>
      </c>
      <c r="C1703">
        <f>NOT(hospitalityq!C1703="")*(SUMPRODUCT(--(TRIM(hospitalityq!C6:C1703)=TRIM(hospitalityq!C1703)))&gt;1)</f>
        <v>0</v>
      </c>
      <c r="D1703">
        <f>NOT(hospitalityq!D1703="")*(COUNTIF(reference!$C$17:$C$18,TRIM(hospitalityq!D1703))=0)</f>
        <v>0</v>
      </c>
      <c r="J1703">
        <f>NOT(hospitalityq!J1703="")*(NOT(ISNUMBER(hospitalityq!J1703+0)))</f>
        <v>0</v>
      </c>
      <c r="K1703">
        <f>NOT(hospitalityq!K1703="")*(NOT(ISNUMBER(hospitalityq!K1703+0)))</f>
        <v>0</v>
      </c>
      <c r="P1703">
        <f>NOT(hospitalityq!P1703="")*(NOT(IFERROR(INT(hospitalityq!P1703)=VALUE(hospitalityq!P1703),FALSE)))</f>
        <v>0</v>
      </c>
      <c r="Q1703">
        <f>NOT(hospitalityq!Q1703="")*(NOT(IFERROR(INT(hospitalityq!Q1703)=VALUE(hospitalityq!Q1703),FALSE)))</f>
        <v>0</v>
      </c>
      <c r="R1703">
        <f>NOT(hospitalityq!R1703="")*(NOT(IFERROR(ROUND(VALUE(hospitalityq!R1703),2)=VALUE(hospitalityq!R1703),FALSE)))</f>
        <v>0</v>
      </c>
    </row>
    <row r="1704" spans="1:18" x14ac:dyDescent="0.25">
      <c r="A1704">
        <f t="shared" si="26"/>
        <v>0</v>
      </c>
      <c r="C1704">
        <f>NOT(hospitalityq!C1704="")*(SUMPRODUCT(--(TRIM(hospitalityq!C6:C1704)=TRIM(hospitalityq!C1704)))&gt;1)</f>
        <v>0</v>
      </c>
      <c r="D1704">
        <f>NOT(hospitalityq!D1704="")*(COUNTIF(reference!$C$17:$C$18,TRIM(hospitalityq!D1704))=0)</f>
        <v>0</v>
      </c>
      <c r="J1704">
        <f>NOT(hospitalityq!J1704="")*(NOT(ISNUMBER(hospitalityq!J1704+0)))</f>
        <v>0</v>
      </c>
      <c r="K1704">
        <f>NOT(hospitalityq!K1704="")*(NOT(ISNUMBER(hospitalityq!K1704+0)))</f>
        <v>0</v>
      </c>
      <c r="P1704">
        <f>NOT(hospitalityq!P1704="")*(NOT(IFERROR(INT(hospitalityq!P1704)=VALUE(hospitalityq!P1704),FALSE)))</f>
        <v>0</v>
      </c>
      <c r="Q1704">
        <f>NOT(hospitalityq!Q1704="")*(NOT(IFERROR(INT(hospitalityq!Q1704)=VALUE(hospitalityq!Q1704),FALSE)))</f>
        <v>0</v>
      </c>
      <c r="R1704">
        <f>NOT(hospitalityq!R1704="")*(NOT(IFERROR(ROUND(VALUE(hospitalityq!R1704),2)=VALUE(hospitalityq!R1704),FALSE)))</f>
        <v>0</v>
      </c>
    </row>
    <row r="1705" spans="1:18" x14ac:dyDescent="0.25">
      <c r="A1705">
        <f t="shared" si="26"/>
        <v>0</v>
      </c>
      <c r="C1705">
        <f>NOT(hospitalityq!C1705="")*(SUMPRODUCT(--(TRIM(hospitalityq!C6:C1705)=TRIM(hospitalityq!C1705)))&gt;1)</f>
        <v>0</v>
      </c>
      <c r="D1705">
        <f>NOT(hospitalityq!D1705="")*(COUNTIF(reference!$C$17:$C$18,TRIM(hospitalityq!D1705))=0)</f>
        <v>0</v>
      </c>
      <c r="J1705">
        <f>NOT(hospitalityq!J1705="")*(NOT(ISNUMBER(hospitalityq!J1705+0)))</f>
        <v>0</v>
      </c>
      <c r="K1705">
        <f>NOT(hospitalityq!K1705="")*(NOT(ISNUMBER(hospitalityq!K1705+0)))</f>
        <v>0</v>
      </c>
      <c r="P1705">
        <f>NOT(hospitalityq!P1705="")*(NOT(IFERROR(INT(hospitalityq!P1705)=VALUE(hospitalityq!P1705),FALSE)))</f>
        <v>0</v>
      </c>
      <c r="Q1705">
        <f>NOT(hospitalityq!Q1705="")*(NOT(IFERROR(INT(hospitalityq!Q1705)=VALUE(hospitalityq!Q1705),FALSE)))</f>
        <v>0</v>
      </c>
      <c r="R1705">
        <f>NOT(hospitalityq!R1705="")*(NOT(IFERROR(ROUND(VALUE(hospitalityq!R1705),2)=VALUE(hospitalityq!R1705),FALSE)))</f>
        <v>0</v>
      </c>
    </row>
    <row r="1706" spans="1:18" x14ac:dyDescent="0.25">
      <c r="A1706">
        <f t="shared" si="26"/>
        <v>0</v>
      </c>
      <c r="C1706">
        <f>NOT(hospitalityq!C1706="")*(SUMPRODUCT(--(TRIM(hospitalityq!C6:C1706)=TRIM(hospitalityq!C1706)))&gt;1)</f>
        <v>0</v>
      </c>
      <c r="D1706">
        <f>NOT(hospitalityq!D1706="")*(COUNTIF(reference!$C$17:$C$18,TRIM(hospitalityq!D1706))=0)</f>
        <v>0</v>
      </c>
      <c r="J1706">
        <f>NOT(hospitalityq!J1706="")*(NOT(ISNUMBER(hospitalityq!J1706+0)))</f>
        <v>0</v>
      </c>
      <c r="K1706">
        <f>NOT(hospitalityq!K1706="")*(NOT(ISNUMBER(hospitalityq!K1706+0)))</f>
        <v>0</v>
      </c>
      <c r="P1706">
        <f>NOT(hospitalityq!P1706="")*(NOT(IFERROR(INT(hospitalityq!P1706)=VALUE(hospitalityq!P1706),FALSE)))</f>
        <v>0</v>
      </c>
      <c r="Q1706">
        <f>NOT(hospitalityq!Q1706="")*(NOT(IFERROR(INT(hospitalityq!Q1706)=VALUE(hospitalityq!Q1706),FALSE)))</f>
        <v>0</v>
      </c>
      <c r="R1706">
        <f>NOT(hospitalityq!R1706="")*(NOT(IFERROR(ROUND(VALUE(hospitalityq!R1706),2)=VALUE(hospitalityq!R1706),FALSE)))</f>
        <v>0</v>
      </c>
    </row>
    <row r="1707" spans="1:18" x14ac:dyDescent="0.25">
      <c r="A1707">
        <f t="shared" si="26"/>
        <v>0</v>
      </c>
      <c r="C1707">
        <f>NOT(hospitalityq!C1707="")*(SUMPRODUCT(--(TRIM(hospitalityq!C6:C1707)=TRIM(hospitalityq!C1707)))&gt;1)</f>
        <v>0</v>
      </c>
      <c r="D1707">
        <f>NOT(hospitalityq!D1707="")*(COUNTIF(reference!$C$17:$C$18,TRIM(hospitalityq!D1707))=0)</f>
        <v>0</v>
      </c>
      <c r="J1707">
        <f>NOT(hospitalityq!J1707="")*(NOT(ISNUMBER(hospitalityq!J1707+0)))</f>
        <v>0</v>
      </c>
      <c r="K1707">
        <f>NOT(hospitalityq!K1707="")*(NOT(ISNUMBER(hospitalityq!K1707+0)))</f>
        <v>0</v>
      </c>
      <c r="P1707">
        <f>NOT(hospitalityq!P1707="")*(NOT(IFERROR(INT(hospitalityq!P1707)=VALUE(hospitalityq!P1707),FALSE)))</f>
        <v>0</v>
      </c>
      <c r="Q1707">
        <f>NOT(hospitalityq!Q1707="")*(NOT(IFERROR(INT(hospitalityq!Q1707)=VALUE(hospitalityq!Q1707),FALSE)))</f>
        <v>0</v>
      </c>
      <c r="R1707">
        <f>NOT(hospitalityq!R1707="")*(NOT(IFERROR(ROUND(VALUE(hospitalityq!R1707),2)=VALUE(hospitalityq!R1707),FALSE)))</f>
        <v>0</v>
      </c>
    </row>
    <row r="1708" spans="1:18" x14ac:dyDescent="0.25">
      <c r="A1708">
        <f t="shared" si="26"/>
        <v>0</v>
      </c>
      <c r="C1708">
        <f>NOT(hospitalityq!C1708="")*(SUMPRODUCT(--(TRIM(hospitalityq!C6:C1708)=TRIM(hospitalityq!C1708)))&gt;1)</f>
        <v>0</v>
      </c>
      <c r="D1708">
        <f>NOT(hospitalityq!D1708="")*(COUNTIF(reference!$C$17:$C$18,TRIM(hospitalityq!D1708))=0)</f>
        <v>0</v>
      </c>
      <c r="J1708">
        <f>NOT(hospitalityq!J1708="")*(NOT(ISNUMBER(hospitalityq!J1708+0)))</f>
        <v>0</v>
      </c>
      <c r="K1708">
        <f>NOT(hospitalityq!K1708="")*(NOT(ISNUMBER(hospitalityq!K1708+0)))</f>
        <v>0</v>
      </c>
      <c r="P1708">
        <f>NOT(hospitalityq!P1708="")*(NOT(IFERROR(INT(hospitalityq!P1708)=VALUE(hospitalityq!P1708),FALSE)))</f>
        <v>0</v>
      </c>
      <c r="Q1708">
        <f>NOT(hospitalityq!Q1708="")*(NOT(IFERROR(INT(hospitalityq!Q1708)=VALUE(hospitalityq!Q1708),FALSE)))</f>
        <v>0</v>
      </c>
      <c r="R1708">
        <f>NOT(hospitalityq!R1708="")*(NOT(IFERROR(ROUND(VALUE(hospitalityq!R1708),2)=VALUE(hospitalityq!R1708),FALSE)))</f>
        <v>0</v>
      </c>
    </row>
    <row r="1709" spans="1:18" x14ac:dyDescent="0.25">
      <c r="A1709">
        <f t="shared" si="26"/>
        <v>0</v>
      </c>
      <c r="C1709">
        <f>NOT(hospitalityq!C1709="")*(SUMPRODUCT(--(TRIM(hospitalityq!C6:C1709)=TRIM(hospitalityq!C1709)))&gt;1)</f>
        <v>0</v>
      </c>
      <c r="D1709">
        <f>NOT(hospitalityq!D1709="")*(COUNTIF(reference!$C$17:$C$18,TRIM(hospitalityq!D1709))=0)</f>
        <v>0</v>
      </c>
      <c r="J1709">
        <f>NOT(hospitalityq!J1709="")*(NOT(ISNUMBER(hospitalityq!J1709+0)))</f>
        <v>0</v>
      </c>
      <c r="K1709">
        <f>NOT(hospitalityq!K1709="")*(NOT(ISNUMBER(hospitalityq!K1709+0)))</f>
        <v>0</v>
      </c>
      <c r="P1709">
        <f>NOT(hospitalityq!P1709="")*(NOT(IFERROR(INT(hospitalityq!P1709)=VALUE(hospitalityq!P1709),FALSE)))</f>
        <v>0</v>
      </c>
      <c r="Q1709">
        <f>NOT(hospitalityq!Q1709="")*(NOT(IFERROR(INT(hospitalityq!Q1709)=VALUE(hospitalityq!Q1709),FALSE)))</f>
        <v>0</v>
      </c>
      <c r="R1709">
        <f>NOT(hospitalityq!R1709="")*(NOT(IFERROR(ROUND(VALUE(hospitalityq!R1709),2)=VALUE(hospitalityq!R1709),FALSE)))</f>
        <v>0</v>
      </c>
    </row>
    <row r="1710" spans="1:18" x14ac:dyDescent="0.25">
      <c r="A1710">
        <f t="shared" si="26"/>
        <v>0</v>
      </c>
      <c r="C1710">
        <f>NOT(hospitalityq!C1710="")*(SUMPRODUCT(--(TRIM(hospitalityq!C6:C1710)=TRIM(hospitalityq!C1710)))&gt;1)</f>
        <v>0</v>
      </c>
      <c r="D1710">
        <f>NOT(hospitalityq!D1710="")*(COUNTIF(reference!$C$17:$C$18,TRIM(hospitalityq!D1710))=0)</f>
        <v>0</v>
      </c>
      <c r="J1710">
        <f>NOT(hospitalityq!J1710="")*(NOT(ISNUMBER(hospitalityq!J1710+0)))</f>
        <v>0</v>
      </c>
      <c r="K1710">
        <f>NOT(hospitalityq!K1710="")*(NOT(ISNUMBER(hospitalityq!K1710+0)))</f>
        <v>0</v>
      </c>
      <c r="P1710">
        <f>NOT(hospitalityq!P1710="")*(NOT(IFERROR(INT(hospitalityq!P1710)=VALUE(hospitalityq!P1710),FALSE)))</f>
        <v>0</v>
      </c>
      <c r="Q1710">
        <f>NOT(hospitalityq!Q1710="")*(NOT(IFERROR(INT(hospitalityq!Q1710)=VALUE(hospitalityq!Q1710),FALSE)))</f>
        <v>0</v>
      </c>
      <c r="R1710">
        <f>NOT(hospitalityq!R1710="")*(NOT(IFERROR(ROUND(VALUE(hospitalityq!R1710),2)=VALUE(hospitalityq!R1710),FALSE)))</f>
        <v>0</v>
      </c>
    </row>
    <row r="1711" spans="1:18" x14ac:dyDescent="0.25">
      <c r="A1711">
        <f t="shared" si="26"/>
        <v>0</v>
      </c>
      <c r="C1711">
        <f>NOT(hospitalityq!C1711="")*(SUMPRODUCT(--(TRIM(hospitalityq!C6:C1711)=TRIM(hospitalityq!C1711)))&gt;1)</f>
        <v>0</v>
      </c>
      <c r="D1711">
        <f>NOT(hospitalityq!D1711="")*(COUNTIF(reference!$C$17:$C$18,TRIM(hospitalityq!D1711))=0)</f>
        <v>0</v>
      </c>
      <c r="J1711">
        <f>NOT(hospitalityq!J1711="")*(NOT(ISNUMBER(hospitalityq!J1711+0)))</f>
        <v>0</v>
      </c>
      <c r="K1711">
        <f>NOT(hospitalityq!K1711="")*(NOT(ISNUMBER(hospitalityq!K1711+0)))</f>
        <v>0</v>
      </c>
      <c r="P1711">
        <f>NOT(hospitalityq!P1711="")*(NOT(IFERROR(INT(hospitalityq!P1711)=VALUE(hospitalityq!P1711),FALSE)))</f>
        <v>0</v>
      </c>
      <c r="Q1711">
        <f>NOT(hospitalityq!Q1711="")*(NOT(IFERROR(INT(hospitalityq!Q1711)=VALUE(hospitalityq!Q1711),FALSE)))</f>
        <v>0</v>
      </c>
      <c r="R1711">
        <f>NOT(hospitalityq!R1711="")*(NOT(IFERROR(ROUND(VALUE(hospitalityq!R1711),2)=VALUE(hospitalityq!R1711),FALSE)))</f>
        <v>0</v>
      </c>
    </row>
    <row r="1712" spans="1:18" x14ac:dyDescent="0.25">
      <c r="A1712">
        <f t="shared" si="26"/>
        <v>0</v>
      </c>
      <c r="C1712">
        <f>NOT(hospitalityq!C1712="")*(SUMPRODUCT(--(TRIM(hospitalityq!C6:C1712)=TRIM(hospitalityq!C1712)))&gt;1)</f>
        <v>0</v>
      </c>
      <c r="D1712">
        <f>NOT(hospitalityq!D1712="")*(COUNTIF(reference!$C$17:$C$18,TRIM(hospitalityq!D1712))=0)</f>
        <v>0</v>
      </c>
      <c r="J1712">
        <f>NOT(hospitalityq!J1712="")*(NOT(ISNUMBER(hospitalityq!J1712+0)))</f>
        <v>0</v>
      </c>
      <c r="K1712">
        <f>NOT(hospitalityq!K1712="")*(NOT(ISNUMBER(hospitalityq!K1712+0)))</f>
        <v>0</v>
      </c>
      <c r="P1712">
        <f>NOT(hospitalityq!P1712="")*(NOT(IFERROR(INT(hospitalityq!P1712)=VALUE(hospitalityq!P1712),FALSE)))</f>
        <v>0</v>
      </c>
      <c r="Q1712">
        <f>NOT(hospitalityq!Q1712="")*(NOT(IFERROR(INT(hospitalityq!Q1712)=VALUE(hospitalityq!Q1712),FALSE)))</f>
        <v>0</v>
      </c>
      <c r="R1712">
        <f>NOT(hospitalityq!R1712="")*(NOT(IFERROR(ROUND(VALUE(hospitalityq!R1712),2)=VALUE(hospitalityq!R1712),FALSE)))</f>
        <v>0</v>
      </c>
    </row>
    <row r="1713" spans="1:18" x14ac:dyDescent="0.25">
      <c r="A1713">
        <f t="shared" si="26"/>
        <v>0</v>
      </c>
      <c r="C1713">
        <f>NOT(hospitalityq!C1713="")*(SUMPRODUCT(--(TRIM(hospitalityq!C6:C1713)=TRIM(hospitalityq!C1713)))&gt;1)</f>
        <v>0</v>
      </c>
      <c r="D1713">
        <f>NOT(hospitalityq!D1713="")*(COUNTIF(reference!$C$17:$C$18,TRIM(hospitalityq!D1713))=0)</f>
        <v>0</v>
      </c>
      <c r="J1713">
        <f>NOT(hospitalityq!J1713="")*(NOT(ISNUMBER(hospitalityq!J1713+0)))</f>
        <v>0</v>
      </c>
      <c r="K1713">
        <f>NOT(hospitalityq!K1713="")*(NOT(ISNUMBER(hospitalityq!K1713+0)))</f>
        <v>0</v>
      </c>
      <c r="P1713">
        <f>NOT(hospitalityq!P1713="")*(NOT(IFERROR(INT(hospitalityq!P1713)=VALUE(hospitalityq!P1713),FALSE)))</f>
        <v>0</v>
      </c>
      <c r="Q1713">
        <f>NOT(hospitalityq!Q1713="")*(NOT(IFERROR(INT(hospitalityq!Q1713)=VALUE(hospitalityq!Q1713),FALSE)))</f>
        <v>0</v>
      </c>
      <c r="R1713">
        <f>NOT(hospitalityq!R1713="")*(NOT(IFERROR(ROUND(VALUE(hospitalityq!R1713),2)=VALUE(hospitalityq!R1713),FALSE)))</f>
        <v>0</v>
      </c>
    </row>
    <row r="1714" spans="1:18" x14ac:dyDescent="0.25">
      <c r="A1714">
        <f t="shared" si="26"/>
        <v>0</v>
      </c>
      <c r="C1714">
        <f>NOT(hospitalityq!C1714="")*(SUMPRODUCT(--(TRIM(hospitalityq!C6:C1714)=TRIM(hospitalityq!C1714)))&gt;1)</f>
        <v>0</v>
      </c>
      <c r="D1714">
        <f>NOT(hospitalityq!D1714="")*(COUNTIF(reference!$C$17:$C$18,TRIM(hospitalityq!D1714))=0)</f>
        <v>0</v>
      </c>
      <c r="J1714">
        <f>NOT(hospitalityq!J1714="")*(NOT(ISNUMBER(hospitalityq!J1714+0)))</f>
        <v>0</v>
      </c>
      <c r="K1714">
        <f>NOT(hospitalityq!K1714="")*(NOT(ISNUMBER(hospitalityq!K1714+0)))</f>
        <v>0</v>
      </c>
      <c r="P1714">
        <f>NOT(hospitalityq!P1714="")*(NOT(IFERROR(INT(hospitalityq!P1714)=VALUE(hospitalityq!P1714),FALSE)))</f>
        <v>0</v>
      </c>
      <c r="Q1714">
        <f>NOT(hospitalityq!Q1714="")*(NOT(IFERROR(INT(hospitalityq!Q1714)=VALUE(hospitalityq!Q1714),FALSE)))</f>
        <v>0</v>
      </c>
      <c r="R1714">
        <f>NOT(hospitalityq!R1714="")*(NOT(IFERROR(ROUND(VALUE(hospitalityq!R1714),2)=VALUE(hospitalityq!R1714),FALSE)))</f>
        <v>0</v>
      </c>
    </row>
    <row r="1715" spans="1:18" x14ac:dyDescent="0.25">
      <c r="A1715">
        <f t="shared" si="26"/>
        <v>0</v>
      </c>
      <c r="C1715">
        <f>NOT(hospitalityq!C1715="")*(SUMPRODUCT(--(TRIM(hospitalityq!C6:C1715)=TRIM(hospitalityq!C1715)))&gt;1)</f>
        <v>0</v>
      </c>
      <c r="D1715">
        <f>NOT(hospitalityq!D1715="")*(COUNTIF(reference!$C$17:$C$18,TRIM(hospitalityq!D1715))=0)</f>
        <v>0</v>
      </c>
      <c r="J1715">
        <f>NOT(hospitalityq!J1715="")*(NOT(ISNUMBER(hospitalityq!J1715+0)))</f>
        <v>0</v>
      </c>
      <c r="K1715">
        <f>NOT(hospitalityq!K1715="")*(NOT(ISNUMBER(hospitalityq!K1715+0)))</f>
        <v>0</v>
      </c>
      <c r="P1715">
        <f>NOT(hospitalityq!P1715="")*(NOT(IFERROR(INT(hospitalityq!P1715)=VALUE(hospitalityq!P1715),FALSE)))</f>
        <v>0</v>
      </c>
      <c r="Q1715">
        <f>NOT(hospitalityq!Q1715="")*(NOT(IFERROR(INT(hospitalityq!Q1715)=VALUE(hospitalityq!Q1715),FALSE)))</f>
        <v>0</v>
      </c>
      <c r="R1715">
        <f>NOT(hospitalityq!R1715="")*(NOT(IFERROR(ROUND(VALUE(hospitalityq!R1715),2)=VALUE(hospitalityq!R1715),FALSE)))</f>
        <v>0</v>
      </c>
    </row>
    <row r="1716" spans="1:18" x14ac:dyDescent="0.25">
      <c r="A1716">
        <f t="shared" si="26"/>
        <v>0</v>
      </c>
      <c r="C1716">
        <f>NOT(hospitalityq!C1716="")*(SUMPRODUCT(--(TRIM(hospitalityq!C6:C1716)=TRIM(hospitalityq!C1716)))&gt;1)</f>
        <v>0</v>
      </c>
      <c r="D1716">
        <f>NOT(hospitalityq!D1716="")*(COUNTIF(reference!$C$17:$C$18,TRIM(hospitalityq!D1716))=0)</f>
        <v>0</v>
      </c>
      <c r="J1716">
        <f>NOT(hospitalityq!J1716="")*(NOT(ISNUMBER(hospitalityq!J1716+0)))</f>
        <v>0</v>
      </c>
      <c r="K1716">
        <f>NOT(hospitalityq!K1716="")*(NOT(ISNUMBER(hospitalityq!K1716+0)))</f>
        <v>0</v>
      </c>
      <c r="P1716">
        <f>NOT(hospitalityq!P1716="")*(NOT(IFERROR(INT(hospitalityq!P1716)=VALUE(hospitalityq!P1716),FALSE)))</f>
        <v>0</v>
      </c>
      <c r="Q1716">
        <f>NOT(hospitalityq!Q1716="")*(NOT(IFERROR(INT(hospitalityq!Q1716)=VALUE(hospitalityq!Q1716),FALSE)))</f>
        <v>0</v>
      </c>
      <c r="R1716">
        <f>NOT(hospitalityq!R1716="")*(NOT(IFERROR(ROUND(VALUE(hospitalityq!R1716),2)=VALUE(hospitalityq!R1716),FALSE)))</f>
        <v>0</v>
      </c>
    </row>
    <row r="1717" spans="1:18" x14ac:dyDescent="0.25">
      <c r="A1717">
        <f t="shared" si="26"/>
        <v>0</v>
      </c>
      <c r="C1717">
        <f>NOT(hospitalityq!C1717="")*(SUMPRODUCT(--(TRIM(hospitalityq!C6:C1717)=TRIM(hospitalityq!C1717)))&gt;1)</f>
        <v>0</v>
      </c>
      <c r="D1717">
        <f>NOT(hospitalityq!D1717="")*(COUNTIF(reference!$C$17:$C$18,TRIM(hospitalityq!D1717))=0)</f>
        <v>0</v>
      </c>
      <c r="J1717">
        <f>NOT(hospitalityq!J1717="")*(NOT(ISNUMBER(hospitalityq!J1717+0)))</f>
        <v>0</v>
      </c>
      <c r="K1717">
        <f>NOT(hospitalityq!K1717="")*(NOT(ISNUMBER(hospitalityq!K1717+0)))</f>
        <v>0</v>
      </c>
      <c r="P1717">
        <f>NOT(hospitalityq!P1717="")*(NOT(IFERROR(INT(hospitalityq!P1717)=VALUE(hospitalityq!P1717),FALSE)))</f>
        <v>0</v>
      </c>
      <c r="Q1717">
        <f>NOT(hospitalityq!Q1717="")*(NOT(IFERROR(INT(hospitalityq!Q1717)=VALUE(hospitalityq!Q1717),FALSE)))</f>
        <v>0</v>
      </c>
      <c r="R1717">
        <f>NOT(hospitalityq!R1717="")*(NOT(IFERROR(ROUND(VALUE(hospitalityq!R1717),2)=VALUE(hospitalityq!R1717),FALSE)))</f>
        <v>0</v>
      </c>
    </row>
    <row r="1718" spans="1:18" x14ac:dyDescent="0.25">
      <c r="A1718">
        <f t="shared" si="26"/>
        <v>0</v>
      </c>
      <c r="C1718">
        <f>NOT(hospitalityq!C1718="")*(SUMPRODUCT(--(TRIM(hospitalityq!C6:C1718)=TRIM(hospitalityq!C1718)))&gt;1)</f>
        <v>0</v>
      </c>
      <c r="D1718">
        <f>NOT(hospitalityq!D1718="")*(COUNTIF(reference!$C$17:$C$18,TRIM(hospitalityq!D1718))=0)</f>
        <v>0</v>
      </c>
      <c r="J1718">
        <f>NOT(hospitalityq!J1718="")*(NOT(ISNUMBER(hospitalityq!J1718+0)))</f>
        <v>0</v>
      </c>
      <c r="K1718">
        <f>NOT(hospitalityq!K1718="")*(NOT(ISNUMBER(hospitalityq!K1718+0)))</f>
        <v>0</v>
      </c>
      <c r="P1718">
        <f>NOT(hospitalityq!P1718="")*(NOT(IFERROR(INT(hospitalityq!P1718)=VALUE(hospitalityq!P1718),FALSE)))</f>
        <v>0</v>
      </c>
      <c r="Q1718">
        <f>NOT(hospitalityq!Q1718="")*(NOT(IFERROR(INT(hospitalityq!Q1718)=VALUE(hospitalityq!Q1718),FALSE)))</f>
        <v>0</v>
      </c>
      <c r="R1718">
        <f>NOT(hospitalityq!R1718="")*(NOT(IFERROR(ROUND(VALUE(hospitalityq!R1718),2)=VALUE(hospitalityq!R1718),FALSE)))</f>
        <v>0</v>
      </c>
    </row>
    <row r="1719" spans="1:18" x14ac:dyDescent="0.25">
      <c r="A1719">
        <f t="shared" si="26"/>
        <v>0</v>
      </c>
      <c r="C1719">
        <f>NOT(hospitalityq!C1719="")*(SUMPRODUCT(--(TRIM(hospitalityq!C6:C1719)=TRIM(hospitalityq!C1719)))&gt;1)</f>
        <v>0</v>
      </c>
      <c r="D1719">
        <f>NOT(hospitalityq!D1719="")*(COUNTIF(reference!$C$17:$C$18,TRIM(hospitalityq!D1719))=0)</f>
        <v>0</v>
      </c>
      <c r="J1719">
        <f>NOT(hospitalityq!J1719="")*(NOT(ISNUMBER(hospitalityq!J1719+0)))</f>
        <v>0</v>
      </c>
      <c r="K1719">
        <f>NOT(hospitalityq!K1719="")*(NOT(ISNUMBER(hospitalityq!K1719+0)))</f>
        <v>0</v>
      </c>
      <c r="P1719">
        <f>NOT(hospitalityq!P1719="")*(NOT(IFERROR(INT(hospitalityq!P1719)=VALUE(hospitalityq!P1719),FALSE)))</f>
        <v>0</v>
      </c>
      <c r="Q1719">
        <f>NOT(hospitalityq!Q1719="")*(NOT(IFERROR(INT(hospitalityq!Q1719)=VALUE(hospitalityq!Q1719),FALSE)))</f>
        <v>0</v>
      </c>
      <c r="R1719">
        <f>NOT(hospitalityq!R1719="")*(NOT(IFERROR(ROUND(VALUE(hospitalityq!R1719),2)=VALUE(hospitalityq!R1719),FALSE)))</f>
        <v>0</v>
      </c>
    </row>
    <row r="1720" spans="1:18" x14ac:dyDescent="0.25">
      <c r="A1720">
        <f t="shared" si="26"/>
        <v>0</v>
      </c>
      <c r="C1720">
        <f>NOT(hospitalityq!C1720="")*(SUMPRODUCT(--(TRIM(hospitalityq!C6:C1720)=TRIM(hospitalityq!C1720)))&gt;1)</f>
        <v>0</v>
      </c>
      <c r="D1720">
        <f>NOT(hospitalityq!D1720="")*(COUNTIF(reference!$C$17:$C$18,TRIM(hospitalityq!D1720))=0)</f>
        <v>0</v>
      </c>
      <c r="J1720">
        <f>NOT(hospitalityq!J1720="")*(NOT(ISNUMBER(hospitalityq!J1720+0)))</f>
        <v>0</v>
      </c>
      <c r="K1720">
        <f>NOT(hospitalityq!K1720="")*(NOT(ISNUMBER(hospitalityq!K1720+0)))</f>
        <v>0</v>
      </c>
      <c r="P1720">
        <f>NOT(hospitalityq!P1720="")*(NOT(IFERROR(INT(hospitalityq!P1720)=VALUE(hospitalityq!P1720),FALSE)))</f>
        <v>0</v>
      </c>
      <c r="Q1720">
        <f>NOT(hospitalityq!Q1720="")*(NOT(IFERROR(INT(hospitalityq!Q1720)=VALUE(hospitalityq!Q1720),FALSE)))</f>
        <v>0</v>
      </c>
      <c r="R1720">
        <f>NOT(hospitalityq!R1720="")*(NOT(IFERROR(ROUND(VALUE(hospitalityq!R1720),2)=VALUE(hospitalityq!R1720),FALSE)))</f>
        <v>0</v>
      </c>
    </row>
    <row r="1721" spans="1:18" x14ac:dyDescent="0.25">
      <c r="A1721">
        <f t="shared" si="26"/>
        <v>0</v>
      </c>
      <c r="C1721">
        <f>NOT(hospitalityq!C1721="")*(SUMPRODUCT(--(TRIM(hospitalityq!C6:C1721)=TRIM(hospitalityq!C1721)))&gt;1)</f>
        <v>0</v>
      </c>
      <c r="D1721">
        <f>NOT(hospitalityq!D1721="")*(COUNTIF(reference!$C$17:$C$18,TRIM(hospitalityq!D1721))=0)</f>
        <v>0</v>
      </c>
      <c r="J1721">
        <f>NOT(hospitalityq!J1721="")*(NOT(ISNUMBER(hospitalityq!J1721+0)))</f>
        <v>0</v>
      </c>
      <c r="K1721">
        <f>NOT(hospitalityq!K1721="")*(NOT(ISNUMBER(hospitalityq!K1721+0)))</f>
        <v>0</v>
      </c>
      <c r="P1721">
        <f>NOT(hospitalityq!P1721="")*(NOT(IFERROR(INT(hospitalityq!P1721)=VALUE(hospitalityq!P1721),FALSE)))</f>
        <v>0</v>
      </c>
      <c r="Q1721">
        <f>NOT(hospitalityq!Q1721="")*(NOT(IFERROR(INT(hospitalityq!Q1721)=VALUE(hospitalityq!Q1721),FALSE)))</f>
        <v>0</v>
      </c>
      <c r="R1721">
        <f>NOT(hospitalityq!R1721="")*(NOT(IFERROR(ROUND(VALUE(hospitalityq!R1721),2)=VALUE(hospitalityq!R1721),FALSE)))</f>
        <v>0</v>
      </c>
    </row>
    <row r="1722" spans="1:18" x14ac:dyDescent="0.25">
      <c r="A1722">
        <f t="shared" si="26"/>
        <v>0</v>
      </c>
      <c r="C1722">
        <f>NOT(hospitalityq!C1722="")*(SUMPRODUCT(--(TRIM(hospitalityq!C6:C1722)=TRIM(hospitalityq!C1722)))&gt;1)</f>
        <v>0</v>
      </c>
      <c r="D1722">
        <f>NOT(hospitalityq!D1722="")*(COUNTIF(reference!$C$17:$C$18,TRIM(hospitalityq!D1722))=0)</f>
        <v>0</v>
      </c>
      <c r="J1722">
        <f>NOT(hospitalityq!J1722="")*(NOT(ISNUMBER(hospitalityq!J1722+0)))</f>
        <v>0</v>
      </c>
      <c r="K1722">
        <f>NOT(hospitalityq!K1722="")*(NOT(ISNUMBER(hospitalityq!K1722+0)))</f>
        <v>0</v>
      </c>
      <c r="P1722">
        <f>NOT(hospitalityq!P1722="")*(NOT(IFERROR(INT(hospitalityq!P1722)=VALUE(hospitalityq!P1722),FALSE)))</f>
        <v>0</v>
      </c>
      <c r="Q1722">
        <f>NOT(hospitalityq!Q1722="")*(NOT(IFERROR(INT(hospitalityq!Q1722)=VALUE(hospitalityq!Q1722),FALSE)))</f>
        <v>0</v>
      </c>
      <c r="R1722">
        <f>NOT(hospitalityq!R1722="")*(NOT(IFERROR(ROUND(VALUE(hospitalityq!R1722),2)=VALUE(hospitalityq!R1722),FALSE)))</f>
        <v>0</v>
      </c>
    </row>
    <row r="1723" spans="1:18" x14ac:dyDescent="0.25">
      <c r="A1723">
        <f t="shared" si="26"/>
        <v>0</v>
      </c>
      <c r="C1723">
        <f>NOT(hospitalityq!C1723="")*(SUMPRODUCT(--(TRIM(hospitalityq!C6:C1723)=TRIM(hospitalityq!C1723)))&gt;1)</f>
        <v>0</v>
      </c>
      <c r="D1723">
        <f>NOT(hospitalityq!D1723="")*(COUNTIF(reference!$C$17:$C$18,TRIM(hospitalityq!D1723))=0)</f>
        <v>0</v>
      </c>
      <c r="J1723">
        <f>NOT(hospitalityq!J1723="")*(NOT(ISNUMBER(hospitalityq!J1723+0)))</f>
        <v>0</v>
      </c>
      <c r="K1723">
        <f>NOT(hospitalityq!K1723="")*(NOT(ISNUMBER(hospitalityq!K1723+0)))</f>
        <v>0</v>
      </c>
      <c r="P1723">
        <f>NOT(hospitalityq!P1723="")*(NOT(IFERROR(INT(hospitalityq!P1723)=VALUE(hospitalityq!P1723),FALSE)))</f>
        <v>0</v>
      </c>
      <c r="Q1723">
        <f>NOT(hospitalityq!Q1723="")*(NOT(IFERROR(INT(hospitalityq!Q1723)=VALUE(hospitalityq!Q1723),FALSE)))</f>
        <v>0</v>
      </c>
      <c r="R1723">
        <f>NOT(hospitalityq!R1723="")*(NOT(IFERROR(ROUND(VALUE(hospitalityq!R1723),2)=VALUE(hospitalityq!R1723),FALSE)))</f>
        <v>0</v>
      </c>
    </row>
    <row r="1724" spans="1:18" x14ac:dyDescent="0.25">
      <c r="A1724">
        <f t="shared" si="26"/>
        <v>0</v>
      </c>
      <c r="C1724">
        <f>NOT(hospitalityq!C1724="")*(SUMPRODUCT(--(TRIM(hospitalityq!C6:C1724)=TRIM(hospitalityq!C1724)))&gt;1)</f>
        <v>0</v>
      </c>
      <c r="D1724">
        <f>NOT(hospitalityq!D1724="")*(COUNTIF(reference!$C$17:$C$18,TRIM(hospitalityq!D1724))=0)</f>
        <v>0</v>
      </c>
      <c r="J1724">
        <f>NOT(hospitalityq!J1724="")*(NOT(ISNUMBER(hospitalityq!J1724+0)))</f>
        <v>0</v>
      </c>
      <c r="K1724">
        <f>NOT(hospitalityq!K1724="")*(NOT(ISNUMBER(hospitalityq!K1724+0)))</f>
        <v>0</v>
      </c>
      <c r="P1724">
        <f>NOT(hospitalityq!P1724="")*(NOT(IFERROR(INT(hospitalityq!P1724)=VALUE(hospitalityq!P1724),FALSE)))</f>
        <v>0</v>
      </c>
      <c r="Q1724">
        <f>NOT(hospitalityq!Q1724="")*(NOT(IFERROR(INT(hospitalityq!Q1724)=VALUE(hospitalityq!Q1724),FALSE)))</f>
        <v>0</v>
      </c>
      <c r="R1724">
        <f>NOT(hospitalityq!R1724="")*(NOT(IFERROR(ROUND(VALUE(hospitalityq!R1724),2)=VALUE(hospitalityq!R1724),FALSE)))</f>
        <v>0</v>
      </c>
    </row>
    <row r="1725" spans="1:18" x14ac:dyDescent="0.25">
      <c r="A1725">
        <f t="shared" si="26"/>
        <v>0</v>
      </c>
      <c r="C1725">
        <f>NOT(hospitalityq!C1725="")*(SUMPRODUCT(--(TRIM(hospitalityq!C6:C1725)=TRIM(hospitalityq!C1725)))&gt;1)</f>
        <v>0</v>
      </c>
      <c r="D1725">
        <f>NOT(hospitalityq!D1725="")*(COUNTIF(reference!$C$17:$C$18,TRIM(hospitalityq!D1725))=0)</f>
        <v>0</v>
      </c>
      <c r="J1725">
        <f>NOT(hospitalityq!J1725="")*(NOT(ISNUMBER(hospitalityq!J1725+0)))</f>
        <v>0</v>
      </c>
      <c r="K1725">
        <f>NOT(hospitalityq!K1725="")*(NOT(ISNUMBER(hospitalityq!K1725+0)))</f>
        <v>0</v>
      </c>
      <c r="P1725">
        <f>NOT(hospitalityq!P1725="")*(NOT(IFERROR(INT(hospitalityq!P1725)=VALUE(hospitalityq!P1725),FALSE)))</f>
        <v>0</v>
      </c>
      <c r="Q1725">
        <f>NOT(hospitalityq!Q1725="")*(NOT(IFERROR(INT(hospitalityq!Q1725)=VALUE(hospitalityq!Q1725),FALSE)))</f>
        <v>0</v>
      </c>
      <c r="R1725">
        <f>NOT(hospitalityq!R1725="")*(NOT(IFERROR(ROUND(VALUE(hospitalityq!R1725),2)=VALUE(hospitalityq!R1725),FALSE)))</f>
        <v>0</v>
      </c>
    </row>
    <row r="1726" spans="1:18" x14ac:dyDescent="0.25">
      <c r="A1726">
        <f t="shared" si="26"/>
        <v>0</v>
      </c>
      <c r="C1726">
        <f>NOT(hospitalityq!C1726="")*(SUMPRODUCT(--(TRIM(hospitalityq!C6:C1726)=TRIM(hospitalityq!C1726)))&gt;1)</f>
        <v>0</v>
      </c>
      <c r="D1726">
        <f>NOT(hospitalityq!D1726="")*(COUNTIF(reference!$C$17:$C$18,TRIM(hospitalityq!D1726))=0)</f>
        <v>0</v>
      </c>
      <c r="J1726">
        <f>NOT(hospitalityq!J1726="")*(NOT(ISNUMBER(hospitalityq!J1726+0)))</f>
        <v>0</v>
      </c>
      <c r="K1726">
        <f>NOT(hospitalityq!K1726="")*(NOT(ISNUMBER(hospitalityq!K1726+0)))</f>
        <v>0</v>
      </c>
      <c r="P1726">
        <f>NOT(hospitalityq!P1726="")*(NOT(IFERROR(INT(hospitalityq!P1726)=VALUE(hospitalityq!P1726),FALSE)))</f>
        <v>0</v>
      </c>
      <c r="Q1726">
        <f>NOT(hospitalityq!Q1726="")*(NOT(IFERROR(INT(hospitalityq!Q1726)=VALUE(hospitalityq!Q1726),FALSE)))</f>
        <v>0</v>
      </c>
      <c r="R1726">
        <f>NOT(hospitalityq!R1726="")*(NOT(IFERROR(ROUND(VALUE(hospitalityq!R1726),2)=VALUE(hospitalityq!R1726),FALSE)))</f>
        <v>0</v>
      </c>
    </row>
    <row r="1727" spans="1:18" x14ac:dyDescent="0.25">
      <c r="A1727">
        <f t="shared" si="26"/>
        <v>0</v>
      </c>
      <c r="C1727">
        <f>NOT(hospitalityq!C1727="")*(SUMPRODUCT(--(TRIM(hospitalityq!C6:C1727)=TRIM(hospitalityq!C1727)))&gt;1)</f>
        <v>0</v>
      </c>
      <c r="D1727">
        <f>NOT(hospitalityq!D1727="")*(COUNTIF(reference!$C$17:$C$18,TRIM(hospitalityq!D1727))=0)</f>
        <v>0</v>
      </c>
      <c r="J1727">
        <f>NOT(hospitalityq!J1727="")*(NOT(ISNUMBER(hospitalityq!J1727+0)))</f>
        <v>0</v>
      </c>
      <c r="K1727">
        <f>NOT(hospitalityq!K1727="")*(NOT(ISNUMBER(hospitalityq!K1727+0)))</f>
        <v>0</v>
      </c>
      <c r="P1727">
        <f>NOT(hospitalityq!P1727="")*(NOT(IFERROR(INT(hospitalityq!P1727)=VALUE(hospitalityq!P1727),FALSE)))</f>
        <v>0</v>
      </c>
      <c r="Q1727">
        <f>NOT(hospitalityq!Q1727="")*(NOT(IFERROR(INT(hospitalityq!Q1727)=VALUE(hospitalityq!Q1727),FALSE)))</f>
        <v>0</v>
      </c>
      <c r="R1727">
        <f>NOT(hospitalityq!R1727="")*(NOT(IFERROR(ROUND(VALUE(hospitalityq!R1727),2)=VALUE(hospitalityq!R1727),FALSE)))</f>
        <v>0</v>
      </c>
    </row>
    <row r="1728" spans="1:18" x14ac:dyDescent="0.25">
      <c r="A1728">
        <f t="shared" si="26"/>
        <v>0</v>
      </c>
      <c r="C1728">
        <f>NOT(hospitalityq!C1728="")*(SUMPRODUCT(--(TRIM(hospitalityq!C6:C1728)=TRIM(hospitalityq!C1728)))&gt;1)</f>
        <v>0</v>
      </c>
      <c r="D1728">
        <f>NOT(hospitalityq!D1728="")*(COUNTIF(reference!$C$17:$C$18,TRIM(hospitalityq!D1728))=0)</f>
        <v>0</v>
      </c>
      <c r="J1728">
        <f>NOT(hospitalityq!J1728="")*(NOT(ISNUMBER(hospitalityq!J1728+0)))</f>
        <v>0</v>
      </c>
      <c r="K1728">
        <f>NOT(hospitalityq!K1728="")*(NOT(ISNUMBER(hospitalityq!K1728+0)))</f>
        <v>0</v>
      </c>
      <c r="P1728">
        <f>NOT(hospitalityq!P1728="")*(NOT(IFERROR(INT(hospitalityq!P1728)=VALUE(hospitalityq!P1728),FALSE)))</f>
        <v>0</v>
      </c>
      <c r="Q1728">
        <f>NOT(hospitalityq!Q1728="")*(NOT(IFERROR(INT(hospitalityq!Q1728)=VALUE(hospitalityq!Q1728),FALSE)))</f>
        <v>0</v>
      </c>
      <c r="R1728">
        <f>NOT(hospitalityq!R1728="")*(NOT(IFERROR(ROUND(VALUE(hospitalityq!R1728),2)=VALUE(hospitalityq!R1728),FALSE)))</f>
        <v>0</v>
      </c>
    </row>
    <row r="1729" spans="1:18" x14ac:dyDescent="0.25">
      <c r="A1729">
        <f t="shared" si="26"/>
        <v>0</v>
      </c>
      <c r="C1729">
        <f>NOT(hospitalityq!C1729="")*(SUMPRODUCT(--(TRIM(hospitalityq!C6:C1729)=TRIM(hospitalityq!C1729)))&gt;1)</f>
        <v>0</v>
      </c>
      <c r="D1729">
        <f>NOT(hospitalityq!D1729="")*(COUNTIF(reference!$C$17:$C$18,TRIM(hospitalityq!D1729))=0)</f>
        <v>0</v>
      </c>
      <c r="J1729">
        <f>NOT(hospitalityq!J1729="")*(NOT(ISNUMBER(hospitalityq!J1729+0)))</f>
        <v>0</v>
      </c>
      <c r="K1729">
        <f>NOT(hospitalityq!K1729="")*(NOT(ISNUMBER(hospitalityq!K1729+0)))</f>
        <v>0</v>
      </c>
      <c r="P1729">
        <f>NOT(hospitalityq!P1729="")*(NOT(IFERROR(INT(hospitalityq!P1729)=VALUE(hospitalityq!P1729),FALSE)))</f>
        <v>0</v>
      </c>
      <c r="Q1729">
        <f>NOT(hospitalityq!Q1729="")*(NOT(IFERROR(INT(hospitalityq!Q1729)=VALUE(hospitalityq!Q1729),FALSE)))</f>
        <v>0</v>
      </c>
      <c r="R1729">
        <f>NOT(hospitalityq!R1729="")*(NOT(IFERROR(ROUND(VALUE(hospitalityq!R1729),2)=VALUE(hospitalityq!R1729),FALSE)))</f>
        <v>0</v>
      </c>
    </row>
    <row r="1730" spans="1:18" x14ac:dyDescent="0.25">
      <c r="A1730">
        <f t="shared" si="26"/>
        <v>0</v>
      </c>
      <c r="C1730">
        <f>NOT(hospitalityq!C1730="")*(SUMPRODUCT(--(TRIM(hospitalityq!C6:C1730)=TRIM(hospitalityq!C1730)))&gt;1)</f>
        <v>0</v>
      </c>
      <c r="D1730">
        <f>NOT(hospitalityq!D1730="")*(COUNTIF(reference!$C$17:$C$18,TRIM(hospitalityq!D1730))=0)</f>
        <v>0</v>
      </c>
      <c r="J1730">
        <f>NOT(hospitalityq!J1730="")*(NOT(ISNUMBER(hospitalityq!J1730+0)))</f>
        <v>0</v>
      </c>
      <c r="K1730">
        <f>NOT(hospitalityq!K1730="")*(NOT(ISNUMBER(hospitalityq!K1730+0)))</f>
        <v>0</v>
      </c>
      <c r="P1730">
        <f>NOT(hospitalityq!P1730="")*(NOT(IFERROR(INT(hospitalityq!P1730)=VALUE(hospitalityq!P1730),FALSE)))</f>
        <v>0</v>
      </c>
      <c r="Q1730">
        <f>NOT(hospitalityq!Q1730="")*(NOT(IFERROR(INT(hospitalityq!Q1730)=VALUE(hospitalityq!Q1730),FALSE)))</f>
        <v>0</v>
      </c>
      <c r="R1730">
        <f>NOT(hospitalityq!R1730="")*(NOT(IFERROR(ROUND(VALUE(hospitalityq!R1730),2)=VALUE(hospitalityq!R1730),FALSE)))</f>
        <v>0</v>
      </c>
    </row>
    <row r="1731" spans="1:18" x14ac:dyDescent="0.25">
      <c r="A1731">
        <f t="shared" si="26"/>
        <v>0</v>
      </c>
      <c r="C1731">
        <f>NOT(hospitalityq!C1731="")*(SUMPRODUCT(--(TRIM(hospitalityq!C6:C1731)=TRIM(hospitalityq!C1731)))&gt;1)</f>
        <v>0</v>
      </c>
      <c r="D1731">
        <f>NOT(hospitalityq!D1731="")*(COUNTIF(reference!$C$17:$C$18,TRIM(hospitalityq!D1731))=0)</f>
        <v>0</v>
      </c>
      <c r="J1731">
        <f>NOT(hospitalityq!J1731="")*(NOT(ISNUMBER(hospitalityq!J1731+0)))</f>
        <v>0</v>
      </c>
      <c r="K1731">
        <f>NOT(hospitalityq!K1731="")*(NOT(ISNUMBER(hospitalityq!K1731+0)))</f>
        <v>0</v>
      </c>
      <c r="P1731">
        <f>NOT(hospitalityq!P1731="")*(NOT(IFERROR(INT(hospitalityq!P1731)=VALUE(hospitalityq!P1731),FALSE)))</f>
        <v>0</v>
      </c>
      <c r="Q1731">
        <f>NOT(hospitalityq!Q1731="")*(NOT(IFERROR(INT(hospitalityq!Q1731)=VALUE(hospitalityq!Q1731),FALSE)))</f>
        <v>0</v>
      </c>
      <c r="R1731">
        <f>NOT(hospitalityq!R1731="")*(NOT(IFERROR(ROUND(VALUE(hospitalityq!R1731),2)=VALUE(hospitalityq!R1731),FALSE)))</f>
        <v>0</v>
      </c>
    </row>
    <row r="1732" spans="1:18" x14ac:dyDescent="0.25">
      <c r="A1732">
        <f t="shared" si="26"/>
        <v>0</v>
      </c>
      <c r="C1732">
        <f>NOT(hospitalityq!C1732="")*(SUMPRODUCT(--(TRIM(hospitalityq!C6:C1732)=TRIM(hospitalityq!C1732)))&gt;1)</f>
        <v>0</v>
      </c>
      <c r="D1732">
        <f>NOT(hospitalityq!D1732="")*(COUNTIF(reference!$C$17:$C$18,TRIM(hospitalityq!D1732))=0)</f>
        <v>0</v>
      </c>
      <c r="J1732">
        <f>NOT(hospitalityq!J1732="")*(NOT(ISNUMBER(hospitalityq!J1732+0)))</f>
        <v>0</v>
      </c>
      <c r="K1732">
        <f>NOT(hospitalityq!K1732="")*(NOT(ISNUMBER(hospitalityq!K1732+0)))</f>
        <v>0</v>
      </c>
      <c r="P1732">
        <f>NOT(hospitalityq!P1732="")*(NOT(IFERROR(INT(hospitalityq!P1732)=VALUE(hospitalityq!P1732),FALSE)))</f>
        <v>0</v>
      </c>
      <c r="Q1732">
        <f>NOT(hospitalityq!Q1732="")*(NOT(IFERROR(INT(hospitalityq!Q1732)=VALUE(hospitalityq!Q1732),FALSE)))</f>
        <v>0</v>
      </c>
      <c r="R1732">
        <f>NOT(hospitalityq!R1732="")*(NOT(IFERROR(ROUND(VALUE(hospitalityq!R1732),2)=VALUE(hospitalityq!R1732),FALSE)))</f>
        <v>0</v>
      </c>
    </row>
    <row r="1733" spans="1:18" x14ac:dyDescent="0.25">
      <c r="A1733">
        <f t="shared" si="26"/>
        <v>0</v>
      </c>
      <c r="C1733">
        <f>NOT(hospitalityq!C1733="")*(SUMPRODUCT(--(TRIM(hospitalityq!C6:C1733)=TRIM(hospitalityq!C1733)))&gt;1)</f>
        <v>0</v>
      </c>
      <c r="D1733">
        <f>NOT(hospitalityq!D1733="")*(COUNTIF(reference!$C$17:$C$18,TRIM(hospitalityq!D1733))=0)</f>
        <v>0</v>
      </c>
      <c r="J1733">
        <f>NOT(hospitalityq!J1733="")*(NOT(ISNUMBER(hospitalityq!J1733+0)))</f>
        <v>0</v>
      </c>
      <c r="K1733">
        <f>NOT(hospitalityq!K1733="")*(NOT(ISNUMBER(hospitalityq!K1733+0)))</f>
        <v>0</v>
      </c>
      <c r="P1733">
        <f>NOT(hospitalityq!P1733="")*(NOT(IFERROR(INT(hospitalityq!P1733)=VALUE(hospitalityq!P1733),FALSE)))</f>
        <v>0</v>
      </c>
      <c r="Q1733">
        <f>NOT(hospitalityq!Q1733="")*(NOT(IFERROR(INT(hospitalityq!Q1733)=VALUE(hospitalityq!Q1733),FALSE)))</f>
        <v>0</v>
      </c>
      <c r="R1733">
        <f>NOT(hospitalityq!R1733="")*(NOT(IFERROR(ROUND(VALUE(hospitalityq!R1733),2)=VALUE(hospitalityq!R1733),FALSE)))</f>
        <v>0</v>
      </c>
    </row>
    <row r="1734" spans="1:18" x14ac:dyDescent="0.25">
      <c r="A1734">
        <f t="shared" ref="A1734:A1797" si="27">IFERROR(MATCH(TRUE,INDEX(C1734:R1734&lt;&gt;0,),)+2,0)</f>
        <v>0</v>
      </c>
      <c r="C1734">
        <f>NOT(hospitalityq!C1734="")*(SUMPRODUCT(--(TRIM(hospitalityq!C6:C1734)=TRIM(hospitalityq!C1734)))&gt;1)</f>
        <v>0</v>
      </c>
      <c r="D1734">
        <f>NOT(hospitalityq!D1734="")*(COUNTIF(reference!$C$17:$C$18,TRIM(hospitalityq!D1734))=0)</f>
        <v>0</v>
      </c>
      <c r="J1734">
        <f>NOT(hospitalityq!J1734="")*(NOT(ISNUMBER(hospitalityq!J1734+0)))</f>
        <v>0</v>
      </c>
      <c r="K1734">
        <f>NOT(hospitalityq!K1734="")*(NOT(ISNUMBER(hospitalityq!K1734+0)))</f>
        <v>0</v>
      </c>
      <c r="P1734">
        <f>NOT(hospitalityq!P1734="")*(NOT(IFERROR(INT(hospitalityq!P1734)=VALUE(hospitalityq!P1734),FALSE)))</f>
        <v>0</v>
      </c>
      <c r="Q1734">
        <f>NOT(hospitalityq!Q1734="")*(NOT(IFERROR(INT(hospitalityq!Q1734)=VALUE(hospitalityq!Q1734),FALSE)))</f>
        <v>0</v>
      </c>
      <c r="R1734">
        <f>NOT(hospitalityq!R1734="")*(NOT(IFERROR(ROUND(VALUE(hospitalityq!R1734),2)=VALUE(hospitalityq!R1734),FALSE)))</f>
        <v>0</v>
      </c>
    </row>
    <row r="1735" spans="1:18" x14ac:dyDescent="0.25">
      <c r="A1735">
        <f t="shared" si="27"/>
        <v>0</v>
      </c>
      <c r="C1735">
        <f>NOT(hospitalityq!C1735="")*(SUMPRODUCT(--(TRIM(hospitalityq!C6:C1735)=TRIM(hospitalityq!C1735)))&gt;1)</f>
        <v>0</v>
      </c>
      <c r="D1735">
        <f>NOT(hospitalityq!D1735="")*(COUNTIF(reference!$C$17:$C$18,TRIM(hospitalityq!D1735))=0)</f>
        <v>0</v>
      </c>
      <c r="J1735">
        <f>NOT(hospitalityq!J1735="")*(NOT(ISNUMBER(hospitalityq!J1735+0)))</f>
        <v>0</v>
      </c>
      <c r="K1735">
        <f>NOT(hospitalityq!K1735="")*(NOT(ISNUMBER(hospitalityq!K1735+0)))</f>
        <v>0</v>
      </c>
      <c r="P1735">
        <f>NOT(hospitalityq!P1735="")*(NOT(IFERROR(INT(hospitalityq!P1735)=VALUE(hospitalityq!P1735),FALSE)))</f>
        <v>0</v>
      </c>
      <c r="Q1735">
        <f>NOT(hospitalityq!Q1735="")*(NOT(IFERROR(INT(hospitalityq!Q1735)=VALUE(hospitalityq!Q1735),FALSE)))</f>
        <v>0</v>
      </c>
      <c r="R1735">
        <f>NOT(hospitalityq!R1735="")*(NOT(IFERROR(ROUND(VALUE(hospitalityq!R1735),2)=VALUE(hospitalityq!R1735),FALSE)))</f>
        <v>0</v>
      </c>
    </row>
    <row r="1736" spans="1:18" x14ac:dyDescent="0.25">
      <c r="A1736">
        <f t="shared" si="27"/>
        <v>0</v>
      </c>
      <c r="C1736">
        <f>NOT(hospitalityq!C1736="")*(SUMPRODUCT(--(TRIM(hospitalityq!C6:C1736)=TRIM(hospitalityq!C1736)))&gt;1)</f>
        <v>0</v>
      </c>
      <c r="D1736">
        <f>NOT(hospitalityq!D1736="")*(COUNTIF(reference!$C$17:$C$18,TRIM(hospitalityq!D1736))=0)</f>
        <v>0</v>
      </c>
      <c r="J1736">
        <f>NOT(hospitalityq!J1736="")*(NOT(ISNUMBER(hospitalityq!J1736+0)))</f>
        <v>0</v>
      </c>
      <c r="K1736">
        <f>NOT(hospitalityq!K1736="")*(NOT(ISNUMBER(hospitalityq!K1736+0)))</f>
        <v>0</v>
      </c>
      <c r="P1736">
        <f>NOT(hospitalityq!P1736="")*(NOT(IFERROR(INT(hospitalityq!P1736)=VALUE(hospitalityq!P1736),FALSE)))</f>
        <v>0</v>
      </c>
      <c r="Q1736">
        <f>NOT(hospitalityq!Q1736="")*(NOT(IFERROR(INT(hospitalityq!Q1736)=VALUE(hospitalityq!Q1736),FALSE)))</f>
        <v>0</v>
      </c>
      <c r="R1736">
        <f>NOT(hospitalityq!R1736="")*(NOT(IFERROR(ROUND(VALUE(hospitalityq!R1736),2)=VALUE(hospitalityq!R1736),FALSE)))</f>
        <v>0</v>
      </c>
    </row>
    <row r="1737" spans="1:18" x14ac:dyDescent="0.25">
      <c r="A1737">
        <f t="shared" si="27"/>
        <v>0</v>
      </c>
      <c r="C1737">
        <f>NOT(hospitalityq!C1737="")*(SUMPRODUCT(--(TRIM(hospitalityq!C6:C1737)=TRIM(hospitalityq!C1737)))&gt;1)</f>
        <v>0</v>
      </c>
      <c r="D1737">
        <f>NOT(hospitalityq!D1737="")*(COUNTIF(reference!$C$17:$C$18,TRIM(hospitalityq!D1737))=0)</f>
        <v>0</v>
      </c>
      <c r="J1737">
        <f>NOT(hospitalityq!J1737="")*(NOT(ISNUMBER(hospitalityq!J1737+0)))</f>
        <v>0</v>
      </c>
      <c r="K1737">
        <f>NOT(hospitalityq!K1737="")*(NOT(ISNUMBER(hospitalityq!K1737+0)))</f>
        <v>0</v>
      </c>
      <c r="P1737">
        <f>NOT(hospitalityq!P1737="")*(NOT(IFERROR(INT(hospitalityq!P1737)=VALUE(hospitalityq!P1737),FALSE)))</f>
        <v>0</v>
      </c>
      <c r="Q1737">
        <f>NOT(hospitalityq!Q1737="")*(NOT(IFERROR(INT(hospitalityq!Q1737)=VALUE(hospitalityq!Q1737),FALSE)))</f>
        <v>0</v>
      </c>
      <c r="R1737">
        <f>NOT(hospitalityq!R1737="")*(NOT(IFERROR(ROUND(VALUE(hospitalityq!R1737),2)=VALUE(hospitalityq!R1737),FALSE)))</f>
        <v>0</v>
      </c>
    </row>
    <row r="1738" spans="1:18" x14ac:dyDescent="0.25">
      <c r="A1738">
        <f t="shared" si="27"/>
        <v>0</v>
      </c>
      <c r="C1738">
        <f>NOT(hospitalityq!C1738="")*(SUMPRODUCT(--(TRIM(hospitalityq!C6:C1738)=TRIM(hospitalityq!C1738)))&gt;1)</f>
        <v>0</v>
      </c>
      <c r="D1738">
        <f>NOT(hospitalityq!D1738="")*(COUNTIF(reference!$C$17:$C$18,TRIM(hospitalityq!D1738))=0)</f>
        <v>0</v>
      </c>
      <c r="J1738">
        <f>NOT(hospitalityq!J1738="")*(NOT(ISNUMBER(hospitalityq!J1738+0)))</f>
        <v>0</v>
      </c>
      <c r="K1738">
        <f>NOT(hospitalityq!K1738="")*(NOT(ISNUMBER(hospitalityq!K1738+0)))</f>
        <v>0</v>
      </c>
      <c r="P1738">
        <f>NOT(hospitalityq!P1738="")*(NOT(IFERROR(INT(hospitalityq!P1738)=VALUE(hospitalityq!P1738),FALSE)))</f>
        <v>0</v>
      </c>
      <c r="Q1738">
        <f>NOT(hospitalityq!Q1738="")*(NOT(IFERROR(INT(hospitalityq!Q1738)=VALUE(hospitalityq!Q1738),FALSE)))</f>
        <v>0</v>
      </c>
      <c r="R1738">
        <f>NOT(hospitalityq!R1738="")*(NOT(IFERROR(ROUND(VALUE(hospitalityq!R1738),2)=VALUE(hospitalityq!R1738),FALSE)))</f>
        <v>0</v>
      </c>
    </row>
    <row r="1739" spans="1:18" x14ac:dyDescent="0.25">
      <c r="A1739">
        <f t="shared" si="27"/>
        <v>0</v>
      </c>
      <c r="C1739">
        <f>NOT(hospitalityq!C1739="")*(SUMPRODUCT(--(TRIM(hospitalityq!C6:C1739)=TRIM(hospitalityq!C1739)))&gt;1)</f>
        <v>0</v>
      </c>
      <c r="D1739">
        <f>NOT(hospitalityq!D1739="")*(COUNTIF(reference!$C$17:$C$18,TRIM(hospitalityq!D1739))=0)</f>
        <v>0</v>
      </c>
      <c r="J1739">
        <f>NOT(hospitalityq!J1739="")*(NOT(ISNUMBER(hospitalityq!J1739+0)))</f>
        <v>0</v>
      </c>
      <c r="K1739">
        <f>NOT(hospitalityq!K1739="")*(NOT(ISNUMBER(hospitalityq!K1739+0)))</f>
        <v>0</v>
      </c>
      <c r="P1739">
        <f>NOT(hospitalityq!P1739="")*(NOT(IFERROR(INT(hospitalityq!P1739)=VALUE(hospitalityq!P1739),FALSE)))</f>
        <v>0</v>
      </c>
      <c r="Q1739">
        <f>NOT(hospitalityq!Q1739="")*(NOT(IFERROR(INT(hospitalityq!Q1739)=VALUE(hospitalityq!Q1739),FALSE)))</f>
        <v>0</v>
      </c>
      <c r="R1739">
        <f>NOT(hospitalityq!R1739="")*(NOT(IFERROR(ROUND(VALUE(hospitalityq!R1739),2)=VALUE(hospitalityq!R1739),FALSE)))</f>
        <v>0</v>
      </c>
    </row>
    <row r="1740" spans="1:18" x14ac:dyDescent="0.25">
      <c r="A1740">
        <f t="shared" si="27"/>
        <v>0</v>
      </c>
      <c r="C1740">
        <f>NOT(hospitalityq!C1740="")*(SUMPRODUCT(--(TRIM(hospitalityq!C6:C1740)=TRIM(hospitalityq!C1740)))&gt;1)</f>
        <v>0</v>
      </c>
      <c r="D1740">
        <f>NOT(hospitalityq!D1740="")*(COUNTIF(reference!$C$17:$C$18,TRIM(hospitalityq!D1740))=0)</f>
        <v>0</v>
      </c>
      <c r="J1740">
        <f>NOT(hospitalityq!J1740="")*(NOT(ISNUMBER(hospitalityq!J1740+0)))</f>
        <v>0</v>
      </c>
      <c r="K1740">
        <f>NOT(hospitalityq!K1740="")*(NOT(ISNUMBER(hospitalityq!K1740+0)))</f>
        <v>0</v>
      </c>
      <c r="P1740">
        <f>NOT(hospitalityq!P1740="")*(NOT(IFERROR(INT(hospitalityq!P1740)=VALUE(hospitalityq!P1740),FALSE)))</f>
        <v>0</v>
      </c>
      <c r="Q1740">
        <f>NOT(hospitalityq!Q1740="")*(NOT(IFERROR(INT(hospitalityq!Q1740)=VALUE(hospitalityq!Q1740),FALSE)))</f>
        <v>0</v>
      </c>
      <c r="R1740">
        <f>NOT(hospitalityq!R1740="")*(NOT(IFERROR(ROUND(VALUE(hospitalityq!R1740),2)=VALUE(hospitalityq!R1740),FALSE)))</f>
        <v>0</v>
      </c>
    </row>
    <row r="1741" spans="1:18" x14ac:dyDescent="0.25">
      <c r="A1741">
        <f t="shared" si="27"/>
        <v>0</v>
      </c>
      <c r="C1741">
        <f>NOT(hospitalityq!C1741="")*(SUMPRODUCT(--(TRIM(hospitalityq!C6:C1741)=TRIM(hospitalityq!C1741)))&gt;1)</f>
        <v>0</v>
      </c>
      <c r="D1741">
        <f>NOT(hospitalityq!D1741="")*(COUNTIF(reference!$C$17:$C$18,TRIM(hospitalityq!D1741))=0)</f>
        <v>0</v>
      </c>
      <c r="J1741">
        <f>NOT(hospitalityq!J1741="")*(NOT(ISNUMBER(hospitalityq!J1741+0)))</f>
        <v>0</v>
      </c>
      <c r="K1741">
        <f>NOT(hospitalityq!K1741="")*(NOT(ISNUMBER(hospitalityq!K1741+0)))</f>
        <v>0</v>
      </c>
      <c r="P1741">
        <f>NOT(hospitalityq!P1741="")*(NOT(IFERROR(INT(hospitalityq!P1741)=VALUE(hospitalityq!P1741),FALSE)))</f>
        <v>0</v>
      </c>
      <c r="Q1741">
        <f>NOT(hospitalityq!Q1741="")*(NOT(IFERROR(INT(hospitalityq!Q1741)=VALUE(hospitalityq!Q1741),FALSE)))</f>
        <v>0</v>
      </c>
      <c r="R1741">
        <f>NOT(hospitalityq!R1741="")*(NOT(IFERROR(ROUND(VALUE(hospitalityq!R1741),2)=VALUE(hospitalityq!R1741),FALSE)))</f>
        <v>0</v>
      </c>
    </row>
    <row r="1742" spans="1:18" x14ac:dyDescent="0.25">
      <c r="A1742">
        <f t="shared" si="27"/>
        <v>0</v>
      </c>
      <c r="C1742">
        <f>NOT(hospitalityq!C1742="")*(SUMPRODUCT(--(TRIM(hospitalityq!C6:C1742)=TRIM(hospitalityq!C1742)))&gt;1)</f>
        <v>0</v>
      </c>
      <c r="D1742">
        <f>NOT(hospitalityq!D1742="")*(COUNTIF(reference!$C$17:$C$18,TRIM(hospitalityq!D1742))=0)</f>
        <v>0</v>
      </c>
      <c r="J1742">
        <f>NOT(hospitalityq!J1742="")*(NOT(ISNUMBER(hospitalityq!J1742+0)))</f>
        <v>0</v>
      </c>
      <c r="K1742">
        <f>NOT(hospitalityq!K1742="")*(NOT(ISNUMBER(hospitalityq!K1742+0)))</f>
        <v>0</v>
      </c>
      <c r="P1742">
        <f>NOT(hospitalityq!P1742="")*(NOT(IFERROR(INT(hospitalityq!P1742)=VALUE(hospitalityq!P1742),FALSE)))</f>
        <v>0</v>
      </c>
      <c r="Q1742">
        <f>NOT(hospitalityq!Q1742="")*(NOT(IFERROR(INT(hospitalityq!Q1742)=VALUE(hospitalityq!Q1742),FALSE)))</f>
        <v>0</v>
      </c>
      <c r="R1742">
        <f>NOT(hospitalityq!R1742="")*(NOT(IFERROR(ROUND(VALUE(hospitalityq!R1742),2)=VALUE(hospitalityq!R1742),FALSE)))</f>
        <v>0</v>
      </c>
    </row>
    <row r="1743" spans="1:18" x14ac:dyDescent="0.25">
      <c r="A1743">
        <f t="shared" si="27"/>
        <v>0</v>
      </c>
      <c r="C1743">
        <f>NOT(hospitalityq!C1743="")*(SUMPRODUCT(--(TRIM(hospitalityq!C6:C1743)=TRIM(hospitalityq!C1743)))&gt;1)</f>
        <v>0</v>
      </c>
      <c r="D1743">
        <f>NOT(hospitalityq!D1743="")*(COUNTIF(reference!$C$17:$C$18,TRIM(hospitalityq!D1743))=0)</f>
        <v>0</v>
      </c>
      <c r="J1743">
        <f>NOT(hospitalityq!J1743="")*(NOT(ISNUMBER(hospitalityq!J1743+0)))</f>
        <v>0</v>
      </c>
      <c r="K1743">
        <f>NOT(hospitalityq!K1743="")*(NOT(ISNUMBER(hospitalityq!K1743+0)))</f>
        <v>0</v>
      </c>
      <c r="P1743">
        <f>NOT(hospitalityq!P1743="")*(NOT(IFERROR(INT(hospitalityq!P1743)=VALUE(hospitalityq!P1743),FALSE)))</f>
        <v>0</v>
      </c>
      <c r="Q1743">
        <f>NOT(hospitalityq!Q1743="")*(NOT(IFERROR(INT(hospitalityq!Q1743)=VALUE(hospitalityq!Q1743),FALSE)))</f>
        <v>0</v>
      </c>
      <c r="R1743">
        <f>NOT(hospitalityq!R1743="")*(NOT(IFERROR(ROUND(VALUE(hospitalityq!R1743),2)=VALUE(hospitalityq!R1743),FALSE)))</f>
        <v>0</v>
      </c>
    </row>
    <row r="1744" spans="1:18" x14ac:dyDescent="0.25">
      <c r="A1744">
        <f t="shared" si="27"/>
        <v>0</v>
      </c>
      <c r="C1744">
        <f>NOT(hospitalityq!C1744="")*(SUMPRODUCT(--(TRIM(hospitalityq!C6:C1744)=TRIM(hospitalityq!C1744)))&gt;1)</f>
        <v>0</v>
      </c>
      <c r="D1744">
        <f>NOT(hospitalityq!D1744="")*(COUNTIF(reference!$C$17:$C$18,TRIM(hospitalityq!D1744))=0)</f>
        <v>0</v>
      </c>
      <c r="J1744">
        <f>NOT(hospitalityq!J1744="")*(NOT(ISNUMBER(hospitalityq!J1744+0)))</f>
        <v>0</v>
      </c>
      <c r="K1744">
        <f>NOT(hospitalityq!K1744="")*(NOT(ISNUMBER(hospitalityq!K1744+0)))</f>
        <v>0</v>
      </c>
      <c r="P1744">
        <f>NOT(hospitalityq!P1744="")*(NOT(IFERROR(INT(hospitalityq!P1744)=VALUE(hospitalityq!P1744),FALSE)))</f>
        <v>0</v>
      </c>
      <c r="Q1744">
        <f>NOT(hospitalityq!Q1744="")*(NOT(IFERROR(INT(hospitalityq!Q1744)=VALUE(hospitalityq!Q1744),FALSE)))</f>
        <v>0</v>
      </c>
      <c r="R1744">
        <f>NOT(hospitalityq!R1744="")*(NOT(IFERROR(ROUND(VALUE(hospitalityq!R1744),2)=VALUE(hospitalityq!R1744),FALSE)))</f>
        <v>0</v>
      </c>
    </row>
    <row r="1745" spans="1:18" x14ac:dyDescent="0.25">
      <c r="A1745">
        <f t="shared" si="27"/>
        <v>0</v>
      </c>
      <c r="C1745">
        <f>NOT(hospitalityq!C1745="")*(SUMPRODUCT(--(TRIM(hospitalityq!C6:C1745)=TRIM(hospitalityq!C1745)))&gt;1)</f>
        <v>0</v>
      </c>
      <c r="D1745">
        <f>NOT(hospitalityq!D1745="")*(COUNTIF(reference!$C$17:$C$18,TRIM(hospitalityq!D1745))=0)</f>
        <v>0</v>
      </c>
      <c r="J1745">
        <f>NOT(hospitalityq!J1745="")*(NOT(ISNUMBER(hospitalityq!J1745+0)))</f>
        <v>0</v>
      </c>
      <c r="K1745">
        <f>NOT(hospitalityq!K1745="")*(NOT(ISNUMBER(hospitalityq!K1745+0)))</f>
        <v>0</v>
      </c>
      <c r="P1745">
        <f>NOT(hospitalityq!P1745="")*(NOT(IFERROR(INT(hospitalityq!P1745)=VALUE(hospitalityq!P1745),FALSE)))</f>
        <v>0</v>
      </c>
      <c r="Q1745">
        <f>NOT(hospitalityq!Q1745="")*(NOT(IFERROR(INT(hospitalityq!Q1745)=VALUE(hospitalityq!Q1745),FALSE)))</f>
        <v>0</v>
      </c>
      <c r="R1745">
        <f>NOT(hospitalityq!R1745="")*(NOT(IFERROR(ROUND(VALUE(hospitalityq!R1745),2)=VALUE(hospitalityq!R1745),FALSE)))</f>
        <v>0</v>
      </c>
    </row>
    <row r="1746" spans="1:18" x14ac:dyDescent="0.25">
      <c r="A1746">
        <f t="shared" si="27"/>
        <v>0</v>
      </c>
      <c r="C1746">
        <f>NOT(hospitalityq!C1746="")*(SUMPRODUCT(--(TRIM(hospitalityq!C6:C1746)=TRIM(hospitalityq!C1746)))&gt;1)</f>
        <v>0</v>
      </c>
      <c r="D1746">
        <f>NOT(hospitalityq!D1746="")*(COUNTIF(reference!$C$17:$C$18,TRIM(hospitalityq!D1746))=0)</f>
        <v>0</v>
      </c>
      <c r="J1746">
        <f>NOT(hospitalityq!J1746="")*(NOT(ISNUMBER(hospitalityq!J1746+0)))</f>
        <v>0</v>
      </c>
      <c r="K1746">
        <f>NOT(hospitalityq!K1746="")*(NOT(ISNUMBER(hospitalityq!K1746+0)))</f>
        <v>0</v>
      </c>
      <c r="P1746">
        <f>NOT(hospitalityq!P1746="")*(NOT(IFERROR(INT(hospitalityq!P1746)=VALUE(hospitalityq!P1746),FALSE)))</f>
        <v>0</v>
      </c>
      <c r="Q1746">
        <f>NOT(hospitalityq!Q1746="")*(NOT(IFERROR(INT(hospitalityq!Q1746)=VALUE(hospitalityq!Q1746),FALSE)))</f>
        <v>0</v>
      </c>
      <c r="R1746">
        <f>NOT(hospitalityq!R1746="")*(NOT(IFERROR(ROUND(VALUE(hospitalityq!R1746),2)=VALUE(hospitalityq!R1746),FALSE)))</f>
        <v>0</v>
      </c>
    </row>
    <row r="1747" spans="1:18" x14ac:dyDescent="0.25">
      <c r="A1747">
        <f t="shared" si="27"/>
        <v>0</v>
      </c>
      <c r="C1747">
        <f>NOT(hospitalityq!C1747="")*(SUMPRODUCT(--(TRIM(hospitalityq!C6:C1747)=TRIM(hospitalityq!C1747)))&gt;1)</f>
        <v>0</v>
      </c>
      <c r="D1747">
        <f>NOT(hospitalityq!D1747="")*(COUNTIF(reference!$C$17:$C$18,TRIM(hospitalityq!D1747))=0)</f>
        <v>0</v>
      </c>
      <c r="J1747">
        <f>NOT(hospitalityq!J1747="")*(NOT(ISNUMBER(hospitalityq!J1747+0)))</f>
        <v>0</v>
      </c>
      <c r="K1747">
        <f>NOT(hospitalityq!K1747="")*(NOT(ISNUMBER(hospitalityq!K1747+0)))</f>
        <v>0</v>
      </c>
      <c r="P1747">
        <f>NOT(hospitalityq!P1747="")*(NOT(IFERROR(INT(hospitalityq!P1747)=VALUE(hospitalityq!P1747),FALSE)))</f>
        <v>0</v>
      </c>
      <c r="Q1747">
        <f>NOT(hospitalityq!Q1747="")*(NOT(IFERROR(INT(hospitalityq!Q1747)=VALUE(hospitalityq!Q1747),FALSE)))</f>
        <v>0</v>
      </c>
      <c r="R1747">
        <f>NOT(hospitalityq!R1747="")*(NOT(IFERROR(ROUND(VALUE(hospitalityq!R1747),2)=VALUE(hospitalityq!R1747),FALSE)))</f>
        <v>0</v>
      </c>
    </row>
    <row r="1748" spans="1:18" x14ac:dyDescent="0.25">
      <c r="A1748">
        <f t="shared" si="27"/>
        <v>0</v>
      </c>
      <c r="C1748">
        <f>NOT(hospitalityq!C1748="")*(SUMPRODUCT(--(TRIM(hospitalityq!C6:C1748)=TRIM(hospitalityq!C1748)))&gt;1)</f>
        <v>0</v>
      </c>
      <c r="D1748">
        <f>NOT(hospitalityq!D1748="")*(COUNTIF(reference!$C$17:$C$18,TRIM(hospitalityq!D1748))=0)</f>
        <v>0</v>
      </c>
      <c r="J1748">
        <f>NOT(hospitalityq!J1748="")*(NOT(ISNUMBER(hospitalityq!J1748+0)))</f>
        <v>0</v>
      </c>
      <c r="K1748">
        <f>NOT(hospitalityq!K1748="")*(NOT(ISNUMBER(hospitalityq!K1748+0)))</f>
        <v>0</v>
      </c>
      <c r="P1748">
        <f>NOT(hospitalityq!P1748="")*(NOT(IFERROR(INT(hospitalityq!P1748)=VALUE(hospitalityq!P1748),FALSE)))</f>
        <v>0</v>
      </c>
      <c r="Q1748">
        <f>NOT(hospitalityq!Q1748="")*(NOT(IFERROR(INT(hospitalityq!Q1748)=VALUE(hospitalityq!Q1748),FALSE)))</f>
        <v>0</v>
      </c>
      <c r="R1748">
        <f>NOT(hospitalityq!R1748="")*(NOT(IFERROR(ROUND(VALUE(hospitalityq!R1748),2)=VALUE(hospitalityq!R1748),FALSE)))</f>
        <v>0</v>
      </c>
    </row>
    <row r="1749" spans="1:18" x14ac:dyDescent="0.25">
      <c r="A1749">
        <f t="shared" si="27"/>
        <v>0</v>
      </c>
      <c r="C1749">
        <f>NOT(hospitalityq!C1749="")*(SUMPRODUCT(--(TRIM(hospitalityq!C6:C1749)=TRIM(hospitalityq!C1749)))&gt;1)</f>
        <v>0</v>
      </c>
      <c r="D1749">
        <f>NOT(hospitalityq!D1749="")*(COUNTIF(reference!$C$17:$C$18,TRIM(hospitalityq!D1749))=0)</f>
        <v>0</v>
      </c>
      <c r="J1749">
        <f>NOT(hospitalityq!J1749="")*(NOT(ISNUMBER(hospitalityq!J1749+0)))</f>
        <v>0</v>
      </c>
      <c r="K1749">
        <f>NOT(hospitalityq!K1749="")*(NOT(ISNUMBER(hospitalityq!K1749+0)))</f>
        <v>0</v>
      </c>
      <c r="P1749">
        <f>NOT(hospitalityq!P1749="")*(NOT(IFERROR(INT(hospitalityq!P1749)=VALUE(hospitalityq!P1749),FALSE)))</f>
        <v>0</v>
      </c>
      <c r="Q1749">
        <f>NOT(hospitalityq!Q1749="")*(NOT(IFERROR(INT(hospitalityq!Q1749)=VALUE(hospitalityq!Q1749),FALSE)))</f>
        <v>0</v>
      </c>
      <c r="R1749">
        <f>NOT(hospitalityq!R1749="")*(NOT(IFERROR(ROUND(VALUE(hospitalityq!R1749),2)=VALUE(hospitalityq!R1749),FALSE)))</f>
        <v>0</v>
      </c>
    </row>
    <row r="1750" spans="1:18" x14ac:dyDescent="0.25">
      <c r="A1750">
        <f t="shared" si="27"/>
        <v>0</v>
      </c>
      <c r="C1750">
        <f>NOT(hospitalityq!C1750="")*(SUMPRODUCT(--(TRIM(hospitalityq!C6:C1750)=TRIM(hospitalityq!C1750)))&gt;1)</f>
        <v>0</v>
      </c>
      <c r="D1750">
        <f>NOT(hospitalityq!D1750="")*(COUNTIF(reference!$C$17:$C$18,TRIM(hospitalityq!D1750))=0)</f>
        <v>0</v>
      </c>
      <c r="J1750">
        <f>NOT(hospitalityq!J1750="")*(NOT(ISNUMBER(hospitalityq!J1750+0)))</f>
        <v>0</v>
      </c>
      <c r="K1750">
        <f>NOT(hospitalityq!K1750="")*(NOT(ISNUMBER(hospitalityq!K1750+0)))</f>
        <v>0</v>
      </c>
      <c r="P1750">
        <f>NOT(hospitalityq!P1750="")*(NOT(IFERROR(INT(hospitalityq!P1750)=VALUE(hospitalityq!P1750),FALSE)))</f>
        <v>0</v>
      </c>
      <c r="Q1750">
        <f>NOT(hospitalityq!Q1750="")*(NOT(IFERROR(INT(hospitalityq!Q1750)=VALUE(hospitalityq!Q1750),FALSE)))</f>
        <v>0</v>
      </c>
      <c r="R1750">
        <f>NOT(hospitalityq!R1750="")*(NOT(IFERROR(ROUND(VALUE(hospitalityq!R1750),2)=VALUE(hospitalityq!R1750),FALSE)))</f>
        <v>0</v>
      </c>
    </row>
    <row r="1751" spans="1:18" x14ac:dyDescent="0.25">
      <c r="A1751">
        <f t="shared" si="27"/>
        <v>0</v>
      </c>
      <c r="C1751">
        <f>NOT(hospitalityq!C1751="")*(SUMPRODUCT(--(TRIM(hospitalityq!C6:C1751)=TRIM(hospitalityq!C1751)))&gt;1)</f>
        <v>0</v>
      </c>
      <c r="D1751">
        <f>NOT(hospitalityq!D1751="")*(COUNTIF(reference!$C$17:$C$18,TRIM(hospitalityq!D1751))=0)</f>
        <v>0</v>
      </c>
      <c r="J1751">
        <f>NOT(hospitalityq!J1751="")*(NOT(ISNUMBER(hospitalityq!J1751+0)))</f>
        <v>0</v>
      </c>
      <c r="K1751">
        <f>NOT(hospitalityq!K1751="")*(NOT(ISNUMBER(hospitalityq!K1751+0)))</f>
        <v>0</v>
      </c>
      <c r="P1751">
        <f>NOT(hospitalityq!P1751="")*(NOT(IFERROR(INT(hospitalityq!P1751)=VALUE(hospitalityq!P1751),FALSE)))</f>
        <v>0</v>
      </c>
      <c r="Q1751">
        <f>NOT(hospitalityq!Q1751="")*(NOT(IFERROR(INT(hospitalityq!Q1751)=VALUE(hospitalityq!Q1751),FALSE)))</f>
        <v>0</v>
      </c>
      <c r="R1751">
        <f>NOT(hospitalityq!R1751="")*(NOT(IFERROR(ROUND(VALUE(hospitalityq!R1751),2)=VALUE(hospitalityq!R1751),FALSE)))</f>
        <v>0</v>
      </c>
    </row>
    <row r="1752" spans="1:18" x14ac:dyDescent="0.25">
      <c r="A1752">
        <f t="shared" si="27"/>
        <v>0</v>
      </c>
      <c r="C1752">
        <f>NOT(hospitalityq!C1752="")*(SUMPRODUCT(--(TRIM(hospitalityq!C6:C1752)=TRIM(hospitalityq!C1752)))&gt;1)</f>
        <v>0</v>
      </c>
      <c r="D1752">
        <f>NOT(hospitalityq!D1752="")*(COUNTIF(reference!$C$17:$C$18,TRIM(hospitalityq!D1752))=0)</f>
        <v>0</v>
      </c>
      <c r="J1752">
        <f>NOT(hospitalityq!J1752="")*(NOT(ISNUMBER(hospitalityq!J1752+0)))</f>
        <v>0</v>
      </c>
      <c r="K1752">
        <f>NOT(hospitalityq!K1752="")*(NOT(ISNUMBER(hospitalityq!K1752+0)))</f>
        <v>0</v>
      </c>
      <c r="P1752">
        <f>NOT(hospitalityq!P1752="")*(NOT(IFERROR(INT(hospitalityq!P1752)=VALUE(hospitalityq!P1752),FALSE)))</f>
        <v>0</v>
      </c>
      <c r="Q1752">
        <f>NOT(hospitalityq!Q1752="")*(NOT(IFERROR(INT(hospitalityq!Q1752)=VALUE(hospitalityq!Q1752),FALSE)))</f>
        <v>0</v>
      </c>
      <c r="R1752">
        <f>NOT(hospitalityq!R1752="")*(NOT(IFERROR(ROUND(VALUE(hospitalityq!R1752),2)=VALUE(hospitalityq!R1752),FALSE)))</f>
        <v>0</v>
      </c>
    </row>
    <row r="1753" spans="1:18" x14ac:dyDescent="0.25">
      <c r="A1753">
        <f t="shared" si="27"/>
        <v>0</v>
      </c>
      <c r="C1753">
        <f>NOT(hospitalityq!C1753="")*(SUMPRODUCT(--(TRIM(hospitalityq!C6:C1753)=TRIM(hospitalityq!C1753)))&gt;1)</f>
        <v>0</v>
      </c>
      <c r="D1753">
        <f>NOT(hospitalityq!D1753="")*(COUNTIF(reference!$C$17:$C$18,TRIM(hospitalityq!D1753))=0)</f>
        <v>0</v>
      </c>
      <c r="J1753">
        <f>NOT(hospitalityq!J1753="")*(NOT(ISNUMBER(hospitalityq!J1753+0)))</f>
        <v>0</v>
      </c>
      <c r="K1753">
        <f>NOT(hospitalityq!K1753="")*(NOT(ISNUMBER(hospitalityq!K1753+0)))</f>
        <v>0</v>
      </c>
      <c r="P1753">
        <f>NOT(hospitalityq!P1753="")*(NOT(IFERROR(INT(hospitalityq!P1753)=VALUE(hospitalityq!P1753),FALSE)))</f>
        <v>0</v>
      </c>
      <c r="Q1753">
        <f>NOT(hospitalityq!Q1753="")*(NOT(IFERROR(INT(hospitalityq!Q1753)=VALUE(hospitalityq!Q1753),FALSE)))</f>
        <v>0</v>
      </c>
      <c r="R1753">
        <f>NOT(hospitalityq!R1753="")*(NOT(IFERROR(ROUND(VALUE(hospitalityq!R1753),2)=VALUE(hospitalityq!R1753),FALSE)))</f>
        <v>0</v>
      </c>
    </row>
    <row r="1754" spans="1:18" x14ac:dyDescent="0.25">
      <c r="A1754">
        <f t="shared" si="27"/>
        <v>0</v>
      </c>
      <c r="C1754">
        <f>NOT(hospitalityq!C1754="")*(SUMPRODUCT(--(TRIM(hospitalityq!C6:C1754)=TRIM(hospitalityq!C1754)))&gt;1)</f>
        <v>0</v>
      </c>
      <c r="D1754">
        <f>NOT(hospitalityq!D1754="")*(COUNTIF(reference!$C$17:$C$18,TRIM(hospitalityq!D1754))=0)</f>
        <v>0</v>
      </c>
      <c r="J1754">
        <f>NOT(hospitalityq!J1754="")*(NOT(ISNUMBER(hospitalityq!J1754+0)))</f>
        <v>0</v>
      </c>
      <c r="K1754">
        <f>NOT(hospitalityq!K1754="")*(NOT(ISNUMBER(hospitalityq!K1754+0)))</f>
        <v>0</v>
      </c>
      <c r="P1754">
        <f>NOT(hospitalityq!P1754="")*(NOT(IFERROR(INT(hospitalityq!P1754)=VALUE(hospitalityq!P1754),FALSE)))</f>
        <v>0</v>
      </c>
      <c r="Q1754">
        <f>NOT(hospitalityq!Q1754="")*(NOT(IFERROR(INT(hospitalityq!Q1754)=VALUE(hospitalityq!Q1754),FALSE)))</f>
        <v>0</v>
      </c>
      <c r="R1754">
        <f>NOT(hospitalityq!R1754="")*(NOT(IFERROR(ROUND(VALUE(hospitalityq!R1754),2)=VALUE(hospitalityq!R1754),FALSE)))</f>
        <v>0</v>
      </c>
    </row>
    <row r="1755" spans="1:18" x14ac:dyDescent="0.25">
      <c r="A1755">
        <f t="shared" si="27"/>
        <v>0</v>
      </c>
      <c r="C1755">
        <f>NOT(hospitalityq!C1755="")*(SUMPRODUCT(--(TRIM(hospitalityq!C6:C1755)=TRIM(hospitalityq!C1755)))&gt;1)</f>
        <v>0</v>
      </c>
      <c r="D1755">
        <f>NOT(hospitalityq!D1755="")*(COUNTIF(reference!$C$17:$C$18,TRIM(hospitalityq!D1755))=0)</f>
        <v>0</v>
      </c>
      <c r="J1755">
        <f>NOT(hospitalityq!J1755="")*(NOT(ISNUMBER(hospitalityq!J1755+0)))</f>
        <v>0</v>
      </c>
      <c r="K1755">
        <f>NOT(hospitalityq!K1755="")*(NOT(ISNUMBER(hospitalityq!K1755+0)))</f>
        <v>0</v>
      </c>
      <c r="P1755">
        <f>NOT(hospitalityq!P1755="")*(NOT(IFERROR(INT(hospitalityq!P1755)=VALUE(hospitalityq!P1755),FALSE)))</f>
        <v>0</v>
      </c>
      <c r="Q1755">
        <f>NOT(hospitalityq!Q1755="")*(NOT(IFERROR(INT(hospitalityq!Q1755)=VALUE(hospitalityq!Q1755),FALSE)))</f>
        <v>0</v>
      </c>
      <c r="R1755">
        <f>NOT(hospitalityq!R1755="")*(NOT(IFERROR(ROUND(VALUE(hospitalityq!R1755),2)=VALUE(hospitalityq!R1755),FALSE)))</f>
        <v>0</v>
      </c>
    </row>
    <row r="1756" spans="1:18" x14ac:dyDescent="0.25">
      <c r="A1756">
        <f t="shared" si="27"/>
        <v>0</v>
      </c>
      <c r="C1756">
        <f>NOT(hospitalityq!C1756="")*(SUMPRODUCT(--(TRIM(hospitalityq!C6:C1756)=TRIM(hospitalityq!C1756)))&gt;1)</f>
        <v>0</v>
      </c>
      <c r="D1756">
        <f>NOT(hospitalityq!D1756="")*(COUNTIF(reference!$C$17:$C$18,TRIM(hospitalityq!D1756))=0)</f>
        <v>0</v>
      </c>
      <c r="J1756">
        <f>NOT(hospitalityq!J1756="")*(NOT(ISNUMBER(hospitalityq!J1756+0)))</f>
        <v>0</v>
      </c>
      <c r="K1756">
        <f>NOT(hospitalityq!K1756="")*(NOT(ISNUMBER(hospitalityq!K1756+0)))</f>
        <v>0</v>
      </c>
      <c r="P1756">
        <f>NOT(hospitalityq!P1756="")*(NOT(IFERROR(INT(hospitalityq!P1756)=VALUE(hospitalityq!P1756),FALSE)))</f>
        <v>0</v>
      </c>
      <c r="Q1756">
        <f>NOT(hospitalityq!Q1756="")*(NOT(IFERROR(INT(hospitalityq!Q1756)=VALUE(hospitalityq!Q1756),FALSE)))</f>
        <v>0</v>
      </c>
      <c r="R1756">
        <f>NOT(hospitalityq!R1756="")*(NOT(IFERROR(ROUND(VALUE(hospitalityq!R1756),2)=VALUE(hospitalityq!R1756),FALSE)))</f>
        <v>0</v>
      </c>
    </row>
    <row r="1757" spans="1:18" x14ac:dyDescent="0.25">
      <c r="A1757">
        <f t="shared" si="27"/>
        <v>0</v>
      </c>
      <c r="C1757">
        <f>NOT(hospitalityq!C1757="")*(SUMPRODUCT(--(TRIM(hospitalityq!C6:C1757)=TRIM(hospitalityq!C1757)))&gt;1)</f>
        <v>0</v>
      </c>
      <c r="D1757">
        <f>NOT(hospitalityq!D1757="")*(COUNTIF(reference!$C$17:$C$18,TRIM(hospitalityq!D1757))=0)</f>
        <v>0</v>
      </c>
      <c r="J1757">
        <f>NOT(hospitalityq!J1757="")*(NOT(ISNUMBER(hospitalityq!J1757+0)))</f>
        <v>0</v>
      </c>
      <c r="K1757">
        <f>NOT(hospitalityq!K1757="")*(NOT(ISNUMBER(hospitalityq!K1757+0)))</f>
        <v>0</v>
      </c>
      <c r="P1757">
        <f>NOT(hospitalityq!P1757="")*(NOT(IFERROR(INT(hospitalityq!P1757)=VALUE(hospitalityq!P1757),FALSE)))</f>
        <v>0</v>
      </c>
      <c r="Q1757">
        <f>NOT(hospitalityq!Q1757="")*(NOT(IFERROR(INT(hospitalityq!Q1757)=VALUE(hospitalityq!Q1757),FALSE)))</f>
        <v>0</v>
      </c>
      <c r="R1757">
        <f>NOT(hospitalityq!R1757="")*(NOT(IFERROR(ROUND(VALUE(hospitalityq!R1757),2)=VALUE(hospitalityq!R1757),FALSE)))</f>
        <v>0</v>
      </c>
    </row>
    <row r="1758" spans="1:18" x14ac:dyDescent="0.25">
      <c r="A1758">
        <f t="shared" si="27"/>
        <v>0</v>
      </c>
      <c r="C1758">
        <f>NOT(hospitalityq!C1758="")*(SUMPRODUCT(--(TRIM(hospitalityq!C6:C1758)=TRIM(hospitalityq!C1758)))&gt;1)</f>
        <v>0</v>
      </c>
      <c r="D1758">
        <f>NOT(hospitalityq!D1758="")*(COUNTIF(reference!$C$17:$C$18,TRIM(hospitalityq!D1758))=0)</f>
        <v>0</v>
      </c>
      <c r="J1758">
        <f>NOT(hospitalityq!J1758="")*(NOT(ISNUMBER(hospitalityq!J1758+0)))</f>
        <v>0</v>
      </c>
      <c r="K1758">
        <f>NOT(hospitalityq!K1758="")*(NOT(ISNUMBER(hospitalityq!K1758+0)))</f>
        <v>0</v>
      </c>
      <c r="P1758">
        <f>NOT(hospitalityq!P1758="")*(NOT(IFERROR(INT(hospitalityq!P1758)=VALUE(hospitalityq!P1758),FALSE)))</f>
        <v>0</v>
      </c>
      <c r="Q1758">
        <f>NOT(hospitalityq!Q1758="")*(NOT(IFERROR(INT(hospitalityq!Q1758)=VALUE(hospitalityq!Q1758),FALSE)))</f>
        <v>0</v>
      </c>
      <c r="R1758">
        <f>NOT(hospitalityq!R1758="")*(NOT(IFERROR(ROUND(VALUE(hospitalityq!R1758),2)=VALUE(hospitalityq!R1758),FALSE)))</f>
        <v>0</v>
      </c>
    </row>
    <row r="1759" spans="1:18" x14ac:dyDescent="0.25">
      <c r="A1759">
        <f t="shared" si="27"/>
        <v>0</v>
      </c>
      <c r="C1759">
        <f>NOT(hospitalityq!C1759="")*(SUMPRODUCT(--(TRIM(hospitalityq!C6:C1759)=TRIM(hospitalityq!C1759)))&gt;1)</f>
        <v>0</v>
      </c>
      <c r="D1759">
        <f>NOT(hospitalityq!D1759="")*(COUNTIF(reference!$C$17:$C$18,TRIM(hospitalityq!D1759))=0)</f>
        <v>0</v>
      </c>
      <c r="J1759">
        <f>NOT(hospitalityq!J1759="")*(NOT(ISNUMBER(hospitalityq!J1759+0)))</f>
        <v>0</v>
      </c>
      <c r="K1759">
        <f>NOT(hospitalityq!K1759="")*(NOT(ISNUMBER(hospitalityq!K1759+0)))</f>
        <v>0</v>
      </c>
      <c r="P1759">
        <f>NOT(hospitalityq!P1759="")*(NOT(IFERROR(INT(hospitalityq!P1759)=VALUE(hospitalityq!P1759),FALSE)))</f>
        <v>0</v>
      </c>
      <c r="Q1759">
        <f>NOT(hospitalityq!Q1759="")*(NOT(IFERROR(INT(hospitalityq!Q1759)=VALUE(hospitalityq!Q1759),FALSE)))</f>
        <v>0</v>
      </c>
      <c r="R1759">
        <f>NOT(hospitalityq!R1759="")*(NOT(IFERROR(ROUND(VALUE(hospitalityq!R1759),2)=VALUE(hospitalityq!R1759),FALSE)))</f>
        <v>0</v>
      </c>
    </row>
    <row r="1760" spans="1:18" x14ac:dyDescent="0.25">
      <c r="A1760">
        <f t="shared" si="27"/>
        <v>0</v>
      </c>
      <c r="C1760">
        <f>NOT(hospitalityq!C1760="")*(SUMPRODUCT(--(TRIM(hospitalityq!C6:C1760)=TRIM(hospitalityq!C1760)))&gt;1)</f>
        <v>0</v>
      </c>
      <c r="D1760">
        <f>NOT(hospitalityq!D1760="")*(COUNTIF(reference!$C$17:$C$18,TRIM(hospitalityq!D1760))=0)</f>
        <v>0</v>
      </c>
      <c r="J1760">
        <f>NOT(hospitalityq!J1760="")*(NOT(ISNUMBER(hospitalityq!J1760+0)))</f>
        <v>0</v>
      </c>
      <c r="K1760">
        <f>NOT(hospitalityq!K1760="")*(NOT(ISNUMBER(hospitalityq!K1760+0)))</f>
        <v>0</v>
      </c>
      <c r="P1760">
        <f>NOT(hospitalityq!P1760="")*(NOT(IFERROR(INT(hospitalityq!P1760)=VALUE(hospitalityq!P1760),FALSE)))</f>
        <v>0</v>
      </c>
      <c r="Q1760">
        <f>NOT(hospitalityq!Q1760="")*(NOT(IFERROR(INT(hospitalityq!Q1760)=VALUE(hospitalityq!Q1760),FALSE)))</f>
        <v>0</v>
      </c>
      <c r="R1760">
        <f>NOT(hospitalityq!R1760="")*(NOT(IFERROR(ROUND(VALUE(hospitalityq!R1760),2)=VALUE(hospitalityq!R1760),FALSE)))</f>
        <v>0</v>
      </c>
    </row>
    <row r="1761" spans="1:18" x14ac:dyDescent="0.25">
      <c r="A1761">
        <f t="shared" si="27"/>
        <v>0</v>
      </c>
      <c r="C1761">
        <f>NOT(hospitalityq!C1761="")*(SUMPRODUCT(--(TRIM(hospitalityq!C6:C1761)=TRIM(hospitalityq!C1761)))&gt;1)</f>
        <v>0</v>
      </c>
      <c r="D1761">
        <f>NOT(hospitalityq!D1761="")*(COUNTIF(reference!$C$17:$C$18,TRIM(hospitalityq!D1761))=0)</f>
        <v>0</v>
      </c>
      <c r="J1761">
        <f>NOT(hospitalityq!J1761="")*(NOT(ISNUMBER(hospitalityq!J1761+0)))</f>
        <v>0</v>
      </c>
      <c r="K1761">
        <f>NOT(hospitalityq!K1761="")*(NOT(ISNUMBER(hospitalityq!K1761+0)))</f>
        <v>0</v>
      </c>
      <c r="P1761">
        <f>NOT(hospitalityq!P1761="")*(NOT(IFERROR(INT(hospitalityq!P1761)=VALUE(hospitalityq!P1761),FALSE)))</f>
        <v>0</v>
      </c>
      <c r="Q1761">
        <f>NOT(hospitalityq!Q1761="")*(NOT(IFERROR(INT(hospitalityq!Q1761)=VALUE(hospitalityq!Q1761),FALSE)))</f>
        <v>0</v>
      </c>
      <c r="R1761">
        <f>NOT(hospitalityq!R1761="")*(NOT(IFERROR(ROUND(VALUE(hospitalityq!R1761),2)=VALUE(hospitalityq!R1761),FALSE)))</f>
        <v>0</v>
      </c>
    </row>
    <row r="1762" spans="1:18" x14ac:dyDescent="0.25">
      <c r="A1762">
        <f t="shared" si="27"/>
        <v>0</v>
      </c>
      <c r="C1762">
        <f>NOT(hospitalityq!C1762="")*(SUMPRODUCT(--(TRIM(hospitalityq!C6:C1762)=TRIM(hospitalityq!C1762)))&gt;1)</f>
        <v>0</v>
      </c>
      <c r="D1762">
        <f>NOT(hospitalityq!D1762="")*(COUNTIF(reference!$C$17:$C$18,TRIM(hospitalityq!D1762))=0)</f>
        <v>0</v>
      </c>
      <c r="J1762">
        <f>NOT(hospitalityq!J1762="")*(NOT(ISNUMBER(hospitalityq!J1762+0)))</f>
        <v>0</v>
      </c>
      <c r="K1762">
        <f>NOT(hospitalityq!K1762="")*(NOT(ISNUMBER(hospitalityq!K1762+0)))</f>
        <v>0</v>
      </c>
      <c r="P1762">
        <f>NOT(hospitalityq!P1762="")*(NOT(IFERROR(INT(hospitalityq!P1762)=VALUE(hospitalityq!P1762),FALSE)))</f>
        <v>0</v>
      </c>
      <c r="Q1762">
        <f>NOT(hospitalityq!Q1762="")*(NOT(IFERROR(INT(hospitalityq!Q1762)=VALUE(hospitalityq!Q1762),FALSE)))</f>
        <v>0</v>
      </c>
      <c r="R1762">
        <f>NOT(hospitalityq!R1762="")*(NOT(IFERROR(ROUND(VALUE(hospitalityq!R1762),2)=VALUE(hospitalityq!R1762),FALSE)))</f>
        <v>0</v>
      </c>
    </row>
    <row r="1763" spans="1:18" x14ac:dyDescent="0.25">
      <c r="A1763">
        <f t="shared" si="27"/>
        <v>0</v>
      </c>
      <c r="C1763">
        <f>NOT(hospitalityq!C1763="")*(SUMPRODUCT(--(TRIM(hospitalityq!C6:C1763)=TRIM(hospitalityq!C1763)))&gt;1)</f>
        <v>0</v>
      </c>
      <c r="D1763">
        <f>NOT(hospitalityq!D1763="")*(COUNTIF(reference!$C$17:$C$18,TRIM(hospitalityq!D1763))=0)</f>
        <v>0</v>
      </c>
      <c r="J1763">
        <f>NOT(hospitalityq!J1763="")*(NOT(ISNUMBER(hospitalityq!J1763+0)))</f>
        <v>0</v>
      </c>
      <c r="K1763">
        <f>NOT(hospitalityq!K1763="")*(NOT(ISNUMBER(hospitalityq!K1763+0)))</f>
        <v>0</v>
      </c>
      <c r="P1763">
        <f>NOT(hospitalityq!P1763="")*(NOT(IFERROR(INT(hospitalityq!P1763)=VALUE(hospitalityq!P1763),FALSE)))</f>
        <v>0</v>
      </c>
      <c r="Q1763">
        <f>NOT(hospitalityq!Q1763="")*(NOT(IFERROR(INT(hospitalityq!Q1763)=VALUE(hospitalityq!Q1763),FALSE)))</f>
        <v>0</v>
      </c>
      <c r="R1763">
        <f>NOT(hospitalityq!R1763="")*(NOT(IFERROR(ROUND(VALUE(hospitalityq!R1763),2)=VALUE(hospitalityq!R1763),FALSE)))</f>
        <v>0</v>
      </c>
    </row>
    <row r="1764" spans="1:18" x14ac:dyDescent="0.25">
      <c r="A1764">
        <f t="shared" si="27"/>
        <v>0</v>
      </c>
      <c r="C1764">
        <f>NOT(hospitalityq!C1764="")*(SUMPRODUCT(--(TRIM(hospitalityq!C6:C1764)=TRIM(hospitalityq!C1764)))&gt;1)</f>
        <v>0</v>
      </c>
      <c r="D1764">
        <f>NOT(hospitalityq!D1764="")*(COUNTIF(reference!$C$17:$C$18,TRIM(hospitalityq!D1764))=0)</f>
        <v>0</v>
      </c>
      <c r="J1764">
        <f>NOT(hospitalityq!J1764="")*(NOT(ISNUMBER(hospitalityq!J1764+0)))</f>
        <v>0</v>
      </c>
      <c r="K1764">
        <f>NOT(hospitalityq!K1764="")*(NOT(ISNUMBER(hospitalityq!K1764+0)))</f>
        <v>0</v>
      </c>
      <c r="P1764">
        <f>NOT(hospitalityq!P1764="")*(NOT(IFERROR(INT(hospitalityq!P1764)=VALUE(hospitalityq!P1764),FALSE)))</f>
        <v>0</v>
      </c>
      <c r="Q1764">
        <f>NOT(hospitalityq!Q1764="")*(NOT(IFERROR(INT(hospitalityq!Q1764)=VALUE(hospitalityq!Q1764),FALSE)))</f>
        <v>0</v>
      </c>
      <c r="R1764">
        <f>NOT(hospitalityq!R1764="")*(NOT(IFERROR(ROUND(VALUE(hospitalityq!R1764),2)=VALUE(hospitalityq!R1764),FALSE)))</f>
        <v>0</v>
      </c>
    </row>
    <row r="1765" spans="1:18" x14ac:dyDescent="0.25">
      <c r="A1765">
        <f t="shared" si="27"/>
        <v>0</v>
      </c>
      <c r="C1765">
        <f>NOT(hospitalityq!C1765="")*(SUMPRODUCT(--(TRIM(hospitalityq!C6:C1765)=TRIM(hospitalityq!C1765)))&gt;1)</f>
        <v>0</v>
      </c>
      <c r="D1765">
        <f>NOT(hospitalityq!D1765="")*(COUNTIF(reference!$C$17:$C$18,TRIM(hospitalityq!D1765))=0)</f>
        <v>0</v>
      </c>
      <c r="J1765">
        <f>NOT(hospitalityq!J1765="")*(NOT(ISNUMBER(hospitalityq!J1765+0)))</f>
        <v>0</v>
      </c>
      <c r="K1765">
        <f>NOT(hospitalityq!K1765="")*(NOT(ISNUMBER(hospitalityq!K1765+0)))</f>
        <v>0</v>
      </c>
      <c r="P1765">
        <f>NOT(hospitalityq!P1765="")*(NOT(IFERROR(INT(hospitalityq!P1765)=VALUE(hospitalityq!P1765),FALSE)))</f>
        <v>0</v>
      </c>
      <c r="Q1765">
        <f>NOT(hospitalityq!Q1765="")*(NOT(IFERROR(INT(hospitalityq!Q1765)=VALUE(hospitalityq!Q1765),FALSE)))</f>
        <v>0</v>
      </c>
      <c r="R1765">
        <f>NOT(hospitalityq!R1765="")*(NOT(IFERROR(ROUND(VALUE(hospitalityq!R1765),2)=VALUE(hospitalityq!R1765),FALSE)))</f>
        <v>0</v>
      </c>
    </row>
    <row r="1766" spans="1:18" x14ac:dyDescent="0.25">
      <c r="A1766">
        <f t="shared" si="27"/>
        <v>0</v>
      </c>
      <c r="C1766">
        <f>NOT(hospitalityq!C1766="")*(SUMPRODUCT(--(TRIM(hospitalityq!C6:C1766)=TRIM(hospitalityq!C1766)))&gt;1)</f>
        <v>0</v>
      </c>
      <c r="D1766">
        <f>NOT(hospitalityq!D1766="")*(COUNTIF(reference!$C$17:$C$18,TRIM(hospitalityq!D1766))=0)</f>
        <v>0</v>
      </c>
      <c r="J1766">
        <f>NOT(hospitalityq!J1766="")*(NOT(ISNUMBER(hospitalityq!J1766+0)))</f>
        <v>0</v>
      </c>
      <c r="K1766">
        <f>NOT(hospitalityq!K1766="")*(NOT(ISNUMBER(hospitalityq!K1766+0)))</f>
        <v>0</v>
      </c>
      <c r="P1766">
        <f>NOT(hospitalityq!P1766="")*(NOT(IFERROR(INT(hospitalityq!P1766)=VALUE(hospitalityq!P1766),FALSE)))</f>
        <v>0</v>
      </c>
      <c r="Q1766">
        <f>NOT(hospitalityq!Q1766="")*(NOT(IFERROR(INT(hospitalityq!Q1766)=VALUE(hospitalityq!Q1766),FALSE)))</f>
        <v>0</v>
      </c>
      <c r="R1766">
        <f>NOT(hospitalityq!R1766="")*(NOT(IFERROR(ROUND(VALUE(hospitalityq!R1766),2)=VALUE(hospitalityq!R1766),FALSE)))</f>
        <v>0</v>
      </c>
    </row>
    <row r="1767" spans="1:18" x14ac:dyDescent="0.25">
      <c r="A1767">
        <f t="shared" si="27"/>
        <v>0</v>
      </c>
      <c r="C1767">
        <f>NOT(hospitalityq!C1767="")*(SUMPRODUCT(--(TRIM(hospitalityq!C6:C1767)=TRIM(hospitalityq!C1767)))&gt;1)</f>
        <v>0</v>
      </c>
      <c r="D1767">
        <f>NOT(hospitalityq!D1767="")*(COUNTIF(reference!$C$17:$C$18,TRIM(hospitalityq!D1767))=0)</f>
        <v>0</v>
      </c>
      <c r="J1767">
        <f>NOT(hospitalityq!J1767="")*(NOT(ISNUMBER(hospitalityq!J1767+0)))</f>
        <v>0</v>
      </c>
      <c r="K1767">
        <f>NOT(hospitalityq!K1767="")*(NOT(ISNUMBER(hospitalityq!K1767+0)))</f>
        <v>0</v>
      </c>
      <c r="P1767">
        <f>NOT(hospitalityq!P1767="")*(NOT(IFERROR(INT(hospitalityq!P1767)=VALUE(hospitalityq!P1767),FALSE)))</f>
        <v>0</v>
      </c>
      <c r="Q1767">
        <f>NOT(hospitalityq!Q1767="")*(NOT(IFERROR(INT(hospitalityq!Q1767)=VALUE(hospitalityq!Q1767),FALSE)))</f>
        <v>0</v>
      </c>
      <c r="R1767">
        <f>NOT(hospitalityq!R1767="")*(NOT(IFERROR(ROUND(VALUE(hospitalityq!R1767),2)=VALUE(hospitalityq!R1767),FALSE)))</f>
        <v>0</v>
      </c>
    </row>
    <row r="1768" spans="1:18" x14ac:dyDescent="0.25">
      <c r="A1768">
        <f t="shared" si="27"/>
        <v>0</v>
      </c>
      <c r="C1768">
        <f>NOT(hospitalityq!C1768="")*(SUMPRODUCT(--(TRIM(hospitalityq!C6:C1768)=TRIM(hospitalityq!C1768)))&gt;1)</f>
        <v>0</v>
      </c>
      <c r="D1768">
        <f>NOT(hospitalityq!D1768="")*(COUNTIF(reference!$C$17:$C$18,TRIM(hospitalityq!D1768))=0)</f>
        <v>0</v>
      </c>
      <c r="J1768">
        <f>NOT(hospitalityq!J1768="")*(NOT(ISNUMBER(hospitalityq!J1768+0)))</f>
        <v>0</v>
      </c>
      <c r="K1768">
        <f>NOT(hospitalityq!K1768="")*(NOT(ISNUMBER(hospitalityq!K1768+0)))</f>
        <v>0</v>
      </c>
      <c r="P1768">
        <f>NOT(hospitalityq!P1768="")*(NOT(IFERROR(INT(hospitalityq!P1768)=VALUE(hospitalityq!P1768),FALSE)))</f>
        <v>0</v>
      </c>
      <c r="Q1768">
        <f>NOT(hospitalityq!Q1768="")*(NOT(IFERROR(INT(hospitalityq!Q1768)=VALUE(hospitalityq!Q1768),FALSE)))</f>
        <v>0</v>
      </c>
      <c r="R1768">
        <f>NOT(hospitalityq!R1768="")*(NOT(IFERROR(ROUND(VALUE(hospitalityq!R1768),2)=VALUE(hospitalityq!R1768),FALSE)))</f>
        <v>0</v>
      </c>
    </row>
    <row r="1769" spans="1:18" x14ac:dyDescent="0.25">
      <c r="A1769">
        <f t="shared" si="27"/>
        <v>0</v>
      </c>
      <c r="C1769">
        <f>NOT(hospitalityq!C1769="")*(SUMPRODUCT(--(TRIM(hospitalityq!C6:C1769)=TRIM(hospitalityq!C1769)))&gt;1)</f>
        <v>0</v>
      </c>
      <c r="D1769">
        <f>NOT(hospitalityq!D1769="")*(COUNTIF(reference!$C$17:$C$18,TRIM(hospitalityq!D1769))=0)</f>
        <v>0</v>
      </c>
      <c r="J1769">
        <f>NOT(hospitalityq!J1769="")*(NOT(ISNUMBER(hospitalityq!J1769+0)))</f>
        <v>0</v>
      </c>
      <c r="K1769">
        <f>NOT(hospitalityq!K1769="")*(NOT(ISNUMBER(hospitalityq!K1769+0)))</f>
        <v>0</v>
      </c>
      <c r="P1769">
        <f>NOT(hospitalityq!P1769="")*(NOT(IFERROR(INT(hospitalityq!P1769)=VALUE(hospitalityq!P1769),FALSE)))</f>
        <v>0</v>
      </c>
      <c r="Q1769">
        <f>NOT(hospitalityq!Q1769="")*(NOT(IFERROR(INT(hospitalityq!Q1769)=VALUE(hospitalityq!Q1769),FALSE)))</f>
        <v>0</v>
      </c>
      <c r="R1769">
        <f>NOT(hospitalityq!R1769="")*(NOT(IFERROR(ROUND(VALUE(hospitalityq!R1769),2)=VALUE(hospitalityq!R1769),FALSE)))</f>
        <v>0</v>
      </c>
    </row>
    <row r="1770" spans="1:18" x14ac:dyDescent="0.25">
      <c r="A1770">
        <f t="shared" si="27"/>
        <v>0</v>
      </c>
      <c r="C1770">
        <f>NOT(hospitalityq!C1770="")*(SUMPRODUCT(--(TRIM(hospitalityq!C6:C1770)=TRIM(hospitalityq!C1770)))&gt;1)</f>
        <v>0</v>
      </c>
      <c r="D1770">
        <f>NOT(hospitalityq!D1770="")*(COUNTIF(reference!$C$17:$C$18,TRIM(hospitalityq!D1770))=0)</f>
        <v>0</v>
      </c>
      <c r="J1770">
        <f>NOT(hospitalityq!J1770="")*(NOT(ISNUMBER(hospitalityq!J1770+0)))</f>
        <v>0</v>
      </c>
      <c r="K1770">
        <f>NOT(hospitalityq!K1770="")*(NOT(ISNUMBER(hospitalityq!K1770+0)))</f>
        <v>0</v>
      </c>
      <c r="P1770">
        <f>NOT(hospitalityq!P1770="")*(NOT(IFERROR(INT(hospitalityq!P1770)=VALUE(hospitalityq!P1770),FALSE)))</f>
        <v>0</v>
      </c>
      <c r="Q1770">
        <f>NOT(hospitalityq!Q1770="")*(NOT(IFERROR(INT(hospitalityq!Q1770)=VALUE(hospitalityq!Q1770),FALSE)))</f>
        <v>0</v>
      </c>
      <c r="R1770">
        <f>NOT(hospitalityq!R1770="")*(NOT(IFERROR(ROUND(VALUE(hospitalityq!R1770),2)=VALUE(hospitalityq!R1770),FALSE)))</f>
        <v>0</v>
      </c>
    </row>
    <row r="1771" spans="1:18" x14ac:dyDescent="0.25">
      <c r="A1771">
        <f t="shared" si="27"/>
        <v>0</v>
      </c>
      <c r="C1771">
        <f>NOT(hospitalityq!C1771="")*(SUMPRODUCT(--(TRIM(hospitalityq!C6:C1771)=TRIM(hospitalityq!C1771)))&gt;1)</f>
        <v>0</v>
      </c>
      <c r="D1771">
        <f>NOT(hospitalityq!D1771="")*(COUNTIF(reference!$C$17:$C$18,TRIM(hospitalityq!D1771))=0)</f>
        <v>0</v>
      </c>
      <c r="J1771">
        <f>NOT(hospitalityq!J1771="")*(NOT(ISNUMBER(hospitalityq!J1771+0)))</f>
        <v>0</v>
      </c>
      <c r="K1771">
        <f>NOT(hospitalityq!K1771="")*(NOT(ISNUMBER(hospitalityq!K1771+0)))</f>
        <v>0</v>
      </c>
      <c r="P1771">
        <f>NOT(hospitalityq!P1771="")*(NOT(IFERROR(INT(hospitalityq!P1771)=VALUE(hospitalityq!P1771),FALSE)))</f>
        <v>0</v>
      </c>
      <c r="Q1771">
        <f>NOT(hospitalityq!Q1771="")*(NOT(IFERROR(INT(hospitalityq!Q1771)=VALUE(hospitalityq!Q1771),FALSE)))</f>
        <v>0</v>
      </c>
      <c r="R1771">
        <f>NOT(hospitalityq!R1771="")*(NOT(IFERROR(ROUND(VALUE(hospitalityq!R1771),2)=VALUE(hospitalityq!R1771),FALSE)))</f>
        <v>0</v>
      </c>
    </row>
    <row r="1772" spans="1:18" x14ac:dyDescent="0.25">
      <c r="A1772">
        <f t="shared" si="27"/>
        <v>0</v>
      </c>
      <c r="C1772">
        <f>NOT(hospitalityq!C1772="")*(SUMPRODUCT(--(TRIM(hospitalityq!C6:C1772)=TRIM(hospitalityq!C1772)))&gt;1)</f>
        <v>0</v>
      </c>
      <c r="D1772">
        <f>NOT(hospitalityq!D1772="")*(COUNTIF(reference!$C$17:$C$18,TRIM(hospitalityq!D1772))=0)</f>
        <v>0</v>
      </c>
      <c r="J1772">
        <f>NOT(hospitalityq!J1772="")*(NOT(ISNUMBER(hospitalityq!J1772+0)))</f>
        <v>0</v>
      </c>
      <c r="K1772">
        <f>NOT(hospitalityq!K1772="")*(NOT(ISNUMBER(hospitalityq!K1772+0)))</f>
        <v>0</v>
      </c>
      <c r="P1772">
        <f>NOT(hospitalityq!P1772="")*(NOT(IFERROR(INT(hospitalityq!P1772)=VALUE(hospitalityq!P1772),FALSE)))</f>
        <v>0</v>
      </c>
      <c r="Q1772">
        <f>NOT(hospitalityq!Q1772="")*(NOT(IFERROR(INT(hospitalityq!Q1772)=VALUE(hospitalityq!Q1772),FALSE)))</f>
        <v>0</v>
      </c>
      <c r="R1772">
        <f>NOT(hospitalityq!R1772="")*(NOT(IFERROR(ROUND(VALUE(hospitalityq!R1772),2)=VALUE(hospitalityq!R1772),FALSE)))</f>
        <v>0</v>
      </c>
    </row>
    <row r="1773" spans="1:18" x14ac:dyDescent="0.25">
      <c r="A1773">
        <f t="shared" si="27"/>
        <v>0</v>
      </c>
      <c r="C1773">
        <f>NOT(hospitalityq!C1773="")*(SUMPRODUCT(--(TRIM(hospitalityq!C6:C1773)=TRIM(hospitalityq!C1773)))&gt;1)</f>
        <v>0</v>
      </c>
      <c r="D1773">
        <f>NOT(hospitalityq!D1773="")*(COUNTIF(reference!$C$17:$C$18,TRIM(hospitalityq!D1773))=0)</f>
        <v>0</v>
      </c>
      <c r="J1773">
        <f>NOT(hospitalityq!J1773="")*(NOT(ISNUMBER(hospitalityq!J1773+0)))</f>
        <v>0</v>
      </c>
      <c r="K1773">
        <f>NOT(hospitalityq!K1773="")*(NOT(ISNUMBER(hospitalityq!K1773+0)))</f>
        <v>0</v>
      </c>
      <c r="P1773">
        <f>NOT(hospitalityq!P1773="")*(NOT(IFERROR(INT(hospitalityq!P1773)=VALUE(hospitalityq!P1773),FALSE)))</f>
        <v>0</v>
      </c>
      <c r="Q1773">
        <f>NOT(hospitalityq!Q1773="")*(NOT(IFERROR(INT(hospitalityq!Q1773)=VALUE(hospitalityq!Q1773),FALSE)))</f>
        <v>0</v>
      </c>
      <c r="R1773">
        <f>NOT(hospitalityq!R1773="")*(NOT(IFERROR(ROUND(VALUE(hospitalityq!R1773),2)=VALUE(hospitalityq!R1773),FALSE)))</f>
        <v>0</v>
      </c>
    </row>
    <row r="1774" spans="1:18" x14ac:dyDescent="0.25">
      <c r="A1774">
        <f t="shared" si="27"/>
        <v>0</v>
      </c>
      <c r="C1774">
        <f>NOT(hospitalityq!C1774="")*(SUMPRODUCT(--(TRIM(hospitalityq!C6:C1774)=TRIM(hospitalityq!C1774)))&gt;1)</f>
        <v>0</v>
      </c>
      <c r="D1774">
        <f>NOT(hospitalityq!D1774="")*(COUNTIF(reference!$C$17:$C$18,TRIM(hospitalityq!D1774))=0)</f>
        <v>0</v>
      </c>
      <c r="J1774">
        <f>NOT(hospitalityq!J1774="")*(NOT(ISNUMBER(hospitalityq!J1774+0)))</f>
        <v>0</v>
      </c>
      <c r="K1774">
        <f>NOT(hospitalityq!K1774="")*(NOT(ISNUMBER(hospitalityq!K1774+0)))</f>
        <v>0</v>
      </c>
      <c r="P1774">
        <f>NOT(hospitalityq!P1774="")*(NOT(IFERROR(INT(hospitalityq!P1774)=VALUE(hospitalityq!P1774),FALSE)))</f>
        <v>0</v>
      </c>
      <c r="Q1774">
        <f>NOT(hospitalityq!Q1774="")*(NOT(IFERROR(INT(hospitalityq!Q1774)=VALUE(hospitalityq!Q1774),FALSE)))</f>
        <v>0</v>
      </c>
      <c r="R1774">
        <f>NOT(hospitalityq!R1774="")*(NOT(IFERROR(ROUND(VALUE(hospitalityq!R1774),2)=VALUE(hospitalityq!R1774),FALSE)))</f>
        <v>0</v>
      </c>
    </row>
    <row r="1775" spans="1:18" x14ac:dyDescent="0.25">
      <c r="A1775">
        <f t="shared" si="27"/>
        <v>0</v>
      </c>
      <c r="C1775">
        <f>NOT(hospitalityq!C1775="")*(SUMPRODUCT(--(TRIM(hospitalityq!C6:C1775)=TRIM(hospitalityq!C1775)))&gt;1)</f>
        <v>0</v>
      </c>
      <c r="D1775">
        <f>NOT(hospitalityq!D1775="")*(COUNTIF(reference!$C$17:$C$18,TRIM(hospitalityq!D1775))=0)</f>
        <v>0</v>
      </c>
      <c r="J1775">
        <f>NOT(hospitalityq!J1775="")*(NOT(ISNUMBER(hospitalityq!J1775+0)))</f>
        <v>0</v>
      </c>
      <c r="K1775">
        <f>NOT(hospitalityq!K1775="")*(NOT(ISNUMBER(hospitalityq!K1775+0)))</f>
        <v>0</v>
      </c>
      <c r="P1775">
        <f>NOT(hospitalityq!P1775="")*(NOT(IFERROR(INT(hospitalityq!P1775)=VALUE(hospitalityq!P1775),FALSE)))</f>
        <v>0</v>
      </c>
      <c r="Q1775">
        <f>NOT(hospitalityq!Q1775="")*(NOT(IFERROR(INT(hospitalityq!Q1775)=VALUE(hospitalityq!Q1775),FALSE)))</f>
        <v>0</v>
      </c>
      <c r="R1775">
        <f>NOT(hospitalityq!R1775="")*(NOT(IFERROR(ROUND(VALUE(hospitalityq!R1775),2)=VALUE(hospitalityq!R1775),FALSE)))</f>
        <v>0</v>
      </c>
    </row>
    <row r="1776" spans="1:18" x14ac:dyDescent="0.25">
      <c r="A1776">
        <f t="shared" si="27"/>
        <v>0</v>
      </c>
      <c r="C1776">
        <f>NOT(hospitalityq!C1776="")*(SUMPRODUCT(--(TRIM(hospitalityq!C6:C1776)=TRIM(hospitalityq!C1776)))&gt;1)</f>
        <v>0</v>
      </c>
      <c r="D1776">
        <f>NOT(hospitalityq!D1776="")*(COUNTIF(reference!$C$17:$C$18,TRIM(hospitalityq!D1776))=0)</f>
        <v>0</v>
      </c>
      <c r="J1776">
        <f>NOT(hospitalityq!J1776="")*(NOT(ISNUMBER(hospitalityq!J1776+0)))</f>
        <v>0</v>
      </c>
      <c r="K1776">
        <f>NOT(hospitalityq!K1776="")*(NOT(ISNUMBER(hospitalityq!K1776+0)))</f>
        <v>0</v>
      </c>
      <c r="P1776">
        <f>NOT(hospitalityq!P1776="")*(NOT(IFERROR(INT(hospitalityq!P1776)=VALUE(hospitalityq!P1776),FALSE)))</f>
        <v>0</v>
      </c>
      <c r="Q1776">
        <f>NOT(hospitalityq!Q1776="")*(NOT(IFERROR(INT(hospitalityq!Q1776)=VALUE(hospitalityq!Q1776),FALSE)))</f>
        <v>0</v>
      </c>
      <c r="R1776">
        <f>NOT(hospitalityq!R1776="")*(NOT(IFERROR(ROUND(VALUE(hospitalityq!R1776),2)=VALUE(hospitalityq!R1776),FALSE)))</f>
        <v>0</v>
      </c>
    </row>
    <row r="1777" spans="1:18" x14ac:dyDescent="0.25">
      <c r="A1777">
        <f t="shared" si="27"/>
        <v>0</v>
      </c>
      <c r="C1777">
        <f>NOT(hospitalityq!C1777="")*(SUMPRODUCT(--(TRIM(hospitalityq!C6:C1777)=TRIM(hospitalityq!C1777)))&gt;1)</f>
        <v>0</v>
      </c>
      <c r="D1777">
        <f>NOT(hospitalityq!D1777="")*(COUNTIF(reference!$C$17:$C$18,TRIM(hospitalityq!D1777))=0)</f>
        <v>0</v>
      </c>
      <c r="J1777">
        <f>NOT(hospitalityq!J1777="")*(NOT(ISNUMBER(hospitalityq!J1777+0)))</f>
        <v>0</v>
      </c>
      <c r="K1777">
        <f>NOT(hospitalityq!K1777="")*(NOT(ISNUMBER(hospitalityq!K1777+0)))</f>
        <v>0</v>
      </c>
      <c r="P1777">
        <f>NOT(hospitalityq!P1777="")*(NOT(IFERROR(INT(hospitalityq!P1777)=VALUE(hospitalityq!P1777),FALSE)))</f>
        <v>0</v>
      </c>
      <c r="Q1777">
        <f>NOT(hospitalityq!Q1777="")*(NOT(IFERROR(INT(hospitalityq!Q1777)=VALUE(hospitalityq!Q1777),FALSE)))</f>
        <v>0</v>
      </c>
      <c r="R1777">
        <f>NOT(hospitalityq!R1777="")*(NOT(IFERROR(ROUND(VALUE(hospitalityq!R1777),2)=VALUE(hospitalityq!R1777),FALSE)))</f>
        <v>0</v>
      </c>
    </row>
    <row r="1778" spans="1:18" x14ac:dyDescent="0.25">
      <c r="A1778">
        <f t="shared" si="27"/>
        <v>0</v>
      </c>
      <c r="C1778">
        <f>NOT(hospitalityq!C1778="")*(SUMPRODUCT(--(TRIM(hospitalityq!C6:C1778)=TRIM(hospitalityq!C1778)))&gt;1)</f>
        <v>0</v>
      </c>
      <c r="D1778">
        <f>NOT(hospitalityq!D1778="")*(COUNTIF(reference!$C$17:$C$18,TRIM(hospitalityq!D1778))=0)</f>
        <v>0</v>
      </c>
      <c r="J1778">
        <f>NOT(hospitalityq!J1778="")*(NOT(ISNUMBER(hospitalityq!J1778+0)))</f>
        <v>0</v>
      </c>
      <c r="K1778">
        <f>NOT(hospitalityq!K1778="")*(NOT(ISNUMBER(hospitalityq!K1778+0)))</f>
        <v>0</v>
      </c>
      <c r="P1778">
        <f>NOT(hospitalityq!P1778="")*(NOT(IFERROR(INT(hospitalityq!P1778)=VALUE(hospitalityq!P1778),FALSE)))</f>
        <v>0</v>
      </c>
      <c r="Q1778">
        <f>NOT(hospitalityq!Q1778="")*(NOT(IFERROR(INT(hospitalityq!Q1778)=VALUE(hospitalityq!Q1778),FALSE)))</f>
        <v>0</v>
      </c>
      <c r="R1778">
        <f>NOT(hospitalityq!R1778="")*(NOT(IFERROR(ROUND(VALUE(hospitalityq!R1778),2)=VALUE(hospitalityq!R1778),FALSE)))</f>
        <v>0</v>
      </c>
    </row>
    <row r="1779" spans="1:18" x14ac:dyDescent="0.25">
      <c r="A1779">
        <f t="shared" si="27"/>
        <v>0</v>
      </c>
      <c r="C1779">
        <f>NOT(hospitalityq!C1779="")*(SUMPRODUCT(--(TRIM(hospitalityq!C6:C1779)=TRIM(hospitalityq!C1779)))&gt;1)</f>
        <v>0</v>
      </c>
      <c r="D1779">
        <f>NOT(hospitalityq!D1779="")*(COUNTIF(reference!$C$17:$C$18,TRIM(hospitalityq!D1779))=0)</f>
        <v>0</v>
      </c>
      <c r="J1779">
        <f>NOT(hospitalityq!J1779="")*(NOT(ISNUMBER(hospitalityq!J1779+0)))</f>
        <v>0</v>
      </c>
      <c r="K1779">
        <f>NOT(hospitalityq!K1779="")*(NOT(ISNUMBER(hospitalityq!K1779+0)))</f>
        <v>0</v>
      </c>
      <c r="P1779">
        <f>NOT(hospitalityq!P1779="")*(NOT(IFERROR(INT(hospitalityq!P1779)=VALUE(hospitalityq!P1779),FALSE)))</f>
        <v>0</v>
      </c>
      <c r="Q1779">
        <f>NOT(hospitalityq!Q1779="")*(NOT(IFERROR(INT(hospitalityq!Q1779)=VALUE(hospitalityq!Q1779),FALSE)))</f>
        <v>0</v>
      </c>
      <c r="R1779">
        <f>NOT(hospitalityq!R1779="")*(NOT(IFERROR(ROUND(VALUE(hospitalityq!R1779),2)=VALUE(hospitalityq!R1779),FALSE)))</f>
        <v>0</v>
      </c>
    </row>
    <row r="1780" spans="1:18" x14ac:dyDescent="0.25">
      <c r="A1780">
        <f t="shared" si="27"/>
        <v>0</v>
      </c>
      <c r="C1780">
        <f>NOT(hospitalityq!C1780="")*(SUMPRODUCT(--(TRIM(hospitalityq!C6:C1780)=TRIM(hospitalityq!C1780)))&gt;1)</f>
        <v>0</v>
      </c>
      <c r="D1780">
        <f>NOT(hospitalityq!D1780="")*(COUNTIF(reference!$C$17:$C$18,TRIM(hospitalityq!D1780))=0)</f>
        <v>0</v>
      </c>
      <c r="J1780">
        <f>NOT(hospitalityq!J1780="")*(NOT(ISNUMBER(hospitalityq!J1780+0)))</f>
        <v>0</v>
      </c>
      <c r="K1780">
        <f>NOT(hospitalityq!K1780="")*(NOT(ISNUMBER(hospitalityq!K1780+0)))</f>
        <v>0</v>
      </c>
      <c r="P1780">
        <f>NOT(hospitalityq!P1780="")*(NOT(IFERROR(INT(hospitalityq!P1780)=VALUE(hospitalityq!P1780),FALSE)))</f>
        <v>0</v>
      </c>
      <c r="Q1780">
        <f>NOT(hospitalityq!Q1780="")*(NOT(IFERROR(INT(hospitalityq!Q1780)=VALUE(hospitalityq!Q1780),FALSE)))</f>
        <v>0</v>
      </c>
      <c r="R1780">
        <f>NOT(hospitalityq!R1780="")*(NOT(IFERROR(ROUND(VALUE(hospitalityq!R1780),2)=VALUE(hospitalityq!R1780),FALSE)))</f>
        <v>0</v>
      </c>
    </row>
    <row r="1781" spans="1:18" x14ac:dyDescent="0.25">
      <c r="A1781">
        <f t="shared" si="27"/>
        <v>0</v>
      </c>
      <c r="C1781">
        <f>NOT(hospitalityq!C1781="")*(SUMPRODUCT(--(TRIM(hospitalityq!C6:C1781)=TRIM(hospitalityq!C1781)))&gt;1)</f>
        <v>0</v>
      </c>
      <c r="D1781">
        <f>NOT(hospitalityq!D1781="")*(COUNTIF(reference!$C$17:$C$18,TRIM(hospitalityq!D1781))=0)</f>
        <v>0</v>
      </c>
      <c r="J1781">
        <f>NOT(hospitalityq!J1781="")*(NOT(ISNUMBER(hospitalityq!J1781+0)))</f>
        <v>0</v>
      </c>
      <c r="K1781">
        <f>NOT(hospitalityq!K1781="")*(NOT(ISNUMBER(hospitalityq!K1781+0)))</f>
        <v>0</v>
      </c>
      <c r="P1781">
        <f>NOT(hospitalityq!P1781="")*(NOT(IFERROR(INT(hospitalityq!P1781)=VALUE(hospitalityq!P1781),FALSE)))</f>
        <v>0</v>
      </c>
      <c r="Q1781">
        <f>NOT(hospitalityq!Q1781="")*(NOT(IFERROR(INT(hospitalityq!Q1781)=VALUE(hospitalityq!Q1781),FALSE)))</f>
        <v>0</v>
      </c>
      <c r="R1781">
        <f>NOT(hospitalityq!R1781="")*(NOT(IFERROR(ROUND(VALUE(hospitalityq!R1781),2)=VALUE(hospitalityq!R1781),FALSE)))</f>
        <v>0</v>
      </c>
    </row>
    <row r="1782" spans="1:18" x14ac:dyDescent="0.25">
      <c r="A1782">
        <f t="shared" si="27"/>
        <v>0</v>
      </c>
      <c r="C1782">
        <f>NOT(hospitalityq!C1782="")*(SUMPRODUCT(--(TRIM(hospitalityq!C6:C1782)=TRIM(hospitalityq!C1782)))&gt;1)</f>
        <v>0</v>
      </c>
      <c r="D1782">
        <f>NOT(hospitalityq!D1782="")*(COUNTIF(reference!$C$17:$C$18,TRIM(hospitalityq!D1782))=0)</f>
        <v>0</v>
      </c>
      <c r="J1782">
        <f>NOT(hospitalityq!J1782="")*(NOT(ISNUMBER(hospitalityq!J1782+0)))</f>
        <v>0</v>
      </c>
      <c r="K1782">
        <f>NOT(hospitalityq!K1782="")*(NOT(ISNUMBER(hospitalityq!K1782+0)))</f>
        <v>0</v>
      </c>
      <c r="P1782">
        <f>NOT(hospitalityq!P1782="")*(NOT(IFERROR(INT(hospitalityq!P1782)=VALUE(hospitalityq!P1782),FALSE)))</f>
        <v>0</v>
      </c>
      <c r="Q1782">
        <f>NOT(hospitalityq!Q1782="")*(NOT(IFERROR(INT(hospitalityq!Q1782)=VALUE(hospitalityq!Q1782),FALSE)))</f>
        <v>0</v>
      </c>
      <c r="R1782">
        <f>NOT(hospitalityq!R1782="")*(NOT(IFERROR(ROUND(VALUE(hospitalityq!R1782),2)=VALUE(hospitalityq!R1782),FALSE)))</f>
        <v>0</v>
      </c>
    </row>
    <row r="1783" spans="1:18" x14ac:dyDescent="0.25">
      <c r="A1783">
        <f t="shared" si="27"/>
        <v>0</v>
      </c>
      <c r="C1783">
        <f>NOT(hospitalityq!C1783="")*(SUMPRODUCT(--(TRIM(hospitalityq!C6:C1783)=TRIM(hospitalityq!C1783)))&gt;1)</f>
        <v>0</v>
      </c>
      <c r="D1783">
        <f>NOT(hospitalityq!D1783="")*(COUNTIF(reference!$C$17:$C$18,TRIM(hospitalityq!D1783))=0)</f>
        <v>0</v>
      </c>
      <c r="J1783">
        <f>NOT(hospitalityq!J1783="")*(NOT(ISNUMBER(hospitalityq!J1783+0)))</f>
        <v>0</v>
      </c>
      <c r="K1783">
        <f>NOT(hospitalityq!K1783="")*(NOT(ISNUMBER(hospitalityq!K1783+0)))</f>
        <v>0</v>
      </c>
      <c r="P1783">
        <f>NOT(hospitalityq!P1783="")*(NOT(IFERROR(INT(hospitalityq!P1783)=VALUE(hospitalityq!P1783),FALSE)))</f>
        <v>0</v>
      </c>
      <c r="Q1783">
        <f>NOT(hospitalityq!Q1783="")*(NOT(IFERROR(INT(hospitalityq!Q1783)=VALUE(hospitalityq!Q1783),FALSE)))</f>
        <v>0</v>
      </c>
      <c r="R1783">
        <f>NOT(hospitalityq!R1783="")*(NOT(IFERROR(ROUND(VALUE(hospitalityq!R1783),2)=VALUE(hospitalityq!R1783),FALSE)))</f>
        <v>0</v>
      </c>
    </row>
    <row r="1784" spans="1:18" x14ac:dyDescent="0.25">
      <c r="A1784">
        <f t="shared" si="27"/>
        <v>0</v>
      </c>
      <c r="C1784">
        <f>NOT(hospitalityq!C1784="")*(SUMPRODUCT(--(TRIM(hospitalityq!C6:C1784)=TRIM(hospitalityq!C1784)))&gt;1)</f>
        <v>0</v>
      </c>
      <c r="D1784">
        <f>NOT(hospitalityq!D1784="")*(COUNTIF(reference!$C$17:$C$18,TRIM(hospitalityq!D1784))=0)</f>
        <v>0</v>
      </c>
      <c r="J1784">
        <f>NOT(hospitalityq!J1784="")*(NOT(ISNUMBER(hospitalityq!J1784+0)))</f>
        <v>0</v>
      </c>
      <c r="K1784">
        <f>NOT(hospitalityq!K1784="")*(NOT(ISNUMBER(hospitalityq!K1784+0)))</f>
        <v>0</v>
      </c>
      <c r="P1784">
        <f>NOT(hospitalityq!P1784="")*(NOT(IFERROR(INT(hospitalityq!P1784)=VALUE(hospitalityq!P1784),FALSE)))</f>
        <v>0</v>
      </c>
      <c r="Q1784">
        <f>NOT(hospitalityq!Q1784="")*(NOT(IFERROR(INT(hospitalityq!Q1784)=VALUE(hospitalityq!Q1784),FALSE)))</f>
        <v>0</v>
      </c>
      <c r="R1784">
        <f>NOT(hospitalityq!R1784="")*(NOT(IFERROR(ROUND(VALUE(hospitalityq!R1784),2)=VALUE(hospitalityq!R1784),FALSE)))</f>
        <v>0</v>
      </c>
    </row>
    <row r="1785" spans="1:18" x14ac:dyDescent="0.25">
      <c r="A1785">
        <f t="shared" si="27"/>
        <v>0</v>
      </c>
      <c r="C1785">
        <f>NOT(hospitalityq!C1785="")*(SUMPRODUCT(--(TRIM(hospitalityq!C6:C1785)=TRIM(hospitalityq!C1785)))&gt;1)</f>
        <v>0</v>
      </c>
      <c r="D1785">
        <f>NOT(hospitalityq!D1785="")*(COUNTIF(reference!$C$17:$C$18,TRIM(hospitalityq!D1785))=0)</f>
        <v>0</v>
      </c>
      <c r="J1785">
        <f>NOT(hospitalityq!J1785="")*(NOT(ISNUMBER(hospitalityq!J1785+0)))</f>
        <v>0</v>
      </c>
      <c r="K1785">
        <f>NOT(hospitalityq!K1785="")*(NOT(ISNUMBER(hospitalityq!K1785+0)))</f>
        <v>0</v>
      </c>
      <c r="P1785">
        <f>NOT(hospitalityq!P1785="")*(NOT(IFERROR(INT(hospitalityq!P1785)=VALUE(hospitalityq!P1785),FALSE)))</f>
        <v>0</v>
      </c>
      <c r="Q1785">
        <f>NOT(hospitalityq!Q1785="")*(NOT(IFERROR(INT(hospitalityq!Q1785)=VALUE(hospitalityq!Q1785),FALSE)))</f>
        <v>0</v>
      </c>
      <c r="R1785">
        <f>NOT(hospitalityq!R1785="")*(NOT(IFERROR(ROUND(VALUE(hospitalityq!R1785),2)=VALUE(hospitalityq!R1785),FALSE)))</f>
        <v>0</v>
      </c>
    </row>
    <row r="1786" spans="1:18" x14ac:dyDescent="0.25">
      <c r="A1786">
        <f t="shared" si="27"/>
        <v>0</v>
      </c>
      <c r="C1786">
        <f>NOT(hospitalityq!C1786="")*(SUMPRODUCT(--(TRIM(hospitalityq!C6:C1786)=TRIM(hospitalityq!C1786)))&gt;1)</f>
        <v>0</v>
      </c>
      <c r="D1786">
        <f>NOT(hospitalityq!D1786="")*(COUNTIF(reference!$C$17:$C$18,TRIM(hospitalityq!D1786))=0)</f>
        <v>0</v>
      </c>
      <c r="J1786">
        <f>NOT(hospitalityq!J1786="")*(NOT(ISNUMBER(hospitalityq!J1786+0)))</f>
        <v>0</v>
      </c>
      <c r="K1786">
        <f>NOT(hospitalityq!K1786="")*(NOT(ISNUMBER(hospitalityq!K1786+0)))</f>
        <v>0</v>
      </c>
      <c r="P1786">
        <f>NOT(hospitalityq!P1786="")*(NOT(IFERROR(INT(hospitalityq!P1786)=VALUE(hospitalityq!P1786),FALSE)))</f>
        <v>0</v>
      </c>
      <c r="Q1786">
        <f>NOT(hospitalityq!Q1786="")*(NOT(IFERROR(INT(hospitalityq!Q1786)=VALUE(hospitalityq!Q1786),FALSE)))</f>
        <v>0</v>
      </c>
      <c r="R1786">
        <f>NOT(hospitalityq!R1786="")*(NOT(IFERROR(ROUND(VALUE(hospitalityq!R1786),2)=VALUE(hospitalityq!R1786),FALSE)))</f>
        <v>0</v>
      </c>
    </row>
    <row r="1787" spans="1:18" x14ac:dyDescent="0.25">
      <c r="A1787">
        <f t="shared" si="27"/>
        <v>0</v>
      </c>
      <c r="C1787">
        <f>NOT(hospitalityq!C1787="")*(SUMPRODUCT(--(TRIM(hospitalityq!C6:C1787)=TRIM(hospitalityq!C1787)))&gt;1)</f>
        <v>0</v>
      </c>
      <c r="D1787">
        <f>NOT(hospitalityq!D1787="")*(COUNTIF(reference!$C$17:$C$18,TRIM(hospitalityq!D1787))=0)</f>
        <v>0</v>
      </c>
      <c r="J1787">
        <f>NOT(hospitalityq!J1787="")*(NOT(ISNUMBER(hospitalityq!J1787+0)))</f>
        <v>0</v>
      </c>
      <c r="K1787">
        <f>NOT(hospitalityq!K1787="")*(NOT(ISNUMBER(hospitalityq!K1787+0)))</f>
        <v>0</v>
      </c>
      <c r="P1787">
        <f>NOT(hospitalityq!P1787="")*(NOT(IFERROR(INT(hospitalityq!P1787)=VALUE(hospitalityq!P1787),FALSE)))</f>
        <v>0</v>
      </c>
      <c r="Q1787">
        <f>NOT(hospitalityq!Q1787="")*(NOT(IFERROR(INT(hospitalityq!Q1787)=VALUE(hospitalityq!Q1787),FALSE)))</f>
        <v>0</v>
      </c>
      <c r="R1787">
        <f>NOT(hospitalityq!R1787="")*(NOT(IFERROR(ROUND(VALUE(hospitalityq!R1787),2)=VALUE(hospitalityq!R1787),FALSE)))</f>
        <v>0</v>
      </c>
    </row>
    <row r="1788" spans="1:18" x14ac:dyDescent="0.25">
      <c r="A1788">
        <f t="shared" si="27"/>
        <v>0</v>
      </c>
      <c r="C1788">
        <f>NOT(hospitalityq!C1788="")*(SUMPRODUCT(--(TRIM(hospitalityq!C6:C1788)=TRIM(hospitalityq!C1788)))&gt;1)</f>
        <v>0</v>
      </c>
      <c r="D1788">
        <f>NOT(hospitalityq!D1788="")*(COUNTIF(reference!$C$17:$C$18,TRIM(hospitalityq!D1788))=0)</f>
        <v>0</v>
      </c>
      <c r="J1788">
        <f>NOT(hospitalityq!J1788="")*(NOT(ISNUMBER(hospitalityq!J1788+0)))</f>
        <v>0</v>
      </c>
      <c r="K1788">
        <f>NOT(hospitalityq!K1788="")*(NOT(ISNUMBER(hospitalityq!K1788+0)))</f>
        <v>0</v>
      </c>
      <c r="P1788">
        <f>NOT(hospitalityq!P1788="")*(NOT(IFERROR(INT(hospitalityq!P1788)=VALUE(hospitalityq!P1788),FALSE)))</f>
        <v>0</v>
      </c>
      <c r="Q1788">
        <f>NOT(hospitalityq!Q1788="")*(NOT(IFERROR(INT(hospitalityq!Q1788)=VALUE(hospitalityq!Q1788),FALSE)))</f>
        <v>0</v>
      </c>
      <c r="R1788">
        <f>NOT(hospitalityq!R1788="")*(NOT(IFERROR(ROUND(VALUE(hospitalityq!R1788),2)=VALUE(hospitalityq!R1788),FALSE)))</f>
        <v>0</v>
      </c>
    </row>
    <row r="1789" spans="1:18" x14ac:dyDescent="0.25">
      <c r="A1789">
        <f t="shared" si="27"/>
        <v>0</v>
      </c>
      <c r="C1789">
        <f>NOT(hospitalityq!C1789="")*(SUMPRODUCT(--(TRIM(hospitalityq!C6:C1789)=TRIM(hospitalityq!C1789)))&gt;1)</f>
        <v>0</v>
      </c>
      <c r="D1789">
        <f>NOT(hospitalityq!D1789="")*(COUNTIF(reference!$C$17:$C$18,TRIM(hospitalityq!D1789))=0)</f>
        <v>0</v>
      </c>
      <c r="J1789">
        <f>NOT(hospitalityq!J1789="")*(NOT(ISNUMBER(hospitalityq!J1789+0)))</f>
        <v>0</v>
      </c>
      <c r="K1789">
        <f>NOT(hospitalityq!K1789="")*(NOT(ISNUMBER(hospitalityq!K1789+0)))</f>
        <v>0</v>
      </c>
      <c r="P1789">
        <f>NOT(hospitalityq!P1789="")*(NOT(IFERROR(INT(hospitalityq!P1789)=VALUE(hospitalityq!P1789),FALSE)))</f>
        <v>0</v>
      </c>
      <c r="Q1789">
        <f>NOT(hospitalityq!Q1789="")*(NOT(IFERROR(INT(hospitalityq!Q1789)=VALUE(hospitalityq!Q1789),FALSE)))</f>
        <v>0</v>
      </c>
      <c r="R1789">
        <f>NOT(hospitalityq!R1789="")*(NOT(IFERROR(ROUND(VALUE(hospitalityq!R1789),2)=VALUE(hospitalityq!R1789),FALSE)))</f>
        <v>0</v>
      </c>
    </row>
    <row r="1790" spans="1:18" x14ac:dyDescent="0.25">
      <c r="A1790">
        <f t="shared" si="27"/>
        <v>0</v>
      </c>
      <c r="C1790">
        <f>NOT(hospitalityq!C1790="")*(SUMPRODUCT(--(TRIM(hospitalityq!C6:C1790)=TRIM(hospitalityq!C1790)))&gt;1)</f>
        <v>0</v>
      </c>
      <c r="D1790">
        <f>NOT(hospitalityq!D1790="")*(COUNTIF(reference!$C$17:$C$18,TRIM(hospitalityq!D1790))=0)</f>
        <v>0</v>
      </c>
      <c r="J1790">
        <f>NOT(hospitalityq!J1790="")*(NOT(ISNUMBER(hospitalityq!J1790+0)))</f>
        <v>0</v>
      </c>
      <c r="K1790">
        <f>NOT(hospitalityq!K1790="")*(NOT(ISNUMBER(hospitalityq!K1790+0)))</f>
        <v>0</v>
      </c>
      <c r="P1790">
        <f>NOT(hospitalityq!P1790="")*(NOT(IFERROR(INT(hospitalityq!P1790)=VALUE(hospitalityq!P1790),FALSE)))</f>
        <v>0</v>
      </c>
      <c r="Q1790">
        <f>NOT(hospitalityq!Q1790="")*(NOT(IFERROR(INT(hospitalityq!Q1790)=VALUE(hospitalityq!Q1790),FALSE)))</f>
        <v>0</v>
      </c>
      <c r="R1790">
        <f>NOT(hospitalityq!R1790="")*(NOT(IFERROR(ROUND(VALUE(hospitalityq!R1790),2)=VALUE(hospitalityq!R1790),FALSE)))</f>
        <v>0</v>
      </c>
    </row>
    <row r="1791" spans="1:18" x14ac:dyDescent="0.25">
      <c r="A1791">
        <f t="shared" si="27"/>
        <v>0</v>
      </c>
      <c r="C1791">
        <f>NOT(hospitalityq!C1791="")*(SUMPRODUCT(--(TRIM(hospitalityq!C6:C1791)=TRIM(hospitalityq!C1791)))&gt;1)</f>
        <v>0</v>
      </c>
      <c r="D1791">
        <f>NOT(hospitalityq!D1791="")*(COUNTIF(reference!$C$17:$C$18,TRIM(hospitalityq!D1791))=0)</f>
        <v>0</v>
      </c>
      <c r="J1791">
        <f>NOT(hospitalityq!J1791="")*(NOT(ISNUMBER(hospitalityq!J1791+0)))</f>
        <v>0</v>
      </c>
      <c r="K1791">
        <f>NOT(hospitalityq!K1791="")*(NOT(ISNUMBER(hospitalityq!K1791+0)))</f>
        <v>0</v>
      </c>
      <c r="P1791">
        <f>NOT(hospitalityq!P1791="")*(NOT(IFERROR(INT(hospitalityq!P1791)=VALUE(hospitalityq!P1791),FALSE)))</f>
        <v>0</v>
      </c>
      <c r="Q1791">
        <f>NOT(hospitalityq!Q1791="")*(NOT(IFERROR(INT(hospitalityq!Q1791)=VALUE(hospitalityq!Q1791),FALSE)))</f>
        <v>0</v>
      </c>
      <c r="R1791">
        <f>NOT(hospitalityq!R1791="")*(NOT(IFERROR(ROUND(VALUE(hospitalityq!R1791),2)=VALUE(hospitalityq!R1791),FALSE)))</f>
        <v>0</v>
      </c>
    </row>
    <row r="1792" spans="1:18" x14ac:dyDescent="0.25">
      <c r="A1792">
        <f t="shared" si="27"/>
        <v>0</v>
      </c>
      <c r="C1792">
        <f>NOT(hospitalityq!C1792="")*(SUMPRODUCT(--(TRIM(hospitalityq!C6:C1792)=TRIM(hospitalityq!C1792)))&gt;1)</f>
        <v>0</v>
      </c>
      <c r="D1792">
        <f>NOT(hospitalityq!D1792="")*(COUNTIF(reference!$C$17:$C$18,TRIM(hospitalityq!D1792))=0)</f>
        <v>0</v>
      </c>
      <c r="J1792">
        <f>NOT(hospitalityq!J1792="")*(NOT(ISNUMBER(hospitalityq!J1792+0)))</f>
        <v>0</v>
      </c>
      <c r="K1792">
        <f>NOT(hospitalityq!K1792="")*(NOT(ISNUMBER(hospitalityq!K1792+0)))</f>
        <v>0</v>
      </c>
      <c r="P1792">
        <f>NOT(hospitalityq!P1792="")*(NOT(IFERROR(INT(hospitalityq!P1792)=VALUE(hospitalityq!P1792),FALSE)))</f>
        <v>0</v>
      </c>
      <c r="Q1792">
        <f>NOT(hospitalityq!Q1792="")*(NOT(IFERROR(INT(hospitalityq!Q1792)=VALUE(hospitalityq!Q1792),FALSE)))</f>
        <v>0</v>
      </c>
      <c r="R1792">
        <f>NOT(hospitalityq!R1792="")*(NOT(IFERROR(ROUND(VALUE(hospitalityq!R1792),2)=VALUE(hospitalityq!R1792),FALSE)))</f>
        <v>0</v>
      </c>
    </row>
    <row r="1793" spans="1:18" x14ac:dyDescent="0.25">
      <c r="A1793">
        <f t="shared" si="27"/>
        <v>0</v>
      </c>
      <c r="C1793">
        <f>NOT(hospitalityq!C1793="")*(SUMPRODUCT(--(TRIM(hospitalityq!C6:C1793)=TRIM(hospitalityq!C1793)))&gt;1)</f>
        <v>0</v>
      </c>
      <c r="D1793">
        <f>NOT(hospitalityq!D1793="")*(COUNTIF(reference!$C$17:$C$18,TRIM(hospitalityq!D1793))=0)</f>
        <v>0</v>
      </c>
      <c r="J1793">
        <f>NOT(hospitalityq!J1793="")*(NOT(ISNUMBER(hospitalityq!J1793+0)))</f>
        <v>0</v>
      </c>
      <c r="K1793">
        <f>NOT(hospitalityq!K1793="")*(NOT(ISNUMBER(hospitalityq!K1793+0)))</f>
        <v>0</v>
      </c>
      <c r="P1793">
        <f>NOT(hospitalityq!P1793="")*(NOT(IFERROR(INT(hospitalityq!P1793)=VALUE(hospitalityq!P1793),FALSE)))</f>
        <v>0</v>
      </c>
      <c r="Q1793">
        <f>NOT(hospitalityq!Q1793="")*(NOT(IFERROR(INT(hospitalityq!Q1793)=VALUE(hospitalityq!Q1793),FALSE)))</f>
        <v>0</v>
      </c>
      <c r="R1793">
        <f>NOT(hospitalityq!R1793="")*(NOT(IFERROR(ROUND(VALUE(hospitalityq!R1793),2)=VALUE(hospitalityq!R1793),FALSE)))</f>
        <v>0</v>
      </c>
    </row>
    <row r="1794" spans="1:18" x14ac:dyDescent="0.25">
      <c r="A1794">
        <f t="shared" si="27"/>
        <v>0</v>
      </c>
      <c r="C1794">
        <f>NOT(hospitalityq!C1794="")*(SUMPRODUCT(--(TRIM(hospitalityq!C6:C1794)=TRIM(hospitalityq!C1794)))&gt;1)</f>
        <v>0</v>
      </c>
      <c r="D1794">
        <f>NOT(hospitalityq!D1794="")*(COUNTIF(reference!$C$17:$C$18,TRIM(hospitalityq!D1794))=0)</f>
        <v>0</v>
      </c>
      <c r="J1794">
        <f>NOT(hospitalityq!J1794="")*(NOT(ISNUMBER(hospitalityq!J1794+0)))</f>
        <v>0</v>
      </c>
      <c r="K1794">
        <f>NOT(hospitalityq!K1794="")*(NOT(ISNUMBER(hospitalityq!K1794+0)))</f>
        <v>0</v>
      </c>
      <c r="P1794">
        <f>NOT(hospitalityq!P1794="")*(NOT(IFERROR(INT(hospitalityq!P1794)=VALUE(hospitalityq!P1794),FALSE)))</f>
        <v>0</v>
      </c>
      <c r="Q1794">
        <f>NOT(hospitalityq!Q1794="")*(NOT(IFERROR(INT(hospitalityq!Q1794)=VALUE(hospitalityq!Q1794),FALSE)))</f>
        <v>0</v>
      </c>
      <c r="R1794">
        <f>NOT(hospitalityq!R1794="")*(NOT(IFERROR(ROUND(VALUE(hospitalityq!R1794),2)=VALUE(hospitalityq!R1794),FALSE)))</f>
        <v>0</v>
      </c>
    </row>
    <row r="1795" spans="1:18" x14ac:dyDescent="0.25">
      <c r="A1795">
        <f t="shared" si="27"/>
        <v>0</v>
      </c>
      <c r="C1795">
        <f>NOT(hospitalityq!C1795="")*(SUMPRODUCT(--(TRIM(hospitalityq!C6:C1795)=TRIM(hospitalityq!C1795)))&gt;1)</f>
        <v>0</v>
      </c>
      <c r="D1795">
        <f>NOT(hospitalityq!D1795="")*(COUNTIF(reference!$C$17:$C$18,TRIM(hospitalityq!D1795))=0)</f>
        <v>0</v>
      </c>
      <c r="J1795">
        <f>NOT(hospitalityq!J1795="")*(NOT(ISNUMBER(hospitalityq!J1795+0)))</f>
        <v>0</v>
      </c>
      <c r="K1795">
        <f>NOT(hospitalityq!K1795="")*(NOT(ISNUMBER(hospitalityq!K1795+0)))</f>
        <v>0</v>
      </c>
      <c r="P1795">
        <f>NOT(hospitalityq!P1795="")*(NOT(IFERROR(INT(hospitalityq!P1795)=VALUE(hospitalityq!P1795),FALSE)))</f>
        <v>0</v>
      </c>
      <c r="Q1795">
        <f>NOT(hospitalityq!Q1795="")*(NOT(IFERROR(INT(hospitalityq!Q1795)=VALUE(hospitalityq!Q1795),FALSE)))</f>
        <v>0</v>
      </c>
      <c r="R1795">
        <f>NOT(hospitalityq!R1795="")*(NOT(IFERROR(ROUND(VALUE(hospitalityq!R1795),2)=VALUE(hospitalityq!R1795),FALSE)))</f>
        <v>0</v>
      </c>
    </row>
    <row r="1796" spans="1:18" x14ac:dyDescent="0.25">
      <c r="A1796">
        <f t="shared" si="27"/>
        <v>0</v>
      </c>
      <c r="C1796">
        <f>NOT(hospitalityq!C1796="")*(SUMPRODUCT(--(TRIM(hospitalityq!C6:C1796)=TRIM(hospitalityq!C1796)))&gt;1)</f>
        <v>0</v>
      </c>
      <c r="D1796">
        <f>NOT(hospitalityq!D1796="")*(COUNTIF(reference!$C$17:$C$18,TRIM(hospitalityq!D1796))=0)</f>
        <v>0</v>
      </c>
      <c r="J1796">
        <f>NOT(hospitalityq!J1796="")*(NOT(ISNUMBER(hospitalityq!J1796+0)))</f>
        <v>0</v>
      </c>
      <c r="K1796">
        <f>NOT(hospitalityq!K1796="")*(NOT(ISNUMBER(hospitalityq!K1796+0)))</f>
        <v>0</v>
      </c>
      <c r="P1796">
        <f>NOT(hospitalityq!P1796="")*(NOT(IFERROR(INT(hospitalityq!P1796)=VALUE(hospitalityq!P1796),FALSE)))</f>
        <v>0</v>
      </c>
      <c r="Q1796">
        <f>NOT(hospitalityq!Q1796="")*(NOT(IFERROR(INT(hospitalityq!Q1796)=VALUE(hospitalityq!Q1796),FALSE)))</f>
        <v>0</v>
      </c>
      <c r="R1796">
        <f>NOT(hospitalityq!R1796="")*(NOT(IFERROR(ROUND(VALUE(hospitalityq!R1796),2)=VALUE(hospitalityq!R1796),FALSE)))</f>
        <v>0</v>
      </c>
    </row>
    <row r="1797" spans="1:18" x14ac:dyDescent="0.25">
      <c r="A1797">
        <f t="shared" si="27"/>
        <v>0</v>
      </c>
      <c r="C1797">
        <f>NOT(hospitalityq!C1797="")*(SUMPRODUCT(--(TRIM(hospitalityq!C6:C1797)=TRIM(hospitalityq!C1797)))&gt;1)</f>
        <v>0</v>
      </c>
      <c r="D1797">
        <f>NOT(hospitalityq!D1797="")*(COUNTIF(reference!$C$17:$C$18,TRIM(hospitalityq!D1797))=0)</f>
        <v>0</v>
      </c>
      <c r="J1797">
        <f>NOT(hospitalityq!J1797="")*(NOT(ISNUMBER(hospitalityq!J1797+0)))</f>
        <v>0</v>
      </c>
      <c r="K1797">
        <f>NOT(hospitalityq!K1797="")*(NOT(ISNUMBER(hospitalityq!K1797+0)))</f>
        <v>0</v>
      </c>
      <c r="P1797">
        <f>NOT(hospitalityq!P1797="")*(NOT(IFERROR(INT(hospitalityq!P1797)=VALUE(hospitalityq!P1797),FALSE)))</f>
        <v>0</v>
      </c>
      <c r="Q1797">
        <f>NOT(hospitalityq!Q1797="")*(NOT(IFERROR(INT(hospitalityq!Q1797)=VALUE(hospitalityq!Q1797),FALSE)))</f>
        <v>0</v>
      </c>
      <c r="R1797">
        <f>NOT(hospitalityq!R1797="")*(NOT(IFERROR(ROUND(VALUE(hospitalityq!R1797),2)=VALUE(hospitalityq!R1797),FALSE)))</f>
        <v>0</v>
      </c>
    </row>
    <row r="1798" spans="1:18" x14ac:dyDescent="0.25">
      <c r="A1798">
        <f t="shared" ref="A1798:A1861" si="28">IFERROR(MATCH(TRUE,INDEX(C1798:R1798&lt;&gt;0,),)+2,0)</f>
        <v>0</v>
      </c>
      <c r="C1798">
        <f>NOT(hospitalityq!C1798="")*(SUMPRODUCT(--(TRIM(hospitalityq!C6:C1798)=TRIM(hospitalityq!C1798)))&gt;1)</f>
        <v>0</v>
      </c>
      <c r="D1798">
        <f>NOT(hospitalityq!D1798="")*(COUNTIF(reference!$C$17:$C$18,TRIM(hospitalityq!D1798))=0)</f>
        <v>0</v>
      </c>
      <c r="J1798">
        <f>NOT(hospitalityq!J1798="")*(NOT(ISNUMBER(hospitalityq!J1798+0)))</f>
        <v>0</v>
      </c>
      <c r="K1798">
        <f>NOT(hospitalityq!K1798="")*(NOT(ISNUMBER(hospitalityq!K1798+0)))</f>
        <v>0</v>
      </c>
      <c r="P1798">
        <f>NOT(hospitalityq!P1798="")*(NOT(IFERROR(INT(hospitalityq!P1798)=VALUE(hospitalityq!P1798),FALSE)))</f>
        <v>0</v>
      </c>
      <c r="Q1798">
        <f>NOT(hospitalityq!Q1798="")*(NOT(IFERROR(INT(hospitalityq!Q1798)=VALUE(hospitalityq!Q1798),FALSE)))</f>
        <v>0</v>
      </c>
      <c r="R1798">
        <f>NOT(hospitalityq!R1798="")*(NOT(IFERROR(ROUND(VALUE(hospitalityq!R1798),2)=VALUE(hospitalityq!R1798),FALSE)))</f>
        <v>0</v>
      </c>
    </row>
    <row r="1799" spans="1:18" x14ac:dyDescent="0.25">
      <c r="A1799">
        <f t="shared" si="28"/>
        <v>0</v>
      </c>
      <c r="C1799">
        <f>NOT(hospitalityq!C1799="")*(SUMPRODUCT(--(TRIM(hospitalityq!C6:C1799)=TRIM(hospitalityq!C1799)))&gt;1)</f>
        <v>0</v>
      </c>
      <c r="D1799">
        <f>NOT(hospitalityq!D1799="")*(COUNTIF(reference!$C$17:$C$18,TRIM(hospitalityq!D1799))=0)</f>
        <v>0</v>
      </c>
      <c r="J1799">
        <f>NOT(hospitalityq!J1799="")*(NOT(ISNUMBER(hospitalityq!J1799+0)))</f>
        <v>0</v>
      </c>
      <c r="K1799">
        <f>NOT(hospitalityq!K1799="")*(NOT(ISNUMBER(hospitalityq!K1799+0)))</f>
        <v>0</v>
      </c>
      <c r="P1799">
        <f>NOT(hospitalityq!P1799="")*(NOT(IFERROR(INT(hospitalityq!P1799)=VALUE(hospitalityq!P1799),FALSE)))</f>
        <v>0</v>
      </c>
      <c r="Q1799">
        <f>NOT(hospitalityq!Q1799="")*(NOT(IFERROR(INT(hospitalityq!Q1799)=VALUE(hospitalityq!Q1799),FALSE)))</f>
        <v>0</v>
      </c>
      <c r="R1799">
        <f>NOT(hospitalityq!R1799="")*(NOT(IFERROR(ROUND(VALUE(hospitalityq!R1799),2)=VALUE(hospitalityq!R1799),FALSE)))</f>
        <v>0</v>
      </c>
    </row>
    <row r="1800" spans="1:18" x14ac:dyDescent="0.25">
      <c r="A1800">
        <f t="shared" si="28"/>
        <v>0</v>
      </c>
      <c r="C1800">
        <f>NOT(hospitalityq!C1800="")*(SUMPRODUCT(--(TRIM(hospitalityq!C6:C1800)=TRIM(hospitalityq!C1800)))&gt;1)</f>
        <v>0</v>
      </c>
      <c r="D1800">
        <f>NOT(hospitalityq!D1800="")*(COUNTIF(reference!$C$17:$C$18,TRIM(hospitalityq!D1800))=0)</f>
        <v>0</v>
      </c>
      <c r="J1800">
        <f>NOT(hospitalityq!J1800="")*(NOT(ISNUMBER(hospitalityq!J1800+0)))</f>
        <v>0</v>
      </c>
      <c r="K1800">
        <f>NOT(hospitalityq!K1800="")*(NOT(ISNUMBER(hospitalityq!K1800+0)))</f>
        <v>0</v>
      </c>
      <c r="P1800">
        <f>NOT(hospitalityq!P1800="")*(NOT(IFERROR(INT(hospitalityq!P1800)=VALUE(hospitalityq!P1800),FALSE)))</f>
        <v>0</v>
      </c>
      <c r="Q1800">
        <f>NOT(hospitalityq!Q1800="")*(NOT(IFERROR(INT(hospitalityq!Q1800)=VALUE(hospitalityq!Q1800),FALSE)))</f>
        <v>0</v>
      </c>
      <c r="R1800">
        <f>NOT(hospitalityq!R1800="")*(NOT(IFERROR(ROUND(VALUE(hospitalityq!R1800),2)=VALUE(hospitalityq!R1800),FALSE)))</f>
        <v>0</v>
      </c>
    </row>
    <row r="1801" spans="1:18" x14ac:dyDescent="0.25">
      <c r="A1801">
        <f t="shared" si="28"/>
        <v>0</v>
      </c>
      <c r="C1801">
        <f>NOT(hospitalityq!C1801="")*(SUMPRODUCT(--(TRIM(hospitalityq!C6:C1801)=TRIM(hospitalityq!C1801)))&gt;1)</f>
        <v>0</v>
      </c>
      <c r="D1801">
        <f>NOT(hospitalityq!D1801="")*(COUNTIF(reference!$C$17:$C$18,TRIM(hospitalityq!D1801))=0)</f>
        <v>0</v>
      </c>
      <c r="J1801">
        <f>NOT(hospitalityq!J1801="")*(NOT(ISNUMBER(hospitalityq!J1801+0)))</f>
        <v>0</v>
      </c>
      <c r="K1801">
        <f>NOT(hospitalityq!K1801="")*(NOT(ISNUMBER(hospitalityq!K1801+0)))</f>
        <v>0</v>
      </c>
      <c r="P1801">
        <f>NOT(hospitalityq!P1801="")*(NOT(IFERROR(INT(hospitalityq!P1801)=VALUE(hospitalityq!P1801),FALSE)))</f>
        <v>0</v>
      </c>
      <c r="Q1801">
        <f>NOT(hospitalityq!Q1801="")*(NOT(IFERROR(INT(hospitalityq!Q1801)=VALUE(hospitalityq!Q1801),FALSE)))</f>
        <v>0</v>
      </c>
      <c r="R1801">
        <f>NOT(hospitalityq!R1801="")*(NOT(IFERROR(ROUND(VALUE(hospitalityq!R1801),2)=VALUE(hospitalityq!R1801),FALSE)))</f>
        <v>0</v>
      </c>
    </row>
    <row r="1802" spans="1:18" x14ac:dyDescent="0.25">
      <c r="A1802">
        <f t="shared" si="28"/>
        <v>0</v>
      </c>
      <c r="C1802">
        <f>NOT(hospitalityq!C1802="")*(SUMPRODUCT(--(TRIM(hospitalityq!C6:C1802)=TRIM(hospitalityq!C1802)))&gt;1)</f>
        <v>0</v>
      </c>
      <c r="D1802">
        <f>NOT(hospitalityq!D1802="")*(COUNTIF(reference!$C$17:$C$18,TRIM(hospitalityq!D1802))=0)</f>
        <v>0</v>
      </c>
      <c r="J1802">
        <f>NOT(hospitalityq!J1802="")*(NOT(ISNUMBER(hospitalityq!J1802+0)))</f>
        <v>0</v>
      </c>
      <c r="K1802">
        <f>NOT(hospitalityq!K1802="")*(NOT(ISNUMBER(hospitalityq!K1802+0)))</f>
        <v>0</v>
      </c>
      <c r="P1802">
        <f>NOT(hospitalityq!P1802="")*(NOT(IFERROR(INT(hospitalityq!P1802)=VALUE(hospitalityq!P1802),FALSE)))</f>
        <v>0</v>
      </c>
      <c r="Q1802">
        <f>NOT(hospitalityq!Q1802="")*(NOT(IFERROR(INT(hospitalityq!Q1802)=VALUE(hospitalityq!Q1802),FALSE)))</f>
        <v>0</v>
      </c>
      <c r="R1802">
        <f>NOT(hospitalityq!R1802="")*(NOT(IFERROR(ROUND(VALUE(hospitalityq!R1802),2)=VALUE(hospitalityq!R1802),FALSE)))</f>
        <v>0</v>
      </c>
    </row>
    <row r="1803" spans="1:18" x14ac:dyDescent="0.25">
      <c r="A1803">
        <f t="shared" si="28"/>
        <v>0</v>
      </c>
      <c r="C1803">
        <f>NOT(hospitalityq!C1803="")*(SUMPRODUCT(--(TRIM(hospitalityq!C6:C1803)=TRIM(hospitalityq!C1803)))&gt;1)</f>
        <v>0</v>
      </c>
      <c r="D1803">
        <f>NOT(hospitalityq!D1803="")*(COUNTIF(reference!$C$17:$C$18,TRIM(hospitalityq!D1803))=0)</f>
        <v>0</v>
      </c>
      <c r="J1803">
        <f>NOT(hospitalityq!J1803="")*(NOT(ISNUMBER(hospitalityq!J1803+0)))</f>
        <v>0</v>
      </c>
      <c r="K1803">
        <f>NOT(hospitalityq!K1803="")*(NOT(ISNUMBER(hospitalityq!K1803+0)))</f>
        <v>0</v>
      </c>
      <c r="P1803">
        <f>NOT(hospitalityq!P1803="")*(NOT(IFERROR(INT(hospitalityq!P1803)=VALUE(hospitalityq!P1803),FALSE)))</f>
        <v>0</v>
      </c>
      <c r="Q1803">
        <f>NOT(hospitalityq!Q1803="")*(NOT(IFERROR(INT(hospitalityq!Q1803)=VALUE(hospitalityq!Q1803),FALSE)))</f>
        <v>0</v>
      </c>
      <c r="R1803">
        <f>NOT(hospitalityq!R1803="")*(NOT(IFERROR(ROUND(VALUE(hospitalityq!R1803),2)=VALUE(hospitalityq!R1803),FALSE)))</f>
        <v>0</v>
      </c>
    </row>
    <row r="1804" spans="1:18" x14ac:dyDescent="0.25">
      <c r="A1804">
        <f t="shared" si="28"/>
        <v>0</v>
      </c>
      <c r="C1804">
        <f>NOT(hospitalityq!C1804="")*(SUMPRODUCT(--(TRIM(hospitalityq!C6:C1804)=TRIM(hospitalityq!C1804)))&gt;1)</f>
        <v>0</v>
      </c>
      <c r="D1804">
        <f>NOT(hospitalityq!D1804="")*(COUNTIF(reference!$C$17:$C$18,TRIM(hospitalityq!D1804))=0)</f>
        <v>0</v>
      </c>
      <c r="J1804">
        <f>NOT(hospitalityq!J1804="")*(NOT(ISNUMBER(hospitalityq!J1804+0)))</f>
        <v>0</v>
      </c>
      <c r="K1804">
        <f>NOT(hospitalityq!K1804="")*(NOT(ISNUMBER(hospitalityq!K1804+0)))</f>
        <v>0</v>
      </c>
      <c r="P1804">
        <f>NOT(hospitalityq!P1804="")*(NOT(IFERROR(INT(hospitalityq!P1804)=VALUE(hospitalityq!P1804),FALSE)))</f>
        <v>0</v>
      </c>
      <c r="Q1804">
        <f>NOT(hospitalityq!Q1804="")*(NOT(IFERROR(INT(hospitalityq!Q1804)=VALUE(hospitalityq!Q1804),FALSE)))</f>
        <v>0</v>
      </c>
      <c r="R1804">
        <f>NOT(hospitalityq!R1804="")*(NOT(IFERROR(ROUND(VALUE(hospitalityq!R1804),2)=VALUE(hospitalityq!R1804),FALSE)))</f>
        <v>0</v>
      </c>
    </row>
    <row r="1805" spans="1:18" x14ac:dyDescent="0.25">
      <c r="A1805">
        <f t="shared" si="28"/>
        <v>0</v>
      </c>
      <c r="C1805">
        <f>NOT(hospitalityq!C1805="")*(SUMPRODUCT(--(TRIM(hospitalityq!C6:C1805)=TRIM(hospitalityq!C1805)))&gt;1)</f>
        <v>0</v>
      </c>
      <c r="D1805">
        <f>NOT(hospitalityq!D1805="")*(COUNTIF(reference!$C$17:$C$18,TRIM(hospitalityq!D1805))=0)</f>
        <v>0</v>
      </c>
      <c r="J1805">
        <f>NOT(hospitalityq!J1805="")*(NOT(ISNUMBER(hospitalityq!J1805+0)))</f>
        <v>0</v>
      </c>
      <c r="K1805">
        <f>NOT(hospitalityq!K1805="")*(NOT(ISNUMBER(hospitalityq!K1805+0)))</f>
        <v>0</v>
      </c>
      <c r="P1805">
        <f>NOT(hospitalityq!P1805="")*(NOT(IFERROR(INT(hospitalityq!P1805)=VALUE(hospitalityq!P1805),FALSE)))</f>
        <v>0</v>
      </c>
      <c r="Q1805">
        <f>NOT(hospitalityq!Q1805="")*(NOT(IFERROR(INT(hospitalityq!Q1805)=VALUE(hospitalityq!Q1805),FALSE)))</f>
        <v>0</v>
      </c>
      <c r="R1805">
        <f>NOT(hospitalityq!R1805="")*(NOT(IFERROR(ROUND(VALUE(hospitalityq!R1805),2)=VALUE(hospitalityq!R1805),FALSE)))</f>
        <v>0</v>
      </c>
    </row>
    <row r="1806" spans="1:18" x14ac:dyDescent="0.25">
      <c r="A1806">
        <f t="shared" si="28"/>
        <v>0</v>
      </c>
      <c r="C1806">
        <f>NOT(hospitalityq!C1806="")*(SUMPRODUCT(--(TRIM(hospitalityq!C6:C1806)=TRIM(hospitalityq!C1806)))&gt;1)</f>
        <v>0</v>
      </c>
      <c r="D1806">
        <f>NOT(hospitalityq!D1806="")*(COUNTIF(reference!$C$17:$C$18,TRIM(hospitalityq!D1806))=0)</f>
        <v>0</v>
      </c>
      <c r="J1806">
        <f>NOT(hospitalityq!J1806="")*(NOT(ISNUMBER(hospitalityq!J1806+0)))</f>
        <v>0</v>
      </c>
      <c r="K1806">
        <f>NOT(hospitalityq!K1806="")*(NOT(ISNUMBER(hospitalityq!K1806+0)))</f>
        <v>0</v>
      </c>
      <c r="P1806">
        <f>NOT(hospitalityq!P1806="")*(NOT(IFERROR(INT(hospitalityq!P1806)=VALUE(hospitalityq!P1806),FALSE)))</f>
        <v>0</v>
      </c>
      <c r="Q1806">
        <f>NOT(hospitalityq!Q1806="")*(NOT(IFERROR(INT(hospitalityq!Q1806)=VALUE(hospitalityq!Q1806),FALSE)))</f>
        <v>0</v>
      </c>
      <c r="R1806">
        <f>NOT(hospitalityq!R1806="")*(NOT(IFERROR(ROUND(VALUE(hospitalityq!R1806),2)=VALUE(hospitalityq!R1806),FALSE)))</f>
        <v>0</v>
      </c>
    </row>
    <row r="1807" spans="1:18" x14ac:dyDescent="0.25">
      <c r="A1807">
        <f t="shared" si="28"/>
        <v>0</v>
      </c>
      <c r="C1807">
        <f>NOT(hospitalityq!C1807="")*(SUMPRODUCT(--(TRIM(hospitalityq!C6:C1807)=TRIM(hospitalityq!C1807)))&gt;1)</f>
        <v>0</v>
      </c>
      <c r="D1807">
        <f>NOT(hospitalityq!D1807="")*(COUNTIF(reference!$C$17:$C$18,TRIM(hospitalityq!D1807))=0)</f>
        <v>0</v>
      </c>
      <c r="J1807">
        <f>NOT(hospitalityq!J1807="")*(NOT(ISNUMBER(hospitalityq!J1807+0)))</f>
        <v>0</v>
      </c>
      <c r="K1807">
        <f>NOT(hospitalityq!K1807="")*(NOT(ISNUMBER(hospitalityq!K1807+0)))</f>
        <v>0</v>
      </c>
      <c r="P1807">
        <f>NOT(hospitalityq!P1807="")*(NOT(IFERROR(INT(hospitalityq!P1807)=VALUE(hospitalityq!P1807),FALSE)))</f>
        <v>0</v>
      </c>
      <c r="Q1807">
        <f>NOT(hospitalityq!Q1807="")*(NOT(IFERROR(INT(hospitalityq!Q1807)=VALUE(hospitalityq!Q1807),FALSE)))</f>
        <v>0</v>
      </c>
      <c r="R1807">
        <f>NOT(hospitalityq!R1807="")*(NOT(IFERROR(ROUND(VALUE(hospitalityq!R1807),2)=VALUE(hospitalityq!R1807),FALSE)))</f>
        <v>0</v>
      </c>
    </row>
    <row r="1808" spans="1:18" x14ac:dyDescent="0.25">
      <c r="A1808">
        <f t="shared" si="28"/>
        <v>0</v>
      </c>
      <c r="C1808">
        <f>NOT(hospitalityq!C1808="")*(SUMPRODUCT(--(TRIM(hospitalityq!C6:C1808)=TRIM(hospitalityq!C1808)))&gt;1)</f>
        <v>0</v>
      </c>
      <c r="D1808">
        <f>NOT(hospitalityq!D1808="")*(COUNTIF(reference!$C$17:$C$18,TRIM(hospitalityq!D1808))=0)</f>
        <v>0</v>
      </c>
      <c r="J1808">
        <f>NOT(hospitalityq!J1808="")*(NOT(ISNUMBER(hospitalityq!J1808+0)))</f>
        <v>0</v>
      </c>
      <c r="K1808">
        <f>NOT(hospitalityq!K1808="")*(NOT(ISNUMBER(hospitalityq!K1808+0)))</f>
        <v>0</v>
      </c>
      <c r="P1808">
        <f>NOT(hospitalityq!P1808="")*(NOT(IFERROR(INT(hospitalityq!P1808)=VALUE(hospitalityq!P1808),FALSE)))</f>
        <v>0</v>
      </c>
      <c r="Q1808">
        <f>NOT(hospitalityq!Q1808="")*(NOT(IFERROR(INT(hospitalityq!Q1808)=VALUE(hospitalityq!Q1808),FALSE)))</f>
        <v>0</v>
      </c>
      <c r="R1808">
        <f>NOT(hospitalityq!R1808="")*(NOT(IFERROR(ROUND(VALUE(hospitalityq!R1808),2)=VALUE(hospitalityq!R1808),FALSE)))</f>
        <v>0</v>
      </c>
    </row>
    <row r="1809" spans="1:18" x14ac:dyDescent="0.25">
      <c r="A1809">
        <f t="shared" si="28"/>
        <v>0</v>
      </c>
      <c r="C1809">
        <f>NOT(hospitalityq!C1809="")*(SUMPRODUCT(--(TRIM(hospitalityq!C6:C1809)=TRIM(hospitalityq!C1809)))&gt;1)</f>
        <v>0</v>
      </c>
      <c r="D1809">
        <f>NOT(hospitalityq!D1809="")*(COUNTIF(reference!$C$17:$C$18,TRIM(hospitalityq!D1809))=0)</f>
        <v>0</v>
      </c>
      <c r="J1809">
        <f>NOT(hospitalityq!J1809="")*(NOT(ISNUMBER(hospitalityq!J1809+0)))</f>
        <v>0</v>
      </c>
      <c r="K1809">
        <f>NOT(hospitalityq!K1809="")*(NOT(ISNUMBER(hospitalityq!K1809+0)))</f>
        <v>0</v>
      </c>
      <c r="P1809">
        <f>NOT(hospitalityq!P1809="")*(NOT(IFERROR(INT(hospitalityq!P1809)=VALUE(hospitalityq!P1809),FALSE)))</f>
        <v>0</v>
      </c>
      <c r="Q1809">
        <f>NOT(hospitalityq!Q1809="")*(NOT(IFERROR(INT(hospitalityq!Q1809)=VALUE(hospitalityq!Q1809),FALSE)))</f>
        <v>0</v>
      </c>
      <c r="R1809">
        <f>NOT(hospitalityq!R1809="")*(NOT(IFERROR(ROUND(VALUE(hospitalityq!R1809),2)=VALUE(hospitalityq!R1809),FALSE)))</f>
        <v>0</v>
      </c>
    </row>
    <row r="1810" spans="1:18" x14ac:dyDescent="0.25">
      <c r="A1810">
        <f t="shared" si="28"/>
        <v>0</v>
      </c>
      <c r="C1810">
        <f>NOT(hospitalityq!C1810="")*(SUMPRODUCT(--(TRIM(hospitalityq!C6:C1810)=TRIM(hospitalityq!C1810)))&gt;1)</f>
        <v>0</v>
      </c>
      <c r="D1810">
        <f>NOT(hospitalityq!D1810="")*(COUNTIF(reference!$C$17:$C$18,TRIM(hospitalityq!D1810))=0)</f>
        <v>0</v>
      </c>
      <c r="J1810">
        <f>NOT(hospitalityq!J1810="")*(NOT(ISNUMBER(hospitalityq!J1810+0)))</f>
        <v>0</v>
      </c>
      <c r="K1810">
        <f>NOT(hospitalityq!K1810="")*(NOT(ISNUMBER(hospitalityq!K1810+0)))</f>
        <v>0</v>
      </c>
      <c r="P1810">
        <f>NOT(hospitalityq!P1810="")*(NOT(IFERROR(INT(hospitalityq!P1810)=VALUE(hospitalityq!P1810),FALSE)))</f>
        <v>0</v>
      </c>
      <c r="Q1810">
        <f>NOT(hospitalityq!Q1810="")*(NOT(IFERROR(INT(hospitalityq!Q1810)=VALUE(hospitalityq!Q1810),FALSE)))</f>
        <v>0</v>
      </c>
      <c r="R1810">
        <f>NOT(hospitalityq!R1810="")*(NOT(IFERROR(ROUND(VALUE(hospitalityq!R1810),2)=VALUE(hospitalityq!R1810),FALSE)))</f>
        <v>0</v>
      </c>
    </row>
    <row r="1811" spans="1:18" x14ac:dyDescent="0.25">
      <c r="A1811">
        <f t="shared" si="28"/>
        <v>0</v>
      </c>
      <c r="C1811">
        <f>NOT(hospitalityq!C1811="")*(SUMPRODUCT(--(TRIM(hospitalityq!C6:C1811)=TRIM(hospitalityq!C1811)))&gt;1)</f>
        <v>0</v>
      </c>
      <c r="D1811">
        <f>NOT(hospitalityq!D1811="")*(COUNTIF(reference!$C$17:$C$18,TRIM(hospitalityq!D1811))=0)</f>
        <v>0</v>
      </c>
      <c r="J1811">
        <f>NOT(hospitalityq!J1811="")*(NOT(ISNUMBER(hospitalityq!J1811+0)))</f>
        <v>0</v>
      </c>
      <c r="K1811">
        <f>NOT(hospitalityq!K1811="")*(NOT(ISNUMBER(hospitalityq!K1811+0)))</f>
        <v>0</v>
      </c>
      <c r="P1811">
        <f>NOT(hospitalityq!P1811="")*(NOT(IFERROR(INT(hospitalityq!P1811)=VALUE(hospitalityq!P1811),FALSE)))</f>
        <v>0</v>
      </c>
      <c r="Q1811">
        <f>NOT(hospitalityq!Q1811="")*(NOT(IFERROR(INT(hospitalityq!Q1811)=VALUE(hospitalityq!Q1811),FALSE)))</f>
        <v>0</v>
      </c>
      <c r="R1811">
        <f>NOT(hospitalityq!R1811="")*(NOT(IFERROR(ROUND(VALUE(hospitalityq!R1811),2)=VALUE(hospitalityq!R1811),FALSE)))</f>
        <v>0</v>
      </c>
    </row>
    <row r="1812" spans="1:18" x14ac:dyDescent="0.25">
      <c r="A1812">
        <f t="shared" si="28"/>
        <v>0</v>
      </c>
      <c r="C1812">
        <f>NOT(hospitalityq!C1812="")*(SUMPRODUCT(--(TRIM(hospitalityq!C6:C1812)=TRIM(hospitalityq!C1812)))&gt;1)</f>
        <v>0</v>
      </c>
      <c r="D1812">
        <f>NOT(hospitalityq!D1812="")*(COUNTIF(reference!$C$17:$C$18,TRIM(hospitalityq!D1812))=0)</f>
        <v>0</v>
      </c>
      <c r="J1812">
        <f>NOT(hospitalityq!J1812="")*(NOT(ISNUMBER(hospitalityq!J1812+0)))</f>
        <v>0</v>
      </c>
      <c r="K1812">
        <f>NOT(hospitalityq!K1812="")*(NOT(ISNUMBER(hospitalityq!K1812+0)))</f>
        <v>0</v>
      </c>
      <c r="P1812">
        <f>NOT(hospitalityq!P1812="")*(NOT(IFERROR(INT(hospitalityq!P1812)=VALUE(hospitalityq!P1812),FALSE)))</f>
        <v>0</v>
      </c>
      <c r="Q1812">
        <f>NOT(hospitalityq!Q1812="")*(NOT(IFERROR(INT(hospitalityq!Q1812)=VALUE(hospitalityq!Q1812),FALSE)))</f>
        <v>0</v>
      </c>
      <c r="R1812">
        <f>NOT(hospitalityq!R1812="")*(NOT(IFERROR(ROUND(VALUE(hospitalityq!R1812),2)=VALUE(hospitalityq!R1812),FALSE)))</f>
        <v>0</v>
      </c>
    </row>
    <row r="1813" spans="1:18" x14ac:dyDescent="0.25">
      <c r="A1813">
        <f t="shared" si="28"/>
        <v>0</v>
      </c>
      <c r="C1813">
        <f>NOT(hospitalityq!C1813="")*(SUMPRODUCT(--(TRIM(hospitalityq!C6:C1813)=TRIM(hospitalityq!C1813)))&gt;1)</f>
        <v>0</v>
      </c>
      <c r="D1813">
        <f>NOT(hospitalityq!D1813="")*(COUNTIF(reference!$C$17:$C$18,TRIM(hospitalityq!D1813))=0)</f>
        <v>0</v>
      </c>
      <c r="J1813">
        <f>NOT(hospitalityq!J1813="")*(NOT(ISNUMBER(hospitalityq!J1813+0)))</f>
        <v>0</v>
      </c>
      <c r="K1813">
        <f>NOT(hospitalityq!K1813="")*(NOT(ISNUMBER(hospitalityq!K1813+0)))</f>
        <v>0</v>
      </c>
      <c r="P1813">
        <f>NOT(hospitalityq!P1813="")*(NOT(IFERROR(INT(hospitalityq!P1813)=VALUE(hospitalityq!P1813),FALSE)))</f>
        <v>0</v>
      </c>
      <c r="Q1813">
        <f>NOT(hospitalityq!Q1813="")*(NOT(IFERROR(INT(hospitalityq!Q1813)=VALUE(hospitalityq!Q1813),FALSE)))</f>
        <v>0</v>
      </c>
      <c r="R1813">
        <f>NOT(hospitalityq!R1813="")*(NOT(IFERROR(ROUND(VALUE(hospitalityq!R1813),2)=VALUE(hospitalityq!R1813),FALSE)))</f>
        <v>0</v>
      </c>
    </row>
    <row r="1814" spans="1:18" x14ac:dyDescent="0.25">
      <c r="A1814">
        <f t="shared" si="28"/>
        <v>0</v>
      </c>
      <c r="C1814">
        <f>NOT(hospitalityq!C1814="")*(SUMPRODUCT(--(TRIM(hospitalityq!C6:C1814)=TRIM(hospitalityq!C1814)))&gt;1)</f>
        <v>0</v>
      </c>
      <c r="D1814">
        <f>NOT(hospitalityq!D1814="")*(COUNTIF(reference!$C$17:$C$18,TRIM(hospitalityq!D1814))=0)</f>
        <v>0</v>
      </c>
      <c r="J1814">
        <f>NOT(hospitalityq!J1814="")*(NOT(ISNUMBER(hospitalityq!J1814+0)))</f>
        <v>0</v>
      </c>
      <c r="K1814">
        <f>NOT(hospitalityq!K1814="")*(NOT(ISNUMBER(hospitalityq!K1814+0)))</f>
        <v>0</v>
      </c>
      <c r="P1814">
        <f>NOT(hospitalityq!P1814="")*(NOT(IFERROR(INT(hospitalityq!P1814)=VALUE(hospitalityq!P1814),FALSE)))</f>
        <v>0</v>
      </c>
      <c r="Q1814">
        <f>NOT(hospitalityq!Q1814="")*(NOT(IFERROR(INT(hospitalityq!Q1814)=VALUE(hospitalityq!Q1814),FALSE)))</f>
        <v>0</v>
      </c>
      <c r="R1814">
        <f>NOT(hospitalityq!R1814="")*(NOT(IFERROR(ROUND(VALUE(hospitalityq!R1814),2)=VALUE(hospitalityq!R1814),FALSE)))</f>
        <v>0</v>
      </c>
    </row>
    <row r="1815" spans="1:18" x14ac:dyDescent="0.25">
      <c r="A1815">
        <f t="shared" si="28"/>
        <v>0</v>
      </c>
      <c r="C1815">
        <f>NOT(hospitalityq!C1815="")*(SUMPRODUCT(--(TRIM(hospitalityq!C6:C1815)=TRIM(hospitalityq!C1815)))&gt;1)</f>
        <v>0</v>
      </c>
      <c r="D1815">
        <f>NOT(hospitalityq!D1815="")*(COUNTIF(reference!$C$17:$C$18,TRIM(hospitalityq!D1815))=0)</f>
        <v>0</v>
      </c>
      <c r="J1815">
        <f>NOT(hospitalityq!J1815="")*(NOT(ISNUMBER(hospitalityq!J1815+0)))</f>
        <v>0</v>
      </c>
      <c r="K1815">
        <f>NOT(hospitalityq!K1815="")*(NOT(ISNUMBER(hospitalityq!K1815+0)))</f>
        <v>0</v>
      </c>
      <c r="P1815">
        <f>NOT(hospitalityq!P1815="")*(NOT(IFERROR(INT(hospitalityq!P1815)=VALUE(hospitalityq!P1815),FALSE)))</f>
        <v>0</v>
      </c>
      <c r="Q1815">
        <f>NOT(hospitalityq!Q1815="")*(NOT(IFERROR(INT(hospitalityq!Q1815)=VALUE(hospitalityq!Q1815),FALSE)))</f>
        <v>0</v>
      </c>
      <c r="R1815">
        <f>NOT(hospitalityq!R1815="")*(NOT(IFERROR(ROUND(VALUE(hospitalityq!R1815),2)=VALUE(hospitalityq!R1815),FALSE)))</f>
        <v>0</v>
      </c>
    </row>
    <row r="1816" spans="1:18" x14ac:dyDescent="0.25">
      <c r="A1816">
        <f t="shared" si="28"/>
        <v>0</v>
      </c>
      <c r="C1816">
        <f>NOT(hospitalityq!C1816="")*(SUMPRODUCT(--(TRIM(hospitalityq!C6:C1816)=TRIM(hospitalityq!C1816)))&gt;1)</f>
        <v>0</v>
      </c>
      <c r="D1816">
        <f>NOT(hospitalityq!D1816="")*(COUNTIF(reference!$C$17:$C$18,TRIM(hospitalityq!D1816))=0)</f>
        <v>0</v>
      </c>
      <c r="J1816">
        <f>NOT(hospitalityq!J1816="")*(NOT(ISNUMBER(hospitalityq!J1816+0)))</f>
        <v>0</v>
      </c>
      <c r="K1816">
        <f>NOT(hospitalityq!K1816="")*(NOT(ISNUMBER(hospitalityq!K1816+0)))</f>
        <v>0</v>
      </c>
      <c r="P1816">
        <f>NOT(hospitalityq!P1816="")*(NOT(IFERROR(INT(hospitalityq!P1816)=VALUE(hospitalityq!P1816),FALSE)))</f>
        <v>0</v>
      </c>
      <c r="Q1816">
        <f>NOT(hospitalityq!Q1816="")*(NOT(IFERROR(INT(hospitalityq!Q1816)=VALUE(hospitalityq!Q1816),FALSE)))</f>
        <v>0</v>
      </c>
      <c r="R1816">
        <f>NOT(hospitalityq!R1816="")*(NOT(IFERROR(ROUND(VALUE(hospitalityq!R1816),2)=VALUE(hospitalityq!R1816),FALSE)))</f>
        <v>0</v>
      </c>
    </row>
    <row r="1817" spans="1:18" x14ac:dyDescent="0.25">
      <c r="A1817">
        <f t="shared" si="28"/>
        <v>0</v>
      </c>
      <c r="C1817">
        <f>NOT(hospitalityq!C1817="")*(SUMPRODUCT(--(TRIM(hospitalityq!C6:C1817)=TRIM(hospitalityq!C1817)))&gt;1)</f>
        <v>0</v>
      </c>
      <c r="D1817">
        <f>NOT(hospitalityq!D1817="")*(COUNTIF(reference!$C$17:$C$18,TRIM(hospitalityq!D1817))=0)</f>
        <v>0</v>
      </c>
      <c r="J1817">
        <f>NOT(hospitalityq!J1817="")*(NOT(ISNUMBER(hospitalityq!J1817+0)))</f>
        <v>0</v>
      </c>
      <c r="K1817">
        <f>NOT(hospitalityq!K1817="")*(NOT(ISNUMBER(hospitalityq!K1817+0)))</f>
        <v>0</v>
      </c>
      <c r="P1817">
        <f>NOT(hospitalityq!P1817="")*(NOT(IFERROR(INT(hospitalityq!P1817)=VALUE(hospitalityq!P1817),FALSE)))</f>
        <v>0</v>
      </c>
      <c r="Q1817">
        <f>NOT(hospitalityq!Q1817="")*(NOT(IFERROR(INT(hospitalityq!Q1817)=VALUE(hospitalityq!Q1817),FALSE)))</f>
        <v>0</v>
      </c>
      <c r="R1817">
        <f>NOT(hospitalityq!R1817="")*(NOT(IFERROR(ROUND(VALUE(hospitalityq!R1817),2)=VALUE(hospitalityq!R1817),FALSE)))</f>
        <v>0</v>
      </c>
    </row>
    <row r="1818" spans="1:18" x14ac:dyDescent="0.25">
      <c r="A1818">
        <f t="shared" si="28"/>
        <v>0</v>
      </c>
      <c r="C1818">
        <f>NOT(hospitalityq!C1818="")*(SUMPRODUCT(--(TRIM(hospitalityq!C6:C1818)=TRIM(hospitalityq!C1818)))&gt;1)</f>
        <v>0</v>
      </c>
      <c r="D1818">
        <f>NOT(hospitalityq!D1818="")*(COUNTIF(reference!$C$17:$C$18,TRIM(hospitalityq!D1818))=0)</f>
        <v>0</v>
      </c>
      <c r="J1818">
        <f>NOT(hospitalityq!J1818="")*(NOT(ISNUMBER(hospitalityq!J1818+0)))</f>
        <v>0</v>
      </c>
      <c r="K1818">
        <f>NOT(hospitalityq!K1818="")*(NOT(ISNUMBER(hospitalityq!K1818+0)))</f>
        <v>0</v>
      </c>
      <c r="P1818">
        <f>NOT(hospitalityq!P1818="")*(NOT(IFERROR(INT(hospitalityq!P1818)=VALUE(hospitalityq!P1818),FALSE)))</f>
        <v>0</v>
      </c>
      <c r="Q1818">
        <f>NOT(hospitalityq!Q1818="")*(NOT(IFERROR(INT(hospitalityq!Q1818)=VALUE(hospitalityq!Q1818),FALSE)))</f>
        <v>0</v>
      </c>
      <c r="R1818">
        <f>NOT(hospitalityq!R1818="")*(NOT(IFERROR(ROUND(VALUE(hospitalityq!R1818),2)=VALUE(hospitalityq!R1818),FALSE)))</f>
        <v>0</v>
      </c>
    </row>
    <row r="1819" spans="1:18" x14ac:dyDescent="0.25">
      <c r="A1819">
        <f t="shared" si="28"/>
        <v>0</v>
      </c>
      <c r="C1819">
        <f>NOT(hospitalityq!C1819="")*(SUMPRODUCT(--(TRIM(hospitalityq!C6:C1819)=TRIM(hospitalityq!C1819)))&gt;1)</f>
        <v>0</v>
      </c>
      <c r="D1819">
        <f>NOT(hospitalityq!D1819="")*(COUNTIF(reference!$C$17:$C$18,TRIM(hospitalityq!D1819))=0)</f>
        <v>0</v>
      </c>
      <c r="J1819">
        <f>NOT(hospitalityq!J1819="")*(NOT(ISNUMBER(hospitalityq!J1819+0)))</f>
        <v>0</v>
      </c>
      <c r="K1819">
        <f>NOT(hospitalityq!K1819="")*(NOT(ISNUMBER(hospitalityq!K1819+0)))</f>
        <v>0</v>
      </c>
      <c r="P1819">
        <f>NOT(hospitalityq!P1819="")*(NOT(IFERROR(INT(hospitalityq!P1819)=VALUE(hospitalityq!P1819),FALSE)))</f>
        <v>0</v>
      </c>
      <c r="Q1819">
        <f>NOT(hospitalityq!Q1819="")*(NOT(IFERROR(INT(hospitalityq!Q1819)=VALUE(hospitalityq!Q1819),FALSE)))</f>
        <v>0</v>
      </c>
      <c r="R1819">
        <f>NOT(hospitalityq!R1819="")*(NOT(IFERROR(ROUND(VALUE(hospitalityq!R1819),2)=VALUE(hospitalityq!R1819),FALSE)))</f>
        <v>0</v>
      </c>
    </row>
    <row r="1820" spans="1:18" x14ac:dyDescent="0.25">
      <c r="A1820">
        <f t="shared" si="28"/>
        <v>0</v>
      </c>
      <c r="C1820">
        <f>NOT(hospitalityq!C1820="")*(SUMPRODUCT(--(TRIM(hospitalityq!C6:C1820)=TRIM(hospitalityq!C1820)))&gt;1)</f>
        <v>0</v>
      </c>
      <c r="D1820">
        <f>NOT(hospitalityq!D1820="")*(COUNTIF(reference!$C$17:$C$18,TRIM(hospitalityq!D1820))=0)</f>
        <v>0</v>
      </c>
      <c r="J1820">
        <f>NOT(hospitalityq!J1820="")*(NOT(ISNUMBER(hospitalityq!J1820+0)))</f>
        <v>0</v>
      </c>
      <c r="K1820">
        <f>NOT(hospitalityq!K1820="")*(NOT(ISNUMBER(hospitalityq!K1820+0)))</f>
        <v>0</v>
      </c>
      <c r="P1820">
        <f>NOT(hospitalityq!P1820="")*(NOT(IFERROR(INT(hospitalityq!P1820)=VALUE(hospitalityq!P1820),FALSE)))</f>
        <v>0</v>
      </c>
      <c r="Q1820">
        <f>NOT(hospitalityq!Q1820="")*(NOT(IFERROR(INT(hospitalityq!Q1820)=VALUE(hospitalityq!Q1820),FALSE)))</f>
        <v>0</v>
      </c>
      <c r="R1820">
        <f>NOT(hospitalityq!R1820="")*(NOT(IFERROR(ROUND(VALUE(hospitalityq!R1820),2)=VALUE(hospitalityq!R1820),FALSE)))</f>
        <v>0</v>
      </c>
    </row>
    <row r="1821" spans="1:18" x14ac:dyDescent="0.25">
      <c r="A1821">
        <f t="shared" si="28"/>
        <v>0</v>
      </c>
      <c r="C1821">
        <f>NOT(hospitalityq!C1821="")*(SUMPRODUCT(--(TRIM(hospitalityq!C6:C1821)=TRIM(hospitalityq!C1821)))&gt;1)</f>
        <v>0</v>
      </c>
      <c r="D1821">
        <f>NOT(hospitalityq!D1821="")*(COUNTIF(reference!$C$17:$C$18,TRIM(hospitalityq!D1821))=0)</f>
        <v>0</v>
      </c>
      <c r="J1821">
        <f>NOT(hospitalityq!J1821="")*(NOT(ISNUMBER(hospitalityq!J1821+0)))</f>
        <v>0</v>
      </c>
      <c r="K1821">
        <f>NOT(hospitalityq!K1821="")*(NOT(ISNUMBER(hospitalityq!K1821+0)))</f>
        <v>0</v>
      </c>
      <c r="P1821">
        <f>NOT(hospitalityq!P1821="")*(NOT(IFERROR(INT(hospitalityq!P1821)=VALUE(hospitalityq!P1821),FALSE)))</f>
        <v>0</v>
      </c>
      <c r="Q1821">
        <f>NOT(hospitalityq!Q1821="")*(NOT(IFERROR(INT(hospitalityq!Q1821)=VALUE(hospitalityq!Q1821),FALSE)))</f>
        <v>0</v>
      </c>
      <c r="R1821">
        <f>NOT(hospitalityq!R1821="")*(NOT(IFERROR(ROUND(VALUE(hospitalityq!R1821),2)=VALUE(hospitalityq!R1821),FALSE)))</f>
        <v>0</v>
      </c>
    </row>
    <row r="1822" spans="1:18" x14ac:dyDescent="0.25">
      <c r="A1822">
        <f t="shared" si="28"/>
        <v>0</v>
      </c>
      <c r="C1822">
        <f>NOT(hospitalityq!C1822="")*(SUMPRODUCT(--(TRIM(hospitalityq!C6:C1822)=TRIM(hospitalityq!C1822)))&gt;1)</f>
        <v>0</v>
      </c>
      <c r="D1822">
        <f>NOT(hospitalityq!D1822="")*(COUNTIF(reference!$C$17:$C$18,TRIM(hospitalityq!D1822))=0)</f>
        <v>0</v>
      </c>
      <c r="J1822">
        <f>NOT(hospitalityq!J1822="")*(NOT(ISNUMBER(hospitalityq!J1822+0)))</f>
        <v>0</v>
      </c>
      <c r="K1822">
        <f>NOT(hospitalityq!K1822="")*(NOT(ISNUMBER(hospitalityq!K1822+0)))</f>
        <v>0</v>
      </c>
      <c r="P1822">
        <f>NOT(hospitalityq!P1822="")*(NOT(IFERROR(INT(hospitalityq!P1822)=VALUE(hospitalityq!P1822),FALSE)))</f>
        <v>0</v>
      </c>
      <c r="Q1822">
        <f>NOT(hospitalityq!Q1822="")*(NOT(IFERROR(INT(hospitalityq!Q1822)=VALUE(hospitalityq!Q1822),FALSE)))</f>
        <v>0</v>
      </c>
      <c r="R1822">
        <f>NOT(hospitalityq!R1822="")*(NOT(IFERROR(ROUND(VALUE(hospitalityq!R1822),2)=VALUE(hospitalityq!R1822),FALSE)))</f>
        <v>0</v>
      </c>
    </row>
    <row r="1823" spans="1:18" x14ac:dyDescent="0.25">
      <c r="A1823">
        <f t="shared" si="28"/>
        <v>0</v>
      </c>
      <c r="C1823">
        <f>NOT(hospitalityq!C1823="")*(SUMPRODUCT(--(TRIM(hospitalityq!C6:C1823)=TRIM(hospitalityq!C1823)))&gt;1)</f>
        <v>0</v>
      </c>
      <c r="D1823">
        <f>NOT(hospitalityq!D1823="")*(COUNTIF(reference!$C$17:$C$18,TRIM(hospitalityq!D1823))=0)</f>
        <v>0</v>
      </c>
      <c r="J1823">
        <f>NOT(hospitalityq!J1823="")*(NOT(ISNUMBER(hospitalityq!J1823+0)))</f>
        <v>0</v>
      </c>
      <c r="K1823">
        <f>NOT(hospitalityq!K1823="")*(NOT(ISNUMBER(hospitalityq!K1823+0)))</f>
        <v>0</v>
      </c>
      <c r="P1823">
        <f>NOT(hospitalityq!P1823="")*(NOT(IFERROR(INT(hospitalityq!P1823)=VALUE(hospitalityq!P1823),FALSE)))</f>
        <v>0</v>
      </c>
      <c r="Q1823">
        <f>NOT(hospitalityq!Q1823="")*(NOT(IFERROR(INT(hospitalityq!Q1823)=VALUE(hospitalityq!Q1823),FALSE)))</f>
        <v>0</v>
      </c>
      <c r="R1823">
        <f>NOT(hospitalityq!R1823="")*(NOT(IFERROR(ROUND(VALUE(hospitalityq!R1823),2)=VALUE(hospitalityq!R1823),FALSE)))</f>
        <v>0</v>
      </c>
    </row>
    <row r="1824" spans="1:18" x14ac:dyDescent="0.25">
      <c r="A1824">
        <f t="shared" si="28"/>
        <v>0</v>
      </c>
      <c r="C1824">
        <f>NOT(hospitalityq!C1824="")*(SUMPRODUCT(--(TRIM(hospitalityq!C6:C1824)=TRIM(hospitalityq!C1824)))&gt;1)</f>
        <v>0</v>
      </c>
      <c r="D1824">
        <f>NOT(hospitalityq!D1824="")*(COUNTIF(reference!$C$17:$C$18,TRIM(hospitalityq!D1824))=0)</f>
        <v>0</v>
      </c>
      <c r="J1824">
        <f>NOT(hospitalityq!J1824="")*(NOT(ISNUMBER(hospitalityq!J1824+0)))</f>
        <v>0</v>
      </c>
      <c r="K1824">
        <f>NOT(hospitalityq!K1824="")*(NOT(ISNUMBER(hospitalityq!K1824+0)))</f>
        <v>0</v>
      </c>
      <c r="P1824">
        <f>NOT(hospitalityq!P1824="")*(NOT(IFERROR(INT(hospitalityq!P1824)=VALUE(hospitalityq!P1824),FALSE)))</f>
        <v>0</v>
      </c>
      <c r="Q1824">
        <f>NOT(hospitalityq!Q1824="")*(NOT(IFERROR(INT(hospitalityq!Q1824)=VALUE(hospitalityq!Q1824),FALSE)))</f>
        <v>0</v>
      </c>
      <c r="R1824">
        <f>NOT(hospitalityq!R1824="")*(NOT(IFERROR(ROUND(VALUE(hospitalityq!R1824),2)=VALUE(hospitalityq!R1824),FALSE)))</f>
        <v>0</v>
      </c>
    </row>
    <row r="1825" spans="1:18" x14ac:dyDescent="0.25">
      <c r="A1825">
        <f t="shared" si="28"/>
        <v>0</v>
      </c>
      <c r="C1825">
        <f>NOT(hospitalityq!C1825="")*(SUMPRODUCT(--(TRIM(hospitalityq!C6:C1825)=TRIM(hospitalityq!C1825)))&gt;1)</f>
        <v>0</v>
      </c>
      <c r="D1825">
        <f>NOT(hospitalityq!D1825="")*(COUNTIF(reference!$C$17:$C$18,TRIM(hospitalityq!D1825))=0)</f>
        <v>0</v>
      </c>
      <c r="J1825">
        <f>NOT(hospitalityq!J1825="")*(NOT(ISNUMBER(hospitalityq!J1825+0)))</f>
        <v>0</v>
      </c>
      <c r="K1825">
        <f>NOT(hospitalityq!K1825="")*(NOT(ISNUMBER(hospitalityq!K1825+0)))</f>
        <v>0</v>
      </c>
      <c r="P1825">
        <f>NOT(hospitalityq!P1825="")*(NOT(IFERROR(INT(hospitalityq!P1825)=VALUE(hospitalityq!P1825),FALSE)))</f>
        <v>0</v>
      </c>
      <c r="Q1825">
        <f>NOT(hospitalityq!Q1825="")*(NOT(IFERROR(INT(hospitalityq!Q1825)=VALUE(hospitalityq!Q1825),FALSE)))</f>
        <v>0</v>
      </c>
      <c r="R1825">
        <f>NOT(hospitalityq!R1825="")*(NOT(IFERROR(ROUND(VALUE(hospitalityq!R1825),2)=VALUE(hospitalityq!R1825),FALSE)))</f>
        <v>0</v>
      </c>
    </row>
    <row r="1826" spans="1:18" x14ac:dyDescent="0.25">
      <c r="A1826">
        <f t="shared" si="28"/>
        <v>0</v>
      </c>
      <c r="C1826">
        <f>NOT(hospitalityq!C1826="")*(SUMPRODUCT(--(TRIM(hospitalityq!C6:C1826)=TRIM(hospitalityq!C1826)))&gt;1)</f>
        <v>0</v>
      </c>
      <c r="D1826">
        <f>NOT(hospitalityq!D1826="")*(COUNTIF(reference!$C$17:$C$18,TRIM(hospitalityq!D1826))=0)</f>
        <v>0</v>
      </c>
      <c r="J1826">
        <f>NOT(hospitalityq!J1826="")*(NOT(ISNUMBER(hospitalityq!J1826+0)))</f>
        <v>0</v>
      </c>
      <c r="K1826">
        <f>NOT(hospitalityq!K1826="")*(NOT(ISNUMBER(hospitalityq!K1826+0)))</f>
        <v>0</v>
      </c>
      <c r="P1826">
        <f>NOT(hospitalityq!P1826="")*(NOT(IFERROR(INT(hospitalityq!P1826)=VALUE(hospitalityq!P1826),FALSE)))</f>
        <v>0</v>
      </c>
      <c r="Q1826">
        <f>NOT(hospitalityq!Q1826="")*(NOT(IFERROR(INT(hospitalityq!Q1826)=VALUE(hospitalityq!Q1826),FALSE)))</f>
        <v>0</v>
      </c>
      <c r="R1826">
        <f>NOT(hospitalityq!R1826="")*(NOT(IFERROR(ROUND(VALUE(hospitalityq!R1826),2)=VALUE(hospitalityq!R1826),FALSE)))</f>
        <v>0</v>
      </c>
    </row>
    <row r="1827" spans="1:18" x14ac:dyDescent="0.25">
      <c r="A1827">
        <f t="shared" si="28"/>
        <v>0</v>
      </c>
      <c r="C1827">
        <f>NOT(hospitalityq!C1827="")*(SUMPRODUCT(--(TRIM(hospitalityq!C6:C1827)=TRIM(hospitalityq!C1827)))&gt;1)</f>
        <v>0</v>
      </c>
      <c r="D1827">
        <f>NOT(hospitalityq!D1827="")*(COUNTIF(reference!$C$17:$C$18,TRIM(hospitalityq!D1827))=0)</f>
        <v>0</v>
      </c>
      <c r="J1827">
        <f>NOT(hospitalityq!J1827="")*(NOT(ISNUMBER(hospitalityq!J1827+0)))</f>
        <v>0</v>
      </c>
      <c r="K1827">
        <f>NOT(hospitalityq!K1827="")*(NOT(ISNUMBER(hospitalityq!K1827+0)))</f>
        <v>0</v>
      </c>
      <c r="P1827">
        <f>NOT(hospitalityq!P1827="")*(NOT(IFERROR(INT(hospitalityq!P1827)=VALUE(hospitalityq!P1827),FALSE)))</f>
        <v>0</v>
      </c>
      <c r="Q1827">
        <f>NOT(hospitalityq!Q1827="")*(NOT(IFERROR(INT(hospitalityq!Q1827)=VALUE(hospitalityq!Q1827),FALSE)))</f>
        <v>0</v>
      </c>
      <c r="R1827">
        <f>NOT(hospitalityq!R1827="")*(NOT(IFERROR(ROUND(VALUE(hospitalityq!R1827),2)=VALUE(hospitalityq!R1827),FALSE)))</f>
        <v>0</v>
      </c>
    </row>
    <row r="1828" spans="1:18" x14ac:dyDescent="0.25">
      <c r="A1828">
        <f t="shared" si="28"/>
        <v>0</v>
      </c>
      <c r="C1828">
        <f>NOT(hospitalityq!C1828="")*(SUMPRODUCT(--(TRIM(hospitalityq!C6:C1828)=TRIM(hospitalityq!C1828)))&gt;1)</f>
        <v>0</v>
      </c>
      <c r="D1828">
        <f>NOT(hospitalityq!D1828="")*(COUNTIF(reference!$C$17:$C$18,TRIM(hospitalityq!D1828))=0)</f>
        <v>0</v>
      </c>
      <c r="J1828">
        <f>NOT(hospitalityq!J1828="")*(NOT(ISNUMBER(hospitalityq!J1828+0)))</f>
        <v>0</v>
      </c>
      <c r="K1828">
        <f>NOT(hospitalityq!K1828="")*(NOT(ISNUMBER(hospitalityq!K1828+0)))</f>
        <v>0</v>
      </c>
      <c r="P1828">
        <f>NOT(hospitalityq!P1828="")*(NOT(IFERROR(INT(hospitalityq!P1828)=VALUE(hospitalityq!P1828),FALSE)))</f>
        <v>0</v>
      </c>
      <c r="Q1828">
        <f>NOT(hospitalityq!Q1828="")*(NOT(IFERROR(INT(hospitalityq!Q1828)=VALUE(hospitalityq!Q1828),FALSE)))</f>
        <v>0</v>
      </c>
      <c r="R1828">
        <f>NOT(hospitalityq!R1828="")*(NOT(IFERROR(ROUND(VALUE(hospitalityq!R1828),2)=VALUE(hospitalityq!R1828),FALSE)))</f>
        <v>0</v>
      </c>
    </row>
    <row r="1829" spans="1:18" x14ac:dyDescent="0.25">
      <c r="A1829">
        <f t="shared" si="28"/>
        <v>0</v>
      </c>
      <c r="C1829">
        <f>NOT(hospitalityq!C1829="")*(SUMPRODUCT(--(TRIM(hospitalityq!C6:C1829)=TRIM(hospitalityq!C1829)))&gt;1)</f>
        <v>0</v>
      </c>
      <c r="D1829">
        <f>NOT(hospitalityq!D1829="")*(COUNTIF(reference!$C$17:$C$18,TRIM(hospitalityq!D1829))=0)</f>
        <v>0</v>
      </c>
      <c r="J1829">
        <f>NOT(hospitalityq!J1829="")*(NOT(ISNUMBER(hospitalityq!J1829+0)))</f>
        <v>0</v>
      </c>
      <c r="K1829">
        <f>NOT(hospitalityq!K1829="")*(NOT(ISNUMBER(hospitalityq!K1829+0)))</f>
        <v>0</v>
      </c>
      <c r="P1829">
        <f>NOT(hospitalityq!P1829="")*(NOT(IFERROR(INT(hospitalityq!P1829)=VALUE(hospitalityq!P1829),FALSE)))</f>
        <v>0</v>
      </c>
      <c r="Q1829">
        <f>NOT(hospitalityq!Q1829="")*(NOT(IFERROR(INT(hospitalityq!Q1829)=VALUE(hospitalityq!Q1829),FALSE)))</f>
        <v>0</v>
      </c>
      <c r="R1829">
        <f>NOT(hospitalityq!R1829="")*(NOT(IFERROR(ROUND(VALUE(hospitalityq!R1829),2)=VALUE(hospitalityq!R1829),FALSE)))</f>
        <v>0</v>
      </c>
    </row>
    <row r="1830" spans="1:18" x14ac:dyDescent="0.25">
      <c r="A1830">
        <f t="shared" si="28"/>
        <v>0</v>
      </c>
      <c r="C1830">
        <f>NOT(hospitalityq!C1830="")*(SUMPRODUCT(--(TRIM(hospitalityq!C6:C1830)=TRIM(hospitalityq!C1830)))&gt;1)</f>
        <v>0</v>
      </c>
      <c r="D1830">
        <f>NOT(hospitalityq!D1830="")*(COUNTIF(reference!$C$17:$C$18,TRIM(hospitalityq!D1830))=0)</f>
        <v>0</v>
      </c>
      <c r="J1830">
        <f>NOT(hospitalityq!J1830="")*(NOT(ISNUMBER(hospitalityq!J1830+0)))</f>
        <v>0</v>
      </c>
      <c r="K1830">
        <f>NOT(hospitalityq!K1830="")*(NOT(ISNUMBER(hospitalityq!K1830+0)))</f>
        <v>0</v>
      </c>
      <c r="P1830">
        <f>NOT(hospitalityq!P1830="")*(NOT(IFERROR(INT(hospitalityq!P1830)=VALUE(hospitalityq!P1830),FALSE)))</f>
        <v>0</v>
      </c>
      <c r="Q1830">
        <f>NOT(hospitalityq!Q1830="")*(NOT(IFERROR(INT(hospitalityq!Q1830)=VALUE(hospitalityq!Q1830),FALSE)))</f>
        <v>0</v>
      </c>
      <c r="R1830">
        <f>NOT(hospitalityq!R1830="")*(NOT(IFERROR(ROUND(VALUE(hospitalityq!R1830),2)=VALUE(hospitalityq!R1830),FALSE)))</f>
        <v>0</v>
      </c>
    </row>
    <row r="1831" spans="1:18" x14ac:dyDescent="0.25">
      <c r="A1831">
        <f t="shared" si="28"/>
        <v>0</v>
      </c>
      <c r="C1831">
        <f>NOT(hospitalityq!C1831="")*(SUMPRODUCT(--(TRIM(hospitalityq!C6:C1831)=TRIM(hospitalityq!C1831)))&gt;1)</f>
        <v>0</v>
      </c>
      <c r="D1831">
        <f>NOT(hospitalityq!D1831="")*(COUNTIF(reference!$C$17:$C$18,TRIM(hospitalityq!D1831))=0)</f>
        <v>0</v>
      </c>
      <c r="J1831">
        <f>NOT(hospitalityq!J1831="")*(NOT(ISNUMBER(hospitalityq!J1831+0)))</f>
        <v>0</v>
      </c>
      <c r="K1831">
        <f>NOT(hospitalityq!K1831="")*(NOT(ISNUMBER(hospitalityq!K1831+0)))</f>
        <v>0</v>
      </c>
      <c r="P1831">
        <f>NOT(hospitalityq!P1831="")*(NOT(IFERROR(INT(hospitalityq!P1831)=VALUE(hospitalityq!P1831),FALSE)))</f>
        <v>0</v>
      </c>
      <c r="Q1831">
        <f>NOT(hospitalityq!Q1831="")*(NOT(IFERROR(INT(hospitalityq!Q1831)=VALUE(hospitalityq!Q1831),FALSE)))</f>
        <v>0</v>
      </c>
      <c r="R1831">
        <f>NOT(hospitalityq!R1831="")*(NOT(IFERROR(ROUND(VALUE(hospitalityq!R1831),2)=VALUE(hospitalityq!R1831),FALSE)))</f>
        <v>0</v>
      </c>
    </row>
    <row r="1832" spans="1:18" x14ac:dyDescent="0.25">
      <c r="A1832">
        <f t="shared" si="28"/>
        <v>0</v>
      </c>
      <c r="C1832">
        <f>NOT(hospitalityq!C1832="")*(SUMPRODUCT(--(TRIM(hospitalityq!C6:C1832)=TRIM(hospitalityq!C1832)))&gt;1)</f>
        <v>0</v>
      </c>
      <c r="D1832">
        <f>NOT(hospitalityq!D1832="")*(COUNTIF(reference!$C$17:$C$18,TRIM(hospitalityq!D1832))=0)</f>
        <v>0</v>
      </c>
      <c r="J1832">
        <f>NOT(hospitalityq!J1832="")*(NOT(ISNUMBER(hospitalityq!J1832+0)))</f>
        <v>0</v>
      </c>
      <c r="K1832">
        <f>NOT(hospitalityq!K1832="")*(NOT(ISNUMBER(hospitalityq!K1832+0)))</f>
        <v>0</v>
      </c>
      <c r="P1832">
        <f>NOT(hospitalityq!P1832="")*(NOT(IFERROR(INT(hospitalityq!P1832)=VALUE(hospitalityq!P1832),FALSE)))</f>
        <v>0</v>
      </c>
      <c r="Q1832">
        <f>NOT(hospitalityq!Q1832="")*(NOT(IFERROR(INT(hospitalityq!Q1832)=VALUE(hospitalityq!Q1832),FALSE)))</f>
        <v>0</v>
      </c>
      <c r="R1832">
        <f>NOT(hospitalityq!R1832="")*(NOT(IFERROR(ROUND(VALUE(hospitalityq!R1832),2)=VALUE(hospitalityq!R1832),FALSE)))</f>
        <v>0</v>
      </c>
    </row>
    <row r="1833" spans="1:18" x14ac:dyDescent="0.25">
      <c r="A1833">
        <f t="shared" si="28"/>
        <v>0</v>
      </c>
      <c r="C1833">
        <f>NOT(hospitalityq!C1833="")*(SUMPRODUCT(--(TRIM(hospitalityq!C6:C1833)=TRIM(hospitalityq!C1833)))&gt;1)</f>
        <v>0</v>
      </c>
      <c r="D1833">
        <f>NOT(hospitalityq!D1833="")*(COUNTIF(reference!$C$17:$C$18,TRIM(hospitalityq!D1833))=0)</f>
        <v>0</v>
      </c>
      <c r="J1833">
        <f>NOT(hospitalityq!J1833="")*(NOT(ISNUMBER(hospitalityq!J1833+0)))</f>
        <v>0</v>
      </c>
      <c r="K1833">
        <f>NOT(hospitalityq!K1833="")*(NOT(ISNUMBER(hospitalityq!K1833+0)))</f>
        <v>0</v>
      </c>
      <c r="P1833">
        <f>NOT(hospitalityq!P1833="")*(NOT(IFERROR(INT(hospitalityq!P1833)=VALUE(hospitalityq!P1833),FALSE)))</f>
        <v>0</v>
      </c>
      <c r="Q1833">
        <f>NOT(hospitalityq!Q1833="")*(NOT(IFERROR(INT(hospitalityq!Q1833)=VALUE(hospitalityq!Q1833),FALSE)))</f>
        <v>0</v>
      </c>
      <c r="R1833">
        <f>NOT(hospitalityq!R1833="")*(NOT(IFERROR(ROUND(VALUE(hospitalityq!R1833),2)=VALUE(hospitalityq!R1833),FALSE)))</f>
        <v>0</v>
      </c>
    </row>
    <row r="1834" spans="1:18" x14ac:dyDescent="0.25">
      <c r="A1834">
        <f t="shared" si="28"/>
        <v>0</v>
      </c>
      <c r="C1834">
        <f>NOT(hospitalityq!C1834="")*(SUMPRODUCT(--(TRIM(hospitalityq!C6:C1834)=TRIM(hospitalityq!C1834)))&gt;1)</f>
        <v>0</v>
      </c>
      <c r="D1834">
        <f>NOT(hospitalityq!D1834="")*(COUNTIF(reference!$C$17:$C$18,TRIM(hospitalityq!D1834))=0)</f>
        <v>0</v>
      </c>
      <c r="J1834">
        <f>NOT(hospitalityq!J1834="")*(NOT(ISNUMBER(hospitalityq!J1834+0)))</f>
        <v>0</v>
      </c>
      <c r="K1834">
        <f>NOT(hospitalityq!K1834="")*(NOT(ISNUMBER(hospitalityq!K1834+0)))</f>
        <v>0</v>
      </c>
      <c r="P1834">
        <f>NOT(hospitalityq!P1834="")*(NOT(IFERROR(INT(hospitalityq!P1834)=VALUE(hospitalityq!P1834),FALSE)))</f>
        <v>0</v>
      </c>
      <c r="Q1834">
        <f>NOT(hospitalityq!Q1834="")*(NOT(IFERROR(INT(hospitalityq!Q1834)=VALUE(hospitalityq!Q1834),FALSE)))</f>
        <v>0</v>
      </c>
      <c r="R1834">
        <f>NOT(hospitalityq!R1834="")*(NOT(IFERROR(ROUND(VALUE(hospitalityq!R1834),2)=VALUE(hospitalityq!R1834),FALSE)))</f>
        <v>0</v>
      </c>
    </row>
    <row r="1835" spans="1:18" x14ac:dyDescent="0.25">
      <c r="A1835">
        <f t="shared" si="28"/>
        <v>0</v>
      </c>
      <c r="C1835">
        <f>NOT(hospitalityq!C1835="")*(SUMPRODUCT(--(TRIM(hospitalityq!C6:C1835)=TRIM(hospitalityq!C1835)))&gt;1)</f>
        <v>0</v>
      </c>
      <c r="D1835">
        <f>NOT(hospitalityq!D1835="")*(COUNTIF(reference!$C$17:$C$18,TRIM(hospitalityq!D1835))=0)</f>
        <v>0</v>
      </c>
      <c r="J1835">
        <f>NOT(hospitalityq!J1835="")*(NOT(ISNUMBER(hospitalityq!J1835+0)))</f>
        <v>0</v>
      </c>
      <c r="K1835">
        <f>NOT(hospitalityq!K1835="")*(NOT(ISNUMBER(hospitalityq!K1835+0)))</f>
        <v>0</v>
      </c>
      <c r="P1835">
        <f>NOT(hospitalityq!P1835="")*(NOT(IFERROR(INT(hospitalityq!P1835)=VALUE(hospitalityq!P1835),FALSE)))</f>
        <v>0</v>
      </c>
      <c r="Q1835">
        <f>NOT(hospitalityq!Q1835="")*(NOT(IFERROR(INT(hospitalityq!Q1835)=VALUE(hospitalityq!Q1835),FALSE)))</f>
        <v>0</v>
      </c>
      <c r="R1835">
        <f>NOT(hospitalityq!R1835="")*(NOT(IFERROR(ROUND(VALUE(hospitalityq!R1835),2)=VALUE(hospitalityq!R1835),FALSE)))</f>
        <v>0</v>
      </c>
    </row>
    <row r="1836" spans="1:18" x14ac:dyDescent="0.25">
      <c r="A1836">
        <f t="shared" si="28"/>
        <v>0</v>
      </c>
      <c r="C1836">
        <f>NOT(hospitalityq!C1836="")*(SUMPRODUCT(--(TRIM(hospitalityq!C6:C1836)=TRIM(hospitalityq!C1836)))&gt;1)</f>
        <v>0</v>
      </c>
      <c r="D1836">
        <f>NOT(hospitalityq!D1836="")*(COUNTIF(reference!$C$17:$C$18,TRIM(hospitalityq!D1836))=0)</f>
        <v>0</v>
      </c>
      <c r="J1836">
        <f>NOT(hospitalityq!J1836="")*(NOT(ISNUMBER(hospitalityq!J1836+0)))</f>
        <v>0</v>
      </c>
      <c r="K1836">
        <f>NOT(hospitalityq!K1836="")*(NOT(ISNUMBER(hospitalityq!K1836+0)))</f>
        <v>0</v>
      </c>
      <c r="P1836">
        <f>NOT(hospitalityq!P1836="")*(NOT(IFERROR(INT(hospitalityq!P1836)=VALUE(hospitalityq!P1836),FALSE)))</f>
        <v>0</v>
      </c>
      <c r="Q1836">
        <f>NOT(hospitalityq!Q1836="")*(NOT(IFERROR(INT(hospitalityq!Q1836)=VALUE(hospitalityq!Q1836),FALSE)))</f>
        <v>0</v>
      </c>
      <c r="R1836">
        <f>NOT(hospitalityq!R1836="")*(NOT(IFERROR(ROUND(VALUE(hospitalityq!R1836),2)=VALUE(hospitalityq!R1836),FALSE)))</f>
        <v>0</v>
      </c>
    </row>
    <row r="1837" spans="1:18" x14ac:dyDescent="0.25">
      <c r="A1837">
        <f t="shared" si="28"/>
        <v>0</v>
      </c>
      <c r="C1837">
        <f>NOT(hospitalityq!C1837="")*(SUMPRODUCT(--(TRIM(hospitalityq!C6:C1837)=TRIM(hospitalityq!C1837)))&gt;1)</f>
        <v>0</v>
      </c>
      <c r="D1837">
        <f>NOT(hospitalityq!D1837="")*(COUNTIF(reference!$C$17:$C$18,TRIM(hospitalityq!D1837))=0)</f>
        <v>0</v>
      </c>
      <c r="J1837">
        <f>NOT(hospitalityq!J1837="")*(NOT(ISNUMBER(hospitalityq!J1837+0)))</f>
        <v>0</v>
      </c>
      <c r="K1837">
        <f>NOT(hospitalityq!K1837="")*(NOT(ISNUMBER(hospitalityq!K1837+0)))</f>
        <v>0</v>
      </c>
      <c r="P1837">
        <f>NOT(hospitalityq!P1837="")*(NOT(IFERROR(INT(hospitalityq!P1837)=VALUE(hospitalityq!P1837),FALSE)))</f>
        <v>0</v>
      </c>
      <c r="Q1837">
        <f>NOT(hospitalityq!Q1837="")*(NOT(IFERROR(INT(hospitalityq!Q1837)=VALUE(hospitalityq!Q1837),FALSE)))</f>
        <v>0</v>
      </c>
      <c r="R1837">
        <f>NOT(hospitalityq!R1837="")*(NOT(IFERROR(ROUND(VALUE(hospitalityq!R1837),2)=VALUE(hospitalityq!R1837),FALSE)))</f>
        <v>0</v>
      </c>
    </row>
    <row r="1838" spans="1:18" x14ac:dyDescent="0.25">
      <c r="A1838">
        <f t="shared" si="28"/>
        <v>0</v>
      </c>
      <c r="C1838">
        <f>NOT(hospitalityq!C1838="")*(SUMPRODUCT(--(TRIM(hospitalityq!C6:C1838)=TRIM(hospitalityq!C1838)))&gt;1)</f>
        <v>0</v>
      </c>
      <c r="D1838">
        <f>NOT(hospitalityq!D1838="")*(COUNTIF(reference!$C$17:$C$18,TRIM(hospitalityq!D1838))=0)</f>
        <v>0</v>
      </c>
      <c r="J1838">
        <f>NOT(hospitalityq!J1838="")*(NOT(ISNUMBER(hospitalityq!J1838+0)))</f>
        <v>0</v>
      </c>
      <c r="K1838">
        <f>NOT(hospitalityq!K1838="")*(NOT(ISNUMBER(hospitalityq!K1838+0)))</f>
        <v>0</v>
      </c>
      <c r="P1838">
        <f>NOT(hospitalityq!P1838="")*(NOT(IFERROR(INT(hospitalityq!P1838)=VALUE(hospitalityq!P1838),FALSE)))</f>
        <v>0</v>
      </c>
      <c r="Q1838">
        <f>NOT(hospitalityq!Q1838="")*(NOT(IFERROR(INT(hospitalityq!Q1838)=VALUE(hospitalityq!Q1838),FALSE)))</f>
        <v>0</v>
      </c>
      <c r="R1838">
        <f>NOT(hospitalityq!R1838="")*(NOT(IFERROR(ROUND(VALUE(hospitalityq!R1838),2)=VALUE(hospitalityq!R1838),FALSE)))</f>
        <v>0</v>
      </c>
    </row>
    <row r="1839" spans="1:18" x14ac:dyDescent="0.25">
      <c r="A1839">
        <f t="shared" si="28"/>
        <v>0</v>
      </c>
      <c r="C1839">
        <f>NOT(hospitalityq!C1839="")*(SUMPRODUCT(--(TRIM(hospitalityq!C6:C1839)=TRIM(hospitalityq!C1839)))&gt;1)</f>
        <v>0</v>
      </c>
      <c r="D1839">
        <f>NOT(hospitalityq!D1839="")*(COUNTIF(reference!$C$17:$C$18,TRIM(hospitalityq!D1839))=0)</f>
        <v>0</v>
      </c>
      <c r="J1839">
        <f>NOT(hospitalityq!J1839="")*(NOT(ISNUMBER(hospitalityq!J1839+0)))</f>
        <v>0</v>
      </c>
      <c r="K1839">
        <f>NOT(hospitalityq!K1839="")*(NOT(ISNUMBER(hospitalityq!K1839+0)))</f>
        <v>0</v>
      </c>
      <c r="P1839">
        <f>NOT(hospitalityq!P1839="")*(NOT(IFERROR(INT(hospitalityq!P1839)=VALUE(hospitalityq!P1839),FALSE)))</f>
        <v>0</v>
      </c>
      <c r="Q1839">
        <f>NOT(hospitalityq!Q1839="")*(NOT(IFERROR(INT(hospitalityq!Q1839)=VALUE(hospitalityq!Q1839),FALSE)))</f>
        <v>0</v>
      </c>
      <c r="R1839">
        <f>NOT(hospitalityq!R1839="")*(NOT(IFERROR(ROUND(VALUE(hospitalityq!R1839),2)=VALUE(hospitalityq!R1839),FALSE)))</f>
        <v>0</v>
      </c>
    </row>
    <row r="1840" spans="1:18" x14ac:dyDescent="0.25">
      <c r="A1840">
        <f t="shared" si="28"/>
        <v>0</v>
      </c>
      <c r="C1840">
        <f>NOT(hospitalityq!C1840="")*(SUMPRODUCT(--(TRIM(hospitalityq!C6:C1840)=TRIM(hospitalityq!C1840)))&gt;1)</f>
        <v>0</v>
      </c>
      <c r="D1840">
        <f>NOT(hospitalityq!D1840="")*(COUNTIF(reference!$C$17:$C$18,TRIM(hospitalityq!D1840))=0)</f>
        <v>0</v>
      </c>
      <c r="J1840">
        <f>NOT(hospitalityq!J1840="")*(NOT(ISNUMBER(hospitalityq!J1840+0)))</f>
        <v>0</v>
      </c>
      <c r="K1840">
        <f>NOT(hospitalityq!K1840="")*(NOT(ISNUMBER(hospitalityq!K1840+0)))</f>
        <v>0</v>
      </c>
      <c r="P1840">
        <f>NOT(hospitalityq!P1840="")*(NOT(IFERROR(INT(hospitalityq!P1840)=VALUE(hospitalityq!P1840),FALSE)))</f>
        <v>0</v>
      </c>
      <c r="Q1840">
        <f>NOT(hospitalityq!Q1840="")*(NOT(IFERROR(INT(hospitalityq!Q1840)=VALUE(hospitalityq!Q1840),FALSE)))</f>
        <v>0</v>
      </c>
      <c r="R1840">
        <f>NOT(hospitalityq!R1840="")*(NOT(IFERROR(ROUND(VALUE(hospitalityq!R1840),2)=VALUE(hospitalityq!R1840),FALSE)))</f>
        <v>0</v>
      </c>
    </row>
    <row r="1841" spans="1:18" x14ac:dyDescent="0.25">
      <c r="A1841">
        <f t="shared" si="28"/>
        <v>0</v>
      </c>
      <c r="C1841">
        <f>NOT(hospitalityq!C1841="")*(SUMPRODUCT(--(TRIM(hospitalityq!C6:C1841)=TRIM(hospitalityq!C1841)))&gt;1)</f>
        <v>0</v>
      </c>
      <c r="D1841">
        <f>NOT(hospitalityq!D1841="")*(COUNTIF(reference!$C$17:$C$18,TRIM(hospitalityq!D1841))=0)</f>
        <v>0</v>
      </c>
      <c r="J1841">
        <f>NOT(hospitalityq!J1841="")*(NOT(ISNUMBER(hospitalityq!J1841+0)))</f>
        <v>0</v>
      </c>
      <c r="K1841">
        <f>NOT(hospitalityq!K1841="")*(NOT(ISNUMBER(hospitalityq!K1841+0)))</f>
        <v>0</v>
      </c>
      <c r="P1841">
        <f>NOT(hospitalityq!P1841="")*(NOT(IFERROR(INT(hospitalityq!P1841)=VALUE(hospitalityq!P1841),FALSE)))</f>
        <v>0</v>
      </c>
      <c r="Q1841">
        <f>NOT(hospitalityq!Q1841="")*(NOT(IFERROR(INT(hospitalityq!Q1841)=VALUE(hospitalityq!Q1841),FALSE)))</f>
        <v>0</v>
      </c>
      <c r="R1841">
        <f>NOT(hospitalityq!R1841="")*(NOT(IFERROR(ROUND(VALUE(hospitalityq!R1841),2)=VALUE(hospitalityq!R1841),FALSE)))</f>
        <v>0</v>
      </c>
    </row>
    <row r="1842" spans="1:18" x14ac:dyDescent="0.25">
      <c r="A1842">
        <f t="shared" si="28"/>
        <v>0</v>
      </c>
      <c r="C1842">
        <f>NOT(hospitalityq!C1842="")*(SUMPRODUCT(--(TRIM(hospitalityq!C6:C1842)=TRIM(hospitalityq!C1842)))&gt;1)</f>
        <v>0</v>
      </c>
      <c r="D1842">
        <f>NOT(hospitalityq!D1842="")*(COUNTIF(reference!$C$17:$C$18,TRIM(hospitalityq!D1842))=0)</f>
        <v>0</v>
      </c>
      <c r="J1842">
        <f>NOT(hospitalityq!J1842="")*(NOT(ISNUMBER(hospitalityq!J1842+0)))</f>
        <v>0</v>
      </c>
      <c r="K1842">
        <f>NOT(hospitalityq!K1842="")*(NOT(ISNUMBER(hospitalityq!K1842+0)))</f>
        <v>0</v>
      </c>
      <c r="P1842">
        <f>NOT(hospitalityq!P1842="")*(NOT(IFERROR(INT(hospitalityq!P1842)=VALUE(hospitalityq!P1842),FALSE)))</f>
        <v>0</v>
      </c>
      <c r="Q1842">
        <f>NOT(hospitalityq!Q1842="")*(NOT(IFERROR(INT(hospitalityq!Q1842)=VALUE(hospitalityq!Q1842),FALSE)))</f>
        <v>0</v>
      </c>
      <c r="R1842">
        <f>NOT(hospitalityq!R1842="")*(NOT(IFERROR(ROUND(VALUE(hospitalityq!R1842),2)=VALUE(hospitalityq!R1842),FALSE)))</f>
        <v>0</v>
      </c>
    </row>
    <row r="1843" spans="1:18" x14ac:dyDescent="0.25">
      <c r="A1843">
        <f t="shared" si="28"/>
        <v>0</v>
      </c>
      <c r="C1843">
        <f>NOT(hospitalityq!C1843="")*(SUMPRODUCT(--(TRIM(hospitalityq!C6:C1843)=TRIM(hospitalityq!C1843)))&gt;1)</f>
        <v>0</v>
      </c>
      <c r="D1843">
        <f>NOT(hospitalityq!D1843="")*(COUNTIF(reference!$C$17:$C$18,TRIM(hospitalityq!D1843))=0)</f>
        <v>0</v>
      </c>
      <c r="J1843">
        <f>NOT(hospitalityq!J1843="")*(NOT(ISNUMBER(hospitalityq!J1843+0)))</f>
        <v>0</v>
      </c>
      <c r="K1843">
        <f>NOT(hospitalityq!K1843="")*(NOT(ISNUMBER(hospitalityq!K1843+0)))</f>
        <v>0</v>
      </c>
      <c r="P1843">
        <f>NOT(hospitalityq!P1843="")*(NOT(IFERROR(INT(hospitalityq!P1843)=VALUE(hospitalityq!P1843),FALSE)))</f>
        <v>0</v>
      </c>
      <c r="Q1843">
        <f>NOT(hospitalityq!Q1843="")*(NOT(IFERROR(INT(hospitalityq!Q1843)=VALUE(hospitalityq!Q1843),FALSE)))</f>
        <v>0</v>
      </c>
      <c r="R1843">
        <f>NOT(hospitalityq!R1843="")*(NOT(IFERROR(ROUND(VALUE(hospitalityq!R1843),2)=VALUE(hospitalityq!R1843),FALSE)))</f>
        <v>0</v>
      </c>
    </row>
    <row r="1844" spans="1:18" x14ac:dyDescent="0.25">
      <c r="A1844">
        <f t="shared" si="28"/>
        <v>0</v>
      </c>
      <c r="C1844">
        <f>NOT(hospitalityq!C1844="")*(SUMPRODUCT(--(TRIM(hospitalityq!C6:C1844)=TRIM(hospitalityq!C1844)))&gt;1)</f>
        <v>0</v>
      </c>
      <c r="D1844">
        <f>NOT(hospitalityq!D1844="")*(COUNTIF(reference!$C$17:$C$18,TRIM(hospitalityq!D1844))=0)</f>
        <v>0</v>
      </c>
      <c r="J1844">
        <f>NOT(hospitalityq!J1844="")*(NOT(ISNUMBER(hospitalityq!J1844+0)))</f>
        <v>0</v>
      </c>
      <c r="K1844">
        <f>NOT(hospitalityq!K1844="")*(NOT(ISNUMBER(hospitalityq!K1844+0)))</f>
        <v>0</v>
      </c>
      <c r="P1844">
        <f>NOT(hospitalityq!P1844="")*(NOT(IFERROR(INT(hospitalityq!P1844)=VALUE(hospitalityq!P1844),FALSE)))</f>
        <v>0</v>
      </c>
      <c r="Q1844">
        <f>NOT(hospitalityq!Q1844="")*(NOT(IFERROR(INT(hospitalityq!Q1844)=VALUE(hospitalityq!Q1844),FALSE)))</f>
        <v>0</v>
      </c>
      <c r="R1844">
        <f>NOT(hospitalityq!R1844="")*(NOT(IFERROR(ROUND(VALUE(hospitalityq!R1844),2)=VALUE(hospitalityq!R1844),FALSE)))</f>
        <v>0</v>
      </c>
    </row>
    <row r="1845" spans="1:18" x14ac:dyDescent="0.25">
      <c r="A1845">
        <f t="shared" si="28"/>
        <v>0</v>
      </c>
      <c r="C1845">
        <f>NOT(hospitalityq!C1845="")*(SUMPRODUCT(--(TRIM(hospitalityq!C6:C1845)=TRIM(hospitalityq!C1845)))&gt;1)</f>
        <v>0</v>
      </c>
      <c r="D1845">
        <f>NOT(hospitalityq!D1845="")*(COUNTIF(reference!$C$17:$C$18,TRIM(hospitalityq!D1845))=0)</f>
        <v>0</v>
      </c>
      <c r="J1845">
        <f>NOT(hospitalityq!J1845="")*(NOT(ISNUMBER(hospitalityq!J1845+0)))</f>
        <v>0</v>
      </c>
      <c r="K1845">
        <f>NOT(hospitalityq!K1845="")*(NOT(ISNUMBER(hospitalityq!K1845+0)))</f>
        <v>0</v>
      </c>
      <c r="P1845">
        <f>NOT(hospitalityq!P1845="")*(NOT(IFERROR(INT(hospitalityq!P1845)=VALUE(hospitalityq!P1845),FALSE)))</f>
        <v>0</v>
      </c>
      <c r="Q1845">
        <f>NOT(hospitalityq!Q1845="")*(NOT(IFERROR(INT(hospitalityq!Q1845)=VALUE(hospitalityq!Q1845),FALSE)))</f>
        <v>0</v>
      </c>
      <c r="R1845">
        <f>NOT(hospitalityq!R1845="")*(NOT(IFERROR(ROUND(VALUE(hospitalityq!R1845),2)=VALUE(hospitalityq!R1845),FALSE)))</f>
        <v>0</v>
      </c>
    </row>
    <row r="1846" spans="1:18" x14ac:dyDescent="0.25">
      <c r="A1846">
        <f t="shared" si="28"/>
        <v>0</v>
      </c>
      <c r="C1846">
        <f>NOT(hospitalityq!C1846="")*(SUMPRODUCT(--(TRIM(hospitalityq!C6:C1846)=TRIM(hospitalityq!C1846)))&gt;1)</f>
        <v>0</v>
      </c>
      <c r="D1846">
        <f>NOT(hospitalityq!D1846="")*(COUNTIF(reference!$C$17:$C$18,TRIM(hospitalityq!D1846))=0)</f>
        <v>0</v>
      </c>
      <c r="J1846">
        <f>NOT(hospitalityq!J1846="")*(NOT(ISNUMBER(hospitalityq!J1846+0)))</f>
        <v>0</v>
      </c>
      <c r="K1846">
        <f>NOT(hospitalityq!K1846="")*(NOT(ISNUMBER(hospitalityq!K1846+0)))</f>
        <v>0</v>
      </c>
      <c r="P1846">
        <f>NOT(hospitalityq!P1846="")*(NOT(IFERROR(INT(hospitalityq!P1846)=VALUE(hospitalityq!P1846),FALSE)))</f>
        <v>0</v>
      </c>
      <c r="Q1846">
        <f>NOT(hospitalityq!Q1846="")*(NOT(IFERROR(INT(hospitalityq!Q1846)=VALUE(hospitalityq!Q1846),FALSE)))</f>
        <v>0</v>
      </c>
      <c r="R1846">
        <f>NOT(hospitalityq!R1846="")*(NOT(IFERROR(ROUND(VALUE(hospitalityq!R1846),2)=VALUE(hospitalityq!R1846),FALSE)))</f>
        <v>0</v>
      </c>
    </row>
    <row r="1847" spans="1:18" x14ac:dyDescent="0.25">
      <c r="A1847">
        <f t="shared" si="28"/>
        <v>0</v>
      </c>
      <c r="C1847">
        <f>NOT(hospitalityq!C1847="")*(SUMPRODUCT(--(TRIM(hospitalityq!C6:C1847)=TRIM(hospitalityq!C1847)))&gt;1)</f>
        <v>0</v>
      </c>
      <c r="D1847">
        <f>NOT(hospitalityq!D1847="")*(COUNTIF(reference!$C$17:$C$18,TRIM(hospitalityq!D1847))=0)</f>
        <v>0</v>
      </c>
      <c r="J1847">
        <f>NOT(hospitalityq!J1847="")*(NOT(ISNUMBER(hospitalityq!J1847+0)))</f>
        <v>0</v>
      </c>
      <c r="K1847">
        <f>NOT(hospitalityq!K1847="")*(NOT(ISNUMBER(hospitalityq!K1847+0)))</f>
        <v>0</v>
      </c>
      <c r="P1847">
        <f>NOT(hospitalityq!P1847="")*(NOT(IFERROR(INT(hospitalityq!P1847)=VALUE(hospitalityq!P1847),FALSE)))</f>
        <v>0</v>
      </c>
      <c r="Q1847">
        <f>NOT(hospitalityq!Q1847="")*(NOT(IFERROR(INT(hospitalityq!Q1847)=VALUE(hospitalityq!Q1847),FALSE)))</f>
        <v>0</v>
      </c>
      <c r="R1847">
        <f>NOT(hospitalityq!R1847="")*(NOT(IFERROR(ROUND(VALUE(hospitalityq!R1847),2)=VALUE(hospitalityq!R1847),FALSE)))</f>
        <v>0</v>
      </c>
    </row>
    <row r="1848" spans="1:18" x14ac:dyDescent="0.25">
      <c r="A1848">
        <f t="shared" si="28"/>
        <v>0</v>
      </c>
      <c r="C1848">
        <f>NOT(hospitalityq!C1848="")*(SUMPRODUCT(--(TRIM(hospitalityq!C6:C1848)=TRIM(hospitalityq!C1848)))&gt;1)</f>
        <v>0</v>
      </c>
      <c r="D1848">
        <f>NOT(hospitalityq!D1848="")*(COUNTIF(reference!$C$17:$C$18,TRIM(hospitalityq!D1848))=0)</f>
        <v>0</v>
      </c>
      <c r="J1848">
        <f>NOT(hospitalityq!J1848="")*(NOT(ISNUMBER(hospitalityq!J1848+0)))</f>
        <v>0</v>
      </c>
      <c r="K1848">
        <f>NOT(hospitalityq!K1848="")*(NOT(ISNUMBER(hospitalityq!K1848+0)))</f>
        <v>0</v>
      </c>
      <c r="P1848">
        <f>NOT(hospitalityq!P1848="")*(NOT(IFERROR(INT(hospitalityq!P1848)=VALUE(hospitalityq!P1848),FALSE)))</f>
        <v>0</v>
      </c>
      <c r="Q1848">
        <f>NOT(hospitalityq!Q1848="")*(NOT(IFERROR(INT(hospitalityq!Q1848)=VALUE(hospitalityq!Q1848),FALSE)))</f>
        <v>0</v>
      </c>
      <c r="R1848">
        <f>NOT(hospitalityq!R1848="")*(NOT(IFERROR(ROUND(VALUE(hospitalityq!R1848),2)=VALUE(hospitalityq!R1848),FALSE)))</f>
        <v>0</v>
      </c>
    </row>
    <row r="1849" spans="1:18" x14ac:dyDescent="0.25">
      <c r="A1849">
        <f t="shared" si="28"/>
        <v>0</v>
      </c>
      <c r="C1849">
        <f>NOT(hospitalityq!C1849="")*(SUMPRODUCT(--(TRIM(hospitalityq!C6:C1849)=TRIM(hospitalityq!C1849)))&gt;1)</f>
        <v>0</v>
      </c>
      <c r="D1849">
        <f>NOT(hospitalityq!D1849="")*(COUNTIF(reference!$C$17:$C$18,TRIM(hospitalityq!D1849))=0)</f>
        <v>0</v>
      </c>
      <c r="J1849">
        <f>NOT(hospitalityq!J1849="")*(NOT(ISNUMBER(hospitalityq!J1849+0)))</f>
        <v>0</v>
      </c>
      <c r="K1849">
        <f>NOT(hospitalityq!K1849="")*(NOT(ISNUMBER(hospitalityq!K1849+0)))</f>
        <v>0</v>
      </c>
      <c r="P1849">
        <f>NOT(hospitalityq!P1849="")*(NOT(IFERROR(INT(hospitalityq!P1849)=VALUE(hospitalityq!P1849),FALSE)))</f>
        <v>0</v>
      </c>
      <c r="Q1849">
        <f>NOT(hospitalityq!Q1849="")*(NOT(IFERROR(INT(hospitalityq!Q1849)=VALUE(hospitalityq!Q1849),FALSE)))</f>
        <v>0</v>
      </c>
      <c r="R1849">
        <f>NOT(hospitalityq!R1849="")*(NOT(IFERROR(ROUND(VALUE(hospitalityq!R1849),2)=VALUE(hospitalityq!R1849),FALSE)))</f>
        <v>0</v>
      </c>
    </row>
    <row r="1850" spans="1:18" x14ac:dyDescent="0.25">
      <c r="A1850">
        <f t="shared" si="28"/>
        <v>0</v>
      </c>
      <c r="C1850">
        <f>NOT(hospitalityq!C1850="")*(SUMPRODUCT(--(TRIM(hospitalityq!C6:C1850)=TRIM(hospitalityq!C1850)))&gt;1)</f>
        <v>0</v>
      </c>
      <c r="D1850">
        <f>NOT(hospitalityq!D1850="")*(COUNTIF(reference!$C$17:$C$18,TRIM(hospitalityq!D1850))=0)</f>
        <v>0</v>
      </c>
      <c r="J1850">
        <f>NOT(hospitalityq!J1850="")*(NOT(ISNUMBER(hospitalityq!J1850+0)))</f>
        <v>0</v>
      </c>
      <c r="K1850">
        <f>NOT(hospitalityq!K1850="")*(NOT(ISNUMBER(hospitalityq!K1850+0)))</f>
        <v>0</v>
      </c>
      <c r="P1850">
        <f>NOT(hospitalityq!P1850="")*(NOT(IFERROR(INT(hospitalityq!P1850)=VALUE(hospitalityq!P1850),FALSE)))</f>
        <v>0</v>
      </c>
      <c r="Q1850">
        <f>NOT(hospitalityq!Q1850="")*(NOT(IFERROR(INT(hospitalityq!Q1850)=VALUE(hospitalityq!Q1850),FALSE)))</f>
        <v>0</v>
      </c>
      <c r="R1850">
        <f>NOT(hospitalityq!R1850="")*(NOT(IFERROR(ROUND(VALUE(hospitalityq!R1850),2)=VALUE(hospitalityq!R1850),FALSE)))</f>
        <v>0</v>
      </c>
    </row>
    <row r="1851" spans="1:18" x14ac:dyDescent="0.25">
      <c r="A1851">
        <f t="shared" si="28"/>
        <v>0</v>
      </c>
      <c r="C1851">
        <f>NOT(hospitalityq!C1851="")*(SUMPRODUCT(--(TRIM(hospitalityq!C6:C1851)=TRIM(hospitalityq!C1851)))&gt;1)</f>
        <v>0</v>
      </c>
      <c r="D1851">
        <f>NOT(hospitalityq!D1851="")*(COUNTIF(reference!$C$17:$C$18,TRIM(hospitalityq!D1851))=0)</f>
        <v>0</v>
      </c>
      <c r="J1851">
        <f>NOT(hospitalityq!J1851="")*(NOT(ISNUMBER(hospitalityq!J1851+0)))</f>
        <v>0</v>
      </c>
      <c r="K1851">
        <f>NOT(hospitalityq!K1851="")*(NOT(ISNUMBER(hospitalityq!K1851+0)))</f>
        <v>0</v>
      </c>
      <c r="P1851">
        <f>NOT(hospitalityq!P1851="")*(NOT(IFERROR(INT(hospitalityq!P1851)=VALUE(hospitalityq!P1851),FALSE)))</f>
        <v>0</v>
      </c>
      <c r="Q1851">
        <f>NOT(hospitalityq!Q1851="")*(NOT(IFERROR(INT(hospitalityq!Q1851)=VALUE(hospitalityq!Q1851),FALSE)))</f>
        <v>0</v>
      </c>
      <c r="R1851">
        <f>NOT(hospitalityq!R1851="")*(NOT(IFERROR(ROUND(VALUE(hospitalityq!R1851),2)=VALUE(hospitalityq!R1851),FALSE)))</f>
        <v>0</v>
      </c>
    </row>
    <row r="1852" spans="1:18" x14ac:dyDescent="0.25">
      <c r="A1852">
        <f t="shared" si="28"/>
        <v>0</v>
      </c>
      <c r="C1852">
        <f>NOT(hospitalityq!C1852="")*(SUMPRODUCT(--(TRIM(hospitalityq!C6:C1852)=TRIM(hospitalityq!C1852)))&gt;1)</f>
        <v>0</v>
      </c>
      <c r="D1852">
        <f>NOT(hospitalityq!D1852="")*(COUNTIF(reference!$C$17:$C$18,TRIM(hospitalityq!D1852))=0)</f>
        <v>0</v>
      </c>
      <c r="J1852">
        <f>NOT(hospitalityq!J1852="")*(NOT(ISNUMBER(hospitalityq!J1852+0)))</f>
        <v>0</v>
      </c>
      <c r="K1852">
        <f>NOT(hospitalityq!K1852="")*(NOT(ISNUMBER(hospitalityq!K1852+0)))</f>
        <v>0</v>
      </c>
      <c r="P1852">
        <f>NOT(hospitalityq!P1852="")*(NOT(IFERROR(INT(hospitalityq!P1852)=VALUE(hospitalityq!P1852),FALSE)))</f>
        <v>0</v>
      </c>
      <c r="Q1852">
        <f>NOT(hospitalityq!Q1852="")*(NOT(IFERROR(INT(hospitalityq!Q1852)=VALUE(hospitalityq!Q1852),FALSE)))</f>
        <v>0</v>
      </c>
      <c r="R1852">
        <f>NOT(hospitalityq!R1852="")*(NOT(IFERROR(ROUND(VALUE(hospitalityq!R1852),2)=VALUE(hospitalityq!R1852),FALSE)))</f>
        <v>0</v>
      </c>
    </row>
    <row r="1853" spans="1:18" x14ac:dyDescent="0.25">
      <c r="A1853">
        <f t="shared" si="28"/>
        <v>0</v>
      </c>
      <c r="C1853">
        <f>NOT(hospitalityq!C1853="")*(SUMPRODUCT(--(TRIM(hospitalityq!C6:C1853)=TRIM(hospitalityq!C1853)))&gt;1)</f>
        <v>0</v>
      </c>
      <c r="D1853">
        <f>NOT(hospitalityq!D1853="")*(COUNTIF(reference!$C$17:$C$18,TRIM(hospitalityq!D1853))=0)</f>
        <v>0</v>
      </c>
      <c r="J1853">
        <f>NOT(hospitalityq!J1853="")*(NOT(ISNUMBER(hospitalityq!J1853+0)))</f>
        <v>0</v>
      </c>
      <c r="K1853">
        <f>NOT(hospitalityq!K1853="")*(NOT(ISNUMBER(hospitalityq!K1853+0)))</f>
        <v>0</v>
      </c>
      <c r="P1853">
        <f>NOT(hospitalityq!P1853="")*(NOT(IFERROR(INT(hospitalityq!P1853)=VALUE(hospitalityq!P1853),FALSE)))</f>
        <v>0</v>
      </c>
      <c r="Q1853">
        <f>NOT(hospitalityq!Q1853="")*(NOT(IFERROR(INT(hospitalityq!Q1853)=VALUE(hospitalityq!Q1853),FALSE)))</f>
        <v>0</v>
      </c>
      <c r="R1853">
        <f>NOT(hospitalityq!R1853="")*(NOT(IFERROR(ROUND(VALUE(hospitalityq!R1853),2)=VALUE(hospitalityq!R1853),FALSE)))</f>
        <v>0</v>
      </c>
    </row>
    <row r="1854" spans="1:18" x14ac:dyDescent="0.25">
      <c r="A1854">
        <f t="shared" si="28"/>
        <v>0</v>
      </c>
      <c r="C1854">
        <f>NOT(hospitalityq!C1854="")*(SUMPRODUCT(--(TRIM(hospitalityq!C6:C1854)=TRIM(hospitalityq!C1854)))&gt;1)</f>
        <v>0</v>
      </c>
      <c r="D1854">
        <f>NOT(hospitalityq!D1854="")*(COUNTIF(reference!$C$17:$C$18,TRIM(hospitalityq!D1854))=0)</f>
        <v>0</v>
      </c>
      <c r="J1854">
        <f>NOT(hospitalityq!J1854="")*(NOT(ISNUMBER(hospitalityq!J1854+0)))</f>
        <v>0</v>
      </c>
      <c r="K1854">
        <f>NOT(hospitalityq!K1854="")*(NOT(ISNUMBER(hospitalityq!K1854+0)))</f>
        <v>0</v>
      </c>
      <c r="P1854">
        <f>NOT(hospitalityq!P1854="")*(NOT(IFERROR(INT(hospitalityq!P1854)=VALUE(hospitalityq!P1854),FALSE)))</f>
        <v>0</v>
      </c>
      <c r="Q1854">
        <f>NOT(hospitalityq!Q1854="")*(NOT(IFERROR(INT(hospitalityq!Q1854)=VALUE(hospitalityq!Q1854),FALSE)))</f>
        <v>0</v>
      </c>
      <c r="R1854">
        <f>NOT(hospitalityq!R1854="")*(NOT(IFERROR(ROUND(VALUE(hospitalityq!R1854),2)=VALUE(hospitalityq!R1854),FALSE)))</f>
        <v>0</v>
      </c>
    </row>
    <row r="1855" spans="1:18" x14ac:dyDescent="0.25">
      <c r="A1855">
        <f t="shared" si="28"/>
        <v>0</v>
      </c>
      <c r="C1855">
        <f>NOT(hospitalityq!C1855="")*(SUMPRODUCT(--(TRIM(hospitalityq!C6:C1855)=TRIM(hospitalityq!C1855)))&gt;1)</f>
        <v>0</v>
      </c>
      <c r="D1855">
        <f>NOT(hospitalityq!D1855="")*(COUNTIF(reference!$C$17:$C$18,TRIM(hospitalityq!D1855))=0)</f>
        <v>0</v>
      </c>
      <c r="J1855">
        <f>NOT(hospitalityq!J1855="")*(NOT(ISNUMBER(hospitalityq!J1855+0)))</f>
        <v>0</v>
      </c>
      <c r="K1855">
        <f>NOT(hospitalityq!K1855="")*(NOT(ISNUMBER(hospitalityq!K1855+0)))</f>
        <v>0</v>
      </c>
      <c r="P1855">
        <f>NOT(hospitalityq!P1855="")*(NOT(IFERROR(INT(hospitalityq!P1855)=VALUE(hospitalityq!P1855),FALSE)))</f>
        <v>0</v>
      </c>
      <c r="Q1855">
        <f>NOT(hospitalityq!Q1855="")*(NOT(IFERROR(INT(hospitalityq!Q1855)=VALUE(hospitalityq!Q1855),FALSE)))</f>
        <v>0</v>
      </c>
      <c r="R1855">
        <f>NOT(hospitalityq!R1855="")*(NOT(IFERROR(ROUND(VALUE(hospitalityq!R1855),2)=VALUE(hospitalityq!R1855),FALSE)))</f>
        <v>0</v>
      </c>
    </row>
    <row r="1856" spans="1:18" x14ac:dyDescent="0.25">
      <c r="A1856">
        <f t="shared" si="28"/>
        <v>0</v>
      </c>
      <c r="C1856">
        <f>NOT(hospitalityq!C1856="")*(SUMPRODUCT(--(TRIM(hospitalityq!C6:C1856)=TRIM(hospitalityq!C1856)))&gt;1)</f>
        <v>0</v>
      </c>
      <c r="D1856">
        <f>NOT(hospitalityq!D1856="")*(COUNTIF(reference!$C$17:$C$18,TRIM(hospitalityq!D1856))=0)</f>
        <v>0</v>
      </c>
      <c r="J1856">
        <f>NOT(hospitalityq!J1856="")*(NOT(ISNUMBER(hospitalityq!J1856+0)))</f>
        <v>0</v>
      </c>
      <c r="K1856">
        <f>NOT(hospitalityq!K1856="")*(NOT(ISNUMBER(hospitalityq!K1856+0)))</f>
        <v>0</v>
      </c>
      <c r="P1856">
        <f>NOT(hospitalityq!P1856="")*(NOT(IFERROR(INT(hospitalityq!P1856)=VALUE(hospitalityq!P1856),FALSE)))</f>
        <v>0</v>
      </c>
      <c r="Q1856">
        <f>NOT(hospitalityq!Q1856="")*(NOT(IFERROR(INT(hospitalityq!Q1856)=VALUE(hospitalityq!Q1856),FALSE)))</f>
        <v>0</v>
      </c>
      <c r="R1856">
        <f>NOT(hospitalityq!R1856="")*(NOT(IFERROR(ROUND(VALUE(hospitalityq!R1856),2)=VALUE(hospitalityq!R1856),FALSE)))</f>
        <v>0</v>
      </c>
    </row>
    <row r="1857" spans="1:18" x14ac:dyDescent="0.25">
      <c r="A1857">
        <f t="shared" si="28"/>
        <v>0</v>
      </c>
      <c r="C1857">
        <f>NOT(hospitalityq!C1857="")*(SUMPRODUCT(--(TRIM(hospitalityq!C6:C1857)=TRIM(hospitalityq!C1857)))&gt;1)</f>
        <v>0</v>
      </c>
      <c r="D1857">
        <f>NOT(hospitalityq!D1857="")*(COUNTIF(reference!$C$17:$C$18,TRIM(hospitalityq!D1857))=0)</f>
        <v>0</v>
      </c>
      <c r="J1857">
        <f>NOT(hospitalityq!J1857="")*(NOT(ISNUMBER(hospitalityq!J1857+0)))</f>
        <v>0</v>
      </c>
      <c r="K1857">
        <f>NOT(hospitalityq!K1857="")*(NOT(ISNUMBER(hospitalityq!K1857+0)))</f>
        <v>0</v>
      </c>
      <c r="P1857">
        <f>NOT(hospitalityq!P1857="")*(NOT(IFERROR(INT(hospitalityq!P1857)=VALUE(hospitalityq!P1857),FALSE)))</f>
        <v>0</v>
      </c>
      <c r="Q1857">
        <f>NOT(hospitalityq!Q1857="")*(NOT(IFERROR(INT(hospitalityq!Q1857)=VALUE(hospitalityq!Q1857),FALSE)))</f>
        <v>0</v>
      </c>
      <c r="R1857">
        <f>NOT(hospitalityq!R1857="")*(NOT(IFERROR(ROUND(VALUE(hospitalityq!R1857),2)=VALUE(hospitalityq!R1857),FALSE)))</f>
        <v>0</v>
      </c>
    </row>
    <row r="1858" spans="1:18" x14ac:dyDescent="0.25">
      <c r="A1858">
        <f t="shared" si="28"/>
        <v>0</v>
      </c>
      <c r="C1858">
        <f>NOT(hospitalityq!C1858="")*(SUMPRODUCT(--(TRIM(hospitalityq!C6:C1858)=TRIM(hospitalityq!C1858)))&gt;1)</f>
        <v>0</v>
      </c>
      <c r="D1858">
        <f>NOT(hospitalityq!D1858="")*(COUNTIF(reference!$C$17:$C$18,TRIM(hospitalityq!D1858))=0)</f>
        <v>0</v>
      </c>
      <c r="J1858">
        <f>NOT(hospitalityq!J1858="")*(NOT(ISNUMBER(hospitalityq!J1858+0)))</f>
        <v>0</v>
      </c>
      <c r="K1858">
        <f>NOT(hospitalityq!K1858="")*(NOT(ISNUMBER(hospitalityq!K1858+0)))</f>
        <v>0</v>
      </c>
      <c r="P1858">
        <f>NOT(hospitalityq!P1858="")*(NOT(IFERROR(INT(hospitalityq!P1858)=VALUE(hospitalityq!P1858),FALSE)))</f>
        <v>0</v>
      </c>
      <c r="Q1858">
        <f>NOT(hospitalityq!Q1858="")*(NOT(IFERROR(INT(hospitalityq!Q1858)=VALUE(hospitalityq!Q1858),FALSE)))</f>
        <v>0</v>
      </c>
      <c r="R1858">
        <f>NOT(hospitalityq!R1858="")*(NOT(IFERROR(ROUND(VALUE(hospitalityq!R1858),2)=VALUE(hospitalityq!R1858),FALSE)))</f>
        <v>0</v>
      </c>
    </row>
    <row r="1859" spans="1:18" x14ac:dyDescent="0.25">
      <c r="A1859">
        <f t="shared" si="28"/>
        <v>0</v>
      </c>
      <c r="C1859">
        <f>NOT(hospitalityq!C1859="")*(SUMPRODUCT(--(TRIM(hospitalityq!C6:C1859)=TRIM(hospitalityq!C1859)))&gt;1)</f>
        <v>0</v>
      </c>
      <c r="D1859">
        <f>NOT(hospitalityq!D1859="")*(COUNTIF(reference!$C$17:$C$18,TRIM(hospitalityq!D1859))=0)</f>
        <v>0</v>
      </c>
      <c r="J1859">
        <f>NOT(hospitalityq!J1859="")*(NOT(ISNUMBER(hospitalityq!J1859+0)))</f>
        <v>0</v>
      </c>
      <c r="K1859">
        <f>NOT(hospitalityq!K1859="")*(NOT(ISNUMBER(hospitalityq!K1859+0)))</f>
        <v>0</v>
      </c>
      <c r="P1859">
        <f>NOT(hospitalityq!P1859="")*(NOT(IFERROR(INT(hospitalityq!P1859)=VALUE(hospitalityq!P1859),FALSE)))</f>
        <v>0</v>
      </c>
      <c r="Q1859">
        <f>NOT(hospitalityq!Q1859="")*(NOT(IFERROR(INT(hospitalityq!Q1859)=VALUE(hospitalityq!Q1859),FALSE)))</f>
        <v>0</v>
      </c>
      <c r="R1859">
        <f>NOT(hospitalityq!R1859="")*(NOT(IFERROR(ROUND(VALUE(hospitalityq!R1859),2)=VALUE(hospitalityq!R1859),FALSE)))</f>
        <v>0</v>
      </c>
    </row>
    <row r="1860" spans="1:18" x14ac:dyDescent="0.25">
      <c r="A1860">
        <f t="shared" si="28"/>
        <v>0</v>
      </c>
      <c r="C1860">
        <f>NOT(hospitalityq!C1860="")*(SUMPRODUCT(--(TRIM(hospitalityq!C6:C1860)=TRIM(hospitalityq!C1860)))&gt;1)</f>
        <v>0</v>
      </c>
      <c r="D1860">
        <f>NOT(hospitalityq!D1860="")*(COUNTIF(reference!$C$17:$C$18,TRIM(hospitalityq!D1860))=0)</f>
        <v>0</v>
      </c>
      <c r="J1860">
        <f>NOT(hospitalityq!J1860="")*(NOT(ISNUMBER(hospitalityq!J1860+0)))</f>
        <v>0</v>
      </c>
      <c r="K1860">
        <f>NOT(hospitalityq!K1860="")*(NOT(ISNUMBER(hospitalityq!K1860+0)))</f>
        <v>0</v>
      </c>
      <c r="P1860">
        <f>NOT(hospitalityq!P1860="")*(NOT(IFERROR(INT(hospitalityq!P1860)=VALUE(hospitalityq!P1860),FALSE)))</f>
        <v>0</v>
      </c>
      <c r="Q1860">
        <f>NOT(hospitalityq!Q1860="")*(NOT(IFERROR(INT(hospitalityq!Q1860)=VALUE(hospitalityq!Q1860),FALSE)))</f>
        <v>0</v>
      </c>
      <c r="R1860">
        <f>NOT(hospitalityq!R1860="")*(NOT(IFERROR(ROUND(VALUE(hospitalityq!R1860),2)=VALUE(hospitalityq!R1860),FALSE)))</f>
        <v>0</v>
      </c>
    </row>
    <row r="1861" spans="1:18" x14ac:dyDescent="0.25">
      <c r="A1861">
        <f t="shared" si="28"/>
        <v>0</v>
      </c>
      <c r="C1861">
        <f>NOT(hospitalityq!C1861="")*(SUMPRODUCT(--(TRIM(hospitalityq!C6:C1861)=TRIM(hospitalityq!C1861)))&gt;1)</f>
        <v>0</v>
      </c>
      <c r="D1861">
        <f>NOT(hospitalityq!D1861="")*(COUNTIF(reference!$C$17:$C$18,TRIM(hospitalityq!D1861))=0)</f>
        <v>0</v>
      </c>
      <c r="J1861">
        <f>NOT(hospitalityq!J1861="")*(NOT(ISNUMBER(hospitalityq!J1861+0)))</f>
        <v>0</v>
      </c>
      <c r="K1861">
        <f>NOT(hospitalityq!K1861="")*(NOT(ISNUMBER(hospitalityq!K1861+0)))</f>
        <v>0</v>
      </c>
      <c r="P1861">
        <f>NOT(hospitalityq!P1861="")*(NOT(IFERROR(INT(hospitalityq!P1861)=VALUE(hospitalityq!P1861),FALSE)))</f>
        <v>0</v>
      </c>
      <c r="Q1861">
        <f>NOT(hospitalityq!Q1861="")*(NOT(IFERROR(INT(hospitalityq!Q1861)=VALUE(hospitalityq!Q1861),FALSE)))</f>
        <v>0</v>
      </c>
      <c r="R1861">
        <f>NOT(hospitalityq!R1861="")*(NOT(IFERROR(ROUND(VALUE(hospitalityq!R1861),2)=VALUE(hospitalityq!R1861),FALSE)))</f>
        <v>0</v>
      </c>
    </row>
    <row r="1862" spans="1:18" x14ac:dyDescent="0.25">
      <c r="A1862">
        <f t="shared" ref="A1862:A1925" si="29">IFERROR(MATCH(TRUE,INDEX(C1862:R1862&lt;&gt;0,),)+2,0)</f>
        <v>0</v>
      </c>
      <c r="C1862">
        <f>NOT(hospitalityq!C1862="")*(SUMPRODUCT(--(TRIM(hospitalityq!C6:C1862)=TRIM(hospitalityq!C1862)))&gt;1)</f>
        <v>0</v>
      </c>
      <c r="D1862">
        <f>NOT(hospitalityq!D1862="")*(COUNTIF(reference!$C$17:$C$18,TRIM(hospitalityq!D1862))=0)</f>
        <v>0</v>
      </c>
      <c r="J1862">
        <f>NOT(hospitalityq!J1862="")*(NOT(ISNUMBER(hospitalityq!J1862+0)))</f>
        <v>0</v>
      </c>
      <c r="K1862">
        <f>NOT(hospitalityq!K1862="")*(NOT(ISNUMBER(hospitalityq!K1862+0)))</f>
        <v>0</v>
      </c>
      <c r="P1862">
        <f>NOT(hospitalityq!P1862="")*(NOT(IFERROR(INT(hospitalityq!P1862)=VALUE(hospitalityq!P1862),FALSE)))</f>
        <v>0</v>
      </c>
      <c r="Q1862">
        <f>NOT(hospitalityq!Q1862="")*(NOT(IFERROR(INT(hospitalityq!Q1862)=VALUE(hospitalityq!Q1862),FALSE)))</f>
        <v>0</v>
      </c>
      <c r="R1862">
        <f>NOT(hospitalityq!R1862="")*(NOT(IFERROR(ROUND(VALUE(hospitalityq!R1862),2)=VALUE(hospitalityq!R1862),FALSE)))</f>
        <v>0</v>
      </c>
    </row>
    <row r="1863" spans="1:18" x14ac:dyDescent="0.25">
      <c r="A1863">
        <f t="shared" si="29"/>
        <v>0</v>
      </c>
      <c r="C1863">
        <f>NOT(hospitalityq!C1863="")*(SUMPRODUCT(--(TRIM(hospitalityq!C6:C1863)=TRIM(hospitalityq!C1863)))&gt;1)</f>
        <v>0</v>
      </c>
      <c r="D1863">
        <f>NOT(hospitalityq!D1863="")*(COUNTIF(reference!$C$17:$C$18,TRIM(hospitalityq!D1863))=0)</f>
        <v>0</v>
      </c>
      <c r="J1863">
        <f>NOT(hospitalityq!J1863="")*(NOT(ISNUMBER(hospitalityq!J1863+0)))</f>
        <v>0</v>
      </c>
      <c r="K1863">
        <f>NOT(hospitalityq!K1863="")*(NOT(ISNUMBER(hospitalityq!K1863+0)))</f>
        <v>0</v>
      </c>
      <c r="P1863">
        <f>NOT(hospitalityq!P1863="")*(NOT(IFERROR(INT(hospitalityq!P1863)=VALUE(hospitalityq!P1863),FALSE)))</f>
        <v>0</v>
      </c>
      <c r="Q1863">
        <f>NOT(hospitalityq!Q1863="")*(NOT(IFERROR(INT(hospitalityq!Q1863)=VALUE(hospitalityq!Q1863),FALSE)))</f>
        <v>0</v>
      </c>
      <c r="R1863">
        <f>NOT(hospitalityq!R1863="")*(NOT(IFERROR(ROUND(VALUE(hospitalityq!R1863),2)=VALUE(hospitalityq!R1863),FALSE)))</f>
        <v>0</v>
      </c>
    </row>
    <row r="1864" spans="1:18" x14ac:dyDescent="0.25">
      <c r="A1864">
        <f t="shared" si="29"/>
        <v>0</v>
      </c>
      <c r="C1864">
        <f>NOT(hospitalityq!C1864="")*(SUMPRODUCT(--(TRIM(hospitalityq!C6:C1864)=TRIM(hospitalityq!C1864)))&gt;1)</f>
        <v>0</v>
      </c>
      <c r="D1864">
        <f>NOT(hospitalityq!D1864="")*(COUNTIF(reference!$C$17:$C$18,TRIM(hospitalityq!D1864))=0)</f>
        <v>0</v>
      </c>
      <c r="J1864">
        <f>NOT(hospitalityq!J1864="")*(NOT(ISNUMBER(hospitalityq!J1864+0)))</f>
        <v>0</v>
      </c>
      <c r="K1864">
        <f>NOT(hospitalityq!K1864="")*(NOT(ISNUMBER(hospitalityq!K1864+0)))</f>
        <v>0</v>
      </c>
      <c r="P1864">
        <f>NOT(hospitalityq!P1864="")*(NOT(IFERROR(INT(hospitalityq!P1864)=VALUE(hospitalityq!P1864),FALSE)))</f>
        <v>0</v>
      </c>
      <c r="Q1864">
        <f>NOT(hospitalityq!Q1864="")*(NOT(IFERROR(INT(hospitalityq!Q1864)=VALUE(hospitalityq!Q1864),FALSE)))</f>
        <v>0</v>
      </c>
      <c r="R1864">
        <f>NOT(hospitalityq!R1864="")*(NOT(IFERROR(ROUND(VALUE(hospitalityq!R1864),2)=VALUE(hospitalityq!R1864),FALSE)))</f>
        <v>0</v>
      </c>
    </row>
    <row r="1865" spans="1:18" x14ac:dyDescent="0.25">
      <c r="A1865">
        <f t="shared" si="29"/>
        <v>0</v>
      </c>
      <c r="C1865">
        <f>NOT(hospitalityq!C1865="")*(SUMPRODUCT(--(TRIM(hospitalityq!C6:C1865)=TRIM(hospitalityq!C1865)))&gt;1)</f>
        <v>0</v>
      </c>
      <c r="D1865">
        <f>NOT(hospitalityq!D1865="")*(COUNTIF(reference!$C$17:$C$18,TRIM(hospitalityq!D1865))=0)</f>
        <v>0</v>
      </c>
      <c r="J1865">
        <f>NOT(hospitalityq!J1865="")*(NOT(ISNUMBER(hospitalityq!J1865+0)))</f>
        <v>0</v>
      </c>
      <c r="K1865">
        <f>NOT(hospitalityq!K1865="")*(NOT(ISNUMBER(hospitalityq!K1865+0)))</f>
        <v>0</v>
      </c>
      <c r="P1865">
        <f>NOT(hospitalityq!P1865="")*(NOT(IFERROR(INT(hospitalityq!P1865)=VALUE(hospitalityq!P1865),FALSE)))</f>
        <v>0</v>
      </c>
      <c r="Q1865">
        <f>NOT(hospitalityq!Q1865="")*(NOT(IFERROR(INT(hospitalityq!Q1865)=VALUE(hospitalityq!Q1865),FALSE)))</f>
        <v>0</v>
      </c>
      <c r="R1865">
        <f>NOT(hospitalityq!R1865="")*(NOT(IFERROR(ROUND(VALUE(hospitalityq!R1865),2)=VALUE(hospitalityq!R1865),FALSE)))</f>
        <v>0</v>
      </c>
    </row>
    <row r="1866" spans="1:18" x14ac:dyDescent="0.25">
      <c r="A1866">
        <f t="shared" si="29"/>
        <v>0</v>
      </c>
      <c r="C1866">
        <f>NOT(hospitalityq!C1866="")*(SUMPRODUCT(--(TRIM(hospitalityq!C6:C1866)=TRIM(hospitalityq!C1866)))&gt;1)</f>
        <v>0</v>
      </c>
      <c r="D1866">
        <f>NOT(hospitalityq!D1866="")*(COUNTIF(reference!$C$17:$C$18,TRIM(hospitalityq!D1866))=0)</f>
        <v>0</v>
      </c>
      <c r="J1866">
        <f>NOT(hospitalityq!J1866="")*(NOT(ISNUMBER(hospitalityq!J1866+0)))</f>
        <v>0</v>
      </c>
      <c r="K1866">
        <f>NOT(hospitalityq!K1866="")*(NOT(ISNUMBER(hospitalityq!K1866+0)))</f>
        <v>0</v>
      </c>
      <c r="P1866">
        <f>NOT(hospitalityq!P1866="")*(NOT(IFERROR(INT(hospitalityq!P1866)=VALUE(hospitalityq!P1866),FALSE)))</f>
        <v>0</v>
      </c>
      <c r="Q1866">
        <f>NOT(hospitalityq!Q1866="")*(NOT(IFERROR(INT(hospitalityq!Q1866)=VALUE(hospitalityq!Q1866),FALSE)))</f>
        <v>0</v>
      </c>
      <c r="R1866">
        <f>NOT(hospitalityq!R1866="")*(NOT(IFERROR(ROUND(VALUE(hospitalityq!R1866),2)=VALUE(hospitalityq!R1866),FALSE)))</f>
        <v>0</v>
      </c>
    </row>
    <row r="1867" spans="1:18" x14ac:dyDescent="0.25">
      <c r="A1867">
        <f t="shared" si="29"/>
        <v>0</v>
      </c>
      <c r="C1867">
        <f>NOT(hospitalityq!C1867="")*(SUMPRODUCT(--(TRIM(hospitalityq!C6:C1867)=TRIM(hospitalityq!C1867)))&gt;1)</f>
        <v>0</v>
      </c>
      <c r="D1867">
        <f>NOT(hospitalityq!D1867="")*(COUNTIF(reference!$C$17:$C$18,TRIM(hospitalityq!D1867))=0)</f>
        <v>0</v>
      </c>
      <c r="J1867">
        <f>NOT(hospitalityq!J1867="")*(NOT(ISNUMBER(hospitalityq!J1867+0)))</f>
        <v>0</v>
      </c>
      <c r="K1867">
        <f>NOT(hospitalityq!K1867="")*(NOT(ISNUMBER(hospitalityq!K1867+0)))</f>
        <v>0</v>
      </c>
      <c r="P1867">
        <f>NOT(hospitalityq!P1867="")*(NOT(IFERROR(INT(hospitalityq!P1867)=VALUE(hospitalityq!P1867),FALSE)))</f>
        <v>0</v>
      </c>
      <c r="Q1867">
        <f>NOT(hospitalityq!Q1867="")*(NOT(IFERROR(INT(hospitalityq!Q1867)=VALUE(hospitalityq!Q1867),FALSE)))</f>
        <v>0</v>
      </c>
      <c r="R1867">
        <f>NOT(hospitalityq!R1867="")*(NOT(IFERROR(ROUND(VALUE(hospitalityq!R1867),2)=VALUE(hospitalityq!R1867),FALSE)))</f>
        <v>0</v>
      </c>
    </row>
    <row r="1868" spans="1:18" x14ac:dyDescent="0.25">
      <c r="A1868">
        <f t="shared" si="29"/>
        <v>0</v>
      </c>
      <c r="C1868">
        <f>NOT(hospitalityq!C1868="")*(SUMPRODUCT(--(TRIM(hospitalityq!C6:C1868)=TRIM(hospitalityq!C1868)))&gt;1)</f>
        <v>0</v>
      </c>
      <c r="D1868">
        <f>NOT(hospitalityq!D1868="")*(COUNTIF(reference!$C$17:$C$18,TRIM(hospitalityq!D1868))=0)</f>
        <v>0</v>
      </c>
      <c r="J1868">
        <f>NOT(hospitalityq!J1868="")*(NOT(ISNUMBER(hospitalityq!J1868+0)))</f>
        <v>0</v>
      </c>
      <c r="K1868">
        <f>NOT(hospitalityq!K1868="")*(NOT(ISNUMBER(hospitalityq!K1868+0)))</f>
        <v>0</v>
      </c>
      <c r="P1868">
        <f>NOT(hospitalityq!P1868="")*(NOT(IFERROR(INT(hospitalityq!P1868)=VALUE(hospitalityq!P1868),FALSE)))</f>
        <v>0</v>
      </c>
      <c r="Q1868">
        <f>NOT(hospitalityq!Q1868="")*(NOT(IFERROR(INT(hospitalityq!Q1868)=VALUE(hospitalityq!Q1868),FALSE)))</f>
        <v>0</v>
      </c>
      <c r="R1868">
        <f>NOT(hospitalityq!R1868="")*(NOT(IFERROR(ROUND(VALUE(hospitalityq!R1868),2)=VALUE(hospitalityq!R1868),FALSE)))</f>
        <v>0</v>
      </c>
    </row>
    <row r="1869" spans="1:18" x14ac:dyDescent="0.25">
      <c r="A1869">
        <f t="shared" si="29"/>
        <v>0</v>
      </c>
      <c r="C1869">
        <f>NOT(hospitalityq!C1869="")*(SUMPRODUCT(--(TRIM(hospitalityq!C6:C1869)=TRIM(hospitalityq!C1869)))&gt;1)</f>
        <v>0</v>
      </c>
      <c r="D1869">
        <f>NOT(hospitalityq!D1869="")*(COUNTIF(reference!$C$17:$C$18,TRIM(hospitalityq!D1869))=0)</f>
        <v>0</v>
      </c>
      <c r="J1869">
        <f>NOT(hospitalityq!J1869="")*(NOT(ISNUMBER(hospitalityq!J1869+0)))</f>
        <v>0</v>
      </c>
      <c r="K1869">
        <f>NOT(hospitalityq!K1869="")*(NOT(ISNUMBER(hospitalityq!K1869+0)))</f>
        <v>0</v>
      </c>
      <c r="P1869">
        <f>NOT(hospitalityq!P1869="")*(NOT(IFERROR(INT(hospitalityq!P1869)=VALUE(hospitalityq!P1869),FALSE)))</f>
        <v>0</v>
      </c>
      <c r="Q1869">
        <f>NOT(hospitalityq!Q1869="")*(NOT(IFERROR(INT(hospitalityq!Q1869)=VALUE(hospitalityq!Q1869),FALSE)))</f>
        <v>0</v>
      </c>
      <c r="R1869">
        <f>NOT(hospitalityq!R1869="")*(NOT(IFERROR(ROUND(VALUE(hospitalityq!R1869),2)=VALUE(hospitalityq!R1869),FALSE)))</f>
        <v>0</v>
      </c>
    </row>
    <row r="1870" spans="1:18" x14ac:dyDescent="0.25">
      <c r="A1870">
        <f t="shared" si="29"/>
        <v>0</v>
      </c>
      <c r="C1870">
        <f>NOT(hospitalityq!C1870="")*(SUMPRODUCT(--(TRIM(hospitalityq!C6:C1870)=TRIM(hospitalityq!C1870)))&gt;1)</f>
        <v>0</v>
      </c>
      <c r="D1870">
        <f>NOT(hospitalityq!D1870="")*(COUNTIF(reference!$C$17:$C$18,TRIM(hospitalityq!D1870))=0)</f>
        <v>0</v>
      </c>
      <c r="J1870">
        <f>NOT(hospitalityq!J1870="")*(NOT(ISNUMBER(hospitalityq!J1870+0)))</f>
        <v>0</v>
      </c>
      <c r="K1870">
        <f>NOT(hospitalityq!K1870="")*(NOT(ISNUMBER(hospitalityq!K1870+0)))</f>
        <v>0</v>
      </c>
      <c r="P1870">
        <f>NOT(hospitalityq!P1870="")*(NOT(IFERROR(INT(hospitalityq!P1870)=VALUE(hospitalityq!P1870),FALSE)))</f>
        <v>0</v>
      </c>
      <c r="Q1870">
        <f>NOT(hospitalityq!Q1870="")*(NOT(IFERROR(INT(hospitalityq!Q1870)=VALUE(hospitalityq!Q1870),FALSE)))</f>
        <v>0</v>
      </c>
      <c r="R1870">
        <f>NOT(hospitalityq!R1870="")*(NOT(IFERROR(ROUND(VALUE(hospitalityq!R1870),2)=VALUE(hospitalityq!R1870),FALSE)))</f>
        <v>0</v>
      </c>
    </row>
    <row r="1871" spans="1:18" x14ac:dyDescent="0.25">
      <c r="A1871">
        <f t="shared" si="29"/>
        <v>0</v>
      </c>
      <c r="C1871">
        <f>NOT(hospitalityq!C1871="")*(SUMPRODUCT(--(TRIM(hospitalityq!C6:C1871)=TRIM(hospitalityq!C1871)))&gt;1)</f>
        <v>0</v>
      </c>
      <c r="D1871">
        <f>NOT(hospitalityq!D1871="")*(COUNTIF(reference!$C$17:$C$18,TRIM(hospitalityq!D1871))=0)</f>
        <v>0</v>
      </c>
      <c r="J1871">
        <f>NOT(hospitalityq!J1871="")*(NOT(ISNUMBER(hospitalityq!J1871+0)))</f>
        <v>0</v>
      </c>
      <c r="K1871">
        <f>NOT(hospitalityq!K1871="")*(NOT(ISNUMBER(hospitalityq!K1871+0)))</f>
        <v>0</v>
      </c>
      <c r="P1871">
        <f>NOT(hospitalityq!P1871="")*(NOT(IFERROR(INT(hospitalityq!P1871)=VALUE(hospitalityq!P1871),FALSE)))</f>
        <v>0</v>
      </c>
      <c r="Q1871">
        <f>NOT(hospitalityq!Q1871="")*(NOT(IFERROR(INT(hospitalityq!Q1871)=VALUE(hospitalityq!Q1871),FALSE)))</f>
        <v>0</v>
      </c>
      <c r="R1871">
        <f>NOT(hospitalityq!R1871="")*(NOT(IFERROR(ROUND(VALUE(hospitalityq!R1871),2)=VALUE(hospitalityq!R1871),FALSE)))</f>
        <v>0</v>
      </c>
    </row>
    <row r="1872" spans="1:18" x14ac:dyDescent="0.25">
      <c r="A1872">
        <f t="shared" si="29"/>
        <v>0</v>
      </c>
      <c r="C1872">
        <f>NOT(hospitalityq!C1872="")*(SUMPRODUCT(--(TRIM(hospitalityq!C6:C1872)=TRIM(hospitalityq!C1872)))&gt;1)</f>
        <v>0</v>
      </c>
      <c r="D1872">
        <f>NOT(hospitalityq!D1872="")*(COUNTIF(reference!$C$17:$C$18,TRIM(hospitalityq!D1872))=0)</f>
        <v>0</v>
      </c>
      <c r="J1872">
        <f>NOT(hospitalityq!J1872="")*(NOT(ISNUMBER(hospitalityq!J1872+0)))</f>
        <v>0</v>
      </c>
      <c r="K1872">
        <f>NOT(hospitalityq!K1872="")*(NOT(ISNUMBER(hospitalityq!K1872+0)))</f>
        <v>0</v>
      </c>
      <c r="P1872">
        <f>NOT(hospitalityq!P1872="")*(NOT(IFERROR(INT(hospitalityq!P1872)=VALUE(hospitalityq!P1872),FALSE)))</f>
        <v>0</v>
      </c>
      <c r="Q1872">
        <f>NOT(hospitalityq!Q1872="")*(NOT(IFERROR(INT(hospitalityq!Q1872)=VALUE(hospitalityq!Q1872),FALSE)))</f>
        <v>0</v>
      </c>
      <c r="R1872">
        <f>NOT(hospitalityq!R1872="")*(NOT(IFERROR(ROUND(VALUE(hospitalityq!R1872),2)=VALUE(hospitalityq!R1872),FALSE)))</f>
        <v>0</v>
      </c>
    </row>
    <row r="1873" spans="1:18" x14ac:dyDescent="0.25">
      <c r="A1873">
        <f t="shared" si="29"/>
        <v>0</v>
      </c>
      <c r="C1873">
        <f>NOT(hospitalityq!C1873="")*(SUMPRODUCT(--(TRIM(hospitalityq!C6:C1873)=TRIM(hospitalityq!C1873)))&gt;1)</f>
        <v>0</v>
      </c>
      <c r="D1873">
        <f>NOT(hospitalityq!D1873="")*(COUNTIF(reference!$C$17:$C$18,TRIM(hospitalityq!D1873))=0)</f>
        <v>0</v>
      </c>
      <c r="J1873">
        <f>NOT(hospitalityq!J1873="")*(NOT(ISNUMBER(hospitalityq!J1873+0)))</f>
        <v>0</v>
      </c>
      <c r="K1873">
        <f>NOT(hospitalityq!K1873="")*(NOT(ISNUMBER(hospitalityq!K1873+0)))</f>
        <v>0</v>
      </c>
      <c r="P1873">
        <f>NOT(hospitalityq!P1873="")*(NOT(IFERROR(INT(hospitalityq!P1873)=VALUE(hospitalityq!P1873),FALSE)))</f>
        <v>0</v>
      </c>
      <c r="Q1873">
        <f>NOT(hospitalityq!Q1873="")*(NOT(IFERROR(INT(hospitalityq!Q1873)=VALUE(hospitalityq!Q1873),FALSE)))</f>
        <v>0</v>
      </c>
      <c r="R1873">
        <f>NOT(hospitalityq!R1873="")*(NOT(IFERROR(ROUND(VALUE(hospitalityq!R1873),2)=VALUE(hospitalityq!R1873),FALSE)))</f>
        <v>0</v>
      </c>
    </row>
    <row r="1874" spans="1:18" x14ac:dyDescent="0.25">
      <c r="A1874">
        <f t="shared" si="29"/>
        <v>0</v>
      </c>
      <c r="C1874">
        <f>NOT(hospitalityq!C1874="")*(SUMPRODUCT(--(TRIM(hospitalityq!C6:C1874)=TRIM(hospitalityq!C1874)))&gt;1)</f>
        <v>0</v>
      </c>
      <c r="D1874">
        <f>NOT(hospitalityq!D1874="")*(COUNTIF(reference!$C$17:$C$18,TRIM(hospitalityq!D1874))=0)</f>
        <v>0</v>
      </c>
      <c r="J1874">
        <f>NOT(hospitalityq!J1874="")*(NOT(ISNUMBER(hospitalityq!J1874+0)))</f>
        <v>0</v>
      </c>
      <c r="K1874">
        <f>NOT(hospitalityq!K1874="")*(NOT(ISNUMBER(hospitalityq!K1874+0)))</f>
        <v>0</v>
      </c>
      <c r="P1874">
        <f>NOT(hospitalityq!P1874="")*(NOT(IFERROR(INT(hospitalityq!P1874)=VALUE(hospitalityq!P1874),FALSE)))</f>
        <v>0</v>
      </c>
      <c r="Q1874">
        <f>NOT(hospitalityq!Q1874="")*(NOT(IFERROR(INT(hospitalityq!Q1874)=VALUE(hospitalityq!Q1874),FALSE)))</f>
        <v>0</v>
      </c>
      <c r="R1874">
        <f>NOT(hospitalityq!R1874="")*(NOT(IFERROR(ROUND(VALUE(hospitalityq!R1874),2)=VALUE(hospitalityq!R1874),FALSE)))</f>
        <v>0</v>
      </c>
    </row>
    <row r="1875" spans="1:18" x14ac:dyDescent="0.25">
      <c r="A1875">
        <f t="shared" si="29"/>
        <v>0</v>
      </c>
      <c r="C1875">
        <f>NOT(hospitalityq!C1875="")*(SUMPRODUCT(--(TRIM(hospitalityq!C6:C1875)=TRIM(hospitalityq!C1875)))&gt;1)</f>
        <v>0</v>
      </c>
      <c r="D1875">
        <f>NOT(hospitalityq!D1875="")*(COUNTIF(reference!$C$17:$C$18,TRIM(hospitalityq!D1875))=0)</f>
        <v>0</v>
      </c>
      <c r="J1875">
        <f>NOT(hospitalityq!J1875="")*(NOT(ISNUMBER(hospitalityq!J1875+0)))</f>
        <v>0</v>
      </c>
      <c r="K1875">
        <f>NOT(hospitalityq!K1875="")*(NOT(ISNUMBER(hospitalityq!K1875+0)))</f>
        <v>0</v>
      </c>
      <c r="P1875">
        <f>NOT(hospitalityq!P1875="")*(NOT(IFERROR(INT(hospitalityq!P1875)=VALUE(hospitalityq!P1875),FALSE)))</f>
        <v>0</v>
      </c>
      <c r="Q1875">
        <f>NOT(hospitalityq!Q1875="")*(NOT(IFERROR(INT(hospitalityq!Q1875)=VALUE(hospitalityq!Q1875),FALSE)))</f>
        <v>0</v>
      </c>
      <c r="R1875">
        <f>NOT(hospitalityq!R1875="")*(NOT(IFERROR(ROUND(VALUE(hospitalityq!R1875),2)=VALUE(hospitalityq!R1875),FALSE)))</f>
        <v>0</v>
      </c>
    </row>
    <row r="1876" spans="1:18" x14ac:dyDescent="0.25">
      <c r="A1876">
        <f t="shared" si="29"/>
        <v>0</v>
      </c>
      <c r="C1876">
        <f>NOT(hospitalityq!C1876="")*(SUMPRODUCT(--(TRIM(hospitalityq!C6:C1876)=TRIM(hospitalityq!C1876)))&gt;1)</f>
        <v>0</v>
      </c>
      <c r="D1876">
        <f>NOT(hospitalityq!D1876="")*(COUNTIF(reference!$C$17:$C$18,TRIM(hospitalityq!D1876))=0)</f>
        <v>0</v>
      </c>
      <c r="J1876">
        <f>NOT(hospitalityq!J1876="")*(NOT(ISNUMBER(hospitalityq!J1876+0)))</f>
        <v>0</v>
      </c>
      <c r="K1876">
        <f>NOT(hospitalityq!K1876="")*(NOT(ISNUMBER(hospitalityq!K1876+0)))</f>
        <v>0</v>
      </c>
      <c r="P1876">
        <f>NOT(hospitalityq!P1876="")*(NOT(IFERROR(INT(hospitalityq!P1876)=VALUE(hospitalityq!P1876),FALSE)))</f>
        <v>0</v>
      </c>
      <c r="Q1876">
        <f>NOT(hospitalityq!Q1876="")*(NOT(IFERROR(INT(hospitalityq!Q1876)=VALUE(hospitalityq!Q1876),FALSE)))</f>
        <v>0</v>
      </c>
      <c r="R1876">
        <f>NOT(hospitalityq!R1876="")*(NOT(IFERROR(ROUND(VALUE(hospitalityq!R1876),2)=VALUE(hospitalityq!R1876),FALSE)))</f>
        <v>0</v>
      </c>
    </row>
    <row r="1877" spans="1:18" x14ac:dyDescent="0.25">
      <c r="A1877">
        <f t="shared" si="29"/>
        <v>0</v>
      </c>
      <c r="C1877">
        <f>NOT(hospitalityq!C1877="")*(SUMPRODUCT(--(TRIM(hospitalityq!C6:C1877)=TRIM(hospitalityq!C1877)))&gt;1)</f>
        <v>0</v>
      </c>
      <c r="D1877">
        <f>NOT(hospitalityq!D1877="")*(COUNTIF(reference!$C$17:$C$18,TRIM(hospitalityq!D1877))=0)</f>
        <v>0</v>
      </c>
      <c r="J1877">
        <f>NOT(hospitalityq!J1877="")*(NOT(ISNUMBER(hospitalityq!J1877+0)))</f>
        <v>0</v>
      </c>
      <c r="K1877">
        <f>NOT(hospitalityq!K1877="")*(NOT(ISNUMBER(hospitalityq!K1877+0)))</f>
        <v>0</v>
      </c>
      <c r="P1877">
        <f>NOT(hospitalityq!P1877="")*(NOT(IFERROR(INT(hospitalityq!P1877)=VALUE(hospitalityq!P1877),FALSE)))</f>
        <v>0</v>
      </c>
      <c r="Q1877">
        <f>NOT(hospitalityq!Q1877="")*(NOT(IFERROR(INT(hospitalityq!Q1877)=VALUE(hospitalityq!Q1877),FALSE)))</f>
        <v>0</v>
      </c>
      <c r="R1877">
        <f>NOT(hospitalityq!R1877="")*(NOT(IFERROR(ROUND(VALUE(hospitalityq!R1877),2)=VALUE(hospitalityq!R1877),FALSE)))</f>
        <v>0</v>
      </c>
    </row>
    <row r="1878" spans="1:18" x14ac:dyDescent="0.25">
      <c r="A1878">
        <f t="shared" si="29"/>
        <v>0</v>
      </c>
      <c r="C1878">
        <f>NOT(hospitalityq!C1878="")*(SUMPRODUCT(--(TRIM(hospitalityq!C6:C1878)=TRIM(hospitalityq!C1878)))&gt;1)</f>
        <v>0</v>
      </c>
      <c r="D1878">
        <f>NOT(hospitalityq!D1878="")*(COUNTIF(reference!$C$17:$C$18,TRIM(hospitalityq!D1878))=0)</f>
        <v>0</v>
      </c>
      <c r="J1878">
        <f>NOT(hospitalityq!J1878="")*(NOT(ISNUMBER(hospitalityq!J1878+0)))</f>
        <v>0</v>
      </c>
      <c r="K1878">
        <f>NOT(hospitalityq!K1878="")*(NOT(ISNUMBER(hospitalityq!K1878+0)))</f>
        <v>0</v>
      </c>
      <c r="P1878">
        <f>NOT(hospitalityq!P1878="")*(NOT(IFERROR(INT(hospitalityq!P1878)=VALUE(hospitalityq!P1878),FALSE)))</f>
        <v>0</v>
      </c>
      <c r="Q1878">
        <f>NOT(hospitalityq!Q1878="")*(NOT(IFERROR(INT(hospitalityq!Q1878)=VALUE(hospitalityq!Q1878),FALSE)))</f>
        <v>0</v>
      </c>
      <c r="R1878">
        <f>NOT(hospitalityq!R1878="")*(NOT(IFERROR(ROUND(VALUE(hospitalityq!R1878),2)=VALUE(hospitalityq!R1878),FALSE)))</f>
        <v>0</v>
      </c>
    </row>
    <row r="1879" spans="1:18" x14ac:dyDescent="0.25">
      <c r="A1879">
        <f t="shared" si="29"/>
        <v>0</v>
      </c>
      <c r="C1879">
        <f>NOT(hospitalityq!C1879="")*(SUMPRODUCT(--(TRIM(hospitalityq!C6:C1879)=TRIM(hospitalityq!C1879)))&gt;1)</f>
        <v>0</v>
      </c>
      <c r="D1879">
        <f>NOT(hospitalityq!D1879="")*(COUNTIF(reference!$C$17:$C$18,TRIM(hospitalityq!D1879))=0)</f>
        <v>0</v>
      </c>
      <c r="J1879">
        <f>NOT(hospitalityq!J1879="")*(NOT(ISNUMBER(hospitalityq!J1879+0)))</f>
        <v>0</v>
      </c>
      <c r="K1879">
        <f>NOT(hospitalityq!K1879="")*(NOT(ISNUMBER(hospitalityq!K1879+0)))</f>
        <v>0</v>
      </c>
      <c r="P1879">
        <f>NOT(hospitalityq!P1879="")*(NOT(IFERROR(INT(hospitalityq!P1879)=VALUE(hospitalityq!P1879),FALSE)))</f>
        <v>0</v>
      </c>
      <c r="Q1879">
        <f>NOT(hospitalityq!Q1879="")*(NOT(IFERROR(INT(hospitalityq!Q1879)=VALUE(hospitalityq!Q1879),FALSE)))</f>
        <v>0</v>
      </c>
      <c r="R1879">
        <f>NOT(hospitalityq!R1879="")*(NOT(IFERROR(ROUND(VALUE(hospitalityq!R1879),2)=VALUE(hospitalityq!R1879),FALSE)))</f>
        <v>0</v>
      </c>
    </row>
    <row r="1880" spans="1:18" x14ac:dyDescent="0.25">
      <c r="A1880">
        <f t="shared" si="29"/>
        <v>0</v>
      </c>
      <c r="C1880">
        <f>NOT(hospitalityq!C1880="")*(SUMPRODUCT(--(TRIM(hospitalityq!C6:C1880)=TRIM(hospitalityq!C1880)))&gt;1)</f>
        <v>0</v>
      </c>
      <c r="D1880">
        <f>NOT(hospitalityq!D1880="")*(COUNTIF(reference!$C$17:$C$18,TRIM(hospitalityq!D1880))=0)</f>
        <v>0</v>
      </c>
      <c r="J1880">
        <f>NOT(hospitalityq!J1880="")*(NOT(ISNUMBER(hospitalityq!J1880+0)))</f>
        <v>0</v>
      </c>
      <c r="K1880">
        <f>NOT(hospitalityq!K1880="")*(NOT(ISNUMBER(hospitalityq!K1880+0)))</f>
        <v>0</v>
      </c>
      <c r="P1880">
        <f>NOT(hospitalityq!P1880="")*(NOT(IFERROR(INT(hospitalityq!P1880)=VALUE(hospitalityq!P1880),FALSE)))</f>
        <v>0</v>
      </c>
      <c r="Q1880">
        <f>NOT(hospitalityq!Q1880="")*(NOT(IFERROR(INT(hospitalityq!Q1880)=VALUE(hospitalityq!Q1880),FALSE)))</f>
        <v>0</v>
      </c>
      <c r="R1880">
        <f>NOT(hospitalityq!R1880="")*(NOT(IFERROR(ROUND(VALUE(hospitalityq!R1880),2)=VALUE(hospitalityq!R1880),FALSE)))</f>
        <v>0</v>
      </c>
    </row>
    <row r="1881" spans="1:18" x14ac:dyDescent="0.25">
      <c r="A1881">
        <f t="shared" si="29"/>
        <v>0</v>
      </c>
      <c r="C1881">
        <f>NOT(hospitalityq!C1881="")*(SUMPRODUCT(--(TRIM(hospitalityq!C6:C1881)=TRIM(hospitalityq!C1881)))&gt;1)</f>
        <v>0</v>
      </c>
      <c r="D1881">
        <f>NOT(hospitalityq!D1881="")*(COUNTIF(reference!$C$17:$C$18,TRIM(hospitalityq!D1881))=0)</f>
        <v>0</v>
      </c>
      <c r="J1881">
        <f>NOT(hospitalityq!J1881="")*(NOT(ISNUMBER(hospitalityq!J1881+0)))</f>
        <v>0</v>
      </c>
      <c r="K1881">
        <f>NOT(hospitalityq!K1881="")*(NOT(ISNUMBER(hospitalityq!K1881+0)))</f>
        <v>0</v>
      </c>
      <c r="P1881">
        <f>NOT(hospitalityq!P1881="")*(NOT(IFERROR(INT(hospitalityq!P1881)=VALUE(hospitalityq!P1881),FALSE)))</f>
        <v>0</v>
      </c>
      <c r="Q1881">
        <f>NOT(hospitalityq!Q1881="")*(NOT(IFERROR(INT(hospitalityq!Q1881)=VALUE(hospitalityq!Q1881),FALSE)))</f>
        <v>0</v>
      </c>
      <c r="R1881">
        <f>NOT(hospitalityq!R1881="")*(NOT(IFERROR(ROUND(VALUE(hospitalityq!R1881),2)=VALUE(hospitalityq!R1881),FALSE)))</f>
        <v>0</v>
      </c>
    </row>
    <row r="1882" spans="1:18" x14ac:dyDescent="0.25">
      <c r="A1882">
        <f t="shared" si="29"/>
        <v>0</v>
      </c>
      <c r="C1882">
        <f>NOT(hospitalityq!C1882="")*(SUMPRODUCT(--(TRIM(hospitalityq!C6:C1882)=TRIM(hospitalityq!C1882)))&gt;1)</f>
        <v>0</v>
      </c>
      <c r="D1882">
        <f>NOT(hospitalityq!D1882="")*(COUNTIF(reference!$C$17:$C$18,TRIM(hospitalityq!D1882))=0)</f>
        <v>0</v>
      </c>
      <c r="J1882">
        <f>NOT(hospitalityq!J1882="")*(NOT(ISNUMBER(hospitalityq!J1882+0)))</f>
        <v>0</v>
      </c>
      <c r="K1882">
        <f>NOT(hospitalityq!K1882="")*(NOT(ISNUMBER(hospitalityq!K1882+0)))</f>
        <v>0</v>
      </c>
      <c r="P1882">
        <f>NOT(hospitalityq!P1882="")*(NOT(IFERROR(INT(hospitalityq!P1882)=VALUE(hospitalityq!P1882),FALSE)))</f>
        <v>0</v>
      </c>
      <c r="Q1882">
        <f>NOT(hospitalityq!Q1882="")*(NOT(IFERROR(INT(hospitalityq!Q1882)=VALUE(hospitalityq!Q1882),FALSE)))</f>
        <v>0</v>
      </c>
      <c r="R1882">
        <f>NOT(hospitalityq!R1882="")*(NOT(IFERROR(ROUND(VALUE(hospitalityq!R1882),2)=VALUE(hospitalityq!R1882),FALSE)))</f>
        <v>0</v>
      </c>
    </row>
    <row r="1883" spans="1:18" x14ac:dyDescent="0.25">
      <c r="A1883">
        <f t="shared" si="29"/>
        <v>0</v>
      </c>
      <c r="C1883">
        <f>NOT(hospitalityq!C1883="")*(SUMPRODUCT(--(TRIM(hospitalityq!C6:C1883)=TRIM(hospitalityq!C1883)))&gt;1)</f>
        <v>0</v>
      </c>
      <c r="D1883">
        <f>NOT(hospitalityq!D1883="")*(COUNTIF(reference!$C$17:$C$18,TRIM(hospitalityq!D1883))=0)</f>
        <v>0</v>
      </c>
      <c r="J1883">
        <f>NOT(hospitalityq!J1883="")*(NOT(ISNUMBER(hospitalityq!J1883+0)))</f>
        <v>0</v>
      </c>
      <c r="K1883">
        <f>NOT(hospitalityq!K1883="")*(NOT(ISNUMBER(hospitalityq!K1883+0)))</f>
        <v>0</v>
      </c>
      <c r="P1883">
        <f>NOT(hospitalityq!P1883="")*(NOT(IFERROR(INT(hospitalityq!P1883)=VALUE(hospitalityq!P1883),FALSE)))</f>
        <v>0</v>
      </c>
      <c r="Q1883">
        <f>NOT(hospitalityq!Q1883="")*(NOT(IFERROR(INT(hospitalityq!Q1883)=VALUE(hospitalityq!Q1883),FALSE)))</f>
        <v>0</v>
      </c>
      <c r="R1883">
        <f>NOT(hospitalityq!R1883="")*(NOT(IFERROR(ROUND(VALUE(hospitalityq!R1883),2)=VALUE(hospitalityq!R1883),FALSE)))</f>
        <v>0</v>
      </c>
    </row>
    <row r="1884" spans="1:18" x14ac:dyDescent="0.25">
      <c r="A1884">
        <f t="shared" si="29"/>
        <v>0</v>
      </c>
      <c r="C1884">
        <f>NOT(hospitalityq!C1884="")*(SUMPRODUCT(--(TRIM(hospitalityq!C6:C1884)=TRIM(hospitalityq!C1884)))&gt;1)</f>
        <v>0</v>
      </c>
      <c r="D1884">
        <f>NOT(hospitalityq!D1884="")*(COUNTIF(reference!$C$17:$C$18,TRIM(hospitalityq!D1884))=0)</f>
        <v>0</v>
      </c>
      <c r="J1884">
        <f>NOT(hospitalityq!J1884="")*(NOT(ISNUMBER(hospitalityq!J1884+0)))</f>
        <v>0</v>
      </c>
      <c r="K1884">
        <f>NOT(hospitalityq!K1884="")*(NOT(ISNUMBER(hospitalityq!K1884+0)))</f>
        <v>0</v>
      </c>
      <c r="P1884">
        <f>NOT(hospitalityq!P1884="")*(NOT(IFERROR(INT(hospitalityq!P1884)=VALUE(hospitalityq!P1884),FALSE)))</f>
        <v>0</v>
      </c>
      <c r="Q1884">
        <f>NOT(hospitalityq!Q1884="")*(NOT(IFERROR(INT(hospitalityq!Q1884)=VALUE(hospitalityq!Q1884),FALSE)))</f>
        <v>0</v>
      </c>
      <c r="R1884">
        <f>NOT(hospitalityq!R1884="")*(NOT(IFERROR(ROUND(VALUE(hospitalityq!R1884),2)=VALUE(hospitalityq!R1884),FALSE)))</f>
        <v>0</v>
      </c>
    </row>
    <row r="1885" spans="1:18" x14ac:dyDescent="0.25">
      <c r="A1885">
        <f t="shared" si="29"/>
        <v>0</v>
      </c>
      <c r="C1885">
        <f>NOT(hospitalityq!C1885="")*(SUMPRODUCT(--(TRIM(hospitalityq!C6:C1885)=TRIM(hospitalityq!C1885)))&gt;1)</f>
        <v>0</v>
      </c>
      <c r="D1885">
        <f>NOT(hospitalityq!D1885="")*(COUNTIF(reference!$C$17:$C$18,TRIM(hospitalityq!D1885))=0)</f>
        <v>0</v>
      </c>
      <c r="J1885">
        <f>NOT(hospitalityq!J1885="")*(NOT(ISNUMBER(hospitalityq!J1885+0)))</f>
        <v>0</v>
      </c>
      <c r="K1885">
        <f>NOT(hospitalityq!K1885="")*(NOT(ISNUMBER(hospitalityq!K1885+0)))</f>
        <v>0</v>
      </c>
      <c r="P1885">
        <f>NOT(hospitalityq!P1885="")*(NOT(IFERROR(INT(hospitalityq!P1885)=VALUE(hospitalityq!P1885),FALSE)))</f>
        <v>0</v>
      </c>
      <c r="Q1885">
        <f>NOT(hospitalityq!Q1885="")*(NOT(IFERROR(INT(hospitalityq!Q1885)=VALUE(hospitalityq!Q1885),FALSE)))</f>
        <v>0</v>
      </c>
      <c r="R1885">
        <f>NOT(hospitalityq!R1885="")*(NOT(IFERROR(ROUND(VALUE(hospitalityq!R1885),2)=VALUE(hospitalityq!R1885),FALSE)))</f>
        <v>0</v>
      </c>
    </row>
    <row r="1886" spans="1:18" x14ac:dyDescent="0.25">
      <c r="A1886">
        <f t="shared" si="29"/>
        <v>0</v>
      </c>
      <c r="C1886">
        <f>NOT(hospitalityq!C1886="")*(SUMPRODUCT(--(TRIM(hospitalityq!C6:C1886)=TRIM(hospitalityq!C1886)))&gt;1)</f>
        <v>0</v>
      </c>
      <c r="D1886">
        <f>NOT(hospitalityq!D1886="")*(COUNTIF(reference!$C$17:$C$18,TRIM(hospitalityq!D1886))=0)</f>
        <v>0</v>
      </c>
      <c r="J1886">
        <f>NOT(hospitalityq!J1886="")*(NOT(ISNUMBER(hospitalityq!J1886+0)))</f>
        <v>0</v>
      </c>
      <c r="K1886">
        <f>NOT(hospitalityq!K1886="")*(NOT(ISNUMBER(hospitalityq!K1886+0)))</f>
        <v>0</v>
      </c>
      <c r="P1886">
        <f>NOT(hospitalityq!P1886="")*(NOT(IFERROR(INT(hospitalityq!P1886)=VALUE(hospitalityq!P1886),FALSE)))</f>
        <v>0</v>
      </c>
      <c r="Q1886">
        <f>NOT(hospitalityq!Q1886="")*(NOT(IFERROR(INT(hospitalityq!Q1886)=VALUE(hospitalityq!Q1886),FALSE)))</f>
        <v>0</v>
      </c>
      <c r="R1886">
        <f>NOT(hospitalityq!R1886="")*(NOT(IFERROR(ROUND(VALUE(hospitalityq!R1886),2)=VALUE(hospitalityq!R1886),FALSE)))</f>
        <v>0</v>
      </c>
    </row>
    <row r="1887" spans="1:18" x14ac:dyDescent="0.25">
      <c r="A1887">
        <f t="shared" si="29"/>
        <v>0</v>
      </c>
      <c r="C1887">
        <f>NOT(hospitalityq!C1887="")*(SUMPRODUCT(--(TRIM(hospitalityq!C6:C1887)=TRIM(hospitalityq!C1887)))&gt;1)</f>
        <v>0</v>
      </c>
      <c r="D1887">
        <f>NOT(hospitalityq!D1887="")*(COUNTIF(reference!$C$17:$C$18,TRIM(hospitalityq!D1887))=0)</f>
        <v>0</v>
      </c>
      <c r="J1887">
        <f>NOT(hospitalityq!J1887="")*(NOT(ISNUMBER(hospitalityq!J1887+0)))</f>
        <v>0</v>
      </c>
      <c r="K1887">
        <f>NOT(hospitalityq!K1887="")*(NOT(ISNUMBER(hospitalityq!K1887+0)))</f>
        <v>0</v>
      </c>
      <c r="P1887">
        <f>NOT(hospitalityq!P1887="")*(NOT(IFERROR(INT(hospitalityq!P1887)=VALUE(hospitalityq!P1887),FALSE)))</f>
        <v>0</v>
      </c>
      <c r="Q1887">
        <f>NOT(hospitalityq!Q1887="")*(NOT(IFERROR(INT(hospitalityq!Q1887)=VALUE(hospitalityq!Q1887),FALSE)))</f>
        <v>0</v>
      </c>
      <c r="R1887">
        <f>NOT(hospitalityq!R1887="")*(NOT(IFERROR(ROUND(VALUE(hospitalityq!R1887),2)=VALUE(hospitalityq!R1887),FALSE)))</f>
        <v>0</v>
      </c>
    </row>
    <row r="1888" spans="1:18" x14ac:dyDescent="0.25">
      <c r="A1888">
        <f t="shared" si="29"/>
        <v>0</v>
      </c>
      <c r="C1888">
        <f>NOT(hospitalityq!C1888="")*(SUMPRODUCT(--(TRIM(hospitalityq!C6:C1888)=TRIM(hospitalityq!C1888)))&gt;1)</f>
        <v>0</v>
      </c>
      <c r="D1888">
        <f>NOT(hospitalityq!D1888="")*(COUNTIF(reference!$C$17:$C$18,TRIM(hospitalityq!D1888))=0)</f>
        <v>0</v>
      </c>
      <c r="J1888">
        <f>NOT(hospitalityq!J1888="")*(NOT(ISNUMBER(hospitalityq!J1888+0)))</f>
        <v>0</v>
      </c>
      <c r="K1888">
        <f>NOT(hospitalityq!K1888="")*(NOT(ISNUMBER(hospitalityq!K1888+0)))</f>
        <v>0</v>
      </c>
      <c r="P1888">
        <f>NOT(hospitalityq!P1888="")*(NOT(IFERROR(INT(hospitalityq!P1888)=VALUE(hospitalityq!P1888),FALSE)))</f>
        <v>0</v>
      </c>
      <c r="Q1888">
        <f>NOT(hospitalityq!Q1888="")*(NOT(IFERROR(INT(hospitalityq!Q1888)=VALUE(hospitalityq!Q1888),FALSE)))</f>
        <v>0</v>
      </c>
      <c r="R1888">
        <f>NOT(hospitalityq!R1888="")*(NOT(IFERROR(ROUND(VALUE(hospitalityq!R1888),2)=VALUE(hospitalityq!R1888),FALSE)))</f>
        <v>0</v>
      </c>
    </row>
    <row r="1889" spans="1:18" x14ac:dyDescent="0.25">
      <c r="A1889">
        <f t="shared" si="29"/>
        <v>0</v>
      </c>
      <c r="C1889">
        <f>NOT(hospitalityq!C1889="")*(SUMPRODUCT(--(TRIM(hospitalityq!C6:C1889)=TRIM(hospitalityq!C1889)))&gt;1)</f>
        <v>0</v>
      </c>
      <c r="D1889">
        <f>NOT(hospitalityq!D1889="")*(COUNTIF(reference!$C$17:$C$18,TRIM(hospitalityq!D1889))=0)</f>
        <v>0</v>
      </c>
      <c r="J1889">
        <f>NOT(hospitalityq!J1889="")*(NOT(ISNUMBER(hospitalityq!J1889+0)))</f>
        <v>0</v>
      </c>
      <c r="K1889">
        <f>NOT(hospitalityq!K1889="")*(NOT(ISNUMBER(hospitalityq!K1889+0)))</f>
        <v>0</v>
      </c>
      <c r="P1889">
        <f>NOT(hospitalityq!P1889="")*(NOT(IFERROR(INT(hospitalityq!P1889)=VALUE(hospitalityq!P1889),FALSE)))</f>
        <v>0</v>
      </c>
      <c r="Q1889">
        <f>NOT(hospitalityq!Q1889="")*(NOT(IFERROR(INT(hospitalityq!Q1889)=VALUE(hospitalityq!Q1889),FALSE)))</f>
        <v>0</v>
      </c>
      <c r="R1889">
        <f>NOT(hospitalityq!R1889="")*(NOT(IFERROR(ROUND(VALUE(hospitalityq!R1889),2)=VALUE(hospitalityq!R1889),FALSE)))</f>
        <v>0</v>
      </c>
    </row>
    <row r="1890" spans="1:18" x14ac:dyDescent="0.25">
      <c r="A1890">
        <f t="shared" si="29"/>
        <v>0</v>
      </c>
      <c r="C1890">
        <f>NOT(hospitalityq!C1890="")*(SUMPRODUCT(--(TRIM(hospitalityq!C6:C1890)=TRIM(hospitalityq!C1890)))&gt;1)</f>
        <v>0</v>
      </c>
      <c r="D1890">
        <f>NOT(hospitalityq!D1890="")*(COUNTIF(reference!$C$17:$C$18,TRIM(hospitalityq!D1890))=0)</f>
        <v>0</v>
      </c>
      <c r="J1890">
        <f>NOT(hospitalityq!J1890="")*(NOT(ISNUMBER(hospitalityq!J1890+0)))</f>
        <v>0</v>
      </c>
      <c r="K1890">
        <f>NOT(hospitalityq!K1890="")*(NOT(ISNUMBER(hospitalityq!K1890+0)))</f>
        <v>0</v>
      </c>
      <c r="P1890">
        <f>NOT(hospitalityq!P1890="")*(NOT(IFERROR(INT(hospitalityq!P1890)=VALUE(hospitalityq!P1890),FALSE)))</f>
        <v>0</v>
      </c>
      <c r="Q1890">
        <f>NOT(hospitalityq!Q1890="")*(NOT(IFERROR(INT(hospitalityq!Q1890)=VALUE(hospitalityq!Q1890),FALSE)))</f>
        <v>0</v>
      </c>
      <c r="R1890">
        <f>NOT(hospitalityq!R1890="")*(NOT(IFERROR(ROUND(VALUE(hospitalityq!R1890),2)=VALUE(hospitalityq!R1890),FALSE)))</f>
        <v>0</v>
      </c>
    </row>
    <row r="1891" spans="1:18" x14ac:dyDescent="0.25">
      <c r="A1891">
        <f t="shared" si="29"/>
        <v>0</v>
      </c>
      <c r="C1891">
        <f>NOT(hospitalityq!C1891="")*(SUMPRODUCT(--(TRIM(hospitalityq!C6:C1891)=TRIM(hospitalityq!C1891)))&gt;1)</f>
        <v>0</v>
      </c>
      <c r="D1891">
        <f>NOT(hospitalityq!D1891="")*(COUNTIF(reference!$C$17:$C$18,TRIM(hospitalityq!D1891))=0)</f>
        <v>0</v>
      </c>
      <c r="J1891">
        <f>NOT(hospitalityq!J1891="")*(NOT(ISNUMBER(hospitalityq!J1891+0)))</f>
        <v>0</v>
      </c>
      <c r="K1891">
        <f>NOT(hospitalityq!K1891="")*(NOT(ISNUMBER(hospitalityq!K1891+0)))</f>
        <v>0</v>
      </c>
      <c r="P1891">
        <f>NOT(hospitalityq!P1891="")*(NOT(IFERROR(INT(hospitalityq!P1891)=VALUE(hospitalityq!P1891),FALSE)))</f>
        <v>0</v>
      </c>
      <c r="Q1891">
        <f>NOT(hospitalityq!Q1891="")*(NOT(IFERROR(INT(hospitalityq!Q1891)=VALUE(hospitalityq!Q1891),FALSE)))</f>
        <v>0</v>
      </c>
      <c r="R1891">
        <f>NOT(hospitalityq!R1891="")*(NOT(IFERROR(ROUND(VALUE(hospitalityq!R1891),2)=VALUE(hospitalityq!R1891),FALSE)))</f>
        <v>0</v>
      </c>
    </row>
    <row r="1892" spans="1:18" x14ac:dyDescent="0.25">
      <c r="A1892">
        <f t="shared" si="29"/>
        <v>0</v>
      </c>
      <c r="C1892">
        <f>NOT(hospitalityq!C1892="")*(SUMPRODUCT(--(TRIM(hospitalityq!C6:C1892)=TRIM(hospitalityq!C1892)))&gt;1)</f>
        <v>0</v>
      </c>
      <c r="D1892">
        <f>NOT(hospitalityq!D1892="")*(COUNTIF(reference!$C$17:$C$18,TRIM(hospitalityq!D1892))=0)</f>
        <v>0</v>
      </c>
      <c r="J1892">
        <f>NOT(hospitalityq!J1892="")*(NOT(ISNUMBER(hospitalityq!J1892+0)))</f>
        <v>0</v>
      </c>
      <c r="K1892">
        <f>NOT(hospitalityq!K1892="")*(NOT(ISNUMBER(hospitalityq!K1892+0)))</f>
        <v>0</v>
      </c>
      <c r="P1892">
        <f>NOT(hospitalityq!P1892="")*(NOT(IFERROR(INT(hospitalityq!P1892)=VALUE(hospitalityq!P1892),FALSE)))</f>
        <v>0</v>
      </c>
      <c r="Q1892">
        <f>NOT(hospitalityq!Q1892="")*(NOT(IFERROR(INT(hospitalityq!Q1892)=VALUE(hospitalityq!Q1892),FALSE)))</f>
        <v>0</v>
      </c>
      <c r="R1892">
        <f>NOT(hospitalityq!R1892="")*(NOT(IFERROR(ROUND(VALUE(hospitalityq!R1892),2)=VALUE(hospitalityq!R1892),FALSE)))</f>
        <v>0</v>
      </c>
    </row>
    <row r="1893" spans="1:18" x14ac:dyDescent="0.25">
      <c r="A1893">
        <f t="shared" si="29"/>
        <v>0</v>
      </c>
      <c r="C1893">
        <f>NOT(hospitalityq!C1893="")*(SUMPRODUCT(--(TRIM(hospitalityq!C6:C1893)=TRIM(hospitalityq!C1893)))&gt;1)</f>
        <v>0</v>
      </c>
      <c r="D1893">
        <f>NOT(hospitalityq!D1893="")*(COUNTIF(reference!$C$17:$C$18,TRIM(hospitalityq!D1893))=0)</f>
        <v>0</v>
      </c>
      <c r="J1893">
        <f>NOT(hospitalityq!J1893="")*(NOT(ISNUMBER(hospitalityq!J1893+0)))</f>
        <v>0</v>
      </c>
      <c r="K1893">
        <f>NOT(hospitalityq!K1893="")*(NOT(ISNUMBER(hospitalityq!K1893+0)))</f>
        <v>0</v>
      </c>
      <c r="P1893">
        <f>NOT(hospitalityq!P1893="")*(NOT(IFERROR(INT(hospitalityq!P1893)=VALUE(hospitalityq!P1893),FALSE)))</f>
        <v>0</v>
      </c>
      <c r="Q1893">
        <f>NOT(hospitalityq!Q1893="")*(NOT(IFERROR(INT(hospitalityq!Q1893)=VALUE(hospitalityq!Q1893),FALSE)))</f>
        <v>0</v>
      </c>
      <c r="R1893">
        <f>NOT(hospitalityq!R1893="")*(NOT(IFERROR(ROUND(VALUE(hospitalityq!R1893),2)=VALUE(hospitalityq!R1893),FALSE)))</f>
        <v>0</v>
      </c>
    </row>
    <row r="1894" spans="1:18" x14ac:dyDescent="0.25">
      <c r="A1894">
        <f t="shared" si="29"/>
        <v>0</v>
      </c>
      <c r="C1894">
        <f>NOT(hospitalityq!C1894="")*(SUMPRODUCT(--(TRIM(hospitalityq!C6:C1894)=TRIM(hospitalityq!C1894)))&gt;1)</f>
        <v>0</v>
      </c>
      <c r="D1894">
        <f>NOT(hospitalityq!D1894="")*(COUNTIF(reference!$C$17:$C$18,TRIM(hospitalityq!D1894))=0)</f>
        <v>0</v>
      </c>
      <c r="J1894">
        <f>NOT(hospitalityq!J1894="")*(NOT(ISNUMBER(hospitalityq!J1894+0)))</f>
        <v>0</v>
      </c>
      <c r="K1894">
        <f>NOT(hospitalityq!K1894="")*(NOT(ISNUMBER(hospitalityq!K1894+0)))</f>
        <v>0</v>
      </c>
      <c r="P1894">
        <f>NOT(hospitalityq!P1894="")*(NOT(IFERROR(INT(hospitalityq!P1894)=VALUE(hospitalityq!P1894),FALSE)))</f>
        <v>0</v>
      </c>
      <c r="Q1894">
        <f>NOT(hospitalityq!Q1894="")*(NOT(IFERROR(INT(hospitalityq!Q1894)=VALUE(hospitalityq!Q1894),FALSE)))</f>
        <v>0</v>
      </c>
      <c r="R1894">
        <f>NOT(hospitalityq!R1894="")*(NOT(IFERROR(ROUND(VALUE(hospitalityq!R1894),2)=VALUE(hospitalityq!R1894),FALSE)))</f>
        <v>0</v>
      </c>
    </row>
    <row r="1895" spans="1:18" x14ac:dyDescent="0.25">
      <c r="A1895">
        <f t="shared" si="29"/>
        <v>0</v>
      </c>
      <c r="C1895">
        <f>NOT(hospitalityq!C1895="")*(SUMPRODUCT(--(TRIM(hospitalityq!C6:C1895)=TRIM(hospitalityq!C1895)))&gt;1)</f>
        <v>0</v>
      </c>
      <c r="D1895">
        <f>NOT(hospitalityq!D1895="")*(COUNTIF(reference!$C$17:$C$18,TRIM(hospitalityq!D1895))=0)</f>
        <v>0</v>
      </c>
      <c r="J1895">
        <f>NOT(hospitalityq!J1895="")*(NOT(ISNUMBER(hospitalityq!J1895+0)))</f>
        <v>0</v>
      </c>
      <c r="K1895">
        <f>NOT(hospitalityq!K1895="")*(NOT(ISNUMBER(hospitalityq!K1895+0)))</f>
        <v>0</v>
      </c>
      <c r="P1895">
        <f>NOT(hospitalityq!P1895="")*(NOT(IFERROR(INT(hospitalityq!P1895)=VALUE(hospitalityq!P1895),FALSE)))</f>
        <v>0</v>
      </c>
      <c r="Q1895">
        <f>NOT(hospitalityq!Q1895="")*(NOT(IFERROR(INT(hospitalityq!Q1895)=VALUE(hospitalityq!Q1895),FALSE)))</f>
        <v>0</v>
      </c>
      <c r="R1895">
        <f>NOT(hospitalityq!R1895="")*(NOT(IFERROR(ROUND(VALUE(hospitalityq!R1895),2)=VALUE(hospitalityq!R1895),FALSE)))</f>
        <v>0</v>
      </c>
    </row>
    <row r="1896" spans="1:18" x14ac:dyDescent="0.25">
      <c r="A1896">
        <f t="shared" si="29"/>
        <v>0</v>
      </c>
      <c r="C1896">
        <f>NOT(hospitalityq!C1896="")*(SUMPRODUCT(--(TRIM(hospitalityq!C6:C1896)=TRIM(hospitalityq!C1896)))&gt;1)</f>
        <v>0</v>
      </c>
      <c r="D1896">
        <f>NOT(hospitalityq!D1896="")*(COUNTIF(reference!$C$17:$C$18,TRIM(hospitalityq!D1896))=0)</f>
        <v>0</v>
      </c>
      <c r="J1896">
        <f>NOT(hospitalityq!J1896="")*(NOT(ISNUMBER(hospitalityq!J1896+0)))</f>
        <v>0</v>
      </c>
      <c r="K1896">
        <f>NOT(hospitalityq!K1896="")*(NOT(ISNUMBER(hospitalityq!K1896+0)))</f>
        <v>0</v>
      </c>
      <c r="P1896">
        <f>NOT(hospitalityq!P1896="")*(NOT(IFERROR(INT(hospitalityq!P1896)=VALUE(hospitalityq!P1896),FALSE)))</f>
        <v>0</v>
      </c>
      <c r="Q1896">
        <f>NOT(hospitalityq!Q1896="")*(NOT(IFERROR(INT(hospitalityq!Q1896)=VALUE(hospitalityq!Q1896),FALSE)))</f>
        <v>0</v>
      </c>
      <c r="R1896">
        <f>NOT(hospitalityq!R1896="")*(NOT(IFERROR(ROUND(VALUE(hospitalityq!R1896),2)=VALUE(hospitalityq!R1896),FALSE)))</f>
        <v>0</v>
      </c>
    </row>
    <row r="1897" spans="1:18" x14ac:dyDescent="0.25">
      <c r="A1897">
        <f t="shared" si="29"/>
        <v>0</v>
      </c>
      <c r="C1897">
        <f>NOT(hospitalityq!C1897="")*(SUMPRODUCT(--(TRIM(hospitalityq!C6:C1897)=TRIM(hospitalityq!C1897)))&gt;1)</f>
        <v>0</v>
      </c>
      <c r="D1897">
        <f>NOT(hospitalityq!D1897="")*(COUNTIF(reference!$C$17:$C$18,TRIM(hospitalityq!D1897))=0)</f>
        <v>0</v>
      </c>
      <c r="J1897">
        <f>NOT(hospitalityq!J1897="")*(NOT(ISNUMBER(hospitalityq!J1897+0)))</f>
        <v>0</v>
      </c>
      <c r="K1897">
        <f>NOT(hospitalityq!K1897="")*(NOT(ISNUMBER(hospitalityq!K1897+0)))</f>
        <v>0</v>
      </c>
      <c r="P1897">
        <f>NOT(hospitalityq!P1897="")*(NOT(IFERROR(INT(hospitalityq!P1897)=VALUE(hospitalityq!P1897),FALSE)))</f>
        <v>0</v>
      </c>
      <c r="Q1897">
        <f>NOT(hospitalityq!Q1897="")*(NOT(IFERROR(INT(hospitalityq!Q1897)=VALUE(hospitalityq!Q1897),FALSE)))</f>
        <v>0</v>
      </c>
      <c r="R1897">
        <f>NOT(hospitalityq!R1897="")*(NOT(IFERROR(ROUND(VALUE(hospitalityq!R1897),2)=VALUE(hospitalityq!R1897),FALSE)))</f>
        <v>0</v>
      </c>
    </row>
    <row r="1898" spans="1:18" x14ac:dyDescent="0.25">
      <c r="A1898">
        <f t="shared" si="29"/>
        <v>0</v>
      </c>
      <c r="C1898">
        <f>NOT(hospitalityq!C1898="")*(SUMPRODUCT(--(TRIM(hospitalityq!C6:C1898)=TRIM(hospitalityq!C1898)))&gt;1)</f>
        <v>0</v>
      </c>
      <c r="D1898">
        <f>NOT(hospitalityq!D1898="")*(COUNTIF(reference!$C$17:$C$18,TRIM(hospitalityq!D1898))=0)</f>
        <v>0</v>
      </c>
      <c r="J1898">
        <f>NOT(hospitalityq!J1898="")*(NOT(ISNUMBER(hospitalityq!J1898+0)))</f>
        <v>0</v>
      </c>
      <c r="K1898">
        <f>NOT(hospitalityq!K1898="")*(NOT(ISNUMBER(hospitalityq!K1898+0)))</f>
        <v>0</v>
      </c>
      <c r="P1898">
        <f>NOT(hospitalityq!P1898="")*(NOT(IFERROR(INT(hospitalityq!P1898)=VALUE(hospitalityq!P1898),FALSE)))</f>
        <v>0</v>
      </c>
      <c r="Q1898">
        <f>NOT(hospitalityq!Q1898="")*(NOT(IFERROR(INT(hospitalityq!Q1898)=VALUE(hospitalityq!Q1898),FALSE)))</f>
        <v>0</v>
      </c>
      <c r="R1898">
        <f>NOT(hospitalityq!R1898="")*(NOT(IFERROR(ROUND(VALUE(hospitalityq!R1898),2)=VALUE(hospitalityq!R1898),FALSE)))</f>
        <v>0</v>
      </c>
    </row>
    <row r="1899" spans="1:18" x14ac:dyDescent="0.25">
      <c r="A1899">
        <f t="shared" si="29"/>
        <v>0</v>
      </c>
      <c r="C1899">
        <f>NOT(hospitalityq!C1899="")*(SUMPRODUCT(--(TRIM(hospitalityq!C6:C1899)=TRIM(hospitalityq!C1899)))&gt;1)</f>
        <v>0</v>
      </c>
      <c r="D1899">
        <f>NOT(hospitalityq!D1899="")*(COUNTIF(reference!$C$17:$C$18,TRIM(hospitalityq!D1899))=0)</f>
        <v>0</v>
      </c>
      <c r="J1899">
        <f>NOT(hospitalityq!J1899="")*(NOT(ISNUMBER(hospitalityq!J1899+0)))</f>
        <v>0</v>
      </c>
      <c r="K1899">
        <f>NOT(hospitalityq!K1899="")*(NOT(ISNUMBER(hospitalityq!K1899+0)))</f>
        <v>0</v>
      </c>
      <c r="P1899">
        <f>NOT(hospitalityq!P1899="")*(NOT(IFERROR(INT(hospitalityq!P1899)=VALUE(hospitalityq!P1899),FALSE)))</f>
        <v>0</v>
      </c>
      <c r="Q1899">
        <f>NOT(hospitalityq!Q1899="")*(NOT(IFERROR(INT(hospitalityq!Q1899)=VALUE(hospitalityq!Q1899),FALSE)))</f>
        <v>0</v>
      </c>
      <c r="R1899">
        <f>NOT(hospitalityq!R1899="")*(NOT(IFERROR(ROUND(VALUE(hospitalityq!R1899),2)=VALUE(hospitalityq!R1899),FALSE)))</f>
        <v>0</v>
      </c>
    </row>
    <row r="1900" spans="1:18" x14ac:dyDescent="0.25">
      <c r="A1900">
        <f t="shared" si="29"/>
        <v>0</v>
      </c>
      <c r="C1900">
        <f>NOT(hospitalityq!C1900="")*(SUMPRODUCT(--(TRIM(hospitalityq!C6:C1900)=TRIM(hospitalityq!C1900)))&gt;1)</f>
        <v>0</v>
      </c>
      <c r="D1900">
        <f>NOT(hospitalityq!D1900="")*(COUNTIF(reference!$C$17:$C$18,TRIM(hospitalityq!D1900))=0)</f>
        <v>0</v>
      </c>
      <c r="J1900">
        <f>NOT(hospitalityq!J1900="")*(NOT(ISNUMBER(hospitalityq!J1900+0)))</f>
        <v>0</v>
      </c>
      <c r="K1900">
        <f>NOT(hospitalityq!K1900="")*(NOT(ISNUMBER(hospitalityq!K1900+0)))</f>
        <v>0</v>
      </c>
      <c r="P1900">
        <f>NOT(hospitalityq!P1900="")*(NOT(IFERROR(INT(hospitalityq!P1900)=VALUE(hospitalityq!P1900),FALSE)))</f>
        <v>0</v>
      </c>
      <c r="Q1900">
        <f>NOT(hospitalityq!Q1900="")*(NOT(IFERROR(INT(hospitalityq!Q1900)=VALUE(hospitalityq!Q1900),FALSE)))</f>
        <v>0</v>
      </c>
      <c r="R1900">
        <f>NOT(hospitalityq!R1900="")*(NOT(IFERROR(ROUND(VALUE(hospitalityq!R1900),2)=VALUE(hospitalityq!R1900),FALSE)))</f>
        <v>0</v>
      </c>
    </row>
    <row r="1901" spans="1:18" x14ac:dyDescent="0.25">
      <c r="A1901">
        <f t="shared" si="29"/>
        <v>0</v>
      </c>
      <c r="C1901">
        <f>NOT(hospitalityq!C1901="")*(SUMPRODUCT(--(TRIM(hospitalityq!C6:C1901)=TRIM(hospitalityq!C1901)))&gt;1)</f>
        <v>0</v>
      </c>
      <c r="D1901">
        <f>NOT(hospitalityq!D1901="")*(COUNTIF(reference!$C$17:$C$18,TRIM(hospitalityq!D1901))=0)</f>
        <v>0</v>
      </c>
      <c r="J1901">
        <f>NOT(hospitalityq!J1901="")*(NOT(ISNUMBER(hospitalityq!J1901+0)))</f>
        <v>0</v>
      </c>
      <c r="K1901">
        <f>NOT(hospitalityq!K1901="")*(NOT(ISNUMBER(hospitalityq!K1901+0)))</f>
        <v>0</v>
      </c>
      <c r="P1901">
        <f>NOT(hospitalityq!P1901="")*(NOT(IFERROR(INT(hospitalityq!P1901)=VALUE(hospitalityq!P1901),FALSE)))</f>
        <v>0</v>
      </c>
      <c r="Q1901">
        <f>NOT(hospitalityq!Q1901="")*(NOT(IFERROR(INT(hospitalityq!Q1901)=VALUE(hospitalityq!Q1901),FALSE)))</f>
        <v>0</v>
      </c>
      <c r="R1901">
        <f>NOT(hospitalityq!R1901="")*(NOT(IFERROR(ROUND(VALUE(hospitalityq!R1901),2)=VALUE(hospitalityq!R1901),FALSE)))</f>
        <v>0</v>
      </c>
    </row>
    <row r="1902" spans="1:18" x14ac:dyDescent="0.25">
      <c r="A1902">
        <f t="shared" si="29"/>
        <v>0</v>
      </c>
      <c r="C1902">
        <f>NOT(hospitalityq!C1902="")*(SUMPRODUCT(--(TRIM(hospitalityq!C6:C1902)=TRIM(hospitalityq!C1902)))&gt;1)</f>
        <v>0</v>
      </c>
      <c r="D1902">
        <f>NOT(hospitalityq!D1902="")*(COUNTIF(reference!$C$17:$C$18,TRIM(hospitalityq!D1902))=0)</f>
        <v>0</v>
      </c>
      <c r="J1902">
        <f>NOT(hospitalityq!J1902="")*(NOT(ISNUMBER(hospitalityq!J1902+0)))</f>
        <v>0</v>
      </c>
      <c r="K1902">
        <f>NOT(hospitalityq!K1902="")*(NOT(ISNUMBER(hospitalityq!K1902+0)))</f>
        <v>0</v>
      </c>
      <c r="P1902">
        <f>NOT(hospitalityq!P1902="")*(NOT(IFERROR(INT(hospitalityq!P1902)=VALUE(hospitalityq!P1902),FALSE)))</f>
        <v>0</v>
      </c>
      <c r="Q1902">
        <f>NOT(hospitalityq!Q1902="")*(NOT(IFERROR(INT(hospitalityq!Q1902)=VALUE(hospitalityq!Q1902),FALSE)))</f>
        <v>0</v>
      </c>
      <c r="R1902">
        <f>NOT(hospitalityq!R1902="")*(NOT(IFERROR(ROUND(VALUE(hospitalityq!R1902),2)=VALUE(hospitalityq!R1902),FALSE)))</f>
        <v>0</v>
      </c>
    </row>
    <row r="1903" spans="1:18" x14ac:dyDescent="0.25">
      <c r="A1903">
        <f t="shared" si="29"/>
        <v>0</v>
      </c>
      <c r="C1903">
        <f>NOT(hospitalityq!C1903="")*(SUMPRODUCT(--(TRIM(hospitalityq!C6:C1903)=TRIM(hospitalityq!C1903)))&gt;1)</f>
        <v>0</v>
      </c>
      <c r="D1903">
        <f>NOT(hospitalityq!D1903="")*(COUNTIF(reference!$C$17:$C$18,TRIM(hospitalityq!D1903))=0)</f>
        <v>0</v>
      </c>
      <c r="J1903">
        <f>NOT(hospitalityq!J1903="")*(NOT(ISNUMBER(hospitalityq!J1903+0)))</f>
        <v>0</v>
      </c>
      <c r="K1903">
        <f>NOT(hospitalityq!K1903="")*(NOT(ISNUMBER(hospitalityq!K1903+0)))</f>
        <v>0</v>
      </c>
      <c r="P1903">
        <f>NOT(hospitalityq!P1903="")*(NOT(IFERROR(INT(hospitalityq!P1903)=VALUE(hospitalityq!P1903),FALSE)))</f>
        <v>0</v>
      </c>
      <c r="Q1903">
        <f>NOT(hospitalityq!Q1903="")*(NOT(IFERROR(INT(hospitalityq!Q1903)=VALUE(hospitalityq!Q1903),FALSE)))</f>
        <v>0</v>
      </c>
      <c r="R1903">
        <f>NOT(hospitalityq!R1903="")*(NOT(IFERROR(ROUND(VALUE(hospitalityq!R1903),2)=VALUE(hospitalityq!R1903),FALSE)))</f>
        <v>0</v>
      </c>
    </row>
    <row r="1904" spans="1:18" x14ac:dyDescent="0.25">
      <c r="A1904">
        <f t="shared" si="29"/>
        <v>0</v>
      </c>
      <c r="C1904">
        <f>NOT(hospitalityq!C1904="")*(SUMPRODUCT(--(TRIM(hospitalityq!C6:C1904)=TRIM(hospitalityq!C1904)))&gt;1)</f>
        <v>0</v>
      </c>
      <c r="D1904">
        <f>NOT(hospitalityq!D1904="")*(COUNTIF(reference!$C$17:$C$18,TRIM(hospitalityq!D1904))=0)</f>
        <v>0</v>
      </c>
      <c r="J1904">
        <f>NOT(hospitalityq!J1904="")*(NOT(ISNUMBER(hospitalityq!J1904+0)))</f>
        <v>0</v>
      </c>
      <c r="K1904">
        <f>NOT(hospitalityq!K1904="")*(NOT(ISNUMBER(hospitalityq!K1904+0)))</f>
        <v>0</v>
      </c>
      <c r="P1904">
        <f>NOT(hospitalityq!P1904="")*(NOT(IFERROR(INT(hospitalityq!P1904)=VALUE(hospitalityq!P1904),FALSE)))</f>
        <v>0</v>
      </c>
      <c r="Q1904">
        <f>NOT(hospitalityq!Q1904="")*(NOT(IFERROR(INT(hospitalityq!Q1904)=VALUE(hospitalityq!Q1904),FALSE)))</f>
        <v>0</v>
      </c>
      <c r="R1904">
        <f>NOT(hospitalityq!R1904="")*(NOT(IFERROR(ROUND(VALUE(hospitalityq!R1904),2)=VALUE(hospitalityq!R1904),FALSE)))</f>
        <v>0</v>
      </c>
    </row>
    <row r="1905" spans="1:18" x14ac:dyDescent="0.25">
      <c r="A1905">
        <f t="shared" si="29"/>
        <v>0</v>
      </c>
      <c r="C1905">
        <f>NOT(hospitalityq!C1905="")*(SUMPRODUCT(--(TRIM(hospitalityq!C6:C1905)=TRIM(hospitalityq!C1905)))&gt;1)</f>
        <v>0</v>
      </c>
      <c r="D1905">
        <f>NOT(hospitalityq!D1905="")*(COUNTIF(reference!$C$17:$C$18,TRIM(hospitalityq!D1905))=0)</f>
        <v>0</v>
      </c>
      <c r="J1905">
        <f>NOT(hospitalityq!J1905="")*(NOT(ISNUMBER(hospitalityq!J1905+0)))</f>
        <v>0</v>
      </c>
      <c r="K1905">
        <f>NOT(hospitalityq!K1905="")*(NOT(ISNUMBER(hospitalityq!K1905+0)))</f>
        <v>0</v>
      </c>
      <c r="P1905">
        <f>NOT(hospitalityq!P1905="")*(NOT(IFERROR(INT(hospitalityq!P1905)=VALUE(hospitalityq!P1905),FALSE)))</f>
        <v>0</v>
      </c>
      <c r="Q1905">
        <f>NOT(hospitalityq!Q1905="")*(NOT(IFERROR(INT(hospitalityq!Q1905)=VALUE(hospitalityq!Q1905),FALSE)))</f>
        <v>0</v>
      </c>
      <c r="R1905">
        <f>NOT(hospitalityq!R1905="")*(NOT(IFERROR(ROUND(VALUE(hospitalityq!R1905),2)=VALUE(hospitalityq!R1905),FALSE)))</f>
        <v>0</v>
      </c>
    </row>
    <row r="1906" spans="1:18" x14ac:dyDescent="0.25">
      <c r="A1906">
        <f t="shared" si="29"/>
        <v>0</v>
      </c>
      <c r="C1906">
        <f>NOT(hospitalityq!C1906="")*(SUMPRODUCT(--(TRIM(hospitalityq!C6:C1906)=TRIM(hospitalityq!C1906)))&gt;1)</f>
        <v>0</v>
      </c>
      <c r="D1906">
        <f>NOT(hospitalityq!D1906="")*(COUNTIF(reference!$C$17:$C$18,TRIM(hospitalityq!D1906))=0)</f>
        <v>0</v>
      </c>
      <c r="J1906">
        <f>NOT(hospitalityq!J1906="")*(NOT(ISNUMBER(hospitalityq!J1906+0)))</f>
        <v>0</v>
      </c>
      <c r="K1906">
        <f>NOT(hospitalityq!K1906="")*(NOT(ISNUMBER(hospitalityq!K1906+0)))</f>
        <v>0</v>
      </c>
      <c r="P1906">
        <f>NOT(hospitalityq!P1906="")*(NOT(IFERROR(INT(hospitalityq!P1906)=VALUE(hospitalityq!P1906),FALSE)))</f>
        <v>0</v>
      </c>
      <c r="Q1906">
        <f>NOT(hospitalityq!Q1906="")*(NOT(IFERROR(INT(hospitalityq!Q1906)=VALUE(hospitalityq!Q1906),FALSE)))</f>
        <v>0</v>
      </c>
      <c r="R1906">
        <f>NOT(hospitalityq!R1906="")*(NOT(IFERROR(ROUND(VALUE(hospitalityq!R1906),2)=VALUE(hospitalityq!R1906),FALSE)))</f>
        <v>0</v>
      </c>
    </row>
    <row r="1907" spans="1:18" x14ac:dyDescent="0.25">
      <c r="A1907">
        <f t="shared" si="29"/>
        <v>0</v>
      </c>
      <c r="C1907">
        <f>NOT(hospitalityq!C1907="")*(SUMPRODUCT(--(TRIM(hospitalityq!C6:C1907)=TRIM(hospitalityq!C1907)))&gt;1)</f>
        <v>0</v>
      </c>
      <c r="D1907">
        <f>NOT(hospitalityq!D1907="")*(COUNTIF(reference!$C$17:$C$18,TRIM(hospitalityq!D1907))=0)</f>
        <v>0</v>
      </c>
      <c r="J1907">
        <f>NOT(hospitalityq!J1907="")*(NOT(ISNUMBER(hospitalityq!J1907+0)))</f>
        <v>0</v>
      </c>
      <c r="K1907">
        <f>NOT(hospitalityq!K1907="")*(NOT(ISNUMBER(hospitalityq!K1907+0)))</f>
        <v>0</v>
      </c>
      <c r="P1907">
        <f>NOT(hospitalityq!P1907="")*(NOT(IFERROR(INT(hospitalityq!P1907)=VALUE(hospitalityq!P1907),FALSE)))</f>
        <v>0</v>
      </c>
      <c r="Q1907">
        <f>NOT(hospitalityq!Q1907="")*(NOT(IFERROR(INT(hospitalityq!Q1907)=VALUE(hospitalityq!Q1907),FALSE)))</f>
        <v>0</v>
      </c>
      <c r="R1907">
        <f>NOT(hospitalityq!R1907="")*(NOT(IFERROR(ROUND(VALUE(hospitalityq!R1907),2)=VALUE(hospitalityq!R1907),FALSE)))</f>
        <v>0</v>
      </c>
    </row>
    <row r="1908" spans="1:18" x14ac:dyDescent="0.25">
      <c r="A1908">
        <f t="shared" si="29"/>
        <v>0</v>
      </c>
      <c r="C1908">
        <f>NOT(hospitalityq!C1908="")*(SUMPRODUCT(--(TRIM(hospitalityq!C6:C1908)=TRIM(hospitalityq!C1908)))&gt;1)</f>
        <v>0</v>
      </c>
      <c r="D1908">
        <f>NOT(hospitalityq!D1908="")*(COUNTIF(reference!$C$17:$C$18,TRIM(hospitalityq!D1908))=0)</f>
        <v>0</v>
      </c>
      <c r="J1908">
        <f>NOT(hospitalityq!J1908="")*(NOT(ISNUMBER(hospitalityq!J1908+0)))</f>
        <v>0</v>
      </c>
      <c r="K1908">
        <f>NOT(hospitalityq!K1908="")*(NOT(ISNUMBER(hospitalityq!K1908+0)))</f>
        <v>0</v>
      </c>
      <c r="P1908">
        <f>NOT(hospitalityq!P1908="")*(NOT(IFERROR(INT(hospitalityq!P1908)=VALUE(hospitalityq!P1908),FALSE)))</f>
        <v>0</v>
      </c>
      <c r="Q1908">
        <f>NOT(hospitalityq!Q1908="")*(NOT(IFERROR(INT(hospitalityq!Q1908)=VALUE(hospitalityq!Q1908),FALSE)))</f>
        <v>0</v>
      </c>
      <c r="R1908">
        <f>NOT(hospitalityq!R1908="")*(NOT(IFERROR(ROUND(VALUE(hospitalityq!R1908),2)=VALUE(hospitalityq!R1908),FALSE)))</f>
        <v>0</v>
      </c>
    </row>
    <row r="1909" spans="1:18" x14ac:dyDescent="0.25">
      <c r="A1909">
        <f t="shared" si="29"/>
        <v>0</v>
      </c>
      <c r="C1909">
        <f>NOT(hospitalityq!C1909="")*(SUMPRODUCT(--(TRIM(hospitalityq!C6:C1909)=TRIM(hospitalityq!C1909)))&gt;1)</f>
        <v>0</v>
      </c>
      <c r="D1909">
        <f>NOT(hospitalityq!D1909="")*(COUNTIF(reference!$C$17:$C$18,TRIM(hospitalityq!D1909))=0)</f>
        <v>0</v>
      </c>
      <c r="J1909">
        <f>NOT(hospitalityq!J1909="")*(NOT(ISNUMBER(hospitalityq!J1909+0)))</f>
        <v>0</v>
      </c>
      <c r="K1909">
        <f>NOT(hospitalityq!K1909="")*(NOT(ISNUMBER(hospitalityq!K1909+0)))</f>
        <v>0</v>
      </c>
      <c r="P1909">
        <f>NOT(hospitalityq!P1909="")*(NOT(IFERROR(INT(hospitalityq!P1909)=VALUE(hospitalityq!P1909),FALSE)))</f>
        <v>0</v>
      </c>
      <c r="Q1909">
        <f>NOT(hospitalityq!Q1909="")*(NOT(IFERROR(INT(hospitalityq!Q1909)=VALUE(hospitalityq!Q1909),FALSE)))</f>
        <v>0</v>
      </c>
      <c r="R1909">
        <f>NOT(hospitalityq!R1909="")*(NOT(IFERROR(ROUND(VALUE(hospitalityq!R1909),2)=VALUE(hospitalityq!R1909),FALSE)))</f>
        <v>0</v>
      </c>
    </row>
    <row r="1910" spans="1:18" x14ac:dyDescent="0.25">
      <c r="A1910">
        <f t="shared" si="29"/>
        <v>0</v>
      </c>
      <c r="C1910">
        <f>NOT(hospitalityq!C1910="")*(SUMPRODUCT(--(TRIM(hospitalityq!C6:C1910)=TRIM(hospitalityq!C1910)))&gt;1)</f>
        <v>0</v>
      </c>
      <c r="D1910">
        <f>NOT(hospitalityq!D1910="")*(COUNTIF(reference!$C$17:$C$18,TRIM(hospitalityq!D1910))=0)</f>
        <v>0</v>
      </c>
      <c r="J1910">
        <f>NOT(hospitalityq!J1910="")*(NOT(ISNUMBER(hospitalityq!J1910+0)))</f>
        <v>0</v>
      </c>
      <c r="K1910">
        <f>NOT(hospitalityq!K1910="")*(NOT(ISNUMBER(hospitalityq!K1910+0)))</f>
        <v>0</v>
      </c>
      <c r="P1910">
        <f>NOT(hospitalityq!P1910="")*(NOT(IFERROR(INT(hospitalityq!P1910)=VALUE(hospitalityq!P1910),FALSE)))</f>
        <v>0</v>
      </c>
      <c r="Q1910">
        <f>NOT(hospitalityq!Q1910="")*(NOT(IFERROR(INT(hospitalityq!Q1910)=VALUE(hospitalityq!Q1910),FALSE)))</f>
        <v>0</v>
      </c>
      <c r="R1910">
        <f>NOT(hospitalityq!R1910="")*(NOT(IFERROR(ROUND(VALUE(hospitalityq!R1910),2)=VALUE(hospitalityq!R1910),FALSE)))</f>
        <v>0</v>
      </c>
    </row>
    <row r="1911" spans="1:18" x14ac:dyDescent="0.25">
      <c r="A1911">
        <f t="shared" si="29"/>
        <v>0</v>
      </c>
      <c r="C1911">
        <f>NOT(hospitalityq!C1911="")*(SUMPRODUCT(--(TRIM(hospitalityq!C6:C1911)=TRIM(hospitalityq!C1911)))&gt;1)</f>
        <v>0</v>
      </c>
      <c r="D1911">
        <f>NOT(hospitalityq!D1911="")*(COUNTIF(reference!$C$17:$C$18,TRIM(hospitalityq!D1911))=0)</f>
        <v>0</v>
      </c>
      <c r="J1911">
        <f>NOT(hospitalityq!J1911="")*(NOT(ISNUMBER(hospitalityq!J1911+0)))</f>
        <v>0</v>
      </c>
      <c r="K1911">
        <f>NOT(hospitalityq!K1911="")*(NOT(ISNUMBER(hospitalityq!K1911+0)))</f>
        <v>0</v>
      </c>
      <c r="P1911">
        <f>NOT(hospitalityq!P1911="")*(NOT(IFERROR(INT(hospitalityq!P1911)=VALUE(hospitalityq!P1911),FALSE)))</f>
        <v>0</v>
      </c>
      <c r="Q1911">
        <f>NOT(hospitalityq!Q1911="")*(NOT(IFERROR(INT(hospitalityq!Q1911)=VALUE(hospitalityq!Q1911),FALSE)))</f>
        <v>0</v>
      </c>
      <c r="R1911">
        <f>NOT(hospitalityq!R1911="")*(NOT(IFERROR(ROUND(VALUE(hospitalityq!R1911),2)=VALUE(hospitalityq!R1911),FALSE)))</f>
        <v>0</v>
      </c>
    </row>
    <row r="1912" spans="1:18" x14ac:dyDescent="0.25">
      <c r="A1912">
        <f t="shared" si="29"/>
        <v>0</v>
      </c>
      <c r="C1912">
        <f>NOT(hospitalityq!C1912="")*(SUMPRODUCT(--(TRIM(hospitalityq!C6:C1912)=TRIM(hospitalityq!C1912)))&gt;1)</f>
        <v>0</v>
      </c>
      <c r="D1912">
        <f>NOT(hospitalityq!D1912="")*(COUNTIF(reference!$C$17:$C$18,TRIM(hospitalityq!D1912))=0)</f>
        <v>0</v>
      </c>
      <c r="J1912">
        <f>NOT(hospitalityq!J1912="")*(NOT(ISNUMBER(hospitalityq!J1912+0)))</f>
        <v>0</v>
      </c>
      <c r="K1912">
        <f>NOT(hospitalityq!K1912="")*(NOT(ISNUMBER(hospitalityq!K1912+0)))</f>
        <v>0</v>
      </c>
      <c r="P1912">
        <f>NOT(hospitalityq!P1912="")*(NOT(IFERROR(INT(hospitalityq!P1912)=VALUE(hospitalityq!P1912),FALSE)))</f>
        <v>0</v>
      </c>
      <c r="Q1912">
        <f>NOT(hospitalityq!Q1912="")*(NOT(IFERROR(INT(hospitalityq!Q1912)=VALUE(hospitalityq!Q1912),FALSE)))</f>
        <v>0</v>
      </c>
      <c r="R1912">
        <f>NOT(hospitalityq!R1912="")*(NOT(IFERROR(ROUND(VALUE(hospitalityq!R1912),2)=VALUE(hospitalityq!R1912),FALSE)))</f>
        <v>0</v>
      </c>
    </row>
    <row r="1913" spans="1:18" x14ac:dyDescent="0.25">
      <c r="A1913">
        <f t="shared" si="29"/>
        <v>0</v>
      </c>
      <c r="C1913">
        <f>NOT(hospitalityq!C1913="")*(SUMPRODUCT(--(TRIM(hospitalityq!C6:C1913)=TRIM(hospitalityq!C1913)))&gt;1)</f>
        <v>0</v>
      </c>
      <c r="D1913">
        <f>NOT(hospitalityq!D1913="")*(COUNTIF(reference!$C$17:$C$18,TRIM(hospitalityq!D1913))=0)</f>
        <v>0</v>
      </c>
      <c r="J1913">
        <f>NOT(hospitalityq!J1913="")*(NOT(ISNUMBER(hospitalityq!J1913+0)))</f>
        <v>0</v>
      </c>
      <c r="K1913">
        <f>NOT(hospitalityq!K1913="")*(NOT(ISNUMBER(hospitalityq!K1913+0)))</f>
        <v>0</v>
      </c>
      <c r="P1913">
        <f>NOT(hospitalityq!P1913="")*(NOT(IFERROR(INT(hospitalityq!P1913)=VALUE(hospitalityq!P1913),FALSE)))</f>
        <v>0</v>
      </c>
      <c r="Q1913">
        <f>NOT(hospitalityq!Q1913="")*(NOT(IFERROR(INT(hospitalityq!Q1913)=VALUE(hospitalityq!Q1913),FALSE)))</f>
        <v>0</v>
      </c>
      <c r="R1913">
        <f>NOT(hospitalityq!R1913="")*(NOT(IFERROR(ROUND(VALUE(hospitalityq!R1913),2)=VALUE(hospitalityq!R1913),FALSE)))</f>
        <v>0</v>
      </c>
    </row>
    <row r="1914" spans="1:18" x14ac:dyDescent="0.25">
      <c r="A1914">
        <f t="shared" si="29"/>
        <v>0</v>
      </c>
      <c r="C1914">
        <f>NOT(hospitalityq!C1914="")*(SUMPRODUCT(--(TRIM(hospitalityq!C6:C1914)=TRIM(hospitalityq!C1914)))&gt;1)</f>
        <v>0</v>
      </c>
      <c r="D1914">
        <f>NOT(hospitalityq!D1914="")*(COUNTIF(reference!$C$17:$C$18,TRIM(hospitalityq!D1914))=0)</f>
        <v>0</v>
      </c>
      <c r="J1914">
        <f>NOT(hospitalityq!J1914="")*(NOT(ISNUMBER(hospitalityq!J1914+0)))</f>
        <v>0</v>
      </c>
      <c r="K1914">
        <f>NOT(hospitalityq!K1914="")*(NOT(ISNUMBER(hospitalityq!K1914+0)))</f>
        <v>0</v>
      </c>
      <c r="P1914">
        <f>NOT(hospitalityq!P1914="")*(NOT(IFERROR(INT(hospitalityq!P1914)=VALUE(hospitalityq!P1914),FALSE)))</f>
        <v>0</v>
      </c>
      <c r="Q1914">
        <f>NOT(hospitalityq!Q1914="")*(NOT(IFERROR(INT(hospitalityq!Q1914)=VALUE(hospitalityq!Q1914),FALSE)))</f>
        <v>0</v>
      </c>
      <c r="R1914">
        <f>NOT(hospitalityq!R1914="")*(NOT(IFERROR(ROUND(VALUE(hospitalityq!R1914),2)=VALUE(hospitalityq!R1914),FALSE)))</f>
        <v>0</v>
      </c>
    </row>
    <row r="1915" spans="1:18" x14ac:dyDescent="0.25">
      <c r="A1915">
        <f t="shared" si="29"/>
        <v>0</v>
      </c>
      <c r="C1915">
        <f>NOT(hospitalityq!C1915="")*(SUMPRODUCT(--(TRIM(hospitalityq!C6:C1915)=TRIM(hospitalityq!C1915)))&gt;1)</f>
        <v>0</v>
      </c>
      <c r="D1915">
        <f>NOT(hospitalityq!D1915="")*(COUNTIF(reference!$C$17:$C$18,TRIM(hospitalityq!D1915))=0)</f>
        <v>0</v>
      </c>
      <c r="J1915">
        <f>NOT(hospitalityq!J1915="")*(NOT(ISNUMBER(hospitalityq!J1915+0)))</f>
        <v>0</v>
      </c>
      <c r="K1915">
        <f>NOT(hospitalityq!K1915="")*(NOT(ISNUMBER(hospitalityq!K1915+0)))</f>
        <v>0</v>
      </c>
      <c r="P1915">
        <f>NOT(hospitalityq!P1915="")*(NOT(IFERROR(INT(hospitalityq!P1915)=VALUE(hospitalityq!P1915),FALSE)))</f>
        <v>0</v>
      </c>
      <c r="Q1915">
        <f>NOT(hospitalityq!Q1915="")*(NOT(IFERROR(INT(hospitalityq!Q1915)=VALUE(hospitalityq!Q1915),FALSE)))</f>
        <v>0</v>
      </c>
      <c r="R1915">
        <f>NOT(hospitalityq!R1915="")*(NOT(IFERROR(ROUND(VALUE(hospitalityq!R1915),2)=VALUE(hospitalityq!R1915),FALSE)))</f>
        <v>0</v>
      </c>
    </row>
    <row r="1916" spans="1:18" x14ac:dyDescent="0.25">
      <c r="A1916">
        <f t="shared" si="29"/>
        <v>0</v>
      </c>
      <c r="C1916">
        <f>NOT(hospitalityq!C1916="")*(SUMPRODUCT(--(TRIM(hospitalityq!C6:C1916)=TRIM(hospitalityq!C1916)))&gt;1)</f>
        <v>0</v>
      </c>
      <c r="D1916">
        <f>NOT(hospitalityq!D1916="")*(COUNTIF(reference!$C$17:$C$18,TRIM(hospitalityq!D1916))=0)</f>
        <v>0</v>
      </c>
      <c r="J1916">
        <f>NOT(hospitalityq!J1916="")*(NOT(ISNUMBER(hospitalityq!J1916+0)))</f>
        <v>0</v>
      </c>
      <c r="K1916">
        <f>NOT(hospitalityq!K1916="")*(NOT(ISNUMBER(hospitalityq!K1916+0)))</f>
        <v>0</v>
      </c>
      <c r="P1916">
        <f>NOT(hospitalityq!P1916="")*(NOT(IFERROR(INT(hospitalityq!P1916)=VALUE(hospitalityq!P1916),FALSE)))</f>
        <v>0</v>
      </c>
      <c r="Q1916">
        <f>NOT(hospitalityq!Q1916="")*(NOT(IFERROR(INT(hospitalityq!Q1916)=VALUE(hospitalityq!Q1916),FALSE)))</f>
        <v>0</v>
      </c>
      <c r="R1916">
        <f>NOT(hospitalityq!R1916="")*(NOT(IFERROR(ROUND(VALUE(hospitalityq!R1916),2)=VALUE(hospitalityq!R1916),FALSE)))</f>
        <v>0</v>
      </c>
    </row>
    <row r="1917" spans="1:18" x14ac:dyDescent="0.25">
      <c r="A1917">
        <f t="shared" si="29"/>
        <v>0</v>
      </c>
      <c r="C1917">
        <f>NOT(hospitalityq!C1917="")*(SUMPRODUCT(--(TRIM(hospitalityq!C6:C1917)=TRIM(hospitalityq!C1917)))&gt;1)</f>
        <v>0</v>
      </c>
      <c r="D1917">
        <f>NOT(hospitalityq!D1917="")*(COUNTIF(reference!$C$17:$C$18,TRIM(hospitalityq!D1917))=0)</f>
        <v>0</v>
      </c>
      <c r="J1917">
        <f>NOT(hospitalityq!J1917="")*(NOT(ISNUMBER(hospitalityq!J1917+0)))</f>
        <v>0</v>
      </c>
      <c r="K1917">
        <f>NOT(hospitalityq!K1917="")*(NOT(ISNUMBER(hospitalityq!K1917+0)))</f>
        <v>0</v>
      </c>
      <c r="P1917">
        <f>NOT(hospitalityq!P1917="")*(NOT(IFERROR(INT(hospitalityq!P1917)=VALUE(hospitalityq!P1917),FALSE)))</f>
        <v>0</v>
      </c>
      <c r="Q1917">
        <f>NOT(hospitalityq!Q1917="")*(NOT(IFERROR(INT(hospitalityq!Q1917)=VALUE(hospitalityq!Q1917),FALSE)))</f>
        <v>0</v>
      </c>
      <c r="R1917">
        <f>NOT(hospitalityq!R1917="")*(NOT(IFERROR(ROUND(VALUE(hospitalityq!R1917),2)=VALUE(hospitalityq!R1917),FALSE)))</f>
        <v>0</v>
      </c>
    </row>
    <row r="1918" spans="1:18" x14ac:dyDescent="0.25">
      <c r="A1918">
        <f t="shared" si="29"/>
        <v>0</v>
      </c>
      <c r="C1918">
        <f>NOT(hospitalityq!C1918="")*(SUMPRODUCT(--(TRIM(hospitalityq!C6:C1918)=TRIM(hospitalityq!C1918)))&gt;1)</f>
        <v>0</v>
      </c>
      <c r="D1918">
        <f>NOT(hospitalityq!D1918="")*(COUNTIF(reference!$C$17:$C$18,TRIM(hospitalityq!D1918))=0)</f>
        <v>0</v>
      </c>
      <c r="J1918">
        <f>NOT(hospitalityq!J1918="")*(NOT(ISNUMBER(hospitalityq!J1918+0)))</f>
        <v>0</v>
      </c>
      <c r="K1918">
        <f>NOT(hospitalityq!K1918="")*(NOT(ISNUMBER(hospitalityq!K1918+0)))</f>
        <v>0</v>
      </c>
      <c r="P1918">
        <f>NOT(hospitalityq!P1918="")*(NOT(IFERROR(INT(hospitalityq!P1918)=VALUE(hospitalityq!P1918),FALSE)))</f>
        <v>0</v>
      </c>
      <c r="Q1918">
        <f>NOT(hospitalityq!Q1918="")*(NOT(IFERROR(INT(hospitalityq!Q1918)=VALUE(hospitalityq!Q1918),FALSE)))</f>
        <v>0</v>
      </c>
      <c r="R1918">
        <f>NOT(hospitalityq!R1918="")*(NOT(IFERROR(ROUND(VALUE(hospitalityq!R1918),2)=VALUE(hospitalityq!R1918),FALSE)))</f>
        <v>0</v>
      </c>
    </row>
    <row r="1919" spans="1:18" x14ac:dyDescent="0.25">
      <c r="A1919">
        <f t="shared" si="29"/>
        <v>0</v>
      </c>
      <c r="C1919">
        <f>NOT(hospitalityq!C1919="")*(SUMPRODUCT(--(TRIM(hospitalityq!C6:C1919)=TRIM(hospitalityq!C1919)))&gt;1)</f>
        <v>0</v>
      </c>
      <c r="D1919">
        <f>NOT(hospitalityq!D1919="")*(COUNTIF(reference!$C$17:$C$18,TRIM(hospitalityq!D1919))=0)</f>
        <v>0</v>
      </c>
      <c r="J1919">
        <f>NOT(hospitalityq!J1919="")*(NOT(ISNUMBER(hospitalityq!J1919+0)))</f>
        <v>0</v>
      </c>
      <c r="K1919">
        <f>NOT(hospitalityq!K1919="")*(NOT(ISNUMBER(hospitalityq!K1919+0)))</f>
        <v>0</v>
      </c>
      <c r="P1919">
        <f>NOT(hospitalityq!P1919="")*(NOT(IFERROR(INT(hospitalityq!P1919)=VALUE(hospitalityq!P1919),FALSE)))</f>
        <v>0</v>
      </c>
      <c r="Q1919">
        <f>NOT(hospitalityq!Q1919="")*(NOT(IFERROR(INT(hospitalityq!Q1919)=VALUE(hospitalityq!Q1919),FALSE)))</f>
        <v>0</v>
      </c>
      <c r="R1919">
        <f>NOT(hospitalityq!R1919="")*(NOT(IFERROR(ROUND(VALUE(hospitalityq!R1919),2)=VALUE(hospitalityq!R1919),FALSE)))</f>
        <v>0</v>
      </c>
    </row>
    <row r="1920" spans="1:18" x14ac:dyDescent="0.25">
      <c r="A1920">
        <f t="shared" si="29"/>
        <v>0</v>
      </c>
      <c r="C1920">
        <f>NOT(hospitalityq!C1920="")*(SUMPRODUCT(--(TRIM(hospitalityq!C6:C1920)=TRIM(hospitalityq!C1920)))&gt;1)</f>
        <v>0</v>
      </c>
      <c r="D1920">
        <f>NOT(hospitalityq!D1920="")*(COUNTIF(reference!$C$17:$C$18,TRIM(hospitalityq!D1920))=0)</f>
        <v>0</v>
      </c>
      <c r="J1920">
        <f>NOT(hospitalityq!J1920="")*(NOT(ISNUMBER(hospitalityq!J1920+0)))</f>
        <v>0</v>
      </c>
      <c r="K1920">
        <f>NOT(hospitalityq!K1920="")*(NOT(ISNUMBER(hospitalityq!K1920+0)))</f>
        <v>0</v>
      </c>
      <c r="P1920">
        <f>NOT(hospitalityq!P1920="")*(NOT(IFERROR(INT(hospitalityq!P1920)=VALUE(hospitalityq!P1920),FALSE)))</f>
        <v>0</v>
      </c>
      <c r="Q1920">
        <f>NOT(hospitalityq!Q1920="")*(NOT(IFERROR(INT(hospitalityq!Q1920)=VALUE(hospitalityq!Q1920),FALSE)))</f>
        <v>0</v>
      </c>
      <c r="R1920">
        <f>NOT(hospitalityq!R1920="")*(NOT(IFERROR(ROUND(VALUE(hospitalityq!R1920),2)=VALUE(hospitalityq!R1920),FALSE)))</f>
        <v>0</v>
      </c>
    </row>
    <row r="1921" spans="1:18" x14ac:dyDescent="0.25">
      <c r="A1921">
        <f t="shared" si="29"/>
        <v>0</v>
      </c>
      <c r="C1921">
        <f>NOT(hospitalityq!C1921="")*(SUMPRODUCT(--(TRIM(hospitalityq!C6:C1921)=TRIM(hospitalityq!C1921)))&gt;1)</f>
        <v>0</v>
      </c>
      <c r="D1921">
        <f>NOT(hospitalityq!D1921="")*(COUNTIF(reference!$C$17:$C$18,TRIM(hospitalityq!D1921))=0)</f>
        <v>0</v>
      </c>
      <c r="J1921">
        <f>NOT(hospitalityq!J1921="")*(NOT(ISNUMBER(hospitalityq!J1921+0)))</f>
        <v>0</v>
      </c>
      <c r="K1921">
        <f>NOT(hospitalityq!K1921="")*(NOT(ISNUMBER(hospitalityq!K1921+0)))</f>
        <v>0</v>
      </c>
      <c r="P1921">
        <f>NOT(hospitalityq!P1921="")*(NOT(IFERROR(INT(hospitalityq!P1921)=VALUE(hospitalityq!P1921),FALSE)))</f>
        <v>0</v>
      </c>
      <c r="Q1921">
        <f>NOT(hospitalityq!Q1921="")*(NOT(IFERROR(INT(hospitalityq!Q1921)=VALUE(hospitalityq!Q1921),FALSE)))</f>
        <v>0</v>
      </c>
      <c r="R1921">
        <f>NOT(hospitalityq!R1921="")*(NOT(IFERROR(ROUND(VALUE(hospitalityq!R1921),2)=VALUE(hospitalityq!R1921),FALSE)))</f>
        <v>0</v>
      </c>
    </row>
    <row r="1922" spans="1:18" x14ac:dyDescent="0.25">
      <c r="A1922">
        <f t="shared" si="29"/>
        <v>0</v>
      </c>
      <c r="C1922">
        <f>NOT(hospitalityq!C1922="")*(SUMPRODUCT(--(TRIM(hospitalityq!C6:C1922)=TRIM(hospitalityq!C1922)))&gt;1)</f>
        <v>0</v>
      </c>
      <c r="D1922">
        <f>NOT(hospitalityq!D1922="")*(COUNTIF(reference!$C$17:$C$18,TRIM(hospitalityq!D1922))=0)</f>
        <v>0</v>
      </c>
      <c r="J1922">
        <f>NOT(hospitalityq!J1922="")*(NOT(ISNUMBER(hospitalityq!J1922+0)))</f>
        <v>0</v>
      </c>
      <c r="K1922">
        <f>NOT(hospitalityq!K1922="")*(NOT(ISNUMBER(hospitalityq!K1922+0)))</f>
        <v>0</v>
      </c>
      <c r="P1922">
        <f>NOT(hospitalityq!P1922="")*(NOT(IFERROR(INT(hospitalityq!P1922)=VALUE(hospitalityq!P1922),FALSE)))</f>
        <v>0</v>
      </c>
      <c r="Q1922">
        <f>NOT(hospitalityq!Q1922="")*(NOT(IFERROR(INT(hospitalityq!Q1922)=VALUE(hospitalityq!Q1922),FALSE)))</f>
        <v>0</v>
      </c>
      <c r="R1922">
        <f>NOT(hospitalityq!R1922="")*(NOT(IFERROR(ROUND(VALUE(hospitalityq!R1922),2)=VALUE(hospitalityq!R1922),FALSE)))</f>
        <v>0</v>
      </c>
    </row>
    <row r="1923" spans="1:18" x14ac:dyDescent="0.25">
      <c r="A1923">
        <f t="shared" si="29"/>
        <v>0</v>
      </c>
      <c r="C1923">
        <f>NOT(hospitalityq!C1923="")*(SUMPRODUCT(--(TRIM(hospitalityq!C6:C1923)=TRIM(hospitalityq!C1923)))&gt;1)</f>
        <v>0</v>
      </c>
      <c r="D1923">
        <f>NOT(hospitalityq!D1923="")*(COUNTIF(reference!$C$17:$C$18,TRIM(hospitalityq!D1923))=0)</f>
        <v>0</v>
      </c>
      <c r="J1923">
        <f>NOT(hospitalityq!J1923="")*(NOT(ISNUMBER(hospitalityq!J1923+0)))</f>
        <v>0</v>
      </c>
      <c r="K1923">
        <f>NOT(hospitalityq!K1923="")*(NOT(ISNUMBER(hospitalityq!K1923+0)))</f>
        <v>0</v>
      </c>
      <c r="P1923">
        <f>NOT(hospitalityq!P1923="")*(NOT(IFERROR(INT(hospitalityq!P1923)=VALUE(hospitalityq!P1923),FALSE)))</f>
        <v>0</v>
      </c>
      <c r="Q1923">
        <f>NOT(hospitalityq!Q1923="")*(NOT(IFERROR(INT(hospitalityq!Q1923)=VALUE(hospitalityq!Q1923),FALSE)))</f>
        <v>0</v>
      </c>
      <c r="R1923">
        <f>NOT(hospitalityq!R1923="")*(NOT(IFERROR(ROUND(VALUE(hospitalityq!R1923),2)=VALUE(hospitalityq!R1923),FALSE)))</f>
        <v>0</v>
      </c>
    </row>
    <row r="1924" spans="1:18" x14ac:dyDescent="0.25">
      <c r="A1924">
        <f t="shared" si="29"/>
        <v>0</v>
      </c>
      <c r="C1924">
        <f>NOT(hospitalityq!C1924="")*(SUMPRODUCT(--(TRIM(hospitalityq!C6:C1924)=TRIM(hospitalityq!C1924)))&gt;1)</f>
        <v>0</v>
      </c>
      <c r="D1924">
        <f>NOT(hospitalityq!D1924="")*(COUNTIF(reference!$C$17:$C$18,TRIM(hospitalityq!D1924))=0)</f>
        <v>0</v>
      </c>
      <c r="J1924">
        <f>NOT(hospitalityq!J1924="")*(NOT(ISNUMBER(hospitalityq!J1924+0)))</f>
        <v>0</v>
      </c>
      <c r="K1924">
        <f>NOT(hospitalityq!K1924="")*(NOT(ISNUMBER(hospitalityq!K1924+0)))</f>
        <v>0</v>
      </c>
      <c r="P1924">
        <f>NOT(hospitalityq!P1924="")*(NOT(IFERROR(INT(hospitalityq!P1924)=VALUE(hospitalityq!P1924),FALSE)))</f>
        <v>0</v>
      </c>
      <c r="Q1924">
        <f>NOT(hospitalityq!Q1924="")*(NOT(IFERROR(INT(hospitalityq!Q1924)=VALUE(hospitalityq!Q1924),FALSE)))</f>
        <v>0</v>
      </c>
      <c r="R1924">
        <f>NOT(hospitalityq!R1924="")*(NOT(IFERROR(ROUND(VALUE(hospitalityq!R1924),2)=VALUE(hospitalityq!R1924),FALSE)))</f>
        <v>0</v>
      </c>
    </row>
    <row r="1925" spans="1:18" x14ac:dyDescent="0.25">
      <c r="A1925">
        <f t="shared" si="29"/>
        <v>0</v>
      </c>
      <c r="C1925">
        <f>NOT(hospitalityq!C1925="")*(SUMPRODUCT(--(TRIM(hospitalityq!C6:C1925)=TRIM(hospitalityq!C1925)))&gt;1)</f>
        <v>0</v>
      </c>
      <c r="D1925">
        <f>NOT(hospitalityq!D1925="")*(COUNTIF(reference!$C$17:$C$18,TRIM(hospitalityq!D1925))=0)</f>
        <v>0</v>
      </c>
      <c r="J1925">
        <f>NOT(hospitalityq!J1925="")*(NOT(ISNUMBER(hospitalityq!J1925+0)))</f>
        <v>0</v>
      </c>
      <c r="K1925">
        <f>NOT(hospitalityq!K1925="")*(NOT(ISNUMBER(hospitalityq!K1925+0)))</f>
        <v>0</v>
      </c>
      <c r="P1925">
        <f>NOT(hospitalityq!P1925="")*(NOT(IFERROR(INT(hospitalityq!P1925)=VALUE(hospitalityq!P1925),FALSE)))</f>
        <v>0</v>
      </c>
      <c r="Q1925">
        <f>NOT(hospitalityq!Q1925="")*(NOT(IFERROR(INT(hospitalityq!Q1925)=VALUE(hospitalityq!Q1925),FALSE)))</f>
        <v>0</v>
      </c>
      <c r="R1925">
        <f>NOT(hospitalityq!R1925="")*(NOT(IFERROR(ROUND(VALUE(hospitalityq!R1925),2)=VALUE(hospitalityq!R1925),FALSE)))</f>
        <v>0</v>
      </c>
    </row>
    <row r="1926" spans="1:18" x14ac:dyDescent="0.25">
      <c r="A1926">
        <f t="shared" ref="A1926:A1989" si="30">IFERROR(MATCH(TRUE,INDEX(C1926:R1926&lt;&gt;0,),)+2,0)</f>
        <v>0</v>
      </c>
      <c r="C1926">
        <f>NOT(hospitalityq!C1926="")*(SUMPRODUCT(--(TRIM(hospitalityq!C6:C1926)=TRIM(hospitalityq!C1926)))&gt;1)</f>
        <v>0</v>
      </c>
      <c r="D1926">
        <f>NOT(hospitalityq!D1926="")*(COUNTIF(reference!$C$17:$C$18,TRIM(hospitalityq!D1926))=0)</f>
        <v>0</v>
      </c>
      <c r="J1926">
        <f>NOT(hospitalityq!J1926="")*(NOT(ISNUMBER(hospitalityq!J1926+0)))</f>
        <v>0</v>
      </c>
      <c r="K1926">
        <f>NOT(hospitalityq!K1926="")*(NOT(ISNUMBER(hospitalityq!K1926+0)))</f>
        <v>0</v>
      </c>
      <c r="P1926">
        <f>NOT(hospitalityq!P1926="")*(NOT(IFERROR(INT(hospitalityq!P1926)=VALUE(hospitalityq!P1926),FALSE)))</f>
        <v>0</v>
      </c>
      <c r="Q1926">
        <f>NOT(hospitalityq!Q1926="")*(NOT(IFERROR(INT(hospitalityq!Q1926)=VALUE(hospitalityq!Q1926),FALSE)))</f>
        <v>0</v>
      </c>
      <c r="R1926">
        <f>NOT(hospitalityq!R1926="")*(NOT(IFERROR(ROUND(VALUE(hospitalityq!R1926),2)=VALUE(hospitalityq!R1926),FALSE)))</f>
        <v>0</v>
      </c>
    </row>
    <row r="1927" spans="1:18" x14ac:dyDescent="0.25">
      <c r="A1927">
        <f t="shared" si="30"/>
        <v>0</v>
      </c>
      <c r="C1927">
        <f>NOT(hospitalityq!C1927="")*(SUMPRODUCT(--(TRIM(hospitalityq!C6:C1927)=TRIM(hospitalityq!C1927)))&gt;1)</f>
        <v>0</v>
      </c>
      <c r="D1927">
        <f>NOT(hospitalityq!D1927="")*(COUNTIF(reference!$C$17:$C$18,TRIM(hospitalityq!D1927))=0)</f>
        <v>0</v>
      </c>
      <c r="J1927">
        <f>NOT(hospitalityq!J1927="")*(NOT(ISNUMBER(hospitalityq!J1927+0)))</f>
        <v>0</v>
      </c>
      <c r="K1927">
        <f>NOT(hospitalityq!K1927="")*(NOT(ISNUMBER(hospitalityq!K1927+0)))</f>
        <v>0</v>
      </c>
      <c r="P1927">
        <f>NOT(hospitalityq!P1927="")*(NOT(IFERROR(INT(hospitalityq!P1927)=VALUE(hospitalityq!P1927),FALSE)))</f>
        <v>0</v>
      </c>
      <c r="Q1927">
        <f>NOT(hospitalityq!Q1927="")*(NOT(IFERROR(INT(hospitalityq!Q1927)=VALUE(hospitalityq!Q1927),FALSE)))</f>
        <v>0</v>
      </c>
      <c r="R1927">
        <f>NOT(hospitalityq!R1927="")*(NOT(IFERROR(ROUND(VALUE(hospitalityq!R1927),2)=VALUE(hospitalityq!R1927),FALSE)))</f>
        <v>0</v>
      </c>
    </row>
    <row r="1928" spans="1:18" x14ac:dyDescent="0.25">
      <c r="A1928">
        <f t="shared" si="30"/>
        <v>0</v>
      </c>
      <c r="C1928">
        <f>NOT(hospitalityq!C1928="")*(SUMPRODUCT(--(TRIM(hospitalityq!C6:C1928)=TRIM(hospitalityq!C1928)))&gt;1)</f>
        <v>0</v>
      </c>
      <c r="D1928">
        <f>NOT(hospitalityq!D1928="")*(COUNTIF(reference!$C$17:$C$18,TRIM(hospitalityq!D1928))=0)</f>
        <v>0</v>
      </c>
      <c r="J1928">
        <f>NOT(hospitalityq!J1928="")*(NOT(ISNUMBER(hospitalityq!J1928+0)))</f>
        <v>0</v>
      </c>
      <c r="K1928">
        <f>NOT(hospitalityq!K1928="")*(NOT(ISNUMBER(hospitalityq!K1928+0)))</f>
        <v>0</v>
      </c>
      <c r="P1928">
        <f>NOT(hospitalityq!P1928="")*(NOT(IFERROR(INT(hospitalityq!P1928)=VALUE(hospitalityq!P1928),FALSE)))</f>
        <v>0</v>
      </c>
      <c r="Q1928">
        <f>NOT(hospitalityq!Q1928="")*(NOT(IFERROR(INT(hospitalityq!Q1928)=VALUE(hospitalityq!Q1928),FALSE)))</f>
        <v>0</v>
      </c>
      <c r="R1928">
        <f>NOT(hospitalityq!R1928="")*(NOT(IFERROR(ROUND(VALUE(hospitalityq!R1928),2)=VALUE(hospitalityq!R1928),FALSE)))</f>
        <v>0</v>
      </c>
    </row>
    <row r="1929" spans="1:18" x14ac:dyDescent="0.25">
      <c r="A1929">
        <f t="shared" si="30"/>
        <v>0</v>
      </c>
      <c r="C1929">
        <f>NOT(hospitalityq!C1929="")*(SUMPRODUCT(--(TRIM(hospitalityq!C6:C1929)=TRIM(hospitalityq!C1929)))&gt;1)</f>
        <v>0</v>
      </c>
      <c r="D1929">
        <f>NOT(hospitalityq!D1929="")*(COUNTIF(reference!$C$17:$C$18,TRIM(hospitalityq!D1929))=0)</f>
        <v>0</v>
      </c>
      <c r="J1929">
        <f>NOT(hospitalityq!J1929="")*(NOT(ISNUMBER(hospitalityq!J1929+0)))</f>
        <v>0</v>
      </c>
      <c r="K1929">
        <f>NOT(hospitalityq!K1929="")*(NOT(ISNUMBER(hospitalityq!K1929+0)))</f>
        <v>0</v>
      </c>
      <c r="P1929">
        <f>NOT(hospitalityq!P1929="")*(NOT(IFERROR(INT(hospitalityq!P1929)=VALUE(hospitalityq!P1929),FALSE)))</f>
        <v>0</v>
      </c>
      <c r="Q1929">
        <f>NOT(hospitalityq!Q1929="")*(NOT(IFERROR(INT(hospitalityq!Q1929)=VALUE(hospitalityq!Q1929),FALSE)))</f>
        <v>0</v>
      </c>
      <c r="R1929">
        <f>NOT(hospitalityq!R1929="")*(NOT(IFERROR(ROUND(VALUE(hospitalityq!R1929),2)=VALUE(hospitalityq!R1929),FALSE)))</f>
        <v>0</v>
      </c>
    </row>
    <row r="1930" spans="1:18" x14ac:dyDescent="0.25">
      <c r="A1930">
        <f t="shared" si="30"/>
        <v>0</v>
      </c>
      <c r="C1930">
        <f>NOT(hospitalityq!C1930="")*(SUMPRODUCT(--(TRIM(hospitalityq!C6:C1930)=TRIM(hospitalityq!C1930)))&gt;1)</f>
        <v>0</v>
      </c>
      <c r="D1930">
        <f>NOT(hospitalityq!D1930="")*(COUNTIF(reference!$C$17:$C$18,TRIM(hospitalityq!D1930))=0)</f>
        <v>0</v>
      </c>
      <c r="J1930">
        <f>NOT(hospitalityq!J1930="")*(NOT(ISNUMBER(hospitalityq!J1930+0)))</f>
        <v>0</v>
      </c>
      <c r="K1930">
        <f>NOT(hospitalityq!K1930="")*(NOT(ISNUMBER(hospitalityq!K1930+0)))</f>
        <v>0</v>
      </c>
      <c r="P1930">
        <f>NOT(hospitalityq!P1930="")*(NOT(IFERROR(INT(hospitalityq!P1930)=VALUE(hospitalityq!P1930),FALSE)))</f>
        <v>0</v>
      </c>
      <c r="Q1930">
        <f>NOT(hospitalityq!Q1930="")*(NOT(IFERROR(INT(hospitalityq!Q1930)=VALUE(hospitalityq!Q1930),FALSE)))</f>
        <v>0</v>
      </c>
      <c r="R1930">
        <f>NOT(hospitalityq!R1930="")*(NOT(IFERROR(ROUND(VALUE(hospitalityq!R1930),2)=VALUE(hospitalityq!R1930),FALSE)))</f>
        <v>0</v>
      </c>
    </row>
    <row r="1931" spans="1:18" x14ac:dyDescent="0.25">
      <c r="A1931">
        <f t="shared" si="30"/>
        <v>0</v>
      </c>
      <c r="C1931">
        <f>NOT(hospitalityq!C1931="")*(SUMPRODUCT(--(TRIM(hospitalityq!C6:C1931)=TRIM(hospitalityq!C1931)))&gt;1)</f>
        <v>0</v>
      </c>
      <c r="D1931">
        <f>NOT(hospitalityq!D1931="")*(COUNTIF(reference!$C$17:$C$18,TRIM(hospitalityq!D1931))=0)</f>
        <v>0</v>
      </c>
      <c r="J1931">
        <f>NOT(hospitalityq!J1931="")*(NOT(ISNUMBER(hospitalityq!J1931+0)))</f>
        <v>0</v>
      </c>
      <c r="K1931">
        <f>NOT(hospitalityq!K1931="")*(NOT(ISNUMBER(hospitalityq!K1931+0)))</f>
        <v>0</v>
      </c>
      <c r="P1931">
        <f>NOT(hospitalityq!P1931="")*(NOT(IFERROR(INT(hospitalityq!P1931)=VALUE(hospitalityq!P1931),FALSE)))</f>
        <v>0</v>
      </c>
      <c r="Q1931">
        <f>NOT(hospitalityq!Q1931="")*(NOT(IFERROR(INT(hospitalityq!Q1931)=VALUE(hospitalityq!Q1931),FALSE)))</f>
        <v>0</v>
      </c>
      <c r="R1931">
        <f>NOT(hospitalityq!R1931="")*(NOT(IFERROR(ROUND(VALUE(hospitalityq!R1931),2)=VALUE(hospitalityq!R1931),FALSE)))</f>
        <v>0</v>
      </c>
    </row>
    <row r="1932" spans="1:18" x14ac:dyDescent="0.25">
      <c r="A1932">
        <f t="shared" si="30"/>
        <v>0</v>
      </c>
      <c r="C1932">
        <f>NOT(hospitalityq!C1932="")*(SUMPRODUCT(--(TRIM(hospitalityq!C6:C1932)=TRIM(hospitalityq!C1932)))&gt;1)</f>
        <v>0</v>
      </c>
      <c r="D1932">
        <f>NOT(hospitalityq!D1932="")*(COUNTIF(reference!$C$17:$C$18,TRIM(hospitalityq!D1932))=0)</f>
        <v>0</v>
      </c>
      <c r="J1932">
        <f>NOT(hospitalityq!J1932="")*(NOT(ISNUMBER(hospitalityq!J1932+0)))</f>
        <v>0</v>
      </c>
      <c r="K1932">
        <f>NOT(hospitalityq!K1932="")*(NOT(ISNUMBER(hospitalityq!K1932+0)))</f>
        <v>0</v>
      </c>
      <c r="P1932">
        <f>NOT(hospitalityq!P1932="")*(NOT(IFERROR(INT(hospitalityq!P1932)=VALUE(hospitalityq!P1932),FALSE)))</f>
        <v>0</v>
      </c>
      <c r="Q1932">
        <f>NOT(hospitalityq!Q1932="")*(NOT(IFERROR(INT(hospitalityq!Q1932)=VALUE(hospitalityq!Q1932),FALSE)))</f>
        <v>0</v>
      </c>
      <c r="R1932">
        <f>NOT(hospitalityq!R1932="")*(NOT(IFERROR(ROUND(VALUE(hospitalityq!R1932),2)=VALUE(hospitalityq!R1932),FALSE)))</f>
        <v>0</v>
      </c>
    </row>
    <row r="1933" spans="1:18" x14ac:dyDescent="0.25">
      <c r="A1933">
        <f t="shared" si="30"/>
        <v>0</v>
      </c>
      <c r="C1933">
        <f>NOT(hospitalityq!C1933="")*(SUMPRODUCT(--(TRIM(hospitalityq!C6:C1933)=TRIM(hospitalityq!C1933)))&gt;1)</f>
        <v>0</v>
      </c>
      <c r="D1933">
        <f>NOT(hospitalityq!D1933="")*(COUNTIF(reference!$C$17:$C$18,TRIM(hospitalityq!D1933))=0)</f>
        <v>0</v>
      </c>
      <c r="J1933">
        <f>NOT(hospitalityq!J1933="")*(NOT(ISNUMBER(hospitalityq!J1933+0)))</f>
        <v>0</v>
      </c>
      <c r="K1933">
        <f>NOT(hospitalityq!K1933="")*(NOT(ISNUMBER(hospitalityq!K1933+0)))</f>
        <v>0</v>
      </c>
      <c r="P1933">
        <f>NOT(hospitalityq!P1933="")*(NOT(IFERROR(INT(hospitalityq!P1933)=VALUE(hospitalityq!P1933),FALSE)))</f>
        <v>0</v>
      </c>
      <c r="Q1933">
        <f>NOT(hospitalityq!Q1933="")*(NOT(IFERROR(INT(hospitalityq!Q1933)=VALUE(hospitalityq!Q1933),FALSE)))</f>
        <v>0</v>
      </c>
      <c r="R1933">
        <f>NOT(hospitalityq!R1933="")*(NOT(IFERROR(ROUND(VALUE(hospitalityq!R1933),2)=VALUE(hospitalityq!R1933),FALSE)))</f>
        <v>0</v>
      </c>
    </row>
    <row r="1934" spans="1:18" x14ac:dyDescent="0.25">
      <c r="A1934">
        <f t="shared" si="30"/>
        <v>0</v>
      </c>
      <c r="C1934">
        <f>NOT(hospitalityq!C1934="")*(SUMPRODUCT(--(TRIM(hospitalityq!C6:C1934)=TRIM(hospitalityq!C1934)))&gt;1)</f>
        <v>0</v>
      </c>
      <c r="D1934">
        <f>NOT(hospitalityq!D1934="")*(COUNTIF(reference!$C$17:$C$18,TRIM(hospitalityq!D1934))=0)</f>
        <v>0</v>
      </c>
      <c r="J1934">
        <f>NOT(hospitalityq!J1934="")*(NOT(ISNUMBER(hospitalityq!J1934+0)))</f>
        <v>0</v>
      </c>
      <c r="K1934">
        <f>NOT(hospitalityq!K1934="")*(NOT(ISNUMBER(hospitalityq!K1934+0)))</f>
        <v>0</v>
      </c>
      <c r="P1934">
        <f>NOT(hospitalityq!P1934="")*(NOT(IFERROR(INT(hospitalityq!P1934)=VALUE(hospitalityq!P1934),FALSE)))</f>
        <v>0</v>
      </c>
      <c r="Q1934">
        <f>NOT(hospitalityq!Q1934="")*(NOT(IFERROR(INT(hospitalityq!Q1934)=VALUE(hospitalityq!Q1934),FALSE)))</f>
        <v>0</v>
      </c>
      <c r="R1934">
        <f>NOT(hospitalityq!R1934="")*(NOT(IFERROR(ROUND(VALUE(hospitalityq!R1934),2)=VALUE(hospitalityq!R1934),FALSE)))</f>
        <v>0</v>
      </c>
    </row>
    <row r="1935" spans="1:18" x14ac:dyDescent="0.25">
      <c r="A1935">
        <f t="shared" si="30"/>
        <v>0</v>
      </c>
      <c r="C1935">
        <f>NOT(hospitalityq!C1935="")*(SUMPRODUCT(--(TRIM(hospitalityq!C6:C1935)=TRIM(hospitalityq!C1935)))&gt;1)</f>
        <v>0</v>
      </c>
      <c r="D1935">
        <f>NOT(hospitalityq!D1935="")*(COUNTIF(reference!$C$17:$C$18,TRIM(hospitalityq!D1935))=0)</f>
        <v>0</v>
      </c>
      <c r="J1935">
        <f>NOT(hospitalityq!J1935="")*(NOT(ISNUMBER(hospitalityq!J1935+0)))</f>
        <v>0</v>
      </c>
      <c r="K1935">
        <f>NOT(hospitalityq!K1935="")*(NOT(ISNUMBER(hospitalityq!K1935+0)))</f>
        <v>0</v>
      </c>
      <c r="P1935">
        <f>NOT(hospitalityq!P1935="")*(NOT(IFERROR(INT(hospitalityq!P1935)=VALUE(hospitalityq!P1935),FALSE)))</f>
        <v>0</v>
      </c>
      <c r="Q1935">
        <f>NOT(hospitalityq!Q1935="")*(NOT(IFERROR(INT(hospitalityq!Q1935)=VALUE(hospitalityq!Q1935),FALSE)))</f>
        <v>0</v>
      </c>
      <c r="R1935">
        <f>NOT(hospitalityq!R1935="")*(NOT(IFERROR(ROUND(VALUE(hospitalityq!R1935),2)=VALUE(hospitalityq!R1935),FALSE)))</f>
        <v>0</v>
      </c>
    </row>
    <row r="1936" spans="1:18" x14ac:dyDescent="0.25">
      <c r="A1936">
        <f t="shared" si="30"/>
        <v>0</v>
      </c>
      <c r="C1936">
        <f>NOT(hospitalityq!C1936="")*(SUMPRODUCT(--(TRIM(hospitalityq!C6:C1936)=TRIM(hospitalityq!C1936)))&gt;1)</f>
        <v>0</v>
      </c>
      <c r="D1936">
        <f>NOT(hospitalityq!D1936="")*(COUNTIF(reference!$C$17:$C$18,TRIM(hospitalityq!D1936))=0)</f>
        <v>0</v>
      </c>
      <c r="J1936">
        <f>NOT(hospitalityq!J1936="")*(NOT(ISNUMBER(hospitalityq!J1936+0)))</f>
        <v>0</v>
      </c>
      <c r="K1936">
        <f>NOT(hospitalityq!K1936="")*(NOT(ISNUMBER(hospitalityq!K1936+0)))</f>
        <v>0</v>
      </c>
      <c r="P1936">
        <f>NOT(hospitalityq!P1936="")*(NOT(IFERROR(INT(hospitalityq!P1936)=VALUE(hospitalityq!P1936),FALSE)))</f>
        <v>0</v>
      </c>
      <c r="Q1936">
        <f>NOT(hospitalityq!Q1936="")*(NOT(IFERROR(INT(hospitalityq!Q1936)=VALUE(hospitalityq!Q1936),FALSE)))</f>
        <v>0</v>
      </c>
      <c r="R1936">
        <f>NOT(hospitalityq!R1936="")*(NOT(IFERROR(ROUND(VALUE(hospitalityq!R1936),2)=VALUE(hospitalityq!R1936),FALSE)))</f>
        <v>0</v>
      </c>
    </row>
    <row r="1937" spans="1:18" x14ac:dyDescent="0.25">
      <c r="A1937">
        <f t="shared" si="30"/>
        <v>0</v>
      </c>
      <c r="C1937">
        <f>NOT(hospitalityq!C1937="")*(SUMPRODUCT(--(TRIM(hospitalityq!C6:C1937)=TRIM(hospitalityq!C1937)))&gt;1)</f>
        <v>0</v>
      </c>
      <c r="D1937">
        <f>NOT(hospitalityq!D1937="")*(COUNTIF(reference!$C$17:$C$18,TRIM(hospitalityq!D1937))=0)</f>
        <v>0</v>
      </c>
      <c r="J1937">
        <f>NOT(hospitalityq!J1937="")*(NOT(ISNUMBER(hospitalityq!J1937+0)))</f>
        <v>0</v>
      </c>
      <c r="K1937">
        <f>NOT(hospitalityq!K1937="")*(NOT(ISNUMBER(hospitalityq!K1937+0)))</f>
        <v>0</v>
      </c>
      <c r="P1937">
        <f>NOT(hospitalityq!P1937="")*(NOT(IFERROR(INT(hospitalityq!P1937)=VALUE(hospitalityq!P1937),FALSE)))</f>
        <v>0</v>
      </c>
      <c r="Q1937">
        <f>NOT(hospitalityq!Q1937="")*(NOT(IFERROR(INT(hospitalityq!Q1937)=VALUE(hospitalityq!Q1937),FALSE)))</f>
        <v>0</v>
      </c>
      <c r="R1937">
        <f>NOT(hospitalityq!R1937="")*(NOT(IFERROR(ROUND(VALUE(hospitalityq!R1937),2)=VALUE(hospitalityq!R1937),FALSE)))</f>
        <v>0</v>
      </c>
    </row>
    <row r="1938" spans="1:18" x14ac:dyDescent="0.25">
      <c r="A1938">
        <f t="shared" si="30"/>
        <v>0</v>
      </c>
      <c r="C1938">
        <f>NOT(hospitalityq!C1938="")*(SUMPRODUCT(--(TRIM(hospitalityq!C6:C1938)=TRIM(hospitalityq!C1938)))&gt;1)</f>
        <v>0</v>
      </c>
      <c r="D1938">
        <f>NOT(hospitalityq!D1938="")*(COUNTIF(reference!$C$17:$C$18,TRIM(hospitalityq!D1938))=0)</f>
        <v>0</v>
      </c>
      <c r="J1938">
        <f>NOT(hospitalityq!J1938="")*(NOT(ISNUMBER(hospitalityq!J1938+0)))</f>
        <v>0</v>
      </c>
      <c r="K1938">
        <f>NOT(hospitalityq!K1938="")*(NOT(ISNUMBER(hospitalityq!K1938+0)))</f>
        <v>0</v>
      </c>
      <c r="P1938">
        <f>NOT(hospitalityq!P1938="")*(NOT(IFERROR(INT(hospitalityq!P1938)=VALUE(hospitalityq!P1938),FALSE)))</f>
        <v>0</v>
      </c>
      <c r="Q1938">
        <f>NOT(hospitalityq!Q1938="")*(NOT(IFERROR(INT(hospitalityq!Q1938)=VALUE(hospitalityq!Q1938),FALSE)))</f>
        <v>0</v>
      </c>
      <c r="R1938">
        <f>NOT(hospitalityq!R1938="")*(NOT(IFERROR(ROUND(VALUE(hospitalityq!R1938),2)=VALUE(hospitalityq!R1938),FALSE)))</f>
        <v>0</v>
      </c>
    </row>
    <row r="1939" spans="1:18" x14ac:dyDescent="0.25">
      <c r="A1939">
        <f t="shared" si="30"/>
        <v>0</v>
      </c>
      <c r="C1939">
        <f>NOT(hospitalityq!C1939="")*(SUMPRODUCT(--(TRIM(hospitalityq!C6:C1939)=TRIM(hospitalityq!C1939)))&gt;1)</f>
        <v>0</v>
      </c>
      <c r="D1939">
        <f>NOT(hospitalityq!D1939="")*(COUNTIF(reference!$C$17:$C$18,TRIM(hospitalityq!D1939))=0)</f>
        <v>0</v>
      </c>
      <c r="J1939">
        <f>NOT(hospitalityq!J1939="")*(NOT(ISNUMBER(hospitalityq!J1939+0)))</f>
        <v>0</v>
      </c>
      <c r="K1939">
        <f>NOT(hospitalityq!K1939="")*(NOT(ISNUMBER(hospitalityq!K1939+0)))</f>
        <v>0</v>
      </c>
      <c r="P1939">
        <f>NOT(hospitalityq!P1939="")*(NOT(IFERROR(INT(hospitalityq!P1939)=VALUE(hospitalityq!P1939),FALSE)))</f>
        <v>0</v>
      </c>
      <c r="Q1939">
        <f>NOT(hospitalityq!Q1939="")*(NOT(IFERROR(INT(hospitalityq!Q1939)=VALUE(hospitalityq!Q1939),FALSE)))</f>
        <v>0</v>
      </c>
      <c r="R1939">
        <f>NOT(hospitalityq!R1939="")*(NOT(IFERROR(ROUND(VALUE(hospitalityq!R1939),2)=VALUE(hospitalityq!R1939),FALSE)))</f>
        <v>0</v>
      </c>
    </row>
    <row r="1940" spans="1:18" x14ac:dyDescent="0.25">
      <c r="A1940">
        <f t="shared" si="30"/>
        <v>0</v>
      </c>
      <c r="C1940">
        <f>NOT(hospitalityq!C1940="")*(SUMPRODUCT(--(TRIM(hospitalityq!C6:C1940)=TRIM(hospitalityq!C1940)))&gt;1)</f>
        <v>0</v>
      </c>
      <c r="D1940">
        <f>NOT(hospitalityq!D1940="")*(COUNTIF(reference!$C$17:$C$18,TRIM(hospitalityq!D1940))=0)</f>
        <v>0</v>
      </c>
      <c r="J1940">
        <f>NOT(hospitalityq!J1940="")*(NOT(ISNUMBER(hospitalityq!J1940+0)))</f>
        <v>0</v>
      </c>
      <c r="K1940">
        <f>NOT(hospitalityq!K1940="")*(NOT(ISNUMBER(hospitalityq!K1940+0)))</f>
        <v>0</v>
      </c>
      <c r="P1940">
        <f>NOT(hospitalityq!P1940="")*(NOT(IFERROR(INT(hospitalityq!P1940)=VALUE(hospitalityq!P1940),FALSE)))</f>
        <v>0</v>
      </c>
      <c r="Q1940">
        <f>NOT(hospitalityq!Q1940="")*(NOT(IFERROR(INT(hospitalityq!Q1940)=VALUE(hospitalityq!Q1940),FALSE)))</f>
        <v>0</v>
      </c>
      <c r="R1940">
        <f>NOT(hospitalityq!R1940="")*(NOT(IFERROR(ROUND(VALUE(hospitalityq!R1940),2)=VALUE(hospitalityq!R1940),FALSE)))</f>
        <v>0</v>
      </c>
    </row>
    <row r="1941" spans="1:18" x14ac:dyDescent="0.25">
      <c r="A1941">
        <f t="shared" si="30"/>
        <v>0</v>
      </c>
      <c r="C1941">
        <f>NOT(hospitalityq!C1941="")*(SUMPRODUCT(--(TRIM(hospitalityq!C6:C1941)=TRIM(hospitalityq!C1941)))&gt;1)</f>
        <v>0</v>
      </c>
      <c r="D1941">
        <f>NOT(hospitalityq!D1941="")*(COUNTIF(reference!$C$17:$C$18,TRIM(hospitalityq!D1941))=0)</f>
        <v>0</v>
      </c>
      <c r="J1941">
        <f>NOT(hospitalityq!J1941="")*(NOT(ISNUMBER(hospitalityq!J1941+0)))</f>
        <v>0</v>
      </c>
      <c r="K1941">
        <f>NOT(hospitalityq!K1941="")*(NOT(ISNUMBER(hospitalityq!K1941+0)))</f>
        <v>0</v>
      </c>
      <c r="P1941">
        <f>NOT(hospitalityq!P1941="")*(NOT(IFERROR(INT(hospitalityq!P1941)=VALUE(hospitalityq!P1941),FALSE)))</f>
        <v>0</v>
      </c>
      <c r="Q1941">
        <f>NOT(hospitalityq!Q1941="")*(NOT(IFERROR(INT(hospitalityq!Q1941)=VALUE(hospitalityq!Q1941),FALSE)))</f>
        <v>0</v>
      </c>
      <c r="R1941">
        <f>NOT(hospitalityq!R1941="")*(NOT(IFERROR(ROUND(VALUE(hospitalityq!R1941),2)=VALUE(hospitalityq!R1941),FALSE)))</f>
        <v>0</v>
      </c>
    </row>
    <row r="1942" spans="1:18" x14ac:dyDescent="0.25">
      <c r="A1942">
        <f t="shared" si="30"/>
        <v>0</v>
      </c>
      <c r="C1942">
        <f>NOT(hospitalityq!C1942="")*(SUMPRODUCT(--(TRIM(hospitalityq!C6:C1942)=TRIM(hospitalityq!C1942)))&gt;1)</f>
        <v>0</v>
      </c>
      <c r="D1942">
        <f>NOT(hospitalityq!D1942="")*(COUNTIF(reference!$C$17:$C$18,TRIM(hospitalityq!D1942))=0)</f>
        <v>0</v>
      </c>
      <c r="J1942">
        <f>NOT(hospitalityq!J1942="")*(NOT(ISNUMBER(hospitalityq!J1942+0)))</f>
        <v>0</v>
      </c>
      <c r="K1942">
        <f>NOT(hospitalityq!K1942="")*(NOT(ISNUMBER(hospitalityq!K1942+0)))</f>
        <v>0</v>
      </c>
      <c r="P1942">
        <f>NOT(hospitalityq!P1942="")*(NOT(IFERROR(INT(hospitalityq!P1942)=VALUE(hospitalityq!P1942),FALSE)))</f>
        <v>0</v>
      </c>
      <c r="Q1942">
        <f>NOT(hospitalityq!Q1942="")*(NOT(IFERROR(INT(hospitalityq!Q1942)=VALUE(hospitalityq!Q1942),FALSE)))</f>
        <v>0</v>
      </c>
      <c r="R1942">
        <f>NOT(hospitalityq!R1942="")*(NOT(IFERROR(ROUND(VALUE(hospitalityq!R1942),2)=VALUE(hospitalityq!R1942),FALSE)))</f>
        <v>0</v>
      </c>
    </row>
    <row r="1943" spans="1:18" x14ac:dyDescent="0.25">
      <c r="A1943">
        <f t="shared" si="30"/>
        <v>0</v>
      </c>
      <c r="C1943">
        <f>NOT(hospitalityq!C1943="")*(SUMPRODUCT(--(TRIM(hospitalityq!C6:C1943)=TRIM(hospitalityq!C1943)))&gt;1)</f>
        <v>0</v>
      </c>
      <c r="D1943">
        <f>NOT(hospitalityq!D1943="")*(COUNTIF(reference!$C$17:$C$18,TRIM(hospitalityq!D1943))=0)</f>
        <v>0</v>
      </c>
      <c r="J1943">
        <f>NOT(hospitalityq!J1943="")*(NOT(ISNUMBER(hospitalityq!J1943+0)))</f>
        <v>0</v>
      </c>
      <c r="K1943">
        <f>NOT(hospitalityq!K1943="")*(NOT(ISNUMBER(hospitalityq!K1943+0)))</f>
        <v>0</v>
      </c>
      <c r="P1943">
        <f>NOT(hospitalityq!P1943="")*(NOT(IFERROR(INT(hospitalityq!P1943)=VALUE(hospitalityq!P1943),FALSE)))</f>
        <v>0</v>
      </c>
      <c r="Q1943">
        <f>NOT(hospitalityq!Q1943="")*(NOT(IFERROR(INT(hospitalityq!Q1943)=VALUE(hospitalityq!Q1943),FALSE)))</f>
        <v>0</v>
      </c>
      <c r="R1943">
        <f>NOT(hospitalityq!R1943="")*(NOT(IFERROR(ROUND(VALUE(hospitalityq!R1943),2)=VALUE(hospitalityq!R1943),FALSE)))</f>
        <v>0</v>
      </c>
    </row>
    <row r="1944" spans="1:18" x14ac:dyDescent="0.25">
      <c r="A1944">
        <f t="shared" si="30"/>
        <v>0</v>
      </c>
      <c r="C1944">
        <f>NOT(hospitalityq!C1944="")*(SUMPRODUCT(--(TRIM(hospitalityq!C6:C1944)=TRIM(hospitalityq!C1944)))&gt;1)</f>
        <v>0</v>
      </c>
      <c r="D1944">
        <f>NOT(hospitalityq!D1944="")*(COUNTIF(reference!$C$17:$C$18,TRIM(hospitalityq!D1944))=0)</f>
        <v>0</v>
      </c>
      <c r="J1944">
        <f>NOT(hospitalityq!J1944="")*(NOT(ISNUMBER(hospitalityq!J1944+0)))</f>
        <v>0</v>
      </c>
      <c r="K1944">
        <f>NOT(hospitalityq!K1944="")*(NOT(ISNUMBER(hospitalityq!K1944+0)))</f>
        <v>0</v>
      </c>
      <c r="P1944">
        <f>NOT(hospitalityq!P1944="")*(NOT(IFERROR(INT(hospitalityq!P1944)=VALUE(hospitalityq!P1944),FALSE)))</f>
        <v>0</v>
      </c>
      <c r="Q1944">
        <f>NOT(hospitalityq!Q1944="")*(NOT(IFERROR(INT(hospitalityq!Q1944)=VALUE(hospitalityq!Q1944),FALSE)))</f>
        <v>0</v>
      </c>
      <c r="R1944">
        <f>NOT(hospitalityq!R1944="")*(NOT(IFERROR(ROUND(VALUE(hospitalityq!R1944),2)=VALUE(hospitalityq!R1944),FALSE)))</f>
        <v>0</v>
      </c>
    </row>
    <row r="1945" spans="1:18" x14ac:dyDescent="0.25">
      <c r="A1945">
        <f t="shared" si="30"/>
        <v>0</v>
      </c>
      <c r="C1945">
        <f>NOT(hospitalityq!C1945="")*(SUMPRODUCT(--(TRIM(hospitalityq!C6:C1945)=TRIM(hospitalityq!C1945)))&gt;1)</f>
        <v>0</v>
      </c>
      <c r="D1945">
        <f>NOT(hospitalityq!D1945="")*(COUNTIF(reference!$C$17:$C$18,TRIM(hospitalityq!D1945))=0)</f>
        <v>0</v>
      </c>
      <c r="J1945">
        <f>NOT(hospitalityq!J1945="")*(NOT(ISNUMBER(hospitalityq!J1945+0)))</f>
        <v>0</v>
      </c>
      <c r="K1945">
        <f>NOT(hospitalityq!K1945="")*(NOT(ISNUMBER(hospitalityq!K1945+0)))</f>
        <v>0</v>
      </c>
      <c r="P1945">
        <f>NOT(hospitalityq!P1945="")*(NOT(IFERROR(INT(hospitalityq!P1945)=VALUE(hospitalityq!P1945),FALSE)))</f>
        <v>0</v>
      </c>
      <c r="Q1945">
        <f>NOT(hospitalityq!Q1945="")*(NOT(IFERROR(INT(hospitalityq!Q1945)=VALUE(hospitalityq!Q1945),FALSE)))</f>
        <v>0</v>
      </c>
      <c r="R1945">
        <f>NOT(hospitalityq!R1945="")*(NOT(IFERROR(ROUND(VALUE(hospitalityq!R1945),2)=VALUE(hospitalityq!R1945),FALSE)))</f>
        <v>0</v>
      </c>
    </row>
    <row r="1946" spans="1:18" x14ac:dyDescent="0.25">
      <c r="A1946">
        <f t="shared" si="30"/>
        <v>0</v>
      </c>
      <c r="C1946">
        <f>NOT(hospitalityq!C1946="")*(SUMPRODUCT(--(TRIM(hospitalityq!C6:C1946)=TRIM(hospitalityq!C1946)))&gt;1)</f>
        <v>0</v>
      </c>
      <c r="D1946">
        <f>NOT(hospitalityq!D1946="")*(COUNTIF(reference!$C$17:$C$18,TRIM(hospitalityq!D1946))=0)</f>
        <v>0</v>
      </c>
      <c r="J1946">
        <f>NOT(hospitalityq!J1946="")*(NOT(ISNUMBER(hospitalityq!J1946+0)))</f>
        <v>0</v>
      </c>
      <c r="K1946">
        <f>NOT(hospitalityq!K1946="")*(NOT(ISNUMBER(hospitalityq!K1946+0)))</f>
        <v>0</v>
      </c>
      <c r="P1946">
        <f>NOT(hospitalityq!P1946="")*(NOT(IFERROR(INT(hospitalityq!P1946)=VALUE(hospitalityq!P1946),FALSE)))</f>
        <v>0</v>
      </c>
      <c r="Q1946">
        <f>NOT(hospitalityq!Q1946="")*(NOT(IFERROR(INT(hospitalityq!Q1946)=VALUE(hospitalityq!Q1946),FALSE)))</f>
        <v>0</v>
      </c>
      <c r="R1946">
        <f>NOT(hospitalityq!R1946="")*(NOT(IFERROR(ROUND(VALUE(hospitalityq!R1946),2)=VALUE(hospitalityq!R1946),FALSE)))</f>
        <v>0</v>
      </c>
    </row>
    <row r="1947" spans="1:18" x14ac:dyDescent="0.25">
      <c r="A1947">
        <f t="shared" si="30"/>
        <v>0</v>
      </c>
      <c r="C1947">
        <f>NOT(hospitalityq!C1947="")*(SUMPRODUCT(--(TRIM(hospitalityq!C6:C1947)=TRIM(hospitalityq!C1947)))&gt;1)</f>
        <v>0</v>
      </c>
      <c r="D1947">
        <f>NOT(hospitalityq!D1947="")*(COUNTIF(reference!$C$17:$C$18,TRIM(hospitalityq!D1947))=0)</f>
        <v>0</v>
      </c>
      <c r="J1947">
        <f>NOT(hospitalityq!J1947="")*(NOT(ISNUMBER(hospitalityq!J1947+0)))</f>
        <v>0</v>
      </c>
      <c r="K1947">
        <f>NOT(hospitalityq!K1947="")*(NOT(ISNUMBER(hospitalityq!K1947+0)))</f>
        <v>0</v>
      </c>
      <c r="P1947">
        <f>NOT(hospitalityq!P1947="")*(NOT(IFERROR(INT(hospitalityq!P1947)=VALUE(hospitalityq!P1947),FALSE)))</f>
        <v>0</v>
      </c>
      <c r="Q1947">
        <f>NOT(hospitalityq!Q1947="")*(NOT(IFERROR(INT(hospitalityq!Q1947)=VALUE(hospitalityq!Q1947),FALSE)))</f>
        <v>0</v>
      </c>
      <c r="R1947">
        <f>NOT(hospitalityq!R1947="")*(NOT(IFERROR(ROUND(VALUE(hospitalityq!R1947),2)=VALUE(hospitalityq!R1947),FALSE)))</f>
        <v>0</v>
      </c>
    </row>
    <row r="1948" spans="1:18" x14ac:dyDescent="0.25">
      <c r="A1948">
        <f t="shared" si="30"/>
        <v>0</v>
      </c>
      <c r="C1948">
        <f>NOT(hospitalityq!C1948="")*(SUMPRODUCT(--(TRIM(hospitalityq!C6:C1948)=TRIM(hospitalityq!C1948)))&gt;1)</f>
        <v>0</v>
      </c>
      <c r="D1948">
        <f>NOT(hospitalityq!D1948="")*(COUNTIF(reference!$C$17:$C$18,TRIM(hospitalityq!D1948))=0)</f>
        <v>0</v>
      </c>
      <c r="J1948">
        <f>NOT(hospitalityq!J1948="")*(NOT(ISNUMBER(hospitalityq!J1948+0)))</f>
        <v>0</v>
      </c>
      <c r="K1948">
        <f>NOT(hospitalityq!K1948="")*(NOT(ISNUMBER(hospitalityq!K1948+0)))</f>
        <v>0</v>
      </c>
      <c r="P1948">
        <f>NOT(hospitalityq!P1948="")*(NOT(IFERROR(INT(hospitalityq!P1948)=VALUE(hospitalityq!P1948),FALSE)))</f>
        <v>0</v>
      </c>
      <c r="Q1948">
        <f>NOT(hospitalityq!Q1948="")*(NOT(IFERROR(INT(hospitalityq!Q1948)=VALUE(hospitalityq!Q1948),FALSE)))</f>
        <v>0</v>
      </c>
      <c r="R1948">
        <f>NOT(hospitalityq!R1948="")*(NOT(IFERROR(ROUND(VALUE(hospitalityq!R1948),2)=VALUE(hospitalityq!R1948),FALSE)))</f>
        <v>0</v>
      </c>
    </row>
    <row r="1949" spans="1:18" x14ac:dyDescent="0.25">
      <c r="A1949">
        <f t="shared" si="30"/>
        <v>0</v>
      </c>
      <c r="C1949">
        <f>NOT(hospitalityq!C1949="")*(SUMPRODUCT(--(TRIM(hospitalityq!C6:C1949)=TRIM(hospitalityq!C1949)))&gt;1)</f>
        <v>0</v>
      </c>
      <c r="D1949">
        <f>NOT(hospitalityq!D1949="")*(COUNTIF(reference!$C$17:$C$18,TRIM(hospitalityq!D1949))=0)</f>
        <v>0</v>
      </c>
      <c r="J1949">
        <f>NOT(hospitalityq!J1949="")*(NOT(ISNUMBER(hospitalityq!J1949+0)))</f>
        <v>0</v>
      </c>
      <c r="K1949">
        <f>NOT(hospitalityq!K1949="")*(NOT(ISNUMBER(hospitalityq!K1949+0)))</f>
        <v>0</v>
      </c>
      <c r="P1949">
        <f>NOT(hospitalityq!P1949="")*(NOT(IFERROR(INT(hospitalityq!P1949)=VALUE(hospitalityq!P1949),FALSE)))</f>
        <v>0</v>
      </c>
      <c r="Q1949">
        <f>NOT(hospitalityq!Q1949="")*(NOT(IFERROR(INT(hospitalityq!Q1949)=VALUE(hospitalityq!Q1949),FALSE)))</f>
        <v>0</v>
      </c>
      <c r="R1949">
        <f>NOT(hospitalityq!R1949="")*(NOT(IFERROR(ROUND(VALUE(hospitalityq!R1949),2)=VALUE(hospitalityq!R1949),FALSE)))</f>
        <v>0</v>
      </c>
    </row>
    <row r="1950" spans="1:18" x14ac:dyDescent="0.25">
      <c r="A1950">
        <f t="shared" si="30"/>
        <v>0</v>
      </c>
      <c r="C1950">
        <f>NOT(hospitalityq!C1950="")*(SUMPRODUCT(--(TRIM(hospitalityq!C6:C1950)=TRIM(hospitalityq!C1950)))&gt;1)</f>
        <v>0</v>
      </c>
      <c r="D1950">
        <f>NOT(hospitalityq!D1950="")*(COUNTIF(reference!$C$17:$C$18,TRIM(hospitalityq!D1950))=0)</f>
        <v>0</v>
      </c>
      <c r="J1950">
        <f>NOT(hospitalityq!J1950="")*(NOT(ISNUMBER(hospitalityq!J1950+0)))</f>
        <v>0</v>
      </c>
      <c r="K1950">
        <f>NOT(hospitalityq!K1950="")*(NOT(ISNUMBER(hospitalityq!K1950+0)))</f>
        <v>0</v>
      </c>
      <c r="P1950">
        <f>NOT(hospitalityq!P1950="")*(NOT(IFERROR(INT(hospitalityq!P1950)=VALUE(hospitalityq!P1950),FALSE)))</f>
        <v>0</v>
      </c>
      <c r="Q1950">
        <f>NOT(hospitalityq!Q1950="")*(NOT(IFERROR(INT(hospitalityq!Q1950)=VALUE(hospitalityq!Q1950),FALSE)))</f>
        <v>0</v>
      </c>
      <c r="R1950">
        <f>NOT(hospitalityq!R1950="")*(NOT(IFERROR(ROUND(VALUE(hospitalityq!R1950),2)=VALUE(hospitalityq!R1950),FALSE)))</f>
        <v>0</v>
      </c>
    </row>
    <row r="1951" spans="1:18" x14ac:dyDescent="0.25">
      <c r="A1951">
        <f t="shared" si="30"/>
        <v>0</v>
      </c>
      <c r="C1951">
        <f>NOT(hospitalityq!C1951="")*(SUMPRODUCT(--(TRIM(hospitalityq!C6:C1951)=TRIM(hospitalityq!C1951)))&gt;1)</f>
        <v>0</v>
      </c>
      <c r="D1951">
        <f>NOT(hospitalityq!D1951="")*(COUNTIF(reference!$C$17:$C$18,TRIM(hospitalityq!D1951))=0)</f>
        <v>0</v>
      </c>
      <c r="J1951">
        <f>NOT(hospitalityq!J1951="")*(NOT(ISNUMBER(hospitalityq!J1951+0)))</f>
        <v>0</v>
      </c>
      <c r="K1951">
        <f>NOT(hospitalityq!K1951="")*(NOT(ISNUMBER(hospitalityq!K1951+0)))</f>
        <v>0</v>
      </c>
      <c r="P1951">
        <f>NOT(hospitalityq!P1951="")*(NOT(IFERROR(INT(hospitalityq!P1951)=VALUE(hospitalityq!P1951),FALSE)))</f>
        <v>0</v>
      </c>
      <c r="Q1951">
        <f>NOT(hospitalityq!Q1951="")*(NOT(IFERROR(INT(hospitalityq!Q1951)=VALUE(hospitalityq!Q1951),FALSE)))</f>
        <v>0</v>
      </c>
      <c r="R1951">
        <f>NOT(hospitalityq!R1951="")*(NOT(IFERROR(ROUND(VALUE(hospitalityq!R1951),2)=VALUE(hospitalityq!R1951),FALSE)))</f>
        <v>0</v>
      </c>
    </row>
    <row r="1952" spans="1:18" x14ac:dyDescent="0.25">
      <c r="A1952">
        <f t="shared" si="30"/>
        <v>0</v>
      </c>
      <c r="C1952">
        <f>NOT(hospitalityq!C1952="")*(SUMPRODUCT(--(TRIM(hospitalityq!C6:C1952)=TRIM(hospitalityq!C1952)))&gt;1)</f>
        <v>0</v>
      </c>
      <c r="D1952">
        <f>NOT(hospitalityq!D1952="")*(COUNTIF(reference!$C$17:$C$18,TRIM(hospitalityq!D1952))=0)</f>
        <v>0</v>
      </c>
      <c r="J1952">
        <f>NOT(hospitalityq!J1952="")*(NOT(ISNUMBER(hospitalityq!J1952+0)))</f>
        <v>0</v>
      </c>
      <c r="K1952">
        <f>NOT(hospitalityq!K1952="")*(NOT(ISNUMBER(hospitalityq!K1952+0)))</f>
        <v>0</v>
      </c>
      <c r="P1952">
        <f>NOT(hospitalityq!P1952="")*(NOT(IFERROR(INT(hospitalityq!P1952)=VALUE(hospitalityq!P1952),FALSE)))</f>
        <v>0</v>
      </c>
      <c r="Q1952">
        <f>NOT(hospitalityq!Q1952="")*(NOT(IFERROR(INT(hospitalityq!Q1952)=VALUE(hospitalityq!Q1952),FALSE)))</f>
        <v>0</v>
      </c>
      <c r="R1952">
        <f>NOT(hospitalityq!R1952="")*(NOT(IFERROR(ROUND(VALUE(hospitalityq!R1952),2)=VALUE(hospitalityq!R1952),FALSE)))</f>
        <v>0</v>
      </c>
    </row>
    <row r="1953" spans="1:18" x14ac:dyDescent="0.25">
      <c r="A1953">
        <f t="shared" si="30"/>
        <v>0</v>
      </c>
      <c r="C1953">
        <f>NOT(hospitalityq!C1953="")*(SUMPRODUCT(--(TRIM(hospitalityq!C6:C1953)=TRIM(hospitalityq!C1953)))&gt;1)</f>
        <v>0</v>
      </c>
      <c r="D1953">
        <f>NOT(hospitalityq!D1953="")*(COUNTIF(reference!$C$17:$C$18,TRIM(hospitalityq!D1953))=0)</f>
        <v>0</v>
      </c>
      <c r="J1953">
        <f>NOT(hospitalityq!J1953="")*(NOT(ISNUMBER(hospitalityq!J1953+0)))</f>
        <v>0</v>
      </c>
      <c r="K1953">
        <f>NOT(hospitalityq!K1953="")*(NOT(ISNUMBER(hospitalityq!K1953+0)))</f>
        <v>0</v>
      </c>
      <c r="P1953">
        <f>NOT(hospitalityq!P1953="")*(NOT(IFERROR(INT(hospitalityq!P1953)=VALUE(hospitalityq!P1953),FALSE)))</f>
        <v>0</v>
      </c>
      <c r="Q1953">
        <f>NOT(hospitalityq!Q1953="")*(NOT(IFERROR(INT(hospitalityq!Q1953)=VALUE(hospitalityq!Q1953),FALSE)))</f>
        <v>0</v>
      </c>
      <c r="R1953">
        <f>NOT(hospitalityq!R1953="")*(NOT(IFERROR(ROUND(VALUE(hospitalityq!R1953),2)=VALUE(hospitalityq!R1953),FALSE)))</f>
        <v>0</v>
      </c>
    </row>
    <row r="1954" spans="1:18" x14ac:dyDescent="0.25">
      <c r="A1954">
        <f t="shared" si="30"/>
        <v>0</v>
      </c>
      <c r="C1954">
        <f>NOT(hospitalityq!C1954="")*(SUMPRODUCT(--(TRIM(hospitalityq!C6:C1954)=TRIM(hospitalityq!C1954)))&gt;1)</f>
        <v>0</v>
      </c>
      <c r="D1954">
        <f>NOT(hospitalityq!D1954="")*(COUNTIF(reference!$C$17:$C$18,TRIM(hospitalityq!D1954))=0)</f>
        <v>0</v>
      </c>
      <c r="J1954">
        <f>NOT(hospitalityq!J1954="")*(NOT(ISNUMBER(hospitalityq!J1954+0)))</f>
        <v>0</v>
      </c>
      <c r="K1954">
        <f>NOT(hospitalityq!K1954="")*(NOT(ISNUMBER(hospitalityq!K1954+0)))</f>
        <v>0</v>
      </c>
      <c r="P1954">
        <f>NOT(hospitalityq!P1954="")*(NOT(IFERROR(INT(hospitalityq!P1954)=VALUE(hospitalityq!P1954),FALSE)))</f>
        <v>0</v>
      </c>
      <c r="Q1954">
        <f>NOT(hospitalityq!Q1954="")*(NOT(IFERROR(INT(hospitalityq!Q1954)=VALUE(hospitalityq!Q1954),FALSE)))</f>
        <v>0</v>
      </c>
      <c r="R1954">
        <f>NOT(hospitalityq!R1954="")*(NOT(IFERROR(ROUND(VALUE(hospitalityq!R1954),2)=VALUE(hospitalityq!R1954),FALSE)))</f>
        <v>0</v>
      </c>
    </row>
    <row r="1955" spans="1:18" x14ac:dyDescent="0.25">
      <c r="A1955">
        <f t="shared" si="30"/>
        <v>0</v>
      </c>
      <c r="C1955">
        <f>NOT(hospitalityq!C1955="")*(SUMPRODUCT(--(TRIM(hospitalityq!C6:C1955)=TRIM(hospitalityq!C1955)))&gt;1)</f>
        <v>0</v>
      </c>
      <c r="D1955">
        <f>NOT(hospitalityq!D1955="")*(COUNTIF(reference!$C$17:$C$18,TRIM(hospitalityq!D1955))=0)</f>
        <v>0</v>
      </c>
      <c r="J1955">
        <f>NOT(hospitalityq!J1955="")*(NOT(ISNUMBER(hospitalityq!J1955+0)))</f>
        <v>0</v>
      </c>
      <c r="K1955">
        <f>NOT(hospitalityq!K1955="")*(NOT(ISNUMBER(hospitalityq!K1955+0)))</f>
        <v>0</v>
      </c>
      <c r="P1955">
        <f>NOT(hospitalityq!P1955="")*(NOT(IFERROR(INT(hospitalityq!P1955)=VALUE(hospitalityq!P1955),FALSE)))</f>
        <v>0</v>
      </c>
      <c r="Q1955">
        <f>NOT(hospitalityq!Q1955="")*(NOT(IFERROR(INT(hospitalityq!Q1955)=VALUE(hospitalityq!Q1955),FALSE)))</f>
        <v>0</v>
      </c>
      <c r="R1955">
        <f>NOT(hospitalityq!R1955="")*(NOT(IFERROR(ROUND(VALUE(hospitalityq!R1955),2)=VALUE(hospitalityq!R1955),FALSE)))</f>
        <v>0</v>
      </c>
    </row>
    <row r="1956" spans="1:18" x14ac:dyDescent="0.25">
      <c r="A1956">
        <f t="shared" si="30"/>
        <v>0</v>
      </c>
      <c r="C1956">
        <f>NOT(hospitalityq!C1956="")*(SUMPRODUCT(--(TRIM(hospitalityq!C6:C1956)=TRIM(hospitalityq!C1956)))&gt;1)</f>
        <v>0</v>
      </c>
      <c r="D1956">
        <f>NOT(hospitalityq!D1956="")*(COUNTIF(reference!$C$17:$C$18,TRIM(hospitalityq!D1956))=0)</f>
        <v>0</v>
      </c>
      <c r="J1956">
        <f>NOT(hospitalityq!J1956="")*(NOT(ISNUMBER(hospitalityq!J1956+0)))</f>
        <v>0</v>
      </c>
      <c r="K1956">
        <f>NOT(hospitalityq!K1956="")*(NOT(ISNUMBER(hospitalityq!K1956+0)))</f>
        <v>0</v>
      </c>
      <c r="P1956">
        <f>NOT(hospitalityq!P1956="")*(NOT(IFERROR(INT(hospitalityq!P1956)=VALUE(hospitalityq!P1956),FALSE)))</f>
        <v>0</v>
      </c>
      <c r="Q1956">
        <f>NOT(hospitalityq!Q1956="")*(NOT(IFERROR(INT(hospitalityq!Q1956)=VALUE(hospitalityq!Q1956),FALSE)))</f>
        <v>0</v>
      </c>
      <c r="R1956">
        <f>NOT(hospitalityq!R1956="")*(NOT(IFERROR(ROUND(VALUE(hospitalityq!R1956),2)=VALUE(hospitalityq!R1956),FALSE)))</f>
        <v>0</v>
      </c>
    </row>
    <row r="1957" spans="1:18" x14ac:dyDescent="0.25">
      <c r="A1957">
        <f t="shared" si="30"/>
        <v>0</v>
      </c>
      <c r="C1957">
        <f>NOT(hospitalityq!C1957="")*(SUMPRODUCT(--(TRIM(hospitalityq!C6:C1957)=TRIM(hospitalityq!C1957)))&gt;1)</f>
        <v>0</v>
      </c>
      <c r="D1957">
        <f>NOT(hospitalityq!D1957="")*(COUNTIF(reference!$C$17:$C$18,TRIM(hospitalityq!D1957))=0)</f>
        <v>0</v>
      </c>
      <c r="J1957">
        <f>NOT(hospitalityq!J1957="")*(NOT(ISNUMBER(hospitalityq!J1957+0)))</f>
        <v>0</v>
      </c>
      <c r="K1957">
        <f>NOT(hospitalityq!K1957="")*(NOT(ISNUMBER(hospitalityq!K1957+0)))</f>
        <v>0</v>
      </c>
      <c r="P1957">
        <f>NOT(hospitalityq!P1957="")*(NOT(IFERROR(INT(hospitalityq!P1957)=VALUE(hospitalityq!P1957),FALSE)))</f>
        <v>0</v>
      </c>
      <c r="Q1957">
        <f>NOT(hospitalityq!Q1957="")*(NOT(IFERROR(INT(hospitalityq!Q1957)=VALUE(hospitalityq!Q1957),FALSE)))</f>
        <v>0</v>
      </c>
      <c r="R1957">
        <f>NOT(hospitalityq!R1957="")*(NOT(IFERROR(ROUND(VALUE(hospitalityq!R1957),2)=VALUE(hospitalityq!R1957),FALSE)))</f>
        <v>0</v>
      </c>
    </row>
    <row r="1958" spans="1:18" x14ac:dyDescent="0.25">
      <c r="A1958">
        <f t="shared" si="30"/>
        <v>0</v>
      </c>
      <c r="C1958">
        <f>NOT(hospitalityq!C1958="")*(SUMPRODUCT(--(TRIM(hospitalityq!C6:C1958)=TRIM(hospitalityq!C1958)))&gt;1)</f>
        <v>0</v>
      </c>
      <c r="D1958">
        <f>NOT(hospitalityq!D1958="")*(COUNTIF(reference!$C$17:$C$18,TRIM(hospitalityq!D1958))=0)</f>
        <v>0</v>
      </c>
      <c r="J1958">
        <f>NOT(hospitalityq!J1958="")*(NOT(ISNUMBER(hospitalityq!J1958+0)))</f>
        <v>0</v>
      </c>
      <c r="K1958">
        <f>NOT(hospitalityq!K1958="")*(NOT(ISNUMBER(hospitalityq!K1958+0)))</f>
        <v>0</v>
      </c>
      <c r="P1958">
        <f>NOT(hospitalityq!P1958="")*(NOT(IFERROR(INT(hospitalityq!P1958)=VALUE(hospitalityq!P1958),FALSE)))</f>
        <v>0</v>
      </c>
      <c r="Q1958">
        <f>NOT(hospitalityq!Q1958="")*(NOT(IFERROR(INT(hospitalityq!Q1958)=VALUE(hospitalityq!Q1958),FALSE)))</f>
        <v>0</v>
      </c>
      <c r="R1958">
        <f>NOT(hospitalityq!R1958="")*(NOT(IFERROR(ROUND(VALUE(hospitalityq!R1958),2)=VALUE(hospitalityq!R1958),FALSE)))</f>
        <v>0</v>
      </c>
    </row>
    <row r="1959" spans="1:18" x14ac:dyDescent="0.25">
      <c r="A1959">
        <f t="shared" si="30"/>
        <v>0</v>
      </c>
      <c r="C1959">
        <f>NOT(hospitalityq!C1959="")*(SUMPRODUCT(--(TRIM(hospitalityq!C6:C1959)=TRIM(hospitalityq!C1959)))&gt;1)</f>
        <v>0</v>
      </c>
      <c r="D1959">
        <f>NOT(hospitalityq!D1959="")*(COUNTIF(reference!$C$17:$C$18,TRIM(hospitalityq!D1959))=0)</f>
        <v>0</v>
      </c>
      <c r="J1959">
        <f>NOT(hospitalityq!J1959="")*(NOT(ISNUMBER(hospitalityq!J1959+0)))</f>
        <v>0</v>
      </c>
      <c r="K1959">
        <f>NOT(hospitalityq!K1959="")*(NOT(ISNUMBER(hospitalityq!K1959+0)))</f>
        <v>0</v>
      </c>
      <c r="P1959">
        <f>NOT(hospitalityq!P1959="")*(NOT(IFERROR(INT(hospitalityq!P1959)=VALUE(hospitalityq!P1959),FALSE)))</f>
        <v>0</v>
      </c>
      <c r="Q1959">
        <f>NOT(hospitalityq!Q1959="")*(NOT(IFERROR(INT(hospitalityq!Q1959)=VALUE(hospitalityq!Q1959),FALSE)))</f>
        <v>0</v>
      </c>
      <c r="R1959">
        <f>NOT(hospitalityq!R1959="")*(NOT(IFERROR(ROUND(VALUE(hospitalityq!R1959),2)=VALUE(hospitalityq!R1959),FALSE)))</f>
        <v>0</v>
      </c>
    </row>
    <row r="1960" spans="1:18" x14ac:dyDescent="0.25">
      <c r="A1960">
        <f t="shared" si="30"/>
        <v>0</v>
      </c>
      <c r="C1960">
        <f>NOT(hospitalityq!C1960="")*(SUMPRODUCT(--(TRIM(hospitalityq!C6:C1960)=TRIM(hospitalityq!C1960)))&gt;1)</f>
        <v>0</v>
      </c>
      <c r="D1960">
        <f>NOT(hospitalityq!D1960="")*(COUNTIF(reference!$C$17:$C$18,TRIM(hospitalityq!D1960))=0)</f>
        <v>0</v>
      </c>
      <c r="J1960">
        <f>NOT(hospitalityq!J1960="")*(NOT(ISNUMBER(hospitalityq!J1960+0)))</f>
        <v>0</v>
      </c>
      <c r="K1960">
        <f>NOT(hospitalityq!K1960="")*(NOT(ISNUMBER(hospitalityq!K1960+0)))</f>
        <v>0</v>
      </c>
      <c r="P1960">
        <f>NOT(hospitalityq!P1960="")*(NOT(IFERROR(INT(hospitalityq!P1960)=VALUE(hospitalityq!P1960),FALSE)))</f>
        <v>0</v>
      </c>
      <c r="Q1960">
        <f>NOT(hospitalityq!Q1960="")*(NOT(IFERROR(INT(hospitalityq!Q1960)=VALUE(hospitalityq!Q1960),FALSE)))</f>
        <v>0</v>
      </c>
      <c r="R1960">
        <f>NOT(hospitalityq!R1960="")*(NOT(IFERROR(ROUND(VALUE(hospitalityq!R1960),2)=VALUE(hospitalityq!R1960),FALSE)))</f>
        <v>0</v>
      </c>
    </row>
    <row r="1961" spans="1:18" x14ac:dyDescent="0.25">
      <c r="A1961">
        <f t="shared" si="30"/>
        <v>0</v>
      </c>
      <c r="C1961">
        <f>NOT(hospitalityq!C1961="")*(SUMPRODUCT(--(TRIM(hospitalityq!C6:C1961)=TRIM(hospitalityq!C1961)))&gt;1)</f>
        <v>0</v>
      </c>
      <c r="D1961">
        <f>NOT(hospitalityq!D1961="")*(COUNTIF(reference!$C$17:$C$18,TRIM(hospitalityq!D1961))=0)</f>
        <v>0</v>
      </c>
      <c r="J1961">
        <f>NOT(hospitalityq!J1961="")*(NOT(ISNUMBER(hospitalityq!J1961+0)))</f>
        <v>0</v>
      </c>
      <c r="K1961">
        <f>NOT(hospitalityq!K1961="")*(NOT(ISNUMBER(hospitalityq!K1961+0)))</f>
        <v>0</v>
      </c>
      <c r="P1961">
        <f>NOT(hospitalityq!P1961="")*(NOT(IFERROR(INT(hospitalityq!P1961)=VALUE(hospitalityq!P1961),FALSE)))</f>
        <v>0</v>
      </c>
      <c r="Q1961">
        <f>NOT(hospitalityq!Q1961="")*(NOT(IFERROR(INT(hospitalityq!Q1961)=VALUE(hospitalityq!Q1961),FALSE)))</f>
        <v>0</v>
      </c>
      <c r="R1961">
        <f>NOT(hospitalityq!R1961="")*(NOT(IFERROR(ROUND(VALUE(hospitalityq!R1961),2)=VALUE(hospitalityq!R1961),FALSE)))</f>
        <v>0</v>
      </c>
    </row>
    <row r="1962" spans="1:18" x14ac:dyDescent="0.25">
      <c r="A1962">
        <f t="shared" si="30"/>
        <v>0</v>
      </c>
      <c r="C1962">
        <f>NOT(hospitalityq!C1962="")*(SUMPRODUCT(--(TRIM(hospitalityq!C6:C1962)=TRIM(hospitalityq!C1962)))&gt;1)</f>
        <v>0</v>
      </c>
      <c r="D1962">
        <f>NOT(hospitalityq!D1962="")*(COUNTIF(reference!$C$17:$C$18,TRIM(hospitalityq!D1962))=0)</f>
        <v>0</v>
      </c>
      <c r="J1962">
        <f>NOT(hospitalityq!J1962="")*(NOT(ISNUMBER(hospitalityq!J1962+0)))</f>
        <v>0</v>
      </c>
      <c r="K1962">
        <f>NOT(hospitalityq!K1962="")*(NOT(ISNUMBER(hospitalityq!K1962+0)))</f>
        <v>0</v>
      </c>
      <c r="P1962">
        <f>NOT(hospitalityq!P1962="")*(NOT(IFERROR(INT(hospitalityq!P1962)=VALUE(hospitalityq!P1962),FALSE)))</f>
        <v>0</v>
      </c>
      <c r="Q1962">
        <f>NOT(hospitalityq!Q1962="")*(NOT(IFERROR(INT(hospitalityq!Q1962)=VALUE(hospitalityq!Q1962),FALSE)))</f>
        <v>0</v>
      </c>
      <c r="R1962">
        <f>NOT(hospitalityq!R1962="")*(NOT(IFERROR(ROUND(VALUE(hospitalityq!R1962),2)=VALUE(hospitalityq!R1962),FALSE)))</f>
        <v>0</v>
      </c>
    </row>
    <row r="1963" spans="1:18" x14ac:dyDescent="0.25">
      <c r="A1963">
        <f t="shared" si="30"/>
        <v>0</v>
      </c>
      <c r="C1963">
        <f>NOT(hospitalityq!C1963="")*(SUMPRODUCT(--(TRIM(hospitalityq!C6:C1963)=TRIM(hospitalityq!C1963)))&gt;1)</f>
        <v>0</v>
      </c>
      <c r="D1963">
        <f>NOT(hospitalityq!D1963="")*(COUNTIF(reference!$C$17:$C$18,TRIM(hospitalityq!D1963))=0)</f>
        <v>0</v>
      </c>
      <c r="J1963">
        <f>NOT(hospitalityq!J1963="")*(NOT(ISNUMBER(hospitalityq!J1963+0)))</f>
        <v>0</v>
      </c>
      <c r="K1963">
        <f>NOT(hospitalityq!K1963="")*(NOT(ISNUMBER(hospitalityq!K1963+0)))</f>
        <v>0</v>
      </c>
      <c r="P1963">
        <f>NOT(hospitalityq!P1963="")*(NOT(IFERROR(INT(hospitalityq!P1963)=VALUE(hospitalityq!P1963),FALSE)))</f>
        <v>0</v>
      </c>
      <c r="Q1963">
        <f>NOT(hospitalityq!Q1963="")*(NOT(IFERROR(INT(hospitalityq!Q1963)=VALUE(hospitalityq!Q1963),FALSE)))</f>
        <v>0</v>
      </c>
      <c r="R1963">
        <f>NOT(hospitalityq!R1963="")*(NOT(IFERROR(ROUND(VALUE(hospitalityq!R1963),2)=VALUE(hospitalityq!R1963),FALSE)))</f>
        <v>0</v>
      </c>
    </row>
    <row r="1964" spans="1:18" x14ac:dyDescent="0.25">
      <c r="A1964">
        <f t="shared" si="30"/>
        <v>0</v>
      </c>
      <c r="C1964">
        <f>NOT(hospitalityq!C1964="")*(SUMPRODUCT(--(TRIM(hospitalityq!C6:C1964)=TRIM(hospitalityq!C1964)))&gt;1)</f>
        <v>0</v>
      </c>
      <c r="D1964">
        <f>NOT(hospitalityq!D1964="")*(COUNTIF(reference!$C$17:$C$18,TRIM(hospitalityq!D1964))=0)</f>
        <v>0</v>
      </c>
      <c r="J1964">
        <f>NOT(hospitalityq!J1964="")*(NOT(ISNUMBER(hospitalityq!J1964+0)))</f>
        <v>0</v>
      </c>
      <c r="K1964">
        <f>NOT(hospitalityq!K1964="")*(NOT(ISNUMBER(hospitalityq!K1964+0)))</f>
        <v>0</v>
      </c>
      <c r="P1964">
        <f>NOT(hospitalityq!P1964="")*(NOT(IFERROR(INT(hospitalityq!P1964)=VALUE(hospitalityq!P1964),FALSE)))</f>
        <v>0</v>
      </c>
      <c r="Q1964">
        <f>NOT(hospitalityq!Q1964="")*(NOT(IFERROR(INT(hospitalityq!Q1964)=VALUE(hospitalityq!Q1964),FALSE)))</f>
        <v>0</v>
      </c>
      <c r="R1964">
        <f>NOT(hospitalityq!R1964="")*(NOT(IFERROR(ROUND(VALUE(hospitalityq!R1964),2)=VALUE(hospitalityq!R1964),FALSE)))</f>
        <v>0</v>
      </c>
    </row>
    <row r="1965" spans="1:18" x14ac:dyDescent="0.25">
      <c r="A1965">
        <f t="shared" si="30"/>
        <v>0</v>
      </c>
      <c r="C1965">
        <f>NOT(hospitalityq!C1965="")*(SUMPRODUCT(--(TRIM(hospitalityq!C6:C1965)=TRIM(hospitalityq!C1965)))&gt;1)</f>
        <v>0</v>
      </c>
      <c r="D1965">
        <f>NOT(hospitalityq!D1965="")*(COUNTIF(reference!$C$17:$C$18,TRIM(hospitalityq!D1965))=0)</f>
        <v>0</v>
      </c>
      <c r="J1965">
        <f>NOT(hospitalityq!J1965="")*(NOT(ISNUMBER(hospitalityq!J1965+0)))</f>
        <v>0</v>
      </c>
      <c r="K1965">
        <f>NOT(hospitalityq!K1965="")*(NOT(ISNUMBER(hospitalityq!K1965+0)))</f>
        <v>0</v>
      </c>
      <c r="P1965">
        <f>NOT(hospitalityq!P1965="")*(NOT(IFERROR(INT(hospitalityq!P1965)=VALUE(hospitalityq!P1965),FALSE)))</f>
        <v>0</v>
      </c>
      <c r="Q1965">
        <f>NOT(hospitalityq!Q1965="")*(NOT(IFERROR(INT(hospitalityq!Q1965)=VALUE(hospitalityq!Q1965),FALSE)))</f>
        <v>0</v>
      </c>
      <c r="R1965">
        <f>NOT(hospitalityq!R1965="")*(NOT(IFERROR(ROUND(VALUE(hospitalityq!R1965),2)=VALUE(hospitalityq!R1965),FALSE)))</f>
        <v>0</v>
      </c>
    </row>
    <row r="1966" spans="1:18" x14ac:dyDescent="0.25">
      <c r="A1966">
        <f t="shared" si="30"/>
        <v>0</v>
      </c>
      <c r="C1966">
        <f>NOT(hospitalityq!C1966="")*(SUMPRODUCT(--(TRIM(hospitalityq!C6:C1966)=TRIM(hospitalityq!C1966)))&gt;1)</f>
        <v>0</v>
      </c>
      <c r="D1966">
        <f>NOT(hospitalityq!D1966="")*(COUNTIF(reference!$C$17:$C$18,TRIM(hospitalityq!D1966))=0)</f>
        <v>0</v>
      </c>
      <c r="J1966">
        <f>NOT(hospitalityq!J1966="")*(NOT(ISNUMBER(hospitalityq!J1966+0)))</f>
        <v>0</v>
      </c>
      <c r="K1966">
        <f>NOT(hospitalityq!K1966="")*(NOT(ISNUMBER(hospitalityq!K1966+0)))</f>
        <v>0</v>
      </c>
      <c r="P1966">
        <f>NOT(hospitalityq!P1966="")*(NOT(IFERROR(INT(hospitalityq!P1966)=VALUE(hospitalityq!P1966),FALSE)))</f>
        <v>0</v>
      </c>
      <c r="Q1966">
        <f>NOT(hospitalityq!Q1966="")*(NOT(IFERROR(INT(hospitalityq!Q1966)=VALUE(hospitalityq!Q1966),FALSE)))</f>
        <v>0</v>
      </c>
      <c r="R1966">
        <f>NOT(hospitalityq!R1966="")*(NOT(IFERROR(ROUND(VALUE(hospitalityq!R1966),2)=VALUE(hospitalityq!R1966),FALSE)))</f>
        <v>0</v>
      </c>
    </row>
    <row r="1967" spans="1:18" x14ac:dyDescent="0.25">
      <c r="A1967">
        <f t="shared" si="30"/>
        <v>0</v>
      </c>
      <c r="C1967">
        <f>NOT(hospitalityq!C1967="")*(SUMPRODUCT(--(TRIM(hospitalityq!C6:C1967)=TRIM(hospitalityq!C1967)))&gt;1)</f>
        <v>0</v>
      </c>
      <c r="D1967">
        <f>NOT(hospitalityq!D1967="")*(COUNTIF(reference!$C$17:$C$18,TRIM(hospitalityq!D1967))=0)</f>
        <v>0</v>
      </c>
      <c r="J1967">
        <f>NOT(hospitalityq!J1967="")*(NOT(ISNUMBER(hospitalityq!J1967+0)))</f>
        <v>0</v>
      </c>
      <c r="K1967">
        <f>NOT(hospitalityq!K1967="")*(NOT(ISNUMBER(hospitalityq!K1967+0)))</f>
        <v>0</v>
      </c>
      <c r="P1967">
        <f>NOT(hospitalityq!P1967="")*(NOT(IFERROR(INT(hospitalityq!P1967)=VALUE(hospitalityq!P1967),FALSE)))</f>
        <v>0</v>
      </c>
      <c r="Q1967">
        <f>NOT(hospitalityq!Q1967="")*(NOT(IFERROR(INT(hospitalityq!Q1967)=VALUE(hospitalityq!Q1967),FALSE)))</f>
        <v>0</v>
      </c>
      <c r="R1967">
        <f>NOT(hospitalityq!R1967="")*(NOT(IFERROR(ROUND(VALUE(hospitalityq!R1967),2)=VALUE(hospitalityq!R1967),FALSE)))</f>
        <v>0</v>
      </c>
    </row>
    <row r="1968" spans="1:18" x14ac:dyDescent="0.25">
      <c r="A1968">
        <f t="shared" si="30"/>
        <v>0</v>
      </c>
      <c r="C1968">
        <f>NOT(hospitalityq!C1968="")*(SUMPRODUCT(--(TRIM(hospitalityq!C6:C1968)=TRIM(hospitalityq!C1968)))&gt;1)</f>
        <v>0</v>
      </c>
      <c r="D1968">
        <f>NOT(hospitalityq!D1968="")*(COUNTIF(reference!$C$17:$C$18,TRIM(hospitalityq!D1968))=0)</f>
        <v>0</v>
      </c>
      <c r="J1968">
        <f>NOT(hospitalityq!J1968="")*(NOT(ISNUMBER(hospitalityq!J1968+0)))</f>
        <v>0</v>
      </c>
      <c r="K1968">
        <f>NOT(hospitalityq!K1968="")*(NOT(ISNUMBER(hospitalityq!K1968+0)))</f>
        <v>0</v>
      </c>
      <c r="P1968">
        <f>NOT(hospitalityq!P1968="")*(NOT(IFERROR(INT(hospitalityq!P1968)=VALUE(hospitalityq!P1968),FALSE)))</f>
        <v>0</v>
      </c>
      <c r="Q1968">
        <f>NOT(hospitalityq!Q1968="")*(NOT(IFERROR(INT(hospitalityq!Q1968)=VALUE(hospitalityq!Q1968),FALSE)))</f>
        <v>0</v>
      </c>
      <c r="R1968">
        <f>NOT(hospitalityq!R1968="")*(NOT(IFERROR(ROUND(VALUE(hospitalityq!R1968),2)=VALUE(hospitalityq!R1968),FALSE)))</f>
        <v>0</v>
      </c>
    </row>
    <row r="1969" spans="1:18" x14ac:dyDescent="0.25">
      <c r="A1969">
        <f t="shared" si="30"/>
        <v>0</v>
      </c>
      <c r="C1969">
        <f>NOT(hospitalityq!C1969="")*(SUMPRODUCT(--(TRIM(hospitalityq!C6:C1969)=TRIM(hospitalityq!C1969)))&gt;1)</f>
        <v>0</v>
      </c>
      <c r="D1969">
        <f>NOT(hospitalityq!D1969="")*(COUNTIF(reference!$C$17:$C$18,TRIM(hospitalityq!D1969))=0)</f>
        <v>0</v>
      </c>
      <c r="J1969">
        <f>NOT(hospitalityq!J1969="")*(NOT(ISNUMBER(hospitalityq!J1969+0)))</f>
        <v>0</v>
      </c>
      <c r="K1969">
        <f>NOT(hospitalityq!K1969="")*(NOT(ISNUMBER(hospitalityq!K1969+0)))</f>
        <v>0</v>
      </c>
      <c r="P1969">
        <f>NOT(hospitalityq!P1969="")*(NOT(IFERROR(INT(hospitalityq!P1969)=VALUE(hospitalityq!P1969),FALSE)))</f>
        <v>0</v>
      </c>
      <c r="Q1969">
        <f>NOT(hospitalityq!Q1969="")*(NOT(IFERROR(INT(hospitalityq!Q1969)=VALUE(hospitalityq!Q1969),FALSE)))</f>
        <v>0</v>
      </c>
      <c r="R1969">
        <f>NOT(hospitalityq!R1969="")*(NOT(IFERROR(ROUND(VALUE(hospitalityq!R1969),2)=VALUE(hospitalityq!R1969),FALSE)))</f>
        <v>0</v>
      </c>
    </row>
    <row r="1970" spans="1:18" x14ac:dyDescent="0.25">
      <c r="A1970">
        <f t="shared" si="30"/>
        <v>0</v>
      </c>
      <c r="C1970">
        <f>NOT(hospitalityq!C1970="")*(SUMPRODUCT(--(TRIM(hospitalityq!C6:C1970)=TRIM(hospitalityq!C1970)))&gt;1)</f>
        <v>0</v>
      </c>
      <c r="D1970">
        <f>NOT(hospitalityq!D1970="")*(COUNTIF(reference!$C$17:$C$18,TRIM(hospitalityq!D1970))=0)</f>
        <v>0</v>
      </c>
      <c r="J1970">
        <f>NOT(hospitalityq!J1970="")*(NOT(ISNUMBER(hospitalityq!J1970+0)))</f>
        <v>0</v>
      </c>
      <c r="K1970">
        <f>NOT(hospitalityq!K1970="")*(NOT(ISNUMBER(hospitalityq!K1970+0)))</f>
        <v>0</v>
      </c>
      <c r="P1970">
        <f>NOT(hospitalityq!P1970="")*(NOT(IFERROR(INT(hospitalityq!P1970)=VALUE(hospitalityq!P1970),FALSE)))</f>
        <v>0</v>
      </c>
      <c r="Q1970">
        <f>NOT(hospitalityq!Q1970="")*(NOT(IFERROR(INT(hospitalityq!Q1970)=VALUE(hospitalityq!Q1970),FALSE)))</f>
        <v>0</v>
      </c>
      <c r="R1970">
        <f>NOT(hospitalityq!R1970="")*(NOT(IFERROR(ROUND(VALUE(hospitalityq!R1970),2)=VALUE(hospitalityq!R1970),FALSE)))</f>
        <v>0</v>
      </c>
    </row>
    <row r="1971" spans="1:18" x14ac:dyDescent="0.25">
      <c r="A1971">
        <f t="shared" si="30"/>
        <v>0</v>
      </c>
      <c r="C1971">
        <f>NOT(hospitalityq!C1971="")*(SUMPRODUCT(--(TRIM(hospitalityq!C6:C1971)=TRIM(hospitalityq!C1971)))&gt;1)</f>
        <v>0</v>
      </c>
      <c r="D1971">
        <f>NOT(hospitalityq!D1971="")*(COUNTIF(reference!$C$17:$C$18,TRIM(hospitalityq!D1971))=0)</f>
        <v>0</v>
      </c>
      <c r="J1971">
        <f>NOT(hospitalityq!J1971="")*(NOT(ISNUMBER(hospitalityq!J1971+0)))</f>
        <v>0</v>
      </c>
      <c r="K1971">
        <f>NOT(hospitalityq!K1971="")*(NOT(ISNUMBER(hospitalityq!K1971+0)))</f>
        <v>0</v>
      </c>
      <c r="P1971">
        <f>NOT(hospitalityq!P1971="")*(NOT(IFERROR(INT(hospitalityq!P1971)=VALUE(hospitalityq!P1971),FALSE)))</f>
        <v>0</v>
      </c>
      <c r="Q1971">
        <f>NOT(hospitalityq!Q1971="")*(NOT(IFERROR(INT(hospitalityq!Q1971)=VALUE(hospitalityq!Q1971),FALSE)))</f>
        <v>0</v>
      </c>
      <c r="R1971">
        <f>NOT(hospitalityq!R1971="")*(NOT(IFERROR(ROUND(VALUE(hospitalityq!R1971),2)=VALUE(hospitalityq!R1971),FALSE)))</f>
        <v>0</v>
      </c>
    </row>
    <row r="1972" spans="1:18" x14ac:dyDescent="0.25">
      <c r="A1972">
        <f t="shared" si="30"/>
        <v>0</v>
      </c>
      <c r="C1972">
        <f>NOT(hospitalityq!C1972="")*(SUMPRODUCT(--(TRIM(hospitalityq!C6:C1972)=TRIM(hospitalityq!C1972)))&gt;1)</f>
        <v>0</v>
      </c>
      <c r="D1972">
        <f>NOT(hospitalityq!D1972="")*(COUNTIF(reference!$C$17:$C$18,TRIM(hospitalityq!D1972))=0)</f>
        <v>0</v>
      </c>
      <c r="J1972">
        <f>NOT(hospitalityq!J1972="")*(NOT(ISNUMBER(hospitalityq!J1972+0)))</f>
        <v>0</v>
      </c>
      <c r="K1972">
        <f>NOT(hospitalityq!K1972="")*(NOT(ISNUMBER(hospitalityq!K1972+0)))</f>
        <v>0</v>
      </c>
      <c r="P1972">
        <f>NOT(hospitalityq!P1972="")*(NOT(IFERROR(INT(hospitalityq!P1972)=VALUE(hospitalityq!P1972),FALSE)))</f>
        <v>0</v>
      </c>
      <c r="Q1972">
        <f>NOT(hospitalityq!Q1972="")*(NOT(IFERROR(INT(hospitalityq!Q1972)=VALUE(hospitalityq!Q1972),FALSE)))</f>
        <v>0</v>
      </c>
      <c r="R1972">
        <f>NOT(hospitalityq!R1972="")*(NOT(IFERROR(ROUND(VALUE(hospitalityq!R1972),2)=VALUE(hospitalityq!R1972),FALSE)))</f>
        <v>0</v>
      </c>
    </row>
    <row r="1973" spans="1:18" x14ac:dyDescent="0.25">
      <c r="A1973">
        <f t="shared" si="30"/>
        <v>0</v>
      </c>
      <c r="C1973">
        <f>NOT(hospitalityq!C1973="")*(SUMPRODUCT(--(TRIM(hospitalityq!C6:C1973)=TRIM(hospitalityq!C1973)))&gt;1)</f>
        <v>0</v>
      </c>
      <c r="D1973">
        <f>NOT(hospitalityq!D1973="")*(COUNTIF(reference!$C$17:$C$18,TRIM(hospitalityq!D1973))=0)</f>
        <v>0</v>
      </c>
      <c r="J1973">
        <f>NOT(hospitalityq!J1973="")*(NOT(ISNUMBER(hospitalityq!J1973+0)))</f>
        <v>0</v>
      </c>
      <c r="K1973">
        <f>NOT(hospitalityq!K1973="")*(NOT(ISNUMBER(hospitalityq!K1973+0)))</f>
        <v>0</v>
      </c>
      <c r="P1973">
        <f>NOT(hospitalityq!P1973="")*(NOT(IFERROR(INT(hospitalityq!P1973)=VALUE(hospitalityq!P1973),FALSE)))</f>
        <v>0</v>
      </c>
      <c r="Q1973">
        <f>NOT(hospitalityq!Q1973="")*(NOT(IFERROR(INT(hospitalityq!Q1973)=VALUE(hospitalityq!Q1973),FALSE)))</f>
        <v>0</v>
      </c>
      <c r="R1973">
        <f>NOT(hospitalityq!R1973="")*(NOT(IFERROR(ROUND(VALUE(hospitalityq!R1973),2)=VALUE(hospitalityq!R1973),FALSE)))</f>
        <v>0</v>
      </c>
    </row>
    <row r="1974" spans="1:18" x14ac:dyDescent="0.25">
      <c r="A1974">
        <f t="shared" si="30"/>
        <v>0</v>
      </c>
      <c r="C1974">
        <f>NOT(hospitalityq!C1974="")*(SUMPRODUCT(--(TRIM(hospitalityq!C6:C1974)=TRIM(hospitalityq!C1974)))&gt;1)</f>
        <v>0</v>
      </c>
      <c r="D1974">
        <f>NOT(hospitalityq!D1974="")*(COUNTIF(reference!$C$17:$C$18,TRIM(hospitalityq!D1974))=0)</f>
        <v>0</v>
      </c>
      <c r="J1974">
        <f>NOT(hospitalityq!J1974="")*(NOT(ISNUMBER(hospitalityq!J1974+0)))</f>
        <v>0</v>
      </c>
      <c r="K1974">
        <f>NOT(hospitalityq!K1974="")*(NOT(ISNUMBER(hospitalityq!K1974+0)))</f>
        <v>0</v>
      </c>
      <c r="P1974">
        <f>NOT(hospitalityq!P1974="")*(NOT(IFERROR(INT(hospitalityq!P1974)=VALUE(hospitalityq!P1974),FALSE)))</f>
        <v>0</v>
      </c>
      <c r="Q1974">
        <f>NOT(hospitalityq!Q1974="")*(NOT(IFERROR(INT(hospitalityq!Q1974)=VALUE(hospitalityq!Q1974),FALSE)))</f>
        <v>0</v>
      </c>
      <c r="R1974">
        <f>NOT(hospitalityq!R1974="")*(NOT(IFERROR(ROUND(VALUE(hospitalityq!R1974),2)=VALUE(hospitalityq!R1974),FALSE)))</f>
        <v>0</v>
      </c>
    </row>
    <row r="1975" spans="1:18" x14ac:dyDescent="0.25">
      <c r="A1975">
        <f t="shared" si="30"/>
        <v>0</v>
      </c>
      <c r="C1975">
        <f>NOT(hospitalityq!C1975="")*(SUMPRODUCT(--(TRIM(hospitalityq!C6:C1975)=TRIM(hospitalityq!C1975)))&gt;1)</f>
        <v>0</v>
      </c>
      <c r="D1975">
        <f>NOT(hospitalityq!D1975="")*(COUNTIF(reference!$C$17:$C$18,TRIM(hospitalityq!D1975))=0)</f>
        <v>0</v>
      </c>
      <c r="J1975">
        <f>NOT(hospitalityq!J1975="")*(NOT(ISNUMBER(hospitalityq!J1975+0)))</f>
        <v>0</v>
      </c>
      <c r="K1975">
        <f>NOT(hospitalityq!K1975="")*(NOT(ISNUMBER(hospitalityq!K1975+0)))</f>
        <v>0</v>
      </c>
      <c r="P1975">
        <f>NOT(hospitalityq!P1975="")*(NOT(IFERROR(INT(hospitalityq!P1975)=VALUE(hospitalityq!P1975),FALSE)))</f>
        <v>0</v>
      </c>
      <c r="Q1975">
        <f>NOT(hospitalityq!Q1975="")*(NOT(IFERROR(INT(hospitalityq!Q1975)=VALUE(hospitalityq!Q1975),FALSE)))</f>
        <v>0</v>
      </c>
      <c r="R1975">
        <f>NOT(hospitalityq!R1975="")*(NOT(IFERROR(ROUND(VALUE(hospitalityq!R1975),2)=VALUE(hospitalityq!R1975),FALSE)))</f>
        <v>0</v>
      </c>
    </row>
    <row r="1976" spans="1:18" x14ac:dyDescent="0.25">
      <c r="A1976">
        <f t="shared" si="30"/>
        <v>0</v>
      </c>
      <c r="C1976">
        <f>NOT(hospitalityq!C1976="")*(SUMPRODUCT(--(TRIM(hospitalityq!C6:C1976)=TRIM(hospitalityq!C1976)))&gt;1)</f>
        <v>0</v>
      </c>
      <c r="D1976">
        <f>NOT(hospitalityq!D1976="")*(COUNTIF(reference!$C$17:$C$18,TRIM(hospitalityq!D1976))=0)</f>
        <v>0</v>
      </c>
      <c r="J1976">
        <f>NOT(hospitalityq!J1976="")*(NOT(ISNUMBER(hospitalityq!J1976+0)))</f>
        <v>0</v>
      </c>
      <c r="K1976">
        <f>NOT(hospitalityq!K1976="")*(NOT(ISNUMBER(hospitalityq!K1976+0)))</f>
        <v>0</v>
      </c>
      <c r="P1976">
        <f>NOT(hospitalityq!P1976="")*(NOT(IFERROR(INT(hospitalityq!P1976)=VALUE(hospitalityq!P1976),FALSE)))</f>
        <v>0</v>
      </c>
      <c r="Q1976">
        <f>NOT(hospitalityq!Q1976="")*(NOT(IFERROR(INT(hospitalityq!Q1976)=VALUE(hospitalityq!Q1976),FALSE)))</f>
        <v>0</v>
      </c>
      <c r="R1976">
        <f>NOT(hospitalityq!R1976="")*(NOT(IFERROR(ROUND(VALUE(hospitalityq!R1976),2)=VALUE(hospitalityq!R1976),FALSE)))</f>
        <v>0</v>
      </c>
    </row>
    <row r="1977" spans="1:18" x14ac:dyDescent="0.25">
      <c r="A1977">
        <f t="shared" si="30"/>
        <v>0</v>
      </c>
      <c r="C1977">
        <f>NOT(hospitalityq!C1977="")*(SUMPRODUCT(--(TRIM(hospitalityq!C6:C1977)=TRIM(hospitalityq!C1977)))&gt;1)</f>
        <v>0</v>
      </c>
      <c r="D1977">
        <f>NOT(hospitalityq!D1977="")*(COUNTIF(reference!$C$17:$C$18,TRIM(hospitalityq!D1977))=0)</f>
        <v>0</v>
      </c>
      <c r="J1977">
        <f>NOT(hospitalityq!J1977="")*(NOT(ISNUMBER(hospitalityq!J1977+0)))</f>
        <v>0</v>
      </c>
      <c r="K1977">
        <f>NOT(hospitalityq!K1977="")*(NOT(ISNUMBER(hospitalityq!K1977+0)))</f>
        <v>0</v>
      </c>
      <c r="P1977">
        <f>NOT(hospitalityq!P1977="")*(NOT(IFERROR(INT(hospitalityq!P1977)=VALUE(hospitalityq!P1977),FALSE)))</f>
        <v>0</v>
      </c>
      <c r="Q1977">
        <f>NOT(hospitalityq!Q1977="")*(NOT(IFERROR(INT(hospitalityq!Q1977)=VALUE(hospitalityq!Q1977),FALSE)))</f>
        <v>0</v>
      </c>
      <c r="R1977">
        <f>NOT(hospitalityq!R1977="")*(NOT(IFERROR(ROUND(VALUE(hospitalityq!R1977),2)=VALUE(hospitalityq!R1977),FALSE)))</f>
        <v>0</v>
      </c>
    </row>
    <row r="1978" spans="1:18" x14ac:dyDescent="0.25">
      <c r="A1978">
        <f t="shared" si="30"/>
        <v>0</v>
      </c>
      <c r="C1978">
        <f>NOT(hospitalityq!C1978="")*(SUMPRODUCT(--(TRIM(hospitalityq!C6:C1978)=TRIM(hospitalityq!C1978)))&gt;1)</f>
        <v>0</v>
      </c>
      <c r="D1978">
        <f>NOT(hospitalityq!D1978="")*(COUNTIF(reference!$C$17:$C$18,TRIM(hospitalityq!D1978))=0)</f>
        <v>0</v>
      </c>
      <c r="J1978">
        <f>NOT(hospitalityq!J1978="")*(NOT(ISNUMBER(hospitalityq!J1978+0)))</f>
        <v>0</v>
      </c>
      <c r="K1978">
        <f>NOT(hospitalityq!K1978="")*(NOT(ISNUMBER(hospitalityq!K1978+0)))</f>
        <v>0</v>
      </c>
      <c r="P1978">
        <f>NOT(hospitalityq!P1978="")*(NOT(IFERROR(INT(hospitalityq!P1978)=VALUE(hospitalityq!P1978),FALSE)))</f>
        <v>0</v>
      </c>
      <c r="Q1978">
        <f>NOT(hospitalityq!Q1978="")*(NOT(IFERROR(INT(hospitalityq!Q1978)=VALUE(hospitalityq!Q1978),FALSE)))</f>
        <v>0</v>
      </c>
      <c r="R1978">
        <f>NOT(hospitalityq!R1978="")*(NOT(IFERROR(ROUND(VALUE(hospitalityq!R1978),2)=VALUE(hospitalityq!R1978),FALSE)))</f>
        <v>0</v>
      </c>
    </row>
    <row r="1979" spans="1:18" x14ac:dyDescent="0.25">
      <c r="A1979">
        <f t="shared" si="30"/>
        <v>0</v>
      </c>
      <c r="C1979">
        <f>NOT(hospitalityq!C1979="")*(SUMPRODUCT(--(TRIM(hospitalityq!C6:C1979)=TRIM(hospitalityq!C1979)))&gt;1)</f>
        <v>0</v>
      </c>
      <c r="D1979">
        <f>NOT(hospitalityq!D1979="")*(COUNTIF(reference!$C$17:$C$18,TRIM(hospitalityq!D1979))=0)</f>
        <v>0</v>
      </c>
      <c r="J1979">
        <f>NOT(hospitalityq!J1979="")*(NOT(ISNUMBER(hospitalityq!J1979+0)))</f>
        <v>0</v>
      </c>
      <c r="K1979">
        <f>NOT(hospitalityq!K1979="")*(NOT(ISNUMBER(hospitalityq!K1979+0)))</f>
        <v>0</v>
      </c>
      <c r="P1979">
        <f>NOT(hospitalityq!P1979="")*(NOT(IFERROR(INT(hospitalityq!P1979)=VALUE(hospitalityq!P1979),FALSE)))</f>
        <v>0</v>
      </c>
      <c r="Q1979">
        <f>NOT(hospitalityq!Q1979="")*(NOT(IFERROR(INT(hospitalityq!Q1979)=VALUE(hospitalityq!Q1979),FALSE)))</f>
        <v>0</v>
      </c>
      <c r="R1979">
        <f>NOT(hospitalityq!R1979="")*(NOT(IFERROR(ROUND(VALUE(hospitalityq!R1979),2)=VALUE(hospitalityq!R1979),FALSE)))</f>
        <v>0</v>
      </c>
    </row>
    <row r="1980" spans="1:18" x14ac:dyDescent="0.25">
      <c r="A1980">
        <f t="shared" si="30"/>
        <v>0</v>
      </c>
      <c r="C1980">
        <f>NOT(hospitalityq!C1980="")*(SUMPRODUCT(--(TRIM(hospitalityq!C6:C1980)=TRIM(hospitalityq!C1980)))&gt;1)</f>
        <v>0</v>
      </c>
      <c r="D1980">
        <f>NOT(hospitalityq!D1980="")*(COUNTIF(reference!$C$17:$C$18,TRIM(hospitalityq!D1980))=0)</f>
        <v>0</v>
      </c>
      <c r="J1980">
        <f>NOT(hospitalityq!J1980="")*(NOT(ISNUMBER(hospitalityq!J1980+0)))</f>
        <v>0</v>
      </c>
      <c r="K1980">
        <f>NOT(hospitalityq!K1980="")*(NOT(ISNUMBER(hospitalityq!K1980+0)))</f>
        <v>0</v>
      </c>
      <c r="P1980">
        <f>NOT(hospitalityq!P1980="")*(NOT(IFERROR(INT(hospitalityq!P1980)=VALUE(hospitalityq!P1980),FALSE)))</f>
        <v>0</v>
      </c>
      <c r="Q1980">
        <f>NOT(hospitalityq!Q1980="")*(NOT(IFERROR(INT(hospitalityq!Q1980)=VALUE(hospitalityq!Q1980),FALSE)))</f>
        <v>0</v>
      </c>
      <c r="R1980">
        <f>NOT(hospitalityq!R1980="")*(NOT(IFERROR(ROUND(VALUE(hospitalityq!R1980),2)=VALUE(hospitalityq!R1980),FALSE)))</f>
        <v>0</v>
      </c>
    </row>
    <row r="1981" spans="1:18" x14ac:dyDescent="0.25">
      <c r="A1981">
        <f t="shared" si="30"/>
        <v>0</v>
      </c>
      <c r="C1981">
        <f>NOT(hospitalityq!C1981="")*(SUMPRODUCT(--(TRIM(hospitalityq!C6:C1981)=TRIM(hospitalityq!C1981)))&gt;1)</f>
        <v>0</v>
      </c>
      <c r="D1981">
        <f>NOT(hospitalityq!D1981="")*(COUNTIF(reference!$C$17:$C$18,TRIM(hospitalityq!D1981))=0)</f>
        <v>0</v>
      </c>
      <c r="J1981">
        <f>NOT(hospitalityq!J1981="")*(NOT(ISNUMBER(hospitalityq!J1981+0)))</f>
        <v>0</v>
      </c>
      <c r="K1981">
        <f>NOT(hospitalityq!K1981="")*(NOT(ISNUMBER(hospitalityq!K1981+0)))</f>
        <v>0</v>
      </c>
      <c r="P1981">
        <f>NOT(hospitalityq!P1981="")*(NOT(IFERROR(INT(hospitalityq!P1981)=VALUE(hospitalityq!P1981),FALSE)))</f>
        <v>0</v>
      </c>
      <c r="Q1981">
        <f>NOT(hospitalityq!Q1981="")*(NOT(IFERROR(INT(hospitalityq!Q1981)=VALUE(hospitalityq!Q1981),FALSE)))</f>
        <v>0</v>
      </c>
      <c r="R1981">
        <f>NOT(hospitalityq!R1981="")*(NOT(IFERROR(ROUND(VALUE(hospitalityq!R1981),2)=VALUE(hospitalityq!R1981),FALSE)))</f>
        <v>0</v>
      </c>
    </row>
    <row r="1982" spans="1:18" x14ac:dyDescent="0.25">
      <c r="A1982">
        <f t="shared" si="30"/>
        <v>0</v>
      </c>
      <c r="C1982">
        <f>NOT(hospitalityq!C1982="")*(SUMPRODUCT(--(TRIM(hospitalityq!C6:C1982)=TRIM(hospitalityq!C1982)))&gt;1)</f>
        <v>0</v>
      </c>
      <c r="D1982">
        <f>NOT(hospitalityq!D1982="")*(COUNTIF(reference!$C$17:$C$18,TRIM(hospitalityq!D1982))=0)</f>
        <v>0</v>
      </c>
      <c r="J1982">
        <f>NOT(hospitalityq!J1982="")*(NOT(ISNUMBER(hospitalityq!J1982+0)))</f>
        <v>0</v>
      </c>
      <c r="K1982">
        <f>NOT(hospitalityq!K1982="")*(NOT(ISNUMBER(hospitalityq!K1982+0)))</f>
        <v>0</v>
      </c>
      <c r="P1982">
        <f>NOT(hospitalityq!P1982="")*(NOT(IFERROR(INT(hospitalityq!P1982)=VALUE(hospitalityq!P1982),FALSE)))</f>
        <v>0</v>
      </c>
      <c r="Q1982">
        <f>NOT(hospitalityq!Q1982="")*(NOT(IFERROR(INT(hospitalityq!Q1982)=VALUE(hospitalityq!Q1982),FALSE)))</f>
        <v>0</v>
      </c>
      <c r="R1982">
        <f>NOT(hospitalityq!R1982="")*(NOT(IFERROR(ROUND(VALUE(hospitalityq!R1982),2)=VALUE(hospitalityq!R1982),FALSE)))</f>
        <v>0</v>
      </c>
    </row>
    <row r="1983" spans="1:18" x14ac:dyDescent="0.25">
      <c r="A1983">
        <f t="shared" si="30"/>
        <v>0</v>
      </c>
      <c r="C1983">
        <f>NOT(hospitalityq!C1983="")*(SUMPRODUCT(--(TRIM(hospitalityq!C6:C1983)=TRIM(hospitalityq!C1983)))&gt;1)</f>
        <v>0</v>
      </c>
      <c r="D1983">
        <f>NOT(hospitalityq!D1983="")*(COUNTIF(reference!$C$17:$C$18,TRIM(hospitalityq!D1983))=0)</f>
        <v>0</v>
      </c>
      <c r="J1983">
        <f>NOT(hospitalityq!J1983="")*(NOT(ISNUMBER(hospitalityq!J1983+0)))</f>
        <v>0</v>
      </c>
      <c r="K1983">
        <f>NOT(hospitalityq!K1983="")*(NOT(ISNUMBER(hospitalityq!K1983+0)))</f>
        <v>0</v>
      </c>
      <c r="P1983">
        <f>NOT(hospitalityq!P1983="")*(NOT(IFERROR(INT(hospitalityq!P1983)=VALUE(hospitalityq!P1983),FALSE)))</f>
        <v>0</v>
      </c>
      <c r="Q1983">
        <f>NOT(hospitalityq!Q1983="")*(NOT(IFERROR(INT(hospitalityq!Q1983)=VALUE(hospitalityq!Q1983),FALSE)))</f>
        <v>0</v>
      </c>
      <c r="R1983">
        <f>NOT(hospitalityq!R1983="")*(NOT(IFERROR(ROUND(VALUE(hospitalityq!R1983),2)=VALUE(hospitalityq!R1983),FALSE)))</f>
        <v>0</v>
      </c>
    </row>
    <row r="1984" spans="1:18" x14ac:dyDescent="0.25">
      <c r="A1984">
        <f t="shared" si="30"/>
        <v>0</v>
      </c>
      <c r="C1984">
        <f>NOT(hospitalityq!C1984="")*(SUMPRODUCT(--(TRIM(hospitalityq!C6:C1984)=TRIM(hospitalityq!C1984)))&gt;1)</f>
        <v>0</v>
      </c>
      <c r="D1984">
        <f>NOT(hospitalityq!D1984="")*(COUNTIF(reference!$C$17:$C$18,TRIM(hospitalityq!D1984))=0)</f>
        <v>0</v>
      </c>
      <c r="J1984">
        <f>NOT(hospitalityq!J1984="")*(NOT(ISNUMBER(hospitalityq!J1984+0)))</f>
        <v>0</v>
      </c>
      <c r="K1984">
        <f>NOT(hospitalityq!K1984="")*(NOT(ISNUMBER(hospitalityq!K1984+0)))</f>
        <v>0</v>
      </c>
      <c r="P1984">
        <f>NOT(hospitalityq!P1984="")*(NOT(IFERROR(INT(hospitalityq!P1984)=VALUE(hospitalityq!P1984),FALSE)))</f>
        <v>0</v>
      </c>
      <c r="Q1984">
        <f>NOT(hospitalityq!Q1984="")*(NOT(IFERROR(INT(hospitalityq!Q1984)=VALUE(hospitalityq!Q1984),FALSE)))</f>
        <v>0</v>
      </c>
      <c r="R1984">
        <f>NOT(hospitalityq!R1984="")*(NOT(IFERROR(ROUND(VALUE(hospitalityq!R1984),2)=VALUE(hospitalityq!R1984),FALSE)))</f>
        <v>0</v>
      </c>
    </row>
    <row r="1985" spans="1:18" x14ac:dyDescent="0.25">
      <c r="A1985">
        <f t="shared" si="30"/>
        <v>0</v>
      </c>
      <c r="C1985">
        <f>NOT(hospitalityq!C1985="")*(SUMPRODUCT(--(TRIM(hospitalityq!C6:C1985)=TRIM(hospitalityq!C1985)))&gt;1)</f>
        <v>0</v>
      </c>
      <c r="D1985">
        <f>NOT(hospitalityq!D1985="")*(COUNTIF(reference!$C$17:$C$18,TRIM(hospitalityq!D1985))=0)</f>
        <v>0</v>
      </c>
      <c r="J1985">
        <f>NOT(hospitalityq!J1985="")*(NOT(ISNUMBER(hospitalityq!J1985+0)))</f>
        <v>0</v>
      </c>
      <c r="K1985">
        <f>NOT(hospitalityq!K1985="")*(NOT(ISNUMBER(hospitalityq!K1985+0)))</f>
        <v>0</v>
      </c>
      <c r="P1985">
        <f>NOT(hospitalityq!P1985="")*(NOT(IFERROR(INT(hospitalityq!P1985)=VALUE(hospitalityq!P1985),FALSE)))</f>
        <v>0</v>
      </c>
      <c r="Q1985">
        <f>NOT(hospitalityq!Q1985="")*(NOT(IFERROR(INT(hospitalityq!Q1985)=VALUE(hospitalityq!Q1985),FALSE)))</f>
        <v>0</v>
      </c>
      <c r="R1985">
        <f>NOT(hospitalityq!R1985="")*(NOT(IFERROR(ROUND(VALUE(hospitalityq!R1985),2)=VALUE(hospitalityq!R1985),FALSE)))</f>
        <v>0</v>
      </c>
    </row>
    <row r="1986" spans="1:18" x14ac:dyDescent="0.25">
      <c r="A1986">
        <f t="shared" si="30"/>
        <v>0</v>
      </c>
      <c r="C1986">
        <f>NOT(hospitalityq!C1986="")*(SUMPRODUCT(--(TRIM(hospitalityq!C6:C1986)=TRIM(hospitalityq!C1986)))&gt;1)</f>
        <v>0</v>
      </c>
      <c r="D1986">
        <f>NOT(hospitalityq!D1986="")*(COUNTIF(reference!$C$17:$C$18,TRIM(hospitalityq!D1986))=0)</f>
        <v>0</v>
      </c>
      <c r="J1986">
        <f>NOT(hospitalityq!J1986="")*(NOT(ISNUMBER(hospitalityq!J1986+0)))</f>
        <v>0</v>
      </c>
      <c r="K1986">
        <f>NOT(hospitalityq!K1986="")*(NOT(ISNUMBER(hospitalityq!K1986+0)))</f>
        <v>0</v>
      </c>
      <c r="P1986">
        <f>NOT(hospitalityq!P1986="")*(NOT(IFERROR(INT(hospitalityq!P1986)=VALUE(hospitalityq!P1986),FALSE)))</f>
        <v>0</v>
      </c>
      <c r="Q1986">
        <f>NOT(hospitalityq!Q1986="")*(NOT(IFERROR(INT(hospitalityq!Q1986)=VALUE(hospitalityq!Q1986),FALSE)))</f>
        <v>0</v>
      </c>
      <c r="R1986">
        <f>NOT(hospitalityq!R1986="")*(NOT(IFERROR(ROUND(VALUE(hospitalityq!R1986),2)=VALUE(hospitalityq!R1986),FALSE)))</f>
        <v>0</v>
      </c>
    </row>
    <row r="1987" spans="1:18" x14ac:dyDescent="0.25">
      <c r="A1987">
        <f t="shared" si="30"/>
        <v>0</v>
      </c>
      <c r="C1987">
        <f>NOT(hospitalityq!C1987="")*(SUMPRODUCT(--(TRIM(hospitalityq!C6:C1987)=TRIM(hospitalityq!C1987)))&gt;1)</f>
        <v>0</v>
      </c>
      <c r="D1987">
        <f>NOT(hospitalityq!D1987="")*(COUNTIF(reference!$C$17:$C$18,TRIM(hospitalityq!D1987))=0)</f>
        <v>0</v>
      </c>
      <c r="J1987">
        <f>NOT(hospitalityq!J1987="")*(NOT(ISNUMBER(hospitalityq!J1987+0)))</f>
        <v>0</v>
      </c>
      <c r="K1987">
        <f>NOT(hospitalityq!K1987="")*(NOT(ISNUMBER(hospitalityq!K1987+0)))</f>
        <v>0</v>
      </c>
      <c r="P1987">
        <f>NOT(hospitalityq!P1987="")*(NOT(IFERROR(INT(hospitalityq!P1987)=VALUE(hospitalityq!P1987),FALSE)))</f>
        <v>0</v>
      </c>
      <c r="Q1987">
        <f>NOT(hospitalityq!Q1987="")*(NOT(IFERROR(INT(hospitalityq!Q1987)=VALUE(hospitalityq!Q1987),FALSE)))</f>
        <v>0</v>
      </c>
      <c r="R1987">
        <f>NOT(hospitalityq!R1987="")*(NOT(IFERROR(ROUND(VALUE(hospitalityq!R1987),2)=VALUE(hospitalityq!R1987),FALSE)))</f>
        <v>0</v>
      </c>
    </row>
    <row r="1988" spans="1:18" x14ac:dyDescent="0.25">
      <c r="A1988">
        <f t="shared" si="30"/>
        <v>0</v>
      </c>
      <c r="C1988">
        <f>NOT(hospitalityq!C1988="")*(SUMPRODUCT(--(TRIM(hospitalityq!C6:C1988)=TRIM(hospitalityq!C1988)))&gt;1)</f>
        <v>0</v>
      </c>
      <c r="D1988">
        <f>NOT(hospitalityq!D1988="")*(COUNTIF(reference!$C$17:$C$18,TRIM(hospitalityq!D1988))=0)</f>
        <v>0</v>
      </c>
      <c r="J1988">
        <f>NOT(hospitalityq!J1988="")*(NOT(ISNUMBER(hospitalityq!J1988+0)))</f>
        <v>0</v>
      </c>
      <c r="K1988">
        <f>NOT(hospitalityq!K1988="")*(NOT(ISNUMBER(hospitalityq!K1988+0)))</f>
        <v>0</v>
      </c>
      <c r="P1988">
        <f>NOT(hospitalityq!P1988="")*(NOT(IFERROR(INT(hospitalityq!P1988)=VALUE(hospitalityq!P1988),FALSE)))</f>
        <v>0</v>
      </c>
      <c r="Q1988">
        <f>NOT(hospitalityq!Q1988="")*(NOT(IFERROR(INT(hospitalityq!Q1988)=VALUE(hospitalityq!Q1988),FALSE)))</f>
        <v>0</v>
      </c>
      <c r="R1988">
        <f>NOT(hospitalityq!R1988="")*(NOT(IFERROR(ROUND(VALUE(hospitalityq!R1988),2)=VALUE(hospitalityq!R1988),FALSE)))</f>
        <v>0</v>
      </c>
    </row>
    <row r="1989" spans="1:18" x14ac:dyDescent="0.25">
      <c r="A1989">
        <f t="shared" si="30"/>
        <v>0</v>
      </c>
      <c r="C1989">
        <f>NOT(hospitalityq!C1989="")*(SUMPRODUCT(--(TRIM(hospitalityq!C6:C1989)=TRIM(hospitalityq!C1989)))&gt;1)</f>
        <v>0</v>
      </c>
      <c r="D1989">
        <f>NOT(hospitalityq!D1989="")*(COUNTIF(reference!$C$17:$C$18,TRIM(hospitalityq!D1989))=0)</f>
        <v>0</v>
      </c>
      <c r="J1989">
        <f>NOT(hospitalityq!J1989="")*(NOT(ISNUMBER(hospitalityq!J1989+0)))</f>
        <v>0</v>
      </c>
      <c r="K1989">
        <f>NOT(hospitalityq!K1989="")*(NOT(ISNUMBER(hospitalityq!K1989+0)))</f>
        <v>0</v>
      </c>
      <c r="P1989">
        <f>NOT(hospitalityq!P1989="")*(NOT(IFERROR(INT(hospitalityq!P1989)=VALUE(hospitalityq!P1989),FALSE)))</f>
        <v>0</v>
      </c>
      <c r="Q1989">
        <f>NOT(hospitalityq!Q1989="")*(NOT(IFERROR(INT(hospitalityq!Q1989)=VALUE(hospitalityq!Q1989),FALSE)))</f>
        <v>0</v>
      </c>
      <c r="R1989">
        <f>NOT(hospitalityq!R1989="")*(NOT(IFERROR(ROUND(VALUE(hospitalityq!R1989),2)=VALUE(hospitalityq!R1989),FALSE)))</f>
        <v>0</v>
      </c>
    </row>
    <row r="1990" spans="1:18" x14ac:dyDescent="0.25">
      <c r="A1990">
        <f t="shared" ref="A1990:A2005" si="31">IFERROR(MATCH(TRUE,INDEX(C1990:R1990&lt;&gt;0,),)+2,0)</f>
        <v>0</v>
      </c>
      <c r="C1990">
        <f>NOT(hospitalityq!C1990="")*(SUMPRODUCT(--(TRIM(hospitalityq!C6:C1990)=TRIM(hospitalityq!C1990)))&gt;1)</f>
        <v>0</v>
      </c>
      <c r="D1990">
        <f>NOT(hospitalityq!D1990="")*(COUNTIF(reference!$C$17:$C$18,TRIM(hospitalityq!D1990))=0)</f>
        <v>0</v>
      </c>
      <c r="J1990">
        <f>NOT(hospitalityq!J1990="")*(NOT(ISNUMBER(hospitalityq!J1990+0)))</f>
        <v>0</v>
      </c>
      <c r="K1990">
        <f>NOT(hospitalityq!K1990="")*(NOT(ISNUMBER(hospitalityq!K1990+0)))</f>
        <v>0</v>
      </c>
      <c r="P1990">
        <f>NOT(hospitalityq!P1990="")*(NOT(IFERROR(INT(hospitalityq!P1990)=VALUE(hospitalityq!P1990),FALSE)))</f>
        <v>0</v>
      </c>
      <c r="Q1990">
        <f>NOT(hospitalityq!Q1990="")*(NOT(IFERROR(INT(hospitalityq!Q1990)=VALUE(hospitalityq!Q1990),FALSE)))</f>
        <v>0</v>
      </c>
      <c r="R1990">
        <f>NOT(hospitalityq!R1990="")*(NOT(IFERROR(ROUND(VALUE(hospitalityq!R1990),2)=VALUE(hospitalityq!R1990),FALSE)))</f>
        <v>0</v>
      </c>
    </row>
    <row r="1991" spans="1:18" x14ac:dyDescent="0.25">
      <c r="A1991">
        <f t="shared" si="31"/>
        <v>0</v>
      </c>
      <c r="C1991">
        <f>NOT(hospitalityq!C1991="")*(SUMPRODUCT(--(TRIM(hospitalityq!C6:C1991)=TRIM(hospitalityq!C1991)))&gt;1)</f>
        <v>0</v>
      </c>
      <c r="D1991">
        <f>NOT(hospitalityq!D1991="")*(COUNTIF(reference!$C$17:$C$18,TRIM(hospitalityq!D1991))=0)</f>
        <v>0</v>
      </c>
      <c r="J1991">
        <f>NOT(hospitalityq!J1991="")*(NOT(ISNUMBER(hospitalityq!J1991+0)))</f>
        <v>0</v>
      </c>
      <c r="K1991">
        <f>NOT(hospitalityq!K1991="")*(NOT(ISNUMBER(hospitalityq!K1991+0)))</f>
        <v>0</v>
      </c>
      <c r="P1991">
        <f>NOT(hospitalityq!P1991="")*(NOT(IFERROR(INT(hospitalityq!P1991)=VALUE(hospitalityq!P1991),FALSE)))</f>
        <v>0</v>
      </c>
      <c r="Q1991">
        <f>NOT(hospitalityq!Q1991="")*(NOT(IFERROR(INT(hospitalityq!Q1991)=VALUE(hospitalityq!Q1991),FALSE)))</f>
        <v>0</v>
      </c>
      <c r="R1991">
        <f>NOT(hospitalityq!R1991="")*(NOT(IFERROR(ROUND(VALUE(hospitalityq!R1991),2)=VALUE(hospitalityq!R1991),FALSE)))</f>
        <v>0</v>
      </c>
    </row>
    <row r="1992" spans="1:18" x14ac:dyDescent="0.25">
      <c r="A1992">
        <f t="shared" si="31"/>
        <v>0</v>
      </c>
      <c r="C1992">
        <f>NOT(hospitalityq!C1992="")*(SUMPRODUCT(--(TRIM(hospitalityq!C6:C1992)=TRIM(hospitalityq!C1992)))&gt;1)</f>
        <v>0</v>
      </c>
      <c r="D1992">
        <f>NOT(hospitalityq!D1992="")*(COUNTIF(reference!$C$17:$C$18,TRIM(hospitalityq!D1992))=0)</f>
        <v>0</v>
      </c>
      <c r="J1992">
        <f>NOT(hospitalityq!J1992="")*(NOT(ISNUMBER(hospitalityq!J1992+0)))</f>
        <v>0</v>
      </c>
      <c r="K1992">
        <f>NOT(hospitalityq!K1992="")*(NOT(ISNUMBER(hospitalityq!K1992+0)))</f>
        <v>0</v>
      </c>
      <c r="P1992">
        <f>NOT(hospitalityq!P1992="")*(NOT(IFERROR(INT(hospitalityq!P1992)=VALUE(hospitalityq!P1992),FALSE)))</f>
        <v>0</v>
      </c>
      <c r="Q1992">
        <f>NOT(hospitalityq!Q1992="")*(NOT(IFERROR(INT(hospitalityq!Q1992)=VALUE(hospitalityq!Q1992),FALSE)))</f>
        <v>0</v>
      </c>
      <c r="R1992">
        <f>NOT(hospitalityq!R1992="")*(NOT(IFERROR(ROUND(VALUE(hospitalityq!R1992),2)=VALUE(hospitalityq!R1992),FALSE)))</f>
        <v>0</v>
      </c>
    </row>
    <row r="1993" spans="1:18" x14ac:dyDescent="0.25">
      <c r="A1993">
        <f t="shared" si="31"/>
        <v>0</v>
      </c>
      <c r="C1993">
        <f>NOT(hospitalityq!C1993="")*(SUMPRODUCT(--(TRIM(hospitalityq!C6:C1993)=TRIM(hospitalityq!C1993)))&gt;1)</f>
        <v>0</v>
      </c>
      <c r="D1993">
        <f>NOT(hospitalityq!D1993="")*(COUNTIF(reference!$C$17:$C$18,TRIM(hospitalityq!D1993))=0)</f>
        <v>0</v>
      </c>
      <c r="J1993">
        <f>NOT(hospitalityq!J1993="")*(NOT(ISNUMBER(hospitalityq!J1993+0)))</f>
        <v>0</v>
      </c>
      <c r="K1993">
        <f>NOT(hospitalityq!K1993="")*(NOT(ISNUMBER(hospitalityq!K1993+0)))</f>
        <v>0</v>
      </c>
      <c r="P1993">
        <f>NOT(hospitalityq!P1993="")*(NOT(IFERROR(INT(hospitalityq!P1993)=VALUE(hospitalityq!P1993),FALSE)))</f>
        <v>0</v>
      </c>
      <c r="Q1993">
        <f>NOT(hospitalityq!Q1993="")*(NOT(IFERROR(INT(hospitalityq!Q1993)=VALUE(hospitalityq!Q1993),FALSE)))</f>
        <v>0</v>
      </c>
      <c r="R1993">
        <f>NOT(hospitalityq!R1993="")*(NOT(IFERROR(ROUND(VALUE(hospitalityq!R1993),2)=VALUE(hospitalityq!R1993),FALSE)))</f>
        <v>0</v>
      </c>
    </row>
    <row r="1994" spans="1:18" x14ac:dyDescent="0.25">
      <c r="A1994">
        <f t="shared" si="31"/>
        <v>0</v>
      </c>
      <c r="C1994">
        <f>NOT(hospitalityq!C1994="")*(SUMPRODUCT(--(TRIM(hospitalityq!C6:C1994)=TRIM(hospitalityq!C1994)))&gt;1)</f>
        <v>0</v>
      </c>
      <c r="D1994">
        <f>NOT(hospitalityq!D1994="")*(COUNTIF(reference!$C$17:$C$18,TRIM(hospitalityq!D1994))=0)</f>
        <v>0</v>
      </c>
      <c r="J1994">
        <f>NOT(hospitalityq!J1994="")*(NOT(ISNUMBER(hospitalityq!J1994+0)))</f>
        <v>0</v>
      </c>
      <c r="K1994">
        <f>NOT(hospitalityq!K1994="")*(NOT(ISNUMBER(hospitalityq!K1994+0)))</f>
        <v>0</v>
      </c>
      <c r="P1994">
        <f>NOT(hospitalityq!P1994="")*(NOT(IFERROR(INT(hospitalityq!P1994)=VALUE(hospitalityq!P1994),FALSE)))</f>
        <v>0</v>
      </c>
      <c r="Q1994">
        <f>NOT(hospitalityq!Q1994="")*(NOT(IFERROR(INT(hospitalityq!Q1994)=VALUE(hospitalityq!Q1994),FALSE)))</f>
        <v>0</v>
      </c>
      <c r="R1994">
        <f>NOT(hospitalityq!R1994="")*(NOT(IFERROR(ROUND(VALUE(hospitalityq!R1994),2)=VALUE(hospitalityq!R1994),FALSE)))</f>
        <v>0</v>
      </c>
    </row>
    <row r="1995" spans="1:18" x14ac:dyDescent="0.25">
      <c r="A1995">
        <f t="shared" si="31"/>
        <v>0</v>
      </c>
      <c r="C1995">
        <f>NOT(hospitalityq!C1995="")*(SUMPRODUCT(--(TRIM(hospitalityq!C6:C1995)=TRIM(hospitalityq!C1995)))&gt;1)</f>
        <v>0</v>
      </c>
      <c r="D1995">
        <f>NOT(hospitalityq!D1995="")*(COUNTIF(reference!$C$17:$C$18,TRIM(hospitalityq!D1995))=0)</f>
        <v>0</v>
      </c>
      <c r="J1995">
        <f>NOT(hospitalityq!J1995="")*(NOT(ISNUMBER(hospitalityq!J1995+0)))</f>
        <v>0</v>
      </c>
      <c r="K1995">
        <f>NOT(hospitalityq!K1995="")*(NOT(ISNUMBER(hospitalityq!K1995+0)))</f>
        <v>0</v>
      </c>
      <c r="P1995">
        <f>NOT(hospitalityq!P1995="")*(NOT(IFERROR(INT(hospitalityq!P1995)=VALUE(hospitalityq!P1995),FALSE)))</f>
        <v>0</v>
      </c>
      <c r="Q1995">
        <f>NOT(hospitalityq!Q1995="")*(NOT(IFERROR(INT(hospitalityq!Q1995)=VALUE(hospitalityq!Q1995),FALSE)))</f>
        <v>0</v>
      </c>
      <c r="R1995">
        <f>NOT(hospitalityq!R1995="")*(NOT(IFERROR(ROUND(VALUE(hospitalityq!R1995),2)=VALUE(hospitalityq!R1995),FALSE)))</f>
        <v>0</v>
      </c>
    </row>
    <row r="1996" spans="1:18" x14ac:dyDescent="0.25">
      <c r="A1996">
        <f t="shared" si="31"/>
        <v>0</v>
      </c>
      <c r="C1996">
        <f>NOT(hospitalityq!C1996="")*(SUMPRODUCT(--(TRIM(hospitalityq!C6:C1996)=TRIM(hospitalityq!C1996)))&gt;1)</f>
        <v>0</v>
      </c>
      <c r="D1996">
        <f>NOT(hospitalityq!D1996="")*(COUNTIF(reference!$C$17:$C$18,TRIM(hospitalityq!D1996))=0)</f>
        <v>0</v>
      </c>
      <c r="J1996">
        <f>NOT(hospitalityq!J1996="")*(NOT(ISNUMBER(hospitalityq!J1996+0)))</f>
        <v>0</v>
      </c>
      <c r="K1996">
        <f>NOT(hospitalityq!K1996="")*(NOT(ISNUMBER(hospitalityq!K1996+0)))</f>
        <v>0</v>
      </c>
      <c r="P1996">
        <f>NOT(hospitalityq!P1996="")*(NOT(IFERROR(INT(hospitalityq!P1996)=VALUE(hospitalityq!P1996),FALSE)))</f>
        <v>0</v>
      </c>
      <c r="Q1996">
        <f>NOT(hospitalityq!Q1996="")*(NOT(IFERROR(INT(hospitalityq!Q1996)=VALUE(hospitalityq!Q1996),FALSE)))</f>
        <v>0</v>
      </c>
      <c r="R1996">
        <f>NOT(hospitalityq!R1996="")*(NOT(IFERROR(ROUND(VALUE(hospitalityq!R1996),2)=VALUE(hospitalityq!R1996),FALSE)))</f>
        <v>0</v>
      </c>
    </row>
    <row r="1997" spans="1:18" x14ac:dyDescent="0.25">
      <c r="A1997">
        <f t="shared" si="31"/>
        <v>0</v>
      </c>
      <c r="C1997">
        <f>NOT(hospitalityq!C1997="")*(SUMPRODUCT(--(TRIM(hospitalityq!C6:C1997)=TRIM(hospitalityq!C1997)))&gt;1)</f>
        <v>0</v>
      </c>
      <c r="D1997">
        <f>NOT(hospitalityq!D1997="")*(COUNTIF(reference!$C$17:$C$18,TRIM(hospitalityq!D1997))=0)</f>
        <v>0</v>
      </c>
      <c r="J1997">
        <f>NOT(hospitalityq!J1997="")*(NOT(ISNUMBER(hospitalityq!J1997+0)))</f>
        <v>0</v>
      </c>
      <c r="K1997">
        <f>NOT(hospitalityq!K1997="")*(NOT(ISNUMBER(hospitalityq!K1997+0)))</f>
        <v>0</v>
      </c>
      <c r="P1997">
        <f>NOT(hospitalityq!P1997="")*(NOT(IFERROR(INT(hospitalityq!P1997)=VALUE(hospitalityq!P1997),FALSE)))</f>
        <v>0</v>
      </c>
      <c r="Q1997">
        <f>NOT(hospitalityq!Q1997="")*(NOT(IFERROR(INT(hospitalityq!Q1997)=VALUE(hospitalityq!Q1997),FALSE)))</f>
        <v>0</v>
      </c>
      <c r="R1997">
        <f>NOT(hospitalityq!R1997="")*(NOT(IFERROR(ROUND(VALUE(hospitalityq!R1997),2)=VALUE(hospitalityq!R1997),FALSE)))</f>
        <v>0</v>
      </c>
    </row>
    <row r="1998" spans="1:18" x14ac:dyDescent="0.25">
      <c r="A1998">
        <f t="shared" si="31"/>
        <v>0</v>
      </c>
      <c r="C1998">
        <f>NOT(hospitalityq!C1998="")*(SUMPRODUCT(--(TRIM(hospitalityq!C6:C1998)=TRIM(hospitalityq!C1998)))&gt;1)</f>
        <v>0</v>
      </c>
      <c r="D1998">
        <f>NOT(hospitalityq!D1998="")*(COUNTIF(reference!$C$17:$C$18,TRIM(hospitalityq!D1998))=0)</f>
        <v>0</v>
      </c>
      <c r="J1998">
        <f>NOT(hospitalityq!J1998="")*(NOT(ISNUMBER(hospitalityq!J1998+0)))</f>
        <v>0</v>
      </c>
      <c r="K1998">
        <f>NOT(hospitalityq!K1998="")*(NOT(ISNUMBER(hospitalityq!K1998+0)))</f>
        <v>0</v>
      </c>
      <c r="P1998">
        <f>NOT(hospitalityq!P1998="")*(NOT(IFERROR(INT(hospitalityq!P1998)=VALUE(hospitalityq!P1998),FALSE)))</f>
        <v>0</v>
      </c>
      <c r="Q1998">
        <f>NOT(hospitalityq!Q1998="")*(NOT(IFERROR(INT(hospitalityq!Q1998)=VALUE(hospitalityq!Q1998),FALSE)))</f>
        <v>0</v>
      </c>
      <c r="R1998">
        <f>NOT(hospitalityq!R1998="")*(NOT(IFERROR(ROUND(VALUE(hospitalityq!R1998),2)=VALUE(hospitalityq!R1998),FALSE)))</f>
        <v>0</v>
      </c>
    </row>
    <row r="1999" spans="1:18" x14ac:dyDescent="0.25">
      <c r="A1999">
        <f t="shared" si="31"/>
        <v>0</v>
      </c>
      <c r="C1999">
        <f>NOT(hospitalityq!C1999="")*(SUMPRODUCT(--(TRIM(hospitalityq!C6:C1999)=TRIM(hospitalityq!C1999)))&gt;1)</f>
        <v>0</v>
      </c>
      <c r="D1999">
        <f>NOT(hospitalityq!D1999="")*(COUNTIF(reference!$C$17:$C$18,TRIM(hospitalityq!D1999))=0)</f>
        <v>0</v>
      </c>
      <c r="J1999">
        <f>NOT(hospitalityq!J1999="")*(NOT(ISNUMBER(hospitalityq!J1999+0)))</f>
        <v>0</v>
      </c>
      <c r="K1999">
        <f>NOT(hospitalityq!K1999="")*(NOT(ISNUMBER(hospitalityq!K1999+0)))</f>
        <v>0</v>
      </c>
      <c r="P1999">
        <f>NOT(hospitalityq!P1999="")*(NOT(IFERROR(INT(hospitalityq!P1999)=VALUE(hospitalityq!P1999),FALSE)))</f>
        <v>0</v>
      </c>
      <c r="Q1999">
        <f>NOT(hospitalityq!Q1999="")*(NOT(IFERROR(INT(hospitalityq!Q1999)=VALUE(hospitalityq!Q1999),FALSE)))</f>
        <v>0</v>
      </c>
      <c r="R1999">
        <f>NOT(hospitalityq!R1999="")*(NOT(IFERROR(ROUND(VALUE(hospitalityq!R1999),2)=VALUE(hospitalityq!R1999),FALSE)))</f>
        <v>0</v>
      </c>
    </row>
    <row r="2000" spans="1:18" x14ac:dyDescent="0.25">
      <c r="A2000">
        <f t="shared" si="31"/>
        <v>0</v>
      </c>
      <c r="C2000">
        <f>NOT(hospitalityq!C2000="")*(SUMPRODUCT(--(TRIM(hospitalityq!C6:C2000)=TRIM(hospitalityq!C2000)))&gt;1)</f>
        <v>0</v>
      </c>
      <c r="D2000">
        <f>NOT(hospitalityq!D2000="")*(COUNTIF(reference!$C$17:$C$18,TRIM(hospitalityq!D2000))=0)</f>
        <v>0</v>
      </c>
      <c r="J2000">
        <f>NOT(hospitalityq!J2000="")*(NOT(ISNUMBER(hospitalityq!J2000+0)))</f>
        <v>0</v>
      </c>
      <c r="K2000">
        <f>NOT(hospitalityq!K2000="")*(NOT(ISNUMBER(hospitalityq!K2000+0)))</f>
        <v>0</v>
      </c>
      <c r="P2000">
        <f>NOT(hospitalityq!P2000="")*(NOT(IFERROR(INT(hospitalityq!P2000)=VALUE(hospitalityq!P2000),FALSE)))</f>
        <v>0</v>
      </c>
      <c r="Q2000">
        <f>NOT(hospitalityq!Q2000="")*(NOT(IFERROR(INT(hospitalityq!Q2000)=VALUE(hospitalityq!Q2000),FALSE)))</f>
        <v>0</v>
      </c>
      <c r="R2000">
        <f>NOT(hospitalityq!R2000="")*(NOT(IFERROR(ROUND(VALUE(hospitalityq!R2000),2)=VALUE(hospitalityq!R2000),FALSE)))</f>
        <v>0</v>
      </c>
    </row>
    <row r="2001" spans="1:18" x14ac:dyDescent="0.25">
      <c r="A2001">
        <f t="shared" si="31"/>
        <v>0</v>
      </c>
      <c r="C2001">
        <f>NOT(hospitalityq!C2001="")*(SUMPRODUCT(--(TRIM(hospitalityq!C6:C2001)=TRIM(hospitalityq!C2001)))&gt;1)</f>
        <v>0</v>
      </c>
      <c r="D2001">
        <f>NOT(hospitalityq!D2001="")*(COUNTIF(reference!$C$17:$C$18,TRIM(hospitalityq!D2001))=0)</f>
        <v>0</v>
      </c>
      <c r="J2001">
        <f>NOT(hospitalityq!J2001="")*(NOT(ISNUMBER(hospitalityq!J2001+0)))</f>
        <v>0</v>
      </c>
      <c r="K2001">
        <f>NOT(hospitalityq!K2001="")*(NOT(ISNUMBER(hospitalityq!K2001+0)))</f>
        <v>0</v>
      </c>
      <c r="P2001">
        <f>NOT(hospitalityq!P2001="")*(NOT(IFERROR(INT(hospitalityq!P2001)=VALUE(hospitalityq!P2001),FALSE)))</f>
        <v>0</v>
      </c>
      <c r="Q2001">
        <f>NOT(hospitalityq!Q2001="")*(NOT(IFERROR(INT(hospitalityq!Q2001)=VALUE(hospitalityq!Q2001),FALSE)))</f>
        <v>0</v>
      </c>
      <c r="R2001">
        <f>NOT(hospitalityq!R2001="")*(NOT(IFERROR(ROUND(VALUE(hospitalityq!R2001),2)=VALUE(hospitalityq!R2001),FALSE)))</f>
        <v>0</v>
      </c>
    </row>
    <row r="2002" spans="1:18" x14ac:dyDescent="0.25">
      <c r="A2002">
        <f t="shared" si="31"/>
        <v>0</v>
      </c>
      <c r="C2002">
        <f>NOT(hospitalityq!C2002="")*(SUMPRODUCT(--(TRIM(hospitalityq!C6:C2002)=TRIM(hospitalityq!C2002)))&gt;1)</f>
        <v>0</v>
      </c>
      <c r="D2002">
        <f>NOT(hospitalityq!D2002="")*(COUNTIF(reference!$C$17:$C$18,TRIM(hospitalityq!D2002))=0)</f>
        <v>0</v>
      </c>
      <c r="J2002">
        <f>NOT(hospitalityq!J2002="")*(NOT(ISNUMBER(hospitalityq!J2002+0)))</f>
        <v>0</v>
      </c>
      <c r="K2002">
        <f>NOT(hospitalityq!K2002="")*(NOT(ISNUMBER(hospitalityq!K2002+0)))</f>
        <v>0</v>
      </c>
      <c r="P2002">
        <f>NOT(hospitalityq!P2002="")*(NOT(IFERROR(INT(hospitalityq!P2002)=VALUE(hospitalityq!P2002),FALSE)))</f>
        <v>0</v>
      </c>
      <c r="Q2002">
        <f>NOT(hospitalityq!Q2002="")*(NOT(IFERROR(INT(hospitalityq!Q2002)=VALUE(hospitalityq!Q2002),FALSE)))</f>
        <v>0</v>
      </c>
      <c r="R2002">
        <f>NOT(hospitalityq!R2002="")*(NOT(IFERROR(ROUND(VALUE(hospitalityq!R2002),2)=VALUE(hospitalityq!R2002),FALSE)))</f>
        <v>0</v>
      </c>
    </row>
    <row r="2003" spans="1:18" x14ac:dyDescent="0.25">
      <c r="A2003">
        <f t="shared" si="31"/>
        <v>0</v>
      </c>
      <c r="C2003">
        <f>NOT(hospitalityq!C2003="")*(SUMPRODUCT(--(TRIM(hospitalityq!C6:C2003)=TRIM(hospitalityq!C2003)))&gt;1)</f>
        <v>0</v>
      </c>
      <c r="D2003">
        <f>NOT(hospitalityq!D2003="")*(COUNTIF(reference!$C$17:$C$18,TRIM(hospitalityq!D2003))=0)</f>
        <v>0</v>
      </c>
      <c r="J2003">
        <f>NOT(hospitalityq!J2003="")*(NOT(ISNUMBER(hospitalityq!J2003+0)))</f>
        <v>0</v>
      </c>
      <c r="K2003">
        <f>NOT(hospitalityq!K2003="")*(NOT(ISNUMBER(hospitalityq!K2003+0)))</f>
        <v>0</v>
      </c>
      <c r="P2003">
        <f>NOT(hospitalityq!P2003="")*(NOT(IFERROR(INT(hospitalityq!P2003)=VALUE(hospitalityq!P2003),FALSE)))</f>
        <v>0</v>
      </c>
      <c r="Q2003">
        <f>NOT(hospitalityq!Q2003="")*(NOT(IFERROR(INT(hospitalityq!Q2003)=VALUE(hospitalityq!Q2003),FALSE)))</f>
        <v>0</v>
      </c>
      <c r="R2003">
        <f>NOT(hospitalityq!R2003="")*(NOT(IFERROR(ROUND(VALUE(hospitalityq!R2003),2)=VALUE(hospitalityq!R2003),FALSE)))</f>
        <v>0</v>
      </c>
    </row>
    <row r="2004" spans="1:18" x14ac:dyDescent="0.25">
      <c r="A2004">
        <f t="shared" si="31"/>
        <v>0</v>
      </c>
      <c r="C2004">
        <f>NOT(hospitalityq!C2004="")*(SUMPRODUCT(--(TRIM(hospitalityq!C6:C2004)=TRIM(hospitalityq!C2004)))&gt;1)</f>
        <v>0</v>
      </c>
      <c r="D2004">
        <f>NOT(hospitalityq!D2004="")*(COUNTIF(reference!$C$17:$C$18,TRIM(hospitalityq!D2004))=0)</f>
        <v>0</v>
      </c>
      <c r="J2004">
        <f>NOT(hospitalityq!J2004="")*(NOT(ISNUMBER(hospitalityq!J2004+0)))</f>
        <v>0</v>
      </c>
      <c r="K2004">
        <f>NOT(hospitalityq!K2004="")*(NOT(ISNUMBER(hospitalityq!K2004+0)))</f>
        <v>0</v>
      </c>
      <c r="P2004">
        <f>NOT(hospitalityq!P2004="")*(NOT(IFERROR(INT(hospitalityq!P2004)=VALUE(hospitalityq!P2004),FALSE)))</f>
        <v>0</v>
      </c>
      <c r="Q2004">
        <f>NOT(hospitalityq!Q2004="")*(NOT(IFERROR(INT(hospitalityq!Q2004)=VALUE(hospitalityq!Q2004),FALSE)))</f>
        <v>0</v>
      </c>
      <c r="R2004">
        <f>NOT(hospitalityq!R2004="")*(NOT(IFERROR(ROUND(VALUE(hospitalityq!R2004),2)=VALUE(hospitalityq!R2004),FALSE)))</f>
        <v>0</v>
      </c>
    </row>
    <row r="2005" spans="1:18" x14ac:dyDescent="0.25">
      <c r="A2005">
        <f t="shared" si="31"/>
        <v>0</v>
      </c>
      <c r="C2005">
        <f>NOT(hospitalityq!C2005="")*(SUMPRODUCT(--(TRIM(hospitalityq!C6:C2005)=TRIM(hospitalityq!C2005)))&gt;1)</f>
        <v>0</v>
      </c>
      <c r="D2005">
        <f>NOT(hospitalityq!D2005="")*(COUNTIF(reference!$C$17:$C$18,TRIM(hospitalityq!D2005))=0)</f>
        <v>0</v>
      </c>
      <c r="J2005">
        <f>NOT(hospitalityq!J2005="")*(NOT(ISNUMBER(hospitalityq!J2005+0)))</f>
        <v>0</v>
      </c>
      <c r="K2005">
        <f>NOT(hospitalityq!K2005="")*(NOT(ISNUMBER(hospitalityq!K2005+0)))</f>
        <v>0</v>
      </c>
      <c r="P2005">
        <f>NOT(hospitalityq!P2005="")*(NOT(IFERROR(INT(hospitalityq!P2005)=VALUE(hospitalityq!P2005),FALSE)))</f>
        <v>0</v>
      </c>
      <c r="Q2005">
        <f>NOT(hospitalityq!Q2005="")*(NOT(IFERROR(INT(hospitalityq!Q2005)=VALUE(hospitalityq!Q2005),FALSE)))</f>
        <v>0</v>
      </c>
      <c r="R2005">
        <f>NOT(hospitalityq!R2005="")*(NOT(IFERROR(ROUND(VALUE(hospitalityq!R2005),2)=VALUE(hospitalityq!R2005),FALSE)))</f>
        <v>0</v>
      </c>
    </row>
  </sheetData>
  <sheetProtection sheet="1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R2005"/>
  <sheetViews>
    <sheetView workbookViewId="0"/>
  </sheetViews>
  <sheetFormatPr defaultRowHeight="15" x14ac:dyDescent="0.25"/>
  <sheetData>
    <row r="4" spans="1:18" x14ac:dyDescent="0.25">
      <c r="C4">
        <f>IFERROR(MATCH(TRUE,INDEX(C6:C2005&lt;&gt;0,),)+5,0)</f>
        <v>0</v>
      </c>
      <c r="E4">
        <f t="shared" ref="E4:R4" si="0">IFERROR(MATCH(TRUE,INDEX(E6:E2005&lt;&gt;0,),)+5,0)</f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</row>
    <row r="6" spans="1:18" x14ac:dyDescent="0.25">
      <c r="A6">
        <f t="shared" ref="A6:A69" si="1">IFERROR(MATCH(TRUE,INDEX(C6:R6&lt;&gt;0,),)+2,0)</f>
        <v>0</v>
      </c>
      <c r="B6" t="b">
        <f>SUMPRODUCT(LEN(hospitalityq!C6:R6))&gt;0</f>
        <v>1</v>
      </c>
      <c r="C6">
        <f>B6*(hospitalityq!C6="")</f>
        <v>0</v>
      </c>
      <c r="E6">
        <f>B6*(hospitalityq!E6="")</f>
        <v>0</v>
      </c>
      <c r="F6">
        <f>B6*(hospitalityq!F6="")</f>
        <v>0</v>
      </c>
      <c r="G6">
        <f>B6*(hospitalityq!G6="")</f>
        <v>0</v>
      </c>
      <c r="H6">
        <f>B6*(hospitalityq!H6="")</f>
        <v>0</v>
      </c>
      <c r="I6">
        <f>B6*(hospitalityq!I6="")</f>
        <v>0</v>
      </c>
      <c r="J6">
        <f>B6*(hospitalityq!J6="")</f>
        <v>0</v>
      </c>
      <c r="K6">
        <f>B6*(hospitalityq!K6="")</f>
        <v>0</v>
      </c>
      <c r="L6">
        <f>B6*(hospitalityq!L6="")</f>
        <v>0</v>
      </c>
      <c r="M6">
        <f>B6*(hospitalityq!M6="")</f>
        <v>0</v>
      </c>
      <c r="N6">
        <f>B6*(hospitalityq!N6="")</f>
        <v>0</v>
      </c>
      <c r="O6">
        <f>B6*(hospitalityq!O6="")</f>
        <v>0</v>
      </c>
      <c r="P6">
        <f>B6*(hospitalityq!P6="")</f>
        <v>0</v>
      </c>
      <c r="Q6">
        <f>B6*(hospitalityq!Q6="")</f>
        <v>0</v>
      </c>
      <c r="R6">
        <f>B6*(hospitalityq!R6="")</f>
        <v>0</v>
      </c>
    </row>
    <row r="7" spans="1:18" x14ac:dyDescent="0.25">
      <c r="A7">
        <f t="shared" si="1"/>
        <v>0</v>
      </c>
      <c r="B7" t="b">
        <f>SUMPRODUCT(LEN(hospitalityq!C7:R7))&gt;0</f>
        <v>1</v>
      </c>
      <c r="C7">
        <f>B7*(hospitalityq!C7="")</f>
        <v>0</v>
      </c>
      <c r="E7">
        <f>B7*(hospitalityq!E7="")</f>
        <v>0</v>
      </c>
      <c r="F7">
        <f>B7*(hospitalityq!F7="")</f>
        <v>0</v>
      </c>
      <c r="G7">
        <f>B7*(hospitalityq!G7="")</f>
        <v>0</v>
      </c>
      <c r="H7">
        <f>B7*(hospitalityq!H7="")</f>
        <v>0</v>
      </c>
      <c r="I7">
        <f>B7*(hospitalityq!I7="")</f>
        <v>0</v>
      </c>
      <c r="J7">
        <f>B7*(hospitalityq!J7="")</f>
        <v>0</v>
      </c>
      <c r="K7">
        <f>B7*(hospitalityq!K7="")</f>
        <v>0</v>
      </c>
      <c r="L7">
        <f>B7*(hospitalityq!L7="")</f>
        <v>0</v>
      </c>
      <c r="M7">
        <f>B7*(hospitalityq!M7="")</f>
        <v>0</v>
      </c>
      <c r="N7">
        <f>B7*(hospitalityq!N7="")</f>
        <v>0</v>
      </c>
      <c r="O7">
        <f>B7*(hospitalityq!O7="")</f>
        <v>0</v>
      </c>
      <c r="P7">
        <f>B7*(hospitalityq!P7="")</f>
        <v>0</v>
      </c>
      <c r="Q7">
        <f>B7*(hospitalityq!Q7="")</f>
        <v>0</v>
      </c>
      <c r="R7">
        <f>B7*(hospitalityq!R7="")</f>
        <v>0</v>
      </c>
    </row>
    <row r="8" spans="1:18" x14ac:dyDescent="0.25">
      <c r="A8">
        <f t="shared" si="1"/>
        <v>0</v>
      </c>
      <c r="B8" t="b">
        <f>SUMPRODUCT(LEN(hospitalityq!C8:R8))&gt;0</f>
        <v>1</v>
      </c>
      <c r="C8">
        <f>B8*(hospitalityq!C8="")</f>
        <v>0</v>
      </c>
      <c r="E8">
        <f>B8*(hospitalityq!E8="")</f>
        <v>0</v>
      </c>
      <c r="F8">
        <f>B8*(hospitalityq!F8="")</f>
        <v>0</v>
      </c>
      <c r="G8">
        <f>B8*(hospitalityq!G8="")</f>
        <v>0</v>
      </c>
      <c r="H8">
        <f>B8*(hospitalityq!H8="")</f>
        <v>0</v>
      </c>
      <c r="I8">
        <f>B8*(hospitalityq!I8="")</f>
        <v>0</v>
      </c>
      <c r="J8">
        <f>B8*(hospitalityq!J8="")</f>
        <v>0</v>
      </c>
      <c r="K8">
        <f>B8*(hospitalityq!K8="")</f>
        <v>0</v>
      </c>
      <c r="L8">
        <f>B8*(hospitalityq!L8="")</f>
        <v>0</v>
      </c>
      <c r="M8">
        <f>B8*(hospitalityq!M8="")</f>
        <v>0</v>
      </c>
      <c r="N8">
        <f>B8*(hospitalityq!N8="")</f>
        <v>0</v>
      </c>
      <c r="O8">
        <f>B8*(hospitalityq!O8="")</f>
        <v>0</v>
      </c>
      <c r="P8">
        <f>B8*(hospitalityq!P8="")</f>
        <v>0</v>
      </c>
      <c r="Q8">
        <f>B8*(hospitalityq!Q8="")</f>
        <v>0</v>
      </c>
      <c r="R8">
        <f>B8*(hospitalityq!R8="")</f>
        <v>0</v>
      </c>
    </row>
    <row r="9" spans="1:18" x14ac:dyDescent="0.25">
      <c r="A9">
        <f t="shared" si="1"/>
        <v>0</v>
      </c>
      <c r="B9" t="b">
        <f>SUMPRODUCT(LEN(hospitalityq!C9:R9))&gt;0</f>
        <v>1</v>
      </c>
      <c r="C9">
        <f>B9*(hospitalityq!C9="")</f>
        <v>0</v>
      </c>
      <c r="E9">
        <f>B9*(hospitalityq!E9="")</f>
        <v>0</v>
      </c>
      <c r="F9">
        <f>B9*(hospitalityq!F9="")</f>
        <v>0</v>
      </c>
      <c r="G9">
        <f>B9*(hospitalityq!G9="")</f>
        <v>0</v>
      </c>
      <c r="H9">
        <f>B9*(hospitalityq!H9="")</f>
        <v>0</v>
      </c>
      <c r="I9">
        <f>B9*(hospitalityq!I9="")</f>
        <v>0</v>
      </c>
      <c r="J9">
        <f>B9*(hospitalityq!J9="")</f>
        <v>0</v>
      </c>
      <c r="K9">
        <f>B9*(hospitalityq!K9="")</f>
        <v>0</v>
      </c>
      <c r="L9">
        <f>B9*(hospitalityq!L9="")</f>
        <v>0</v>
      </c>
      <c r="M9">
        <f>B9*(hospitalityq!M9="")</f>
        <v>0</v>
      </c>
      <c r="N9">
        <f>B9*(hospitalityq!N9="")</f>
        <v>0</v>
      </c>
      <c r="O9">
        <f>B9*(hospitalityq!O9="")</f>
        <v>0</v>
      </c>
      <c r="P9">
        <f>B9*(hospitalityq!P9="")</f>
        <v>0</v>
      </c>
      <c r="Q9">
        <f>B9*(hospitalityq!Q9="")</f>
        <v>0</v>
      </c>
      <c r="R9">
        <f>B9*(hospitalityq!R9="")</f>
        <v>0</v>
      </c>
    </row>
    <row r="10" spans="1:18" x14ac:dyDescent="0.25">
      <c r="A10">
        <f t="shared" si="1"/>
        <v>0</v>
      </c>
      <c r="B10" t="b">
        <f>SUMPRODUCT(LEN(hospitalityq!C10:R10))&gt;0</f>
        <v>1</v>
      </c>
      <c r="C10">
        <f>B10*(hospitalityq!C10="")</f>
        <v>0</v>
      </c>
      <c r="E10">
        <f>B10*(hospitalityq!E10="")</f>
        <v>0</v>
      </c>
      <c r="F10">
        <f>B10*(hospitalityq!F10="")</f>
        <v>0</v>
      </c>
      <c r="G10">
        <f>B10*(hospitalityq!G10="")</f>
        <v>0</v>
      </c>
      <c r="H10">
        <f>B10*(hospitalityq!H10="")</f>
        <v>0</v>
      </c>
      <c r="I10">
        <f>B10*(hospitalityq!I10="")</f>
        <v>0</v>
      </c>
      <c r="J10">
        <f>B10*(hospitalityq!J10="")</f>
        <v>0</v>
      </c>
      <c r="K10">
        <f>B10*(hospitalityq!K10="")</f>
        <v>0</v>
      </c>
      <c r="L10">
        <f>B10*(hospitalityq!L10="")</f>
        <v>0</v>
      </c>
      <c r="M10">
        <f>B10*(hospitalityq!M10="")</f>
        <v>0</v>
      </c>
      <c r="N10">
        <f>B10*(hospitalityq!N10="")</f>
        <v>0</v>
      </c>
      <c r="O10">
        <f>B10*(hospitalityq!O10="")</f>
        <v>0</v>
      </c>
      <c r="P10">
        <f>B10*(hospitalityq!P10="")</f>
        <v>0</v>
      </c>
      <c r="Q10">
        <f>B10*(hospitalityq!Q10="")</f>
        <v>0</v>
      </c>
      <c r="R10">
        <f>B10*(hospitalityq!R10="")</f>
        <v>0</v>
      </c>
    </row>
    <row r="11" spans="1:18" x14ac:dyDescent="0.25">
      <c r="A11">
        <f t="shared" si="1"/>
        <v>0</v>
      </c>
      <c r="B11" t="b">
        <f>SUMPRODUCT(LEN(hospitalityq!C11:R11))&gt;0</f>
        <v>1</v>
      </c>
      <c r="C11">
        <f>B11*(hospitalityq!C11="")</f>
        <v>0</v>
      </c>
      <c r="E11">
        <f>B11*(hospitalityq!E11="")</f>
        <v>0</v>
      </c>
      <c r="F11">
        <f>B11*(hospitalityq!F11="")</f>
        <v>0</v>
      </c>
      <c r="G11">
        <f>B11*(hospitalityq!G11="")</f>
        <v>0</v>
      </c>
      <c r="H11">
        <f>B11*(hospitalityq!H11="")</f>
        <v>0</v>
      </c>
      <c r="I11">
        <f>B11*(hospitalityq!I11="")</f>
        <v>0</v>
      </c>
      <c r="J11">
        <f>B11*(hospitalityq!J11="")</f>
        <v>0</v>
      </c>
      <c r="K11">
        <f>B11*(hospitalityq!K11="")</f>
        <v>0</v>
      </c>
      <c r="L11">
        <f>B11*(hospitalityq!L11="")</f>
        <v>0</v>
      </c>
      <c r="M11">
        <f>B11*(hospitalityq!M11="")</f>
        <v>0</v>
      </c>
      <c r="N11">
        <f>B11*(hospitalityq!N11="")</f>
        <v>0</v>
      </c>
      <c r="O11">
        <f>B11*(hospitalityq!O11="")</f>
        <v>0</v>
      </c>
      <c r="P11">
        <f>B11*(hospitalityq!P11="")</f>
        <v>0</v>
      </c>
      <c r="Q11">
        <f>B11*(hospitalityq!Q11="")</f>
        <v>0</v>
      </c>
      <c r="R11">
        <f>B11*(hospitalityq!R11="")</f>
        <v>0</v>
      </c>
    </row>
    <row r="12" spans="1:18" x14ac:dyDescent="0.25">
      <c r="A12">
        <f t="shared" si="1"/>
        <v>0</v>
      </c>
      <c r="B12" t="b">
        <f>SUMPRODUCT(LEN(hospitalityq!C12:R12))&gt;0</f>
        <v>0</v>
      </c>
      <c r="C12">
        <f>B12*(hospitalityq!C12="")</f>
        <v>0</v>
      </c>
      <c r="E12">
        <f>B12*(hospitalityq!E12="")</f>
        <v>0</v>
      </c>
      <c r="F12">
        <f>B12*(hospitalityq!F12="")</f>
        <v>0</v>
      </c>
      <c r="G12">
        <f>B12*(hospitalityq!G12="")</f>
        <v>0</v>
      </c>
      <c r="H12">
        <f>B12*(hospitalityq!H12="")</f>
        <v>0</v>
      </c>
      <c r="I12">
        <f>B12*(hospitalityq!I12="")</f>
        <v>0</v>
      </c>
      <c r="J12">
        <f>B12*(hospitalityq!J12="")</f>
        <v>0</v>
      </c>
      <c r="K12">
        <f>B12*(hospitalityq!K12="")</f>
        <v>0</v>
      </c>
      <c r="L12">
        <f>B12*(hospitalityq!L12="")</f>
        <v>0</v>
      </c>
      <c r="M12">
        <f>B12*(hospitalityq!M12="")</f>
        <v>0</v>
      </c>
      <c r="N12">
        <f>B12*(hospitalityq!N12="")</f>
        <v>0</v>
      </c>
      <c r="O12">
        <f>B12*(hospitalityq!O12="")</f>
        <v>0</v>
      </c>
      <c r="P12">
        <f>B12*(hospitalityq!P12="")</f>
        <v>0</v>
      </c>
      <c r="Q12">
        <f>B12*(hospitalityq!Q12="")</f>
        <v>0</v>
      </c>
      <c r="R12">
        <f>B12*(hospitalityq!R12="")</f>
        <v>0</v>
      </c>
    </row>
    <row r="13" spans="1:18" x14ac:dyDescent="0.25">
      <c r="A13">
        <f t="shared" si="1"/>
        <v>0</v>
      </c>
      <c r="B13" t="b">
        <f>SUMPRODUCT(LEN(hospitalityq!C13:R13))&gt;0</f>
        <v>0</v>
      </c>
      <c r="C13">
        <f>B13*(hospitalityq!C13="")</f>
        <v>0</v>
      </c>
      <c r="E13">
        <f>B13*(hospitalityq!E13="")</f>
        <v>0</v>
      </c>
      <c r="F13">
        <f>B13*(hospitalityq!F13="")</f>
        <v>0</v>
      </c>
      <c r="G13">
        <f>B13*(hospitalityq!G13="")</f>
        <v>0</v>
      </c>
      <c r="H13">
        <f>B13*(hospitalityq!H13="")</f>
        <v>0</v>
      </c>
      <c r="I13">
        <f>B13*(hospitalityq!I13="")</f>
        <v>0</v>
      </c>
      <c r="J13">
        <f>B13*(hospitalityq!J13="")</f>
        <v>0</v>
      </c>
      <c r="K13">
        <f>B13*(hospitalityq!K13="")</f>
        <v>0</v>
      </c>
      <c r="L13">
        <f>B13*(hospitalityq!L13="")</f>
        <v>0</v>
      </c>
      <c r="M13">
        <f>B13*(hospitalityq!M13="")</f>
        <v>0</v>
      </c>
      <c r="N13">
        <f>B13*(hospitalityq!N13="")</f>
        <v>0</v>
      </c>
      <c r="O13">
        <f>B13*(hospitalityq!O13="")</f>
        <v>0</v>
      </c>
      <c r="P13">
        <f>B13*(hospitalityq!P13="")</f>
        <v>0</v>
      </c>
      <c r="Q13">
        <f>B13*(hospitalityq!Q13="")</f>
        <v>0</v>
      </c>
      <c r="R13">
        <f>B13*(hospitalityq!R13="")</f>
        <v>0</v>
      </c>
    </row>
    <row r="14" spans="1:18" x14ac:dyDescent="0.25">
      <c r="A14">
        <f t="shared" si="1"/>
        <v>0</v>
      </c>
      <c r="B14" t="b">
        <f>SUMPRODUCT(LEN(hospitalityq!C14:R14))&gt;0</f>
        <v>0</v>
      </c>
      <c r="C14">
        <f>B14*(hospitalityq!C14="")</f>
        <v>0</v>
      </c>
      <c r="E14">
        <f>B14*(hospitalityq!E14="")</f>
        <v>0</v>
      </c>
      <c r="F14">
        <f>B14*(hospitalityq!F14="")</f>
        <v>0</v>
      </c>
      <c r="G14">
        <f>B14*(hospitalityq!G14="")</f>
        <v>0</v>
      </c>
      <c r="H14">
        <f>B14*(hospitalityq!H14="")</f>
        <v>0</v>
      </c>
      <c r="I14">
        <f>B14*(hospitalityq!I14="")</f>
        <v>0</v>
      </c>
      <c r="J14">
        <f>B14*(hospitalityq!J14="")</f>
        <v>0</v>
      </c>
      <c r="K14">
        <f>B14*(hospitalityq!K14="")</f>
        <v>0</v>
      </c>
      <c r="L14">
        <f>B14*(hospitalityq!L14="")</f>
        <v>0</v>
      </c>
      <c r="M14">
        <f>B14*(hospitalityq!M14="")</f>
        <v>0</v>
      </c>
      <c r="N14">
        <f>B14*(hospitalityq!N14="")</f>
        <v>0</v>
      </c>
      <c r="O14">
        <f>B14*(hospitalityq!O14="")</f>
        <v>0</v>
      </c>
      <c r="P14">
        <f>B14*(hospitalityq!P14="")</f>
        <v>0</v>
      </c>
      <c r="Q14">
        <f>B14*(hospitalityq!Q14="")</f>
        <v>0</v>
      </c>
      <c r="R14">
        <f>B14*(hospitalityq!R14="")</f>
        <v>0</v>
      </c>
    </row>
    <row r="15" spans="1:18" x14ac:dyDescent="0.25">
      <c r="A15">
        <f t="shared" si="1"/>
        <v>0</v>
      </c>
      <c r="B15" t="b">
        <f>SUMPRODUCT(LEN(hospitalityq!C15:R15))&gt;0</f>
        <v>0</v>
      </c>
      <c r="C15">
        <f>B15*(hospitalityq!C15="")</f>
        <v>0</v>
      </c>
      <c r="E15">
        <f>B15*(hospitalityq!E15="")</f>
        <v>0</v>
      </c>
      <c r="F15">
        <f>B15*(hospitalityq!F15="")</f>
        <v>0</v>
      </c>
      <c r="G15">
        <f>B15*(hospitalityq!G15="")</f>
        <v>0</v>
      </c>
      <c r="H15">
        <f>B15*(hospitalityq!H15="")</f>
        <v>0</v>
      </c>
      <c r="I15">
        <f>B15*(hospitalityq!I15="")</f>
        <v>0</v>
      </c>
      <c r="J15">
        <f>B15*(hospitalityq!J15="")</f>
        <v>0</v>
      </c>
      <c r="K15">
        <f>B15*(hospitalityq!K15="")</f>
        <v>0</v>
      </c>
      <c r="L15">
        <f>B15*(hospitalityq!L15="")</f>
        <v>0</v>
      </c>
      <c r="M15">
        <f>B15*(hospitalityq!M15="")</f>
        <v>0</v>
      </c>
      <c r="N15">
        <f>B15*(hospitalityq!N15="")</f>
        <v>0</v>
      </c>
      <c r="O15">
        <f>B15*(hospitalityq!O15="")</f>
        <v>0</v>
      </c>
      <c r="P15">
        <f>B15*(hospitalityq!P15="")</f>
        <v>0</v>
      </c>
      <c r="Q15">
        <f>B15*(hospitalityq!Q15="")</f>
        <v>0</v>
      </c>
      <c r="R15">
        <f>B15*(hospitalityq!R15="")</f>
        <v>0</v>
      </c>
    </row>
    <row r="16" spans="1:18" x14ac:dyDescent="0.25">
      <c r="A16">
        <f t="shared" si="1"/>
        <v>0</v>
      </c>
      <c r="B16" t="b">
        <f>SUMPRODUCT(LEN(hospitalityq!C16:R16))&gt;0</f>
        <v>0</v>
      </c>
      <c r="C16">
        <f>B16*(hospitalityq!C16="")</f>
        <v>0</v>
      </c>
      <c r="E16">
        <f>B16*(hospitalityq!E16="")</f>
        <v>0</v>
      </c>
      <c r="F16">
        <f>B16*(hospitalityq!F16="")</f>
        <v>0</v>
      </c>
      <c r="G16">
        <f>B16*(hospitalityq!G16="")</f>
        <v>0</v>
      </c>
      <c r="H16">
        <f>B16*(hospitalityq!H16="")</f>
        <v>0</v>
      </c>
      <c r="I16">
        <f>B16*(hospitalityq!I16="")</f>
        <v>0</v>
      </c>
      <c r="J16">
        <f>B16*(hospitalityq!J16="")</f>
        <v>0</v>
      </c>
      <c r="K16">
        <f>B16*(hospitalityq!K16="")</f>
        <v>0</v>
      </c>
      <c r="L16">
        <f>B16*(hospitalityq!L16="")</f>
        <v>0</v>
      </c>
      <c r="M16">
        <f>B16*(hospitalityq!M16="")</f>
        <v>0</v>
      </c>
      <c r="N16">
        <f>B16*(hospitalityq!N16="")</f>
        <v>0</v>
      </c>
      <c r="O16">
        <f>B16*(hospitalityq!O16="")</f>
        <v>0</v>
      </c>
      <c r="P16">
        <f>B16*(hospitalityq!P16="")</f>
        <v>0</v>
      </c>
      <c r="Q16">
        <f>B16*(hospitalityq!Q16="")</f>
        <v>0</v>
      </c>
      <c r="R16">
        <f>B16*(hospitalityq!R16="")</f>
        <v>0</v>
      </c>
    </row>
    <row r="17" spans="1:18" x14ac:dyDescent="0.25">
      <c r="A17">
        <f t="shared" si="1"/>
        <v>0</v>
      </c>
      <c r="B17" t="b">
        <f>SUMPRODUCT(LEN(hospitalityq!C17:R17))&gt;0</f>
        <v>0</v>
      </c>
      <c r="C17">
        <f>B17*(hospitalityq!C17="")</f>
        <v>0</v>
      </c>
      <c r="E17">
        <f>B17*(hospitalityq!E17="")</f>
        <v>0</v>
      </c>
      <c r="F17">
        <f>B17*(hospitalityq!F17="")</f>
        <v>0</v>
      </c>
      <c r="G17">
        <f>B17*(hospitalityq!G17="")</f>
        <v>0</v>
      </c>
      <c r="H17">
        <f>B17*(hospitalityq!H17="")</f>
        <v>0</v>
      </c>
      <c r="I17">
        <f>B17*(hospitalityq!I17="")</f>
        <v>0</v>
      </c>
      <c r="J17">
        <f>B17*(hospitalityq!J17="")</f>
        <v>0</v>
      </c>
      <c r="K17">
        <f>B17*(hospitalityq!K17="")</f>
        <v>0</v>
      </c>
      <c r="L17">
        <f>B17*(hospitalityq!L17="")</f>
        <v>0</v>
      </c>
      <c r="M17">
        <f>B17*(hospitalityq!M17="")</f>
        <v>0</v>
      </c>
      <c r="N17">
        <f>B17*(hospitalityq!N17="")</f>
        <v>0</v>
      </c>
      <c r="O17">
        <f>B17*(hospitalityq!O17="")</f>
        <v>0</v>
      </c>
      <c r="P17">
        <f>B17*(hospitalityq!P17="")</f>
        <v>0</v>
      </c>
      <c r="Q17">
        <f>B17*(hospitalityq!Q17="")</f>
        <v>0</v>
      </c>
      <c r="R17">
        <f>B17*(hospitalityq!R17="")</f>
        <v>0</v>
      </c>
    </row>
    <row r="18" spans="1:18" x14ac:dyDescent="0.25">
      <c r="A18">
        <f t="shared" si="1"/>
        <v>0</v>
      </c>
      <c r="B18" t="b">
        <f>SUMPRODUCT(LEN(hospitalityq!C18:R18))&gt;0</f>
        <v>0</v>
      </c>
      <c r="C18">
        <f>B18*(hospitalityq!C18="")</f>
        <v>0</v>
      </c>
      <c r="E18">
        <f>B18*(hospitalityq!E18="")</f>
        <v>0</v>
      </c>
      <c r="F18">
        <f>B18*(hospitalityq!F18="")</f>
        <v>0</v>
      </c>
      <c r="G18">
        <f>B18*(hospitalityq!G18="")</f>
        <v>0</v>
      </c>
      <c r="H18">
        <f>B18*(hospitalityq!H18="")</f>
        <v>0</v>
      </c>
      <c r="I18">
        <f>B18*(hospitalityq!I18="")</f>
        <v>0</v>
      </c>
      <c r="J18">
        <f>B18*(hospitalityq!J18="")</f>
        <v>0</v>
      </c>
      <c r="K18">
        <f>B18*(hospitalityq!K18="")</f>
        <v>0</v>
      </c>
      <c r="L18">
        <f>B18*(hospitalityq!L18="")</f>
        <v>0</v>
      </c>
      <c r="M18">
        <f>B18*(hospitalityq!M18="")</f>
        <v>0</v>
      </c>
      <c r="N18">
        <f>B18*(hospitalityq!N18="")</f>
        <v>0</v>
      </c>
      <c r="O18">
        <f>B18*(hospitalityq!O18="")</f>
        <v>0</v>
      </c>
      <c r="P18">
        <f>B18*(hospitalityq!P18="")</f>
        <v>0</v>
      </c>
      <c r="Q18">
        <f>B18*(hospitalityq!Q18="")</f>
        <v>0</v>
      </c>
      <c r="R18">
        <f>B18*(hospitalityq!R18="")</f>
        <v>0</v>
      </c>
    </row>
    <row r="19" spans="1:18" x14ac:dyDescent="0.25">
      <c r="A19">
        <f t="shared" si="1"/>
        <v>0</v>
      </c>
      <c r="B19" t="b">
        <f>SUMPRODUCT(LEN(hospitalityq!C19:R19))&gt;0</f>
        <v>0</v>
      </c>
      <c r="C19">
        <f>B19*(hospitalityq!C19="")</f>
        <v>0</v>
      </c>
      <c r="E19">
        <f>B19*(hospitalityq!E19="")</f>
        <v>0</v>
      </c>
      <c r="F19">
        <f>B19*(hospitalityq!F19="")</f>
        <v>0</v>
      </c>
      <c r="G19">
        <f>B19*(hospitalityq!G19="")</f>
        <v>0</v>
      </c>
      <c r="H19">
        <f>B19*(hospitalityq!H19="")</f>
        <v>0</v>
      </c>
      <c r="I19">
        <f>B19*(hospitalityq!I19="")</f>
        <v>0</v>
      </c>
      <c r="J19">
        <f>B19*(hospitalityq!J19="")</f>
        <v>0</v>
      </c>
      <c r="K19">
        <f>B19*(hospitalityq!K19="")</f>
        <v>0</v>
      </c>
      <c r="L19">
        <f>B19*(hospitalityq!L19="")</f>
        <v>0</v>
      </c>
      <c r="M19">
        <f>B19*(hospitalityq!M19="")</f>
        <v>0</v>
      </c>
      <c r="N19">
        <f>B19*(hospitalityq!N19="")</f>
        <v>0</v>
      </c>
      <c r="O19">
        <f>B19*(hospitalityq!O19="")</f>
        <v>0</v>
      </c>
      <c r="P19">
        <f>B19*(hospitalityq!P19="")</f>
        <v>0</v>
      </c>
      <c r="Q19">
        <f>B19*(hospitalityq!Q19="")</f>
        <v>0</v>
      </c>
      <c r="R19">
        <f>B19*(hospitalityq!R19="")</f>
        <v>0</v>
      </c>
    </row>
    <row r="20" spans="1:18" x14ac:dyDescent="0.25">
      <c r="A20">
        <f t="shared" si="1"/>
        <v>0</v>
      </c>
      <c r="B20" t="b">
        <f>SUMPRODUCT(LEN(hospitalityq!C20:R20))&gt;0</f>
        <v>0</v>
      </c>
      <c r="C20">
        <f>B20*(hospitalityq!C20="")</f>
        <v>0</v>
      </c>
      <c r="E20">
        <f>B20*(hospitalityq!E20="")</f>
        <v>0</v>
      </c>
      <c r="F20">
        <f>B20*(hospitalityq!F20="")</f>
        <v>0</v>
      </c>
      <c r="G20">
        <f>B20*(hospitalityq!G20="")</f>
        <v>0</v>
      </c>
      <c r="H20">
        <f>B20*(hospitalityq!H20="")</f>
        <v>0</v>
      </c>
      <c r="I20">
        <f>B20*(hospitalityq!I20="")</f>
        <v>0</v>
      </c>
      <c r="J20">
        <f>B20*(hospitalityq!J20="")</f>
        <v>0</v>
      </c>
      <c r="K20">
        <f>B20*(hospitalityq!K20="")</f>
        <v>0</v>
      </c>
      <c r="L20">
        <f>B20*(hospitalityq!L20="")</f>
        <v>0</v>
      </c>
      <c r="M20">
        <f>B20*(hospitalityq!M20="")</f>
        <v>0</v>
      </c>
      <c r="N20">
        <f>B20*(hospitalityq!N20="")</f>
        <v>0</v>
      </c>
      <c r="O20">
        <f>B20*(hospitalityq!O20="")</f>
        <v>0</v>
      </c>
      <c r="P20">
        <f>B20*(hospitalityq!P20="")</f>
        <v>0</v>
      </c>
      <c r="Q20">
        <f>B20*(hospitalityq!Q20="")</f>
        <v>0</v>
      </c>
      <c r="R20">
        <f>B20*(hospitalityq!R20="")</f>
        <v>0</v>
      </c>
    </row>
    <row r="21" spans="1:18" x14ac:dyDescent="0.25">
      <c r="A21">
        <f t="shared" si="1"/>
        <v>0</v>
      </c>
      <c r="B21" t="b">
        <f>SUMPRODUCT(LEN(hospitalityq!C21:R21))&gt;0</f>
        <v>0</v>
      </c>
      <c r="C21">
        <f>B21*(hospitalityq!C21="")</f>
        <v>0</v>
      </c>
      <c r="E21">
        <f>B21*(hospitalityq!E21="")</f>
        <v>0</v>
      </c>
      <c r="F21">
        <f>B21*(hospitalityq!F21="")</f>
        <v>0</v>
      </c>
      <c r="G21">
        <f>B21*(hospitalityq!G21="")</f>
        <v>0</v>
      </c>
      <c r="H21">
        <f>B21*(hospitalityq!H21="")</f>
        <v>0</v>
      </c>
      <c r="I21">
        <f>B21*(hospitalityq!I21="")</f>
        <v>0</v>
      </c>
      <c r="J21">
        <f>B21*(hospitalityq!J21="")</f>
        <v>0</v>
      </c>
      <c r="K21">
        <f>B21*(hospitalityq!K21="")</f>
        <v>0</v>
      </c>
      <c r="L21">
        <f>B21*(hospitalityq!L21="")</f>
        <v>0</v>
      </c>
      <c r="M21">
        <f>B21*(hospitalityq!M21="")</f>
        <v>0</v>
      </c>
      <c r="N21">
        <f>B21*(hospitalityq!N21="")</f>
        <v>0</v>
      </c>
      <c r="O21">
        <f>B21*(hospitalityq!O21="")</f>
        <v>0</v>
      </c>
      <c r="P21">
        <f>B21*(hospitalityq!P21="")</f>
        <v>0</v>
      </c>
      <c r="Q21">
        <f>B21*(hospitalityq!Q21="")</f>
        <v>0</v>
      </c>
      <c r="R21">
        <f>B21*(hospitalityq!R21="")</f>
        <v>0</v>
      </c>
    </row>
    <row r="22" spans="1:18" x14ac:dyDescent="0.25">
      <c r="A22">
        <f t="shared" si="1"/>
        <v>0</v>
      </c>
      <c r="B22" t="b">
        <f>SUMPRODUCT(LEN(hospitalityq!C22:R22))&gt;0</f>
        <v>0</v>
      </c>
      <c r="C22">
        <f>B22*(hospitalityq!C22="")</f>
        <v>0</v>
      </c>
      <c r="E22">
        <f>B22*(hospitalityq!E22="")</f>
        <v>0</v>
      </c>
      <c r="F22">
        <f>B22*(hospitalityq!F22="")</f>
        <v>0</v>
      </c>
      <c r="G22">
        <f>B22*(hospitalityq!G22="")</f>
        <v>0</v>
      </c>
      <c r="H22">
        <f>B22*(hospitalityq!H22="")</f>
        <v>0</v>
      </c>
      <c r="I22">
        <f>B22*(hospitalityq!I22="")</f>
        <v>0</v>
      </c>
      <c r="J22">
        <f>B22*(hospitalityq!J22="")</f>
        <v>0</v>
      </c>
      <c r="K22">
        <f>B22*(hospitalityq!K22="")</f>
        <v>0</v>
      </c>
      <c r="L22">
        <f>B22*(hospitalityq!L22="")</f>
        <v>0</v>
      </c>
      <c r="M22">
        <f>B22*(hospitalityq!M22="")</f>
        <v>0</v>
      </c>
      <c r="N22">
        <f>B22*(hospitalityq!N22="")</f>
        <v>0</v>
      </c>
      <c r="O22">
        <f>B22*(hospitalityq!O22="")</f>
        <v>0</v>
      </c>
      <c r="P22">
        <f>B22*(hospitalityq!P22="")</f>
        <v>0</v>
      </c>
      <c r="Q22">
        <f>B22*(hospitalityq!Q22="")</f>
        <v>0</v>
      </c>
      <c r="R22">
        <f>B22*(hospitalityq!R22="")</f>
        <v>0</v>
      </c>
    </row>
    <row r="23" spans="1:18" x14ac:dyDescent="0.25">
      <c r="A23">
        <f t="shared" si="1"/>
        <v>0</v>
      </c>
      <c r="B23" t="b">
        <f>SUMPRODUCT(LEN(hospitalityq!C23:R23))&gt;0</f>
        <v>0</v>
      </c>
      <c r="C23">
        <f>B23*(hospitalityq!C23="")</f>
        <v>0</v>
      </c>
      <c r="E23">
        <f>B23*(hospitalityq!E23="")</f>
        <v>0</v>
      </c>
      <c r="F23">
        <f>B23*(hospitalityq!F23="")</f>
        <v>0</v>
      </c>
      <c r="G23">
        <f>B23*(hospitalityq!G23="")</f>
        <v>0</v>
      </c>
      <c r="H23">
        <f>B23*(hospitalityq!H23="")</f>
        <v>0</v>
      </c>
      <c r="I23">
        <f>B23*(hospitalityq!I23="")</f>
        <v>0</v>
      </c>
      <c r="J23">
        <f>B23*(hospitalityq!J23="")</f>
        <v>0</v>
      </c>
      <c r="K23">
        <f>B23*(hospitalityq!K23="")</f>
        <v>0</v>
      </c>
      <c r="L23">
        <f>B23*(hospitalityq!L23="")</f>
        <v>0</v>
      </c>
      <c r="M23">
        <f>B23*(hospitalityq!M23="")</f>
        <v>0</v>
      </c>
      <c r="N23">
        <f>B23*(hospitalityq!N23="")</f>
        <v>0</v>
      </c>
      <c r="O23">
        <f>B23*(hospitalityq!O23="")</f>
        <v>0</v>
      </c>
      <c r="P23">
        <f>B23*(hospitalityq!P23="")</f>
        <v>0</v>
      </c>
      <c r="Q23">
        <f>B23*(hospitalityq!Q23="")</f>
        <v>0</v>
      </c>
      <c r="R23">
        <f>B23*(hospitalityq!R23="")</f>
        <v>0</v>
      </c>
    </row>
    <row r="24" spans="1:18" x14ac:dyDescent="0.25">
      <c r="A24">
        <f t="shared" si="1"/>
        <v>0</v>
      </c>
      <c r="B24" t="b">
        <f>SUMPRODUCT(LEN(hospitalityq!C24:R24))&gt;0</f>
        <v>0</v>
      </c>
      <c r="C24">
        <f>B24*(hospitalityq!C24="")</f>
        <v>0</v>
      </c>
      <c r="E24">
        <f>B24*(hospitalityq!E24="")</f>
        <v>0</v>
      </c>
      <c r="F24">
        <f>B24*(hospitalityq!F24="")</f>
        <v>0</v>
      </c>
      <c r="G24">
        <f>B24*(hospitalityq!G24="")</f>
        <v>0</v>
      </c>
      <c r="H24">
        <f>B24*(hospitalityq!H24="")</f>
        <v>0</v>
      </c>
      <c r="I24">
        <f>B24*(hospitalityq!I24="")</f>
        <v>0</v>
      </c>
      <c r="J24">
        <f>B24*(hospitalityq!J24="")</f>
        <v>0</v>
      </c>
      <c r="K24">
        <f>B24*(hospitalityq!K24="")</f>
        <v>0</v>
      </c>
      <c r="L24">
        <f>B24*(hospitalityq!L24="")</f>
        <v>0</v>
      </c>
      <c r="M24">
        <f>B24*(hospitalityq!M24="")</f>
        <v>0</v>
      </c>
      <c r="N24">
        <f>B24*(hospitalityq!N24="")</f>
        <v>0</v>
      </c>
      <c r="O24">
        <f>B24*(hospitalityq!O24="")</f>
        <v>0</v>
      </c>
      <c r="P24">
        <f>B24*(hospitalityq!P24="")</f>
        <v>0</v>
      </c>
      <c r="Q24">
        <f>B24*(hospitalityq!Q24="")</f>
        <v>0</v>
      </c>
      <c r="R24">
        <f>B24*(hospitalityq!R24="")</f>
        <v>0</v>
      </c>
    </row>
    <row r="25" spans="1:18" x14ac:dyDescent="0.25">
      <c r="A25">
        <f t="shared" si="1"/>
        <v>0</v>
      </c>
      <c r="B25" t="b">
        <f>SUMPRODUCT(LEN(hospitalityq!C25:R25))&gt;0</f>
        <v>0</v>
      </c>
      <c r="C25">
        <f>B25*(hospitalityq!C25="")</f>
        <v>0</v>
      </c>
      <c r="E25">
        <f>B25*(hospitalityq!E25="")</f>
        <v>0</v>
      </c>
      <c r="F25">
        <f>B25*(hospitalityq!F25="")</f>
        <v>0</v>
      </c>
      <c r="G25">
        <f>B25*(hospitalityq!G25="")</f>
        <v>0</v>
      </c>
      <c r="H25">
        <f>B25*(hospitalityq!H25="")</f>
        <v>0</v>
      </c>
      <c r="I25">
        <f>B25*(hospitalityq!I25="")</f>
        <v>0</v>
      </c>
      <c r="J25">
        <f>B25*(hospitalityq!J25="")</f>
        <v>0</v>
      </c>
      <c r="K25">
        <f>B25*(hospitalityq!K25="")</f>
        <v>0</v>
      </c>
      <c r="L25">
        <f>B25*(hospitalityq!L25="")</f>
        <v>0</v>
      </c>
      <c r="M25">
        <f>B25*(hospitalityq!M25="")</f>
        <v>0</v>
      </c>
      <c r="N25">
        <f>B25*(hospitalityq!N25="")</f>
        <v>0</v>
      </c>
      <c r="O25">
        <f>B25*(hospitalityq!O25="")</f>
        <v>0</v>
      </c>
      <c r="P25">
        <f>B25*(hospitalityq!P25="")</f>
        <v>0</v>
      </c>
      <c r="Q25">
        <f>B25*(hospitalityq!Q25="")</f>
        <v>0</v>
      </c>
      <c r="R25">
        <f>B25*(hospitalityq!R25="")</f>
        <v>0</v>
      </c>
    </row>
    <row r="26" spans="1:18" x14ac:dyDescent="0.25">
      <c r="A26">
        <f t="shared" si="1"/>
        <v>0</v>
      </c>
      <c r="B26" t="b">
        <f>SUMPRODUCT(LEN(hospitalityq!C26:R26))&gt;0</f>
        <v>0</v>
      </c>
      <c r="C26">
        <f>B26*(hospitalityq!C26="")</f>
        <v>0</v>
      </c>
      <c r="E26">
        <f>B26*(hospitalityq!E26="")</f>
        <v>0</v>
      </c>
      <c r="F26">
        <f>B26*(hospitalityq!F26="")</f>
        <v>0</v>
      </c>
      <c r="G26">
        <f>B26*(hospitalityq!G26="")</f>
        <v>0</v>
      </c>
      <c r="H26">
        <f>B26*(hospitalityq!H26="")</f>
        <v>0</v>
      </c>
      <c r="I26">
        <f>B26*(hospitalityq!I26="")</f>
        <v>0</v>
      </c>
      <c r="J26">
        <f>B26*(hospitalityq!J26="")</f>
        <v>0</v>
      </c>
      <c r="K26">
        <f>B26*(hospitalityq!K26="")</f>
        <v>0</v>
      </c>
      <c r="L26">
        <f>B26*(hospitalityq!L26="")</f>
        <v>0</v>
      </c>
      <c r="M26">
        <f>B26*(hospitalityq!M26="")</f>
        <v>0</v>
      </c>
      <c r="N26">
        <f>B26*(hospitalityq!N26="")</f>
        <v>0</v>
      </c>
      <c r="O26">
        <f>B26*(hospitalityq!O26="")</f>
        <v>0</v>
      </c>
      <c r="P26">
        <f>B26*(hospitalityq!P26="")</f>
        <v>0</v>
      </c>
      <c r="Q26">
        <f>B26*(hospitalityq!Q26="")</f>
        <v>0</v>
      </c>
      <c r="R26">
        <f>B26*(hospitalityq!R26="")</f>
        <v>0</v>
      </c>
    </row>
    <row r="27" spans="1:18" x14ac:dyDescent="0.25">
      <c r="A27">
        <f t="shared" si="1"/>
        <v>0</v>
      </c>
      <c r="B27" t="b">
        <f>SUMPRODUCT(LEN(hospitalityq!C27:R27))&gt;0</f>
        <v>0</v>
      </c>
      <c r="C27">
        <f>B27*(hospitalityq!C27="")</f>
        <v>0</v>
      </c>
      <c r="E27">
        <f>B27*(hospitalityq!E27="")</f>
        <v>0</v>
      </c>
      <c r="F27">
        <f>B27*(hospitalityq!F27="")</f>
        <v>0</v>
      </c>
      <c r="G27">
        <f>B27*(hospitalityq!G27="")</f>
        <v>0</v>
      </c>
      <c r="H27">
        <f>B27*(hospitalityq!H27="")</f>
        <v>0</v>
      </c>
      <c r="I27">
        <f>B27*(hospitalityq!I27="")</f>
        <v>0</v>
      </c>
      <c r="J27">
        <f>B27*(hospitalityq!J27="")</f>
        <v>0</v>
      </c>
      <c r="K27">
        <f>B27*(hospitalityq!K27="")</f>
        <v>0</v>
      </c>
      <c r="L27">
        <f>B27*(hospitalityq!L27="")</f>
        <v>0</v>
      </c>
      <c r="M27">
        <f>B27*(hospitalityq!M27="")</f>
        <v>0</v>
      </c>
      <c r="N27">
        <f>B27*(hospitalityq!N27="")</f>
        <v>0</v>
      </c>
      <c r="O27">
        <f>B27*(hospitalityq!O27="")</f>
        <v>0</v>
      </c>
      <c r="P27">
        <f>B27*(hospitalityq!P27="")</f>
        <v>0</v>
      </c>
      <c r="Q27">
        <f>B27*(hospitalityq!Q27="")</f>
        <v>0</v>
      </c>
      <c r="R27">
        <f>B27*(hospitalityq!R27="")</f>
        <v>0</v>
      </c>
    </row>
    <row r="28" spans="1:18" x14ac:dyDescent="0.25">
      <c r="A28">
        <f t="shared" si="1"/>
        <v>0</v>
      </c>
      <c r="B28" t="b">
        <f>SUMPRODUCT(LEN(hospitalityq!C28:R28))&gt;0</f>
        <v>0</v>
      </c>
      <c r="C28">
        <f>B28*(hospitalityq!C28="")</f>
        <v>0</v>
      </c>
      <c r="E28">
        <f>B28*(hospitalityq!E28="")</f>
        <v>0</v>
      </c>
      <c r="F28">
        <f>B28*(hospitalityq!F28="")</f>
        <v>0</v>
      </c>
      <c r="G28">
        <f>B28*(hospitalityq!G28="")</f>
        <v>0</v>
      </c>
      <c r="H28">
        <f>B28*(hospitalityq!H28="")</f>
        <v>0</v>
      </c>
      <c r="I28">
        <f>B28*(hospitalityq!I28="")</f>
        <v>0</v>
      </c>
      <c r="J28">
        <f>B28*(hospitalityq!J28="")</f>
        <v>0</v>
      </c>
      <c r="K28">
        <f>B28*(hospitalityq!K28="")</f>
        <v>0</v>
      </c>
      <c r="L28">
        <f>B28*(hospitalityq!L28="")</f>
        <v>0</v>
      </c>
      <c r="M28">
        <f>B28*(hospitalityq!M28="")</f>
        <v>0</v>
      </c>
      <c r="N28">
        <f>B28*(hospitalityq!N28="")</f>
        <v>0</v>
      </c>
      <c r="O28">
        <f>B28*(hospitalityq!O28="")</f>
        <v>0</v>
      </c>
      <c r="P28">
        <f>B28*(hospitalityq!P28="")</f>
        <v>0</v>
      </c>
      <c r="Q28">
        <f>B28*(hospitalityq!Q28="")</f>
        <v>0</v>
      </c>
      <c r="R28">
        <f>B28*(hospitalityq!R28="")</f>
        <v>0</v>
      </c>
    </row>
    <row r="29" spans="1:18" x14ac:dyDescent="0.25">
      <c r="A29">
        <f t="shared" si="1"/>
        <v>0</v>
      </c>
      <c r="B29" t="b">
        <f>SUMPRODUCT(LEN(hospitalityq!C29:R29))&gt;0</f>
        <v>0</v>
      </c>
      <c r="C29">
        <f>B29*(hospitalityq!C29="")</f>
        <v>0</v>
      </c>
      <c r="E29">
        <f>B29*(hospitalityq!E29="")</f>
        <v>0</v>
      </c>
      <c r="F29">
        <f>B29*(hospitalityq!F29="")</f>
        <v>0</v>
      </c>
      <c r="G29">
        <f>B29*(hospitalityq!G29="")</f>
        <v>0</v>
      </c>
      <c r="H29">
        <f>B29*(hospitalityq!H29="")</f>
        <v>0</v>
      </c>
      <c r="I29">
        <f>B29*(hospitalityq!I29="")</f>
        <v>0</v>
      </c>
      <c r="J29">
        <f>B29*(hospitalityq!J29="")</f>
        <v>0</v>
      </c>
      <c r="K29">
        <f>B29*(hospitalityq!K29="")</f>
        <v>0</v>
      </c>
      <c r="L29">
        <f>B29*(hospitalityq!L29="")</f>
        <v>0</v>
      </c>
      <c r="M29">
        <f>B29*(hospitalityq!M29="")</f>
        <v>0</v>
      </c>
      <c r="N29">
        <f>B29*(hospitalityq!N29="")</f>
        <v>0</v>
      </c>
      <c r="O29">
        <f>B29*(hospitalityq!O29="")</f>
        <v>0</v>
      </c>
      <c r="P29">
        <f>B29*(hospitalityq!P29="")</f>
        <v>0</v>
      </c>
      <c r="Q29">
        <f>B29*(hospitalityq!Q29="")</f>
        <v>0</v>
      </c>
      <c r="R29">
        <f>B29*(hospitalityq!R29="")</f>
        <v>0</v>
      </c>
    </row>
    <row r="30" spans="1:18" x14ac:dyDescent="0.25">
      <c r="A30">
        <f t="shared" si="1"/>
        <v>0</v>
      </c>
      <c r="B30" t="b">
        <f>SUMPRODUCT(LEN(hospitalityq!C30:R30))&gt;0</f>
        <v>0</v>
      </c>
      <c r="C30">
        <f>B30*(hospitalityq!C30="")</f>
        <v>0</v>
      </c>
      <c r="E30">
        <f>B30*(hospitalityq!E30="")</f>
        <v>0</v>
      </c>
      <c r="F30">
        <f>B30*(hospitalityq!F30="")</f>
        <v>0</v>
      </c>
      <c r="G30">
        <f>B30*(hospitalityq!G30="")</f>
        <v>0</v>
      </c>
      <c r="H30">
        <f>B30*(hospitalityq!H30="")</f>
        <v>0</v>
      </c>
      <c r="I30">
        <f>B30*(hospitalityq!I30="")</f>
        <v>0</v>
      </c>
      <c r="J30">
        <f>B30*(hospitalityq!J30="")</f>
        <v>0</v>
      </c>
      <c r="K30">
        <f>B30*(hospitalityq!K30="")</f>
        <v>0</v>
      </c>
      <c r="L30">
        <f>B30*(hospitalityq!L30="")</f>
        <v>0</v>
      </c>
      <c r="M30">
        <f>B30*(hospitalityq!M30="")</f>
        <v>0</v>
      </c>
      <c r="N30">
        <f>B30*(hospitalityq!N30="")</f>
        <v>0</v>
      </c>
      <c r="O30">
        <f>B30*(hospitalityq!O30="")</f>
        <v>0</v>
      </c>
      <c r="P30">
        <f>B30*(hospitalityq!P30="")</f>
        <v>0</v>
      </c>
      <c r="Q30">
        <f>B30*(hospitalityq!Q30="")</f>
        <v>0</v>
      </c>
      <c r="R30">
        <f>B30*(hospitalityq!R30="")</f>
        <v>0</v>
      </c>
    </row>
    <row r="31" spans="1:18" x14ac:dyDescent="0.25">
      <c r="A31">
        <f t="shared" si="1"/>
        <v>0</v>
      </c>
      <c r="B31" t="b">
        <f>SUMPRODUCT(LEN(hospitalityq!C31:R31))&gt;0</f>
        <v>0</v>
      </c>
      <c r="C31">
        <f>B31*(hospitalityq!C31="")</f>
        <v>0</v>
      </c>
      <c r="E31">
        <f>B31*(hospitalityq!E31="")</f>
        <v>0</v>
      </c>
      <c r="F31">
        <f>B31*(hospitalityq!F31="")</f>
        <v>0</v>
      </c>
      <c r="G31">
        <f>B31*(hospitalityq!G31="")</f>
        <v>0</v>
      </c>
      <c r="H31">
        <f>B31*(hospitalityq!H31="")</f>
        <v>0</v>
      </c>
      <c r="I31">
        <f>B31*(hospitalityq!I31="")</f>
        <v>0</v>
      </c>
      <c r="J31">
        <f>B31*(hospitalityq!J31="")</f>
        <v>0</v>
      </c>
      <c r="K31">
        <f>B31*(hospitalityq!K31="")</f>
        <v>0</v>
      </c>
      <c r="L31">
        <f>B31*(hospitalityq!L31="")</f>
        <v>0</v>
      </c>
      <c r="M31">
        <f>B31*(hospitalityq!M31="")</f>
        <v>0</v>
      </c>
      <c r="N31">
        <f>B31*(hospitalityq!N31="")</f>
        <v>0</v>
      </c>
      <c r="O31">
        <f>B31*(hospitalityq!O31="")</f>
        <v>0</v>
      </c>
      <c r="P31">
        <f>B31*(hospitalityq!P31="")</f>
        <v>0</v>
      </c>
      <c r="Q31">
        <f>B31*(hospitalityq!Q31="")</f>
        <v>0</v>
      </c>
      <c r="R31">
        <f>B31*(hospitalityq!R31="")</f>
        <v>0</v>
      </c>
    </row>
    <row r="32" spans="1:18" x14ac:dyDescent="0.25">
      <c r="A32">
        <f t="shared" si="1"/>
        <v>0</v>
      </c>
      <c r="B32" t="b">
        <f>SUMPRODUCT(LEN(hospitalityq!C32:R32))&gt;0</f>
        <v>0</v>
      </c>
      <c r="C32">
        <f>B32*(hospitalityq!C32="")</f>
        <v>0</v>
      </c>
      <c r="E32">
        <f>B32*(hospitalityq!E32="")</f>
        <v>0</v>
      </c>
      <c r="F32">
        <f>B32*(hospitalityq!F32="")</f>
        <v>0</v>
      </c>
      <c r="G32">
        <f>B32*(hospitalityq!G32="")</f>
        <v>0</v>
      </c>
      <c r="H32">
        <f>B32*(hospitalityq!H32="")</f>
        <v>0</v>
      </c>
      <c r="I32">
        <f>B32*(hospitalityq!I32="")</f>
        <v>0</v>
      </c>
      <c r="J32">
        <f>B32*(hospitalityq!J32="")</f>
        <v>0</v>
      </c>
      <c r="K32">
        <f>B32*(hospitalityq!K32="")</f>
        <v>0</v>
      </c>
      <c r="L32">
        <f>B32*(hospitalityq!L32="")</f>
        <v>0</v>
      </c>
      <c r="M32">
        <f>B32*(hospitalityq!M32="")</f>
        <v>0</v>
      </c>
      <c r="N32">
        <f>B32*(hospitalityq!N32="")</f>
        <v>0</v>
      </c>
      <c r="O32">
        <f>B32*(hospitalityq!O32="")</f>
        <v>0</v>
      </c>
      <c r="P32">
        <f>B32*(hospitalityq!P32="")</f>
        <v>0</v>
      </c>
      <c r="Q32">
        <f>B32*(hospitalityq!Q32="")</f>
        <v>0</v>
      </c>
      <c r="R32">
        <f>B32*(hospitalityq!R32="")</f>
        <v>0</v>
      </c>
    </row>
    <row r="33" spans="1:18" x14ac:dyDescent="0.25">
      <c r="A33">
        <f t="shared" si="1"/>
        <v>0</v>
      </c>
      <c r="B33" t="b">
        <f>SUMPRODUCT(LEN(hospitalityq!C33:R33))&gt;0</f>
        <v>0</v>
      </c>
      <c r="C33">
        <f>B33*(hospitalityq!C33="")</f>
        <v>0</v>
      </c>
      <c r="E33">
        <f>B33*(hospitalityq!E33="")</f>
        <v>0</v>
      </c>
      <c r="F33">
        <f>B33*(hospitalityq!F33="")</f>
        <v>0</v>
      </c>
      <c r="G33">
        <f>B33*(hospitalityq!G33="")</f>
        <v>0</v>
      </c>
      <c r="H33">
        <f>B33*(hospitalityq!H33="")</f>
        <v>0</v>
      </c>
      <c r="I33">
        <f>B33*(hospitalityq!I33="")</f>
        <v>0</v>
      </c>
      <c r="J33">
        <f>B33*(hospitalityq!J33="")</f>
        <v>0</v>
      </c>
      <c r="K33">
        <f>B33*(hospitalityq!K33="")</f>
        <v>0</v>
      </c>
      <c r="L33">
        <f>B33*(hospitalityq!L33="")</f>
        <v>0</v>
      </c>
      <c r="M33">
        <f>B33*(hospitalityq!M33="")</f>
        <v>0</v>
      </c>
      <c r="N33">
        <f>B33*(hospitalityq!N33="")</f>
        <v>0</v>
      </c>
      <c r="O33">
        <f>B33*(hospitalityq!O33="")</f>
        <v>0</v>
      </c>
      <c r="P33">
        <f>B33*(hospitalityq!P33="")</f>
        <v>0</v>
      </c>
      <c r="Q33">
        <f>B33*(hospitalityq!Q33="")</f>
        <v>0</v>
      </c>
      <c r="R33">
        <f>B33*(hospitalityq!R33="")</f>
        <v>0</v>
      </c>
    </row>
    <row r="34" spans="1:18" x14ac:dyDescent="0.25">
      <c r="A34">
        <f t="shared" si="1"/>
        <v>0</v>
      </c>
      <c r="B34" t="b">
        <f>SUMPRODUCT(LEN(hospitalityq!C34:R34))&gt;0</f>
        <v>0</v>
      </c>
      <c r="C34">
        <f>B34*(hospitalityq!C34="")</f>
        <v>0</v>
      </c>
      <c r="E34">
        <f>B34*(hospitalityq!E34="")</f>
        <v>0</v>
      </c>
      <c r="F34">
        <f>B34*(hospitalityq!F34="")</f>
        <v>0</v>
      </c>
      <c r="G34">
        <f>B34*(hospitalityq!G34="")</f>
        <v>0</v>
      </c>
      <c r="H34">
        <f>B34*(hospitalityq!H34="")</f>
        <v>0</v>
      </c>
      <c r="I34">
        <f>B34*(hospitalityq!I34="")</f>
        <v>0</v>
      </c>
      <c r="J34">
        <f>B34*(hospitalityq!J34="")</f>
        <v>0</v>
      </c>
      <c r="K34">
        <f>B34*(hospitalityq!K34="")</f>
        <v>0</v>
      </c>
      <c r="L34">
        <f>B34*(hospitalityq!L34="")</f>
        <v>0</v>
      </c>
      <c r="M34">
        <f>B34*(hospitalityq!M34="")</f>
        <v>0</v>
      </c>
      <c r="N34">
        <f>B34*(hospitalityq!N34="")</f>
        <v>0</v>
      </c>
      <c r="O34">
        <f>B34*(hospitalityq!O34="")</f>
        <v>0</v>
      </c>
      <c r="P34">
        <f>B34*(hospitalityq!P34="")</f>
        <v>0</v>
      </c>
      <c r="Q34">
        <f>B34*(hospitalityq!Q34="")</f>
        <v>0</v>
      </c>
      <c r="R34">
        <f>B34*(hospitalityq!R34="")</f>
        <v>0</v>
      </c>
    </row>
    <row r="35" spans="1:18" x14ac:dyDescent="0.25">
      <c r="A35">
        <f t="shared" si="1"/>
        <v>0</v>
      </c>
      <c r="B35" t="b">
        <f>SUMPRODUCT(LEN(hospitalityq!C35:R35))&gt;0</f>
        <v>0</v>
      </c>
      <c r="C35">
        <f>B35*(hospitalityq!C35="")</f>
        <v>0</v>
      </c>
      <c r="E35">
        <f>B35*(hospitalityq!E35="")</f>
        <v>0</v>
      </c>
      <c r="F35">
        <f>B35*(hospitalityq!F35="")</f>
        <v>0</v>
      </c>
      <c r="G35">
        <f>B35*(hospitalityq!G35="")</f>
        <v>0</v>
      </c>
      <c r="H35">
        <f>B35*(hospitalityq!H35="")</f>
        <v>0</v>
      </c>
      <c r="I35">
        <f>B35*(hospitalityq!I35="")</f>
        <v>0</v>
      </c>
      <c r="J35">
        <f>B35*(hospitalityq!J35="")</f>
        <v>0</v>
      </c>
      <c r="K35">
        <f>B35*(hospitalityq!K35="")</f>
        <v>0</v>
      </c>
      <c r="L35">
        <f>B35*(hospitalityq!L35="")</f>
        <v>0</v>
      </c>
      <c r="M35">
        <f>B35*(hospitalityq!M35="")</f>
        <v>0</v>
      </c>
      <c r="N35">
        <f>B35*(hospitalityq!N35="")</f>
        <v>0</v>
      </c>
      <c r="O35">
        <f>B35*(hospitalityq!O35="")</f>
        <v>0</v>
      </c>
      <c r="P35">
        <f>B35*(hospitalityq!P35="")</f>
        <v>0</v>
      </c>
      <c r="Q35">
        <f>B35*(hospitalityq!Q35="")</f>
        <v>0</v>
      </c>
      <c r="R35">
        <f>B35*(hospitalityq!R35="")</f>
        <v>0</v>
      </c>
    </row>
    <row r="36" spans="1:18" x14ac:dyDescent="0.25">
      <c r="A36">
        <f t="shared" si="1"/>
        <v>0</v>
      </c>
      <c r="B36" t="b">
        <f>SUMPRODUCT(LEN(hospitalityq!C36:R36))&gt;0</f>
        <v>0</v>
      </c>
      <c r="C36">
        <f>B36*(hospitalityq!C36="")</f>
        <v>0</v>
      </c>
      <c r="E36">
        <f>B36*(hospitalityq!E36="")</f>
        <v>0</v>
      </c>
      <c r="F36">
        <f>B36*(hospitalityq!F36="")</f>
        <v>0</v>
      </c>
      <c r="G36">
        <f>B36*(hospitalityq!G36="")</f>
        <v>0</v>
      </c>
      <c r="H36">
        <f>B36*(hospitalityq!H36="")</f>
        <v>0</v>
      </c>
      <c r="I36">
        <f>B36*(hospitalityq!I36="")</f>
        <v>0</v>
      </c>
      <c r="J36">
        <f>B36*(hospitalityq!J36="")</f>
        <v>0</v>
      </c>
      <c r="K36">
        <f>B36*(hospitalityq!K36="")</f>
        <v>0</v>
      </c>
      <c r="L36">
        <f>B36*(hospitalityq!L36="")</f>
        <v>0</v>
      </c>
      <c r="M36">
        <f>B36*(hospitalityq!M36="")</f>
        <v>0</v>
      </c>
      <c r="N36">
        <f>B36*(hospitalityq!N36="")</f>
        <v>0</v>
      </c>
      <c r="O36">
        <f>B36*(hospitalityq!O36="")</f>
        <v>0</v>
      </c>
      <c r="P36">
        <f>B36*(hospitalityq!P36="")</f>
        <v>0</v>
      </c>
      <c r="Q36">
        <f>B36*(hospitalityq!Q36="")</f>
        <v>0</v>
      </c>
      <c r="R36">
        <f>B36*(hospitalityq!R36="")</f>
        <v>0</v>
      </c>
    </row>
    <row r="37" spans="1:18" x14ac:dyDescent="0.25">
      <c r="A37">
        <f t="shared" si="1"/>
        <v>0</v>
      </c>
      <c r="B37" t="b">
        <f>SUMPRODUCT(LEN(hospitalityq!C37:R37))&gt;0</f>
        <v>0</v>
      </c>
      <c r="C37">
        <f>B37*(hospitalityq!C37="")</f>
        <v>0</v>
      </c>
      <c r="E37">
        <f>B37*(hospitalityq!E37="")</f>
        <v>0</v>
      </c>
      <c r="F37">
        <f>B37*(hospitalityq!F37="")</f>
        <v>0</v>
      </c>
      <c r="G37">
        <f>B37*(hospitalityq!G37="")</f>
        <v>0</v>
      </c>
      <c r="H37">
        <f>B37*(hospitalityq!H37="")</f>
        <v>0</v>
      </c>
      <c r="I37">
        <f>B37*(hospitalityq!I37="")</f>
        <v>0</v>
      </c>
      <c r="J37">
        <f>B37*(hospitalityq!J37="")</f>
        <v>0</v>
      </c>
      <c r="K37">
        <f>B37*(hospitalityq!K37="")</f>
        <v>0</v>
      </c>
      <c r="L37">
        <f>B37*(hospitalityq!L37="")</f>
        <v>0</v>
      </c>
      <c r="M37">
        <f>B37*(hospitalityq!M37="")</f>
        <v>0</v>
      </c>
      <c r="N37">
        <f>B37*(hospitalityq!N37="")</f>
        <v>0</v>
      </c>
      <c r="O37">
        <f>B37*(hospitalityq!O37="")</f>
        <v>0</v>
      </c>
      <c r="P37">
        <f>B37*(hospitalityq!P37="")</f>
        <v>0</v>
      </c>
      <c r="Q37">
        <f>B37*(hospitalityq!Q37="")</f>
        <v>0</v>
      </c>
      <c r="R37">
        <f>B37*(hospitalityq!R37="")</f>
        <v>0</v>
      </c>
    </row>
    <row r="38" spans="1:18" x14ac:dyDescent="0.25">
      <c r="A38">
        <f t="shared" si="1"/>
        <v>0</v>
      </c>
      <c r="B38" t="b">
        <f>SUMPRODUCT(LEN(hospitalityq!C38:R38))&gt;0</f>
        <v>0</v>
      </c>
      <c r="C38">
        <f>B38*(hospitalityq!C38="")</f>
        <v>0</v>
      </c>
      <c r="E38">
        <f>B38*(hospitalityq!E38="")</f>
        <v>0</v>
      </c>
      <c r="F38">
        <f>B38*(hospitalityq!F38="")</f>
        <v>0</v>
      </c>
      <c r="G38">
        <f>B38*(hospitalityq!G38="")</f>
        <v>0</v>
      </c>
      <c r="H38">
        <f>B38*(hospitalityq!H38="")</f>
        <v>0</v>
      </c>
      <c r="I38">
        <f>B38*(hospitalityq!I38="")</f>
        <v>0</v>
      </c>
      <c r="J38">
        <f>B38*(hospitalityq!J38="")</f>
        <v>0</v>
      </c>
      <c r="K38">
        <f>B38*(hospitalityq!K38="")</f>
        <v>0</v>
      </c>
      <c r="L38">
        <f>B38*(hospitalityq!L38="")</f>
        <v>0</v>
      </c>
      <c r="M38">
        <f>B38*(hospitalityq!M38="")</f>
        <v>0</v>
      </c>
      <c r="N38">
        <f>B38*(hospitalityq!N38="")</f>
        <v>0</v>
      </c>
      <c r="O38">
        <f>B38*(hospitalityq!O38="")</f>
        <v>0</v>
      </c>
      <c r="P38">
        <f>B38*(hospitalityq!P38="")</f>
        <v>0</v>
      </c>
      <c r="Q38">
        <f>B38*(hospitalityq!Q38="")</f>
        <v>0</v>
      </c>
      <c r="R38">
        <f>B38*(hospitalityq!R38="")</f>
        <v>0</v>
      </c>
    </row>
    <row r="39" spans="1:18" x14ac:dyDescent="0.25">
      <c r="A39">
        <f t="shared" si="1"/>
        <v>0</v>
      </c>
      <c r="B39" t="b">
        <f>SUMPRODUCT(LEN(hospitalityq!C39:R39))&gt;0</f>
        <v>0</v>
      </c>
      <c r="C39">
        <f>B39*(hospitalityq!C39="")</f>
        <v>0</v>
      </c>
      <c r="E39">
        <f>B39*(hospitalityq!E39="")</f>
        <v>0</v>
      </c>
      <c r="F39">
        <f>B39*(hospitalityq!F39="")</f>
        <v>0</v>
      </c>
      <c r="G39">
        <f>B39*(hospitalityq!G39="")</f>
        <v>0</v>
      </c>
      <c r="H39">
        <f>B39*(hospitalityq!H39="")</f>
        <v>0</v>
      </c>
      <c r="I39">
        <f>B39*(hospitalityq!I39="")</f>
        <v>0</v>
      </c>
      <c r="J39">
        <f>B39*(hospitalityq!J39="")</f>
        <v>0</v>
      </c>
      <c r="K39">
        <f>B39*(hospitalityq!K39="")</f>
        <v>0</v>
      </c>
      <c r="L39">
        <f>B39*(hospitalityq!L39="")</f>
        <v>0</v>
      </c>
      <c r="M39">
        <f>B39*(hospitalityq!M39="")</f>
        <v>0</v>
      </c>
      <c r="N39">
        <f>B39*(hospitalityq!N39="")</f>
        <v>0</v>
      </c>
      <c r="O39">
        <f>B39*(hospitalityq!O39="")</f>
        <v>0</v>
      </c>
      <c r="P39">
        <f>B39*(hospitalityq!P39="")</f>
        <v>0</v>
      </c>
      <c r="Q39">
        <f>B39*(hospitalityq!Q39="")</f>
        <v>0</v>
      </c>
      <c r="R39">
        <f>B39*(hospitalityq!R39="")</f>
        <v>0</v>
      </c>
    </row>
    <row r="40" spans="1:18" x14ac:dyDescent="0.25">
      <c r="A40">
        <f t="shared" si="1"/>
        <v>0</v>
      </c>
      <c r="B40" t="b">
        <f>SUMPRODUCT(LEN(hospitalityq!C40:R40))&gt;0</f>
        <v>0</v>
      </c>
      <c r="C40">
        <f>B40*(hospitalityq!C40="")</f>
        <v>0</v>
      </c>
      <c r="E40">
        <f>B40*(hospitalityq!E40="")</f>
        <v>0</v>
      </c>
      <c r="F40">
        <f>B40*(hospitalityq!F40="")</f>
        <v>0</v>
      </c>
      <c r="G40">
        <f>B40*(hospitalityq!G40="")</f>
        <v>0</v>
      </c>
      <c r="H40">
        <f>B40*(hospitalityq!H40="")</f>
        <v>0</v>
      </c>
      <c r="I40">
        <f>B40*(hospitalityq!I40="")</f>
        <v>0</v>
      </c>
      <c r="J40">
        <f>B40*(hospitalityq!J40="")</f>
        <v>0</v>
      </c>
      <c r="K40">
        <f>B40*(hospitalityq!K40="")</f>
        <v>0</v>
      </c>
      <c r="L40">
        <f>B40*(hospitalityq!L40="")</f>
        <v>0</v>
      </c>
      <c r="M40">
        <f>B40*(hospitalityq!M40="")</f>
        <v>0</v>
      </c>
      <c r="N40">
        <f>B40*(hospitalityq!N40="")</f>
        <v>0</v>
      </c>
      <c r="O40">
        <f>B40*(hospitalityq!O40="")</f>
        <v>0</v>
      </c>
      <c r="P40">
        <f>B40*(hospitalityq!P40="")</f>
        <v>0</v>
      </c>
      <c r="Q40">
        <f>B40*(hospitalityq!Q40="")</f>
        <v>0</v>
      </c>
      <c r="R40">
        <f>B40*(hospitalityq!R40="")</f>
        <v>0</v>
      </c>
    </row>
    <row r="41" spans="1:18" x14ac:dyDescent="0.25">
      <c r="A41">
        <f t="shared" si="1"/>
        <v>0</v>
      </c>
      <c r="B41" t="b">
        <f>SUMPRODUCT(LEN(hospitalityq!C41:R41))&gt;0</f>
        <v>0</v>
      </c>
      <c r="C41">
        <f>B41*(hospitalityq!C41="")</f>
        <v>0</v>
      </c>
      <c r="E41">
        <f>B41*(hospitalityq!E41="")</f>
        <v>0</v>
      </c>
      <c r="F41">
        <f>B41*(hospitalityq!F41="")</f>
        <v>0</v>
      </c>
      <c r="G41">
        <f>B41*(hospitalityq!G41="")</f>
        <v>0</v>
      </c>
      <c r="H41">
        <f>B41*(hospitalityq!H41="")</f>
        <v>0</v>
      </c>
      <c r="I41">
        <f>B41*(hospitalityq!I41="")</f>
        <v>0</v>
      </c>
      <c r="J41">
        <f>B41*(hospitalityq!J41="")</f>
        <v>0</v>
      </c>
      <c r="K41">
        <f>B41*(hospitalityq!K41="")</f>
        <v>0</v>
      </c>
      <c r="L41">
        <f>B41*(hospitalityq!L41="")</f>
        <v>0</v>
      </c>
      <c r="M41">
        <f>B41*(hospitalityq!M41="")</f>
        <v>0</v>
      </c>
      <c r="N41">
        <f>B41*(hospitalityq!N41="")</f>
        <v>0</v>
      </c>
      <c r="O41">
        <f>B41*(hospitalityq!O41="")</f>
        <v>0</v>
      </c>
      <c r="P41">
        <f>B41*(hospitalityq!P41="")</f>
        <v>0</v>
      </c>
      <c r="Q41">
        <f>B41*(hospitalityq!Q41="")</f>
        <v>0</v>
      </c>
      <c r="R41">
        <f>B41*(hospitalityq!R41="")</f>
        <v>0</v>
      </c>
    </row>
    <row r="42" spans="1:18" x14ac:dyDescent="0.25">
      <c r="A42">
        <f t="shared" si="1"/>
        <v>0</v>
      </c>
      <c r="B42" t="b">
        <f>SUMPRODUCT(LEN(hospitalityq!C42:R42))&gt;0</f>
        <v>0</v>
      </c>
      <c r="C42">
        <f>B42*(hospitalityq!C42="")</f>
        <v>0</v>
      </c>
      <c r="E42">
        <f>B42*(hospitalityq!E42="")</f>
        <v>0</v>
      </c>
      <c r="F42">
        <f>B42*(hospitalityq!F42="")</f>
        <v>0</v>
      </c>
      <c r="G42">
        <f>B42*(hospitalityq!G42="")</f>
        <v>0</v>
      </c>
      <c r="H42">
        <f>B42*(hospitalityq!H42="")</f>
        <v>0</v>
      </c>
      <c r="I42">
        <f>B42*(hospitalityq!I42="")</f>
        <v>0</v>
      </c>
      <c r="J42">
        <f>B42*(hospitalityq!J42="")</f>
        <v>0</v>
      </c>
      <c r="K42">
        <f>B42*(hospitalityq!K42="")</f>
        <v>0</v>
      </c>
      <c r="L42">
        <f>B42*(hospitalityq!L42="")</f>
        <v>0</v>
      </c>
      <c r="M42">
        <f>B42*(hospitalityq!M42="")</f>
        <v>0</v>
      </c>
      <c r="N42">
        <f>B42*(hospitalityq!N42="")</f>
        <v>0</v>
      </c>
      <c r="O42">
        <f>B42*(hospitalityq!O42="")</f>
        <v>0</v>
      </c>
      <c r="P42">
        <f>B42*(hospitalityq!P42="")</f>
        <v>0</v>
      </c>
      <c r="Q42">
        <f>B42*(hospitalityq!Q42="")</f>
        <v>0</v>
      </c>
      <c r="R42">
        <f>B42*(hospitalityq!R42="")</f>
        <v>0</v>
      </c>
    </row>
    <row r="43" spans="1:18" x14ac:dyDescent="0.25">
      <c r="A43">
        <f t="shared" si="1"/>
        <v>0</v>
      </c>
      <c r="B43" t="b">
        <f>SUMPRODUCT(LEN(hospitalityq!C43:R43))&gt;0</f>
        <v>0</v>
      </c>
      <c r="C43">
        <f>B43*(hospitalityq!C43="")</f>
        <v>0</v>
      </c>
      <c r="E43">
        <f>B43*(hospitalityq!E43="")</f>
        <v>0</v>
      </c>
      <c r="F43">
        <f>B43*(hospitalityq!F43="")</f>
        <v>0</v>
      </c>
      <c r="G43">
        <f>B43*(hospitalityq!G43="")</f>
        <v>0</v>
      </c>
      <c r="H43">
        <f>B43*(hospitalityq!H43="")</f>
        <v>0</v>
      </c>
      <c r="I43">
        <f>B43*(hospitalityq!I43="")</f>
        <v>0</v>
      </c>
      <c r="J43">
        <f>B43*(hospitalityq!J43="")</f>
        <v>0</v>
      </c>
      <c r="K43">
        <f>B43*(hospitalityq!K43="")</f>
        <v>0</v>
      </c>
      <c r="L43">
        <f>B43*(hospitalityq!L43="")</f>
        <v>0</v>
      </c>
      <c r="M43">
        <f>B43*(hospitalityq!M43="")</f>
        <v>0</v>
      </c>
      <c r="N43">
        <f>B43*(hospitalityq!N43="")</f>
        <v>0</v>
      </c>
      <c r="O43">
        <f>B43*(hospitalityq!O43="")</f>
        <v>0</v>
      </c>
      <c r="P43">
        <f>B43*(hospitalityq!P43="")</f>
        <v>0</v>
      </c>
      <c r="Q43">
        <f>B43*(hospitalityq!Q43="")</f>
        <v>0</v>
      </c>
      <c r="R43">
        <f>B43*(hospitalityq!R43="")</f>
        <v>0</v>
      </c>
    </row>
    <row r="44" spans="1:18" x14ac:dyDescent="0.25">
      <c r="A44">
        <f t="shared" si="1"/>
        <v>0</v>
      </c>
      <c r="B44" t="b">
        <f>SUMPRODUCT(LEN(hospitalityq!C44:R44))&gt;0</f>
        <v>0</v>
      </c>
      <c r="C44">
        <f>B44*(hospitalityq!C44="")</f>
        <v>0</v>
      </c>
      <c r="E44">
        <f>B44*(hospitalityq!E44="")</f>
        <v>0</v>
      </c>
      <c r="F44">
        <f>B44*(hospitalityq!F44="")</f>
        <v>0</v>
      </c>
      <c r="G44">
        <f>B44*(hospitalityq!G44="")</f>
        <v>0</v>
      </c>
      <c r="H44">
        <f>B44*(hospitalityq!H44="")</f>
        <v>0</v>
      </c>
      <c r="I44">
        <f>B44*(hospitalityq!I44="")</f>
        <v>0</v>
      </c>
      <c r="J44">
        <f>B44*(hospitalityq!J44="")</f>
        <v>0</v>
      </c>
      <c r="K44">
        <f>B44*(hospitalityq!K44="")</f>
        <v>0</v>
      </c>
      <c r="L44">
        <f>B44*(hospitalityq!L44="")</f>
        <v>0</v>
      </c>
      <c r="M44">
        <f>B44*(hospitalityq!M44="")</f>
        <v>0</v>
      </c>
      <c r="N44">
        <f>B44*(hospitalityq!N44="")</f>
        <v>0</v>
      </c>
      <c r="O44">
        <f>B44*(hospitalityq!O44="")</f>
        <v>0</v>
      </c>
      <c r="P44">
        <f>B44*(hospitalityq!P44="")</f>
        <v>0</v>
      </c>
      <c r="Q44">
        <f>B44*(hospitalityq!Q44="")</f>
        <v>0</v>
      </c>
      <c r="R44">
        <f>B44*(hospitalityq!R44="")</f>
        <v>0</v>
      </c>
    </row>
    <row r="45" spans="1:18" x14ac:dyDescent="0.25">
      <c r="A45">
        <f t="shared" si="1"/>
        <v>0</v>
      </c>
      <c r="B45" t="b">
        <f>SUMPRODUCT(LEN(hospitalityq!C45:R45))&gt;0</f>
        <v>0</v>
      </c>
      <c r="C45">
        <f>B45*(hospitalityq!C45="")</f>
        <v>0</v>
      </c>
      <c r="E45">
        <f>B45*(hospitalityq!E45="")</f>
        <v>0</v>
      </c>
      <c r="F45">
        <f>B45*(hospitalityq!F45="")</f>
        <v>0</v>
      </c>
      <c r="G45">
        <f>B45*(hospitalityq!G45="")</f>
        <v>0</v>
      </c>
      <c r="H45">
        <f>B45*(hospitalityq!H45="")</f>
        <v>0</v>
      </c>
      <c r="I45">
        <f>B45*(hospitalityq!I45="")</f>
        <v>0</v>
      </c>
      <c r="J45">
        <f>B45*(hospitalityq!J45="")</f>
        <v>0</v>
      </c>
      <c r="K45">
        <f>B45*(hospitalityq!K45="")</f>
        <v>0</v>
      </c>
      <c r="L45">
        <f>B45*(hospitalityq!L45="")</f>
        <v>0</v>
      </c>
      <c r="M45">
        <f>B45*(hospitalityq!M45="")</f>
        <v>0</v>
      </c>
      <c r="N45">
        <f>B45*(hospitalityq!N45="")</f>
        <v>0</v>
      </c>
      <c r="O45">
        <f>B45*(hospitalityq!O45="")</f>
        <v>0</v>
      </c>
      <c r="P45">
        <f>B45*(hospitalityq!P45="")</f>
        <v>0</v>
      </c>
      <c r="Q45">
        <f>B45*(hospitalityq!Q45="")</f>
        <v>0</v>
      </c>
      <c r="R45">
        <f>B45*(hospitalityq!R45="")</f>
        <v>0</v>
      </c>
    </row>
    <row r="46" spans="1:18" x14ac:dyDescent="0.25">
      <c r="A46">
        <f t="shared" si="1"/>
        <v>0</v>
      </c>
      <c r="B46" t="b">
        <f>SUMPRODUCT(LEN(hospitalityq!C46:R46))&gt;0</f>
        <v>0</v>
      </c>
      <c r="C46">
        <f>B46*(hospitalityq!C46="")</f>
        <v>0</v>
      </c>
      <c r="E46">
        <f>B46*(hospitalityq!E46="")</f>
        <v>0</v>
      </c>
      <c r="F46">
        <f>B46*(hospitalityq!F46="")</f>
        <v>0</v>
      </c>
      <c r="G46">
        <f>B46*(hospitalityq!G46="")</f>
        <v>0</v>
      </c>
      <c r="H46">
        <f>B46*(hospitalityq!H46="")</f>
        <v>0</v>
      </c>
      <c r="I46">
        <f>B46*(hospitalityq!I46="")</f>
        <v>0</v>
      </c>
      <c r="J46">
        <f>B46*(hospitalityq!J46="")</f>
        <v>0</v>
      </c>
      <c r="K46">
        <f>B46*(hospitalityq!K46="")</f>
        <v>0</v>
      </c>
      <c r="L46">
        <f>B46*(hospitalityq!L46="")</f>
        <v>0</v>
      </c>
      <c r="M46">
        <f>B46*(hospitalityq!M46="")</f>
        <v>0</v>
      </c>
      <c r="N46">
        <f>B46*(hospitalityq!N46="")</f>
        <v>0</v>
      </c>
      <c r="O46">
        <f>B46*(hospitalityq!O46="")</f>
        <v>0</v>
      </c>
      <c r="P46">
        <f>B46*(hospitalityq!P46="")</f>
        <v>0</v>
      </c>
      <c r="Q46">
        <f>B46*(hospitalityq!Q46="")</f>
        <v>0</v>
      </c>
      <c r="R46">
        <f>B46*(hospitalityq!R46="")</f>
        <v>0</v>
      </c>
    </row>
    <row r="47" spans="1:18" x14ac:dyDescent="0.25">
      <c r="A47">
        <f t="shared" si="1"/>
        <v>0</v>
      </c>
      <c r="B47" t="b">
        <f>SUMPRODUCT(LEN(hospitalityq!C47:R47))&gt;0</f>
        <v>0</v>
      </c>
      <c r="C47">
        <f>B47*(hospitalityq!C47="")</f>
        <v>0</v>
      </c>
      <c r="E47">
        <f>B47*(hospitalityq!E47="")</f>
        <v>0</v>
      </c>
      <c r="F47">
        <f>B47*(hospitalityq!F47="")</f>
        <v>0</v>
      </c>
      <c r="G47">
        <f>B47*(hospitalityq!G47="")</f>
        <v>0</v>
      </c>
      <c r="H47">
        <f>B47*(hospitalityq!H47="")</f>
        <v>0</v>
      </c>
      <c r="I47">
        <f>B47*(hospitalityq!I47="")</f>
        <v>0</v>
      </c>
      <c r="J47">
        <f>B47*(hospitalityq!J47="")</f>
        <v>0</v>
      </c>
      <c r="K47">
        <f>B47*(hospitalityq!K47="")</f>
        <v>0</v>
      </c>
      <c r="L47">
        <f>B47*(hospitalityq!L47="")</f>
        <v>0</v>
      </c>
      <c r="M47">
        <f>B47*(hospitalityq!M47="")</f>
        <v>0</v>
      </c>
      <c r="N47">
        <f>B47*(hospitalityq!N47="")</f>
        <v>0</v>
      </c>
      <c r="O47">
        <f>B47*(hospitalityq!O47="")</f>
        <v>0</v>
      </c>
      <c r="P47">
        <f>B47*(hospitalityq!P47="")</f>
        <v>0</v>
      </c>
      <c r="Q47">
        <f>B47*(hospitalityq!Q47="")</f>
        <v>0</v>
      </c>
      <c r="R47">
        <f>B47*(hospitalityq!R47="")</f>
        <v>0</v>
      </c>
    </row>
    <row r="48" spans="1:18" x14ac:dyDescent="0.25">
      <c r="A48">
        <f t="shared" si="1"/>
        <v>0</v>
      </c>
      <c r="B48" t="b">
        <f>SUMPRODUCT(LEN(hospitalityq!C48:R48))&gt;0</f>
        <v>0</v>
      </c>
      <c r="C48">
        <f>B48*(hospitalityq!C48="")</f>
        <v>0</v>
      </c>
      <c r="E48">
        <f>B48*(hospitalityq!E48="")</f>
        <v>0</v>
      </c>
      <c r="F48">
        <f>B48*(hospitalityq!F48="")</f>
        <v>0</v>
      </c>
      <c r="G48">
        <f>B48*(hospitalityq!G48="")</f>
        <v>0</v>
      </c>
      <c r="H48">
        <f>B48*(hospitalityq!H48="")</f>
        <v>0</v>
      </c>
      <c r="I48">
        <f>B48*(hospitalityq!I48="")</f>
        <v>0</v>
      </c>
      <c r="J48">
        <f>B48*(hospitalityq!J48="")</f>
        <v>0</v>
      </c>
      <c r="K48">
        <f>B48*(hospitalityq!K48="")</f>
        <v>0</v>
      </c>
      <c r="L48">
        <f>B48*(hospitalityq!L48="")</f>
        <v>0</v>
      </c>
      <c r="M48">
        <f>B48*(hospitalityq!M48="")</f>
        <v>0</v>
      </c>
      <c r="N48">
        <f>B48*(hospitalityq!N48="")</f>
        <v>0</v>
      </c>
      <c r="O48">
        <f>B48*(hospitalityq!O48="")</f>
        <v>0</v>
      </c>
      <c r="P48">
        <f>B48*(hospitalityq!P48="")</f>
        <v>0</v>
      </c>
      <c r="Q48">
        <f>B48*(hospitalityq!Q48="")</f>
        <v>0</v>
      </c>
      <c r="R48">
        <f>B48*(hospitalityq!R48="")</f>
        <v>0</v>
      </c>
    </row>
    <row r="49" spans="1:18" x14ac:dyDescent="0.25">
      <c r="A49">
        <f t="shared" si="1"/>
        <v>0</v>
      </c>
      <c r="B49" t="b">
        <f>SUMPRODUCT(LEN(hospitalityq!C49:R49))&gt;0</f>
        <v>0</v>
      </c>
      <c r="C49">
        <f>B49*(hospitalityq!C49="")</f>
        <v>0</v>
      </c>
      <c r="E49">
        <f>B49*(hospitalityq!E49="")</f>
        <v>0</v>
      </c>
      <c r="F49">
        <f>B49*(hospitalityq!F49="")</f>
        <v>0</v>
      </c>
      <c r="G49">
        <f>B49*(hospitalityq!G49="")</f>
        <v>0</v>
      </c>
      <c r="H49">
        <f>B49*(hospitalityq!H49="")</f>
        <v>0</v>
      </c>
      <c r="I49">
        <f>B49*(hospitalityq!I49="")</f>
        <v>0</v>
      </c>
      <c r="J49">
        <f>B49*(hospitalityq!J49="")</f>
        <v>0</v>
      </c>
      <c r="K49">
        <f>B49*(hospitalityq!K49="")</f>
        <v>0</v>
      </c>
      <c r="L49">
        <f>B49*(hospitalityq!L49="")</f>
        <v>0</v>
      </c>
      <c r="M49">
        <f>B49*(hospitalityq!M49="")</f>
        <v>0</v>
      </c>
      <c r="N49">
        <f>B49*(hospitalityq!N49="")</f>
        <v>0</v>
      </c>
      <c r="O49">
        <f>B49*(hospitalityq!O49="")</f>
        <v>0</v>
      </c>
      <c r="P49">
        <f>B49*(hospitalityq!P49="")</f>
        <v>0</v>
      </c>
      <c r="Q49">
        <f>B49*(hospitalityq!Q49="")</f>
        <v>0</v>
      </c>
      <c r="R49">
        <f>B49*(hospitalityq!R49="")</f>
        <v>0</v>
      </c>
    </row>
    <row r="50" spans="1:18" x14ac:dyDescent="0.25">
      <c r="A50">
        <f t="shared" si="1"/>
        <v>0</v>
      </c>
      <c r="B50" t="b">
        <f>SUMPRODUCT(LEN(hospitalityq!C50:R50))&gt;0</f>
        <v>0</v>
      </c>
      <c r="C50">
        <f>B50*(hospitalityq!C50="")</f>
        <v>0</v>
      </c>
      <c r="E50">
        <f>B50*(hospitalityq!E50="")</f>
        <v>0</v>
      </c>
      <c r="F50">
        <f>B50*(hospitalityq!F50="")</f>
        <v>0</v>
      </c>
      <c r="G50">
        <f>B50*(hospitalityq!G50="")</f>
        <v>0</v>
      </c>
      <c r="H50">
        <f>B50*(hospitalityq!H50="")</f>
        <v>0</v>
      </c>
      <c r="I50">
        <f>B50*(hospitalityq!I50="")</f>
        <v>0</v>
      </c>
      <c r="J50">
        <f>B50*(hospitalityq!J50="")</f>
        <v>0</v>
      </c>
      <c r="K50">
        <f>B50*(hospitalityq!K50="")</f>
        <v>0</v>
      </c>
      <c r="L50">
        <f>B50*(hospitalityq!L50="")</f>
        <v>0</v>
      </c>
      <c r="M50">
        <f>B50*(hospitalityq!M50="")</f>
        <v>0</v>
      </c>
      <c r="N50">
        <f>B50*(hospitalityq!N50="")</f>
        <v>0</v>
      </c>
      <c r="O50">
        <f>B50*(hospitalityq!O50="")</f>
        <v>0</v>
      </c>
      <c r="P50">
        <f>B50*(hospitalityq!P50="")</f>
        <v>0</v>
      </c>
      <c r="Q50">
        <f>B50*(hospitalityq!Q50="")</f>
        <v>0</v>
      </c>
      <c r="R50">
        <f>B50*(hospitalityq!R50="")</f>
        <v>0</v>
      </c>
    </row>
    <row r="51" spans="1:18" x14ac:dyDescent="0.25">
      <c r="A51">
        <f t="shared" si="1"/>
        <v>0</v>
      </c>
      <c r="B51" t="b">
        <f>SUMPRODUCT(LEN(hospitalityq!C51:R51))&gt;0</f>
        <v>0</v>
      </c>
      <c r="C51">
        <f>B51*(hospitalityq!C51="")</f>
        <v>0</v>
      </c>
      <c r="E51">
        <f>B51*(hospitalityq!E51="")</f>
        <v>0</v>
      </c>
      <c r="F51">
        <f>B51*(hospitalityq!F51="")</f>
        <v>0</v>
      </c>
      <c r="G51">
        <f>B51*(hospitalityq!G51="")</f>
        <v>0</v>
      </c>
      <c r="H51">
        <f>B51*(hospitalityq!H51="")</f>
        <v>0</v>
      </c>
      <c r="I51">
        <f>B51*(hospitalityq!I51="")</f>
        <v>0</v>
      </c>
      <c r="J51">
        <f>B51*(hospitalityq!J51="")</f>
        <v>0</v>
      </c>
      <c r="K51">
        <f>B51*(hospitalityq!K51="")</f>
        <v>0</v>
      </c>
      <c r="L51">
        <f>B51*(hospitalityq!L51="")</f>
        <v>0</v>
      </c>
      <c r="M51">
        <f>B51*(hospitalityq!M51="")</f>
        <v>0</v>
      </c>
      <c r="N51">
        <f>B51*(hospitalityq!N51="")</f>
        <v>0</v>
      </c>
      <c r="O51">
        <f>B51*(hospitalityq!O51="")</f>
        <v>0</v>
      </c>
      <c r="P51">
        <f>B51*(hospitalityq!P51="")</f>
        <v>0</v>
      </c>
      <c r="Q51">
        <f>B51*(hospitalityq!Q51="")</f>
        <v>0</v>
      </c>
      <c r="R51">
        <f>B51*(hospitalityq!R51="")</f>
        <v>0</v>
      </c>
    </row>
    <row r="52" spans="1:18" x14ac:dyDescent="0.25">
      <c r="A52">
        <f t="shared" si="1"/>
        <v>0</v>
      </c>
      <c r="B52" t="b">
        <f>SUMPRODUCT(LEN(hospitalityq!C52:R52))&gt;0</f>
        <v>0</v>
      </c>
      <c r="C52">
        <f>B52*(hospitalityq!C52="")</f>
        <v>0</v>
      </c>
      <c r="E52">
        <f>B52*(hospitalityq!E52="")</f>
        <v>0</v>
      </c>
      <c r="F52">
        <f>B52*(hospitalityq!F52="")</f>
        <v>0</v>
      </c>
      <c r="G52">
        <f>B52*(hospitalityq!G52="")</f>
        <v>0</v>
      </c>
      <c r="H52">
        <f>B52*(hospitalityq!H52="")</f>
        <v>0</v>
      </c>
      <c r="I52">
        <f>B52*(hospitalityq!I52="")</f>
        <v>0</v>
      </c>
      <c r="J52">
        <f>B52*(hospitalityq!J52="")</f>
        <v>0</v>
      </c>
      <c r="K52">
        <f>B52*(hospitalityq!K52="")</f>
        <v>0</v>
      </c>
      <c r="L52">
        <f>B52*(hospitalityq!L52="")</f>
        <v>0</v>
      </c>
      <c r="M52">
        <f>B52*(hospitalityq!M52="")</f>
        <v>0</v>
      </c>
      <c r="N52">
        <f>B52*(hospitalityq!N52="")</f>
        <v>0</v>
      </c>
      <c r="O52">
        <f>B52*(hospitalityq!O52="")</f>
        <v>0</v>
      </c>
      <c r="P52">
        <f>B52*(hospitalityq!P52="")</f>
        <v>0</v>
      </c>
      <c r="Q52">
        <f>B52*(hospitalityq!Q52="")</f>
        <v>0</v>
      </c>
      <c r="R52">
        <f>B52*(hospitalityq!R52="")</f>
        <v>0</v>
      </c>
    </row>
    <row r="53" spans="1:18" x14ac:dyDescent="0.25">
      <c r="A53">
        <f t="shared" si="1"/>
        <v>0</v>
      </c>
      <c r="B53" t="b">
        <f>SUMPRODUCT(LEN(hospitalityq!C53:R53))&gt;0</f>
        <v>0</v>
      </c>
      <c r="C53">
        <f>B53*(hospitalityq!C53="")</f>
        <v>0</v>
      </c>
      <c r="E53">
        <f>B53*(hospitalityq!E53="")</f>
        <v>0</v>
      </c>
      <c r="F53">
        <f>B53*(hospitalityq!F53="")</f>
        <v>0</v>
      </c>
      <c r="G53">
        <f>B53*(hospitalityq!G53="")</f>
        <v>0</v>
      </c>
      <c r="H53">
        <f>B53*(hospitalityq!H53="")</f>
        <v>0</v>
      </c>
      <c r="I53">
        <f>B53*(hospitalityq!I53="")</f>
        <v>0</v>
      </c>
      <c r="J53">
        <f>B53*(hospitalityq!J53="")</f>
        <v>0</v>
      </c>
      <c r="K53">
        <f>B53*(hospitalityq!K53="")</f>
        <v>0</v>
      </c>
      <c r="L53">
        <f>B53*(hospitalityq!L53="")</f>
        <v>0</v>
      </c>
      <c r="M53">
        <f>B53*(hospitalityq!M53="")</f>
        <v>0</v>
      </c>
      <c r="N53">
        <f>B53*(hospitalityq!N53="")</f>
        <v>0</v>
      </c>
      <c r="O53">
        <f>B53*(hospitalityq!O53="")</f>
        <v>0</v>
      </c>
      <c r="P53">
        <f>B53*(hospitalityq!P53="")</f>
        <v>0</v>
      </c>
      <c r="Q53">
        <f>B53*(hospitalityq!Q53="")</f>
        <v>0</v>
      </c>
      <c r="R53">
        <f>B53*(hospitalityq!R53="")</f>
        <v>0</v>
      </c>
    </row>
    <row r="54" spans="1:18" x14ac:dyDescent="0.25">
      <c r="A54">
        <f t="shared" si="1"/>
        <v>0</v>
      </c>
      <c r="B54" t="b">
        <f>SUMPRODUCT(LEN(hospitalityq!C54:R54))&gt;0</f>
        <v>0</v>
      </c>
      <c r="C54">
        <f>B54*(hospitalityq!C54="")</f>
        <v>0</v>
      </c>
      <c r="E54">
        <f>B54*(hospitalityq!E54="")</f>
        <v>0</v>
      </c>
      <c r="F54">
        <f>B54*(hospitalityq!F54="")</f>
        <v>0</v>
      </c>
      <c r="G54">
        <f>B54*(hospitalityq!G54="")</f>
        <v>0</v>
      </c>
      <c r="H54">
        <f>B54*(hospitalityq!H54="")</f>
        <v>0</v>
      </c>
      <c r="I54">
        <f>B54*(hospitalityq!I54="")</f>
        <v>0</v>
      </c>
      <c r="J54">
        <f>B54*(hospitalityq!J54="")</f>
        <v>0</v>
      </c>
      <c r="K54">
        <f>B54*(hospitalityq!K54="")</f>
        <v>0</v>
      </c>
      <c r="L54">
        <f>B54*(hospitalityq!L54="")</f>
        <v>0</v>
      </c>
      <c r="M54">
        <f>B54*(hospitalityq!M54="")</f>
        <v>0</v>
      </c>
      <c r="N54">
        <f>B54*(hospitalityq!N54="")</f>
        <v>0</v>
      </c>
      <c r="O54">
        <f>B54*(hospitalityq!O54="")</f>
        <v>0</v>
      </c>
      <c r="P54">
        <f>B54*(hospitalityq!P54="")</f>
        <v>0</v>
      </c>
      <c r="Q54">
        <f>B54*(hospitalityq!Q54="")</f>
        <v>0</v>
      </c>
      <c r="R54">
        <f>B54*(hospitalityq!R54="")</f>
        <v>0</v>
      </c>
    </row>
    <row r="55" spans="1:18" x14ac:dyDescent="0.25">
      <c r="A55">
        <f t="shared" si="1"/>
        <v>0</v>
      </c>
      <c r="B55" t="b">
        <f>SUMPRODUCT(LEN(hospitalityq!C55:R55))&gt;0</f>
        <v>0</v>
      </c>
      <c r="C55">
        <f>B55*(hospitalityq!C55="")</f>
        <v>0</v>
      </c>
      <c r="E55">
        <f>B55*(hospitalityq!E55="")</f>
        <v>0</v>
      </c>
      <c r="F55">
        <f>B55*(hospitalityq!F55="")</f>
        <v>0</v>
      </c>
      <c r="G55">
        <f>B55*(hospitalityq!G55="")</f>
        <v>0</v>
      </c>
      <c r="H55">
        <f>B55*(hospitalityq!H55="")</f>
        <v>0</v>
      </c>
      <c r="I55">
        <f>B55*(hospitalityq!I55="")</f>
        <v>0</v>
      </c>
      <c r="J55">
        <f>B55*(hospitalityq!J55="")</f>
        <v>0</v>
      </c>
      <c r="K55">
        <f>B55*(hospitalityq!K55="")</f>
        <v>0</v>
      </c>
      <c r="L55">
        <f>B55*(hospitalityq!L55="")</f>
        <v>0</v>
      </c>
      <c r="M55">
        <f>B55*(hospitalityq!M55="")</f>
        <v>0</v>
      </c>
      <c r="N55">
        <f>B55*(hospitalityq!N55="")</f>
        <v>0</v>
      </c>
      <c r="O55">
        <f>B55*(hospitalityq!O55="")</f>
        <v>0</v>
      </c>
      <c r="P55">
        <f>B55*(hospitalityq!P55="")</f>
        <v>0</v>
      </c>
      <c r="Q55">
        <f>B55*(hospitalityq!Q55="")</f>
        <v>0</v>
      </c>
      <c r="R55">
        <f>B55*(hospitalityq!R55="")</f>
        <v>0</v>
      </c>
    </row>
    <row r="56" spans="1:18" x14ac:dyDescent="0.25">
      <c r="A56">
        <f t="shared" si="1"/>
        <v>0</v>
      </c>
      <c r="B56" t="b">
        <f>SUMPRODUCT(LEN(hospitalityq!C56:R56))&gt;0</f>
        <v>0</v>
      </c>
      <c r="C56">
        <f>B56*(hospitalityq!C56="")</f>
        <v>0</v>
      </c>
      <c r="E56">
        <f>B56*(hospitalityq!E56="")</f>
        <v>0</v>
      </c>
      <c r="F56">
        <f>B56*(hospitalityq!F56="")</f>
        <v>0</v>
      </c>
      <c r="G56">
        <f>B56*(hospitalityq!G56="")</f>
        <v>0</v>
      </c>
      <c r="H56">
        <f>B56*(hospitalityq!H56="")</f>
        <v>0</v>
      </c>
      <c r="I56">
        <f>B56*(hospitalityq!I56="")</f>
        <v>0</v>
      </c>
      <c r="J56">
        <f>B56*(hospitalityq!J56="")</f>
        <v>0</v>
      </c>
      <c r="K56">
        <f>B56*(hospitalityq!K56="")</f>
        <v>0</v>
      </c>
      <c r="L56">
        <f>B56*(hospitalityq!L56="")</f>
        <v>0</v>
      </c>
      <c r="M56">
        <f>B56*(hospitalityq!M56="")</f>
        <v>0</v>
      </c>
      <c r="N56">
        <f>B56*(hospitalityq!N56="")</f>
        <v>0</v>
      </c>
      <c r="O56">
        <f>B56*(hospitalityq!O56="")</f>
        <v>0</v>
      </c>
      <c r="P56">
        <f>B56*(hospitalityq!P56="")</f>
        <v>0</v>
      </c>
      <c r="Q56">
        <f>B56*(hospitalityq!Q56="")</f>
        <v>0</v>
      </c>
      <c r="R56">
        <f>B56*(hospitalityq!R56="")</f>
        <v>0</v>
      </c>
    </row>
    <row r="57" spans="1:18" x14ac:dyDescent="0.25">
      <c r="A57">
        <f t="shared" si="1"/>
        <v>0</v>
      </c>
      <c r="B57" t="b">
        <f>SUMPRODUCT(LEN(hospitalityq!C57:R57))&gt;0</f>
        <v>0</v>
      </c>
      <c r="C57">
        <f>B57*(hospitalityq!C57="")</f>
        <v>0</v>
      </c>
      <c r="E57">
        <f>B57*(hospitalityq!E57="")</f>
        <v>0</v>
      </c>
      <c r="F57">
        <f>B57*(hospitalityq!F57="")</f>
        <v>0</v>
      </c>
      <c r="G57">
        <f>B57*(hospitalityq!G57="")</f>
        <v>0</v>
      </c>
      <c r="H57">
        <f>B57*(hospitalityq!H57="")</f>
        <v>0</v>
      </c>
      <c r="I57">
        <f>B57*(hospitalityq!I57="")</f>
        <v>0</v>
      </c>
      <c r="J57">
        <f>B57*(hospitalityq!J57="")</f>
        <v>0</v>
      </c>
      <c r="K57">
        <f>B57*(hospitalityq!K57="")</f>
        <v>0</v>
      </c>
      <c r="L57">
        <f>B57*(hospitalityq!L57="")</f>
        <v>0</v>
      </c>
      <c r="M57">
        <f>B57*(hospitalityq!M57="")</f>
        <v>0</v>
      </c>
      <c r="N57">
        <f>B57*(hospitalityq!N57="")</f>
        <v>0</v>
      </c>
      <c r="O57">
        <f>B57*(hospitalityq!O57="")</f>
        <v>0</v>
      </c>
      <c r="P57">
        <f>B57*(hospitalityq!P57="")</f>
        <v>0</v>
      </c>
      <c r="Q57">
        <f>B57*(hospitalityq!Q57="")</f>
        <v>0</v>
      </c>
      <c r="R57">
        <f>B57*(hospitalityq!R57="")</f>
        <v>0</v>
      </c>
    </row>
    <row r="58" spans="1:18" x14ac:dyDescent="0.25">
      <c r="A58">
        <f t="shared" si="1"/>
        <v>0</v>
      </c>
      <c r="B58" t="b">
        <f>SUMPRODUCT(LEN(hospitalityq!C58:R58))&gt;0</f>
        <v>0</v>
      </c>
      <c r="C58">
        <f>B58*(hospitalityq!C58="")</f>
        <v>0</v>
      </c>
      <c r="E58">
        <f>B58*(hospitalityq!E58="")</f>
        <v>0</v>
      </c>
      <c r="F58">
        <f>B58*(hospitalityq!F58="")</f>
        <v>0</v>
      </c>
      <c r="G58">
        <f>B58*(hospitalityq!G58="")</f>
        <v>0</v>
      </c>
      <c r="H58">
        <f>B58*(hospitalityq!H58="")</f>
        <v>0</v>
      </c>
      <c r="I58">
        <f>B58*(hospitalityq!I58="")</f>
        <v>0</v>
      </c>
      <c r="J58">
        <f>B58*(hospitalityq!J58="")</f>
        <v>0</v>
      </c>
      <c r="K58">
        <f>B58*(hospitalityq!K58="")</f>
        <v>0</v>
      </c>
      <c r="L58">
        <f>B58*(hospitalityq!L58="")</f>
        <v>0</v>
      </c>
      <c r="M58">
        <f>B58*(hospitalityq!M58="")</f>
        <v>0</v>
      </c>
      <c r="N58">
        <f>B58*(hospitalityq!N58="")</f>
        <v>0</v>
      </c>
      <c r="O58">
        <f>B58*(hospitalityq!O58="")</f>
        <v>0</v>
      </c>
      <c r="P58">
        <f>B58*(hospitalityq!P58="")</f>
        <v>0</v>
      </c>
      <c r="Q58">
        <f>B58*(hospitalityq!Q58="")</f>
        <v>0</v>
      </c>
      <c r="R58">
        <f>B58*(hospitalityq!R58="")</f>
        <v>0</v>
      </c>
    </row>
    <row r="59" spans="1:18" x14ac:dyDescent="0.25">
      <c r="A59">
        <f t="shared" si="1"/>
        <v>0</v>
      </c>
      <c r="B59" t="b">
        <f>SUMPRODUCT(LEN(hospitalityq!C59:R59))&gt;0</f>
        <v>0</v>
      </c>
      <c r="C59">
        <f>B59*(hospitalityq!C59="")</f>
        <v>0</v>
      </c>
      <c r="E59">
        <f>B59*(hospitalityq!E59="")</f>
        <v>0</v>
      </c>
      <c r="F59">
        <f>B59*(hospitalityq!F59="")</f>
        <v>0</v>
      </c>
      <c r="G59">
        <f>B59*(hospitalityq!G59="")</f>
        <v>0</v>
      </c>
      <c r="H59">
        <f>B59*(hospitalityq!H59="")</f>
        <v>0</v>
      </c>
      <c r="I59">
        <f>B59*(hospitalityq!I59="")</f>
        <v>0</v>
      </c>
      <c r="J59">
        <f>B59*(hospitalityq!J59="")</f>
        <v>0</v>
      </c>
      <c r="K59">
        <f>B59*(hospitalityq!K59="")</f>
        <v>0</v>
      </c>
      <c r="L59">
        <f>B59*(hospitalityq!L59="")</f>
        <v>0</v>
      </c>
      <c r="M59">
        <f>B59*(hospitalityq!M59="")</f>
        <v>0</v>
      </c>
      <c r="N59">
        <f>B59*(hospitalityq!N59="")</f>
        <v>0</v>
      </c>
      <c r="O59">
        <f>B59*(hospitalityq!O59="")</f>
        <v>0</v>
      </c>
      <c r="P59">
        <f>B59*(hospitalityq!P59="")</f>
        <v>0</v>
      </c>
      <c r="Q59">
        <f>B59*(hospitalityq!Q59="")</f>
        <v>0</v>
      </c>
      <c r="R59">
        <f>B59*(hospitalityq!R59="")</f>
        <v>0</v>
      </c>
    </row>
    <row r="60" spans="1:18" x14ac:dyDescent="0.25">
      <c r="A60">
        <f t="shared" si="1"/>
        <v>0</v>
      </c>
      <c r="B60" t="b">
        <f>SUMPRODUCT(LEN(hospitalityq!C60:R60))&gt;0</f>
        <v>0</v>
      </c>
      <c r="C60">
        <f>B60*(hospitalityq!C60="")</f>
        <v>0</v>
      </c>
      <c r="E60">
        <f>B60*(hospitalityq!E60="")</f>
        <v>0</v>
      </c>
      <c r="F60">
        <f>B60*(hospitalityq!F60="")</f>
        <v>0</v>
      </c>
      <c r="G60">
        <f>B60*(hospitalityq!G60="")</f>
        <v>0</v>
      </c>
      <c r="H60">
        <f>B60*(hospitalityq!H60="")</f>
        <v>0</v>
      </c>
      <c r="I60">
        <f>B60*(hospitalityq!I60="")</f>
        <v>0</v>
      </c>
      <c r="J60">
        <f>B60*(hospitalityq!J60="")</f>
        <v>0</v>
      </c>
      <c r="K60">
        <f>B60*(hospitalityq!K60="")</f>
        <v>0</v>
      </c>
      <c r="L60">
        <f>B60*(hospitalityq!L60="")</f>
        <v>0</v>
      </c>
      <c r="M60">
        <f>B60*(hospitalityq!M60="")</f>
        <v>0</v>
      </c>
      <c r="N60">
        <f>B60*(hospitalityq!N60="")</f>
        <v>0</v>
      </c>
      <c r="O60">
        <f>B60*(hospitalityq!O60="")</f>
        <v>0</v>
      </c>
      <c r="P60">
        <f>B60*(hospitalityq!P60="")</f>
        <v>0</v>
      </c>
      <c r="Q60">
        <f>B60*(hospitalityq!Q60="")</f>
        <v>0</v>
      </c>
      <c r="R60">
        <f>B60*(hospitalityq!R60="")</f>
        <v>0</v>
      </c>
    </row>
    <row r="61" spans="1:18" x14ac:dyDescent="0.25">
      <c r="A61">
        <f t="shared" si="1"/>
        <v>0</v>
      </c>
      <c r="B61" t="b">
        <f>SUMPRODUCT(LEN(hospitalityq!C61:R61))&gt;0</f>
        <v>0</v>
      </c>
      <c r="C61">
        <f>B61*(hospitalityq!C61="")</f>
        <v>0</v>
      </c>
      <c r="E61">
        <f>B61*(hospitalityq!E61="")</f>
        <v>0</v>
      </c>
      <c r="F61">
        <f>B61*(hospitalityq!F61="")</f>
        <v>0</v>
      </c>
      <c r="G61">
        <f>B61*(hospitalityq!G61="")</f>
        <v>0</v>
      </c>
      <c r="H61">
        <f>B61*(hospitalityq!H61="")</f>
        <v>0</v>
      </c>
      <c r="I61">
        <f>B61*(hospitalityq!I61="")</f>
        <v>0</v>
      </c>
      <c r="J61">
        <f>B61*(hospitalityq!J61="")</f>
        <v>0</v>
      </c>
      <c r="K61">
        <f>B61*(hospitalityq!K61="")</f>
        <v>0</v>
      </c>
      <c r="L61">
        <f>B61*(hospitalityq!L61="")</f>
        <v>0</v>
      </c>
      <c r="M61">
        <f>B61*(hospitalityq!M61="")</f>
        <v>0</v>
      </c>
      <c r="N61">
        <f>B61*(hospitalityq!N61="")</f>
        <v>0</v>
      </c>
      <c r="O61">
        <f>B61*(hospitalityq!O61="")</f>
        <v>0</v>
      </c>
      <c r="P61">
        <f>B61*(hospitalityq!P61="")</f>
        <v>0</v>
      </c>
      <c r="Q61">
        <f>B61*(hospitalityq!Q61="")</f>
        <v>0</v>
      </c>
      <c r="R61">
        <f>B61*(hospitalityq!R61="")</f>
        <v>0</v>
      </c>
    </row>
    <row r="62" spans="1:18" x14ac:dyDescent="0.25">
      <c r="A62">
        <f t="shared" si="1"/>
        <v>0</v>
      </c>
      <c r="B62" t="b">
        <f>SUMPRODUCT(LEN(hospitalityq!C62:R62))&gt;0</f>
        <v>0</v>
      </c>
      <c r="C62">
        <f>B62*(hospitalityq!C62="")</f>
        <v>0</v>
      </c>
      <c r="E62">
        <f>B62*(hospitalityq!E62="")</f>
        <v>0</v>
      </c>
      <c r="F62">
        <f>B62*(hospitalityq!F62="")</f>
        <v>0</v>
      </c>
      <c r="G62">
        <f>B62*(hospitalityq!G62="")</f>
        <v>0</v>
      </c>
      <c r="H62">
        <f>B62*(hospitalityq!H62="")</f>
        <v>0</v>
      </c>
      <c r="I62">
        <f>B62*(hospitalityq!I62="")</f>
        <v>0</v>
      </c>
      <c r="J62">
        <f>B62*(hospitalityq!J62="")</f>
        <v>0</v>
      </c>
      <c r="K62">
        <f>B62*(hospitalityq!K62="")</f>
        <v>0</v>
      </c>
      <c r="L62">
        <f>B62*(hospitalityq!L62="")</f>
        <v>0</v>
      </c>
      <c r="M62">
        <f>B62*(hospitalityq!M62="")</f>
        <v>0</v>
      </c>
      <c r="N62">
        <f>B62*(hospitalityq!N62="")</f>
        <v>0</v>
      </c>
      <c r="O62">
        <f>B62*(hospitalityq!O62="")</f>
        <v>0</v>
      </c>
      <c r="P62">
        <f>B62*(hospitalityq!P62="")</f>
        <v>0</v>
      </c>
      <c r="Q62">
        <f>B62*(hospitalityq!Q62="")</f>
        <v>0</v>
      </c>
      <c r="R62">
        <f>B62*(hospitalityq!R62="")</f>
        <v>0</v>
      </c>
    </row>
    <row r="63" spans="1:18" x14ac:dyDescent="0.25">
      <c r="A63">
        <f t="shared" si="1"/>
        <v>0</v>
      </c>
      <c r="B63" t="b">
        <f>SUMPRODUCT(LEN(hospitalityq!C63:R63))&gt;0</f>
        <v>0</v>
      </c>
      <c r="C63">
        <f>B63*(hospitalityq!C63="")</f>
        <v>0</v>
      </c>
      <c r="E63">
        <f>B63*(hospitalityq!E63="")</f>
        <v>0</v>
      </c>
      <c r="F63">
        <f>B63*(hospitalityq!F63="")</f>
        <v>0</v>
      </c>
      <c r="G63">
        <f>B63*(hospitalityq!G63="")</f>
        <v>0</v>
      </c>
      <c r="H63">
        <f>B63*(hospitalityq!H63="")</f>
        <v>0</v>
      </c>
      <c r="I63">
        <f>B63*(hospitalityq!I63="")</f>
        <v>0</v>
      </c>
      <c r="J63">
        <f>B63*(hospitalityq!J63="")</f>
        <v>0</v>
      </c>
      <c r="K63">
        <f>B63*(hospitalityq!K63="")</f>
        <v>0</v>
      </c>
      <c r="L63">
        <f>B63*(hospitalityq!L63="")</f>
        <v>0</v>
      </c>
      <c r="M63">
        <f>B63*(hospitalityq!M63="")</f>
        <v>0</v>
      </c>
      <c r="N63">
        <f>B63*(hospitalityq!N63="")</f>
        <v>0</v>
      </c>
      <c r="O63">
        <f>B63*(hospitalityq!O63="")</f>
        <v>0</v>
      </c>
      <c r="P63">
        <f>B63*(hospitalityq!P63="")</f>
        <v>0</v>
      </c>
      <c r="Q63">
        <f>B63*(hospitalityq!Q63="")</f>
        <v>0</v>
      </c>
      <c r="R63">
        <f>B63*(hospitalityq!R63="")</f>
        <v>0</v>
      </c>
    </row>
    <row r="64" spans="1:18" x14ac:dyDescent="0.25">
      <c r="A64">
        <f t="shared" si="1"/>
        <v>0</v>
      </c>
      <c r="B64" t="b">
        <f>SUMPRODUCT(LEN(hospitalityq!C64:R64))&gt;0</f>
        <v>0</v>
      </c>
      <c r="C64">
        <f>B64*(hospitalityq!C64="")</f>
        <v>0</v>
      </c>
      <c r="E64">
        <f>B64*(hospitalityq!E64="")</f>
        <v>0</v>
      </c>
      <c r="F64">
        <f>B64*(hospitalityq!F64="")</f>
        <v>0</v>
      </c>
      <c r="G64">
        <f>B64*(hospitalityq!G64="")</f>
        <v>0</v>
      </c>
      <c r="H64">
        <f>B64*(hospitalityq!H64="")</f>
        <v>0</v>
      </c>
      <c r="I64">
        <f>B64*(hospitalityq!I64="")</f>
        <v>0</v>
      </c>
      <c r="J64">
        <f>B64*(hospitalityq!J64="")</f>
        <v>0</v>
      </c>
      <c r="K64">
        <f>B64*(hospitalityq!K64="")</f>
        <v>0</v>
      </c>
      <c r="L64">
        <f>B64*(hospitalityq!L64="")</f>
        <v>0</v>
      </c>
      <c r="M64">
        <f>B64*(hospitalityq!M64="")</f>
        <v>0</v>
      </c>
      <c r="N64">
        <f>B64*(hospitalityq!N64="")</f>
        <v>0</v>
      </c>
      <c r="O64">
        <f>B64*(hospitalityq!O64="")</f>
        <v>0</v>
      </c>
      <c r="P64">
        <f>B64*(hospitalityq!P64="")</f>
        <v>0</v>
      </c>
      <c r="Q64">
        <f>B64*(hospitalityq!Q64="")</f>
        <v>0</v>
      </c>
      <c r="R64">
        <f>B64*(hospitalityq!R64="")</f>
        <v>0</v>
      </c>
    </row>
    <row r="65" spans="1:18" x14ac:dyDescent="0.25">
      <c r="A65">
        <f t="shared" si="1"/>
        <v>0</v>
      </c>
      <c r="B65" t="b">
        <f>SUMPRODUCT(LEN(hospitalityq!C65:R65))&gt;0</f>
        <v>0</v>
      </c>
      <c r="C65">
        <f>B65*(hospitalityq!C65="")</f>
        <v>0</v>
      </c>
      <c r="E65">
        <f>B65*(hospitalityq!E65="")</f>
        <v>0</v>
      </c>
      <c r="F65">
        <f>B65*(hospitalityq!F65="")</f>
        <v>0</v>
      </c>
      <c r="G65">
        <f>B65*(hospitalityq!G65="")</f>
        <v>0</v>
      </c>
      <c r="H65">
        <f>B65*(hospitalityq!H65="")</f>
        <v>0</v>
      </c>
      <c r="I65">
        <f>B65*(hospitalityq!I65="")</f>
        <v>0</v>
      </c>
      <c r="J65">
        <f>B65*(hospitalityq!J65="")</f>
        <v>0</v>
      </c>
      <c r="K65">
        <f>B65*(hospitalityq!K65="")</f>
        <v>0</v>
      </c>
      <c r="L65">
        <f>B65*(hospitalityq!L65="")</f>
        <v>0</v>
      </c>
      <c r="M65">
        <f>B65*(hospitalityq!M65="")</f>
        <v>0</v>
      </c>
      <c r="N65">
        <f>B65*(hospitalityq!N65="")</f>
        <v>0</v>
      </c>
      <c r="O65">
        <f>B65*(hospitalityq!O65="")</f>
        <v>0</v>
      </c>
      <c r="P65">
        <f>B65*(hospitalityq!P65="")</f>
        <v>0</v>
      </c>
      <c r="Q65">
        <f>B65*(hospitalityq!Q65="")</f>
        <v>0</v>
      </c>
      <c r="R65">
        <f>B65*(hospitalityq!R65="")</f>
        <v>0</v>
      </c>
    </row>
    <row r="66" spans="1:18" x14ac:dyDescent="0.25">
      <c r="A66">
        <f t="shared" si="1"/>
        <v>0</v>
      </c>
      <c r="B66" t="b">
        <f>SUMPRODUCT(LEN(hospitalityq!C66:R66))&gt;0</f>
        <v>0</v>
      </c>
      <c r="C66">
        <f>B66*(hospitalityq!C66="")</f>
        <v>0</v>
      </c>
      <c r="E66">
        <f>B66*(hospitalityq!E66="")</f>
        <v>0</v>
      </c>
      <c r="F66">
        <f>B66*(hospitalityq!F66="")</f>
        <v>0</v>
      </c>
      <c r="G66">
        <f>B66*(hospitalityq!G66="")</f>
        <v>0</v>
      </c>
      <c r="H66">
        <f>B66*(hospitalityq!H66="")</f>
        <v>0</v>
      </c>
      <c r="I66">
        <f>B66*(hospitalityq!I66="")</f>
        <v>0</v>
      </c>
      <c r="J66">
        <f>B66*(hospitalityq!J66="")</f>
        <v>0</v>
      </c>
      <c r="K66">
        <f>B66*(hospitalityq!K66="")</f>
        <v>0</v>
      </c>
      <c r="L66">
        <f>B66*(hospitalityq!L66="")</f>
        <v>0</v>
      </c>
      <c r="M66">
        <f>B66*(hospitalityq!M66="")</f>
        <v>0</v>
      </c>
      <c r="N66">
        <f>B66*(hospitalityq!N66="")</f>
        <v>0</v>
      </c>
      <c r="O66">
        <f>B66*(hospitalityq!O66="")</f>
        <v>0</v>
      </c>
      <c r="P66">
        <f>B66*(hospitalityq!P66="")</f>
        <v>0</v>
      </c>
      <c r="Q66">
        <f>B66*(hospitalityq!Q66="")</f>
        <v>0</v>
      </c>
      <c r="R66">
        <f>B66*(hospitalityq!R66="")</f>
        <v>0</v>
      </c>
    </row>
    <row r="67" spans="1:18" x14ac:dyDescent="0.25">
      <c r="A67">
        <f t="shared" si="1"/>
        <v>0</v>
      </c>
      <c r="B67" t="b">
        <f>SUMPRODUCT(LEN(hospitalityq!C67:R67))&gt;0</f>
        <v>0</v>
      </c>
      <c r="C67">
        <f>B67*(hospitalityq!C67="")</f>
        <v>0</v>
      </c>
      <c r="E67">
        <f>B67*(hospitalityq!E67="")</f>
        <v>0</v>
      </c>
      <c r="F67">
        <f>B67*(hospitalityq!F67="")</f>
        <v>0</v>
      </c>
      <c r="G67">
        <f>B67*(hospitalityq!G67="")</f>
        <v>0</v>
      </c>
      <c r="H67">
        <f>B67*(hospitalityq!H67="")</f>
        <v>0</v>
      </c>
      <c r="I67">
        <f>B67*(hospitalityq!I67="")</f>
        <v>0</v>
      </c>
      <c r="J67">
        <f>B67*(hospitalityq!J67="")</f>
        <v>0</v>
      </c>
      <c r="K67">
        <f>B67*(hospitalityq!K67="")</f>
        <v>0</v>
      </c>
      <c r="L67">
        <f>B67*(hospitalityq!L67="")</f>
        <v>0</v>
      </c>
      <c r="M67">
        <f>B67*(hospitalityq!M67="")</f>
        <v>0</v>
      </c>
      <c r="N67">
        <f>B67*(hospitalityq!N67="")</f>
        <v>0</v>
      </c>
      <c r="O67">
        <f>B67*(hospitalityq!O67="")</f>
        <v>0</v>
      </c>
      <c r="P67">
        <f>B67*(hospitalityq!P67="")</f>
        <v>0</v>
      </c>
      <c r="Q67">
        <f>B67*(hospitalityq!Q67="")</f>
        <v>0</v>
      </c>
      <c r="R67">
        <f>B67*(hospitalityq!R67="")</f>
        <v>0</v>
      </c>
    </row>
    <row r="68" spans="1:18" x14ac:dyDescent="0.25">
      <c r="A68">
        <f t="shared" si="1"/>
        <v>0</v>
      </c>
      <c r="B68" t="b">
        <f>SUMPRODUCT(LEN(hospitalityq!C68:R68))&gt;0</f>
        <v>0</v>
      </c>
      <c r="C68">
        <f>B68*(hospitalityq!C68="")</f>
        <v>0</v>
      </c>
      <c r="E68">
        <f>B68*(hospitalityq!E68="")</f>
        <v>0</v>
      </c>
      <c r="F68">
        <f>B68*(hospitalityq!F68="")</f>
        <v>0</v>
      </c>
      <c r="G68">
        <f>B68*(hospitalityq!G68="")</f>
        <v>0</v>
      </c>
      <c r="H68">
        <f>B68*(hospitalityq!H68="")</f>
        <v>0</v>
      </c>
      <c r="I68">
        <f>B68*(hospitalityq!I68="")</f>
        <v>0</v>
      </c>
      <c r="J68">
        <f>B68*(hospitalityq!J68="")</f>
        <v>0</v>
      </c>
      <c r="K68">
        <f>B68*(hospitalityq!K68="")</f>
        <v>0</v>
      </c>
      <c r="L68">
        <f>B68*(hospitalityq!L68="")</f>
        <v>0</v>
      </c>
      <c r="M68">
        <f>B68*(hospitalityq!M68="")</f>
        <v>0</v>
      </c>
      <c r="N68">
        <f>B68*(hospitalityq!N68="")</f>
        <v>0</v>
      </c>
      <c r="O68">
        <f>B68*(hospitalityq!O68="")</f>
        <v>0</v>
      </c>
      <c r="P68">
        <f>B68*(hospitalityq!P68="")</f>
        <v>0</v>
      </c>
      <c r="Q68">
        <f>B68*(hospitalityq!Q68="")</f>
        <v>0</v>
      </c>
      <c r="R68">
        <f>B68*(hospitalityq!R68="")</f>
        <v>0</v>
      </c>
    </row>
    <row r="69" spans="1:18" x14ac:dyDescent="0.25">
      <c r="A69">
        <f t="shared" si="1"/>
        <v>0</v>
      </c>
      <c r="B69" t="b">
        <f>SUMPRODUCT(LEN(hospitalityq!C69:R69))&gt;0</f>
        <v>0</v>
      </c>
      <c r="C69">
        <f>B69*(hospitalityq!C69="")</f>
        <v>0</v>
      </c>
      <c r="E69">
        <f>B69*(hospitalityq!E69="")</f>
        <v>0</v>
      </c>
      <c r="F69">
        <f>B69*(hospitalityq!F69="")</f>
        <v>0</v>
      </c>
      <c r="G69">
        <f>B69*(hospitalityq!G69="")</f>
        <v>0</v>
      </c>
      <c r="H69">
        <f>B69*(hospitalityq!H69="")</f>
        <v>0</v>
      </c>
      <c r="I69">
        <f>B69*(hospitalityq!I69="")</f>
        <v>0</v>
      </c>
      <c r="J69">
        <f>B69*(hospitalityq!J69="")</f>
        <v>0</v>
      </c>
      <c r="K69">
        <f>B69*(hospitalityq!K69="")</f>
        <v>0</v>
      </c>
      <c r="L69">
        <f>B69*(hospitalityq!L69="")</f>
        <v>0</v>
      </c>
      <c r="M69">
        <f>B69*(hospitalityq!M69="")</f>
        <v>0</v>
      </c>
      <c r="N69">
        <f>B69*(hospitalityq!N69="")</f>
        <v>0</v>
      </c>
      <c r="O69">
        <f>B69*(hospitalityq!O69="")</f>
        <v>0</v>
      </c>
      <c r="P69">
        <f>B69*(hospitalityq!P69="")</f>
        <v>0</v>
      </c>
      <c r="Q69">
        <f>B69*(hospitalityq!Q69="")</f>
        <v>0</v>
      </c>
      <c r="R69">
        <f>B69*(hospitalityq!R69="")</f>
        <v>0</v>
      </c>
    </row>
    <row r="70" spans="1:18" x14ac:dyDescent="0.25">
      <c r="A70">
        <f t="shared" ref="A70:A133" si="2">IFERROR(MATCH(TRUE,INDEX(C70:R70&lt;&gt;0,),)+2,0)</f>
        <v>0</v>
      </c>
      <c r="B70" t="b">
        <f>SUMPRODUCT(LEN(hospitalityq!C70:R70))&gt;0</f>
        <v>0</v>
      </c>
      <c r="C70">
        <f>B70*(hospitalityq!C70="")</f>
        <v>0</v>
      </c>
      <c r="E70">
        <f>B70*(hospitalityq!E70="")</f>
        <v>0</v>
      </c>
      <c r="F70">
        <f>B70*(hospitalityq!F70="")</f>
        <v>0</v>
      </c>
      <c r="G70">
        <f>B70*(hospitalityq!G70="")</f>
        <v>0</v>
      </c>
      <c r="H70">
        <f>B70*(hospitalityq!H70="")</f>
        <v>0</v>
      </c>
      <c r="I70">
        <f>B70*(hospitalityq!I70="")</f>
        <v>0</v>
      </c>
      <c r="J70">
        <f>B70*(hospitalityq!J70="")</f>
        <v>0</v>
      </c>
      <c r="K70">
        <f>B70*(hospitalityq!K70="")</f>
        <v>0</v>
      </c>
      <c r="L70">
        <f>B70*(hospitalityq!L70="")</f>
        <v>0</v>
      </c>
      <c r="M70">
        <f>B70*(hospitalityq!M70="")</f>
        <v>0</v>
      </c>
      <c r="N70">
        <f>B70*(hospitalityq!N70="")</f>
        <v>0</v>
      </c>
      <c r="O70">
        <f>B70*(hospitalityq!O70="")</f>
        <v>0</v>
      </c>
      <c r="P70">
        <f>B70*(hospitalityq!P70="")</f>
        <v>0</v>
      </c>
      <c r="Q70">
        <f>B70*(hospitalityq!Q70="")</f>
        <v>0</v>
      </c>
      <c r="R70">
        <f>B70*(hospitalityq!R70="")</f>
        <v>0</v>
      </c>
    </row>
    <row r="71" spans="1:18" x14ac:dyDescent="0.25">
      <c r="A71">
        <f t="shared" si="2"/>
        <v>0</v>
      </c>
      <c r="B71" t="b">
        <f>SUMPRODUCT(LEN(hospitalityq!C71:R71))&gt;0</f>
        <v>0</v>
      </c>
      <c r="C71">
        <f>B71*(hospitalityq!C71="")</f>
        <v>0</v>
      </c>
      <c r="E71">
        <f>B71*(hospitalityq!E71="")</f>
        <v>0</v>
      </c>
      <c r="F71">
        <f>B71*(hospitalityq!F71="")</f>
        <v>0</v>
      </c>
      <c r="G71">
        <f>B71*(hospitalityq!G71="")</f>
        <v>0</v>
      </c>
      <c r="H71">
        <f>B71*(hospitalityq!H71="")</f>
        <v>0</v>
      </c>
      <c r="I71">
        <f>B71*(hospitalityq!I71="")</f>
        <v>0</v>
      </c>
      <c r="J71">
        <f>B71*(hospitalityq!J71="")</f>
        <v>0</v>
      </c>
      <c r="K71">
        <f>B71*(hospitalityq!K71="")</f>
        <v>0</v>
      </c>
      <c r="L71">
        <f>B71*(hospitalityq!L71="")</f>
        <v>0</v>
      </c>
      <c r="M71">
        <f>B71*(hospitalityq!M71="")</f>
        <v>0</v>
      </c>
      <c r="N71">
        <f>B71*(hospitalityq!N71="")</f>
        <v>0</v>
      </c>
      <c r="O71">
        <f>B71*(hospitalityq!O71="")</f>
        <v>0</v>
      </c>
      <c r="P71">
        <f>B71*(hospitalityq!P71="")</f>
        <v>0</v>
      </c>
      <c r="Q71">
        <f>B71*(hospitalityq!Q71="")</f>
        <v>0</v>
      </c>
      <c r="R71">
        <f>B71*(hospitalityq!R71="")</f>
        <v>0</v>
      </c>
    </row>
    <row r="72" spans="1:18" x14ac:dyDescent="0.25">
      <c r="A72">
        <f t="shared" si="2"/>
        <v>0</v>
      </c>
      <c r="B72" t="b">
        <f>SUMPRODUCT(LEN(hospitalityq!C72:R72))&gt;0</f>
        <v>0</v>
      </c>
      <c r="C72">
        <f>B72*(hospitalityq!C72="")</f>
        <v>0</v>
      </c>
      <c r="E72">
        <f>B72*(hospitalityq!E72="")</f>
        <v>0</v>
      </c>
      <c r="F72">
        <f>B72*(hospitalityq!F72="")</f>
        <v>0</v>
      </c>
      <c r="G72">
        <f>B72*(hospitalityq!G72="")</f>
        <v>0</v>
      </c>
      <c r="H72">
        <f>B72*(hospitalityq!H72="")</f>
        <v>0</v>
      </c>
      <c r="I72">
        <f>B72*(hospitalityq!I72="")</f>
        <v>0</v>
      </c>
      <c r="J72">
        <f>B72*(hospitalityq!J72="")</f>
        <v>0</v>
      </c>
      <c r="K72">
        <f>B72*(hospitalityq!K72="")</f>
        <v>0</v>
      </c>
      <c r="L72">
        <f>B72*(hospitalityq!L72="")</f>
        <v>0</v>
      </c>
      <c r="M72">
        <f>B72*(hospitalityq!M72="")</f>
        <v>0</v>
      </c>
      <c r="N72">
        <f>B72*(hospitalityq!N72="")</f>
        <v>0</v>
      </c>
      <c r="O72">
        <f>B72*(hospitalityq!O72="")</f>
        <v>0</v>
      </c>
      <c r="P72">
        <f>B72*(hospitalityq!P72="")</f>
        <v>0</v>
      </c>
      <c r="Q72">
        <f>B72*(hospitalityq!Q72="")</f>
        <v>0</v>
      </c>
      <c r="R72">
        <f>B72*(hospitalityq!R72="")</f>
        <v>0</v>
      </c>
    </row>
    <row r="73" spans="1:18" x14ac:dyDescent="0.25">
      <c r="A73">
        <f t="shared" si="2"/>
        <v>0</v>
      </c>
      <c r="B73" t="b">
        <f>SUMPRODUCT(LEN(hospitalityq!C73:R73))&gt;0</f>
        <v>0</v>
      </c>
      <c r="C73">
        <f>B73*(hospitalityq!C73="")</f>
        <v>0</v>
      </c>
      <c r="E73">
        <f>B73*(hospitalityq!E73="")</f>
        <v>0</v>
      </c>
      <c r="F73">
        <f>B73*(hospitalityq!F73="")</f>
        <v>0</v>
      </c>
      <c r="G73">
        <f>B73*(hospitalityq!G73="")</f>
        <v>0</v>
      </c>
      <c r="H73">
        <f>B73*(hospitalityq!H73="")</f>
        <v>0</v>
      </c>
      <c r="I73">
        <f>B73*(hospitalityq!I73="")</f>
        <v>0</v>
      </c>
      <c r="J73">
        <f>B73*(hospitalityq!J73="")</f>
        <v>0</v>
      </c>
      <c r="K73">
        <f>B73*(hospitalityq!K73="")</f>
        <v>0</v>
      </c>
      <c r="L73">
        <f>B73*(hospitalityq!L73="")</f>
        <v>0</v>
      </c>
      <c r="M73">
        <f>B73*(hospitalityq!M73="")</f>
        <v>0</v>
      </c>
      <c r="N73">
        <f>B73*(hospitalityq!N73="")</f>
        <v>0</v>
      </c>
      <c r="O73">
        <f>B73*(hospitalityq!O73="")</f>
        <v>0</v>
      </c>
      <c r="P73">
        <f>B73*(hospitalityq!P73="")</f>
        <v>0</v>
      </c>
      <c r="Q73">
        <f>B73*(hospitalityq!Q73="")</f>
        <v>0</v>
      </c>
      <c r="R73">
        <f>B73*(hospitalityq!R73="")</f>
        <v>0</v>
      </c>
    </row>
    <row r="74" spans="1:18" x14ac:dyDescent="0.25">
      <c r="A74">
        <f t="shared" si="2"/>
        <v>0</v>
      </c>
      <c r="B74" t="b">
        <f>SUMPRODUCT(LEN(hospitalityq!C74:R74))&gt;0</f>
        <v>0</v>
      </c>
      <c r="C74">
        <f>B74*(hospitalityq!C74="")</f>
        <v>0</v>
      </c>
      <c r="E74">
        <f>B74*(hospitalityq!E74="")</f>
        <v>0</v>
      </c>
      <c r="F74">
        <f>B74*(hospitalityq!F74="")</f>
        <v>0</v>
      </c>
      <c r="G74">
        <f>B74*(hospitalityq!G74="")</f>
        <v>0</v>
      </c>
      <c r="H74">
        <f>B74*(hospitalityq!H74="")</f>
        <v>0</v>
      </c>
      <c r="I74">
        <f>B74*(hospitalityq!I74="")</f>
        <v>0</v>
      </c>
      <c r="J74">
        <f>B74*(hospitalityq!J74="")</f>
        <v>0</v>
      </c>
      <c r="K74">
        <f>B74*(hospitalityq!K74="")</f>
        <v>0</v>
      </c>
      <c r="L74">
        <f>B74*(hospitalityq!L74="")</f>
        <v>0</v>
      </c>
      <c r="M74">
        <f>B74*(hospitalityq!M74="")</f>
        <v>0</v>
      </c>
      <c r="N74">
        <f>B74*(hospitalityq!N74="")</f>
        <v>0</v>
      </c>
      <c r="O74">
        <f>B74*(hospitalityq!O74="")</f>
        <v>0</v>
      </c>
      <c r="P74">
        <f>B74*(hospitalityq!P74="")</f>
        <v>0</v>
      </c>
      <c r="Q74">
        <f>B74*(hospitalityq!Q74="")</f>
        <v>0</v>
      </c>
      <c r="R74">
        <f>B74*(hospitalityq!R74="")</f>
        <v>0</v>
      </c>
    </row>
    <row r="75" spans="1:18" x14ac:dyDescent="0.25">
      <c r="A75">
        <f t="shared" si="2"/>
        <v>0</v>
      </c>
      <c r="B75" t="b">
        <f>SUMPRODUCT(LEN(hospitalityq!C75:R75))&gt;0</f>
        <v>0</v>
      </c>
      <c r="C75">
        <f>B75*(hospitalityq!C75="")</f>
        <v>0</v>
      </c>
      <c r="E75">
        <f>B75*(hospitalityq!E75="")</f>
        <v>0</v>
      </c>
      <c r="F75">
        <f>B75*(hospitalityq!F75="")</f>
        <v>0</v>
      </c>
      <c r="G75">
        <f>B75*(hospitalityq!G75="")</f>
        <v>0</v>
      </c>
      <c r="H75">
        <f>B75*(hospitalityq!H75="")</f>
        <v>0</v>
      </c>
      <c r="I75">
        <f>B75*(hospitalityq!I75="")</f>
        <v>0</v>
      </c>
      <c r="J75">
        <f>B75*(hospitalityq!J75="")</f>
        <v>0</v>
      </c>
      <c r="K75">
        <f>B75*(hospitalityq!K75="")</f>
        <v>0</v>
      </c>
      <c r="L75">
        <f>B75*(hospitalityq!L75="")</f>
        <v>0</v>
      </c>
      <c r="M75">
        <f>B75*(hospitalityq!M75="")</f>
        <v>0</v>
      </c>
      <c r="N75">
        <f>B75*(hospitalityq!N75="")</f>
        <v>0</v>
      </c>
      <c r="O75">
        <f>B75*(hospitalityq!O75="")</f>
        <v>0</v>
      </c>
      <c r="P75">
        <f>B75*(hospitalityq!P75="")</f>
        <v>0</v>
      </c>
      <c r="Q75">
        <f>B75*(hospitalityq!Q75="")</f>
        <v>0</v>
      </c>
      <c r="R75">
        <f>B75*(hospitalityq!R75="")</f>
        <v>0</v>
      </c>
    </row>
    <row r="76" spans="1:18" x14ac:dyDescent="0.25">
      <c r="A76">
        <f t="shared" si="2"/>
        <v>0</v>
      </c>
      <c r="B76" t="b">
        <f>SUMPRODUCT(LEN(hospitalityq!C76:R76))&gt;0</f>
        <v>0</v>
      </c>
      <c r="C76">
        <f>B76*(hospitalityq!C76="")</f>
        <v>0</v>
      </c>
      <c r="E76">
        <f>B76*(hospitalityq!E76="")</f>
        <v>0</v>
      </c>
      <c r="F76">
        <f>B76*(hospitalityq!F76="")</f>
        <v>0</v>
      </c>
      <c r="G76">
        <f>B76*(hospitalityq!G76="")</f>
        <v>0</v>
      </c>
      <c r="H76">
        <f>B76*(hospitalityq!H76="")</f>
        <v>0</v>
      </c>
      <c r="I76">
        <f>B76*(hospitalityq!I76="")</f>
        <v>0</v>
      </c>
      <c r="J76">
        <f>B76*(hospitalityq!J76="")</f>
        <v>0</v>
      </c>
      <c r="K76">
        <f>B76*(hospitalityq!K76="")</f>
        <v>0</v>
      </c>
      <c r="L76">
        <f>B76*(hospitalityq!L76="")</f>
        <v>0</v>
      </c>
      <c r="M76">
        <f>B76*(hospitalityq!M76="")</f>
        <v>0</v>
      </c>
      <c r="N76">
        <f>B76*(hospitalityq!N76="")</f>
        <v>0</v>
      </c>
      <c r="O76">
        <f>B76*(hospitalityq!O76="")</f>
        <v>0</v>
      </c>
      <c r="P76">
        <f>B76*(hospitalityq!P76="")</f>
        <v>0</v>
      </c>
      <c r="Q76">
        <f>B76*(hospitalityq!Q76="")</f>
        <v>0</v>
      </c>
      <c r="R76">
        <f>B76*(hospitalityq!R76="")</f>
        <v>0</v>
      </c>
    </row>
    <row r="77" spans="1:18" x14ac:dyDescent="0.25">
      <c r="A77">
        <f t="shared" si="2"/>
        <v>0</v>
      </c>
      <c r="B77" t="b">
        <f>SUMPRODUCT(LEN(hospitalityq!C77:R77))&gt;0</f>
        <v>0</v>
      </c>
      <c r="C77">
        <f>B77*(hospitalityq!C77="")</f>
        <v>0</v>
      </c>
      <c r="E77">
        <f>B77*(hospitalityq!E77="")</f>
        <v>0</v>
      </c>
      <c r="F77">
        <f>B77*(hospitalityq!F77="")</f>
        <v>0</v>
      </c>
      <c r="G77">
        <f>B77*(hospitalityq!G77="")</f>
        <v>0</v>
      </c>
      <c r="H77">
        <f>B77*(hospitalityq!H77="")</f>
        <v>0</v>
      </c>
      <c r="I77">
        <f>B77*(hospitalityq!I77="")</f>
        <v>0</v>
      </c>
      <c r="J77">
        <f>B77*(hospitalityq!J77="")</f>
        <v>0</v>
      </c>
      <c r="K77">
        <f>B77*(hospitalityq!K77="")</f>
        <v>0</v>
      </c>
      <c r="L77">
        <f>B77*(hospitalityq!L77="")</f>
        <v>0</v>
      </c>
      <c r="M77">
        <f>B77*(hospitalityq!M77="")</f>
        <v>0</v>
      </c>
      <c r="N77">
        <f>B77*(hospitalityq!N77="")</f>
        <v>0</v>
      </c>
      <c r="O77">
        <f>B77*(hospitalityq!O77="")</f>
        <v>0</v>
      </c>
      <c r="P77">
        <f>B77*(hospitalityq!P77="")</f>
        <v>0</v>
      </c>
      <c r="Q77">
        <f>B77*(hospitalityq!Q77="")</f>
        <v>0</v>
      </c>
      <c r="R77">
        <f>B77*(hospitalityq!R77="")</f>
        <v>0</v>
      </c>
    </row>
    <row r="78" spans="1:18" x14ac:dyDescent="0.25">
      <c r="A78">
        <f t="shared" si="2"/>
        <v>0</v>
      </c>
      <c r="B78" t="b">
        <f>SUMPRODUCT(LEN(hospitalityq!C78:R78))&gt;0</f>
        <v>0</v>
      </c>
      <c r="C78">
        <f>B78*(hospitalityq!C78="")</f>
        <v>0</v>
      </c>
      <c r="E78">
        <f>B78*(hospitalityq!E78="")</f>
        <v>0</v>
      </c>
      <c r="F78">
        <f>B78*(hospitalityq!F78="")</f>
        <v>0</v>
      </c>
      <c r="G78">
        <f>B78*(hospitalityq!G78="")</f>
        <v>0</v>
      </c>
      <c r="H78">
        <f>B78*(hospitalityq!H78="")</f>
        <v>0</v>
      </c>
      <c r="I78">
        <f>B78*(hospitalityq!I78="")</f>
        <v>0</v>
      </c>
      <c r="J78">
        <f>B78*(hospitalityq!J78="")</f>
        <v>0</v>
      </c>
      <c r="K78">
        <f>B78*(hospitalityq!K78="")</f>
        <v>0</v>
      </c>
      <c r="L78">
        <f>B78*(hospitalityq!L78="")</f>
        <v>0</v>
      </c>
      <c r="M78">
        <f>B78*(hospitalityq!M78="")</f>
        <v>0</v>
      </c>
      <c r="N78">
        <f>B78*(hospitalityq!N78="")</f>
        <v>0</v>
      </c>
      <c r="O78">
        <f>B78*(hospitalityq!O78="")</f>
        <v>0</v>
      </c>
      <c r="P78">
        <f>B78*(hospitalityq!P78="")</f>
        <v>0</v>
      </c>
      <c r="Q78">
        <f>B78*(hospitalityq!Q78="")</f>
        <v>0</v>
      </c>
      <c r="R78">
        <f>B78*(hospitalityq!R78="")</f>
        <v>0</v>
      </c>
    </row>
    <row r="79" spans="1:18" x14ac:dyDescent="0.25">
      <c r="A79">
        <f t="shared" si="2"/>
        <v>0</v>
      </c>
      <c r="B79" t="b">
        <f>SUMPRODUCT(LEN(hospitalityq!C79:R79))&gt;0</f>
        <v>0</v>
      </c>
      <c r="C79">
        <f>B79*(hospitalityq!C79="")</f>
        <v>0</v>
      </c>
      <c r="E79">
        <f>B79*(hospitalityq!E79="")</f>
        <v>0</v>
      </c>
      <c r="F79">
        <f>B79*(hospitalityq!F79="")</f>
        <v>0</v>
      </c>
      <c r="G79">
        <f>B79*(hospitalityq!G79="")</f>
        <v>0</v>
      </c>
      <c r="H79">
        <f>B79*(hospitalityq!H79="")</f>
        <v>0</v>
      </c>
      <c r="I79">
        <f>B79*(hospitalityq!I79="")</f>
        <v>0</v>
      </c>
      <c r="J79">
        <f>B79*(hospitalityq!J79="")</f>
        <v>0</v>
      </c>
      <c r="K79">
        <f>B79*(hospitalityq!K79="")</f>
        <v>0</v>
      </c>
      <c r="L79">
        <f>B79*(hospitalityq!L79="")</f>
        <v>0</v>
      </c>
      <c r="M79">
        <f>B79*(hospitalityq!M79="")</f>
        <v>0</v>
      </c>
      <c r="N79">
        <f>B79*(hospitalityq!N79="")</f>
        <v>0</v>
      </c>
      <c r="O79">
        <f>B79*(hospitalityq!O79="")</f>
        <v>0</v>
      </c>
      <c r="P79">
        <f>B79*(hospitalityq!P79="")</f>
        <v>0</v>
      </c>
      <c r="Q79">
        <f>B79*(hospitalityq!Q79="")</f>
        <v>0</v>
      </c>
      <c r="R79">
        <f>B79*(hospitalityq!R79="")</f>
        <v>0</v>
      </c>
    </row>
    <row r="80" spans="1:18" x14ac:dyDescent="0.25">
      <c r="A80">
        <f t="shared" si="2"/>
        <v>0</v>
      </c>
      <c r="B80" t="b">
        <f>SUMPRODUCT(LEN(hospitalityq!C80:R80))&gt;0</f>
        <v>0</v>
      </c>
      <c r="C80">
        <f>B80*(hospitalityq!C80="")</f>
        <v>0</v>
      </c>
      <c r="E80">
        <f>B80*(hospitalityq!E80="")</f>
        <v>0</v>
      </c>
      <c r="F80">
        <f>B80*(hospitalityq!F80="")</f>
        <v>0</v>
      </c>
      <c r="G80">
        <f>B80*(hospitalityq!G80="")</f>
        <v>0</v>
      </c>
      <c r="H80">
        <f>B80*(hospitalityq!H80="")</f>
        <v>0</v>
      </c>
      <c r="I80">
        <f>B80*(hospitalityq!I80="")</f>
        <v>0</v>
      </c>
      <c r="J80">
        <f>B80*(hospitalityq!J80="")</f>
        <v>0</v>
      </c>
      <c r="K80">
        <f>B80*(hospitalityq!K80="")</f>
        <v>0</v>
      </c>
      <c r="L80">
        <f>B80*(hospitalityq!L80="")</f>
        <v>0</v>
      </c>
      <c r="M80">
        <f>B80*(hospitalityq!M80="")</f>
        <v>0</v>
      </c>
      <c r="N80">
        <f>B80*(hospitalityq!N80="")</f>
        <v>0</v>
      </c>
      <c r="O80">
        <f>B80*(hospitalityq!O80="")</f>
        <v>0</v>
      </c>
      <c r="P80">
        <f>B80*(hospitalityq!P80="")</f>
        <v>0</v>
      </c>
      <c r="Q80">
        <f>B80*(hospitalityq!Q80="")</f>
        <v>0</v>
      </c>
      <c r="R80">
        <f>B80*(hospitalityq!R80="")</f>
        <v>0</v>
      </c>
    </row>
    <row r="81" spans="1:18" x14ac:dyDescent="0.25">
      <c r="A81">
        <f t="shared" si="2"/>
        <v>0</v>
      </c>
      <c r="B81" t="b">
        <f>SUMPRODUCT(LEN(hospitalityq!C81:R81))&gt;0</f>
        <v>0</v>
      </c>
      <c r="C81">
        <f>B81*(hospitalityq!C81="")</f>
        <v>0</v>
      </c>
      <c r="E81">
        <f>B81*(hospitalityq!E81="")</f>
        <v>0</v>
      </c>
      <c r="F81">
        <f>B81*(hospitalityq!F81="")</f>
        <v>0</v>
      </c>
      <c r="G81">
        <f>B81*(hospitalityq!G81="")</f>
        <v>0</v>
      </c>
      <c r="H81">
        <f>B81*(hospitalityq!H81="")</f>
        <v>0</v>
      </c>
      <c r="I81">
        <f>B81*(hospitalityq!I81="")</f>
        <v>0</v>
      </c>
      <c r="J81">
        <f>B81*(hospitalityq!J81="")</f>
        <v>0</v>
      </c>
      <c r="K81">
        <f>B81*(hospitalityq!K81="")</f>
        <v>0</v>
      </c>
      <c r="L81">
        <f>B81*(hospitalityq!L81="")</f>
        <v>0</v>
      </c>
      <c r="M81">
        <f>B81*(hospitalityq!M81="")</f>
        <v>0</v>
      </c>
      <c r="N81">
        <f>B81*(hospitalityq!N81="")</f>
        <v>0</v>
      </c>
      <c r="O81">
        <f>B81*(hospitalityq!O81="")</f>
        <v>0</v>
      </c>
      <c r="P81">
        <f>B81*(hospitalityq!P81="")</f>
        <v>0</v>
      </c>
      <c r="Q81">
        <f>B81*(hospitalityq!Q81="")</f>
        <v>0</v>
      </c>
      <c r="R81">
        <f>B81*(hospitalityq!R81="")</f>
        <v>0</v>
      </c>
    </row>
    <row r="82" spans="1:18" x14ac:dyDescent="0.25">
      <c r="A82">
        <f t="shared" si="2"/>
        <v>0</v>
      </c>
      <c r="B82" t="b">
        <f>SUMPRODUCT(LEN(hospitalityq!C82:R82))&gt;0</f>
        <v>0</v>
      </c>
      <c r="C82">
        <f>B82*(hospitalityq!C82="")</f>
        <v>0</v>
      </c>
      <c r="E82">
        <f>B82*(hospitalityq!E82="")</f>
        <v>0</v>
      </c>
      <c r="F82">
        <f>B82*(hospitalityq!F82="")</f>
        <v>0</v>
      </c>
      <c r="G82">
        <f>B82*(hospitalityq!G82="")</f>
        <v>0</v>
      </c>
      <c r="H82">
        <f>B82*(hospitalityq!H82="")</f>
        <v>0</v>
      </c>
      <c r="I82">
        <f>B82*(hospitalityq!I82="")</f>
        <v>0</v>
      </c>
      <c r="J82">
        <f>B82*(hospitalityq!J82="")</f>
        <v>0</v>
      </c>
      <c r="K82">
        <f>B82*(hospitalityq!K82="")</f>
        <v>0</v>
      </c>
      <c r="L82">
        <f>B82*(hospitalityq!L82="")</f>
        <v>0</v>
      </c>
      <c r="M82">
        <f>B82*(hospitalityq!M82="")</f>
        <v>0</v>
      </c>
      <c r="N82">
        <f>B82*(hospitalityq!N82="")</f>
        <v>0</v>
      </c>
      <c r="O82">
        <f>B82*(hospitalityq!O82="")</f>
        <v>0</v>
      </c>
      <c r="P82">
        <f>B82*(hospitalityq!P82="")</f>
        <v>0</v>
      </c>
      <c r="Q82">
        <f>B82*(hospitalityq!Q82="")</f>
        <v>0</v>
      </c>
      <c r="R82">
        <f>B82*(hospitalityq!R82="")</f>
        <v>0</v>
      </c>
    </row>
    <row r="83" spans="1:18" x14ac:dyDescent="0.25">
      <c r="A83">
        <f t="shared" si="2"/>
        <v>0</v>
      </c>
      <c r="B83" t="b">
        <f>SUMPRODUCT(LEN(hospitalityq!C83:R83))&gt;0</f>
        <v>0</v>
      </c>
      <c r="C83">
        <f>B83*(hospitalityq!C83="")</f>
        <v>0</v>
      </c>
      <c r="E83">
        <f>B83*(hospitalityq!E83="")</f>
        <v>0</v>
      </c>
      <c r="F83">
        <f>B83*(hospitalityq!F83="")</f>
        <v>0</v>
      </c>
      <c r="G83">
        <f>B83*(hospitalityq!G83="")</f>
        <v>0</v>
      </c>
      <c r="H83">
        <f>B83*(hospitalityq!H83="")</f>
        <v>0</v>
      </c>
      <c r="I83">
        <f>B83*(hospitalityq!I83="")</f>
        <v>0</v>
      </c>
      <c r="J83">
        <f>B83*(hospitalityq!J83="")</f>
        <v>0</v>
      </c>
      <c r="K83">
        <f>B83*(hospitalityq!K83="")</f>
        <v>0</v>
      </c>
      <c r="L83">
        <f>B83*(hospitalityq!L83="")</f>
        <v>0</v>
      </c>
      <c r="M83">
        <f>B83*(hospitalityq!M83="")</f>
        <v>0</v>
      </c>
      <c r="N83">
        <f>B83*(hospitalityq!N83="")</f>
        <v>0</v>
      </c>
      <c r="O83">
        <f>B83*(hospitalityq!O83="")</f>
        <v>0</v>
      </c>
      <c r="P83">
        <f>B83*(hospitalityq!P83="")</f>
        <v>0</v>
      </c>
      <c r="Q83">
        <f>B83*(hospitalityq!Q83="")</f>
        <v>0</v>
      </c>
      <c r="R83">
        <f>B83*(hospitalityq!R83="")</f>
        <v>0</v>
      </c>
    </row>
    <row r="84" spans="1:18" x14ac:dyDescent="0.25">
      <c r="A84">
        <f t="shared" si="2"/>
        <v>0</v>
      </c>
      <c r="B84" t="b">
        <f>SUMPRODUCT(LEN(hospitalityq!C84:R84))&gt;0</f>
        <v>0</v>
      </c>
      <c r="C84">
        <f>B84*(hospitalityq!C84="")</f>
        <v>0</v>
      </c>
      <c r="E84">
        <f>B84*(hospitalityq!E84="")</f>
        <v>0</v>
      </c>
      <c r="F84">
        <f>B84*(hospitalityq!F84="")</f>
        <v>0</v>
      </c>
      <c r="G84">
        <f>B84*(hospitalityq!G84="")</f>
        <v>0</v>
      </c>
      <c r="H84">
        <f>B84*(hospitalityq!H84="")</f>
        <v>0</v>
      </c>
      <c r="I84">
        <f>B84*(hospitalityq!I84="")</f>
        <v>0</v>
      </c>
      <c r="J84">
        <f>B84*(hospitalityq!J84="")</f>
        <v>0</v>
      </c>
      <c r="K84">
        <f>B84*(hospitalityq!K84="")</f>
        <v>0</v>
      </c>
      <c r="L84">
        <f>B84*(hospitalityq!L84="")</f>
        <v>0</v>
      </c>
      <c r="M84">
        <f>B84*(hospitalityq!M84="")</f>
        <v>0</v>
      </c>
      <c r="N84">
        <f>B84*(hospitalityq!N84="")</f>
        <v>0</v>
      </c>
      <c r="O84">
        <f>B84*(hospitalityq!O84="")</f>
        <v>0</v>
      </c>
      <c r="P84">
        <f>B84*(hospitalityq!P84="")</f>
        <v>0</v>
      </c>
      <c r="Q84">
        <f>B84*(hospitalityq!Q84="")</f>
        <v>0</v>
      </c>
      <c r="R84">
        <f>B84*(hospitalityq!R84="")</f>
        <v>0</v>
      </c>
    </row>
    <row r="85" spans="1:18" x14ac:dyDescent="0.25">
      <c r="A85">
        <f t="shared" si="2"/>
        <v>0</v>
      </c>
      <c r="B85" t="b">
        <f>SUMPRODUCT(LEN(hospitalityq!C85:R85))&gt;0</f>
        <v>0</v>
      </c>
      <c r="C85">
        <f>B85*(hospitalityq!C85="")</f>
        <v>0</v>
      </c>
      <c r="E85">
        <f>B85*(hospitalityq!E85="")</f>
        <v>0</v>
      </c>
      <c r="F85">
        <f>B85*(hospitalityq!F85="")</f>
        <v>0</v>
      </c>
      <c r="G85">
        <f>B85*(hospitalityq!G85="")</f>
        <v>0</v>
      </c>
      <c r="H85">
        <f>B85*(hospitalityq!H85="")</f>
        <v>0</v>
      </c>
      <c r="I85">
        <f>B85*(hospitalityq!I85="")</f>
        <v>0</v>
      </c>
      <c r="J85">
        <f>B85*(hospitalityq!J85="")</f>
        <v>0</v>
      </c>
      <c r="K85">
        <f>B85*(hospitalityq!K85="")</f>
        <v>0</v>
      </c>
      <c r="L85">
        <f>B85*(hospitalityq!L85="")</f>
        <v>0</v>
      </c>
      <c r="M85">
        <f>B85*(hospitalityq!M85="")</f>
        <v>0</v>
      </c>
      <c r="N85">
        <f>B85*(hospitalityq!N85="")</f>
        <v>0</v>
      </c>
      <c r="O85">
        <f>B85*(hospitalityq!O85="")</f>
        <v>0</v>
      </c>
      <c r="P85">
        <f>B85*(hospitalityq!P85="")</f>
        <v>0</v>
      </c>
      <c r="Q85">
        <f>B85*(hospitalityq!Q85="")</f>
        <v>0</v>
      </c>
      <c r="R85">
        <f>B85*(hospitalityq!R85="")</f>
        <v>0</v>
      </c>
    </row>
    <row r="86" spans="1:18" x14ac:dyDescent="0.25">
      <c r="A86">
        <f t="shared" si="2"/>
        <v>0</v>
      </c>
      <c r="B86" t="b">
        <f>SUMPRODUCT(LEN(hospitalityq!C86:R86))&gt;0</f>
        <v>0</v>
      </c>
      <c r="C86">
        <f>B86*(hospitalityq!C86="")</f>
        <v>0</v>
      </c>
      <c r="E86">
        <f>B86*(hospitalityq!E86="")</f>
        <v>0</v>
      </c>
      <c r="F86">
        <f>B86*(hospitalityq!F86="")</f>
        <v>0</v>
      </c>
      <c r="G86">
        <f>B86*(hospitalityq!G86="")</f>
        <v>0</v>
      </c>
      <c r="H86">
        <f>B86*(hospitalityq!H86="")</f>
        <v>0</v>
      </c>
      <c r="I86">
        <f>B86*(hospitalityq!I86="")</f>
        <v>0</v>
      </c>
      <c r="J86">
        <f>B86*(hospitalityq!J86="")</f>
        <v>0</v>
      </c>
      <c r="K86">
        <f>B86*(hospitalityq!K86="")</f>
        <v>0</v>
      </c>
      <c r="L86">
        <f>B86*(hospitalityq!L86="")</f>
        <v>0</v>
      </c>
      <c r="M86">
        <f>B86*(hospitalityq!M86="")</f>
        <v>0</v>
      </c>
      <c r="N86">
        <f>B86*(hospitalityq!N86="")</f>
        <v>0</v>
      </c>
      <c r="O86">
        <f>B86*(hospitalityq!O86="")</f>
        <v>0</v>
      </c>
      <c r="P86">
        <f>B86*(hospitalityq!P86="")</f>
        <v>0</v>
      </c>
      <c r="Q86">
        <f>B86*(hospitalityq!Q86="")</f>
        <v>0</v>
      </c>
      <c r="R86">
        <f>B86*(hospitalityq!R86="")</f>
        <v>0</v>
      </c>
    </row>
    <row r="87" spans="1:18" x14ac:dyDescent="0.25">
      <c r="A87">
        <f t="shared" si="2"/>
        <v>0</v>
      </c>
      <c r="B87" t="b">
        <f>SUMPRODUCT(LEN(hospitalityq!C87:R87))&gt;0</f>
        <v>0</v>
      </c>
      <c r="C87">
        <f>B87*(hospitalityq!C87="")</f>
        <v>0</v>
      </c>
      <c r="E87">
        <f>B87*(hospitalityq!E87="")</f>
        <v>0</v>
      </c>
      <c r="F87">
        <f>B87*(hospitalityq!F87="")</f>
        <v>0</v>
      </c>
      <c r="G87">
        <f>B87*(hospitalityq!G87="")</f>
        <v>0</v>
      </c>
      <c r="H87">
        <f>B87*(hospitalityq!H87="")</f>
        <v>0</v>
      </c>
      <c r="I87">
        <f>B87*(hospitalityq!I87="")</f>
        <v>0</v>
      </c>
      <c r="J87">
        <f>B87*(hospitalityq!J87="")</f>
        <v>0</v>
      </c>
      <c r="K87">
        <f>B87*(hospitalityq!K87="")</f>
        <v>0</v>
      </c>
      <c r="L87">
        <f>B87*(hospitalityq!L87="")</f>
        <v>0</v>
      </c>
      <c r="M87">
        <f>B87*(hospitalityq!M87="")</f>
        <v>0</v>
      </c>
      <c r="N87">
        <f>B87*(hospitalityq!N87="")</f>
        <v>0</v>
      </c>
      <c r="O87">
        <f>B87*(hospitalityq!O87="")</f>
        <v>0</v>
      </c>
      <c r="P87">
        <f>B87*(hospitalityq!P87="")</f>
        <v>0</v>
      </c>
      <c r="Q87">
        <f>B87*(hospitalityq!Q87="")</f>
        <v>0</v>
      </c>
      <c r="R87">
        <f>B87*(hospitalityq!R87="")</f>
        <v>0</v>
      </c>
    </row>
    <row r="88" spans="1:18" x14ac:dyDescent="0.25">
      <c r="A88">
        <f t="shared" si="2"/>
        <v>0</v>
      </c>
      <c r="B88" t="b">
        <f>SUMPRODUCT(LEN(hospitalityq!C88:R88))&gt;0</f>
        <v>0</v>
      </c>
      <c r="C88">
        <f>B88*(hospitalityq!C88="")</f>
        <v>0</v>
      </c>
      <c r="E88">
        <f>B88*(hospitalityq!E88="")</f>
        <v>0</v>
      </c>
      <c r="F88">
        <f>B88*(hospitalityq!F88="")</f>
        <v>0</v>
      </c>
      <c r="G88">
        <f>B88*(hospitalityq!G88="")</f>
        <v>0</v>
      </c>
      <c r="H88">
        <f>B88*(hospitalityq!H88="")</f>
        <v>0</v>
      </c>
      <c r="I88">
        <f>B88*(hospitalityq!I88="")</f>
        <v>0</v>
      </c>
      <c r="J88">
        <f>B88*(hospitalityq!J88="")</f>
        <v>0</v>
      </c>
      <c r="K88">
        <f>B88*(hospitalityq!K88="")</f>
        <v>0</v>
      </c>
      <c r="L88">
        <f>B88*(hospitalityq!L88="")</f>
        <v>0</v>
      </c>
      <c r="M88">
        <f>B88*(hospitalityq!M88="")</f>
        <v>0</v>
      </c>
      <c r="N88">
        <f>B88*(hospitalityq!N88="")</f>
        <v>0</v>
      </c>
      <c r="O88">
        <f>B88*(hospitalityq!O88="")</f>
        <v>0</v>
      </c>
      <c r="P88">
        <f>B88*(hospitalityq!P88="")</f>
        <v>0</v>
      </c>
      <c r="Q88">
        <f>B88*(hospitalityq!Q88="")</f>
        <v>0</v>
      </c>
      <c r="R88">
        <f>B88*(hospitalityq!R88="")</f>
        <v>0</v>
      </c>
    </row>
    <row r="89" spans="1:18" x14ac:dyDescent="0.25">
      <c r="A89">
        <f t="shared" si="2"/>
        <v>0</v>
      </c>
      <c r="B89" t="b">
        <f>SUMPRODUCT(LEN(hospitalityq!C89:R89))&gt;0</f>
        <v>0</v>
      </c>
      <c r="C89">
        <f>B89*(hospitalityq!C89="")</f>
        <v>0</v>
      </c>
      <c r="E89">
        <f>B89*(hospitalityq!E89="")</f>
        <v>0</v>
      </c>
      <c r="F89">
        <f>B89*(hospitalityq!F89="")</f>
        <v>0</v>
      </c>
      <c r="G89">
        <f>B89*(hospitalityq!G89="")</f>
        <v>0</v>
      </c>
      <c r="H89">
        <f>B89*(hospitalityq!H89="")</f>
        <v>0</v>
      </c>
      <c r="I89">
        <f>B89*(hospitalityq!I89="")</f>
        <v>0</v>
      </c>
      <c r="J89">
        <f>B89*(hospitalityq!J89="")</f>
        <v>0</v>
      </c>
      <c r="K89">
        <f>B89*(hospitalityq!K89="")</f>
        <v>0</v>
      </c>
      <c r="L89">
        <f>B89*(hospitalityq!L89="")</f>
        <v>0</v>
      </c>
      <c r="M89">
        <f>B89*(hospitalityq!M89="")</f>
        <v>0</v>
      </c>
      <c r="N89">
        <f>B89*(hospitalityq!N89="")</f>
        <v>0</v>
      </c>
      <c r="O89">
        <f>B89*(hospitalityq!O89="")</f>
        <v>0</v>
      </c>
      <c r="P89">
        <f>B89*(hospitalityq!P89="")</f>
        <v>0</v>
      </c>
      <c r="Q89">
        <f>B89*(hospitalityq!Q89="")</f>
        <v>0</v>
      </c>
      <c r="R89">
        <f>B89*(hospitalityq!R89="")</f>
        <v>0</v>
      </c>
    </row>
    <row r="90" spans="1:18" x14ac:dyDescent="0.25">
      <c r="A90">
        <f t="shared" si="2"/>
        <v>0</v>
      </c>
      <c r="B90" t="b">
        <f>SUMPRODUCT(LEN(hospitalityq!C90:R90))&gt;0</f>
        <v>0</v>
      </c>
      <c r="C90">
        <f>B90*(hospitalityq!C90="")</f>
        <v>0</v>
      </c>
      <c r="E90">
        <f>B90*(hospitalityq!E90="")</f>
        <v>0</v>
      </c>
      <c r="F90">
        <f>B90*(hospitalityq!F90="")</f>
        <v>0</v>
      </c>
      <c r="G90">
        <f>B90*(hospitalityq!G90="")</f>
        <v>0</v>
      </c>
      <c r="H90">
        <f>B90*(hospitalityq!H90="")</f>
        <v>0</v>
      </c>
      <c r="I90">
        <f>B90*(hospitalityq!I90="")</f>
        <v>0</v>
      </c>
      <c r="J90">
        <f>B90*(hospitalityq!J90="")</f>
        <v>0</v>
      </c>
      <c r="K90">
        <f>B90*(hospitalityq!K90="")</f>
        <v>0</v>
      </c>
      <c r="L90">
        <f>B90*(hospitalityq!L90="")</f>
        <v>0</v>
      </c>
      <c r="M90">
        <f>B90*(hospitalityq!M90="")</f>
        <v>0</v>
      </c>
      <c r="N90">
        <f>B90*(hospitalityq!N90="")</f>
        <v>0</v>
      </c>
      <c r="O90">
        <f>B90*(hospitalityq!O90="")</f>
        <v>0</v>
      </c>
      <c r="P90">
        <f>B90*(hospitalityq!P90="")</f>
        <v>0</v>
      </c>
      <c r="Q90">
        <f>B90*(hospitalityq!Q90="")</f>
        <v>0</v>
      </c>
      <c r="R90">
        <f>B90*(hospitalityq!R90="")</f>
        <v>0</v>
      </c>
    </row>
    <row r="91" spans="1:18" x14ac:dyDescent="0.25">
      <c r="A91">
        <f t="shared" si="2"/>
        <v>0</v>
      </c>
      <c r="B91" t="b">
        <f>SUMPRODUCT(LEN(hospitalityq!C91:R91))&gt;0</f>
        <v>0</v>
      </c>
      <c r="C91">
        <f>B91*(hospitalityq!C91="")</f>
        <v>0</v>
      </c>
      <c r="E91">
        <f>B91*(hospitalityq!E91="")</f>
        <v>0</v>
      </c>
      <c r="F91">
        <f>B91*(hospitalityq!F91="")</f>
        <v>0</v>
      </c>
      <c r="G91">
        <f>B91*(hospitalityq!G91="")</f>
        <v>0</v>
      </c>
      <c r="H91">
        <f>B91*(hospitalityq!H91="")</f>
        <v>0</v>
      </c>
      <c r="I91">
        <f>B91*(hospitalityq!I91="")</f>
        <v>0</v>
      </c>
      <c r="J91">
        <f>B91*(hospitalityq!J91="")</f>
        <v>0</v>
      </c>
      <c r="K91">
        <f>B91*(hospitalityq!K91="")</f>
        <v>0</v>
      </c>
      <c r="L91">
        <f>B91*(hospitalityq!L91="")</f>
        <v>0</v>
      </c>
      <c r="M91">
        <f>B91*(hospitalityq!M91="")</f>
        <v>0</v>
      </c>
      <c r="N91">
        <f>B91*(hospitalityq!N91="")</f>
        <v>0</v>
      </c>
      <c r="O91">
        <f>B91*(hospitalityq!O91="")</f>
        <v>0</v>
      </c>
      <c r="P91">
        <f>B91*(hospitalityq!P91="")</f>
        <v>0</v>
      </c>
      <c r="Q91">
        <f>B91*(hospitalityq!Q91="")</f>
        <v>0</v>
      </c>
      <c r="R91">
        <f>B91*(hospitalityq!R91="")</f>
        <v>0</v>
      </c>
    </row>
    <row r="92" spans="1:18" x14ac:dyDescent="0.25">
      <c r="A92">
        <f t="shared" si="2"/>
        <v>0</v>
      </c>
      <c r="B92" t="b">
        <f>SUMPRODUCT(LEN(hospitalityq!C92:R92))&gt;0</f>
        <v>0</v>
      </c>
      <c r="C92">
        <f>B92*(hospitalityq!C92="")</f>
        <v>0</v>
      </c>
      <c r="E92">
        <f>B92*(hospitalityq!E92="")</f>
        <v>0</v>
      </c>
      <c r="F92">
        <f>B92*(hospitalityq!F92="")</f>
        <v>0</v>
      </c>
      <c r="G92">
        <f>B92*(hospitalityq!G92="")</f>
        <v>0</v>
      </c>
      <c r="H92">
        <f>B92*(hospitalityq!H92="")</f>
        <v>0</v>
      </c>
      <c r="I92">
        <f>B92*(hospitalityq!I92="")</f>
        <v>0</v>
      </c>
      <c r="J92">
        <f>B92*(hospitalityq!J92="")</f>
        <v>0</v>
      </c>
      <c r="K92">
        <f>B92*(hospitalityq!K92="")</f>
        <v>0</v>
      </c>
      <c r="L92">
        <f>B92*(hospitalityq!L92="")</f>
        <v>0</v>
      </c>
      <c r="M92">
        <f>B92*(hospitalityq!M92="")</f>
        <v>0</v>
      </c>
      <c r="N92">
        <f>B92*(hospitalityq!N92="")</f>
        <v>0</v>
      </c>
      <c r="O92">
        <f>B92*(hospitalityq!O92="")</f>
        <v>0</v>
      </c>
      <c r="P92">
        <f>B92*(hospitalityq!P92="")</f>
        <v>0</v>
      </c>
      <c r="Q92">
        <f>B92*(hospitalityq!Q92="")</f>
        <v>0</v>
      </c>
      <c r="R92">
        <f>B92*(hospitalityq!R92="")</f>
        <v>0</v>
      </c>
    </row>
    <row r="93" spans="1:18" x14ac:dyDescent="0.25">
      <c r="A93">
        <f t="shared" si="2"/>
        <v>0</v>
      </c>
      <c r="B93" t="b">
        <f>SUMPRODUCT(LEN(hospitalityq!C93:R93))&gt;0</f>
        <v>0</v>
      </c>
      <c r="C93">
        <f>B93*(hospitalityq!C93="")</f>
        <v>0</v>
      </c>
      <c r="E93">
        <f>B93*(hospitalityq!E93="")</f>
        <v>0</v>
      </c>
      <c r="F93">
        <f>B93*(hospitalityq!F93="")</f>
        <v>0</v>
      </c>
      <c r="G93">
        <f>B93*(hospitalityq!G93="")</f>
        <v>0</v>
      </c>
      <c r="H93">
        <f>B93*(hospitalityq!H93="")</f>
        <v>0</v>
      </c>
      <c r="I93">
        <f>B93*(hospitalityq!I93="")</f>
        <v>0</v>
      </c>
      <c r="J93">
        <f>B93*(hospitalityq!J93="")</f>
        <v>0</v>
      </c>
      <c r="K93">
        <f>B93*(hospitalityq!K93="")</f>
        <v>0</v>
      </c>
      <c r="L93">
        <f>B93*(hospitalityq!L93="")</f>
        <v>0</v>
      </c>
      <c r="M93">
        <f>B93*(hospitalityq!M93="")</f>
        <v>0</v>
      </c>
      <c r="N93">
        <f>B93*(hospitalityq!N93="")</f>
        <v>0</v>
      </c>
      <c r="O93">
        <f>B93*(hospitalityq!O93="")</f>
        <v>0</v>
      </c>
      <c r="P93">
        <f>B93*(hospitalityq!P93="")</f>
        <v>0</v>
      </c>
      <c r="Q93">
        <f>B93*(hospitalityq!Q93="")</f>
        <v>0</v>
      </c>
      <c r="R93">
        <f>B93*(hospitalityq!R93="")</f>
        <v>0</v>
      </c>
    </row>
    <row r="94" spans="1:18" x14ac:dyDescent="0.25">
      <c r="A94">
        <f t="shared" si="2"/>
        <v>0</v>
      </c>
      <c r="B94" t="b">
        <f>SUMPRODUCT(LEN(hospitalityq!C94:R94))&gt;0</f>
        <v>0</v>
      </c>
      <c r="C94">
        <f>B94*(hospitalityq!C94="")</f>
        <v>0</v>
      </c>
      <c r="E94">
        <f>B94*(hospitalityq!E94="")</f>
        <v>0</v>
      </c>
      <c r="F94">
        <f>B94*(hospitalityq!F94="")</f>
        <v>0</v>
      </c>
      <c r="G94">
        <f>B94*(hospitalityq!G94="")</f>
        <v>0</v>
      </c>
      <c r="H94">
        <f>B94*(hospitalityq!H94="")</f>
        <v>0</v>
      </c>
      <c r="I94">
        <f>B94*(hospitalityq!I94="")</f>
        <v>0</v>
      </c>
      <c r="J94">
        <f>B94*(hospitalityq!J94="")</f>
        <v>0</v>
      </c>
      <c r="K94">
        <f>B94*(hospitalityq!K94="")</f>
        <v>0</v>
      </c>
      <c r="L94">
        <f>B94*(hospitalityq!L94="")</f>
        <v>0</v>
      </c>
      <c r="M94">
        <f>B94*(hospitalityq!M94="")</f>
        <v>0</v>
      </c>
      <c r="N94">
        <f>B94*(hospitalityq!N94="")</f>
        <v>0</v>
      </c>
      <c r="O94">
        <f>B94*(hospitalityq!O94="")</f>
        <v>0</v>
      </c>
      <c r="P94">
        <f>B94*(hospitalityq!P94="")</f>
        <v>0</v>
      </c>
      <c r="Q94">
        <f>B94*(hospitalityq!Q94="")</f>
        <v>0</v>
      </c>
      <c r="R94">
        <f>B94*(hospitalityq!R94="")</f>
        <v>0</v>
      </c>
    </row>
    <row r="95" spans="1:18" x14ac:dyDescent="0.25">
      <c r="A95">
        <f t="shared" si="2"/>
        <v>0</v>
      </c>
      <c r="B95" t="b">
        <f>SUMPRODUCT(LEN(hospitalityq!C95:R95))&gt;0</f>
        <v>0</v>
      </c>
      <c r="C95">
        <f>B95*(hospitalityq!C95="")</f>
        <v>0</v>
      </c>
      <c r="E95">
        <f>B95*(hospitalityq!E95="")</f>
        <v>0</v>
      </c>
      <c r="F95">
        <f>B95*(hospitalityq!F95="")</f>
        <v>0</v>
      </c>
      <c r="G95">
        <f>B95*(hospitalityq!G95="")</f>
        <v>0</v>
      </c>
      <c r="H95">
        <f>B95*(hospitalityq!H95="")</f>
        <v>0</v>
      </c>
      <c r="I95">
        <f>B95*(hospitalityq!I95="")</f>
        <v>0</v>
      </c>
      <c r="J95">
        <f>B95*(hospitalityq!J95="")</f>
        <v>0</v>
      </c>
      <c r="K95">
        <f>B95*(hospitalityq!K95="")</f>
        <v>0</v>
      </c>
      <c r="L95">
        <f>B95*(hospitalityq!L95="")</f>
        <v>0</v>
      </c>
      <c r="M95">
        <f>B95*(hospitalityq!M95="")</f>
        <v>0</v>
      </c>
      <c r="N95">
        <f>B95*(hospitalityq!N95="")</f>
        <v>0</v>
      </c>
      <c r="O95">
        <f>B95*(hospitalityq!O95="")</f>
        <v>0</v>
      </c>
      <c r="P95">
        <f>B95*(hospitalityq!P95="")</f>
        <v>0</v>
      </c>
      <c r="Q95">
        <f>B95*(hospitalityq!Q95="")</f>
        <v>0</v>
      </c>
      <c r="R95">
        <f>B95*(hospitalityq!R95="")</f>
        <v>0</v>
      </c>
    </row>
    <row r="96" spans="1:18" x14ac:dyDescent="0.25">
      <c r="A96">
        <f t="shared" si="2"/>
        <v>0</v>
      </c>
      <c r="B96" t="b">
        <f>SUMPRODUCT(LEN(hospitalityq!C96:R96))&gt;0</f>
        <v>0</v>
      </c>
      <c r="C96">
        <f>B96*(hospitalityq!C96="")</f>
        <v>0</v>
      </c>
      <c r="E96">
        <f>B96*(hospitalityq!E96="")</f>
        <v>0</v>
      </c>
      <c r="F96">
        <f>B96*(hospitalityq!F96="")</f>
        <v>0</v>
      </c>
      <c r="G96">
        <f>B96*(hospitalityq!G96="")</f>
        <v>0</v>
      </c>
      <c r="H96">
        <f>B96*(hospitalityq!H96="")</f>
        <v>0</v>
      </c>
      <c r="I96">
        <f>B96*(hospitalityq!I96="")</f>
        <v>0</v>
      </c>
      <c r="J96">
        <f>B96*(hospitalityq!J96="")</f>
        <v>0</v>
      </c>
      <c r="K96">
        <f>B96*(hospitalityq!K96="")</f>
        <v>0</v>
      </c>
      <c r="L96">
        <f>B96*(hospitalityq!L96="")</f>
        <v>0</v>
      </c>
      <c r="M96">
        <f>B96*(hospitalityq!M96="")</f>
        <v>0</v>
      </c>
      <c r="N96">
        <f>B96*(hospitalityq!N96="")</f>
        <v>0</v>
      </c>
      <c r="O96">
        <f>B96*(hospitalityq!O96="")</f>
        <v>0</v>
      </c>
      <c r="P96">
        <f>B96*(hospitalityq!P96="")</f>
        <v>0</v>
      </c>
      <c r="Q96">
        <f>B96*(hospitalityq!Q96="")</f>
        <v>0</v>
      </c>
      <c r="R96">
        <f>B96*(hospitalityq!R96="")</f>
        <v>0</v>
      </c>
    </row>
    <row r="97" spans="1:18" x14ac:dyDescent="0.25">
      <c r="A97">
        <f t="shared" si="2"/>
        <v>0</v>
      </c>
      <c r="B97" t="b">
        <f>SUMPRODUCT(LEN(hospitalityq!C97:R97))&gt;0</f>
        <v>0</v>
      </c>
      <c r="C97">
        <f>B97*(hospitalityq!C97="")</f>
        <v>0</v>
      </c>
      <c r="E97">
        <f>B97*(hospitalityq!E97="")</f>
        <v>0</v>
      </c>
      <c r="F97">
        <f>B97*(hospitalityq!F97="")</f>
        <v>0</v>
      </c>
      <c r="G97">
        <f>B97*(hospitalityq!G97="")</f>
        <v>0</v>
      </c>
      <c r="H97">
        <f>B97*(hospitalityq!H97="")</f>
        <v>0</v>
      </c>
      <c r="I97">
        <f>B97*(hospitalityq!I97="")</f>
        <v>0</v>
      </c>
      <c r="J97">
        <f>B97*(hospitalityq!J97="")</f>
        <v>0</v>
      </c>
      <c r="K97">
        <f>B97*(hospitalityq!K97="")</f>
        <v>0</v>
      </c>
      <c r="L97">
        <f>B97*(hospitalityq!L97="")</f>
        <v>0</v>
      </c>
      <c r="M97">
        <f>B97*(hospitalityq!M97="")</f>
        <v>0</v>
      </c>
      <c r="N97">
        <f>B97*(hospitalityq!N97="")</f>
        <v>0</v>
      </c>
      <c r="O97">
        <f>B97*(hospitalityq!O97="")</f>
        <v>0</v>
      </c>
      <c r="P97">
        <f>B97*(hospitalityq!P97="")</f>
        <v>0</v>
      </c>
      <c r="Q97">
        <f>B97*(hospitalityq!Q97="")</f>
        <v>0</v>
      </c>
      <c r="R97">
        <f>B97*(hospitalityq!R97="")</f>
        <v>0</v>
      </c>
    </row>
    <row r="98" spans="1:18" x14ac:dyDescent="0.25">
      <c r="A98">
        <f t="shared" si="2"/>
        <v>0</v>
      </c>
      <c r="B98" t="b">
        <f>SUMPRODUCT(LEN(hospitalityq!C98:R98))&gt;0</f>
        <v>0</v>
      </c>
      <c r="C98">
        <f>B98*(hospitalityq!C98="")</f>
        <v>0</v>
      </c>
      <c r="E98">
        <f>B98*(hospitalityq!E98="")</f>
        <v>0</v>
      </c>
      <c r="F98">
        <f>B98*(hospitalityq!F98="")</f>
        <v>0</v>
      </c>
      <c r="G98">
        <f>B98*(hospitalityq!G98="")</f>
        <v>0</v>
      </c>
      <c r="H98">
        <f>B98*(hospitalityq!H98="")</f>
        <v>0</v>
      </c>
      <c r="I98">
        <f>B98*(hospitalityq!I98="")</f>
        <v>0</v>
      </c>
      <c r="J98">
        <f>B98*(hospitalityq!J98="")</f>
        <v>0</v>
      </c>
      <c r="K98">
        <f>B98*(hospitalityq!K98="")</f>
        <v>0</v>
      </c>
      <c r="L98">
        <f>B98*(hospitalityq!L98="")</f>
        <v>0</v>
      </c>
      <c r="M98">
        <f>B98*(hospitalityq!M98="")</f>
        <v>0</v>
      </c>
      <c r="N98">
        <f>B98*(hospitalityq!N98="")</f>
        <v>0</v>
      </c>
      <c r="O98">
        <f>B98*(hospitalityq!O98="")</f>
        <v>0</v>
      </c>
      <c r="P98">
        <f>B98*(hospitalityq!P98="")</f>
        <v>0</v>
      </c>
      <c r="Q98">
        <f>B98*(hospitalityq!Q98="")</f>
        <v>0</v>
      </c>
      <c r="R98">
        <f>B98*(hospitalityq!R98="")</f>
        <v>0</v>
      </c>
    </row>
    <row r="99" spans="1:18" x14ac:dyDescent="0.25">
      <c r="A99">
        <f t="shared" si="2"/>
        <v>0</v>
      </c>
      <c r="B99" t="b">
        <f>SUMPRODUCT(LEN(hospitalityq!C99:R99))&gt;0</f>
        <v>0</v>
      </c>
      <c r="C99">
        <f>B99*(hospitalityq!C99="")</f>
        <v>0</v>
      </c>
      <c r="E99">
        <f>B99*(hospitalityq!E99="")</f>
        <v>0</v>
      </c>
      <c r="F99">
        <f>B99*(hospitalityq!F99="")</f>
        <v>0</v>
      </c>
      <c r="G99">
        <f>B99*(hospitalityq!G99="")</f>
        <v>0</v>
      </c>
      <c r="H99">
        <f>B99*(hospitalityq!H99="")</f>
        <v>0</v>
      </c>
      <c r="I99">
        <f>B99*(hospitalityq!I99="")</f>
        <v>0</v>
      </c>
      <c r="J99">
        <f>B99*(hospitalityq!J99="")</f>
        <v>0</v>
      </c>
      <c r="K99">
        <f>B99*(hospitalityq!K99="")</f>
        <v>0</v>
      </c>
      <c r="L99">
        <f>B99*(hospitalityq!L99="")</f>
        <v>0</v>
      </c>
      <c r="M99">
        <f>B99*(hospitalityq!M99="")</f>
        <v>0</v>
      </c>
      <c r="N99">
        <f>B99*(hospitalityq!N99="")</f>
        <v>0</v>
      </c>
      <c r="O99">
        <f>B99*(hospitalityq!O99="")</f>
        <v>0</v>
      </c>
      <c r="P99">
        <f>B99*(hospitalityq!P99="")</f>
        <v>0</v>
      </c>
      <c r="Q99">
        <f>B99*(hospitalityq!Q99="")</f>
        <v>0</v>
      </c>
      <c r="R99">
        <f>B99*(hospitalityq!R99="")</f>
        <v>0</v>
      </c>
    </row>
    <row r="100" spans="1:18" x14ac:dyDescent="0.25">
      <c r="A100">
        <f t="shared" si="2"/>
        <v>0</v>
      </c>
      <c r="B100" t="b">
        <f>SUMPRODUCT(LEN(hospitalityq!C100:R100))&gt;0</f>
        <v>0</v>
      </c>
      <c r="C100">
        <f>B100*(hospitalityq!C100="")</f>
        <v>0</v>
      </c>
      <c r="E100">
        <f>B100*(hospitalityq!E100="")</f>
        <v>0</v>
      </c>
      <c r="F100">
        <f>B100*(hospitalityq!F100="")</f>
        <v>0</v>
      </c>
      <c r="G100">
        <f>B100*(hospitalityq!G100="")</f>
        <v>0</v>
      </c>
      <c r="H100">
        <f>B100*(hospitalityq!H100="")</f>
        <v>0</v>
      </c>
      <c r="I100">
        <f>B100*(hospitalityq!I100="")</f>
        <v>0</v>
      </c>
      <c r="J100">
        <f>B100*(hospitalityq!J100="")</f>
        <v>0</v>
      </c>
      <c r="K100">
        <f>B100*(hospitalityq!K100="")</f>
        <v>0</v>
      </c>
      <c r="L100">
        <f>B100*(hospitalityq!L100="")</f>
        <v>0</v>
      </c>
      <c r="M100">
        <f>B100*(hospitalityq!M100="")</f>
        <v>0</v>
      </c>
      <c r="N100">
        <f>B100*(hospitalityq!N100="")</f>
        <v>0</v>
      </c>
      <c r="O100">
        <f>B100*(hospitalityq!O100="")</f>
        <v>0</v>
      </c>
      <c r="P100">
        <f>B100*(hospitalityq!P100="")</f>
        <v>0</v>
      </c>
      <c r="Q100">
        <f>B100*(hospitalityq!Q100="")</f>
        <v>0</v>
      </c>
      <c r="R100">
        <f>B100*(hospitalityq!R100="")</f>
        <v>0</v>
      </c>
    </row>
    <row r="101" spans="1:18" x14ac:dyDescent="0.25">
      <c r="A101">
        <f t="shared" si="2"/>
        <v>0</v>
      </c>
      <c r="B101" t="b">
        <f>SUMPRODUCT(LEN(hospitalityq!C101:R101))&gt;0</f>
        <v>0</v>
      </c>
      <c r="C101">
        <f>B101*(hospitalityq!C101="")</f>
        <v>0</v>
      </c>
      <c r="E101">
        <f>B101*(hospitalityq!E101="")</f>
        <v>0</v>
      </c>
      <c r="F101">
        <f>B101*(hospitalityq!F101="")</f>
        <v>0</v>
      </c>
      <c r="G101">
        <f>B101*(hospitalityq!G101="")</f>
        <v>0</v>
      </c>
      <c r="H101">
        <f>B101*(hospitalityq!H101="")</f>
        <v>0</v>
      </c>
      <c r="I101">
        <f>B101*(hospitalityq!I101="")</f>
        <v>0</v>
      </c>
      <c r="J101">
        <f>B101*(hospitalityq!J101="")</f>
        <v>0</v>
      </c>
      <c r="K101">
        <f>B101*(hospitalityq!K101="")</f>
        <v>0</v>
      </c>
      <c r="L101">
        <f>B101*(hospitalityq!L101="")</f>
        <v>0</v>
      </c>
      <c r="M101">
        <f>B101*(hospitalityq!M101="")</f>
        <v>0</v>
      </c>
      <c r="N101">
        <f>B101*(hospitalityq!N101="")</f>
        <v>0</v>
      </c>
      <c r="O101">
        <f>B101*(hospitalityq!O101="")</f>
        <v>0</v>
      </c>
      <c r="P101">
        <f>B101*(hospitalityq!P101="")</f>
        <v>0</v>
      </c>
      <c r="Q101">
        <f>B101*(hospitalityq!Q101="")</f>
        <v>0</v>
      </c>
      <c r="R101">
        <f>B101*(hospitalityq!R101="")</f>
        <v>0</v>
      </c>
    </row>
    <row r="102" spans="1:18" x14ac:dyDescent="0.25">
      <c r="A102">
        <f t="shared" si="2"/>
        <v>0</v>
      </c>
      <c r="B102" t="b">
        <f>SUMPRODUCT(LEN(hospitalityq!C102:R102))&gt;0</f>
        <v>0</v>
      </c>
      <c r="C102">
        <f>B102*(hospitalityq!C102="")</f>
        <v>0</v>
      </c>
      <c r="E102">
        <f>B102*(hospitalityq!E102="")</f>
        <v>0</v>
      </c>
      <c r="F102">
        <f>B102*(hospitalityq!F102="")</f>
        <v>0</v>
      </c>
      <c r="G102">
        <f>B102*(hospitalityq!G102="")</f>
        <v>0</v>
      </c>
      <c r="H102">
        <f>B102*(hospitalityq!H102="")</f>
        <v>0</v>
      </c>
      <c r="I102">
        <f>B102*(hospitalityq!I102="")</f>
        <v>0</v>
      </c>
      <c r="J102">
        <f>B102*(hospitalityq!J102="")</f>
        <v>0</v>
      </c>
      <c r="K102">
        <f>B102*(hospitalityq!K102="")</f>
        <v>0</v>
      </c>
      <c r="L102">
        <f>B102*(hospitalityq!L102="")</f>
        <v>0</v>
      </c>
      <c r="M102">
        <f>B102*(hospitalityq!M102="")</f>
        <v>0</v>
      </c>
      <c r="N102">
        <f>B102*(hospitalityq!N102="")</f>
        <v>0</v>
      </c>
      <c r="O102">
        <f>B102*(hospitalityq!O102="")</f>
        <v>0</v>
      </c>
      <c r="P102">
        <f>B102*(hospitalityq!P102="")</f>
        <v>0</v>
      </c>
      <c r="Q102">
        <f>B102*(hospitalityq!Q102="")</f>
        <v>0</v>
      </c>
      <c r="R102">
        <f>B102*(hospitalityq!R102="")</f>
        <v>0</v>
      </c>
    </row>
    <row r="103" spans="1:18" x14ac:dyDescent="0.25">
      <c r="A103">
        <f t="shared" si="2"/>
        <v>0</v>
      </c>
      <c r="B103" t="b">
        <f>SUMPRODUCT(LEN(hospitalityq!C103:R103))&gt;0</f>
        <v>0</v>
      </c>
      <c r="C103">
        <f>B103*(hospitalityq!C103="")</f>
        <v>0</v>
      </c>
      <c r="E103">
        <f>B103*(hospitalityq!E103="")</f>
        <v>0</v>
      </c>
      <c r="F103">
        <f>B103*(hospitalityq!F103="")</f>
        <v>0</v>
      </c>
      <c r="G103">
        <f>B103*(hospitalityq!G103="")</f>
        <v>0</v>
      </c>
      <c r="H103">
        <f>B103*(hospitalityq!H103="")</f>
        <v>0</v>
      </c>
      <c r="I103">
        <f>B103*(hospitalityq!I103="")</f>
        <v>0</v>
      </c>
      <c r="J103">
        <f>B103*(hospitalityq!J103="")</f>
        <v>0</v>
      </c>
      <c r="K103">
        <f>B103*(hospitalityq!K103="")</f>
        <v>0</v>
      </c>
      <c r="L103">
        <f>B103*(hospitalityq!L103="")</f>
        <v>0</v>
      </c>
      <c r="M103">
        <f>B103*(hospitalityq!M103="")</f>
        <v>0</v>
      </c>
      <c r="N103">
        <f>B103*(hospitalityq!N103="")</f>
        <v>0</v>
      </c>
      <c r="O103">
        <f>B103*(hospitalityq!O103="")</f>
        <v>0</v>
      </c>
      <c r="P103">
        <f>B103*(hospitalityq!P103="")</f>
        <v>0</v>
      </c>
      <c r="Q103">
        <f>B103*(hospitalityq!Q103="")</f>
        <v>0</v>
      </c>
      <c r="R103">
        <f>B103*(hospitalityq!R103="")</f>
        <v>0</v>
      </c>
    </row>
    <row r="104" spans="1:18" x14ac:dyDescent="0.25">
      <c r="A104">
        <f t="shared" si="2"/>
        <v>0</v>
      </c>
      <c r="B104" t="b">
        <f>SUMPRODUCT(LEN(hospitalityq!C104:R104))&gt;0</f>
        <v>0</v>
      </c>
      <c r="C104">
        <f>B104*(hospitalityq!C104="")</f>
        <v>0</v>
      </c>
      <c r="E104">
        <f>B104*(hospitalityq!E104="")</f>
        <v>0</v>
      </c>
      <c r="F104">
        <f>B104*(hospitalityq!F104="")</f>
        <v>0</v>
      </c>
      <c r="G104">
        <f>B104*(hospitalityq!G104="")</f>
        <v>0</v>
      </c>
      <c r="H104">
        <f>B104*(hospitalityq!H104="")</f>
        <v>0</v>
      </c>
      <c r="I104">
        <f>B104*(hospitalityq!I104="")</f>
        <v>0</v>
      </c>
      <c r="J104">
        <f>B104*(hospitalityq!J104="")</f>
        <v>0</v>
      </c>
      <c r="K104">
        <f>B104*(hospitalityq!K104="")</f>
        <v>0</v>
      </c>
      <c r="L104">
        <f>B104*(hospitalityq!L104="")</f>
        <v>0</v>
      </c>
      <c r="M104">
        <f>B104*(hospitalityq!M104="")</f>
        <v>0</v>
      </c>
      <c r="N104">
        <f>B104*(hospitalityq!N104="")</f>
        <v>0</v>
      </c>
      <c r="O104">
        <f>B104*(hospitalityq!O104="")</f>
        <v>0</v>
      </c>
      <c r="P104">
        <f>B104*(hospitalityq!P104="")</f>
        <v>0</v>
      </c>
      <c r="Q104">
        <f>B104*(hospitalityq!Q104="")</f>
        <v>0</v>
      </c>
      <c r="R104">
        <f>B104*(hospitalityq!R104="")</f>
        <v>0</v>
      </c>
    </row>
    <row r="105" spans="1:18" x14ac:dyDescent="0.25">
      <c r="A105">
        <f t="shared" si="2"/>
        <v>0</v>
      </c>
      <c r="B105" t="b">
        <f>SUMPRODUCT(LEN(hospitalityq!C105:R105))&gt;0</f>
        <v>0</v>
      </c>
      <c r="C105">
        <f>B105*(hospitalityq!C105="")</f>
        <v>0</v>
      </c>
      <c r="E105">
        <f>B105*(hospitalityq!E105="")</f>
        <v>0</v>
      </c>
      <c r="F105">
        <f>B105*(hospitalityq!F105="")</f>
        <v>0</v>
      </c>
      <c r="G105">
        <f>B105*(hospitalityq!G105="")</f>
        <v>0</v>
      </c>
      <c r="H105">
        <f>B105*(hospitalityq!H105="")</f>
        <v>0</v>
      </c>
      <c r="I105">
        <f>B105*(hospitalityq!I105="")</f>
        <v>0</v>
      </c>
      <c r="J105">
        <f>B105*(hospitalityq!J105="")</f>
        <v>0</v>
      </c>
      <c r="K105">
        <f>B105*(hospitalityq!K105="")</f>
        <v>0</v>
      </c>
      <c r="L105">
        <f>B105*(hospitalityq!L105="")</f>
        <v>0</v>
      </c>
      <c r="M105">
        <f>B105*(hospitalityq!M105="")</f>
        <v>0</v>
      </c>
      <c r="N105">
        <f>B105*(hospitalityq!N105="")</f>
        <v>0</v>
      </c>
      <c r="O105">
        <f>B105*(hospitalityq!O105="")</f>
        <v>0</v>
      </c>
      <c r="P105">
        <f>B105*(hospitalityq!P105="")</f>
        <v>0</v>
      </c>
      <c r="Q105">
        <f>B105*(hospitalityq!Q105="")</f>
        <v>0</v>
      </c>
      <c r="R105">
        <f>B105*(hospitalityq!R105="")</f>
        <v>0</v>
      </c>
    </row>
    <row r="106" spans="1:18" x14ac:dyDescent="0.25">
      <c r="A106">
        <f t="shared" si="2"/>
        <v>0</v>
      </c>
      <c r="B106" t="b">
        <f>SUMPRODUCT(LEN(hospitalityq!C106:R106))&gt;0</f>
        <v>0</v>
      </c>
      <c r="C106">
        <f>B106*(hospitalityq!C106="")</f>
        <v>0</v>
      </c>
      <c r="E106">
        <f>B106*(hospitalityq!E106="")</f>
        <v>0</v>
      </c>
      <c r="F106">
        <f>B106*(hospitalityq!F106="")</f>
        <v>0</v>
      </c>
      <c r="G106">
        <f>B106*(hospitalityq!G106="")</f>
        <v>0</v>
      </c>
      <c r="H106">
        <f>B106*(hospitalityq!H106="")</f>
        <v>0</v>
      </c>
      <c r="I106">
        <f>B106*(hospitalityq!I106="")</f>
        <v>0</v>
      </c>
      <c r="J106">
        <f>B106*(hospitalityq!J106="")</f>
        <v>0</v>
      </c>
      <c r="K106">
        <f>B106*(hospitalityq!K106="")</f>
        <v>0</v>
      </c>
      <c r="L106">
        <f>B106*(hospitalityq!L106="")</f>
        <v>0</v>
      </c>
      <c r="M106">
        <f>B106*(hospitalityq!M106="")</f>
        <v>0</v>
      </c>
      <c r="N106">
        <f>B106*(hospitalityq!N106="")</f>
        <v>0</v>
      </c>
      <c r="O106">
        <f>B106*(hospitalityq!O106="")</f>
        <v>0</v>
      </c>
      <c r="P106">
        <f>B106*(hospitalityq!P106="")</f>
        <v>0</v>
      </c>
      <c r="Q106">
        <f>B106*(hospitalityq!Q106="")</f>
        <v>0</v>
      </c>
      <c r="R106">
        <f>B106*(hospitalityq!R106="")</f>
        <v>0</v>
      </c>
    </row>
    <row r="107" spans="1:18" x14ac:dyDescent="0.25">
      <c r="A107">
        <f t="shared" si="2"/>
        <v>0</v>
      </c>
      <c r="B107" t="b">
        <f>SUMPRODUCT(LEN(hospitalityq!C107:R107))&gt;0</f>
        <v>0</v>
      </c>
      <c r="C107">
        <f>B107*(hospitalityq!C107="")</f>
        <v>0</v>
      </c>
      <c r="E107">
        <f>B107*(hospitalityq!E107="")</f>
        <v>0</v>
      </c>
      <c r="F107">
        <f>B107*(hospitalityq!F107="")</f>
        <v>0</v>
      </c>
      <c r="G107">
        <f>B107*(hospitalityq!G107="")</f>
        <v>0</v>
      </c>
      <c r="H107">
        <f>B107*(hospitalityq!H107="")</f>
        <v>0</v>
      </c>
      <c r="I107">
        <f>B107*(hospitalityq!I107="")</f>
        <v>0</v>
      </c>
      <c r="J107">
        <f>B107*(hospitalityq!J107="")</f>
        <v>0</v>
      </c>
      <c r="K107">
        <f>B107*(hospitalityq!K107="")</f>
        <v>0</v>
      </c>
      <c r="L107">
        <f>B107*(hospitalityq!L107="")</f>
        <v>0</v>
      </c>
      <c r="M107">
        <f>B107*(hospitalityq!M107="")</f>
        <v>0</v>
      </c>
      <c r="N107">
        <f>B107*(hospitalityq!N107="")</f>
        <v>0</v>
      </c>
      <c r="O107">
        <f>B107*(hospitalityq!O107="")</f>
        <v>0</v>
      </c>
      <c r="P107">
        <f>B107*(hospitalityq!P107="")</f>
        <v>0</v>
      </c>
      <c r="Q107">
        <f>B107*(hospitalityq!Q107="")</f>
        <v>0</v>
      </c>
      <c r="R107">
        <f>B107*(hospitalityq!R107="")</f>
        <v>0</v>
      </c>
    </row>
    <row r="108" spans="1:18" x14ac:dyDescent="0.25">
      <c r="A108">
        <f t="shared" si="2"/>
        <v>0</v>
      </c>
      <c r="B108" t="b">
        <f>SUMPRODUCT(LEN(hospitalityq!C108:R108))&gt;0</f>
        <v>0</v>
      </c>
      <c r="C108">
        <f>B108*(hospitalityq!C108="")</f>
        <v>0</v>
      </c>
      <c r="E108">
        <f>B108*(hospitalityq!E108="")</f>
        <v>0</v>
      </c>
      <c r="F108">
        <f>B108*(hospitalityq!F108="")</f>
        <v>0</v>
      </c>
      <c r="G108">
        <f>B108*(hospitalityq!G108="")</f>
        <v>0</v>
      </c>
      <c r="H108">
        <f>B108*(hospitalityq!H108="")</f>
        <v>0</v>
      </c>
      <c r="I108">
        <f>B108*(hospitalityq!I108="")</f>
        <v>0</v>
      </c>
      <c r="J108">
        <f>B108*(hospitalityq!J108="")</f>
        <v>0</v>
      </c>
      <c r="K108">
        <f>B108*(hospitalityq!K108="")</f>
        <v>0</v>
      </c>
      <c r="L108">
        <f>B108*(hospitalityq!L108="")</f>
        <v>0</v>
      </c>
      <c r="M108">
        <f>B108*(hospitalityq!M108="")</f>
        <v>0</v>
      </c>
      <c r="N108">
        <f>B108*(hospitalityq!N108="")</f>
        <v>0</v>
      </c>
      <c r="O108">
        <f>B108*(hospitalityq!O108="")</f>
        <v>0</v>
      </c>
      <c r="P108">
        <f>B108*(hospitalityq!P108="")</f>
        <v>0</v>
      </c>
      <c r="Q108">
        <f>B108*(hospitalityq!Q108="")</f>
        <v>0</v>
      </c>
      <c r="R108">
        <f>B108*(hospitalityq!R108="")</f>
        <v>0</v>
      </c>
    </row>
    <row r="109" spans="1:18" x14ac:dyDescent="0.25">
      <c r="A109">
        <f t="shared" si="2"/>
        <v>0</v>
      </c>
      <c r="B109" t="b">
        <f>SUMPRODUCT(LEN(hospitalityq!C109:R109))&gt;0</f>
        <v>0</v>
      </c>
      <c r="C109">
        <f>B109*(hospitalityq!C109="")</f>
        <v>0</v>
      </c>
      <c r="E109">
        <f>B109*(hospitalityq!E109="")</f>
        <v>0</v>
      </c>
      <c r="F109">
        <f>B109*(hospitalityq!F109="")</f>
        <v>0</v>
      </c>
      <c r="G109">
        <f>B109*(hospitalityq!G109="")</f>
        <v>0</v>
      </c>
      <c r="H109">
        <f>B109*(hospitalityq!H109="")</f>
        <v>0</v>
      </c>
      <c r="I109">
        <f>B109*(hospitalityq!I109="")</f>
        <v>0</v>
      </c>
      <c r="J109">
        <f>B109*(hospitalityq!J109="")</f>
        <v>0</v>
      </c>
      <c r="K109">
        <f>B109*(hospitalityq!K109="")</f>
        <v>0</v>
      </c>
      <c r="L109">
        <f>B109*(hospitalityq!L109="")</f>
        <v>0</v>
      </c>
      <c r="M109">
        <f>B109*(hospitalityq!M109="")</f>
        <v>0</v>
      </c>
      <c r="N109">
        <f>B109*(hospitalityq!N109="")</f>
        <v>0</v>
      </c>
      <c r="O109">
        <f>B109*(hospitalityq!O109="")</f>
        <v>0</v>
      </c>
      <c r="P109">
        <f>B109*(hospitalityq!P109="")</f>
        <v>0</v>
      </c>
      <c r="Q109">
        <f>B109*(hospitalityq!Q109="")</f>
        <v>0</v>
      </c>
      <c r="R109">
        <f>B109*(hospitalityq!R109="")</f>
        <v>0</v>
      </c>
    </row>
    <row r="110" spans="1:18" x14ac:dyDescent="0.25">
      <c r="A110">
        <f t="shared" si="2"/>
        <v>0</v>
      </c>
      <c r="B110" t="b">
        <f>SUMPRODUCT(LEN(hospitalityq!C110:R110))&gt;0</f>
        <v>0</v>
      </c>
      <c r="C110">
        <f>B110*(hospitalityq!C110="")</f>
        <v>0</v>
      </c>
      <c r="E110">
        <f>B110*(hospitalityq!E110="")</f>
        <v>0</v>
      </c>
      <c r="F110">
        <f>B110*(hospitalityq!F110="")</f>
        <v>0</v>
      </c>
      <c r="G110">
        <f>B110*(hospitalityq!G110="")</f>
        <v>0</v>
      </c>
      <c r="H110">
        <f>B110*(hospitalityq!H110="")</f>
        <v>0</v>
      </c>
      <c r="I110">
        <f>B110*(hospitalityq!I110="")</f>
        <v>0</v>
      </c>
      <c r="J110">
        <f>B110*(hospitalityq!J110="")</f>
        <v>0</v>
      </c>
      <c r="K110">
        <f>B110*(hospitalityq!K110="")</f>
        <v>0</v>
      </c>
      <c r="L110">
        <f>B110*(hospitalityq!L110="")</f>
        <v>0</v>
      </c>
      <c r="M110">
        <f>B110*(hospitalityq!M110="")</f>
        <v>0</v>
      </c>
      <c r="N110">
        <f>B110*(hospitalityq!N110="")</f>
        <v>0</v>
      </c>
      <c r="O110">
        <f>B110*(hospitalityq!O110="")</f>
        <v>0</v>
      </c>
      <c r="P110">
        <f>B110*(hospitalityq!P110="")</f>
        <v>0</v>
      </c>
      <c r="Q110">
        <f>B110*(hospitalityq!Q110="")</f>
        <v>0</v>
      </c>
      <c r="R110">
        <f>B110*(hospitalityq!R110="")</f>
        <v>0</v>
      </c>
    </row>
    <row r="111" spans="1:18" x14ac:dyDescent="0.25">
      <c r="A111">
        <f t="shared" si="2"/>
        <v>0</v>
      </c>
      <c r="B111" t="b">
        <f>SUMPRODUCT(LEN(hospitalityq!C111:R111))&gt;0</f>
        <v>0</v>
      </c>
      <c r="C111">
        <f>B111*(hospitalityq!C111="")</f>
        <v>0</v>
      </c>
      <c r="E111">
        <f>B111*(hospitalityq!E111="")</f>
        <v>0</v>
      </c>
      <c r="F111">
        <f>B111*(hospitalityq!F111="")</f>
        <v>0</v>
      </c>
      <c r="G111">
        <f>B111*(hospitalityq!G111="")</f>
        <v>0</v>
      </c>
      <c r="H111">
        <f>B111*(hospitalityq!H111="")</f>
        <v>0</v>
      </c>
      <c r="I111">
        <f>B111*(hospitalityq!I111="")</f>
        <v>0</v>
      </c>
      <c r="J111">
        <f>B111*(hospitalityq!J111="")</f>
        <v>0</v>
      </c>
      <c r="K111">
        <f>B111*(hospitalityq!K111="")</f>
        <v>0</v>
      </c>
      <c r="L111">
        <f>B111*(hospitalityq!L111="")</f>
        <v>0</v>
      </c>
      <c r="M111">
        <f>B111*(hospitalityq!M111="")</f>
        <v>0</v>
      </c>
      <c r="N111">
        <f>B111*(hospitalityq!N111="")</f>
        <v>0</v>
      </c>
      <c r="O111">
        <f>B111*(hospitalityq!O111="")</f>
        <v>0</v>
      </c>
      <c r="P111">
        <f>B111*(hospitalityq!P111="")</f>
        <v>0</v>
      </c>
      <c r="Q111">
        <f>B111*(hospitalityq!Q111="")</f>
        <v>0</v>
      </c>
      <c r="R111">
        <f>B111*(hospitalityq!R111="")</f>
        <v>0</v>
      </c>
    </row>
    <row r="112" spans="1:18" x14ac:dyDescent="0.25">
      <c r="A112">
        <f t="shared" si="2"/>
        <v>0</v>
      </c>
      <c r="B112" t="b">
        <f>SUMPRODUCT(LEN(hospitalityq!C112:R112))&gt;0</f>
        <v>0</v>
      </c>
      <c r="C112">
        <f>B112*(hospitalityq!C112="")</f>
        <v>0</v>
      </c>
      <c r="E112">
        <f>B112*(hospitalityq!E112="")</f>
        <v>0</v>
      </c>
      <c r="F112">
        <f>B112*(hospitalityq!F112="")</f>
        <v>0</v>
      </c>
      <c r="G112">
        <f>B112*(hospitalityq!G112="")</f>
        <v>0</v>
      </c>
      <c r="H112">
        <f>B112*(hospitalityq!H112="")</f>
        <v>0</v>
      </c>
      <c r="I112">
        <f>B112*(hospitalityq!I112="")</f>
        <v>0</v>
      </c>
      <c r="J112">
        <f>B112*(hospitalityq!J112="")</f>
        <v>0</v>
      </c>
      <c r="K112">
        <f>B112*(hospitalityq!K112="")</f>
        <v>0</v>
      </c>
      <c r="L112">
        <f>B112*(hospitalityq!L112="")</f>
        <v>0</v>
      </c>
      <c r="M112">
        <f>B112*(hospitalityq!M112="")</f>
        <v>0</v>
      </c>
      <c r="N112">
        <f>B112*(hospitalityq!N112="")</f>
        <v>0</v>
      </c>
      <c r="O112">
        <f>B112*(hospitalityq!O112="")</f>
        <v>0</v>
      </c>
      <c r="P112">
        <f>B112*(hospitalityq!P112="")</f>
        <v>0</v>
      </c>
      <c r="Q112">
        <f>B112*(hospitalityq!Q112="")</f>
        <v>0</v>
      </c>
      <c r="R112">
        <f>B112*(hospitalityq!R112="")</f>
        <v>0</v>
      </c>
    </row>
    <row r="113" spans="1:18" x14ac:dyDescent="0.25">
      <c r="A113">
        <f t="shared" si="2"/>
        <v>0</v>
      </c>
      <c r="B113" t="b">
        <f>SUMPRODUCT(LEN(hospitalityq!C113:R113))&gt;0</f>
        <v>0</v>
      </c>
      <c r="C113">
        <f>B113*(hospitalityq!C113="")</f>
        <v>0</v>
      </c>
      <c r="E113">
        <f>B113*(hospitalityq!E113="")</f>
        <v>0</v>
      </c>
      <c r="F113">
        <f>B113*(hospitalityq!F113="")</f>
        <v>0</v>
      </c>
      <c r="G113">
        <f>B113*(hospitalityq!G113="")</f>
        <v>0</v>
      </c>
      <c r="H113">
        <f>B113*(hospitalityq!H113="")</f>
        <v>0</v>
      </c>
      <c r="I113">
        <f>B113*(hospitalityq!I113="")</f>
        <v>0</v>
      </c>
      <c r="J113">
        <f>B113*(hospitalityq!J113="")</f>
        <v>0</v>
      </c>
      <c r="K113">
        <f>B113*(hospitalityq!K113="")</f>
        <v>0</v>
      </c>
      <c r="L113">
        <f>B113*(hospitalityq!L113="")</f>
        <v>0</v>
      </c>
      <c r="M113">
        <f>B113*(hospitalityq!M113="")</f>
        <v>0</v>
      </c>
      <c r="N113">
        <f>B113*(hospitalityq!N113="")</f>
        <v>0</v>
      </c>
      <c r="O113">
        <f>B113*(hospitalityq!O113="")</f>
        <v>0</v>
      </c>
      <c r="P113">
        <f>B113*(hospitalityq!P113="")</f>
        <v>0</v>
      </c>
      <c r="Q113">
        <f>B113*(hospitalityq!Q113="")</f>
        <v>0</v>
      </c>
      <c r="R113">
        <f>B113*(hospitalityq!R113="")</f>
        <v>0</v>
      </c>
    </row>
    <row r="114" spans="1:18" x14ac:dyDescent="0.25">
      <c r="A114">
        <f t="shared" si="2"/>
        <v>0</v>
      </c>
      <c r="B114" t="b">
        <f>SUMPRODUCT(LEN(hospitalityq!C114:R114))&gt;0</f>
        <v>0</v>
      </c>
      <c r="C114">
        <f>B114*(hospitalityq!C114="")</f>
        <v>0</v>
      </c>
      <c r="E114">
        <f>B114*(hospitalityq!E114="")</f>
        <v>0</v>
      </c>
      <c r="F114">
        <f>B114*(hospitalityq!F114="")</f>
        <v>0</v>
      </c>
      <c r="G114">
        <f>B114*(hospitalityq!G114="")</f>
        <v>0</v>
      </c>
      <c r="H114">
        <f>B114*(hospitalityq!H114="")</f>
        <v>0</v>
      </c>
      <c r="I114">
        <f>B114*(hospitalityq!I114="")</f>
        <v>0</v>
      </c>
      <c r="J114">
        <f>B114*(hospitalityq!J114="")</f>
        <v>0</v>
      </c>
      <c r="K114">
        <f>B114*(hospitalityq!K114="")</f>
        <v>0</v>
      </c>
      <c r="L114">
        <f>B114*(hospitalityq!L114="")</f>
        <v>0</v>
      </c>
      <c r="M114">
        <f>B114*(hospitalityq!M114="")</f>
        <v>0</v>
      </c>
      <c r="N114">
        <f>B114*(hospitalityq!N114="")</f>
        <v>0</v>
      </c>
      <c r="O114">
        <f>B114*(hospitalityq!O114="")</f>
        <v>0</v>
      </c>
      <c r="P114">
        <f>B114*(hospitalityq!P114="")</f>
        <v>0</v>
      </c>
      <c r="Q114">
        <f>B114*(hospitalityq!Q114="")</f>
        <v>0</v>
      </c>
      <c r="R114">
        <f>B114*(hospitalityq!R114="")</f>
        <v>0</v>
      </c>
    </row>
    <row r="115" spans="1:18" x14ac:dyDescent="0.25">
      <c r="A115">
        <f t="shared" si="2"/>
        <v>0</v>
      </c>
      <c r="B115" t="b">
        <f>SUMPRODUCT(LEN(hospitalityq!C115:R115))&gt;0</f>
        <v>0</v>
      </c>
      <c r="C115">
        <f>B115*(hospitalityq!C115="")</f>
        <v>0</v>
      </c>
      <c r="E115">
        <f>B115*(hospitalityq!E115="")</f>
        <v>0</v>
      </c>
      <c r="F115">
        <f>B115*(hospitalityq!F115="")</f>
        <v>0</v>
      </c>
      <c r="G115">
        <f>B115*(hospitalityq!G115="")</f>
        <v>0</v>
      </c>
      <c r="H115">
        <f>B115*(hospitalityq!H115="")</f>
        <v>0</v>
      </c>
      <c r="I115">
        <f>B115*(hospitalityq!I115="")</f>
        <v>0</v>
      </c>
      <c r="J115">
        <f>B115*(hospitalityq!J115="")</f>
        <v>0</v>
      </c>
      <c r="K115">
        <f>B115*(hospitalityq!K115="")</f>
        <v>0</v>
      </c>
      <c r="L115">
        <f>B115*(hospitalityq!L115="")</f>
        <v>0</v>
      </c>
      <c r="M115">
        <f>B115*(hospitalityq!M115="")</f>
        <v>0</v>
      </c>
      <c r="N115">
        <f>B115*(hospitalityq!N115="")</f>
        <v>0</v>
      </c>
      <c r="O115">
        <f>B115*(hospitalityq!O115="")</f>
        <v>0</v>
      </c>
      <c r="P115">
        <f>B115*(hospitalityq!P115="")</f>
        <v>0</v>
      </c>
      <c r="Q115">
        <f>B115*(hospitalityq!Q115="")</f>
        <v>0</v>
      </c>
      <c r="R115">
        <f>B115*(hospitalityq!R115="")</f>
        <v>0</v>
      </c>
    </row>
    <row r="116" spans="1:18" x14ac:dyDescent="0.25">
      <c r="A116">
        <f t="shared" si="2"/>
        <v>0</v>
      </c>
      <c r="B116" t="b">
        <f>SUMPRODUCT(LEN(hospitalityq!C116:R116))&gt;0</f>
        <v>0</v>
      </c>
      <c r="C116">
        <f>B116*(hospitalityq!C116="")</f>
        <v>0</v>
      </c>
      <c r="E116">
        <f>B116*(hospitalityq!E116="")</f>
        <v>0</v>
      </c>
      <c r="F116">
        <f>B116*(hospitalityq!F116="")</f>
        <v>0</v>
      </c>
      <c r="G116">
        <f>B116*(hospitalityq!G116="")</f>
        <v>0</v>
      </c>
      <c r="H116">
        <f>B116*(hospitalityq!H116="")</f>
        <v>0</v>
      </c>
      <c r="I116">
        <f>B116*(hospitalityq!I116="")</f>
        <v>0</v>
      </c>
      <c r="J116">
        <f>B116*(hospitalityq!J116="")</f>
        <v>0</v>
      </c>
      <c r="K116">
        <f>B116*(hospitalityq!K116="")</f>
        <v>0</v>
      </c>
      <c r="L116">
        <f>B116*(hospitalityq!L116="")</f>
        <v>0</v>
      </c>
      <c r="M116">
        <f>B116*(hospitalityq!M116="")</f>
        <v>0</v>
      </c>
      <c r="N116">
        <f>B116*(hospitalityq!N116="")</f>
        <v>0</v>
      </c>
      <c r="O116">
        <f>B116*(hospitalityq!O116="")</f>
        <v>0</v>
      </c>
      <c r="P116">
        <f>B116*(hospitalityq!P116="")</f>
        <v>0</v>
      </c>
      <c r="Q116">
        <f>B116*(hospitalityq!Q116="")</f>
        <v>0</v>
      </c>
      <c r="R116">
        <f>B116*(hospitalityq!R116="")</f>
        <v>0</v>
      </c>
    </row>
    <row r="117" spans="1:18" x14ac:dyDescent="0.25">
      <c r="A117">
        <f t="shared" si="2"/>
        <v>0</v>
      </c>
      <c r="B117" t="b">
        <f>SUMPRODUCT(LEN(hospitalityq!C117:R117))&gt;0</f>
        <v>0</v>
      </c>
      <c r="C117">
        <f>B117*(hospitalityq!C117="")</f>
        <v>0</v>
      </c>
      <c r="E117">
        <f>B117*(hospitalityq!E117="")</f>
        <v>0</v>
      </c>
      <c r="F117">
        <f>B117*(hospitalityq!F117="")</f>
        <v>0</v>
      </c>
      <c r="G117">
        <f>B117*(hospitalityq!G117="")</f>
        <v>0</v>
      </c>
      <c r="H117">
        <f>B117*(hospitalityq!H117="")</f>
        <v>0</v>
      </c>
      <c r="I117">
        <f>B117*(hospitalityq!I117="")</f>
        <v>0</v>
      </c>
      <c r="J117">
        <f>B117*(hospitalityq!J117="")</f>
        <v>0</v>
      </c>
      <c r="K117">
        <f>B117*(hospitalityq!K117="")</f>
        <v>0</v>
      </c>
      <c r="L117">
        <f>B117*(hospitalityq!L117="")</f>
        <v>0</v>
      </c>
      <c r="M117">
        <f>B117*(hospitalityq!M117="")</f>
        <v>0</v>
      </c>
      <c r="N117">
        <f>B117*(hospitalityq!N117="")</f>
        <v>0</v>
      </c>
      <c r="O117">
        <f>B117*(hospitalityq!O117="")</f>
        <v>0</v>
      </c>
      <c r="P117">
        <f>B117*(hospitalityq!P117="")</f>
        <v>0</v>
      </c>
      <c r="Q117">
        <f>B117*(hospitalityq!Q117="")</f>
        <v>0</v>
      </c>
      <c r="R117">
        <f>B117*(hospitalityq!R117="")</f>
        <v>0</v>
      </c>
    </row>
    <row r="118" spans="1:18" x14ac:dyDescent="0.25">
      <c r="A118">
        <f t="shared" si="2"/>
        <v>0</v>
      </c>
      <c r="B118" t="b">
        <f>SUMPRODUCT(LEN(hospitalityq!C118:R118))&gt;0</f>
        <v>0</v>
      </c>
      <c r="C118">
        <f>B118*(hospitalityq!C118="")</f>
        <v>0</v>
      </c>
      <c r="E118">
        <f>B118*(hospitalityq!E118="")</f>
        <v>0</v>
      </c>
      <c r="F118">
        <f>B118*(hospitalityq!F118="")</f>
        <v>0</v>
      </c>
      <c r="G118">
        <f>B118*(hospitalityq!G118="")</f>
        <v>0</v>
      </c>
      <c r="H118">
        <f>B118*(hospitalityq!H118="")</f>
        <v>0</v>
      </c>
      <c r="I118">
        <f>B118*(hospitalityq!I118="")</f>
        <v>0</v>
      </c>
      <c r="J118">
        <f>B118*(hospitalityq!J118="")</f>
        <v>0</v>
      </c>
      <c r="K118">
        <f>B118*(hospitalityq!K118="")</f>
        <v>0</v>
      </c>
      <c r="L118">
        <f>B118*(hospitalityq!L118="")</f>
        <v>0</v>
      </c>
      <c r="M118">
        <f>B118*(hospitalityq!M118="")</f>
        <v>0</v>
      </c>
      <c r="N118">
        <f>B118*(hospitalityq!N118="")</f>
        <v>0</v>
      </c>
      <c r="O118">
        <f>B118*(hospitalityq!O118="")</f>
        <v>0</v>
      </c>
      <c r="P118">
        <f>B118*(hospitalityq!P118="")</f>
        <v>0</v>
      </c>
      <c r="Q118">
        <f>B118*(hospitalityq!Q118="")</f>
        <v>0</v>
      </c>
      <c r="R118">
        <f>B118*(hospitalityq!R118="")</f>
        <v>0</v>
      </c>
    </row>
    <row r="119" spans="1:18" x14ac:dyDescent="0.25">
      <c r="A119">
        <f t="shared" si="2"/>
        <v>0</v>
      </c>
      <c r="B119" t="b">
        <f>SUMPRODUCT(LEN(hospitalityq!C119:R119))&gt;0</f>
        <v>0</v>
      </c>
      <c r="C119">
        <f>B119*(hospitalityq!C119="")</f>
        <v>0</v>
      </c>
      <c r="E119">
        <f>B119*(hospitalityq!E119="")</f>
        <v>0</v>
      </c>
      <c r="F119">
        <f>B119*(hospitalityq!F119="")</f>
        <v>0</v>
      </c>
      <c r="G119">
        <f>B119*(hospitalityq!G119="")</f>
        <v>0</v>
      </c>
      <c r="H119">
        <f>B119*(hospitalityq!H119="")</f>
        <v>0</v>
      </c>
      <c r="I119">
        <f>B119*(hospitalityq!I119="")</f>
        <v>0</v>
      </c>
      <c r="J119">
        <f>B119*(hospitalityq!J119="")</f>
        <v>0</v>
      </c>
      <c r="K119">
        <f>B119*(hospitalityq!K119="")</f>
        <v>0</v>
      </c>
      <c r="L119">
        <f>B119*(hospitalityq!L119="")</f>
        <v>0</v>
      </c>
      <c r="M119">
        <f>B119*(hospitalityq!M119="")</f>
        <v>0</v>
      </c>
      <c r="N119">
        <f>B119*(hospitalityq!N119="")</f>
        <v>0</v>
      </c>
      <c r="O119">
        <f>B119*(hospitalityq!O119="")</f>
        <v>0</v>
      </c>
      <c r="P119">
        <f>B119*(hospitalityq!P119="")</f>
        <v>0</v>
      </c>
      <c r="Q119">
        <f>B119*(hospitalityq!Q119="")</f>
        <v>0</v>
      </c>
      <c r="R119">
        <f>B119*(hospitalityq!R119="")</f>
        <v>0</v>
      </c>
    </row>
    <row r="120" spans="1:18" x14ac:dyDescent="0.25">
      <c r="A120">
        <f t="shared" si="2"/>
        <v>0</v>
      </c>
      <c r="B120" t="b">
        <f>SUMPRODUCT(LEN(hospitalityq!C120:R120))&gt;0</f>
        <v>0</v>
      </c>
      <c r="C120">
        <f>B120*(hospitalityq!C120="")</f>
        <v>0</v>
      </c>
      <c r="E120">
        <f>B120*(hospitalityq!E120="")</f>
        <v>0</v>
      </c>
      <c r="F120">
        <f>B120*(hospitalityq!F120="")</f>
        <v>0</v>
      </c>
      <c r="G120">
        <f>B120*(hospitalityq!G120="")</f>
        <v>0</v>
      </c>
      <c r="H120">
        <f>B120*(hospitalityq!H120="")</f>
        <v>0</v>
      </c>
      <c r="I120">
        <f>B120*(hospitalityq!I120="")</f>
        <v>0</v>
      </c>
      <c r="J120">
        <f>B120*(hospitalityq!J120="")</f>
        <v>0</v>
      </c>
      <c r="K120">
        <f>B120*(hospitalityq!K120="")</f>
        <v>0</v>
      </c>
      <c r="L120">
        <f>B120*(hospitalityq!L120="")</f>
        <v>0</v>
      </c>
      <c r="M120">
        <f>B120*(hospitalityq!M120="")</f>
        <v>0</v>
      </c>
      <c r="N120">
        <f>B120*(hospitalityq!N120="")</f>
        <v>0</v>
      </c>
      <c r="O120">
        <f>B120*(hospitalityq!O120="")</f>
        <v>0</v>
      </c>
      <c r="P120">
        <f>B120*(hospitalityq!P120="")</f>
        <v>0</v>
      </c>
      <c r="Q120">
        <f>B120*(hospitalityq!Q120="")</f>
        <v>0</v>
      </c>
      <c r="R120">
        <f>B120*(hospitalityq!R120="")</f>
        <v>0</v>
      </c>
    </row>
    <row r="121" spans="1:18" x14ac:dyDescent="0.25">
      <c r="A121">
        <f t="shared" si="2"/>
        <v>0</v>
      </c>
      <c r="B121" t="b">
        <f>SUMPRODUCT(LEN(hospitalityq!C121:R121))&gt;0</f>
        <v>0</v>
      </c>
      <c r="C121">
        <f>B121*(hospitalityq!C121="")</f>
        <v>0</v>
      </c>
      <c r="E121">
        <f>B121*(hospitalityq!E121="")</f>
        <v>0</v>
      </c>
      <c r="F121">
        <f>B121*(hospitalityq!F121="")</f>
        <v>0</v>
      </c>
      <c r="G121">
        <f>B121*(hospitalityq!G121="")</f>
        <v>0</v>
      </c>
      <c r="H121">
        <f>B121*(hospitalityq!H121="")</f>
        <v>0</v>
      </c>
      <c r="I121">
        <f>B121*(hospitalityq!I121="")</f>
        <v>0</v>
      </c>
      <c r="J121">
        <f>B121*(hospitalityq!J121="")</f>
        <v>0</v>
      </c>
      <c r="K121">
        <f>B121*(hospitalityq!K121="")</f>
        <v>0</v>
      </c>
      <c r="L121">
        <f>B121*(hospitalityq!L121="")</f>
        <v>0</v>
      </c>
      <c r="M121">
        <f>B121*(hospitalityq!M121="")</f>
        <v>0</v>
      </c>
      <c r="N121">
        <f>B121*(hospitalityq!N121="")</f>
        <v>0</v>
      </c>
      <c r="O121">
        <f>B121*(hospitalityq!O121="")</f>
        <v>0</v>
      </c>
      <c r="P121">
        <f>B121*(hospitalityq!P121="")</f>
        <v>0</v>
      </c>
      <c r="Q121">
        <f>B121*(hospitalityq!Q121="")</f>
        <v>0</v>
      </c>
      <c r="R121">
        <f>B121*(hospitalityq!R121="")</f>
        <v>0</v>
      </c>
    </row>
    <row r="122" spans="1:18" x14ac:dyDescent="0.25">
      <c r="A122">
        <f t="shared" si="2"/>
        <v>0</v>
      </c>
      <c r="B122" t="b">
        <f>SUMPRODUCT(LEN(hospitalityq!C122:R122))&gt;0</f>
        <v>0</v>
      </c>
      <c r="C122">
        <f>B122*(hospitalityq!C122="")</f>
        <v>0</v>
      </c>
      <c r="E122">
        <f>B122*(hospitalityq!E122="")</f>
        <v>0</v>
      </c>
      <c r="F122">
        <f>B122*(hospitalityq!F122="")</f>
        <v>0</v>
      </c>
      <c r="G122">
        <f>B122*(hospitalityq!G122="")</f>
        <v>0</v>
      </c>
      <c r="H122">
        <f>B122*(hospitalityq!H122="")</f>
        <v>0</v>
      </c>
      <c r="I122">
        <f>B122*(hospitalityq!I122="")</f>
        <v>0</v>
      </c>
      <c r="J122">
        <f>B122*(hospitalityq!J122="")</f>
        <v>0</v>
      </c>
      <c r="K122">
        <f>B122*(hospitalityq!K122="")</f>
        <v>0</v>
      </c>
      <c r="L122">
        <f>B122*(hospitalityq!L122="")</f>
        <v>0</v>
      </c>
      <c r="M122">
        <f>B122*(hospitalityq!M122="")</f>
        <v>0</v>
      </c>
      <c r="N122">
        <f>B122*(hospitalityq!N122="")</f>
        <v>0</v>
      </c>
      <c r="O122">
        <f>B122*(hospitalityq!O122="")</f>
        <v>0</v>
      </c>
      <c r="P122">
        <f>B122*(hospitalityq!P122="")</f>
        <v>0</v>
      </c>
      <c r="Q122">
        <f>B122*(hospitalityq!Q122="")</f>
        <v>0</v>
      </c>
      <c r="R122">
        <f>B122*(hospitalityq!R122="")</f>
        <v>0</v>
      </c>
    </row>
    <row r="123" spans="1:18" x14ac:dyDescent="0.25">
      <c r="A123">
        <f t="shared" si="2"/>
        <v>0</v>
      </c>
      <c r="B123" t="b">
        <f>SUMPRODUCT(LEN(hospitalityq!C123:R123))&gt;0</f>
        <v>0</v>
      </c>
      <c r="C123">
        <f>B123*(hospitalityq!C123="")</f>
        <v>0</v>
      </c>
      <c r="E123">
        <f>B123*(hospitalityq!E123="")</f>
        <v>0</v>
      </c>
      <c r="F123">
        <f>B123*(hospitalityq!F123="")</f>
        <v>0</v>
      </c>
      <c r="G123">
        <f>B123*(hospitalityq!G123="")</f>
        <v>0</v>
      </c>
      <c r="H123">
        <f>B123*(hospitalityq!H123="")</f>
        <v>0</v>
      </c>
      <c r="I123">
        <f>B123*(hospitalityq!I123="")</f>
        <v>0</v>
      </c>
      <c r="J123">
        <f>B123*(hospitalityq!J123="")</f>
        <v>0</v>
      </c>
      <c r="K123">
        <f>B123*(hospitalityq!K123="")</f>
        <v>0</v>
      </c>
      <c r="L123">
        <f>B123*(hospitalityq!L123="")</f>
        <v>0</v>
      </c>
      <c r="M123">
        <f>B123*(hospitalityq!M123="")</f>
        <v>0</v>
      </c>
      <c r="N123">
        <f>B123*(hospitalityq!N123="")</f>
        <v>0</v>
      </c>
      <c r="O123">
        <f>B123*(hospitalityq!O123="")</f>
        <v>0</v>
      </c>
      <c r="P123">
        <f>B123*(hospitalityq!P123="")</f>
        <v>0</v>
      </c>
      <c r="Q123">
        <f>B123*(hospitalityq!Q123="")</f>
        <v>0</v>
      </c>
      <c r="R123">
        <f>B123*(hospitalityq!R123="")</f>
        <v>0</v>
      </c>
    </row>
    <row r="124" spans="1:18" x14ac:dyDescent="0.25">
      <c r="A124">
        <f t="shared" si="2"/>
        <v>0</v>
      </c>
      <c r="B124" t="b">
        <f>SUMPRODUCT(LEN(hospitalityq!C124:R124))&gt;0</f>
        <v>0</v>
      </c>
      <c r="C124">
        <f>B124*(hospitalityq!C124="")</f>
        <v>0</v>
      </c>
      <c r="E124">
        <f>B124*(hospitalityq!E124="")</f>
        <v>0</v>
      </c>
      <c r="F124">
        <f>B124*(hospitalityq!F124="")</f>
        <v>0</v>
      </c>
      <c r="G124">
        <f>B124*(hospitalityq!G124="")</f>
        <v>0</v>
      </c>
      <c r="H124">
        <f>B124*(hospitalityq!H124="")</f>
        <v>0</v>
      </c>
      <c r="I124">
        <f>B124*(hospitalityq!I124="")</f>
        <v>0</v>
      </c>
      <c r="J124">
        <f>B124*(hospitalityq!J124="")</f>
        <v>0</v>
      </c>
      <c r="K124">
        <f>B124*(hospitalityq!K124="")</f>
        <v>0</v>
      </c>
      <c r="L124">
        <f>B124*(hospitalityq!L124="")</f>
        <v>0</v>
      </c>
      <c r="M124">
        <f>B124*(hospitalityq!M124="")</f>
        <v>0</v>
      </c>
      <c r="N124">
        <f>B124*(hospitalityq!N124="")</f>
        <v>0</v>
      </c>
      <c r="O124">
        <f>B124*(hospitalityq!O124="")</f>
        <v>0</v>
      </c>
      <c r="P124">
        <f>B124*(hospitalityq!P124="")</f>
        <v>0</v>
      </c>
      <c r="Q124">
        <f>B124*(hospitalityq!Q124="")</f>
        <v>0</v>
      </c>
      <c r="R124">
        <f>B124*(hospitalityq!R124="")</f>
        <v>0</v>
      </c>
    </row>
    <row r="125" spans="1:18" x14ac:dyDescent="0.25">
      <c r="A125">
        <f t="shared" si="2"/>
        <v>0</v>
      </c>
      <c r="B125" t="b">
        <f>SUMPRODUCT(LEN(hospitalityq!C125:R125))&gt;0</f>
        <v>0</v>
      </c>
      <c r="C125">
        <f>B125*(hospitalityq!C125="")</f>
        <v>0</v>
      </c>
      <c r="E125">
        <f>B125*(hospitalityq!E125="")</f>
        <v>0</v>
      </c>
      <c r="F125">
        <f>B125*(hospitalityq!F125="")</f>
        <v>0</v>
      </c>
      <c r="G125">
        <f>B125*(hospitalityq!G125="")</f>
        <v>0</v>
      </c>
      <c r="H125">
        <f>B125*(hospitalityq!H125="")</f>
        <v>0</v>
      </c>
      <c r="I125">
        <f>B125*(hospitalityq!I125="")</f>
        <v>0</v>
      </c>
      <c r="J125">
        <f>B125*(hospitalityq!J125="")</f>
        <v>0</v>
      </c>
      <c r="K125">
        <f>B125*(hospitalityq!K125="")</f>
        <v>0</v>
      </c>
      <c r="L125">
        <f>B125*(hospitalityq!L125="")</f>
        <v>0</v>
      </c>
      <c r="M125">
        <f>B125*(hospitalityq!M125="")</f>
        <v>0</v>
      </c>
      <c r="N125">
        <f>B125*(hospitalityq!N125="")</f>
        <v>0</v>
      </c>
      <c r="O125">
        <f>B125*(hospitalityq!O125="")</f>
        <v>0</v>
      </c>
      <c r="P125">
        <f>B125*(hospitalityq!P125="")</f>
        <v>0</v>
      </c>
      <c r="Q125">
        <f>B125*(hospitalityq!Q125="")</f>
        <v>0</v>
      </c>
      <c r="R125">
        <f>B125*(hospitalityq!R125="")</f>
        <v>0</v>
      </c>
    </row>
    <row r="126" spans="1:18" x14ac:dyDescent="0.25">
      <c r="A126">
        <f t="shared" si="2"/>
        <v>0</v>
      </c>
      <c r="B126" t="b">
        <f>SUMPRODUCT(LEN(hospitalityq!C126:R126))&gt;0</f>
        <v>0</v>
      </c>
      <c r="C126">
        <f>B126*(hospitalityq!C126="")</f>
        <v>0</v>
      </c>
      <c r="E126">
        <f>B126*(hospitalityq!E126="")</f>
        <v>0</v>
      </c>
      <c r="F126">
        <f>B126*(hospitalityq!F126="")</f>
        <v>0</v>
      </c>
      <c r="G126">
        <f>B126*(hospitalityq!G126="")</f>
        <v>0</v>
      </c>
      <c r="H126">
        <f>B126*(hospitalityq!H126="")</f>
        <v>0</v>
      </c>
      <c r="I126">
        <f>B126*(hospitalityq!I126="")</f>
        <v>0</v>
      </c>
      <c r="J126">
        <f>B126*(hospitalityq!J126="")</f>
        <v>0</v>
      </c>
      <c r="K126">
        <f>B126*(hospitalityq!K126="")</f>
        <v>0</v>
      </c>
      <c r="L126">
        <f>B126*(hospitalityq!L126="")</f>
        <v>0</v>
      </c>
      <c r="M126">
        <f>B126*(hospitalityq!M126="")</f>
        <v>0</v>
      </c>
      <c r="N126">
        <f>B126*(hospitalityq!N126="")</f>
        <v>0</v>
      </c>
      <c r="O126">
        <f>B126*(hospitalityq!O126="")</f>
        <v>0</v>
      </c>
      <c r="P126">
        <f>B126*(hospitalityq!P126="")</f>
        <v>0</v>
      </c>
      <c r="Q126">
        <f>B126*(hospitalityq!Q126="")</f>
        <v>0</v>
      </c>
      <c r="R126">
        <f>B126*(hospitalityq!R126="")</f>
        <v>0</v>
      </c>
    </row>
    <row r="127" spans="1:18" x14ac:dyDescent="0.25">
      <c r="A127">
        <f t="shared" si="2"/>
        <v>0</v>
      </c>
      <c r="B127" t="b">
        <f>SUMPRODUCT(LEN(hospitalityq!C127:R127))&gt;0</f>
        <v>0</v>
      </c>
      <c r="C127">
        <f>B127*(hospitalityq!C127="")</f>
        <v>0</v>
      </c>
      <c r="E127">
        <f>B127*(hospitalityq!E127="")</f>
        <v>0</v>
      </c>
      <c r="F127">
        <f>B127*(hospitalityq!F127="")</f>
        <v>0</v>
      </c>
      <c r="G127">
        <f>B127*(hospitalityq!G127="")</f>
        <v>0</v>
      </c>
      <c r="H127">
        <f>B127*(hospitalityq!H127="")</f>
        <v>0</v>
      </c>
      <c r="I127">
        <f>B127*(hospitalityq!I127="")</f>
        <v>0</v>
      </c>
      <c r="J127">
        <f>B127*(hospitalityq!J127="")</f>
        <v>0</v>
      </c>
      <c r="K127">
        <f>B127*(hospitalityq!K127="")</f>
        <v>0</v>
      </c>
      <c r="L127">
        <f>B127*(hospitalityq!L127="")</f>
        <v>0</v>
      </c>
      <c r="M127">
        <f>B127*(hospitalityq!M127="")</f>
        <v>0</v>
      </c>
      <c r="N127">
        <f>B127*(hospitalityq!N127="")</f>
        <v>0</v>
      </c>
      <c r="O127">
        <f>B127*(hospitalityq!O127="")</f>
        <v>0</v>
      </c>
      <c r="P127">
        <f>B127*(hospitalityq!P127="")</f>
        <v>0</v>
      </c>
      <c r="Q127">
        <f>B127*(hospitalityq!Q127="")</f>
        <v>0</v>
      </c>
      <c r="R127">
        <f>B127*(hospitalityq!R127="")</f>
        <v>0</v>
      </c>
    </row>
    <row r="128" spans="1:18" x14ac:dyDescent="0.25">
      <c r="A128">
        <f t="shared" si="2"/>
        <v>0</v>
      </c>
      <c r="B128" t="b">
        <f>SUMPRODUCT(LEN(hospitalityq!C128:R128))&gt;0</f>
        <v>0</v>
      </c>
      <c r="C128">
        <f>B128*(hospitalityq!C128="")</f>
        <v>0</v>
      </c>
      <c r="E128">
        <f>B128*(hospitalityq!E128="")</f>
        <v>0</v>
      </c>
      <c r="F128">
        <f>B128*(hospitalityq!F128="")</f>
        <v>0</v>
      </c>
      <c r="G128">
        <f>B128*(hospitalityq!G128="")</f>
        <v>0</v>
      </c>
      <c r="H128">
        <f>B128*(hospitalityq!H128="")</f>
        <v>0</v>
      </c>
      <c r="I128">
        <f>B128*(hospitalityq!I128="")</f>
        <v>0</v>
      </c>
      <c r="J128">
        <f>B128*(hospitalityq!J128="")</f>
        <v>0</v>
      </c>
      <c r="K128">
        <f>B128*(hospitalityq!K128="")</f>
        <v>0</v>
      </c>
      <c r="L128">
        <f>B128*(hospitalityq!L128="")</f>
        <v>0</v>
      </c>
      <c r="M128">
        <f>B128*(hospitalityq!M128="")</f>
        <v>0</v>
      </c>
      <c r="N128">
        <f>B128*(hospitalityq!N128="")</f>
        <v>0</v>
      </c>
      <c r="O128">
        <f>B128*(hospitalityq!O128="")</f>
        <v>0</v>
      </c>
      <c r="P128">
        <f>B128*(hospitalityq!P128="")</f>
        <v>0</v>
      </c>
      <c r="Q128">
        <f>B128*(hospitalityq!Q128="")</f>
        <v>0</v>
      </c>
      <c r="R128">
        <f>B128*(hospitalityq!R128="")</f>
        <v>0</v>
      </c>
    </row>
    <row r="129" spans="1:18" x14ac:dyDescent="0.25">
      <c r="A129">
        <f t="shared" si="2"/>
        <v>0</v>
      </c>
      <c r="B129" t="b">
        <f>SUMPRODUCT(LEN(hospitalityq!C129:R129))&gt;0</f>
        <v>0</v>
      </c>
      <c r="C129">
        <f>B129*(hospitalityq!C129="")</f>
        <v>0</v>
      </c>
      <c r="E129">
        <f>B129*(hospitalityq!E129="")</f>
        <v>0</v>
      </c>
      <c r="F129">
        <f>B129*(hospitalityq!F129="")</f>
        <v>0</v>
      </c>
      <c r="G129">
        <f>B129*(hospitalityq!G129="")</f>
        <v>0</v>
      </c>
      <c r="H129">
        <f>B129*(hospitalityq!H129="")</f>
        <v>0</v>
      </c>
      <c r="I129">
        <f>B129*(hospitalityq!I129="")</f>
        <v>0</v>
      </c>
      <c r="J129">
        <f>B129*(hospitalityq!J129="")</f>
        <v>0</v>
      </c>
      <c r="K129">
        <f>B129*(hospitalityq!K129="")</f>
        <v>0</v>
      </c>
      <c r="L129">
        <f>B129*(hospitalityq!L129="")</f>
        <v>0</v>
      </c>
      <c r="M129">
        <f>B129*(hospitalityq!M129="")</f>
        <v>0</v>
      </c>
      <c r="N129">
        <f>B129*(hospitalityq!N129="")</f>
        <v>0</v>
      </c>
      <c r="O129">
        <f>B129*(hospitalityq!O129="")</f>
        <v>0</v>
      </c>
      <c r="P129">
        <f>B129*(hospitalityq!P129="")</f>
        <v>0</v>
      </c>
      <c r="Q129">
        <f>B129*(hospitalityq!Q129="")</f>
        <v>0</v>
      </c>
      <c r="R129">
        <f>B129*(hospitalityq!R129="")</f>
        <v>0</v>
      </c>
    </row>
    <row r="130" spans="1:18" x14ac:dyDescent="0.25">
      <c r="A130">
        <f t="shared" si="2"/>
        <v>0</v>
      </c>
      <c r="B130" t="b">
        <f>SUMPRODUCT(LEN(hospitalityq!C130:R130))&gt;0</f>
        <v>0</v>
      </c>
      <c r="C130">
        <f>B130*(hospitalityq!C130="")</f>
        <v>0</v>
      </c>
      <c r="E130">
        <f>B130*(hospitalityq!E130="")</f>
        <v>0</v>
      </c>
      <c r="F130">
        <f>B130*(hospitalityq!F130="")</f>
        <v>0</v>
      </c>
      <c r="G130">
        <f>B130*(hospitalityq!G130="")</f>
        <v>0</v>
      </c>
      <c r="H130">
        <f>B130*(hospitalityq!H130="")</f>
        <v>0</v>
      </c>
      <c r="I130">
        <f>B130*(hospitalityq!I130="")</f>
        <v>0</v>
      </c>
      <c r="J130">
        <f>B130*(hospitalityq!J130="")</f>
        <v>0</v>
      </c>
      <c r="K130">
        <f>B130*(hospitalityq!K130="")</f>
        <v>0</v>
      </c>
      <c r="L130">
        <f>B130*(hospitalityq!L130="")</f>
        <v>0</v>
      </c>
      <c r="M130">
        <f>B130*(hospitalityq!M130="")</f>
        <v>0</v>
      </c>
      <c r="N130">
        <f>B130*(hospitalityq!N130="")</f>
        <v>0</v>
      </c>
      <c r="O130">
        <f>B130*(hospitalityq!O130="")</f>
        <v>0</v>
      </c>
      <c r="P130">
        <f>B130*(hospitalityq!P130="")</f>
        <v>0</v>
      </c>
      <c r="Q130">
        <f>B130*(hospitalityq!Q130="")</f>
        <v>0</v>
      </c>
      <c r="R130">
        <f>B130*(hospitalityq!R130="")</f>
        <v>0</v>
      </c>
    </row>
    <row r="131" spans="1:18" x14ac:dyDescent="0.25">
      <c r="A131">
        <f t="shared" si="2"/>
        <v>0</v>
      </c>
      <c r="B131" t="b">
        <f>SUMPRODUCT(LEN(hospitalityq!C131:R131))&gt;0</f>
        <v>0</v>
      </c>
      <c r="C131">
        <f>B131*(hospitalityq!C131="")</f>
        <v>0</v>
      </c>
      <c r="E131">
        <f>B131*(hospitalityq!E131="")</f>
        <v>0</v>
      </c>
      <c r="F131">
        <f>B131*(hospitalityq!F131="")</f>
        <v>0</v>
      </c>
      <c r="G131">
        <f>B131*(hospitalityq!G131="")</f>
        <v>0</v>
      </c>
      <c r="H131">
        <f>B131*(hospitalityq!H131="")</f>
        <v>0</v>
      </c>
      <c r="I131">
        <f>B131*(hospitalityq!I131="")</f>
        <v>0</v>
      </c>
      <c r="J131">
        <f>B131*(hospitalityq!J131="")</f>
        <v>0</v>
      </c>
      <c r="K131">
        <f>B131*(hospitalityq!K131="")</f>
        <v>0</v>
      </c>
      <c r="L131">
        <f>B131*(hospitalityq!L131="")</f>
        <v>0</v>
      </c>
      <c r="M131">
        <f>B131*(hospitalityq!M131="")</f>
        <v>0</v>
      </c>
      <c r="N131">
        <f>B131*(hospitalityq!N131="")</f>
        <v>0</v>
      </c>
      <c r="O131">
        <f>B131*(hospitalityq!O131="")</f>
        <v>0</v>
      </c>
      <c r="P131">
        <f>B131*(hospitalityq!P131="")</f>
        <v>0</v>
      </c>
      <c r="Q131">
        <f>B131*(hospitalityq!Q131="")</f>
        <v>0</v>
      </c>
      <c r="R131">
        <f>B131*(hospitalityq!R131="")</f>
        <v>0</v>
      </c>
    </row>
    <row r="132" spans="1:18" x14ac:dyDescent="0.25">
      <c r="A132">
        <f t="shared" si="2"/>
        <v>0</v>
      </c>
      <c r="B132" t="b">
        <f>SUMPRODUCT(LEN(hospitalityq!C132:R132))&gt;0</f>
        <v>0</v>
      </c>
      <c r="C132">
        <f>B132*(hospitalityq!C132="")</f>
        <v>0</v>
      </c>
      <c r="E132">
        <f>B132*(hospitalityq!E132="")</f>
        <v>0</v>
      </c>
      <c r="F132">
        <f>B132*(hospitalityq!F132="")</f>
        <v>0</v>
      </c>
      <c r="G132">
        <f>B132*(hospitalityq!G132="")</f>
        <v>0</v>
      </c>
      <c r="H132">
        <f>B132*(hospitalityq!H132="")</f>
        <v>0</v>
      </c>
      <c r="I132">
        <f>B132*(hospitalityq!I132="")</f>
        <v>0</v>
      </c>
      <c r="J132">
        <f>B132*(hospitalityq!J132="")</f>
        <v>0</v>
      </c>
      <c r="K132">
        <f>B132*(hospitalityq!K132="")</f>
        <v>0</v>
      </c>
      <c r="L132">
        <f>B132*(hospitalityq!L132="")</f>
        <v>0</v>
      </c>
      <c r="M132">
        <f>B132*(hospitalityq!M132="")</f>
        <v>0</v>
      </c>
      <c r="N132">
        <f>B132*(hospitalityq!N132="")</f>
        <v>0</v>
      </c>
      <c r="O132">
        <f>B132*(hospitalityq!O132="")</f>
        <v>0</v>
      </c>
      <c r="P132">
        <f>B132*(hospitalityq!P132="")</f>
        <v>0</v>
      </c>
      <c r="Q132">
        <f>B132*(hospitalityq!Q132="")</f>
        <v>0</v>
      </c>
      <c r="R132">
        <f>B132*(hospitalityq!R132="")</f>
        <v>0</v>
      </c>
    </row>
    <row r="133" spans="1:18" x14ac:dyDescent="0.25">
      <c r="A133">
        <f t="shared" si="2"/>
        <v>0</v>
      </c>
      <c r="B133" t="b">
        <f>SUMPRODUCT(LEN(hospitalityq!C133:R133))&gt;0</f>
        <v>0</v>
      </c>
      <c r="C133">
        <f>B133*(hospitalityq!C133="")</f>
        <v>0</v>
      </c>
      <c r="E133">
        <f>B133*(hospitalityq!E133="")</f>
        <v>0</v>
      </c>
      <c r="F133">
        <f>B133*(hospitalityq!F133="")</f>
        <v>0</v>
      </c>
      <c r="G133">
        <f>B133*(hospitalityq!G133="")</f>
        <v>0</v>
      </c>
      <c r="H133">
        <f>B133*(hospitalityq!H133="")</f>
        <v>0</v>
      </c>
      <c r="I133">
        <f>B133*(hospitalityq!I133="")</f>
        <v>0</v>
      </c>
      <c r="J133">
        <f>B133*(hospitalityq!J133="")</f>
        <v>0</v>
      </c>
      <c r="K133">
        <f>B133*(hospitalityq!K133="")</f>
        <v>0</v>
      </c>
      <c r="L133">
        <f>B133*(hospitalityq!L133="")</f>
        <v>0</v>
      </c>
      <c r="M133">
        <f>B133*(hospitalityq!M133="")</f>
        <v>0</v>
      </c>
      <c r="N133">
        <f>B133*(hospitalityq!N133="")</f>
        <v>0</v>
      </c>
      <c r="O133">
        <f>B133*(hospitalityq!O133="")</f>
        <v>0</v>
      </c>
      <c r="P133">
        <f>B133*(hospitalityq!P133="")</f>
        <v>0</v>
      </c>
      <c r="Q133">
        <f>B133*(hospitalityq!Q133="")</f>
        <v>0</v>
      </c>
      <c r="R133">
        <f>B133*(hospitalityq!R133="")</f>
        <v>0</v>
      </c>
    </row>
    <row r="134" spans="1:18" x14ac:dyDescent="0.25">
      <c r="A134">
        <f t="shared" ref="A134:A197" si="3">IFERROR(MATCH(TRUE,INDEX(C134:R134&lt;&gt;0,),)+2,0)</f>
        <v>0</v>
      </c>
      <c r="B134" t="b">
        <f>SUMPRODUCT(LEN(hospitalityq!C134:R134))&gt;0</f>
        <v>0</v>
      </c>
      <c r="C134">
        <f>B134*(hospitalityq!C134="")</f>
        <v>0</v>
      </c>
      <c r="E134">
        <f>B134*(hospitalityq!E134="")</f>
        <v>0</v>
      </c>
      <c r="F134">
        <f>B134*(hospitalityq!F134="")</f>
        <v>0</v>
      </c>
      <c r="G134">
        <f>B134*(hospitalityq!G134="")</f>
        <v>0</v>
      </c>
      <c r="H134">
        <f>B134*(hospitalityq!H134="")</f>
        <v>0</v>
      </c>
      <c r="I134">
        <f>B134*(hospitalityq!I134="")</f>
        <v>0</v>
      </c>
      <c r="J134">
        <f>B134*(hospitalityq!J134="")</f>
        <v>0</v>
      </c>
      <c r="K134">
        <f>B134*(hospitalityq!K134="")</f>
        <v>0</v>
      </c>
      <c r="L134">
        <f>B134*(hospitalityq!L134="")</f>
        <v>0</v>
      </c>
      <c r="M134">
        <f>B134*(hospitalityq!M134="")</f>
        <v>0</v>
      </c>
      <c r="N134">
        <f>B134*(hospitalityq!N134="")</f>
        <v>0</v>
      </c>
      <c r="O134">
        <f>B134*(hospitalityq!O134="")</f>
        <v>0</v>
      </c>
      <c r="P134">
        <f>B134*(hospitalityq!P134="")</f>
        <v>0</v>
      </c>
      <c r="Q134">
        <f>B134*(hospitalityq!Q134="")</f>
        <v>0</v>
      </c>
      <c r="R134">
        <f>B134*(hospitalityq!R134="")</f>
        <v>0</v>
      </c>
    </row>
    <row r="135" spans="1:18" x14ac:dyDescent="0.25">
      <c r="A135">
        <f t="shared" si="3"/>
        <v>0</v>
      </c>
      <c r="B135" t="b">
        <f>SUMPRODUCT(LEN(hospitalityq!C135:R135))&gt;0</f>
        <v>0</v>
      </c>
      <c r="C135">
        <f>B135*(hospitalityq!C135="")</f>
        <v>0</v>
      </c>
      <c r="E135">
        <f>B135*(hospitalityq!E135="")</f>
        <v>0</v>
      </c>
      <c r="F135">
        <f>B135*(hospitalityq!F135="")</f>
        <v>0</v>
      </c>
      <c r="G135">
        <f>B135*(hospitalityq!G135="")</f>
        <v>0</v>
      </c>
      <c r="H135">
        <f>B135*(hospitalityq!H135="")</f>
        <v>0</v>
      </c>
      <c r="I135">
        <f>B135*(hospitalityq!I135="")</f>
        <v>0</v>
      </c>
      <c r="J135">
        <f>B135*(hospitalityq!J135="")</f>
        <v>0</v>
      </c>
      <c r="K135">
        <f>B135*(hospitalityq!K135="")</f>
        <v>0</v>
      </c>
      <c r="L135">
        <f>B135*(hospitalityq!L135="")</f>
        <v>0</v>
      </c>
      <c r="M135">
        <f>B135*(hospitalityq!M135="")</f>
        <v>0</v>
      </c>
      <c r="N135">
        <f>B135*(hospitalityq!N135="")</f>
        <v>0</v>
      </c>
      <c r="O135">
        <f>B135*(hospitalityq!O135="")</f>
        <v>0</v>
      </c>
      <c r="P135">
        <f>B135*(hospitalityq!P135="")</f>
        <v>0</v>
      </c>
      <c r="Q135">
        <f>B135*(hospitalityq!Q135="")</f>
        <v>0</v>
      </c>
      <c r="R135">
        <f>B135*(hospitalityq!R135="")</f>
        <v>0</v>
      </c>
    </row>
    <row r="136" spans="1:18" x14ac:dyDescent="0.25">
      <c r="A136">
        <f t="shared" si="3"/>
        <v>0</v>
      </c>
      <c r="B136" t="b">
        <f>SUMPRODUCT(LEN(hospitalityq!C136:R136))&gt;0</f>
        <v>0</v>
      </c>
      <c r="C136">
        <f>B136*(hospitalityq!C136="")</f>
        <v>0</v>
      </c>
      <c r="E136">
        <f>B136*(hospitalityq!E136="")</f>
        <v>0</v>
      </c>
      <c r="F136">
        <f>B136*(hospitalityq!F136="")</f>
        <v>0</v>
      </c>
      <c r="G136">
        <f>B136*(hospitalityq!G136="")</f>
        <v>0</v>
      </c>
      <c r="H136">
        <f>B136*(hospitalityq!H136="")</f>
        <v>0</v>
      </c>
      <c r="I136">
        <f>B136*(hospitalityq!I136="")</f>
        <v>0</v>
      </c>
      <c r="J136">
        <f>B136*(hospitalityq!J136="")</f>
        <v>0</v>
      </c>
      <c r="K136">
        <f>B136*(hospitalityq!K136="")</f>
        <v>0</v>
      </c>
      <c r="L136">
        <f>B136*(hospitalityq!L136="")</f>
        <v>0</v>
      </c>
      <c r="M136">
        <f>B136*(hospitalityq!M136="")</f>
        <v>0</v>
      </c>
      <c r="N136">
        <f>B136*(hospitalityq!N136="")</f>
        <v>0</v>
      </c>
      <c r="O136">
        <f>B136*(hospitalityq!O136="")</f>
        <v>0</v>
      </c>
      <c r="P136">
        <f>B136*(hospitalityq!P136="")</f>
        <v>0</v>
      </c>
      <c r="Q136">
        <f>B136*(hospitalityq!Q136="")</f>
        <v>0</v>
      </c>
      <c r="R136">
        <f>B136*(hospitalityq!R136="")</f>
        <v>0</v>
      </c>
    </row>
    <row r="137" spans="1:18" x14ac:dyDescent="0.25">
      <c r="A137">
        <f t="shared" si="3"/>
        <v>0</v>
      </c>
      <c r="B137" t="b">
        <f>SUMPRODUCT(LEN(hospitalityq!C137:R137))&gt;0</f>
        <v>0</v>
      </c>
      <c r="C137">
        <f>B137*(hospitalityq!C137="")</f>
        <v>0</v>
      </c>
      <c r="E137">
        <f>B137*(hospitalityq!E137="")</f>
        <v>0</v>
      </c>
      <c r="F137">
        <f>B137*(hospitalityq!F137="")</f>
        <v>0</v>
      </c>
      <c r="G137">
        <f>B137*(hospitalityq!G137="")</f>
        <v>0</v>
      </c>
      <c r="H137">
        <f>B137*(hospitalityq!H137="")</f>
        <v>0</v>
      </c>
      <c r="I137">
        <f>B137*(hospitalityq!I137="")</f>
        <v>0</v>
      </c>
      <c r="J137">
        <f>B137*(hospitalityq!J137="")</f>
        <v>0</v>
      </c>
      <c r="K137">
        <f>B137*(hospitalityq!K137="")</f>
        <v>0</v>
      </c>
      <c r="L137">
        <f>B137*(hospitalityq!L137="")</f>
        <v>0</v>
      </c>
      <c r="M137">
        <f>B137*(hospitalityq!M137="")</f>
        <v>0</v>
      </c>
      <c r="N137">
        <f>B137*(hospitalityq!N137="")</f>
        <v>0</v>
      </c>
      <c r="O137">
        <f>B137*(hospitalityq!O137="")</f>
        <v>0</v>
      </c>
      <c r="P137">
        <f>B137*(hospitalityq!P137="")</f>
        <v>0</v>
      </c>
      <c r="Q137">
        <f>B137*(hospitalityq!Q137="")</f>
        <v>0</v>
      </c>
      <c r="R137">
        <f>B137*(hospitalityq!R137="")</f>
        <v>0</v>
      </c>
    </row>
    <row r="138" spans="1:18" x14ac:dyDescent="0.25">
      <c r="A138">
        <f t="shared" si="3"/>
        <v>0</v>
      </c>
      <c r="B138" t="b">
        <f>SUMPRODUCT(LEN(hospitalityq!C138:R138))&gt;0</f>
        <v>0</v>
      </c>
      <c r="C138">
        <f>B138*(hospitalityq!C138="")</f>
        <v>0</v>
      </c>
      <c r="E138">
        <f>B138*(hospitalityq!E138="")</f>
        <v>0</v>
      </c>
      <c r="F138">
        <f>B138*(hospitalityq!F138="")</f>
        <v>0</v>
      </c>
      <c r="G138">
        <f>B138*(hospitalityq!G138="")</f>
        <v>0</v>
      </c>
      <c r="H138">
        <f>B138*(hospitalityq!H138="")</f>
        <v>0</v>
      </c>
      <c r="I138">
        <f>B138*(hospitalityq!I138="")</f>
        <v>0</v>
      </c>
      <c r="J138">
        <f>B138*(hospitalityq!J138="")</f>
        <v>0</v>
      </c>
      <c r="K138">
        <f>B138*(hospitalityq!K138="")</f>
        <v>0</v>
      </c>
      <c r="L138">
        <f>B138*(hospitalityq!L138="")</f>
        <v>0</v>
      </c>
      <c r="M138">
        <f>B138*(hospitalityq!M138="")</f>
        <v>0</v>
      </c>
      <c r="N138">
        <f>B138*(hospitalityq!N138="")</f>
        <v>0</v>
      </c>
      <c r="O138">
        <f>B138*(hospitalityq!O138="")</f>
        <v>0</v>
      </c>
      <c r="P138">
        <f>B138*(hospitalityq!P138="")</f>
        <v>0</v>
      </c>
      <c r="Q138">
        <f>B138*(hospitalityq!Q138="")</f>
        <v>0</v>
      </c>
      <c r="R138">
        <f>B138*(hospitalityq!R138="")</f>
        <v>0</v>
      </c>
    </row>
    <row r="139" spans="1:18" x14ac:dyDescent="0.25">
      <c r="A139">
        <f t="shared" si="3"/>
        <v>0</v>
      </c>
      <c r="B139" t="b">
        <f>SUMPRODUCT(LEN(hospitalityq!C139:R139))&gt;0</f>
        <v>0</v>
      </c>
      <c r="C139">
        <f>B139*(hospitalityq!C139="")</f>
        <v>0</v>
      </c>
      <c r="E139">
        <f>B139*(hospitalityq!E139="")</f>
        <v>0</v>
      </c>
      <c r="F139">
        <f>B139*(hospitalityq!F139="")</f>
        <v>0</v>
      </c>
      <c r="G139">
        <f>B139*(hospitalityq!G139="")</f>
        <v>0</v>
      </c>
      <c r="H139">
        <f>B139*(hospitalityq!H139="")</f>
        <v>0</v>
      </c>
      <c r="I139">
        <f>B139*(hospitalityq!I139="")</f>
        <v>0</v>
      </c>
      <c r="J139">
        <f>B139*(hospitalityq!J139="")</f>
        <v>0</v>
      </c>
      <c r="K139">
        <f>B139*(hospitalityq!K139="")</f>
        <v>0</v>
      </c>
      <c r="L139">
        <f>B139*(hospitalityq!L139="")</f>
        <v>0</v>
      </c>
      <c r="M139">
        <f>B139*(hospitalityq!M139="")</f>
        <v>0</v>
      </c>
      <c r="N139">
        <f>B139*(hospitalityq!N139="")</f>
        <v>0</v>
      </c>
      <c r="O139">
        <f>B139*(hospitalityq!O139="")</f>
        <v>0</v>
      </c>
      <c r="P139">
        <f>B139*(hospitalityq!P139="")</f>
        <v>0</v>
      </c>
      <c r="Q139">
        <f>B139*(hospitalityq!Q139="")</f>
        <v>0</v>
      </c>
      <c r="R139">
        <f>B139*(hospitalityq!R139="")</f>
        <v>0</v>
      </c>
    </row>
    <row r="140" spans="1:18" x14ac:dyDescent="0.25">
      <c r="A140">
        <f t="shared" si="3"/>
        <v>0</v>
      </c>
      <c r="B140" t="b">
        <f>SUMPRODUCT(LEN(hospitalityq!C140:R140))&gt;0</f>
        <v>0</v>
      </c>
      <c r="C140">
        <f>B140*(hospitalityq!C140="")</f>
        <v>0</v>
      </c>
      <c r="E140">
        <f>B140*(hospitalityq!E140="")</f>
        <v>0</v>
      </c>
      <c r="F140">
        <f>B140*(hospitalityq!F140="")</f>
        <v>0</v>
      </c>
      <c r="G140">
        <f>B140*(hospitalityq!G140="")</f>
        <v>0</v>
      </c>
      <c r="H140">
        <f>B140*(hospitalityq!H140="")</f>
        <v>0</v>
      </c>
      <c r="I140">
        <f>B140*(hospitalityq!I140="")</f>
        <v>0</v>
      </c>
      <c r="J140">
        <f>B140*(hospitalityq!J140="")</f>
        <v>0</v>
      </c>
      <c r="K140">
        <f>B140*(hospitalityq!K140="")</f>
        <v>0</v>
      </c>
      <c r="L140">
        <f>B140*(hospitalityq!L140="")</f>
        <v>0</v>
      </c>
      <c r="M140">
        <f>B140*(hospitalityq!M140="")</f>
        <v>0</v>
      </c>
      <c r="N140">
        <f>B140*(hospitalityq!N140="")</f>
        <v>0</v>
      </c>
      <c r="O140">
        <f>B140*(hospitalityq!O140="")</f>
        <v>0</v>
      </c>
      <c r="P140">
        <f>B140*(hospitalityq!P140="")</f>
        <v>0</v>
      </c>
      <c r="Q140">
        <f>B140*(hospitalityq!Q140="")</f>
        <v>0</v>
      </c>
      <c r="R140">
        <f>B140*(hospitalityq!R140="")</f>
        <v>0</v>
      </c>
    </row>
    <row r="141" spans="1:18" x14ac:dyDescent="0.25">
      <c r="A141">
        <f t="shared" si="3"/>
        <v>0</v>
      </c>
      <c r="B141" t="b">
        <f>SUMPRODUCT(LEN(hospitalityq!C141:R141))&gt;0</f>
        <v>0</v>
      </c>
      <c r="C141">
        <f>B141*(hospitalityq!C141="")</f>
        <v>0</v>
      </c>
      <c r="E141">
        <f>B141*(hospitalityq!E141="")</f>
        <v>0</v>
      </c>
      <c r="F141">
        <f>B141*(hospitalityq!F141="")</f>
        <v>0</v>
      </c>
      <c r="G141">
        <f>B141*(hospitalityq!G141="")</f>
        <v>0</v>
      </c>
      <c r="H141">
        <f>B141*(hospitalityq!H141="")</f>
        <v>0</v>
      </c>
      <c r="I141">
        <f>B141*(hospitalityq!I141="")</f>
        <v>0</v>
      </c>
      <c r="J141">
        <f>B141*(hospitalityq!J141="")</f>
        <v>0</v>
      </c>
      <c r="K141">
        <f>B141*(hospitalityq!K141="")</f>
        <v>0</v>
      </c>
      <c r="L141">
        <f>B141*(hospitalityq!L141="")</f>
        <v>0</v>
      </c>
      <c r="M141">
        <f>B141*(hospitalityq!M141="")</f>
        <v>0</v>
      </c>
      <c r="N141">
        <f>B141*(hospitalityq!N141="")</f>
        <v>0</v>
      </c>
      <c r="O141">
        <f>B141*(hospitalityq!O141="")</f>
        <v>0</v>
      </c>
      <c r="P141">
        <f>B141*(hospitalityq!P141="")</f>
        <v>0</v>
      </c>
      <c r="Q141">
        <f>B141*(hospitalityq!Q141="")</f>
        <v>0</v>
      </c>
      <c r="R141">
        <f>B141*(hospitalityq!R141="")</f>
        <v>0</v>
      </c>
    </row>
    <row r="142" spans="1:18" x14ac:dyDescent="0.25">
      <c r="A142">
        <f t="shared" si="3"/>
        <v>0</v>
      </c>
      <c r="B142" t="b">
        <f>SUMPRODUCT(LEN(hospitalityq!C142:R142))&gt;0</f>
        <v>0</v>
      </c>
      <c r="C142">
        <f>B142*(hospitalityq!C142="")</f>
        <v>0</v>
      </c>
      <c r="E142">
        <f>B142*(hospitalityq!E142="")</f>
        <v>0</v>
      </c>
      <c r="F142">
        <f>B142*(hospitalityq!F142="")</f>
        <v>0</v>
      </c>
      <c r="G142">
        <f>B142*(hospitalityq!G142="")</f>
        <v>0</v>
      </c>
      <c r="H142">
        <f>B142*(hospitalityq!H142="")</f>
        <v>0</v>
      </c>
      <c r="I142">
        <f>B142*(hospitalityq!I142="")</f>
        <v>0</v>
      </c>
      <c r="J142">
        <f>B142*(hospitalityq!J142="")</f>
        <v>0</v>
      </c>
      <c r="K142">
        <f>B142*(hospitalityq!K142="")</f>
        <v>0</v>
      </c>
      <c r="L142">
        <f>B142*(hospitalityq!L142="")</f>
        <v>0</v>
      </c>
      <c r="M142">
        <f>B142*(hospitalityq!M142="")</f>
        <v>0</v>
      </c>
      <c r="N142">
        <f>B142*(hospitalityq!N142="")</f>
        <v>0</v>
      </c>
      <c r="O142">
        <f>B142*(hospitalityq!O142="")</f>
        <v>0</v>
      </c>
      <c r="P142">
        <f>B142*(hospitalityq!P142="")</f>
        <v>0</v>
      </c>
      <c r="Q142">
        <f>B142*(hospitalityq!Q142="")</f>
        <v>0</v>
      </c>
      <c r="R142">
        <f>B142*(hospitalityq!R142="")</f>
        <v>0</v>
      </c>
    </row>
    <row r="143" spans="1:18" x14ac:dyDescent="0.25">
      <c r="A143">
        <f t="shared" si="3"/>
        <v>0</v>
      </c>
      <c r="B143" t="b">
        <f>SUMPRODUCT(LEN(hospitalityq!C143:R143))&gt;0</f>
        <v>0</v>
      </c>
      <c r="C143">
        <f>B143*(hospitalityq!C143="")</f>
        <v>0</v>
      </c>
      <c r="E143">
        <f>B143*(hospitalityq!E143="")</f>
        <v>0</v>
      </c>
      <c r="F143">
        <f>B143*(hospitalityq!F143="")</f>
        <v>0</v>
      </c>
      <c r="G143">
        <f>B143*(hospitalityq!G143="")</f>
        <v>0</v>
      </c>
      <c r="H143">
        <f>B143*(hospitalityq!H143="")</f>
        <v>0</v>
      </c>
      <c r="I143">
        <f>B143*(hospitalityq!I143="")</f>
        <v>0</v>
      </c>
      <c r="J143">
        <f>B143*(hospitalityq!J143="")</f>
        <v>0</v>
      </c>
      <c r="K143">
        <f>B143*(hospitalityq!K143="")</f>
        <v>0</v>
      </c>
      <c r="L143">
        <f>B143*(hospitalityq!L143="")</f>
        <v>0</v>
      </c>
      <c r="M143">
        <f>B143*(hospitalityq!M143="")</f>
        <v>0</v>
      </c>
      <c r="N143">
        <f>B143*(hospitalityq!N143="")</f>
        <v>0</v>
      </c>
      <c r="O143">
        <f>B143*(hospitalityq!O143="")</f>
        <v>0</v>
      </c>
      <c r="P143">
        <f>B143*(hospitalityq!P143="")</f>
        <v>0</v>
      </c>
      <c r="Q143">
        <f>B143*(hospitalityq!Q143="")</f>
        <v>0</v>
      </c>
      <c r="R143">
        <f>B143*(hospitalityq!R143="")</f>
        <v>0</v>
      </c>
    </row>
    <row r="144" spans="1:18" x14ac:dyDescent="0.25">
      <c r="A144">
        <f t="shared" si="3"/>
        <v>0</v>
      </c>
      <c r="B144" t="b">
        <f>SUMPRODUCT(LEN(hospitalityq!C144:R144))&gt;0</f>
        <v>0</v>
      </c>
      <c r="C144">
        <f>B144*(hospitalityq!C144="")</f>
        <v>0</v>
      </c>
      <c r="E144">
        <f>B144*(hospitalityq!E144="")</f>
        <v>0</v>
      </c>
      <c r="F144">
        <f>B144*(hospitalityq!F144="")</f>
        <v>0</v>
      </c>
      <c r="G144">
        <f>B144*(hospitalityq!G144="")</f>
        <v>0</v>
      </c>
      <c r="H144">
        <f>B144*(hospitalityq!H144="")</f>
        <v>0</v>
      </c>
      <c r="I144">
        <f>B144*(hospitalityq!I144="")</f>
        <v>0</v>
      </c>
      <c r="J144">
        <f>B144*(hospitalityq!J144="")</f>
        <v>0</v>
      </c>
      <c r="K144">
        <f>B144*(hospitalityq!K144="")</f>
        <v>0</v>
      </c>
      <c r="L144">
        <f>B144*(hospitalityq!L144="")</f>
        <v>0</v>
      </c>
      <c r="M144">
        <f>B144*(hospitalityq!M144="")</f>
        <v>0</v>
      </c>
      <c r="N144">
        <f>B144*(hospitalityq!N144="")</f>
        <v>0</v>
      </c>
      <c r="O144">
        <f>B144*(hospitalityq!O144="")</f>
        <v>0</v>
      </c>
      <c r="P144">
        <f>B144*(hospitalityq!P144="")</f>
        <v>0</v>
      </c>
      <c r="Q144">
        <f>B144*(hospitalityq!Q144="")</f>
        <v>0</v>
      </c>
      <c r="R144">
        <f>B144*(hospitalityq!R144="")</f>
        <v>0</v>
      </c>
    </row>
    <row r="145" spans="1:18" x14ac:dyDescent="0.25">
      <c r="A145">
        <f t="shared" si="3"/>
        <v>0</v>
      </c>
      <c r="B145" t="b">
        <f>SUMPRODUCT(LEN(hospitalityq!C145:R145))&gt;0</f>
        <v>0</v>
      </c>
      <c r="C145">
        <f>B145*(hospitalityq!C145="")</f>
        <v>0</v>
      </c>
      <c r="E145">
        <f>B145*(hospitalityq!E145="")</f>
        <v>0</v>
      </c>
      <c r="F145">
        <f>B145*(hospitalityq!F145="")</f>
        <v>0</v>
      </c>
      <c r="G145">
        <f>B145*(hospitalityq!G145="")</f>
        <v>0</v>
      </c>
      <c r="H145">
        <f>B145*(hospitalityq!H145="")</f>
        <v>0</v>
      </c>
      <c r="I145">
        <f>B145*(hospitalityq!I145="")</f>
        <v>0</v>
      </c>
      <c r="J145">
        <f>B145*(hospitalityq!J145="")</f>
        <v>0</v>
      </c>
      <c r="K145">
        <f>B145*(hospitalityq!K145="")</f>
        <v>0</v>
      </c>
      <c r="L145">
        <f>B145*(hospitalityq!L145="")</f>
        <v>0</v>
      </c>
      <c r="M145">
        <f>B145*(hospitalityq!M145="")</f>
        <v>0</v>
      </c>
      <c r="N145">
        <f>B145*(hospitalityq!N145="")</f>
        <v>0</v>
      </c>
      <c r="O145">
        <f>B145*(hospitalityq!O145="")</f>
        <v>0</v>
      </c>
      <c r="P145">
        <f>B145*(hospitalityq!P145="")</f>
        <v>0</v>
      </c>
      <c r="Q145">
        <f>B145*(hospitalityq!Q145="")</f>
        <v>0</v>
      </c>
      <c r="R145">
        <f>B145*(hospitalityq!R145="")</f>
        <v>0</v>
      </c>
    </row>
    <row r="146" spans="1:18" x14ac:dyDescent="0.25">
      <c r="A146">
        <f t="shared" si="3"/>
        <v>0</v>
      </c>
      <c r="B146" t="b">
        <f>SUMPRODUCT(LEN(hospitalityq!C146:R146))&gt;0</f>
        <v>0</v>
      </c>
      <c r="C146">
        <f>B146*(hospitalityq!C146="")</f>
        <v>0</v>
      </c>
      <c r="E146">
        <f>B146*(hospitalityq!E146="")</f>
        <v>0</v>
      </c>
      <c r="F146">
        <f>B146*(hospitalityq!F146="")</f>
        <v>0</v>
      </c>
      <c r="G146">
        <f>B146*(hospitalityq!G146="")</f>
        <v>0</v>
      </c>
      <c r="H146">
        <f>B146*(hospitalityq!H146="")</f>
        <v>0</v>
      </c>
      <c r="I146">
        <f>B146*(hospitalityq!I146="")</f>
        <v>0</v>
      </c>
      <c r="J146">
        <f>B146*(hospitalityq!J146="")</f>
        <v>0</v>
      </c>
      <c r="K146">
        <f>B146*(hospitalityq!K146="")</f>
        <v>0</v>
      </c>
      <c r="L146">
        <f>B146*(hospitalityq!L146="")</f>
        <v>0</v>
      </c>
      <c r="M146">
        <f>B146*(hospitalityq!M146="")</f>
        <v>0</v>
      </c>
      <c r="N146">
        <f>B146*(hospitalityq!N146="")</f>
        <v>0</v>
      </c>
      <c r="O146">
        <f>B146*(hospitalityq!O146="")</f>
        <v>0</v>
      </c>
      <c r="P146">
        <f>B146*(hospitalityq!P146="")</f>
        <v>0</v>
      </c>
      <c r="Q146">
        <f>B146*(hospitalityq!Q146="")</f>
        <v>0</v>
      </c>
      <c r="R146">
        <f>B146*(hospitalityq!R146="")</f>
        <v>0</v>
      </c>
    </row>
    <row r="147" spans="1:18" x14ac:dyDescent="0.25">
      <c r="A147">
        <f t="shared" si="3"/>
        <v>0</v>
      </c>
      <c r="B147" t="b">
        <f>SUMPRODUCT(LEN(hospitalityq!C147:R147))&gt;0</f>
        <v>0</v>
      </c>
      <c r="C147">
        <f>B147*(hospitalityq!C147="")</f>
        <v>0</v>
      </c>
      <c r="E147">
        <f>B147*(hospitalityq!E147="")</f>
        <v>0</v>
      </c>
      <c r="F147">
        <f>B147*(hospitalityq!F147="")</f>
        <v>0</v>
      </c>
      <c r="G147">
        <f>B147*(hospitalityq!G147="")</f>
        <v>0</v>
      </c>
      <c r="H147">
        <f>B147*(hospitalityq!H147="")</f>
        <v>0</v>
      </c>
      <c r="I147">
        <f>B147*(hospitalityq!I147="")</f>
        <v>0</v>
      </c>
      <c r="J147">
        <f>B147*(hospitalityq!J147="")</f>
        <v>0</v>
      </c>
      <c r="K147">
        <f>B147*(hospitalityq!K147="")</f>
        <v>0</v>
      </c>
      <c r="L147">
        <f>B147*(hospitalityq!L147="")</f>
        <v>0</v>
      </c>
      <c r="M147">
        <f>B147*(hospitalityq!M147="")</f>
        <v>0</v>
      </c>
      <c r="N147">
        <f>B147*(hospitalityq!N147="")</f>
        <v>0</v>
      </c>
      <c r="O147">
        <f>B147*(hospitalityq!O147="")</f>
        <v>0</v>
      </c>
      <c r="P147">
        <f>B147*(hospitalityq!P147="")</f>
        <v>0</v>
      </c>
      <c r="Q147">
        <f>B147*(hospitalityq!Q147="")</f>
        <v>0</v>
      </c>
      <c r="R147">
        <f>B147*(hospitalityq!R147="")</f>
        <v>0</v>
      </c>
    </row>
    <row r="148" spans="1:18" x14ac:dyDescent="0.25">
      <c r="A148">
        <f t="shared" si="3"/>
        <v>0</v>
      </c>
      <c r="B148" t="b">
        <f>SUMPRODUCT(LEN(hospitalityq!C148:R148))&gt;0</f>
        <v>0</v>
      </c>
      <c r="C148">
        <f>B148*(hospitalityq!C148="")</f>
        <v>0</v>
      </c>
      <c r="E148">
        <f>B148*(hospitalityq!E148="")</f>
        <v>0</v>
      </c>
      <c r="F148">
        <f>B148*(hospitalityq!F148="")</f>
        <v>0</v>
      </c>
      <c r="G148">
        <f>B148*(hospitalityq!G148="")</f>
        <v>0</v>
      </c>
      <c r="H148">
        <f>B148*(hospitalityq!H148="")</f>
        <v>0</v>
      </c>
      <c r="I148">
        <f>B148*(hospitalityq!I148="")</f>
        <v>0</v>
      </c>
      <c r="J148">
        <f>B148*(hospitalityq!J148="")</f>
        <v>0</v>
      </c>
      <c r="K148">
        <f>B148*(hospitalityq!K148="")</f>
        <v>0</v>
      </c>
      <c r="L148">
        <f>B148*(hospitalityq!L148="")</f>
        <v>0</v>
      </c>
      <c r="M148">
        <f>B148*(hospitalityq!M148="")</f>
        <v>0</v>
      </c>
      <c r="N148">
        <f>B148*(hospitalityq!N148="")</f>
        <v>0</v>
      </c>
      <c r="O148">
        <f>B148*(hospitalityq!O148="")</f>
        <v>0</v>
      </c>
      <c r="P148">
        <f>B148*(hospitalityq!P148="")</f>
        <v>0</v>
      </c>
      <c r="Q148">
        <f>B148*(hospitalityq!Q148="")</f>
        <v>0</v>
      </c>
      <c r="R148">
        <f>B148*(hospitalityq!R148="")</f>
        <v>0</v>
      </c>
    </row>
    <row r="149" spans="1:18" x14ac:dyDescent="0.25">
      <c r="A149">
        <f t="shared" si="3"/>
        <v>0</v>
      </c>
      <c r="B149" t="b">
        <f>SUMPRODUCT(LEN(hospitalityq!C149:R149))&gt;0</f>
        <v>0</v>
      </c>
      <c r="C149">
        <f>B149*(hospitalityq!C149="")</f>
        <v>0</v>
      </c>
      <c r="E149">
        <f>B149*(hospitalityq!E149="")</f>
        <v>0</v>
      </c>
      <c r="F149">
        <f>B149*(hospitalityq!F149="")</f>
        <v>0</v>
      </c>
      <c r="G149">
        <f>B149*(hospitalityq!G149="")</f>
        <v>0</v>
      </c>
      <c r="H149">
        <f>B149*(hospitalityq!H149="")</f>
        <v>0</v>
      </c>
      <c r="I149">
        <f>B149*(hospitalityq!I149="")</f>
        <v>0</v>
      </c>
      <c r="J149">
        <f>B149*(hospitalityq!J149="")</f>
        <v>0</v>
      </c>
      <c r="K149">
        <f>B149*(hospitalityq!K149="")</f>
        <v>0</v>
      </c>
      <c r="L149">
        <f>B149*(hospitalityq!L149="")</f>
        <v>0</v>
      </c>
      <c r="M149">
        <f>B149*(hospitalityq!M149="")</f>
        <v>0</v>
      </c>
      <c r="N149">
        <f>B149*(hospitalityq!N149="")</f>
        <v>0</v>
      </c>
      <c r="O149">
        <f>B149*(hospitalityq!O149="")</f>
        <v>0</v>
      </c>
      <c r="P149">
        <f>B149*(hospitalityq!P149="")</f>
        <v>0</v>
      </c>
      <c r="Q149">
        <f>B149*(hospitalityq!Q149="")</f>
        <v>0</v>
      </c>
      <c r="R149">
        <f>B149*(hospitalityq!R149="")</f>
        <v>0</v>
      </c>
    </row>
    <row r="150" spans="1:18" x14ac:dyDescent="0.25">
      <c r="A150">
        <f t="shared" si="3"/>
        <v>0</v>
      </c>
      <c r="B150" t="b">
        <f>SUMPRODUCT(LEN(hospitalityq!C150:R150))&gt;0</f>
        <v>0</v>
      </c>
      <c r="C150">
        <f>B150*(hospitalityq!C150="")</f>
        <v>0</v>
      </c>
      <c r="E150">
        <f>B150*(hospitalityq!E150="")</f>
        <v>0</v>
      </c>
      <c r="F150">
        <f>B150*(hospitalityq!F150="")</f>
        <v>0</v>
      </c>
      <c r="G150">
        <f>B150*(hospitalityq!G150="")</f>
        <v>0</v>
      </c>
      <c r="H150">
        <f>B150*(hospitalityq!H150="")</f>
        <v>0</v>
      </c>
      <c r="I150">
        <f>B150*(hospitalityq!I150="")</f>
        <v>0</v>
      </c>
      <c r="J150">
        <f>B150*(hospitalityq!J150="")</f>
        <v>0</v>
      </c>
      <c r="K150">
        <f>B150*(hospitalityq!K150="")</f>
        <v>0</v>
      </c>
      <c r="L150">
        <f>B150*(hospitalityq!L150="")</f>
        <v>0</v>
      </c>
      <c r="M150">
        <f>B150*(hospitalityq!M150="")</f>
        <v>0</v>
      </c>
      <c r="N150">
        <f>B150*(hospitalityq!N150="")</f>
        <v>0</v>
      </c>
      <c r="O150">
        <f>B150*(hospitalityq!O150="")</f>
        <v>0</v>
      </c>
      <c r="P150">
        <f>B150*(hospitalityq!P150="")</f>
        <v>0</v>
      </c>
      <c r="Q150">
        <f>B150*(hospitalityq!Q150="")</f>
        <v>0</v>
      </c>
      <c r="R150">
        <f>B150*(hospitalityq!R150="")</f>
        <v>0</v>
      </c>
    </row>
    <row r="151" spans="1:18" x14ac:dyDescent="0.25">
      <c r="A151">
        <f t="shared" si="3"/>
        <v>0</v>
      </c>
      <c r="B151" t="b">
        <f>SUMPRODUCT(LEN(hospitalityq!C151:R151))&gt;0</f>
        <v>0</v>
      </c>
      <c r="C151">
        <f>B151*(hospitalityq!C151="")</f>
        <v>0</v>
      </c>
      <c r="E151">
        <f>B151*(hospitalityq!E151="")</f>
        <v>0</v>
      </c>
      <c r="F151">
        <f>B151*(hospitalityq!F151="")</f>
        <v>0</v>
      </c>
      <c r="G151">
        <f>B151*(hospitalityq!G151="")</f>
        <v>0</v>
      </c>
      <c r="H151">
        <f>B151*(hospitalityq!H151="")</f>
        <v>0</v>
      </c>
      <c r="I151">
        <f>B151*(hospitalityq!I151="")</f>
        <v>0</v>
      </c>
      <c r="J151">
        <f>B151*(hospitalityq!J151="")</f>
        <v>0</v>
      </c>
      <c r="K151">
        <f>B151*(hospitalityq!K151="")</f>
        <v>0</v>
      </c>
      <c r="L151">
        <f>B151*(hospitalityq!L151="")</f>
        <v>0</v>
      </c>
      <c r="M151">
        <f>B151*(hospitalityq!M151="")</f>
        <v>0</v>
      </c>
      <c r="N151">
        <f>B151*(hospitalityq!N151="")</f>
        <v>0</v>
      </c>
      <c r="O151">
        <f>B151*(hospitalityq!O151="")</f>
        <v>0</v>
      </c>
      <c r="P151">
        <f>B151*(hospitalityq!P151="")</f>
        <v>0</v>
      </c>
      <c r="Q151">
        <f>B151*(hospitalityq!Q151="")</f>
        <v>0</v>
      </c>
      <c r="R151">
        <f>B151*(hospitalityq!R151="")</f>
        <v>0</v>
      </c>
    </row>
    <row r="152" spans="1:18" x14ac:dyDescent="0.25">
      <c r="A152">
        <f t="shared" si="3"/>
        <v>0</v>
      </c>
      <c r="B152" t="b">
        <f>SUMPRODUCT(LEN(hospitalityq!C152:R152))&gt;0</f>
        <v>0</v>
      </c>
      <c r="C152">
        <f>B152*(hospitalityq!C152="")</f>
        <v>0</v>
      </c>
      <c r="E152">
        <f>B152*(hospitalityq!E152="")</f>
        <v>0</v>
      </c>
      <c r="F152">
        <f>B152*(hospitalityq!F152="")</f>
        <v>0</v>
      </c>
      <c r="G152">
        <f>B152*(hospitalityq!G152="")</f>
        <v>0</v>
      </c>
      <c r="H152">
        <f>B152*(hospitalityq!H152="")</f>
        <v>0</v>
      </c>
      <c r="I152">
        <f>B152*(hospitalityq!I152="")</f>
        <v>0</v>
      </c>
      <c r="J152">
        <f>B152*(hospitalityq!J152="")</f>
        <v>0</v>
      </c>
      <c r="K152">
        <f>B152*(hospitalityq!K152="")</f>
        <v>0</v>
      </c>
      <c r="L152">
        <f>B152*(hospitalityq!L152="")</f>
        <v>0</v>
      </c>
      <c r="M152">
        <f>B152*(hospitalityq!M152="")</f>
        <v>0</v>
      </c>
      <c r="N152">
        <f>B152*(hospitalityq!N152="")</f>
        <v>0</v>
      </c>
      <c r="O152">
        <f>B152*(hospitalityq!O152="")</f>
        <v>0</v>
      </c>
      <c r="P152">
        <f>B152*(hospitalityq!P152="")</f>
        <v>0</v>
      </c>
      <c r="Q152">
        <f>B152*(hospitalityq!Q152="")</f>
        <v>0</v>
      </c>
      <c r="R152">
        <f>B152*(hospitalityq!R152="")</f>
        <v>0</v>
      </c>
    </row>
    <row r="153" spans="1:18" x14ac:dyDescent="0.25">
      <c r="A153">
        <f t="shared" si="3"/>
        <v>0</v>
      </c>
      <c r="B153" t="b">
        <f>SUMPRODUCT(LEN(hospitalityq!C153:R153))&gt;0</f>
        <v>0</v>
      </c>
      <c r="C153">
        <f>B153*(hospitalityq!C153="")</f>
        <v>0</v>
      </c>
      <c r="E153">
        <f>B153*(hospitalityq!E153="")</f>
        <v>0</v>
      </c>
      <c r="F153">
        <f>B153*(hospitalityq!F153="")</f>
        <v>0</v>
      </c>
      <c r="G153">
        <f>B153*(hospitalityq!G153="")</f>
        <v>0</v>
      </c>
      <c r="H153">
        <f>B153*(hospitalityq!H153="")</f>
        <v>0</v>
      </c>
      <c r="I153">
        <f>B153*(hospitalityq!I153="")</f>
        <v>0</v>
      </c>
      <c r="J153">
        <f>B153*(hospitalityq!J153="")</f>
        <v>0</v>
      </c>
      <c r="K153">
        <f>B153*(hospitalityq!K153="")</f>
        <v>0</v>
      </c>
      <c r="L153">
        <f>B153*(hospitalityq!L153="")</f>
        <v>0</v>
      </c>
      <c r="M153">
        <f>B153*(hospitalityq!M153="")</f>
        <v>0</v>
      </c>
      <c r="N153">
        <f>B153*(hospitalityq!N153="")</f>
        <v>0</v>
      </c>
      <c r="O153">
        <f>B153*(hospitalityq!O153="")</f>
        <v>0</v>
      </c>
      <c r="P153">
        <f>B153*(hospitalityq!P153="")</f>
        <v>0</v>
      </c>
      <c r="Q153">
        <f>B153*(hospitalityq!Q153="")</f>
        <v>0</v>
      </c>
      <c r="R153">
        <f>B153*(hospitalityq!R153="")</f>
        <v>0</v>
      </c>
    </row>
    <row r="154" spans="1:18" x14ac:dyDescent="0.25">
      <c r="A154">
        <f t="shared" si="3"/>
        <v>0</v>
      </c>
      <c r="B154" t="b">
        <f>SUMPRODUCT(LEN(hospitalityq!C154:R154))&gt;0</f>
        <v>0</v>
      </c>
      <c r="C154">
        <f>B154*(hospitalityq!C154="")</f>
        <v>0</v>
      </c>
      <c r="E154">
        <f>B154*(hospitalityq!E154="")</f>
        <v>0</v>
      </c>
      <c r="F154">
        <f>B154*(hospitalityq!F154="")</f>
        <v>0</v>
      </c>
      <c r="G154">
        <f>B154*(hospitalityq!G154="")</f>
        <v>0</v>
      </c>
      <c r="H154">
        <f>B154*(hospitalityq!H154="")</f>
        <v>0</v>
      </c>
      <c r="I154">
        <f>B154*(hospitalityq!I154="")</f>
        <v>0</v>
      </c>
      <c r="J154">
        <f>B154*(hospitalityq!J154="")</f>
        <v>0</v>
      </c>
      <c r="K154">
        <f>B154*(hospitalityq!K154="")</f>
        <v>0</v>
      </c>
      <c r="L154">
        <f>B154*(hospitalityq!L154="")</f>
        <v>0</v>
      </c>
      <c r="M154">
        <f>B154*(hospitalityq!M154="")</f>
        <v>0</v>
      </c>
      <c r="N154">
        <f>B154*(hospitalityq!N154="")</f>
        <v>0</v>
      </c>
      <c r="O154">
        <f>B154*(hospitalityq!O154="")</f>
        <v>0</v>
      </c>
      <c r="P154">
        <f>B154*(hospitalityq!P154="")</f>
        <v>0</v>
      </c>
      <c r="Q154">
        <f>B154*(hospitalityq!Q154="")</f>
        <v>0</v>
      </c>
      <c r="R154">
        <f>B154*(hospitalityq!R154="")</f>
        <v>0</v>
      </c>
    </row>
    <row r="155" spans="1:18" x14ac:dyDescent="0.25">
      <c r="A155">
        <f t="shared" si="3"/>
        <v>0</v>
      </c>
      <c r="B155" t="b">
        <f>SUMPRODUCT(LEN(hospitalityq!C155:R155))&gt;0</f>
        <v>0</v>
      </c>
      <c r="C155">
        <f>B155*(hospitalityq!C155="")</f>
        <v>0</v>
      </c>
      <c r="E155">
        <f>B155*(hospitalityq!E155="")</f>
        <v>0</v>
      </c>
      <c r="F155">
        <f>B155*(hospitalityq!F155="")</f>
        <v>0</v>
      </c>
      <c r="G155">
        <f>B155*(hospitalityq!G155="")</f>
        <v>0</v>
      </c>
      <c r="H155">
        <f>B155*(hospitalityq!H155="")</f>
        <v>0</v>
      </c>
      <c r="I155">
        <f>B155*(hospitalityq!I155="")</f>
        <v>0</v>
      </c>
      <c r="J155">
        <f>B155*(hospitalityq!J155="")</f>
        <v>0</v>
      </c>
      <c r="K155">
        <f>B155*(hospitalityq!K155="")</f>
        <v>0</v>
      </c>
      <c r="L155">
        <f>B155*(hospitalityq!L155="")</f>
        <v>0</v>
      </c>
      <c r="M155">
        <f>B155*(hospitalityq!M155="")</f>
        <v>0</v>
      </c>
      <c r="N155">
        <f>B155*(hospitalityq!N155="")</f>
        <v>0</v>
      </c>
      <c r="O155">
        <f>B155*(hospitalityq!O155="")</f>
        <v>0</v>
      </c>
      <c r="P155">
        <f>B155*(hospitalityq!P155="")</f>
        <v>0</v>
      </c>
      <c r="Q155">
        <f>B155*(hospitalityq!Q155="")</f>
        <v>0</v>
      </c>
      <c r="R155">
        <f>B155*(hospitalityq!R155="")</f>
        <v>0</v>
      </c>
    </row>
    <row r="156" spans="1:18" x14ac:dyDescent="0.25">
      <c r="A156">
        <f t="shared" si="3"/>
        <v>0</v>
      </c>
      <c r="B156" t="b">
        <f>SUMPRODUCT(LEN(hospitalityq!C156:R156))&gt;0</f>
        <v>0</v>
      </c>
      <c r="C156">
        <f>B156*(hospitalityq!C156="")</f>
        <v>0</v>
      </c>
      <c r="E156">
        <f>B156*(hospitalityq!E156="")</f>
        <v>0</v>
      </c>
      <c r="F156">
        <f>B156*(hospitalityq!F156="")</f>
        <v>0</v>
      </c>
      <c r="G156">
        <f>B156*(hospitalityq!G156="")</f>
        <v>0</v>
      </c>
      <c r="H156">
        <f>B156*(hospitalityq!H156="")</f>
        <v>0</v>
      </c>
      <c r="I156">
        <f>B156*(hospitalityq!I156="")</f>
        <v>0</v>
      </c>
      <c r="J156">
        <f>B156*(hospitalityq!J156="")</f>
        <v>0</v>
      </c>
      <c r="K156">
        <f>B156*(hospitalityq!K156="")</f>
        <v>0</v>
      </c>
      <c r="L156">
        <f>B156*(hospitalityq!L156="")</f>
        <v>0</v>
      </c>
      <c r="M156">
        <f>B156*(hospitalityq!M156="")</f>
        <v>0</v>
      </c>
      <c r="N156">
        <f>B156*(hospitalityq!N156="")</f>
        <v>0</v>
      </c>
      <c r="O156">
        <f>B156*(hospitalityq!O156="")</f>
        <v>0</v>
      </c>
      <c r="P156">
        <f>B156*(hospitalityq!P156="")</f>
        <v>0</v>
      </c>
      <c r="Q156">
        <f>B156*(hospitalityq!Q156="")</f>
        <v>0</v>
      </c>
      <c r="R156">
        <f>B156*(hospitalityq!R156="")</f>
        <v>0</v>
      </c>
    </row>
    <row r="157" spans="1:18" x14ac:dyDescent="0.25">
      <c r="A157">
        <f t="shared" si="3"/>
        <v>0</v>
      </c>
      <c r="B157" t="b">
        <f>SUMPRODUCT(LEN(hospitalityq!C157:R157))&gt;0</f>
        <v>0</v>
      </c>
      <c r="C157">
        <f>B157*(hospitalityq!C157="")</f>
        <v>0</v>
      </c>
      <c r="E157">
        <f>B157*(hospitalityq!E157="")</f>
        <v>0</v>
      </c>
      <c r="F157">
        <f>B157*(hospitalityq!F157="")</f>
        <v>0</v>
      </c>
      <c r="G157">
        <f>B157*(hospitalityq!G157="")</f>
        <v>0</v>
      </c>
      <c r="H157">
        <f>B157*(hospitalityq!H157="")</f>
        <v>0</v>
      </c>
      <c r="I157">
        <f>B157*(hospitalityq!I157="")</f>
        <v>0</v>
      </c>
      <c r="J157">
        <f>B157*(hospitalityq!J157="")</f>
        <v>0</v>
      </c>
      <c r="K157">
        <f>B157*(hospitalityq!K157="")</f>
        <v>0</v>
      </c>
      <c r="L157">
        <f>B157*(hospitalityq!L157="")</f>
        <v>0</v>
      </c>
      <c r="M157">
        <f>B157*(hospitalityq!M157="")</f>
        <v>0</v>
      </c>
      <c r="N157">
        <f>B157*(hospitalityq!N157="")</f>
        <v>0</v>
      </c>
      <c r="O157">
        <f>B157*(hospitalityq!O157="")</f>
        <v>0</v>
      </c>
      <c r="P157">
        <f>B157*(hospitalityq!P157="")</f>
        <v>0</v>
      </c>
      <c r="Q157">
        <f>B157*(hospitalityq!Q157="")</f>
        <v>0</v>
      </c>
      <c r="R157">
        <f>B157*(hospitalityq!R157="")</f>
        <v>0</v>
      </c>
    </row>
    <row r="158" spans="1:18" x14ac:dyDescent="0.25">
      <c r="A158">
        <f t="shared" si="3"/>
        <v>0</v>
      </c>
      <c r="B158" t="b">
        <f>SUMPRODUCT(LEN(hospitalityq!C158:R158))&gt;0</f>
        <v>0</v>
      </c>
      <c r="C158">
        <f>B158*(hospitalityq!C158="")</f>
        <v>0</v>
      </c>
      <c r="E158">
        <f>B158*(hospitalityq!E158="")</f>
        <v>0</v>
      </c>
      <c r="F158">
        <f>B158*(hospitalityq!F158="")</f>
        <v>0</v>
      </c>
      <c r="G158">
        <f>B158*(hospitalityq!G158="")</f>
        <v>0</v>
      </c>
      <c r="H158">
        <f>B158*(hospitalityq!H158="")</f>
        <v>0</v>
      </c>
      <c r="I158">
        <f>B158*(hospitalityq!I158="")</f>
        <v>0</v>
      </c>
      <c r="J158">
        <f>B158*(hospitalityq!J158="")</f>
        <v>0</v>
      </c>
      <c r="K158">
        <f>B158*(hospitalityq!K158="")</f>
        <v>0</v>
      </c>
      <c r="L158">
        <f>B158*(hospitalityq!L158="")</f>
        <v>0</v>
      </c>
      <c r="M158">
        <f>B158*(hospitalityq!M158="")</f>
        <v>0</v>
      </c>
      <c r="N158">
        <f>B158*(hospitalityq!N158="")</f>
        <v>0</v>
      </c>
      <c r="O158">
        <f>B158*(hospitalityq!O158="")</f>
        <v>0</v>
      </c>
      <c r="P158">
        <f>B158*(hospitalityq!P158="")</f>
        <v>0</v>
      </c>
      <c r="Q158">
        <f>B158*(hospitalityq!Q158="")</f>
        <v>0</v>
      </c>
      <c r="R158">
        <f>B158*(hospitalityq!R158="")</f>
        <v>0</v>
      </c>
    </row>
    <row r="159" spans="1:18" x14ac:dyDescent="0.25">
      <c r="A159">
        <f t="shared" si="3"/>
        <v>0</v>
      </c>
      <c r="B159" t="b">
        <f>SUMPRODUCT(LEN(hospitalityq!C159:R159))&gt;0</f>
        <v>0</v>
      </c>
      <c r="C159">
        <f>B159*(hospitalityq!C159="")</f>
        <v>0</v>
      </c>
      <c r="E159">
        <f>B159*(hospitalityq!E159="")</f>
        <v>0</v>
      </c>
      <c r="F159">
        <f>B159*(hospitalityq!F159="")</f>
        <v>0</v>
      </c>
      <c r="G159">
        <f>B159*(hospitalityq!G159="")</f>
        <v>0</v>
      </c>
      <c r="H159">
        <f>B159*(hospitalityq!H159="")</f>
        <v>0</v>
      </c>
      <c r="I159">
        <f>B159*(hospitalityq!I159="")</f>
        <v>0</v>
      </c>
      <c r="J159">
        <f>B159*(hospitalityq!J159="")</f>
        <v>0</v>
      </c>
      <c r="K159">
        <f>B159*(hospitalityq!K159="")</f>
        <v>0</v>
      </c>
      <c r="L159">
        <f>B159*(hospitalityq!L159="")</f>
        <v>0</v>
      </c>
      <c r="M159">
        <f>B159*(hospitalityq!M159="")</f>
        <v>0</v>
      </c>
      <c r="N159">
        <f>B159*(hospitalityq!N159="")</f>
        <v>0</v>
      </c>
      <c r="O159">
        <f>B159*(hospitalityq!O159="")</f>
        <v>0</v>
      </c>
      <c r="P159">
        <f>B159*(hospitalityq!P159="")</f>
        <v>0</v>
      </c>
      <c r="Q159">
        <f>B159*(hospitalityq!Q159="")</f>
        <v>0</v>
      </c>
      <c r="R159">
        <f>B159*(hospitalityq!R159="")</f>
        <v>0</v>
      </c>
    </row>
    <row r="160" spans="1:18" x14ac:dyDescent="0.25">
      <c r="A160">
        <f t="shared" si="3"/>
        <v>0</v>
      </c>
      <c r="B160" t="b">
        <f>SUMPRODUCT(LEN(hospitalityq!C160:R160))&gt;0</f>
        <v>0</v>
      </c>
      <c r="C160">
        <f>B160*(hospitalityq!C160="")</f>
        <v>0</v>
      </c>
      <c r="E160">
        <f>B160*(hospitalityq!E160="")</f>
        <v>0</v>
      </c>
      <c r="F160">
        <f>B160*(hospitalityq!F160="")</f>
        <v>0</v>
      </c>
      <c r="G160">
        <f>B160*(hospitalityq!G160="")</f>
        <v>0</v>
      </c>
      <c r="H160">
        <f>B160*(hospitalityq!H160="")</f>
        <v>0</v>
      </c>
      <c r="I160">
        <f>B160*(hospitalityq!I160="")</f>
        <v>0</v>
      </c>
      <c r="J160">
        <f>B160*(hospitalityq!J160="")</f>
        <v>0</v>
      </c>
      <c r="K160">
        <f>B160*(hospitalityq!K160="")</f>
        <v>0</v>
      </c>
      <c r="L160">
        <f>B160*(hospitalityq!L160="")</f>
        <v>0</v>
      </c>
      <c r="M160">
        <f>B160*(hospitalityq!M160="")</f>
        <v>0</v>
      </c>
      <c r="N160">
        <f>B160*(hospitalityq!N160="")</f>
        <v>0</v>
      </c>
      <c r="O160">
        <f>B160*(hospitalityq!O160="")</f>
        <v>0</v>
      </c>
      <c r="P160">
        <f>B160*(hospitalityq!P160="")</f>
        <v>0</v>
      </c>
      <c r="Q160">
        <f>B160*(hospitalityq!Q160="")</f>
        <v>0</v>
      </c>
      <c r="R160">
        <f>B160*(hospitalityq!R160="")</f>
        <v>0</v>
      </c>
    </row>
    <row r="161" spans="1:18" x14ac:dyDescent="0.25">
      <c r="A161">
        <f t="shared" si="3"/>
        <v>0</v>
      </c>
      <c r="B161" t="b">
        <f>SUMPRODUCT(LEN(hospitalityq!C161:R161))&gt;0</f>
        <v>0</v>
      </c>
      <c r="C161">
        <f>B161*(hospitalityq!C161="")</f>
        <v>0</v>
      </c>
      <c r="E161">
        <f>B161*(hospitalityq!E161="")</f>
        <v>0</v>
      </c>
      <c r="F161">
        <f>B161*(hospitalityq!F161="")</f>
        <v>0</v>
      </c>
      <c r="G161">
        <f>B161*(hospitalityq!G161="")</f>
        <v>0</v>
      </c>
      <c r="H161">
        <f>B161*(hospitalityq!H161="")</f>
        <v>0</v>
      </c>
      <c r="I161">
        <f>B161*(hospitalityq!I161="")</f>
        <v>0</v>
      </c>
      <c r="J161">
        <f>B161*(hospitalityq!J161="")</f>
        <v>0</v>
      </c>
      <c r="K161">
        <f>B161*(hospitalityq!K161="")</f>
        <v>0</v>
      </c>
      <c r="L161">
        <f>B161*(hospitalityq!L161="")</f>
        <v>0</v>
      </c>
      <c r="M161">
        <f>B161*(hospitalityq!M161="")</f>
        <v>0</v>
      </c>
      <c r="N161">
        <f>B161*(hospitalityq!N161="")</f>
        <v>0</v>
      </c>
      <c r="O161">
        <f>B161*(hospitalityq!O161="")</f>
        <v>0</v>
      </c>
      <c r="P161">
        <f>B161*(hospitalityq!P161="")</f>
        <v>0</v>
      </c>
      <c r="Q161">
        <f>B161*(hospitalityq!Q161="")</f>
        <v>0</v>
      </c>
      <c r="R161">
        <f>B161*(hospitalityq!R161="")</f>
        <v>0</v>
      </c>
    </row>
    <row r="162" spans="1:18" x14ac:dyDescent="0.25">
      <c r="A162">
        <f t="shared" si="3"/>
        <v>0</v>
      </c>
      <c r="B162" t="b">
        <f>SUMPRODUCT(LEN(hospitalityq!C162:R162))&gt;0</f>
        <v>0</v>
      </c>
      <c r="C162">
        <f>B162*(hospitalityq!C162="")</f>
        <v>0</v>
      </c>
      <c r="E162">
        <f>B162*(hospitalityq!E162="")</f>
        <v>0</v>
      </c>
      <c r="F162">
        <f>B162*(hospitalityq!F162="")</f>
        <v>0</v>
      </c>
      <c r="G162">
        <f>B162*(hospitalityq!G162="")</f>
        <v>0</v>
      </c>
      <c r="H162">
        <f>B162*(hospitalityq!H162="")</f>
        <v>0</v>
      </c>
      <c r="I162">
        <f>B162*(hospitalityq!I162="")</f>
        <v>0</v>
      </c>
      <c r="J162">
        <f>B162*(hospitalityq!J162="")</f>
        <v>0</v>
      </c>
      <c r="K162">
        <f>B162*(hospitalityq!K162="")</f>
        <v>0</v>
      </c>
      <c r="L162">
        <f>B162*(hospitalityq!L162="")</f>
        <v>0</v>
      </c>
      <c r="M162">
        <f>B162*(hospitalityq!M162="")</f>
        <v>0</v>
      </c>
      <c r="N162">
        <f>B162*(hospitalityq!N162="")</f>
        <v>0</v>
      </c>
      <c r="O162">
        <f>B162*(hospitalityq!O162="")</f>
        <v>0</v>
      </c>
      <c r="P162">
        <f>B162*(hospitalityq!P162="")</f>
        <v>0</v>
      </c>
      <c r="Q162">
        <f>B162*(hospitalityq!Q162="")</f>
        <v>0</v>
      </c>
      <c r="R162">
        <f>B162*(hospitalityq!R162="")</f>
        <v>0</v>
      </c>
    </row>
    <row r="163" spans="1:18" x14ac:dyDescent="0.25">
      <c r="A163">
        <f t="shared" si="3"/>
        <v>0</v>
      </c>
      <c r="B163" t="b">
        <f>SUMPRODUCT(LEN(hospitalityq!C163:R163))&gt;0</f>
        <v>0</v>
      </c>
      <c r="C163">
        <f>B163*(hospitalityq!C163="")</f>
        <v>0</v>
      </c>
      <c r="E163">
        <f>B163*(hospitalityq!E163="")</f>
        <v>0</v>
      </c>
      <c r="F163">
        <f>B163*(hospitalityq!F163="")</f>
        <v>0</v>
      </c>
      <c r="G163">
        <f>B163*(hospitalityq!G163="")</f>
        <v>0</v>
      </c>
      <c r="H163">
        <f>B163*(hospitalityq!H163="")</f>
        <v>0</v>
      </c>
      <c r="I163">
        <f>B163*(hospitalityq!I163="")</f>
        <v>0</v>
      </c>
      <c r="J163">
        <f>B163*(hospitalityq!J163="")</f>
        <v>0</v>
      </c>
      <c r="K163">
        <f>B163*(hospitalityq!K163="")</f>
        <v>0</v>
      </c>
      <c r="L163">
        <f>B163*(hospitalityq!L163="")</f>
        <v>0</v>
      </c>
      <c r="M163">
        <f>B163*(hospitalityq!M163="")</f>
        <v>0</v>
      </c>
      <c r="N163">
        <f>B163*(hospitalityq!N163="")</f>
        <v>0</v>
      </c>
      <c r="O163">
        <f>B163*(hospitalityq!O163="")</f>
        <v>0</v>
      </c>
      <c r="P163">
        <f>B163*(hospitalityq!P163="")</f>
        <v>0</v>
      </c>
      <c r="Q163">
        <f>B163*(hospitalityq!Q163="")</f>
        <v>0</v>
      </c>
      <c r="R163">
        <f>B163*(hospitalityq!R163="")</f>
        <v>0</v>
      </c>
    </row>
    <row r="164" spans="1:18" x14ac:dyDescent="0.25">
      <c r="A164">
        <f t="shared" si="3"/>
        <v>0</v>
      </c>
      <c r="B164" t="b">
        <f>SUMPRODUCT(LEN(hospitalityq!C164:R164))&gt;0</f>
        <v>0</v>
      </c>
      <c r="C164">
        <f>B164*(hospitalityq!C164="")</f>
        <v>0</v>
      </c>
      <c r="E164">
        <f>B164*(hospitalityq!E164="")</f>
        <v>0</v>
      </c>
      <c r="F164">
        <f>B164*(hospitalityq!F164="")</f>
        <v>0</v>
      </c>
      <c r="G164">
        <f>B164*(hospitalityq!G164="")</f>
        <v>0</v>
      </c>
      <c r="H164">
        <f>B164*(hospitalityq!H164="")</f>
        <v>0</v>
      </c>
      <c r="I164">
        <f>B164*(hospitalityq!I164="")</f>
        <v>0</v>
      </c>
      <c r="J164">
        <f>B164*(hospitalityq!J164="")</f>
        <v>0</v>
      </c>
      <c r="K164">
        <f>B164*(hospitalityq!K164="")</f>
        <v>0</v>
      </c>
      <c r="L164">
        <f>B164*(hospitalityq!L164="")</f>
        <v>0</v>
      </c>
      <c r="M164">
        <f>B164*(hospitalityq!M164="")</f>
        <v>0</v>
      </c>
      <c r="N164">
        <f>B164*(hospitalityq!N164="")</f>
        <v>0</v>
      </c>
      <c r="O164">
        <f>B164*(hospitalityq!O164="")</f>
        <v>0</v>
      </c>
      <c r="P164">
        <f>B164*(hospitalityq!P164="")</f>
        <v>0</v>
      </c>
      <c r="Q164">
        <f>B164*(hospitalityq!Q164="")</f>
        <v>0</v>
      </c>
      <c r="R164">
        <f>B164*(hospitalityq!R164="")</f>
        <v>0</v>
      </c>
    </row>
    <row r="165" spans="1:18" x14ac:dyDescent="0.25">
      <c r="A165">
        <f t="shared" si="3"/>
        <v>0</v>
      </c>
      <c r="B165" t="b">
        <f>SUMPRODUCT(LEN(hospitalityq!C165:R165))&gt;0</f>
        <v>0</v>
      </c>
      <c r="C165">
        <f>B165*(hospitalityq!C165="")</f>
        <v>0</v>
      </c>
      <c r="E165">
        <f>B165*(hospitalityq!E165="")</f>
        <v>0</v>
      </c>
      <c r="F165">
        <f>B165*(hospitalityq!F165="")</f>
        <v>0</v>
      </c>
      <c r="G165">
        <f>B165*(hospitalityq!G165="")</f>
        <v>0</v>
      </c>
      <c r="H165">
        <f>B165*(hospitalityq!H165="")</f>
        <v>0</v>
      </c>
      <c r="I165">
        <f>B165*(hospitalityq!I165="")</f>
        <v>0</v>
      </c>
      <c r="J165">
        <f>B165*(hospitalityq!J165="")</f>
        <v>0</v>
      </c>
      <c r="K165">
        <f>B165*(hospitalityq!K165="")</f>
        <v>0</v>
      </c>
      <c r="L165">
        <f>B165*(hospitalityq!L165="")</f>
        <v>0</v>
      </c>
      <c r="M165">
        <f>B165*(hospitalityq!M165="")</f>
        <v>0</v>
      </c>
      <c r="N165">
        <f>B165*(hospitalityq!N165="")</f>
        <v>0</v>
      </c>
      <c r="O165">
        <f>B165*(hospitalityq!O165="")</f>
        <v>0</v>
      </c>
      <c r="P165">
        <f>B165*(hospitalityq!P165="")</f>
        <v>0</v>
      </c>
      <c r="Q165">
        <f>B165*(hospitalityq!Q165="")</f>
        <v>0</v>
      </c>
      <c r="R165">
        <f>B165*(hospitalityq!R165="")</f>
        <v>0</v>
      </c>
    </row>
    <row r="166" spans="1:18" x14ac:dyDescent="0.25">
      <c r="A166">
        <f t="shared" si="3"/>
        <v>0</v>
      </c>
      <c r="B166" t="b">
        <f>SUMPRODUCT(LEN(hospitalityq!C166:R166))&gt;0</f>
        <v>0</v>
      </c>
      <c r="C166">
        <f>B166*(hospitalityq!C166="")</f>
        <v>0</v>
      </c>
      <c r="E166">
        <f>B166*(hospitalityq!E166="")</f>
        <v>0</v>
      </c>
      <c r="F166">
        <f>B166*(hospitalityq!F166="")</f>
        <v>0</v>
      </c>
      <c r="G166">
        <f>B166*(hospitalityq!G166="")</f>
        <v>0</v>
      </c>
      <c r="H166">
        <f>B166*(hospitalityq!H166="")</f>
        <v>0</v>
      </c>
      <c r="I166">
        <f>B166*(hospitalityq!I166="")</f>
        <v>0</v>
      </c>
      <c r="J166">
        <f>B166*(hospitalityq!J166="")</f>
        <v>0</v>
      </c>
      <c r="K166">
        <f>B166*(hospitalityq!K166="")</f>
        <v>0</v>
      </c>
      <c r="L166">
        <f>B166*(hospitalityq!L166="")</f>
        <v>0</v>
      </c>
      <c r="M166">
        <f>B166*(hospitalityq!M166="")</f>
        <v>0</v>
      </c>
      <c r="N166">
        <f>B166*(hospitalityq!N166="")</f>
        <v>0</v>
      </c>
      <c r="O166">
        <f>B166*(hospitalityq!O166="")</f>
        <v>0</v>
      </c>
      <c r="P166">
        <f>B166*(hospitalityq!P166="")</f>
        <v>0</v>
      </c>
      <c r="Q166">
        <f>B166*(hospitalityq!Q166="")</f>
        <v>0</v>
      </c>
      <c r="R166">
        <f>B166*(hospitalityq!R166="")</f>
        <v>0</v>
      </c>
    </row>
    <row r="167" spans="1:18" x14ac:dyDescent="0.25">
      <c r="A167">
        <f t="shared" si="3"/>
        <v>0</v>
      </c>
      <c r="B167" t="b">
        <f>SUMPRODUCT(LEN(hospitalityq!C167:R167))&gt;0</f>
        <v>0</v>
      </c>
      <c r="C167">
        <f>B167*(hospitalityq!C167="")</f>
        <v>0</v>
      </c>
      <c r="E167">
        <f>B167*(hospitalityq!E167="")</f>
        <v>0</v>
      </c>
      <c r="F167">
        <f>B167*(hospitalityq!F167="")</f>
        <v>0</v>
      </c>
      <c r="G167">
        <f>B167*(hospitalityq!G167="")</f>
        <v>0</v>
      </c>
      <c r="H167">
        <f>B167*(hospitalityq!H167="")</f>
        <v>0</v>
      </c>
      <c r="I167">
        <f>B167*(hospitalityq!I167="")</f>
        <v>0</v>
      </c>
      <c r="J167">
        <f>B167*(hospitalityq!J167="")</f>
        <v>0</v>
      </c>
      <c r="K167">
        <f>B167*(hospitalityq!K167="")</f>
        <v>0</v>
      </c>
      <c r="L167">
        <f>B167*(hospitalityq!L167="")</f>
        <v>0</v>
      </c>
      <c r="M167">
        <f>B167*(hospitalityq!M167="")</f>
        <v>0</v>
      </c>
      <c r="N167">
        <f>B167*(hospitalityq!N167="")</f>
        <v>0</v>
      </c>
      <c r="O167">
        <f>B167*(hospitalityq!O167="")</f>
        <v>0</v>
      </c>
      <c r="P167">
        <f>B167*(hospitalityq!P167="")</f>
        <v>0</v>
      </c>
      <c r="Q167">
        <f>B167*(hospitalityq!Q167="")</f>
        <v>0</v>
      </c>
      <c r="R167">
        <f>B167*(hospitalityq!R167="")</f>
        <v>0</v>
      </c>
    </row>
    <row r="168" spans="1:18" x14ac:dyDescent="0.25">
      <c r="A168">
        <f t="shared" si="3"/>
        <v>0</v>
      </c>
      <c r="B168" t="b">
        <f>SUMPRODUCT(LEN(hospitalityq!C168:R168))&gt;0</f>
        <v>0</v>
      </c>
      <c r="C168">
        <f>B168*(hospitalityq!C168="")</f>
        <v>0</v>
      </c>
      <c r="E168">
        <f>B168*(hospitalityq!E168="")</f>
        <v>0</v>
      </c>
      <c r="F168">
        <f>B168*(hospitalityq!F168="")</f>
        <v>0</v>
      </c>
      <c r="G168">
        <f>B168*(hospitalityq!G168="")</f>
        <v>0</v>
      </c>
      <c r="H168">
        <f>B168*(hospitalityq!H168="")</f>
        <v>0</v>
      </c>
      <c r="I168">
        <f>B168*(hospitalityq!I168="")</f>
        <v>0</v>
      </c>
      <c r="J168">
        <f>B168*(hospitalityq!J168="")</f>
        <v>0</v>
      </c>
      <c r="K168">
        <f>B168*(hospitalityq!K168="")</f>
        <v>0</v>
      </c>
      <c r="L168">
        <f>B168*(hospitalityq!L168="")</f>
        <v>0</v>
      </c>
      <c r="M168">
        <f>B168*(hospitalityq!M168="")</f>
        <v>0</v>
      </c>
      <c r="N168">
        <f>B168*(hospitalityq!N168="")</f>
        <v>0</v>
      </c>
      <c r="O168">
        <f>B168*(hospitalityq!O168="")</f>
        <v>0</v>
      </c>
      <c r="P168">
        <f>B168*(hospitalityq!P168="")</f>
        <v>0</v>
      </c>
      <c r="Q168">
        <f>B168*(hospitalityq!Q168="")</f>
        <v>0</v>
      </c>
      <c r="R168">
        <f>B168*(hospitalityq!R168="")</f>
        <v>0</v>
      </c>
    </row>
    <row r="169" spans="1:18" x14ac:dyDescent="0.25">
      <c r="A169">
        <f t="shared" si="3"/>
        <v>0</v>
      </c>
      <c r="B169" t="b">
        <f>SUMPRODUCT(LEN(hospitalityq!C169:R169))&gt;0</f>
        <v>0</v>
      </c>
      <c r="C169">
        <f>B169*(hospitalityq!C169="")</f>
        <v>0</v>
      </c>
      <c r="E169">
        <f>B169*(hospitalityq!E169="")</f>
        <v>0</v>
      </c>
      <c r="F169">
        <f>B169*(hospitalityq!F169="")</f>
        <v>0</v>
      </c>
      <c r="G169">
        <f>B169*(hospitalityq!G169="")</f>
        <v>0</v>
      </c>
      <c r="H169">
        <f>B169*(hospitalityq!H169="")</f>
        <v>0</v>
      </c>
      <c r="I169">
        <f>B169*(hospitalityq!I169="")</f>
        <v>0</v>
      </c>
      <c r="J169">
        <f>B169*(hospitalityq!J169="")</f>
        <v>0</v>
      </c>
      <c r="K169">
        <f>B169*(hospitalityq!K169="")</f>
        <v>0</v>
      </c>
      <c r="L169">
        <f>B169*(hospitalityq!L169="")</f>
        <v>0</v>
      </c>
      <c r="M169">
        <f>B169*(hospitalityq!M169="")</f>
        <v>0</v>
      </c>
      <c r="N169">
        <f>B169*(hospitalityq!N169="")</f>
        <v>0</v>
      </c>
      <c r="O169">
        <f>B169*(hospitalityq!O169="")</f>
        <v>0</v>
      </c>
      <c r="P169">
        <f>B169*(hospitalityq!P169="")</f>
        <v>0</v>
      </c>
      <c r="Q169">
        <f>B169*(hospitalityq!Q169="")</f>
        <v>0</v>
      </c>
      <c r="R169">
        <f>B169*(hospitalityq!R169="")</f>
        <v>0</v>
      </c>
    </row>
    <row r="170" spans="1:18" x14ac:dyDescent="0.25">
      <c r="A170">
        <f t="shared" si="3"/>
        <v>0</v>
      </c>
      <c r="B170" t="b">
        <f>SUMPRODUCT(LEN(hospitalityq!C170:R170))&gt;0</f>
        <v>0</v>
      </c>
      <c r="C170">
        <f>B170*(hospitalityq!C170="")</f>
        <v>0</v>
      </c>
      <c r="E170">
        <f>B170*(hospitalityq!E170="")</f>
        <v>0</v>
      </c>
      <c r="F170">
        <f>B170*(hospitalityq!F170="")</f>
        <v>0</v>
      </c>
      <c r="G170">
        <f>B170*(hospitalityq!G170="")</f>
        <v>0</v>
      </c>
      <c r="H170">
        <f>B170*(hospitalityq!H170="")</f>
        <v>0</v>
      </c>
      <c r="I170">
        <f>B170*(hospitalityq!I170="")</f>
        <v>0</v>
      </c>
      <c r="J170">
        <f>B170*(hospitalityq!J170="")</f>
        <v>0</v>
      </c>
      <c r="K170">
        <f>B170*(hospitalityq!K170="")</f>
        <v>0</v>
      </c>
      <c r="L170">
        <f>B170*(hospitalityq!L170="")</f>
        <v>0</v>
      </c>
      <c r="M170">
        <f>B170*(hospitalityq!M170="")</f>
        <v>0</v>
      </c>
      <c r="N170">
        <f>B170*(hospitalityq!N170="")</f>
        <v>0</v>
      </c>
      <c r="O170">
        <f>B170*(hospitalityq!O170="")</f>
        <v>0</v>
      </c>
      <c r="P170">
        <f>B170*(hospitalityq!P170="")</f>
        <v>0</v>
      </c>
      <c r="Q170">
        <f>B170*(hospitalityq!Q170="")</f>
        <v>0</v>
      </c>
      <c r="R170">
        <f>B170*(hospitalityq!R170="")</f>
        <v>0</v>
      </c>
    </row>
    <row r="171" spans="1:18" x14ac:dyDescent="0.25">
      <c r="A171">
        <f t="shared" si="3"/>
        <v>0</v>
      </c>
      <c r="B171" t="b">
        <f>SUMPRODUCT(LEN(hospitalityq!C171:R171))&gt;0</f>
        <v>0</v>
      </c>
      <c r="C171">
        <f>B171*(hospitalityq!C171="")</f>
        <v>0</v>
      </c>
      <c r="E171">
        <f>B171*(hospitalityq!E171="")</f>
        <v>0</v>
      </c>
      <c r="F171">
        <f>B171*(hospitalityq!F171="")</f>
        <v>0</v>
      </c>
      <c r="G171">
        <f>B171*(hospitalityq!G171="")</f>
        <v>0</v>
      </c>
      <c r="H171">
        <f>B171*(hospitalityq!H171="")</f>
        <v>0</v>
      </c>
      <c r="I171">
        <f>B171*(hospitalityq!I171="")</f>
        <v>0</v>
      </c>
      <c r="J171">
        <f>B171*(hospitalityq!J171="")</f>
        <v>0</v>
      </c>
      <c r="K171">
        <f>B171*(hospitalityq!K171="")</f>
        <v>0</v>
      </c>
      <c r="L171">
        <f>B171*(hospitalityq!L171="")</f>
        <v>0</v>
      </c>
      <c r="M171">
        <f>B171*(hospitalityq!M171="")</f>
        <v>0</v>
      </c>
      <c r="N171">
        <f>B171*(hospitalityq!N171="")</f>
        <v>0</v>
      </c>
      <c r="O171">
        <f>B171*(hospitalityq!O171="")</f>
        <v>0</v>
      </c>
      <c r="P171">
        <f>B171*(hospitalityq!P171="")</f>
        <v>0</v>
      </c>
      <c r="Q171">
        <f>B171*(hospitalityq!Q171="")</f>
        <v>0</v>
      </c>
      <c r="R171">
        <f>B171*(hospitalityq!R171="")</f>
        <v>0</v>
      </c>
    </row>
    <row r="172" spans="1:18" x14ac:dyDescent="0.25">
      <c r="A172">
        <f t="shared" si="3"/>
        <v>0</v>
      </c>
      <c r="B172" t="b">
        <f>SUMPRODUCT(LEN(hospitalityq!C172:R172))&gt;0</f>
        <v>0</v>
      </c>
      <c r="C172">
        <f>B172*(hospitalityq!C172="")</f>
        <v>0</v>
      </c>
      <c r="E172">
        <f>B172*(hospitalityq!E172="")</f>
        <v>0</v>
      </c>
      <c r="F172">
        <f>B172*(hospitalityq!F172="")</f>
        <v>0</v>
      </c>
      <c r="G172">
        <f>B172*(hospitalityq!G172="")</f>
        <v>0</v>
      </c>
      <c r="H172">
        <f>B172*(hospitalityq!H172="")</f>
        <v>0</v>
      </c>
      <c r="I172">
        <f>B172*(hospitalityq!I172="")</f>
        <v>0</v>
      </c>
      <c r="J172">
        <f>B172*(hospitalityq!J172="")</f>
        <v>0</v>
      </c>
      <c r="K172">
        <f>B172*(hospitalityq!K172="")</f>
        <v>0</v>
      </c>
      <c r="L172">
        <f>B172*(hospitalityq!L172="")</f>
        <v>0</v>
      </c>
      <c r="M172">
        <f>B172*(hospitalityq!M172="")</f>
        <v>0</v>
      </c>
      <c r="N172">
        <f>B172*(hospitalityq!N172="")</f>
        <v>0</v>
      </c>
      <c r="O172">
        <f>B172*(hospitalityq!O172="")</f>
        <v>0</v>
      </c>
      <c r="P172">
        <f>B172*(hospitalityq!P172="")</f>
        <v>0</v>
      </c>
      <c r="Q172">
        <f>B172*(hospitalityq!Q172="")</f>
        <v>0</v>
      </c>
      <c r="R172">
        <f>B172*(hospitalityq!R172="")</f>
        <v>0</v>
      </c>
    </row>
    <row r="173" spans="1:18" x14ac:dyDescent="0.25">
      <c r="A173">
        <f t="shared" si="3"/>
        <v>0</v>
      </c>
      <c r="B173" t="b">
        <f>SUMPRODUCT(LEN(hospitalityq!C173:R173))&gt;0</f>
        <v>0</v>
      </c>
      <c r="C173">
        <f>B173*(hospitalityq!C173="")</f>
        <v>0</v>
      </c>
      <c r="E173">
        <f>B173*(hospitalityq!E173="")</f>
        <v>0</v>
      </c>
      <c r="F173">
        <f>B173*(hospitalityq!F173="")</f>
        <v>0</v>
      </c>
      <c r="G173">
        <f>B173*(hospitalityq!G173="")</f>
        <v>0</v>
      </c>
      <c r="H173">
        <f>B173*(hospitalityq!H173="")</f>
        <v>0</v>
      </c>
      <c r="I173">
        <f>B173*(hospitalityq!I173="")</f>
        <v>0</v>
      </c>
      <c r="J173">
        <f>B173*(hospitalityq!J173="")</f>
        <v>0</v>
      </c>
      <c r="K173">
        <f>B173*(hospitalityq!K173="")</f>
        <v>0</v>
      </c>
      <c r="L173">
        <f>B173*(hospitalityq!L173="")</f>
        <v>0</v>
      </c>
      <c r="M173">
        <f>B173*(hospitalityq!M173="")</f>
        <v>0</v>
      </c>
      <c r="N173">
        <f>B173*(hospitalityq!N173="")</f>
        <v>0</v>
      </c>
      <c r="O173">
        <f>B173*(hospitalityq!O173="")</f>
        <v>0</v>
      </c>
      <c r="P173">
        <f>B173*(hospitalityq!P173="")</f>
        <v>0</v>
      </c>
      <c r="Q173">
        <f>B173*(hospitalityq!Q173="")</f>
        <v>0</v>
      </c>
      <c r="R173">
        <f>B173*(hospitalityq!R173="")</f>
        <v>0</v>
      </c>
    </row>
    <row r="174" spans="1:18" x14ac:dyDescent="0.25">
      <c r="A174">
        <f t="shared" si="3"/>
        <v>0</v>
      </c>
      <c r="B174" t="b">
        <f>SUMPRODUCT(LEN(hospitalityq!C174:R174))&gt;0</f>
        <v>0</v>
      </c>
      <c r="C174">
        <f>B174*(hospitalityq!C174="")</f>
        <v>0</v>
      </c>
      <c r="E174">
        <f>B174*(hospitalityq!E174="")</f>
        <v>0</v>
      </c>
      <c r="F174">
        <f>B174*(hospitalityq!F174="")</f>
        <v>0</v>
      </c>
      <c r="G174">
        <f>B174*(hospitalityq!G174="")</f>
        <v>0</v>
      </c>
      <c r="H174">
        <f>B174*(hospitalityq!H174="")</f>
        <v>0</v>
      </c>
      <c r="I174">
        <f>B174*(hospitalityq!I174="")</f>
        <v>0</v>
      </c>
      <c r="J174">
        <f>B174*(hospitalityq!J174="")</f>
        <v>0</v>
      </c>
      <c r="K174">
        <f>B174*(hospitalityq!K174="")</f>
        <v>0</v>
      </c>
      <c r="L174">
        <f>B174*(hospitalityq!L174="")</f>
        <v>0</v>
      </c>
      <c r="M174">
        <f>B174*(hospitalityq!M174="")</f>
        <v>0</v>
      </c>
      <c r="N174">
        <f>B174*(hospitalityq!N174="")</f>
        <v>0</v>
      </c>
      <c r="O174">
        <f>B174*(hospitalityq!O174="")</f>
        <v>0</v>
      </c>
      <c r="P174">
        <f>B174*(hospitalityq!P174="")</f>
        <v>0</v>
      </c>
      <c r="Q174">
        <f>B174*(hospitalityq!Q174="")</f>
        <v>0</v>
      </c>
      <c r="R174">
        <f>B174*(hospitalityq!R174="")</f>
        <v>0</v>
      </c>
    </row>
    <row r="175" spans="1:18" x14ac:dyDescent="0.25">
      <c r="A175">
        <f t="shared" si="3"/>
        <v>0</v>
      </c>
      <c r="B175" t="b">
        <f>SUMPRODUCT(LEN(hospitalityq!C175:R175))&gt;0</f>
        <v>0</v>
      </c>
      <c r="C175">
        <f>B175*(hospitalityq!C175="")</f>
        <v>0</v>
      </c>
      <c r="E175">
        <f>B175*(hospitalityq!E175="")</f>
        <v>0</v>
      </c>
      <c r="F175">
        <f>B175*(hospitalityq!F175="")</f>
        <v>0</v>
      </c>
      <c r="G175">
        <f>B175*(hospitalityq!G175="")</f>
        <v>0</v>
      </c>
      <c r="H175">
        <f>B175*(hospitalityq!H175="")</f>
        <v>0</v>
      </c>
      <c r="I175">
        <f>B175*(hospitalityq!I175="")</f>
        <v>0</v>
      </c>
      <c r="J175">
        <f>B175*(hospitalityq!J175="")</f>
        <v>0</v>
      </c>
      <c r="K175">
        <f>B175*(hospitalityq!K175="")</f>
        <v>0</v>
      </c>
      <c r="L175">
        <f>B175*(hospitalityq!L175="")</f>
        <v>0</v>
      </c>
      <c r="M175">
        <f>B175*(hospitalityq!M175="")</f>
        <v>0</v>
      </c>
      <c r="N175">
        <f>B175*(hospitalityq!N175="")</f>
        <v>0</v>
      </c>
      <c r="O175">
        <f>B175*(hospitalityq!O175="")</f>
        <v>0</v>
      </c>
      <c r="P175">
        <f>B175*(hospitalityq!P175="")</f>
        <v>0</v>
      </c>
      <c r="Q175">
        <f>B175*(hospitalityq!Q175="")</f>
        <v>0</v>
      </c>
      <c r="R175">
        <f>B175*(hospitalityq!R175="")</f>
        <v>0</v>
      </c>
    </row>
    <row r="176" spans="1:18" x14ac:dyDescent="0.25">
      <c r="A176">
        <f t="shared" si="3"/>
        <v>0</v>
      </c>
      <c r="B176" t="b">
        <f>SUMPRODUCT(LEN(hospitalityq!C176:R176))&gt;0</f>
        <v>0</v>
      </c>
      <c r="C176">
        <f>B176*(hospitalityq!C176="")</f>
        <v>0</v>
      </c>
      <c r="E176">
        <f>B176*(hospitalityq!E176="")</f>
        <v>0</v>
      </c>
      <c r="F176">
        <f>B176*(hospitalityq!F176="")</f>
        <v>0</v>
      </c>
      <c r="G176">
        <f>B176*(hospitalityq!G176="")</f>
        <v>0</v>
      </c>
      <c r="H176">
        <f>B176*(hospitalityq!H176="")</f>
        <v>0</v>
      </c>
      <c r="I176">
        <f>B176*(hospitalityq!I176="")</f>
        <v>0</v>
      </c>
      <c r="J176">
        <f>B176*(hospitalityq!J176="")</f>
        <v>0</v>
      </c>
      <c r="K176">
        <f>B176*(hospitalityq!K176="")</f>
        <v>0</v>
      </c>
      <c r="L176">
        <f>B176*(hospitalityq!L176="")</f>
        <v>0</v>
      </c>
      <c r="M176">
        <f>B176*(hospitalityq!M176="")</f>
        <v>0</v>
      </c>
      <c r="N176">
        <f>B176*(hospitalityq!N176="")</f>
        <v>0</v>
      </c>
      <c r="O176">
        <f>B176*(hospitalityq!O176="")</f>
        <v>0</v>
      </c>
      <c r="P176">
        <f>B176*(hospitalityq!P176="")</f>
        <v>0</v>
      </c>
      <c r="Q176">
        <f>B176*(hospitalityq!Q176="")</f>
        <v>0</v>
      </c>
      <c r="R176">
        <f>B176*(hospitalityq!R176="")</f>
        <v>0</v>
      </c>
    </row>
    <row r="177" spans="1:18" x14ac:dyDescent="0.25">
      <c r="A177">
        <f t="shared" si="3"/>
        <v>0</v>
      </c>
      <c r="B177" t="b">
        <f>SUMPRODUCT(LEN(hospitalityq!C177:R177))&gt;0</f>
        <v>0</v>
      </c>
      <c r="C177">
        <f>B177*(hospitalityq!C177="")</f>
        <v>0</v>
      </c>
      <c r="E177">
        <f>B177*(hospitalityq!E177="")</f>
        <v>0</v>
      </c>
      <c r="F177">
        <f>B177*(hospitalityq!F177="")</f>
        <v>0</v>
      </c>
      <c r="G177">
        <f>B177*(hospitalityq!G177="")</f>
        <v>0</v>
      </c>
      <c r="H177">
        <f>B177*(hospitalityq!H177="")</f>
        <v>0</v>
      </c>
      <c r="I177">
        <f>B177*(hospitalityq!I177="")</f>
        <v>0</v>
      </c>
      <c r="J177">
        <f>B177*(hospitalityq!J177="")</f>
        <v>0</v>
      </c>
      <c r="K177">
        <f>B177*(hospitalityq!K177="")</f>
        <v>0</v>
      </c>
      <c r="L177">
        <f>B177*(hospitalityq!L177="")</f>
        <v>0</v>
      </c>
      <c r="M177">
        <f>B177*(hospitalityq!M177="")</f>
        <v>0</v>
      </c>
      <c r="N177">
        <f>B177*(hospitalityq!N177="")</f>
        <v>0</v>
      </c>
      <c r="O177">
        <f>B177*(hospitalityq!O177="")</f>
        <v>0</v>
      </c>
      <c r="P177">
        <f>B177*(hospitalityq!P177="")</f>
        <v>0</v>
      </c>
      <c r="Q177">
        <f>B177*(hospitalityq!Q177="")</f>
        <v>0</v>
      </c>
      <c r="R177">
        <f>B177*(hospitalityq!R177="")</f>
        <v>0</v>
      </c>
    </row>
    <row r="178" spans="1:18" x14ac:dyDescent="0.25">
      <c r="A178">
        <f t="shared" si="3"/>
        <v>0</v>
      </c>
      <c r="B178" t="b">
        <f>SUMPRODUCT(LEN(hospitalityq!C178:R178))&gt;0</f>
        <v>0</v>
      </c>
      <c r="C178">
        <f>B178*(hospitalityq!C178="")</f>
        <v>0</v>
      </c>
      <c r="E178">
        <f>B178*(hospitalityq!E178="")</f>
        <v>0</v>
      </c>
      <c r="F178">
        <f>B178*(hospitalityq!F178="")</f>
        <v>0</v>
      </c>
      <c r="G178">
        <f>B178*(hospitalityq!G178="")</f>
        <v>0</v>
      </c>
      <c r="H178">
        <f>B178*(hospitalityq!H178="")</f>
        <v>0</v>
      </c>
      <c r="I178">
        <f>B178*(hospitalityq!I178="")</f>
        <v>0</v>
      </c>
      <c r="J178">
        <f>B178*(hospitalityq!J178="")</f>
        <v>0</v>
      </c>
      <c r="K178">
        <f>B178*(hospitalityq!K178="")</f>
        <v>0</v>
      </c>
      <c r="L178">
        <f>B178*(hospitalityq!L178="")</f>
        <v>0</v>
      </c>
      <c r="M178">
        <f>B178*(hospitalityq!M178="")</f>
        <v>0</v>
      </c>
      <c r="N178">
        <f>B178*(hospitalityq!N178="")</f>
        <v>0</v>
      </c>
      <c r="O178">
        <f>B178*(hospitalityq!O178="")</f>
        <v>0</v>
      </c>
      <c r="P178">
        <f>B178*(hospitalityq!P178="")</f>
        <v>0</v>
      </c>
      <c r="Q178">
        <f>B178*(hospitalityq!Q178="")</f>
        <v>0</v>
      </c>
      <c r="R178">
        <f>B178*(hospitalityq!R178="")</f>
        <v>0</v>
      </c>
    </row>
    <row r="179" spans="1:18" x14ac:dyDescent="0.25">
      <c r="A179">
        <f t="shared" si="3"/>
        <v>0</v>
      </c>
      <c r="B179" t="b">
        <f>SUMPRODUCT(LEN(hospitalityq!C179:R179))&gt;0</f>
        <v>0</v>
      </c>
      <c r="C179">
        <f>B179*(hospitalityq!C179="")</f>
        <v>0</v>
      </c>
      <c r="E179">
        <f>B179*(hospitalityq!E179="")</f>
        <v>0</v>
      </c>
      <c r="F179">
        <f>B179*(hospitalityq!F179="")</f>
        <v>0</v>
      </c>
      <c r="G179">
        <f>B179*(hospitalityq!G179="")</f>
        <v>0</v>
      </c>
      <c r="H179">
        <f>B179*(hospitalityq!H179="")</f>
        <v>0</v>
      </c>
      <c r="I179">
        <f>B179*(hospitalityq!I179="")</f>
        <v>0</v>
      </c>
      <c r="J179">
        <f>B179*(hospitalityq!J179="")</f>
        <v>0</v>
      </c>
      <c r="K179">
        <f>B179*(hospitalityq!K179="")</f>
        <v>0</v>
      </c>
      <c r="L179">
        <f>B179*(hospitalityq!L179="")</f>
        <v>0</v>
      </c>
      <c r="M179">
        <f>B179*(hospitalityq!M179="")</f>
        <v>0</v>
      </c>
      <c r="N179">
        <f>B179*(hospitalityq!N179="")</f>
        <v>0</v>
      </c>
      <c r="O179">
        <f>B179*(hospitalityq!O179="")</f>
        <v>0</v>
      </c>
      <c r="P179">
        <f>B179*(hospitalityq!P179="")</f>
        <v>0</v>
      </c>
      <c r="Q179">
        <f>B179*(hospitalityq!Q179="")</f>
        <v>0</v>
      </c>
      <c r="R179">
        <f>B179*(hospitalityq!R179="")</f>
        <v>0</v>
      </c>
    </row>
    <row r="180" spans="1:18" x14ac:dyDescent="0.25">
      <c r="A180">
        <f t="shared" si="3"/>
        <v>0</v>
      </c>
      <c r="B180" t="b">
        <f>SUMPRODUCT(LEN(hospitalityq!C180:R180))&gt;0</f>
        <v>0</v>
      </c>
      <c r="C180">
        <f>B180*(hospitalityq!C180="")</f>
        <v>0</v>
      </c>
      <c r="E180">
        <f>B180*(hospitalityq!E180="")</f>
        <v>0</v>
      </c>
      <c r="F180">
        <f>B180*(hospitalityq!F180="")</f>
        <v>0</v>
      </c>
      <c r="G180">
        <f>B180*(hospitalityq!G180="")</f>
        <v>0</v>
      </c>
      <c r="H180">
        <f>B180*(hospitalityq!H180="")</f>
        <v>0</v>
      </c>
      <c r="I180">
        <f>B180*(hospitalityq!I180="")</f>
        <v>0</v>
      </c>
      <c r="J180">
        <f>B180*(hospitalityq!J180="")</f>
        <v>0</v>
      </c>
      <c r="K180">
        <f>B180*(hospitalityq!K180="")</f>
        <v>0</v>
      </c>
      <c r="L180">
        <f>B180*(hospitalityq!L180="")</f>
        <v>0</v>
      </c>
      <c r="M180">
        <f>B180*(hospitalityq!M180="")</f>
        <v>0</v>
      </c>
      <c r="N180">
        <f>B180*(hospitalityq!N180="")</f>
        <v>0</v>
      </c>
      <c r="O180">
        <f>B180*(hospitalityq!O180="")</f>
        <v>0</v>
      </c>
      <c r="P180">
        <f>B180*(hospitalityq!P180="")</f>
        <v>0</v>
      </c>
      <c r="Q180">
        <f>B180*(hospitalityq!Q180="")</f>
        <v>0</v>
      </c>
      <c r="R180">
        <f>B180*(hospitalityq!R180="")</f>
        <v>0</v>
      </c>
    </row>
    <row r="181" spans="1:18" x14ac:dyDescent="0.25">
      <c r="A181">
        <f t="shared" si="3"/>
        <v>0</v>
      </c>
      <c r="B181" t="b">
        <f>SUMPRODUCT(LEN(hospitalityq!C181:R181))&gt;0</f>
        <v>0</v>
      </c>
      <c r="C181">
        <f>B181*(hospitalityq!C181="")</f>
        <v>0</v>
      </c>
      <c r="E181">
        <f>B181*(hospitalityq!E181="")</f>
        <v>0</v>
      </c>
      <c r="F181">
        <f>B181*(hospitalityq!F181="")</f>
        <v>0</v>
      </c>
      <c r="G181">
        <f>B181*(hospitalityq!G181="")</f>
        <v>0</v>
      </c>
      <c r="H181">
        <f>B181*(hospitalityq!H181="")</f>
        <v>0</v>
      </c>
      <c r="I181">
        <f>B181*(hospitalityq!I181="")</f>
        <v>0</v>
      </c>
      <c r="J181">
        <f>B181*(hospitalityq!J181="")</f>
        <v>0</v>
      </c>
      <c r="K181">
        <f>B181*(hospitalityq!K181="")</f>
        <v>0</v>
      </c>
      <c r="L181">
        <f>B181*(hospitalityq!L181="")</f>
        <v>0</v>
      </c>
      <c r="M181">
        <f>B181*(hospitalityq!M181="")</f>
        <v>0</v>
      </c>
      <c r="N181">
        <f>B181*(hospitalityq!N181="")</f>
        <v>0</v>
      </c>
      <c r="O181">
        <f>B181*(hospitalityq!O181="")</f>
        <v>0</v>
      </c>
      <c r="P181">
        <f>B181*(hospitalityq!P181="")</f>
        <v>0</v>
      </c>
      <c r="Q181">
        <f>B181*(hospitalityq!Q181="")</f>
        <v>0</v>
      </c>
      <c r="R181">
        <f>B181*(hospitalityq!R181="")</f>
        <v>0</v>
      </c>
    </row>
    <row r="182" spans="1:18" x14ac:dyDescent="0.25">
      <c r="A182">
        <f t="shared" si="3"/>
        <v>0</v>
      </c>
      <c r="B182" t="b">
        <f>SUMPRODUCT(LEN(hospitalityq!C182:R182))&gt;0</f>
        <v>0</v>
      </c>
      <c r="C182">
        <f>B182*(hospitalityq!C182="")</f>
        <v>0</v>
      </c>
      <c r="E182">
        <f>B182*(hospitalityq!E182="")</f>
        <v>0</v>
      </c>
      <c r="F182">
        <f>B182*(hospitalityq!F182="")</f>
        <v>0</v>
      </c>
      <c r="G182">
        <f>B182*(hospitalityq!G182="")</f>
        <v>0</v>
      </c>
      <c r="H182">
        <f>B182*(hospitalityq!H182="")</f>
        <v>0</v>
      </c>
      <c r="I182">
        <f>B182*(hospitalityq!I182="")</f>
        <v>0</v>
      </c>
      <c r="J182">
        <f>B182*(hospitalityq!J182="")</f>
        <v>0</v>
      </c>
      <c r="K182">
        <f>B182*(hospitalityq!K182="")</f>
        <v>0</v>
      </c>
      <c r="L182">
        <f>B182*(hospitalityq!L182="")</f>
        <v>0</v>
      </c>
      <c r="M182">
        <f>B182*(hospitalityq!M182="")</f>
        <v>0</v>
      </c>
      <c r="N182">
        <f>B182*(hospitalityq!N182="")</f>
        <v>0</v>
      </c>
      <c r="O182">
        <f>B182*(hospitalityq!O182="")</f>
        <v>0</v>
      </c>
      <c r="P182">
        <f>B182*(hospitalityq!P182="")</f>
        <v>0</v>
      </c>
      <c r="Q182">
        <f>B182*(hospitalityq!Q182="")</f>
        <v>0</v>
      </c>
      <c r="R182">
        <f>B182*(hospitalityq!R182="")</f>
        <v>0</v>
      </c>
    </row>
    <row r="183" spans="1:18" x14ac:dyDescent="0.25">
      <c r="A183">
        <f t="shared" si="3"/>
        <v>0</v>
      </c>
      <c r="B183" t="b">
        <f>SUMPRODUCT(LEN(hospitalityq!C183:R183))&gt;0</f>
        <v>0</v>
      </c>
      <c r="C183">
        <f>B183*(hospitalityq!C183="")</f>
        <v>0</v>
      </c>
      <c r="E183">
        <f>B183*(hospitalityq!E183="")</f>
        <v>0</v>
      </c>
      <c r="F183">
        <f>B183*(hospitalityq!F183="")</f>
        <v>0</v>
      </c>
      <c r="G183">
        <f>B183*(hospitalityq!G183="")</f>
        <v>0</v>
      </c>
      <c r="H183">
        <f>B183*(hospitalityq!H183="")</f>
        <v>0</v>
      </c>
      <c r="I183">
        <f>B183*(hospitalityq!I183="")</f>
        <v>0</v>
      </c>
      <c r="J183">
        <f>B183*(hospitalityq!J183="")</f>
        <v>0</v>
      </c>
      <c r="K183">
        <f>B183*(hospitalityq!K183="")</f>
        <v>0</v>
      </c>
      <c r="L183">
        <f>B183*(hospitalityq!L183="")</f>
        <v>0</v>
      </c>
      <c r="M183">
        <f>B183*(hospitalityq!M183="")</f>
        <v>0</v>
      </c>
      <c r="N183">
        <f>B183*(hospitalityq!N183="")</f>
        <v>0</v>
      </c>
      <c r="O183">
        <f>B183*(hospitalityq!O183="")</f>
        <v>0</v>
      </c>
      <c r="P183">
        <f>B183*(hospitalityq!P183="")</f>
        <v>0</v>
      </c>
      <c r="Q183">
        <f>B183*(hospitalityq!Q183="")</f>
        <v>0</v>
      </c>
      <c r="R183">
        <f>B183*(hospitalityq!R183="")</f>
        <v>0</v>
      </c>
    </row>
    <row r="184" spans="1:18" x14ac:dyDescent="0.25">
      <c r="A184">
        <f t="shared" si="3"/>
        <v>0</v>
      </c>
      <c r="B184" t="b">
        <f>SUMPRODUCT(LEN(hospitalityq!C184:R184))&gt;0</f>
        <v>0</v>
      </c>
      <c r="C184">
        <f>B184*(hospitalityq!C184="")</f>
        <v>0</v>
      </c>
      <c r="E184">
        <f>B184*(hospitalityq!E184="")</f>
        <v>0</v>
      </c>
      <c r="F184">
        <f>B184*(hospitalityq!F184="")</f>
        <v>0</v>
      </c>
      <c r="G184">
        <f>B184*(hospitalityq!G184="")</f>
        <v>0</v>
      </c>
      <c r="H184">
        <f>B184*(hospitalityq!H184="")</f>
        <v>0</v>
      </c>
      <c r="I184">
        <f>B184*(hospitalityq!I184="")</f>
        <v>0</v>
      </c>
      <c r="J184">
        <f>B184*(hospitalityq!J184="")</f>
        <v>0</v>
      </c>
      <c r="K184">
        <f>B184*(hospitalityq!K184="")</f>
        <v>0</v>
      </c>
      <c r="L184">
        <f>B184*(hospitalityq!L184="")</f>
        <v>0</v>
      </c>
      <c r="M184">
        <f>B184*(hospitalityq!M184="")</f>
        <v>0</v>
      </c>
      <c r="N184">
        <f>B184*(hospitalityq!N184="")</f>
        <v>0</v>
      </c>
      <c r="O184">
        <f>B184*(hospitalityq!O184="")</f>
        <v>0</v>
      </c>
      <c r="P184">
        <f>B184*(hospitalityq!P184="")</f>
        <v>0</v>
      </c>
      <c r="Q184">
        <f>B184*(hospitalityq!Q184="")</f>
        <v>0</v>
      </c>
      <c r="R184">
        <f>B184*(hospitalityq!R184="")</f>
        <v>0</v>
      </c>
    </row>
    <row r="185" spans="1:18" x14ac:dyDescent="0.25">
      <c r="A185">
        <f t="shared" si="3"/>
        <v>0</v>
      </c>
      <c r="B185" t="b">
        <f>SUMPRODUCT(LEN(hospitalityq!C185:R185))&gt;0</f>
        <v>0</v>
      </c>
      <c r="C185">
        <f>B185*(hospitalityq!C185="")</f>
        <v>0</v>
      </c>
      <c r="E185">
        <f>B185*(hospitalityq!E185="")</f>
        <v>0</v>
      </c>
      <c r="F185">
        <f>B185*(hospitalityq!F185="")</f>
        <v>0</v>
      </c>
      <c r="G185">
        <f>B185*(hospitalityq!G185="")</f>
        <v>0</v>
      </c>
      <c r="H185">
        <f>B185*(hospitalityq!H185="")</f>
        <v>0</v>
      </c>
      <c r="I185">
        <f>B185*(hospitalityq!I185="")</f>
        <v>0</v>
      </c>
      <c r="J185">
        <f>B185*(hospitalityq!J185="")</f>
        <v>0</v>
      </c>
      <c r="K185">
        <f>B185*(hospitalityq!K185="")</f>
        <v>0</v>
      </c>
      <c r="L185">
        <f>B185*(hospitalityq!L185="")</f>
        <v>0</v>
      </c>
      <c r="M185">
        <f>B185*(hospitalityq!M185="")</f>
        <v>0</v>
      </c>
      <c r="N185">
        <f>B185*(hospitalityq!N185="")</f>
        <v>0</v>
      </c>
      <c r="O185">
        <f>B185*(hospitalityq!O185="")</f>
        <v>0</v>
      </c>
      <c r="P185">
        <f>B185*(hospitalityq!P185="")</f>
        <v>0</v>
      </c>
      <c r="Q185">
        <f>B185*(hospitalityq!Q185="")</f>
        <v>0</v>
      </c>
      <c r="R185">
        <f>B185*(hospitalityq!R185="")</f>
        <v>0</v>
      </c>
    </row>
    <row r="186" spans="1:18" x14ac:dyDescent="0.25">
      <c r="A186">
        <f t="shared" si="3"/>
        <v>0</v>
      </c>
      <c r="B186" t="b">
        <f>SUMPRODUCT(LEN(hospitalityq!C186:R186))&gt;0</f>
        <v>0</v>
      </c>
      <c r="C186">
        <f>B186*(hospitalityq!C186="")</f>
        <v>0</v>
      </c>
      <c r="E186">
        <f>B186*(hospitalityq!E186="")</f>
        <v>0</v>
      </c>
      <c r="F186">
        <f>B186*(hospitalityq!F186="")</f>
        <v>0</v>
      </c>
      <c r="G186">
        <f>B186*(hospitalityq!G186="")</f>
        <v>0</v>
      </c>
      <c r="H186">
        <f>B186*(hospitalityq!H186="")</f>
        <v>0</v>
      </c>
      <c r="I186">
        <f>B186*(hospitalityq!I186="")</f>
        <v>0</v>
      </c>
      <c r="J186">
        <f>B186*(hospitalityq!J186="")</f>
        <v>0</v>
      </c>
      <c r="K186">
        <f>B186*(hospitalityq!K186="")</f>
        <v>0</v>
      </c>
      <c r="L186">
        <f>B186*(hospitalityq!L186="")</f>
        <v>0</v>
      </c>
      <c r="M186">
        <f>B186*(hospitalityq!M186="")</f>
        <v>0</v>
      </c>
      <c r="N186">
        <f>B186*(hospitalityq!N186="")</f>
        <v>0</v>
      </c>
      <c r="O186">
        <f>B186*(hospitalityq!O186="")</f>
        <v>0</v>
      </c>
      <c r="P186">
        <f>B186*(hospitalityq!P186="")</f>
        <v>0</v>
      </c>
      <c r="Q186">
        <f>B186*(hospitalityq!Q186="")</f>
        <v>0</v>
      </c>
      <c r="R186">
        <f>B186*(hospitalityq!R186="")</f>
        <v>0</v>
      </c>
    </row>
    <row r="187" spans="1:18" x14ac:dyDescent="0.25">
      <c r="A187">
        <f t="shared" si="3"/>
        <v>0</v>
      </c>
      <c r="B187" t="b">
        <f>SUMPRODUCT(LEN(hospitalityq!C187:R187))&gt;0</f>
        <v>0</v>
      </c>
      <c r="C187">
        <f>B187*(hospitalityq!C187="")</f>
        <v>0</v>
      </c>
      <c r="E187">
        <f>B187*(hospitalityq!E187="")</f>
        <v>0</v>
      </c>
      <c r="F187">
        <f>B187*(hospitalityq!F187="")</f>
        <v>0</v>
      </c>
      <c r="G187">
        <f>B187*(hospitalityq!G187="")</f>
        <v>0</v>
      </c>
      <c r="H187">
        <f>B187*(hospitalityq!H187="")</f>
        <v>0</v>
      </c>
      <c r="I187">
        <f>B187*(hospitalityq!I187="")</f>
        <v>0</v>
      </c>
      <c r="J187">
        <f>B187*(hospitalityq!J187="")</f>
        <v>0</v>
      </c>
      <c r="K187">
        <f>B187*(hospitalityq!K187="")</f>
        <v>0</v>
      </c>
      <c r="L187">
        <f>B187*(hospitalityq!L187="")</f>
        <v>0</v>
      </c>
      <c r="M187">
        <f>B187*(hospitalityq!M187="")</f>
        <v>0</v>
      </c>
      <c r="N187">
        <f>B187*(hospitalityq!N187="")</f>
        <v>0</v>
      </c>
      <c r="O187">
        <f>B187*(hospitalityq!O187="")</f>
        <v>0</v>
      </c>
      <c r="P187">
        <f>B187*(hospitalityq!P187="")</f>
        <v>0</v>
      </c>
      <c r="Q187">
        <f>B187*(hospitalityq!Q187="")</f>
        <v>0</v>
      </c>
      <c r="R187">
        <f>B187*(hospitalityq!R187="")</f>
        <v>0</v>
      </c>
    </row>
    <row r="188" spans="1:18" x14ac:dyDescent="0.25">
      <c r="A188">
        <f t="shared" si="3"/>
        <v>0</v>
      </c>
      <c r="B188" t="b">
        <f>SUMPRODUCT(LEN(hospitalityq!C188:R188))&gt;0</f>
        <v>0</v>
      </c>
      <c r="C188">
        <f>B188*(hospitalityq!C188="")</f>
        <v>0</v>
      </c>
      <c r="E188">
        <f>B188*(hospitalityq!E188="")</f>
        <v>0</v>
      </c>
      <c r="F188">
        <f>B188*(hospitalityq!F188="")</f>
        <v>0</v>
      </c>
      <c r="G188">
        <f>B188*(hospitalityq!G188="")</f>
        <v>0</v>
      </c>
      <c r="H188">
        <f>B188*(hospitalityq!H188="")</f>
        <v>0</v>
      </c>
      <c r="I188">
        <f>B188*(hospitalityq!I188="")</f>
        <v>0</v>
      </c>
      <c r="J188">
        <f>B188*(hospitalityq!J188="")</f>
        <v>0</v>
      </c>
      <c r="K188">
        <f>B188*(hospitalityq!K188="")</f>
        <v>0</v>
      </c>
      <c r="L188">
        <f>B188*(hospitalityq!L188="")</f>
        <v>0</v>
      </c>
      <c r="M188">
        <f>B188*(hospitalityq!M188="")</f>
        <v>0</v>
      </c>
      <c r="N188">
        <f>B188*(hospitalityq!N188="")</f>
        <v>0</v>
      </c>
      <c r="O188">
        <f>B188*(hospitalityq!O188="")</f>
        <v>0</v>
      </c>
      <c r="P188">
        <f>B188*(hospitalityq!P188="")</f>
        <v>0</v>
      </c>
      <c r="Q188">
        <f>B188*(hospitalityq!Q188="")</f>
        <v>0</v>
      </c>
      <c r="R188">
        <f>B188*(hospitalityq!R188="")</f>
        <v>0</v>
      </c>
    </row>
    <row r="189" spans="1:18" x14ac:dyDescent="0.25">
      <c r="A189">
        <f t="shared" si="3"/>
        <v>0</v>
      </c>
      <c r="B189" t="b">
        <f>SUMPRODUCT(LEN(hospitalityq!C189:R189))&gt;0</f>
        <v>0</v>
      </c>
      <c r="C189">
        <f>B189*(hospitalityq!C189="")</f>
        <v>0</v>
      </c>
      <c r="E189">
        <f>B189*(hospitalityq!E189="")</f>
        <v>0</v>
      </c>
      <c r="F189">
        <f>B189*(hospitalityq!F189="")</f>
        <v>0</v>
      </c>
      <c r="G189">
        <f>B189*(hospitalityq!G189="")</f>
        <v>0</v>
      </c>
      <c r="H189">
        <f>B189*(hospitalityq!H189="")</f>
        <v>0</v>
      </c>
      <c r="I189">
        <f>B189*(hospitalityq!I189="")</f>
        <v>0</v>
      </c>
      <c r="J189">
        <f>B189*(hospitalityq!J189="")</f>
        <v>0</v>
      </c>
      <c r="K189">
        <f>B189*(hospitalityq!K189="")</f>
        <v>0</v>
      </c>
      <c r="L189">
        <f>B189*(hospitalityq!L189="")</f>
        <v>0</v>
      </c>
      <c r="M189">
        <f>B189*(hospitalityq!M189="")</f>
        <v>0</v>
      </c>
      <c r="N189">
        <f>B189*(hospitalityq!N189="")</f>
        <v>0</v>
      </c>
      <c r="O189">
        <f>B189*(hospitalityq!O189="")</f>
        <v>0</v>
      </c>
      <c r="P189">
        <f>B189*(hospitalityq!P189="")</f>
        <v>0</v>
      </c>
      <c r="Q189">
        <f>B189*(hospitalityq!Q189="")</f>
        <v>0</v>
      </c>
      <c r="R189">
        <f>B189*(hospitalityq!R189="")</f>
        <v>0</v>
      </c>
    </row>
    <row r="190" spans="1:18" x14ac:dyDescent="0.25">
      <c r="A190">
        <f t="shared" si="3"/>
        <v>0</v>
      </c>
      <c r="B190" t="b">
        <f>SUMPRODUCT(LEN(hospitalityq!C190:R190))&gt;0</f>
        <v>0</v>
      </c>
      <c r="C190">
        <f>B190*(hospitalityq!C190="")</f>
        <v>0</v>
      </c>
      <c r="E190">
        <f>B190*(hospitalityq!E190="")</f>
        <v>0</v>
      </c>
      <c r="F190">
        <f>B190*(hospitalityq!F190="")</f>
        <v>0</v>
      </c>
      <c r="G190">
        <f>B190*(hospitalityq!G190="")</f>
        <v>0</v>
      </c>
      <c r="H190">
        <f>B190*(hospitalityq!H190="")</f>
        <v>0</v>
      </c>
      <c r="I190">
        <f>B190*(hospitalityq!I190="")</f>
        <v>0</v>
      </c>
      <c r="J190">
        <f>B190*(hospitalityq!J190="")</f>
        <v>0</v>
      </c>
      <c r="K190">
        <f>B190*(hospitalityq!K190="")</f>
        <v>0</v>
      </c>
      <c r="L190">
        <f>B190*(hospitalityq!L190="")</f>
        <v>0</v>
      </c>
      <c r="M190">
        <f>B190*(hospitalityq!M190="")</f>
        <v>0</v>
      </c>
      <c r="N190">
        <f>B190*(hospitalityq!N190="")</f>
        <v>0</v>
      </c>
      <c r="O190">
        <f>B190*(hospitalityq!O190="")</f>
        <v>0</v>
      </c>
      <c r="P190">
        <f>B190*(hospitalityq!P190="")</f>
        <v>0</v>
      </c>
      <c r="Q190">
        <f>B190*(hospitalityq!Q190="")</f>
        <v>0</v>
      </c>
      <c r="R190">
        <f>B190*(hospitalityq!R190="")</f>
        <v>0</v>
      </c>
    </row>
    <row r="191" spans="1:18" x14ac:dyDescent="0.25">
      <c r="A191">
        <f t="shared" si="3"/>
        <v>0</v>
      </c>
      <c r="B191" t="b">
        <f>SUMPRODUCT(LEN(hospitalityq!C191:R191))&gt;0</f>
        <v>0</v>
      </c>
      <c r="C191">
        <f>B191*(hospitalityq!C191="")</f>
        <v>0</v>
      </c>
      <c r="E191">
        <f>B191*(hospitalityq!E191="")</f>
        <v>0</v>
      </c>
      <c r="F191">
        <f>B191*(hospitalityq!F191="")</f>
        <v>0</v>
      </c>
      <c r="G191">
        <f>B191*(hospitalityq!G191="")</f>
        <v>0</v>
      </c>
      <c r="H191">
        <f>B191*(hospitalityq!H191="")</f>
        <v>0</v>
      </c>
      <c r="I191">
        <f>B191*(hospitalityq!I191="")</f>
        <v>0</v>
      </c>
      <c r="J191">
        <f>B191*(hospitalityq!J191="")</f>
        <v>0</v>
      </c>
      <c r="K191">
        <f>B191*(hospitalityq!K191="")</f>
        <v>0</v>
      </c>
      <c r="L191">
        <f>B191*(hospitalityq!L191="")</f>
        <v>0</v>
      </c>
      <c r="M191">
        <f>B191*(hospitalityq!M191="")</f>
        <v>0</v>
      </c>
      <c r="N191">
        <f>B191*(hospitalityq!N191="")</f>
        <v>0</v>
      </c>
      <c r="O191">
        <f>B191*(hospitalityq!O191="")</f>
        <v>0</v>
      </c>
      <c r="P191">
        <f>B191*(hospitalityq!P191="")</f>
        <v>0</v>
      </c>
      <c r="Q191">
        <f>B191*(hospitalityq!Q191="")</f>
        <v>0</v>
      </c>
      <c r="R191">
        <f>B191*(hospitalityq!R191="")</f>
        <v>0</v>
      </c>
    </row>
    <row r="192" spans="1:18" x14ac:dyDescent="0.25">
      <c r="A192">
        <f t="shared" si="3"/>
        <v>0</v>
      </c>
      <c r="B192" t="b">
        <f>SUMPRODUCT(LEN(hospitalityq!C192:R192))&gt;0</f>
        <v>0</v>
      </c>
      <c r="C192">
        <f>B192*(hospitalityq!C192="")</f>
        <v>0</v>
      </c>
      <c r="E192">
        <f>B192*(hospitalityq!E192="")</f>
        <v>0</v>
      </c>
      <c r="F192">
        <f>B192*(hospitalityq!F192="")</f>
        <v>0</v>
      </c>
      <c r="G192">
        <f>B192*(hospitalityq!G192="")</f>
        <v>0</v>
      </c>
      <c r="H192">
        <f>B192*(hospitalityq!H192="")</f>
        <v>0</v>
      </c>
      <c r="I192">
        <f>B192*(hospitalityq!I192="")</f>
        <v>0</v>
      </c>
      <c r="J192">
        <f>B192*(hospitalityq!J192="")</f>
        <v>0</v>
      </c>
      <c r="K192">
        <f>B192*(hospitalityq!K192="")</f>
        <v>0</v>
      </c>
      <c r="L192">
        <f>B192*(hospitalityq!L192="")</f>
        <v>0</v>
      </c>
      <c r="M192">
        <f>B192*(hospitalityq!M192="")</f>
        <v>0</v>
      </c>
      <c r="N192">
        <f>B192*(hospitalityq!N192="")</f>
        <v>0</v>
      </c>
      <c r="O192">
        <f>B192*(hospitalityq!O192="")</f>
        <v>0</v>
      </c>
      <c r="P192">
        <f>B192*(hospitalityq!P192="")</f>
        <v>0</v>
      </c>
      <c r="Q192">
        <f>B192*(hospitalityq!Q192="")</f>
        <v>0</v>
      </c>
      <c r="R192">
        <f>B192*(hospitalityq!R192="")</f>
        <v>0</v>
      </c>
    </row>
    <row r="193" spans="1:18" x14ac:dyDescent="0.25">
      <c r="A193">
        <f t="shared" si="3"/>
        <v>0</v>
      </c>
      <c r="B193" t="b">
        <f>SUMPRODUCT(LEN(hospitalityq!C193:R193))&gt;0</f>
        <v>0</v>
      </c>
      <c r="C193">
        <f>B193*(hospitalityq!C193="")</f>
        <v>0</v>
      </c>
      <c r="E193">
        <f>B193*(hospitalityq!E193="")</f>
        <v>0</v>
      </c>
      <c r="F193">
        <f>B193*(hospitalityq!F193="")</f>
        <v>0</v>
      </c>
      <c r="G193">
        <f>B193*(hospitalityq!G193="")</f>
        <v>0</v>
      </c>
      <c r="H193">
        <f>B193*(hospitalityq!H193="")</f>
        <v>0</v>
      </c>
      <c r="I193">
        <f>B193*(hospitalityq!I193="")</f>
        <v>0</v>
      </c>
      <c r="J193">
        <f>B193*(hospitalityq!J193="")</f>
        <v>0</v>
      </c>
      <c r="K193">
        <f>B193*(hospitalityq!K193="")</f>
        <v>0</v>
      </c>
      <c r="L193">
        <f>B193*(hospitalityq!L193="")</f>
        <v>0</v>
      </c>
      <c r="M193">
        <f>B193*(hospitalityq!M193="")</f>
        <v>0</v>
      </c>
      <c r="N193">
        <f>B193*(hospitalityq!N193="")</f>
        <v>0</v>
      </c>
      <c r="O193">
        <f>B193*(hospitalityq!O193="")</f>
        <v>0</v>
      </c>
      <c r="P193">
        <f>B193*(hospitalityq!P193="")</f>
        <v>0</v>
      </c>
      <c r="Q193">
        <f>B193*(hospitalityq!Q193="")</f>
        <v>0</v>
      </c>
      <c r="R193">
        <f>B193*(hospitalityq!R193="")</f>
        <v>0</v>
      </c>
    </row>
    <row r="194" spans="1:18" x14ac:dyDescent="0.25">
      <c r="A194">
        <f t="shared" si="3"/>
        <v>0</v>
      </c>
      <c r="B194" t="b">
        <f>SUMPRODUCT(LEN(hospitalityq!C194:R194))&gt;0</f>
        <v>0</v>
      </c>
      <c r="C194">
        <f>B194*(hospitalityq!C194="")</f>
        <v>0</v>
      </c>
      <c r="E194">
        <f>B194*(hospitalityq!E194="")</f>
        <v>0</v>
      </c>
      <c r="F194">
        <f>B194*(hospitalityq!F194="")</f>
        <v>0</v>
      </c>
      <c r="G194">
        <f>B194*(hospitalityq!G194="")</f>
        <v>0</v>
      </c>
      <c r="H194">
        <f>B194*(hospitalityq!H194="")</f>
        <v>0</v>
      </c>
      <c r="I194">
        <f>B194*(hospitalityq!I194="")</f>
        <v>0</v>
      </c>
      <c r="J194">
        <f>B194*(hospitalityq!J194="")</f>
        <v>0</v>
      </c>
      <c r="K194">
        <f>B194*(hospitalityq!K194="")</f>
        <v>0</v>
      </c>
      <c r="L194">
        <f>B194*(hospitalityq!L194="")</f>
        <v>0</v>
      </c>
      <c r="M194">
        <f>B194*(hospitalityq!M194="")</f>
        <v>0</v>
      </c>
      <c r="N194">
        <f>B194*(hospitalityq!N194="")</f>
        <v>0</v>
      </c>
      <c r="O194">
        <f>B194*(hospitalityq!O194="")</f>
        <v>0</v>
      </c>
      <c r="P194">
        <f>B194*(hospitalityq!P194="")</f>
        <v>0</v>
      </c>
      <c r="Q194">
        <f>B194*(hospitalityq!Q194="")</f>
        <v>0</v>
      </c>
      <c r="R194">
        <f>B194*(hospitalityq!R194="")</f>
        <v>0</v>
      </c>
    </row>
    <row r="195" spans="1:18" x14ac:dyDescent="0.25">
      <c r="A195">
        <f t="shared" si="3"/>
        <v>0</v>
      </c>
      <c r="B195" t="b">
        <f>SUMPRODUCT(LEN(hospitalityq!C195:R195))&gt;0</f>
        <v>0</v>
      </c>
      <c r="C195">
        <f>B195*(hospitalityq!C195="")</f>
        <v>0</v>
      </c>
      <c r="E195">
        <f>B195*(hospitalityq!E195="")</f>
        <v>0</v>
      </c>
      <c r="F195">
        <f>B195*(hospitalityq!F195="")</f>
        <v>0</v>
      </c>
      <c r="G195">
        <f>B195*(hospitalityq!G195="")</f>
        <v>0</v>
      </c>
      <c r="H195">
        <f>B195*(hospitalityq!H195="")</f>
        <v>0</v>
      </c>
      <c r="I195">
        <f>B195*(hospitalityq!I195="")</f>
        <v>0</v>
      </c>
      <c r="J195">
        <f>B195*(hospitalityq!J195="")</f>
        <v>0</v>
      </c>
      <c r="K195">
        <f>B195*(hospitalityq!K195="")</f>
        <v>0</v>
      </c>
      <c r="L195">
        <f>B195*(hospitalityq!L195="")</f>
        <v>0</v>
      </c>
      <c r="M195">
        <f>B195*(hospitalityq!M195="")</f>
        <v>0</v>
      </c>
      <c r="N195">
        <f>B195*(hospitalityq!N195="")</f>
        <v>0</v>
      </c>
      <c r="O195">
        <f>B195*(hospitalityq!O195="")</f>
        <v>0</v>
      </c>
      <c r="P195">
        <f>B195*(hospitalityq!P195="")</f>
        <v>0</v>
      </c>
      <c r="Q195">
        <f>B195*(hospitalityq!Q195="")</f>
        <v>0</v>
      </c>
      <c r="R195">
        <f>B195*(hospitalityq!R195="")</f>
        <v>0</v>
      </c>
    </row>
    <row r="196" spans="1:18" x14ac:dyDescent="0.25">
      <c r="A196">
        <f t="shared" si="3"/>
        <v>0</v>
      </c>
      <c r="B196" t="b">
        <f>SUMPRODUCT(LEN(hospitalityq!C196:R196))&gt;0</f>
        <v>0</v>
      </c>
      <c r="C196">
        <f>B196*(hospitalityq!C196="")</f>
        <v>0</v>
      </c>
      <c r="E196">
        <f>B196*(hospitalityq!E196="")</f>
        <v>0</v>
      </c>
      <c r="F196">
        <f>B196*(hospitalityq!F196="")</f>
        <v>0</v>
      </c>
      <c r="G196">
        <f>B196*(hospitalityq!G196="")</f>
        <v>0</v>
      </c>
      <c r="H196">
        <f>B196*(hospitalityq!H196="")</f>
        <v>0</v>
      </c>
      <c r="I196">
        <f>B196*(hospitalityq!I196="")</f>
        <v>0</v>
      </c>
      <c r="J196">
        <f>B196*(hospitalityq!J196="")</f>
        <v>0</v>
      </c>
      <c r="K196">
        <f>B196*(hospitalityq!K196="")</f>
        <v>0</v>
      </c>
      <c r="L196">
        <f>B196*(hospitalityq!L196="")</f>
        <v>0</v>
      </c>
      <c r="M196">
        <f>B196*(hospitalityq!M196="")</f>
        <v>0</v>
      </c>
      <c r="N196">
        <f>B196*(hospitalityq!N196="")</f>
        <v>0</v>
      </c>
      <c r="O196">
        <f>B196*(hospitalityq!O196="")</f>
        <v>0</v>
      </c>
      <c r="P196">
        <f>B196*(hospitalityq!P196="")</f>
        <v>0</v>
      </c>
      <c r="Q196">
        <f>B196*(hospitalityq!Q196="")</f>
        <v>0</v>
      </c>
      <c r="R196">
        <f>B196*(hospitalityq!R196="")</f>
        <v>0</v>
      </c>
    </row>
    <row r="197" spans="1:18" x14ac:dyDescent="0.25">
      <c r="A197">
        <f t="shared" si="3"/>
        <v>0</v>
      </c>
      <c r="B197" t="b">
        <f>SUMPRODUCT(LEN(hospitalityq!C197:R197))&gt;0</f>
        <v>0</v>
      </c>
      <c r="C197">
        <f>B197*(hospitalityq!C197="")</f>
        <v>0</v>
      </c>
      <c r="E197">
        <f>B197*(hospitalityq!E197="")</f>
        <v>0</v>
      </c>
      <c r="F197">
        <f>B197*(hospitalityq!F197="")</f>
        <v>0</v>
      </c>
      <c r="G197">
        <f>B197*(hospitalityq!G197="")</f>
        <v>0</v>
      </c>
      <c r="H197">
        <f>B197*(hospitalityq!H197="")</f>
        <v>0</v>
      </c>
      <c r="I197">
        <f>B197*(hospitalityq!I197="")</f>
        <v>0</v>
      </c>
      <c r="J197">
        <f>B197*(hospitalityq!J197="")</f>
        <v>0</v>
      </c>
      <c r="K197">
        <f>B197*(hospitalityq!K197="")</f>
        <v>0</v>
      </c>
      <c r="L197">
        <f>B197*(hospitalityq!L197="")</f>
        <v>0</v>
      </c>
      <c r="M197">
        <f>B197*(hospitalityq!M197="")</f>
        <v>0</v>
      </c>
      <c r="N197">
        <f>B197*(hospitalityq!N197="")</f>
        <v>0</v>
      </c>
      <c r="O197">
        <f>B197*(hospitalityq!O197="")</f>
        <v>0</v>
      </c>
      <c r="P197">
        <f>B197*(hospitalityq!P197="")</f>
        <v>0</v>
      </c>
      <c r="Q197">
        <f>B197*(hospitalityq!Q197="")</f>
        <v>0</v>
      </c>
      <c r="R197">
        <f>B197*(hospitalityq!R197="")</f>
        <v>0</v>
      </c>
    </row>
    <row r="198" spans="1:18" x14ac:dyDescent="0.25">
      <c r="A198">
        <f t="shared" ref="A198:A261" si="4">IFERROR(MATCH(TRUE,INDEX(C198:R198&lt;&gt;0,),)+2,0)</f>
        <v>0</v>
      </c>
      <c r="B198" t="b">
        <f>SUMPRODUCT(LEN(hospitalityq!C198:R198))&gt;0</f>
        <v>0</v>
      </c>
      <c r="C198">
        <f>B198*(hospitalityq!C198="")</f>
        <v>0</v>
      </c>
      <c r="E198">
        <f>B198*(hospitalityq!E198="")</f>
        <v>0</v>
      </c>
      <c r="F198">
        <f>B198*(hospitalityq!F198="")</f>
        <v>0</v>
      </c>
      <c r="G198">
        <f>B198*(hospitalityq!G198="")</f>
        <v>0</v>
      </c>
      <c r="H198">
        <f>B198*(hospitalityq!H198="")</f>
        <v>0</v>
      </c>
      <c r="I198">
        <f>B198*(hospitalityq!I198="")</f>
        <v>0</v>
      </c>
      <c r="J198">
        <f>B198*(hospitalityq!J198="")</f>
        <v>0</v>
      </c>
      <c r="K198">
        <f>B198*(hospitalityq!K198="")</f>
        <v>0</v>
      </c>
      <c r="L198">
        <f>B198*(hospitalityq!L198="")</f>
        <v>0</v>
      </c>
      <c r="M198">
        <f>B198*(hospitalityq!M198="")</f>
        <v>0</v>
      </c>
      <c r="N198">
        <f>B198*(hospitalityq!N198="")</f>
        <v>0</v>
      </c>
      <c r="O198">
        <f>B198*(hospitalityq!O198="")</f>
        <v>0</v>
      </c>
      <c r="P198">
        <f>B198*(hospitalityq!P198="")</f>
        <v>0</v>
      </c>
      <c r="Q198">
        <f>B198*(hospitalityq!Q198="")</f>
        <v>0</v>
      </c>
      <c r="R198">
        <f>B198*(hospitalityq!R198="")</f>
        <v>0</v>
      </c>
    </row>
    <row r="199" spans="1:18" x14ac:dyDescent="0.25">
      <c r="A199">
        <f t="shared" si="4"/>
        <v>0</v>
      </c>
      <c r="B199" t="b">
        <f>SUMPRODUCT(LEN(hospitalityq!C199:R199))&gt;0</f>
        <v>0</v>
      </c>
      <c r="C199">
        <f>B199*(hospitalityq!C199="")</f>
        <v>0</v>
      </c>
      <c r="E199">
        <f>B199*(hospitalityq!E199="")</f>
        <v>0</v>
      </c>
      <c r="F199">
        <f>B199*(hospitalityq!F199="")</f>
        <v>0</v>
      </c>
      <c r="G199">
        <f>B199*(hospitalityq!G199="")</f>
        <v>0</v>
      </c>
      <c r="H199">
        <f>B199*(hospitalityq!H199="")</f>
        <v>0</v>
      </c>
      <c r="I199">
        <f>B199*(hospitalityq!I199="")</f>
        <v>0</v>
      </c>
      <c r="J199">
        <f>B199*(hospitalityq!J199="")</f>
        <v>0</v>
      </c>
      <c r="K199">
        <f>B199*(hospitalityq!K199="")</f>
        <v>0</v>
      </c>
      <c r="L199">
        <f>B199*(hospitalityq!L199="")</f>
        <v>0</v>
      </c>
      <c r="M199">
        <f>B199*(hospitalityq!M199="")</f>
        <v>0</v>
      </c>
      <c r="N199">
        <f>B199*(hospitalityq!N199="")</f>
        <v>0</v>
      </c>
      <c r="O199">
        <f>B199*(hospitalityq!O199="")</f>
        <v>0</v>
      </c>
      <c r="P199">
        <f>B199*(hospitalityq!P199="")</f>
        <v>0</v>
      </c>
      <c r="Q199">
        <f>B199*(hospitalityq!Q199="")</f>
        <v>0</v>
      </c>
      <c r="R199">
        <f>B199*(hospitalityq!R199="")</f>
        <v>0</v>
      </c>
    </row>
    <row r="200" spans="1:18" x14ac:dyDescent="0.25">
      <c r="A200">
        <f t="shared" si="4"/>
        <v>0</v>
      </c>
      <c r="B200" t="b">
        <f>SUMPRODUCT(LEN(hospitalityq!C200:R200))&gt;0</f>
        <v>0</v>
      </c>
      <c r="C200">
        <f>B200*(hospitalityq!C200="")</f>
        <v>0</v>
      </c>
      <c r="E200">
        <f>B200*(hospitalityq!E200="")</f>
        <v>0</v>
      </c>
      <c r="F200">
        <f>B200*(hospitalityq!F200="")</f>
        <v>0</v>
      </c>
      <c r="G200">
        <f>B200*(hospitalityq!G200="")</f>
        <v>0</v>
      </c>
      <c r="H200">
        <f>B200*(hospitalityq!H200="")</f>
        <v>0</v>
      </c>
      <c r="I200">
        <f>B200*(hospitalityq!I200="")</f>
        <v>0</v>
      </c>
      <c r="J200">
        <f>B200*(hospitalityq!J200="")</f>
        <v>0</v>
      </c>
      <c r="K200">
        <f>B200*(hospitalityq!K200="")</f>
        <v>0</v>
      </c>
      <c r="L200">
        <f>B200*(hospitalityq!L200="")</f>
        <v>0</v>
      </c>
      <c r="M200">
        <f>B200*(hospitalityq!M200="")</f>
        <v>0</v>
      </c>
      <c r="N200">
        <f>B200*(hospitalityq!N200="")</f>
        <v>0</v>
      </c>
      <c r="O200">
        <f>B200*(hospitalityq!O200="")</f>
        <v>0</v>
      </c>
      <c r="P200">
        <f>B200*(hospitalityq!P200="")</f>
        <v>0</v>
      </c>
      <c r="Q200">
        <f>B200*(hospitalityq!Q200="")</f>
        <v>0</v>
      </c>
      <c r="R200">
        <f>B200*(hospitalityq!R200="")</f>
        <v>0</v>
      </c>
    </row>
    <row r="201" spans="1:18" x14ac:dyDescent="0.25">
      <c r="A201">
        <f t="shared" si="4"/>
        <v>0</v>
      </c>
      <c r="B201" t="b">
        <f>SUMPRODUCT(LEN(hospitalityq!C201:R201))&gt;0</f>
        <v>0</v>
      </c>
      <c r="C201">
        <f>B201*(hospitalityq!C201="")</f>
        <v>0</v>
      </c>
      <c r="E201">
        <f>B201*(hospitalityq!E201="")</f>
        <v>0</v>
      </c>
      <c r="F201">
        <f>B201*(hospitalityq!F201="")</f>
        <v>0</v>
      </c>
      <c r="G201">
        <f>B201*(hospitalityq!G201="")</f>
        <v>0</v>
      </c>
      <c r="H201">
        <f>B201*(hospitalityq!H201="")</f>
        <v>0</v>
      </c>
      <c r="I201">
        <f>B201*(hospitalityq!I201="")</f>
        <v>0</v>
      </c>
      <c r="J201">
        <f>B201*(hospitalityq!J201="")</f>
        <v>0</v>
      </c>
      <c r="K201">
        <f>B201*(hospitalityq!K201="")</f>
        <v>0</v>
      </c>
      <c r="L201">
        <f>B201*(hospitalityq!L201="")</f>
        <v>0</v>
      </c>
      <c r="M201">
        <f>B201*(hospitalityq!M201="")</f>
        <v>0</v>
      </c>
      <c r="N201">
        <f>B201*(hospitalityq!N201="")</f>
        <v>0</v>
      </c>
      <c r="O201">
        <f>B201*(hospitalityq!O201="")</f>
        <v>0</v>
      </c>
      <c r="P201">
        <f>B201*(hospitalityq!P201="")</f>
        <v>0</v>
      </c>
      <c r="Q201">
        <f>B201*(hospitalityq!Q201="")</f>
        <v>0</v>
      </c>
      <c r="R201">
        <f>B201*(hospitalityq!R201="")</f>
        <v>0</v>
      </c>
    </row>
    <row r="202" spans="1:18" x14ac:dyDescent="0.25">
      <c r="A202">
        <f t="shared" si="4"/>
        <v>0</v>
      </c>
      <c r="B202" t="b">
        <f>SUMPRODUCT(LEN(hospitalityq!C202:R202))&gt;0</f>
        <v>0</v>
      </c>
      <c r="C202">
        <f>B202*(hospitalityq!C202="")</f>
        <v>0</v>
      </c>
      <c r="E202">
        <f>B202*(hospitalityq!E202="")</f>
        <v>0</v>
      </c>
      <c r="F202">
        <f>B202*(hospitalityq!F202="")</f>
        <v>0</v>
      </c>
      <c r="G202">
        <f>B202*(hospitalityq!G202="")</f>
        <v>0</v>
      </c>
      <c r="H202">
        <f>B202*(hospitalityq!H202="")</f>
        <v>0</v>
      </c>
      <c r="I202">
        <f>B202*(hospitalityq!I202="")</f>
        <v>0</v>
      </c>
      <c r="J202">
        <f>B202*(hospitalityq!J202="")</f>
        <v>0</v>
      </c>
      <c r="K202">
        <f>B202*(hospitalityq!K202="")</f>
        <v>0</v>
      </c>
      <c r="L202">
        <f>B202*(hospitalityq!L202="")</f>
        <v>0</v>
      </c>
      <c r="M202">
        <f>B202*(hospitalityq!M202="")</f>
        <v>0</v>
      </c>
      <c r="N202">
        <f>B202*(hospitalityq!N202="")</f>
        <v>0</v>
      </c>
      <c r="O202">
        <f>B202*(hospitalityq!O202="")</f>
        <v>0</v>
      </c>
      <c r="P202">
        <f>B202*(hospitalityq!P202="")</f>
        <v>0</v>
      </c>
      <c r="Q202">
        <f>B202*(hospitalityq!Q202="")</f>
        <v>0</v>
      </c>
      <c r="R202">
        <f>B202*(hospitalityq!R202="")</f>
        <v>0</v>
      </c>
    </row>
    <row r="203" spans="1:18" x14ac:dyDescent="0.25">
      <c r="A203">
        <f t="shared" si="4"/>
        <v>0</v>
      </c>
      <c r="B203" t="b">
        <f>SUMPRODUCT(LEN(hospitalityq!C203:R203))&gt;0</f>
        <v>0</v>
      </c>
      <c r="C203">
        <f>B203*(hospitalityq!C203="")</f>
        <v>0</v>
      </c>
      <c r="E203">
        <f>B203*(hospitalityq!E203="")</f>
        <v>0</v>
      </c>
      <c r="F203">
        <f>B203*(hospitalityq!F203="")</f>
        <v>0</v>
      </c>
      <c r="G203">
        <f>B203*(hospitalityq!G203="")</f>
        <v>0</v>
      </c>
      <c r="H203">
        <f>B203*(hospitalityq!H203="")</f>
        <v>0</v>
      </c>
      <c r="I203">
        <f>B203*(hospitalityq!I203="")</f>
        <v>0</v>
      </c>
      <c r="J203">
        <f>B203*(hospitalityq!J203="")</f>
        <v>0</v>
      </c>
      <c r="K203">
        <f>B203*(hospitalityq!K203="")</f>
        <v>0</v>
      </c>
      <c r="L203">
        <f>B203*(hospitalityq!L203="")</f>
        <v>0</v>
      </c>
      <c r="M203">
        <f>B203*(hospitalityq!M203="")</f>
        <v>0</v>
      </c>
      <c r="N203">
        <f>B203*(hospitalityq!N203="")</f>
        <v>0</v>
      </c>
      <c r="O203">
        <f>B203*(hospitalityq!O203="")</f>
        <v>0</v>
      </c>
      <c r="P203">
        <f>B203*(hospitalityq!P203="")</f>
        <v>0</v>
      </c>
      <c r="Q203">
        <f>B203*(hospitalityq!Q203="")</f>
        <v>0</v>
      </c>
      <c r="R203">
        <f>B203*(hospitalityq!R203="")</f>
        <v>0</v>
      </c>
    </row>
    <row r="204" spans="1:18" x14ac:dyDescent="0.25">
      <c r="A204">
        <f t="shared" si="4"/>
        <v>0</v>
      </c>
      <c r="B204" t="b">
        <f>SUMPRODUCT(LEN(hospitalityq!C204:R204))&gt;0</f>
        <v>0</v>
      </c>
      <c r="C204">
        <f>B204*(hospitalityq!C204="")</f>
        <v>0</v>
      </c>
      <c r="E204">
        <f>B204*(hospitalityq!E204="")</f>
        <v>0</v>
      </c>
      <c r="F204">
        <f>B204*(hospitalityq!F204="")</f>
        <v>0</v>
      </c>
      <c r="G204">
        <f>B204*(hospitalityq!G204="")</f>
        <v>0</v>
      </c>
      <c r="H204">
        <f>B204*(hospitalityq!H204="")</f>
        <v>0</v>
      </c>
      <c r="I204">
        <f>B204*(hospitalityq!I204="")</f>
        <v>0</v>
      </c>
      <c r="J204">
        <f>B204*(hospitalityq!J204="")</f>
        <v>0</v>
      </c>
      <c r="K204">
        <f>B204*(hospitalityq!K204="")</f>
        <v>0</v>
      </c>
      <c r="L204">
        <f>B204*(hospitalityq!L204="")</f>
        <v>0</v>
      </c>
      <c r="M204">
        <f>B204*(hospitalityq!M204="")</f>
        <v>0</v>
      </c>
      <c r="N204">
        <f>B204*(hospitalityq!N204="")</f>
        <v>0</v>
      </c>
      <c r="O204">
        <f>B204*(hospitalityq!O204="")</f>
        <v>0</v>
      </c>
      <c r="P204">
        <f>B204*(hospitalityq!P204="")</f>
        <v>0</v>
      </c>
      <c r="Q204">
        <f>B204*(hospitalityq!Q204="")</f>
        <v>0</v>
      </c>
      <c r="R204">
        <f>B204*(hospitalityq!R204="")</f>
        <v>0</v>
      </c>
    </row>
    <row r="205" spans="1:18" x14ac:dyDescent="0.25">
      <c r="A205">
        <f t="shared" si="4"/>
        <v>0</v>
      </c>
      <c r="B205" t="b">
        <f>SUMPRODUCT(LEN(hospitalityq!C205:R205))&gt;0</f>
        <v>0</v>
      </c>
      <c r="C205">
        <f>B205*(hospitalityq!C205="")</f>
        <v>0</v>
      </c>
      <c r="E205">
        <f>B205*(hospitalityq!E205="")</f>
        <v>0</v>
      </c>
      <c r="F205">
        <f>B205*(hospitalityq!F205="")</f>
        <v>0</v>
      </c>
      <c r="G205">
        <f>B205*(hospitalityq!G205="")</f>
        <v>0</v>
      </c>
      <c r="H205">
        <f>B205*(hospitalityq!H205="")</f>
        <v>0</v>
      </c>
      <c r="I205">
        <f>B205*(hospitalityq!I205="")</f>
        <v>0</v>
      </c>
      <c r="J205">
        <f>B205*(hospitalityq!J205="")</f>
        <v>0</v>
      </c>
      <c r="K205">
        <f>B205*(hospitalityq!K205="")</f>
        <v>0</v>
      </c>
      <c r="L205">
        <f>B205*(hospitalityq!L205="")</f>
        <v>0</v>
      </c>
      <c r="M205">
        <f>B205*(hospitalityq!M205="")</f>
        <v>0</v>
      </c>
      <c r="N205">
        <f>B205*(hospitalityq!N205="")</f>
        <v>0</v>
      </c>
      <c r="O205">
        <f>B205*(hospitalityq!O205="")</f>
        <v>0</v>
      </c>
      <c r="P205">
        <f>B205*(hospitalityq!P205="")</f>
        <v>0</v>
      </c>
      <c r="Q205">
        <f>B205*(hospitalityq!Q205="")</f>
        <v>0</v>
      </c>
      <c r="R205">
        <f>B205*(hospitalityq!R205="")</f>
        <v>0</v>
      </c>
    </row>
    <row r="206" spans="1:18" x14ac:dyDescent="0.25">
      <c r="A206">
        <f t="shared" si="4"/>
        <v>0</v>
      </c>
      <c r="B206" t="b">
        <f>SUMPRODUCT(LEN(hospitalityq!C206:R206))&gt;0</f>
        <v>0</v>
      </c>
      <c r="C206">
        <f>B206*(hospitalityq!C206="")</f>
        <v>0</v>
      </c>
      <c r="E206">
        <f>B206*(hospitalityq!E206="")</f>
        <v>0</v>
      </c>
      <c r="F206">
        <f>B206*(hospitalityq!F206="")</f>
        <v>0</v>
      </c>
      <c r="G206">
        <f>B206*(hospitalityq!G206="")</f>
        <v>0</v>
      </c>
      <c r="H206">
        <f>B206*(hospitalityq!H206="")</f>
        <v>0</v>
      </c>
      <c r="I206">
        <f>B206*(hospitalityq!I206="")</f>
        <v>0</v>
      </c>
      <c r="J206">
        <f>B206*(hospitalityq!J206="")</f>
        <v>0</v>
      </c>
      <c r="K206">
        <f>B206*(hospitalityq!K206="")</f>
        <v>0</v>
      </c>
      <c r="L206">
        <f>B206*(hospitalityq!L206="")</f>
        <v>0</v>
      </c>
      <c r="M206">
        <f>B206*(hospitalityq!M206="")</f>
        <v>0</v>
      </c>
      <c r="N206">
        <f>B206*(hospitalityq!N206="")</f>
        <v>0</v>
      </c>
      <c r="O206">
        <f>B206*(hospitalityq!O206="")</f>
        <v>0</v>
      </c>
      <c r="P206">
        <f>B206*(hospitalityq!P206="")</f>
        <v>0</v>
      </c>
      <c r="Q206">
        <f>B206*(hospitalityq!Q206="")</f>
        <v>0</v>
      </c>
      <c r="R206">
        <f>B206*(hospitalityq!R206="")</f>
        <v>0</v>
      </c>
    </row>
    <row r="207" spans="1:18" x14ac:dyDescent="0.25">
      <c r="A207">
        <f t="shared" si="4"/>
        <v>0</v>
      </c>
      <c r="B207" t="b">
        <f>SUMPRODUCT(LEN(hospitalityq!C207:R207))&gt;0</f>
        <v>0</v>
      </c>
      <c r="C207">
        <f>B207*(hospitalityq!C207="")</f>
        <v>0</v>
      </c>
      <c r="E207">
        <f>B207*(hospitalityq!E207="")</f>
        <v>0</v>
      </c>
      <c r="F207">
        <f>B207*(hospitalityq!F207="")</f>
        <v>0</v>
      </c>
      <c r="G207">
        <f>B207*(hospitalityq!G207="")</f>
        <v>0</v>
      </c>
      <c r="H207">
        <f>B207*(hospitalityq!H207="")</f>
        <v>0</v>
      </c>
      <c r="I207">
        <f>B207*(hospitalityq!I207="")</f>
        <v>0</v>
      </c>
      <c r="J207">
        <f>B207*(hospitalityq!J207="")</f>
        <v>0</v>
      </c>
      <c r="K207">
        <f>B207*(hospitalityq!K207="")</f>
        <v>0</v>
      </c>
      <c r="L207">
        <f>B207*(hospitalityq!L207="")</f>
        <v>0</v>
      </c>
      <c r="M207">
        <f>B207*(hospitalityq!M207="")</f>
        <v>0</v>
      </c>
      <c r="N207">
        <f>B207*(hospitalityq!N207="")</f>
        <v>0</v>
      </c>
      <c r="O207">
        <f>B207*(hospitalityq!O207="")</f>
        <v>0</v>
      </c>
      <c r="P207">
        <f>B207*(hospitalityq!P207="")</f>
        <v>0</v>
      </c>
      <c r="Q207">
        <f>B207*(hospitalityq!Q207="")</f>
        <v>0</v>
      </c>
      <c r="R207">
        <f>B207*(hospitalityq!R207="")</f>
        <v>0</v>
      </c>
    </row>
    <row r="208" spans="1:18" x14ac:dyDescent="0.25">
      <c r="A208">
        <f t="shared" si="4"/>
        <v>0</v>
      </c>
      <c r="B208" t="b">
        <f>SUMPRODUCT(LEN(hospitalityq!C208:R208))&gt;0</f>
        <v>0</v>
      </c>
      <c r="C208">
        <f>B208*(hospitalityq!C208="")</f>
        <v>0</v>
      </c>
      <c r="E208">
        <f>B208*(hospitalityq!E208="")</f>
        <v>0</v>
      </c>
      <c r="F208">
        <f>B208*(hospitalityq!F208="")</f>
        <v>0</v>
      </c>
      <c r="G208">
        <f>B208*(hospitalityq!G208="")</f>
        <v>0</v>
      </c>
      <c r="H208">
        <f>B208*(hospitalityq!H208="")</f>
        <v>0</v>
      </c>
      <c r="I208">
        <f>B208*(hospitalityq!I208="")</f>
        <v>0</v>
      </c>
      <c r="J208">
        <f>B208*(hospitalityq!J208="")</f>
        <v>0</v>
      </c>
      <c r="K208">
        <f>B208*(hospitalityq!K208="")</f>
        <v>0</v>
      </c>
      <c r="L208">
        <f>B208*(hospitalityq!L208="")</f>
        <v>0</v>
      </c>
      <c r="M208">
        <f>B208*(hospitalityq!M208="")</f>
        <v>0</v>
      </c>
      <c r="N208">
        <f>B208*(hospitalityq!N208="")</f>
        <v>0</v>
      </c>
      <c r="O208">
        <f>B208*(hospitalityq!O208="")</f>
        <v>0</v>
      </c>
      <c r="P208">
        <f>B208*(hospitalityq!P208="")</f>
        <v>0</v>
      </c>
      <c r="Q208">
        <f>B208*(hospitalityq!Q208="")</f>
        <v>0</v>
      </c>
      <c r="R208">
        <f>B208*(hospitalityq!R208="")</f>
        <v>0</v>
      </c>
    </row>
    <row r="209" spans="1:18" x14ac:dyDescent="0.25">
      <c r="A209">
        <f t="shared" si="4"/>
        <v>0</v>
      </c>
      <c r="B209" t="b">
        <f>SUMPRODUCT(LEN(hospitalityq!C209:R209))&gt;0</f>
        <v>0</v>
      </c>
      <c r="C209">
        <f>B209*(hospitalityq!C209="")</f>
        <v>0</v>
      </c>
      <c r="E209">
        <f>B209*(hospitalityq!E209="")</f>
        <v>0</v>
      </c>
      <c r="F209">
        <f>B209*(hospitalityq!F209="")</f>
        <v>0</v>
      </c>
      <c r="G209">
        <f>B209*(hospitalityq!G209="")</f>
        <v>0</v>
      </c>
      <c r="H209">
        <f>B209*(hospitalityq!H209="")</f>
        <v>0</v>
      </c>
      <c r="I209">
        <f>B209*(hospitalityq!I209="")</f>
        <v>0</v>
      </c>
      <c r="J209">
        <f>B209*(hospitalityq!J209="")</f>
        <v>0</v>
      </c>
      <c r="K209">
        <f>B209*(hospitalityq!K209="")</f>
        <v>0</v>
      </c>
      <c r="L209">
        <f>B209*(hospitalityq!L209="")</f>
        <v>0</v>
      </c>
      <c r="M209">
        <f>B209*(hospitalityq!M209="")</f>
        <v>0</v>
      </c>
      <c r="N209">
        <f>B209*(hospitalityq!N209="")</f>
        <v>0</v>
      </c>
      <c r="O209">
        <f>B209*(hospitalityq!O209="")</f>
        <v>0</v>
      </c>
      <c r="P209">
        <f>B209*(hospitalityq!P209="")</f>
        <v>0</v>
      </c>
      <c r="Q209">
        <f>B209*(hospitalityq!Q209="")</f>
        <v>0</v>
      </c>
      <c r="R209">
        <f>B209*(hospitalityq!R209="")</f>
        <v>0</v>
      </c>
    </row>
    <row r="210" spans="1:18" x14ac:dyDescent="0.25">
      <c r="A210">
        <f t="shared" si="4"/>
        <v>0</v>
      </c>
      <c r="B210" t="b">
        <f>SUMPRODUCT(LEN(hospitalityq!C210:R210))&gt;0</f>
        <v>0</v>
      </c>
      <c r="C210">
        <f>B210*(hospitalityq!C210="")</f>
        <v>0</v>
      </c>
      <c r="E210">
        <f>B210*(hospitalityq!E210="")</f>
        <v>0</v>
      </c>
      <c r="F210">
        <f>B210*(hospitalityq!F210="")</f>
        <v>0</v>
      </c>
      <c r="G210">
        <f>B210*(hospitalityq!G210="")</f>
        <v>0</v>
      </c>
      <c r="H210">
        <f>B210*(hospitalityq!H210="")</f>
        <v>0</v>
      </c>
      <c r="I210">
        <f>B210*(hospitalityq!I210="")</f>
        <v>0</v>
      </c>
      <c r="J210">
        <f>B210*(hospitalityq!J210="")</f>
        <v>0</v>
      </c>
      <c r="K210">
        <f>B210*(hospitalityq!K210="")</f>
        <v>0</v>
      </c>
      <c r="L210">
        <f>B210*(hospitalityq!L210="")</f>
        <v>0</v>
      </c>
      <c r="M210">
        <f>B210*(hospitalityq!M210="")</f>
        <v>0</v>
      </c>
      <c r="N210">
        <f>B210*(hospitalityq!N210="")</f>
        <v>0</v>
      </c>
      <c r="O210">
        <f>B210*(hospitalityq!O210="")</f>
        <v>0</v>
      </c>
      <c r="P210">
        <f>B210*(hospitalityq!P210="")</f>
        <v>0</v>
      </c>
      <c r="Q210">
        <f>B210*(hospitalityq!Q210="")</f>
        <v>0</v>
      </c>
      <c r="R210">
        <f>B210*(hospitalityq!R210="")</f>
        <v>0</v>
      </c>
    </row>
    <row r="211" spans="1:18" x14ac:dyDescent="0.25">
      <c r="A211">
        <f t="shared" si="4"/>
        <v>0</v>
      </c>
      <c r="B211" t="b">
        <f>SUMPRODUCT(LEN(hospitalityq!C211:R211))&gt;0</f>
        <v>0</v>
      </c>
      <c r="C211">
        <f>B211*(hospitalityq!C211="")</f>
        <v>0</v>
      </c>
      <c r="E211">
        <f>B211*(hospitalityq!E211="")</f>
        <v>0</v>
      </c>
      <c r="F211">
        <f>B211*(hospitalityq!F211="")</f>
        <v>0</v>
      </c>
      <c r="G211">
        <f>B211*(hospitalityq!G211="")</f>
        <v>0</v>
      </c>
      <c r="H211">
        <f>B211*(hospitalityq!H211="")</f>
        <v>0</v>
      </c>
      <c r="I211">
        <f>B211*(hospitalityq!I211="")</f>
        <v>0</v>
      </c>
      <c r="J211">
        <f>B211*(hospitalityq!J211="")</f>
        <v>0</v>
      </c>
      <c r="K211">
        <f>B211*(hospitalityq!K211="")</f>
        <v>0</v>
      </c>
      <c r="L211">
        <f>B211*(hospitalityq!L211="")</f>
        <v>0</v>
      </c>
      <c r="M211">
        <f>B211*(hospitalityq!M211="")</f>
        <v>0</v>
      </c>
      <c r="N211">
        <f>B211*(hospitalityq!N211="")</f>
        <v>0</v>
      </c>
      <c r="O211">
        <f>B211*(hospitalityq!O211="")</f>
        <v>0</v>
      </c>
      <c r="P211">
        <f>B211*(hospitalityq!P211="")</f>
        <v>0</v>
      </c>
      <c r="Q211">
        <f>B211*(hospitalityq!Q211="")</f>
        <v>0</v>
      </c>
      <c r="R211">
        <f>B211*(hospitalityq!R211="")</f>
        <v>0</v>
      </c>
    </row>
    <row r="212" spans="1:18" x14ac:dyDescent="0.25">
      <c r="A212">
        <f t="shared" si="4"/>
        <v>0</v>
      </c>
      <c r="B212" t="b">
        <f>SUMPRODUCT(LEN(hospitalityq!C212:R212))&gt;0</f>
        <v>0</v>
      </c>
      <c r="C212">
        <f>B212*(hospitalityq!C212="")</f>
        <v>0</v>
      </c>
      <c r="E212">
        <f>B212*(hospitalityq!E212="")</f>
        <v>0</v>
      </c>
      <c r="F212">
        <f>B212*(hospitalityq!F212="")</f>
        <v>0</v>
      </c>
      <c r="G212">
        <f>B212*(hospitalityq!G212="")</f>
        <v>0</v>
      </c>
      <c r="H212">
        <f>B212*(hospitalityq!H212="")</f>
        <v>0</v>
      </c>
      <c r="I212">
        <f>B212*(hospitalityq!I212="")</f>
        <v>0</v>
      </c>
      <c r="J212">
        <f>B212*(hospitalityq!J212="")</f>
        <v>0</v>
      </c>
      <c r="K212">
        <f>B212*(hospitalityq!K212="")</f>
        <v>0</v>
      </c>
      <c r="L212">
        <f>B212*(hospitalityq!L212="")</f>
        <v>0</v>
      </c>
      <c r="M212">
        <f>B212*(hospitalityq!M212="")</f>
        <v>0</v>
      </c>
      <c r="N212">
        <f>B212*(hospitalityq!N212="")</f>
        <v>0</v>
      </c>
      <c r="O212">
        <f>B212*(hospitalityq!O212="")</f>
        <v>0</v>
      </c>
      <c r="P212">
        <f>B212*(hospitalityq!P212="")</f>
        <v>0</v>
      </c>
      <c r="Q212">
        <f>B212*(hospitalityq!Q212="")</f>
        <v>0</v>
      </c>
      <c r="R212">
        <f>B212*(hospitalityq!R212="")</f>
        <v>0</v>
      </c>
    </row>
    <row r="213" spans="1:18" x14ac:dyDescent="0.25">
      <c r="A213">
        <f t="shared" si="4"/>
        <v>0</v>
      </c>
      <c r="B213" t="b">
        <f>SUMPRODUCT(LEN(hospitalityq!C213:R213))&gt;0</f>
        <v>0</v>
      </c>
      <c r="C213">
        <f>B213*(hospitalityq!C213="")</f>
        <v>0</v>
      </c>
      <c r="E213">
        <f>B213*(hospitalityq!E213="")</f>
        <v>0</v>
      </c>
      <c r="F213">
        <f>B213*(hospitalityq!F213="")</f>
        <v>0</v>
      </c>
      <c r="G213">
        <f>B213*(hospitalityq!G213="")</f>
        <v>0</v>
      </c>
      <c r="H213">
        <f>B213*(hospitalityq!H213="")</f>
        <v>0</v>
      </c>
      <c r="I213">
        <f>B213*(hospitalityq!I213="")</f>
        <v>0</v>
      </c>
      <c r="J213">
        <f>B213*(hospitalityq!J213="")</f>
        <v>0</v>
      </c>
      <c r="K213">
        <f>B213*(hospitalityq!K213="")</f>
        <v>0</v>
      </c>
      <c r="L213">
        <f>B213*(hospitalityq!L213="")</f>
        <v>0</v>
      </c>
      <c r="M213">
        <f>B213*(hospitalityq!M213="")</f>
        <v>0</v>
      </c>
      <c r="N213">
        <f>B213*(hospitalityq!N213="")</f>
        <v>0</v>
      </c>
      <c r="O213">
        <f>B213*(hospitalityq!O213="")</f>
        <v>0</v>
      </c>
      <c r="P213">
        <f>B213*(hospitalityq!P213="")</f>
        <v>0</v>
      </c>
      <c r="Q213">
        <f>B213*(hospitalityq!Q213="")</f>
        <v>0</v>
      </c>
      <c r="R213">
        <f>B213*(hospitalityq!R213="")</f>
        <v>0</v>
      </c>
    </row>
    <row r="214" spans="1:18" x14ac:dyDescent="0.25">
      <c r="A214">
        <f t="shared" si="4"/>
        <v>0</v>
      </c>
      <c r="B214" t="b">
        <f>SUMPRODUCT(LEN(hospitalityq!C214:R214))&gt;0</f>
        <v>0</v>
      </c>
      <c r="C214">
        <f>B214*(hospitalityq!C214="")</f>
        <v>0</v>
      </c>
      <c r="E214">
        <f>B214*(hospitalityq!E214="")</f>
        <v>0</v>
      </c>
      <c r="F214">
        <f>B214*(hospitalityq!F214="")</f>
        <v>0</v>
      </c>
      <c r="G214">
        <f>B214*(hospitalityq!G214="")</f>
        <v>0</v>
      </c>
      <c r="H214">
        <f>B214*(hospitalityq!H214="")</f>
        <v>0</v>
      </c>
      <c r="I214">
        <f>B214*(hospitalityq!I214="")</f>
        <v>0</v>
      </c>
      <c r="J214">
        <f>B214*(hospitalityq!J214="")</f>
        <v>0</v>
      </c>
      <c r="K214">
        <f>B214*(hospitalityq!K214="")</f>
        <v>0</v>
      </c>
      <c r="L214">
        <f>B214*(hospitalityq!L214="")</f>
        <v>0</v>
      </c>
      <c r="M214">
        <f>B214*(hospitalityq!M214="")</f>
        <v>0</v>
      </c>
      <c r="N214">
        <f>B214*(hospitalityq!N214="")</f>
        <v>0</v>
      </c>
      <c r="O214">
        <f>B214*(hospitalityq!O214="")</f>
        <v>0</v>
      </c>
      <c r="P214">
        <f>B214*(hospitalityq!P214="")</f>
        <v>0</v>
      </c>
      <c r="Q214">
        <f>B214*(hospitalityq!Q214="")</f>
        <v>0</v>
      </c>
      <c r="R214">
        <f>B214*(hospitalityq!R214="")</f>
        <v>0</v>
      </c>
    </row>
    <row r="215" spans="1:18" x14ac:dyDescent="0.25">
      <c r="A215">
        <f t="shared" si="4"/>
        <v>0</v>
      </c>
      <c r="B215" t="b">
        <f>SUMPRODUCT(LEN(hospitalityq!C215:R215))&gt;0</f>
        <v>0</v>
      </c>
      <c r="C215">
        <f>B215*(hospitalityq!C215="")</f>
        <v>0</v>
      </c>
      <c r="E215">
        <f>B215*(hospitalityq!E215="")</f>
        <v>0</v>
      </c>
      <c r="F215">
        <f>B215*(hospitalityq!F215="")</f>
        <v>0</v>
      </c>
      <c r="G215">
        <f>B215*(hospitalityq!G215="")</f>
        <v>0</v>
      </c>
      <c r="H215">
        <f>B215*(hospitalityq!H215="")</f>
        <v>0</v>
      </c>
      <c r="I215">
        <f>B215*(hospitalityq!I215="")</f>
        <v>0</v>
      </c>
      <c r="J215">
        <f>B215*(hospitalityq!J215="")</f>
        <v>0</v>
      </c>
      <c r="K215">
        <f>B215*(hospitalityq!K215="")</f>
        <v>0</v>
      </c>
      <c r="L215">
        <f>B215*(hospitalityq!L215="")</f>
        <v>0</v>
      </c>
      <c r="M215">
        <f>B215*(hospitalityq!M215="")</f>
        <v>0</v>
      </c>
      <c r="N215">
        <f>B215*(hospitalityq!N215="")</f>
        <v>0</v>
      </c>
      <c r="O215">
        <f>B215*(hospitalityq!O215="")</f>
        <v>0</v>
      </c>
      <c r="P215">
        <f>B215*(hospitalityq!P215="")</f>
        <v>0</v>
      </c>
      <c r="Q215">
        <f>B215*(hospitalityq!Q215="")</f>
        <v>0</v>
      </c>
      <c r="R215">
        <f>B215*(hospitalityq!R215="")</f>
        <v>0</v>
      </c>
    </row>
    <row r="216" spans="1:18" x14ac:dyDescent="0.25">
      <c r="A216">
        <f t="shared" si="4"/>
        <v>0</v>
      </c>
      <c r="B216" t="b">
        <f>SUMPRODUCT(LEN(hospitalityq!C216:R216))&gt;0</f>
        <v>0</v>
      </c>
      <c r="C216">
        <f>B216*(hospitalityq!C216="")</f>
        <v>0</v>
      </c>
      <c r="E216">
        <f>B216*(hospitalityq!E216="")</f>
        <v>0</v>
      </c>
      <c r="F216">
        <f>B216*(hospitalityq!F216="")</f>
        <v>0</v>
      </c>
      <c r="G216">
        <f>B216*(hospitalityq!G216="")</f>
        <v>0</v>
      </c>
      <c r="H216">
        <f>B216*(hospitalityq!H216="")</f>
        <v>0</v>
      </c>
      <c r="I216">
        <f>B216*(hospitalityq!I216="")</f>
        <v>0</v>
      </c>
      <c r="J216">
        <f>B216*(hospitalityq!J216="")</f>
        <v>0</v>
      </c>
      <c r="K216">
        <f>B216*(hospitalityq!K216="")</f>
        <v>0</v>
      </c>
      <c r="L216">
        <f>B216*(hospitalityq!L216="")</f>
        <v>0</v>
      </c>
      <c r="M216">
        <f>B216*(hospitalityq!M216="")</f>
        <v>0</v>
      </c>
      <c r="N216">
        <f>B216*(hospitalityq!N216="")</f>
        <v>0</v>
      </c>
      <c r="O216">
        <f>B216*(hospitalityq!O216="")</f>
        <v>0</v>
      </c>
      <c r="P216">
        <f>B216*(hospitalityq!P216="")</f>
        <v>0</v>
      </c>
      <c r="Q216">
        <f>B216*(hospitalityq!Q216="")</f>
        <v>0</v>
      </c>
      <c r="R216">
        <f>B216*(hospitalityq!R216="")</f>
        <v>0</v>
      </c>
    </row>
    <row r="217" spans="1:18" x14ac:dyDescent="0.25">
      <c r="A217">
        <f t="shared" si="4"/>
        <v>0</v>
      </c>
      <c r="B217" t="b">
        <f>SUMPRODUCT(LEN(hospitalityq!C217:R217))&gt;0</f>
        <v>0</v>
      </c>
      <c r="C217">
        <f>B217*(hospitalityq!C217="")</f>
        <v>0</v>
      </c>
      <c r="E217">
        <f>B217*(hospitalityq!E217="")</f>
        <v>0</v>
      </c>
      <c r="F217">
        <f>B217*(hospitalityq!F217="")</f>
        <v>0</v>
      </c>
      <c r="G217">
        <f>B217*(hospitalityq!G217="")</f>
        <v>0</v>
      </c>
      <c r="H217">
        <f>B217*(hospitalityq!H217="")</f>
        <v>0</v>
      </c>
      <c r="I217">
        <f>B217*(hospitalityq!I217="")</f>
        <v>0</v>
      </c>
      <c r="J217">
        <f>B217*(hospitalityq!J217="")</f>
        <v>0</v>
      </c>
      <c r="K217">
        <f>B217*(hospitalityq!K217="")</f>
        <v>0</v>
      </c>
      <c r="L217">
        <f>B217*(hospitalityq!L217="")</f>
        <v>0</v>
      </c>
      <c r="M217">
        <f>B217*(hospitalityq!M217="")</f>
        <v>0</v>
      </c>
      <c r="N217">
        <f>B217*(hospitalityq!N217="")</f>
        <v>0</v>
      </c>
      <c r="O217">
        <f>B217*(hospitalityq!O217="")</f>
        <v>0</v>
      </c>
      <c r="P217">
        <f>B217*(hospitalityq!P217="")</f>
        <v>0</v>
      </c>
      <c r="Q217">
        <f>B217*(hospitalityq!Q217="")</f>
        <v>0</v>
      </c>
      <c r="R217">
        <f>B217*(hospitalityq!R217="")</f>
        <v>0</v>
      </c>
    </row>
    <row r="218" spans="1:18" x14ac:dyDescent="0.25">
      <c r="A218">
        <f t="shared" si="4"/>
        <v>0</v>
      </c>
      <c r="B218" t="b">
        <f>SUMPRODUCT(LEN(hospitalityq!C218:R218))&gt;0</f>
        <v>0</v>
      </c>
      <c r="C218">
        <f>B218*(hospitalityq!C218="")</f>
        <v>0</v>
      </c>
      <c r="E218">
        <f>B218*(hospitalityq!E218="")</f>
        <v>0</v>
      </c>
      <c r="F218">
        <f>B218*(hospitalityq!F218="")</f>
        <v>0</v>
      </c>
      <c r="G218">
        <f>B218*(hospitalityq!G218="")</f>
        <v>0</v>
      </c>
      <c r="H218">
        <f>B218*(hospitalityq!H218="")</f>
        <v>0</v>
      </c>
      <c r="I218">
        <f>B218*(hospitalityq!I218="")</f>
        <v>0</v>
      </c>
      <c r="J218">
        <f>B218*(hospitalityq!J218="")</f>
        <v>0</v>
      </c>
      <c r="K218">
        <f>B218*(hospitalityq!K218="")</f>
        <v>0</v>
      </c>
      <c r="L218">
        <f>B218*(hospitalityq!L218="")</f>
        <v>0</v>
      </c>
      <c r="M218">
        <f>B218*(hospitalityq!M218="")</f>
        <v>0</v>
      </c>
      <c r="N218">
        <f>B218*(hospitalityq!N218="")</f>
        <v>0</v>
      </c>
      <c r="O218">
        <f>B218*(hospitalityq!O218="")</f>
        <v>0</v>
      </c>
      <c r="P218">
        <f>B218*(hospitalityq!P218="")</f>
        <v>0</v>
      </c>
      <c r="Q218">
        <f>B218*(hospitalityq!Q218="")</f>
        <v>0</v>
      </c>
      <c r="R218">
        <f>B218*(hospitalityq!R218="")</f>
        <v>0</v>
      </c>
    </row>
    <row r="219" spans="1:18" x14ac:dyDescent="0.25">
      <c r="A219">
        <f t="shared" si="4"/>
        <v>0</v>
      </c>
      <c r="B219" t="b">
        <f>SUMPRODUCT(LEN(hospitalityq!C219:R219))&gt;0</f>
        <v>0</v>
      </c>
      <c r="C219">
        <f>B219*(hospitalityq!C219="")</f>
        <v>0</v>
      </c>
      <c r="E219">
        <f>B219*(hospitalityq!E219="")</f>
        <v>0</v>
      </c>
      <c r="F219">
        <f>B219*(hospitalityq!F219="")</f>
        <v>0</v>
      </c>
      <c r="G219">
        <f>B219*(hospitalityq!G219="")</f>
        <v>0</v>
      </c>
      <c r="H219">
        <f>B219*(hospitalityq!H219="")</f>
        <v>0</v>
      </c>
      <c r="I219">
        <f>B219*(hospitalityq!I219="")</f>
        <v>0</v>
      </c>
      <c r="J219">
        <f>B219*(hospitalityq!J219="")</f>
        <v>0</v>
      </c>
      <c r="K219">
        <f>B219*(hospitalityq!K219="")</f>
        <v>0</v>
      </c>
      <c r="L219">
        <f>B219*(hospitalityq!L219="")</f>
        <v>0</v>
      </c>
      <c r="M219">
        <f>B219*(hospitalityq!M219="")</f>
        <v>0</v>
      </c>
      <c r="N219">
        <f>B219*(hospitalityq!N219="")</f>
        <v>0</v>
      </c>
      <c r="O219">
        <f>B219*(hospitalityq!O219="")</f>
        <v>0</v>
      </c>
      <c r="P219">
        <f>B219*(hospitalityq!P219="")</f>
        <v>0</v>
      </c>
      <c r="Q219">
        <f>B219*(hospitalityq!Q219="")</f>
        <v>0</v>
      </c>
      <c r="R219">
        <f>B219*(hospitalityq!R219="")</f>
        <v>0</v>
      </c>
    </row>
    <row r="220" spans="1:18" x14ac:dyDescent="0.25">
      <c r="A220">
        <f t="shared" si="4"/>
        <v>0</v>
      </c>
      <c r="B220" t="b">
        <f>SUMPRODUCT(LEN(hospitalityq!C220:R220))&gt;0</f>
        <v>0</v>
      </c>
      <c r="C220">
        <f>B220*(hospitalityq!C220="")</f>
        <v>0</v>
      </c>
      <c r="E220">
        <f>B220*(hospitalityq!E220="")</f>
        <v>0</v>
      </c>
      <c r="F220">
        <f>B220*(hospitalityq!F220="")</f>
        <v>0</v>
      </c>
      <c r="G220">
        <f>B220*(hospitalityq!G220="")</f>
        <v>0</v>
      </c>
      <c r="H220">
        <f>B220*(hospitalityq!H220="")</f>
        <v>0</v>
      </c>
      <c r="I220">
        <f>B220*(hospitalityq!I220="")</f>
        <v>0</v>
      </c>
      <c r="J220">
        <f>B220*(hospitalityq!J220="")</f>
        <v>0</v>
      </c>
      <c r="K220">
        <f>B220*(hospitalityq!K220="")</f>
        <v>0</v>
      </c>
      <c r="L220">
        <f>B220*(hospitalityq!L220="")</f>
        <v>0</v>
      </c>
      <c r="M220">
        <f>B220*(hospitalityq!M220="")</f>
        <v>0</v>
      </c>
      <c r="N220">
        <f>B220*(hospitalityq!N220="")</f>
        <v>0</v>
      </c>
      <c r="O220">
        <f>B220*(hospitalityq!O220="")</f>
        <v>0</v>
      </c>
      <c r="P220">
        <f>B220*(hospitalityq!P220="")</f>
        <v>0</v>
      </c>
      <c r="Q220">
        <f>B220*(hospitalityq!Q220="")</f>
        <v>0</v>
      </c>
      <c r="R220">
        <f>B220*(hospitalityq!R220="")</f>
        <v>0</v>
      </c>
    </row>
    <row r="221" spans="1:18" x14ac:dyDescent="0.25">
      <c r="A221">
        <f t="shared" si="4"/>
        <v>0</v>
      </c>
      <c r="B221" t="b">
        <f>SUMPRODUCT(LEN(hospitalityq!C221:R221))&gt;0</f>
        <v>0</v>
      </c>
      <c r="C221">
        <f>B221*(hospitalityq!C221="")</f>
        <v>0</v>
      </c>
      <c r="E221">
        <f>B221*(hospitalityq!E221="")</f>
        <v>0</v>
      </c>
      <c r="F221">
        <f>B221*(hospitalityq!F221="")</f>
        <v>0</v>
      </c>
      <c r="G221">
        <f>B221*(hospitalityq!G221="")</f>
        <v>0</v>
      </c>
      <c r="H221">
        <f>B221*(hospitalityq!H221="")</f>
        <v>0</v>
      </c>
      <c r="I221">
        <f>B221*(hospitalityq!I221="")</f>
        <v>0</v>
      </c>
      <c r="J221">
        <f>B221*(hospitalityq!J221="")</f>
        <v>0</v>
      </c>
      <c r="K221">
        <f>B221*(hospitalityq!K221="")</f>
        <v>0</v>
      </c>
      <c r="L221">
        <f>B221*(hospitalityq!L221="")</f>
        <v>0</v>
      </c>
      <c r="M221">
        <f>B221*(hospitalityq!M221="")</f>
        <v>0</v>
      </c>
      <c r="N221">
        <f>B221*(hospitalityq!N221="")</f>
        <v>0</v>
      </c>
      <c r="O221">
        <f>B221*(hospitalityq!O221="")</f>
        <v>0</v>
      </c>
      <c r="P221">
        <f>B221*(hospitalityq!P221="")</f>
        <v>0</v>
      </c>
      <c r="Q221">
        <f>B221*(hospitalityq!Q221="")</f>
        <v>0</v>
      </c>
      <c r="R221">
        <f>B221*(hospitalityq!R221="")</f>
        <v>0</v>
      </c>
    </row>
    <row r="222" spans="1:18" x14ac:dyDescent="0.25">
      <c r="A222">
        <f t="shared" si="4"/>
        <v>0</v>
      </c>
      <c r="B222" t="b">
        <f>SUMPRODUCT(LEN(hospitalityq!C222:R222))&gt;0</f>
        <v>0</v>
      </c>
      <c r="C222">
        <f>B222*(hospitalityq!C222="")</f>
        <v>0</v>
      </c>
      <c r="E222">
        <f>B222*(hospitalityq!E222="")</f>
        <v>0</v>
      </c>
      <c r="F222">
        <f>B222*(hospitalityq!F222="")</f>
        <v>0</v>
      </c>
      <c r="G222">
        <f>B222*(hospitalityq!G222="")</f>
        <v>0</v>
      </c>
      <c r="H222">
        <f>B222*(hospitalityq!H222="")</f>
        <v>0</v>
      </c>
      <c r="I222">
        <f>B222*(hospitalityq!I222="")</f>
        <v>0</v>
      </c>
      <c r="J222">
        <f>B222*(hospitalityq!J222="")</f>
        <v>0</v>
      </c>
      <c r="K222">
        <f>B222*(hospitalityq!K222="")</f>
        <v>0</v>
      </c>
      <c r="L222">
        <f>B222*(hospitalityq!L222="")</f>
        <v>0</v>
      </c>
      <c r="M222">
        <f>B222*(hospitalityq!M222="")</f>
        <v>0</v>
      </c>
      <c r="N222">
        <f>B222*(hospitalityq!N222="")</f>
        <v>0</v>
      </c>
      <c r="O222">
        <f>B222*(hospitalityq!O222="")</f>
        <v>0</v>
      </c>
      <c r="P222">
        <f>B222*(hospitalityq!P222="")</f>
        <v>0</v>
      </c>
      <c r="Q222">
        <f>B222*(hospitalityq!Q222="")</f>
        <v>0</v>
      </c>
      <c r="R222">
        <f>B222*(hospitalityq!R222="")</f>
        <v>0</v>
      </c>
    </row>
    <row r="223" spans="1:18" x14ac:dyDescent="0.25">
      <c r="A223">
        <f t="shared" si="4"/>
        <v>0</v>
      </c>
      <c r="B223" t="b">
        <f>SUMPRODUCT(LEN(hospitalityq!C223:R223))&gt;0</f>
        <v>0</v>
      </c>
      <c r="C223">
        <f>B223*(hospitalityq!C223="")</f>
        <v>0</v>
      </c>
      <c r="E223">
        <f>B223*(hospitalityq!E223="")</f>
        <v>0</v>
      </c>
      <c r="F223">
        <f>B223*(hospitalityq!F223="")</f>
        <v>0</v>
      </c>
      <c r="G223">
        <f>B223*(hospitalityq!G223="")</f>
        <v>0</v>
      </c>
      <c r="H223">
        <f>B223*(hospitalityq!H223="")</f>
        <v>0</v>
      </c>
      <c r="I223">
        <f>B223*(hospitalityq!I223="")</f>
        <v>0</v>
      </c>
      <c r="J223">
        <f>B223*(hospitalityq!J223="")</f>
        <v>0</v>
      </c>
      <c r="K223">
        <f>B223*(hospitalityq!K223="")</f>
        <v>0</v>
      </c>
      <c r="L223">
        <f>B223*(hospitalityq!L223="")</f>
        <v>0</v>
      </c>
      <c r="M223">
        <f>B223*(hospitalityq!M223="")</f>
        <v>0</v>
      </c>
      <c r="N223">
        <f>B223*(hospitalityq!N223="")</f>
        <v>0</v>
      </c>
      <c r="O223">
        <f>B223*(hospitalityq!O223="")</f>
        <v>0</v>
      </c>
      <c r="P223">
        <f>B223*(hospitalityq!P223="")</f>
        <v>0</v>
      </c>
      <c r="Q223">
        <f>B223*(hospitalityq!Q223="")</f>
        <v>0</v>
      </c>
      <c r="R223">
        <f>B223*(hospitalityq!R223="")</f>
        <v>0</v>
      </c>
    </row>
    <row r="224" spans="1:18" x14ac:dyDescent="0.25">
      <c r="A224">
        <f t="shared" si="4"/>
        <v>0</v>
      </c>
      <c r="B224" t="b">
        <f>SUMPRODUCT(LEN(hospitalityq!C224:R224))&gt;0</f>
        <v>0</v>
      </c>
      <c r="C224">
        <f>B224*(hospitalityq!C224="")</f>
        <v>0</v>
      </c>
      <c r="E224">
        <f>B224*(hospitalityq!E224="")</f>
        <v>0</v>
      </c>
      <c r="F224">
        <f>B224*(hospitalityq!F224="")</f>
        <v>0</v>
      </c>
      <c r="G224">
        <f>B224*(hospitalityq!G224="")</f>
        <v>0</v>
      </c>
      <c r="H224">
        <f>B224*(hospitalityq!H224="")</f>
        <v>0</v>
      </c>
      <c r="I224">
        <f>B224*(hospitalityq!I224="")</f>
        <v>0</v>
      </c>
      <c r="J224">
        <f>B224*(hospitalityq!J224="")</f>
        <v>0</v>
      </c>
      <c r="K224">
        <f>B224*(hospitalityq!K224="")</f>
        <v>0</v>
      </c>
      <c r="L224">
        <f>B224*(hospitalityq!L224="")</f>
        <v>0</v>
      </c>
      <c r="M224">
        <f>B224*(hospitalityq!M224="")</f>
        <v>0</v>
      </c>
      <c r="N224">
        <f>B224*(hospitalityq!N224="")</f>
        <v>0</v>
      </c>
      <c r="O224">
        <f>B224*(hospitalityq!O224="")</f>
        <v>0</v>
      </c>
      <c r="P224">
        <f>B224*(hospitalityq!P224="")</f>
        <v>0</v>
      </c>
      <c r="Q224">
        <f>B224*(hospitalityq!Q224="")</f>
        <v>0</v>
      </c>
      <c r="R224">
        <f>B224*(hospitalityq!R224="")</f>
        <v>0</v>
      </c>
    </row>
    <row r="225" spans="1:18" x14ac:dyDescent="0.25">
      <c r="A225">
        <f t="shared" si="4"/>
        <v>0</v>
      </c>
      <c r="B225" t="b">
        <f>SUMPRODUCT(LEN(hospitalityq!C225:R225))&gt;0</f>
        <v>0</v>
      </c>
      <c r="C225">
        <f>B225*(hospitalityq!C225="")</f>
        <v>0</v>
      </c>
      <c r="E225">
        <f>B225*(hospitalityq!E225="")</f>
        <v>0</v>
      </c>
      <c r="F225">
        <f>B225*(hospitalityq!F225="")</f>
        <v>0</v>
      </c>
      <c r="G225">
        <f>B225*(hospitalityq!G225="")</f>
        <v>0</v>
      </c>
      <c r="H225">
        <f>B225*(hospitalityq!H225="")</f>
        <v>0</v>
      </c>
      <c r="I225">
        <f>B225*(hospitalityq!I225="")</f>
        <v>0</v>
      </c>
      <c r="J225">
        <f>B225*(hospitalityq!J225="")</f>
        <v>0</v>
      </c>
      <c r="K225">
        <f>B225*(hospitalityq!K225="")</f>
        <v>0</v>
      </c>
      <c r="L225">
        <f>B225*(hospitalityq!L225="")</f>
        <v>0</v>
      </c>
      <c r="M225">
        <f>B225*(hospitalityq!M225="")</f>
        <v>0</v>
      </c>
      <c r="N225">
        <f>B225*(hospitalityq!N225="")</f>
        <v>0</v>
      </c>
      <c r="O225">
        <f>B225*(hospitalityq!O225="")</f>
        <v>0</v>
      </c>
      <c r="P225">
        <f>B225*(hospitalityq!P225="")</f>
        <v>0</v>
      </c>
      <c r="Q225">
        <f>B225*(hospitalityq!Q225="")</f>
        <v>0</v>
      </c>
      <c r="R225">
        <f>B225*(hospitalityq!R225="")</f>
        <v>0</v>
      </c>
    </row>
    <row r="226" spans="1:18" x14ac:dyDescent="0.25">
      <c r="A226">
        <f t="shared" si="4"/>
        <v>0</v>
      </c>
      <c r="B226" t="b">
        <f>SUMPRODUCT(LEN(hospitalityq!C226:R226))&gt;0</f>
        <v>0</v>
      </c>
      <c r="C226">
        <f>B226*(hospitalityq!C226="")</f>
        <v>0</v>
      </c>
      <c r="E226">
        <f>B226*(hospitalityq!E226="")</f>
        <v>0</v>
      </c>
      <c r="F226">
        <f>B226*(hospitalityq!F226="")</f>
        <v>0</v>
      </c>
      <c r="G226">
        <f>B226*(hospitalityq!G226="")</f>
        <v>0</v>
      </c>
      <c r="H226">
        <f>B226*(hospitalityq!H226="")</f>
        <v>0</v>
      </c>
      <c r="I226">
        <f>B226*(hospitalityq!I226="")</f>
        <v>0</v>
      </c>
      <c r="J226">
        <f>B226*(hospitalityq!J226="")</f>
        <v>0</v>
      </c>
      <c r="K226">
        <f>B226*(hospitalityq!K226="")</f>
        <v>0</v>
      </c>
      <c r="L226">
        <f>B226*(hospitalityq!L226="")</f>
        <v>0</v>
      </c>
      <c r="M226">
        <f>B226*(hospitalityq!M226="")</f>
        <v>0</v>
      </c>
      <c r="N226">
        <f>B226*(hospitalityq!N226="")</f>
        <v>0</v>
      </c>
      <c r="O226">
        <f>B226*(hospitalityq!O226="")</f>
        <v>0</v>
      </c>
      <c r="P226">
        <f>B226*(hospitalityq!P226="")</f>
        <v>0</v>
      </c>
      <c r="Q226">
        <f>B226*(hospitalityq!Q226="")</f>
        <v>0</v>
      </c>
      <c r="R226">
        <f>B226*(hospitalityq!R226="")</f>
        <v>0</v>
      </c>
    </row>
    <row r="227" spans="1:18" x14ac:dyDescent="0.25">
      <c r="A227">
        <f t="shared" si="4"/>
        <v>0</v>
      </c>
      <c r="B227" t="b">
        <f>SUMPRODUCT(LEN(hospitalityq!C227:R227))&gt;0</f>
        <v>0</v>
      </c>
      <c r="C227">
        <f>B227*(hospitalityq!C227="")</f>
        <v>0</v>
      </c>
      <c r="E227">
        <f>B227*(hospitalityq!E227="")</f>
        <v>0</v>
      </c>
      <c r="F227">
        <f>B227*(hospitalityq!F227="")</f>
        <v>0</v>
      </c>
      <c r="G227">
        <f>B227*(hospitalityq!G227="")</f>
        <v>0</v>
      </c>
      <c r="H227">
        <f>B227*(hospitalityq!H227="")</f>
        <v>0</v>
      </c>
      <c r="I227">
        <f>B227*(hospitalityq!I227="")</f>
        <v>0</v>
      </c>
      <c r="J227">
        <f>B227*(hospitalityq!J227="")</f>
        <v>0</v>
      </c>
      <c r="K227">
        <f>B227*(hospitalityq!K227="")</f>
        <v>0</v>
      </c>
      <c r="L227">
        <f>B227*(hospitalityq!L227="")</f>
        <v>0</v>
      </c>
      <c r="M227">
        <f>B227*(hospitalityq!M227="")</f>
        <v>0</v>
      </c>
      <c r="N227">
        <f>B227*(hospitalityq!N227="")</f>
        <v>0</v>
      </c>
      <c r="O227">
        <f>B227*(hospitalityq!O227="")</f>
        <v>0</v>
      </c>
      <c r="P227">
        <f>B227*(hospitalityq!P227="")</f>
        <v>0</v>
      </c>
      <c r="Q227">
        <f>B227*(hospitalityq!Q227="")</f>
        <v>0</v>
      </c>
      <c r="R227">
        <f>B227*(hospitalityq!R227="")</f>
        <v>0</v>
      </c>
    </row>
    <row r="228" spans="1:18" x14ac:dyDescent="0.25">
      <c r="A228">
        <f t="shared" si="4"/>
        <v>0</v>
      </c>
      <c r="B228" t="b">
        <f>SUMPRODUCT(LEN(hospitalityq!C228:R228))&gt;0</f>
        <v>0</v>
      </c>
      <c r="C228">
        <f>B228*(hospitalityq!C228="")</f>
        <v>0</v>
      </c>
      <c r="E228">
        <f>B228*(hospitalityq!E228="")</f>
        <v>0</v>
      </c>
      <c r="F228">
        <f>B228*(hospitalityq!F228="")</f>
        <v>0</v>
      </c>
      <c r="G228">
        <f>B228*(hospitalityq!G228="")</f>
        <v>0</v>
      </c>
      <c r="H228">
        <f>B228*(hospitalityq!H228="")</f>
        <v>0</v>
      </c>
      <c r="I228">
        <f>B228*(hospitalityq!I228="")</f>
        <v>0</v>
      </c>
      <c r="J228">
        <f>B228*(hospitalityq!J228="")</f>
        <v>0</v>
      </c>
      <c r="K228">
        <f>B228*(hospitalityq!K228="")</f>
        <v>0</v>
      </c>
      <c r="L228">
        <f>B228*(hospitalityq!L228="")</f>
        <v>0</v>
      </c>
      <c r="M228">
        <f>B228*(hospitalityq!M228="")</f>
        <v>0</v>
      </c>
      <c r="N228">
        <f>B228*(hospitalityq!N228="")</f>
        <v>0</v>
      </c>
      <c r="O228">
        <f>B228*(hospitalityq!O228="")</f>
        <v>0</v>
      </c>
      <c r="P228">
        <f>B228*(hospitalityq!P228="")</f>
        <v>0</v>
      </c>
      <c r="Q228">
        <f>B228*(hospitalityq!Q228="")</f>
        <v>0</v>
      </c>
      <c r="R228">
        <f>B228*(hospitalityq!R228="")</f>
        <v>0</v>
      </c>
    </row>
    <row r="229" spans="1:18" x14ac:dyDescent="0.25">
      <c r="A229">
        <f t="shared" si="4"/>
        <v>0</v>
      </c>
      <c r="B229" t="b">
        <f>SUMPRODUCT(LEN(hospitalityq!C229:R229))&gt;0</f>
        <v>0</v>
      </c>
      <c r="C229">
        <f>B229*(hospitalityq!C229="")</f>
        <v>0</v>
      </c>
      <c r="E229">
        <f>B229*(hospitalityq!E229="")</f>
        <v>0</v>
      </c>
      <c r="F229">
        <f>B229*(hospitalityq!F229="")</f>
        <v>0</v>
      </c>
      <c r="G229">
        <f>B229*(hospitalityq!G229="")</f>
        <v>0</v>
      </c>
      <c r="H229">
        <f>B229*(hospitalityq!H229="")</f>
        <v>0</v>
      </c>
      <c r="I229">
        <f>B229*(hospitalityq!I229="")</f>
        <v>0</v>
      </c>
      <c r="J229">
        <f>B229*(hospitalityq!J229="")</f>
        <v>0</v>
      </c>
      <c r="K229">
        <f>B229*(hospitalityq!K229="")</f>
        <v>0</v>
      </c>
      <c r="L229">
        <f>B229*(hospitalityq!L229="")</f>
        <v>0</v>
      </c>
      <c r="M229">
        <f>B229*(hospitalityq!M229="")</f>
        <v>0</v>
      </c>
      <c r="N229">
        <f>B229*(hospitalityq!N229="")</f>
        <v>0</v>
      </c>
      <c r="O229">
        <f>B229*(hospitalityq!O229="")</f>
        <v>0</v>
      </c>
      <c r="P229">
        <f>B229*(hospitalityq!P229="")</f>
        <v>0</v>
      </c>
      <c r="Q229">
        <f>B229*(hospitalityq!Q229="")</f>
        <v>0</v>
      </c>
      <c r="R229">
        <f>B229*(hospitalityq!R229="")</f>
        <v>0</v>
      </c>
    </row>
    <row r="230" spans="1:18" x14ac:dyDescent="0.25">
      <c r="A230">
        <f t="shared" si="4"/>
        <v>0</v>
      </c>
      <c r="B230" t="b">
        <f>SUMPRODUCT(LEN(hospitalityq!C230:R230))&gt;0</f>
        <v>0</v>
      </c>
      <c r="C230">
        <f>B230*(hospitalityq!C230="")</f>
        <v>0</v>
      </c>
      <c r="E230">
        <f>B230*(hospitalityq!E230="")</f>
        <v>0</v>
      </c>
      <c r="F230">
        <f>B230*(hospitalityq!F230="")</f>
        <v>0</v>
      </c>
      <c r="G230">
        <f>B230*(hospitalityq!G230="")</f>
        <v>0</v>
      </c>
      <c r="H230">
        <f>B230*(hospitalityq!H230="")</f>
        <v>0</v>
      </c>
      <c r="I230">
        <f>B230*(hospitalityq!I230="")</f>
        <v>0</v>
      </c>
      <c r="J230">
        <f>B230*(hospitalityq!J230="")</f>
        <v>0</v>
      </c>
      <c r="K230">
        <f>B230*(hospitalityq!K230="")</f>
        <v>0</v>
      </c>
      <c r="L230">
        <f>B230*(hospitalityq!L230="")</f>
        <v>0</v>
      </c>
      <c r="M230">
        <f>B230*(hospitalityq!M230="")</f>
        <v>0</v>
      </c>
      <c r="N230">
        <f>B230*(hospitalityq!N230="")</f>
        <v>0</v>
      </c>
      <c r="O230">
        <f>B230*(hospitalityq!O230="")</f>
        <v>0</v>
      </c>
      <c r="P230">
        <f>B230*(hospitalityq!P230="")</f>
        <v>0</v>
      </c>
      <c r="Q230">
        <f>B230*(hospitalityq!Q230="")</f>
        <v>0</v>
      </c>
      <c r="R230">
        <f>B230*(hospitalityq!R230="")</f>
        <v>0</v>
      </c>
    </row>
    <row r="231" spans="1:18" x14ac:dyDescent="0.25">
      <c r="A231">
        <f t="shared" si="4"/>
        <v>0</v>
      </c>
      <c r="B231" t="b">
        <f>SUMPRODUCT(LEN(hospitalityq!C231:R231))&gt;0</f>
        <v>0</v>
      </c>
      <c r="C231">
        <f>B231*(hospitalityq!C231="")</f>
        <v>0</v>
      </c>
      <c r="E231">
        <f>B231*(hospitalityq!E231="")</f>
        <v>0</v>
      </c>
      <c r="F231">
        <f>B231*(hospitalityq!F231="")</f>
        <v>0</v>
      </c>
      <c r="G231">
        <f>B231*(hospitalityq!G231="")</f>
        <v>0</v>
      </c>
      <c r="H231">
        <f>B231*(hospitalityq!H231="")</f>
        <v>0</v>
      </c>
      <c r="I231">
        <f>B231*(hospitalityq!I231="")</f>
        <v>0</v>
      </c>
      <c r="J231">
        <f>B231*(hospitalityq!J231="")</f>
        <v>0</v>
      </c>
      <c r="K231">
        <f>B231*(hospitalityq!K231="")</f>
        <v>0</v>
      </c>
      <c r="L231">
        <f>B231*(hospitalityq!L231="")</f>
        <v>0</v>
      </c>
      <c r="M231">
        <f>B231*(hospitalityq!M231="")</f>
        <v>0</v>
      </c>
      <c r="N231">
        <f>B231*(hospitalityq!N231="")</f>
        <v>0</v>
      </c>
      <c r="O231">
        <f>B231*(hospitalityq!O231="")</f>
        <v>0</v>
      </c>
      <c r="P231">
        <f>B231*(hospitalityq!P231="")</f>
        <v>0</v>
      </c>
      <c r="Q231">
        <f>B231*(hospitalityq!Q231="")</f>
        <v>0</v>
      </c>
      <c r="R231">
        <f>B231*(hospitalityq!R231="")</f>
        <v>0</v>
      </c>
    </row>
    <row r="232" spans="1:18" x14ac:dyDescent="0.25">
      <c r="A232">
        <f t="shared" si="4"/>
        <v>0</v>
      </c>
      <c r="B232" t="b">
        <f>SUMPRODUCT(LEN(hospitalityq!C232:R232))&gt;0</f>
        <v>0</v>
      </c>
      <c r="C232">
        <f>B232*(hospitalityq!C232="")</f>
        <v>0</v>
      </c>
      <c r="E232">
        <f>B232*(hospitalityq!E232="")</f>
        <v>0</v>
      </c>
      <c r="F232">
        <f>B232*(hospitalityq!F232="")</f>
        <v>0</v>
      </c>
      <c r="G232">
        <f>B232*(hospitalityq!G232="")</f>
        <v>0</v>
      </c>
      <c r="H232">
        <f>B232*(hospitalityq!H232="")</f>
        <v>0</v>
      </c>
      <c r="I232">
        <f>B232*(hospitalityq!I232="")</f>
        <v>0</v>
      </c>
      <c r="J232">
        <f>B232*(hospitalityq!J232="")</f>
        <v>0</v>
      </c>
      <c r="K232">
        <f>B232*(hospitalityq!K232="")</f>
        <v>0</v>
      </c>
      <c r="L232">
        <f>B232*(hospitalityq!L232="")</f>
        <v>0</v>
      </c>
      <c r="M232">
        <f>B232*(hospitalityq!M232="")</f>
        <v>0</v>
      </c>
      <c r="N232">
        <f>B232*(hospitalityq!N232="")</f>
        <v>0</v>
      </c>
      <c r="O232">
        <f>B232*(hospitalityq!O232="")</f>
        <v>0</v>
      </c>
      <c r="P232">
        <f>B232*(hospitalityq!P232="")</f>
        <v>0</v>
      </c>
      <c r="Q232">
        <f>B232*(hospitalityq!Q232="")</f>
        <v>0</v>
      </c>
      <c r="R232">
        <f>B232*(hospitalityq!R232="")</f>
        <v>0</v>
      </c>
    </row>
    <row r="233" spans="1:18" x14ac:dyDescent="0.25">
      <c r="A233">
        <f t="shared" si="4"/>
        <v>0</v>
      </c>
      <c r="B233" t="b">
        <f>SUMPRODUCT(LEN(hospitalityq!C233:R233))&gt;0</f>
        <v>0</v>
      </c>
      <c r="C233">
        <f>B233*(hospitalityq!C233="")</f>
        <v>0</v>
      </c>
      <c r="E233">
        <f>B233*(hospitalityq!E233="")</f>
        <v>0</v>
      </c>
      <c r="F233">
        <f>B233*(hospitalityq!F233="")</f>
        <v>0</v>
      </c>
      <c r="G233">
        <f>B233*(hospitalityq!G233="")</f>
        <v>0</v>
      </c>
      <c r="H233">
        <f>B233*(hospitalityq!H233="")</f>
        <v>0</v>
      </c>
      <c r="I233">
        <f>B233*(hospitalityq!I233="")</f>
        <v>0</v>
      </c>
      <c r="J233">
        <f>B233*(hospitalityq!J233="")</f>
        <v>0</v>
      </c>
      <c r="K233">
        <f>B233*(hospitalityq!K233="")</f>
        <v>0</v>
      </c>
      <c r="L233">
        <f>B233*(hospitalityq!L233="")</f>
        <v>0</v>
      </c>
      <c r="M233">
        <f>B233*(hospitalityq!M233="")</f>
        <v>0</v>
      </c>
      <c r="N233">
        <f>B233*(hospitalityq!N233="")</f>
        <v>0</v>
      </c>
      <c r="O233">
        <f>B233*(hospitalityq!O233="")</f>
        <v>0</v>
      </c>
      <c r="P233">
        <f>B233*(hospitalityq!P233="")</f>
        <v>0</v>
      </c>
      <c r="Q233">
        <f>B233*(hospitalityq!Q233="")</f>
        <v>0</v>
      </c>
      <c r="R233">
        <f>B233*(hospitalityq!R233="")</f>
        <v>0</v>
      </c>
    </row>
    <row r="234" spans="1:18" x14ac:dyDescent="0.25">
      <c r="A234">
        <f t="shared" si="4"/>
        <v>0</v>
      </c>
      <c r="B234" t="b">
        <f>SUMPRODUCT(LEN(hospitalityq!C234:R234))&gt;0</f>
        <v>0</v>
      </c>
      <c r="C234">
        <f>B234*(hospitalityq!C234="")</f>
        <v>0</v>
      </c>
      <c r="E234">
        <f>B234*(hospitalityq!E234="")</f>
        <v>0</v>
      </c>
      <c r="F234">
        <f>B234*(hospitalityq!F234="")</f>
        <v>0</v>
      </c>
      <c r="G234">
        <f>B234*(hospitalityq!G234="")</f>
        <v>0</v>
      </c>
      <c r="H234">
        <f>B234*(hospitalityq!H234="")</f>
        <v>0</v>
      </c>
      <c r="I234">
        <f>B234*(hospitalityq!I234="")</f>
        <v>0</v>
      </c>
      <c r="J234">
        <f>B234*(hospitalityq!J234="")</f>
        <v>0</v>
      </c>
      <c r="K234">
        <f>B234*(hospitalityq!K234="")</f>
        <v>0</v>
      </c>
      <c r="L234">
        <f>B234*(hospitalityq!L234="")</f>
        <v>0</v>
      </c>
      <c r="M234">
        <f>B234*(hospitalityq!M234="")</f>
        <v>0</v>
      </c>
      <c r="N234">
        <f>B234*(hospitalityq!N234="")</f>
        <v>0</v>
      </c>
      <c r="O234">
        <f>B234*(hospitalityq!O234="")</f>
        <v>0</v>
      </c>
      <c r="P234">
        <f>B234*(hospitalityq!P234="")</f>
        <v>0</v>
      </c>
      <c r="Q234">
        <f>B234*(hospitalityq!Q234="")</f>
        <v>0</v>
      </c>
      <c r="R234">
        <f>B234*(hospitalityq!R234="")</f>
        <v>0</v>
      </c>
    </row>
    <row r="235" spans="1:18" x14ac:dyDescent="0.25">
      <c r="A235">
        <f t="shared" si="4"/>
        <v>0</v>
      </c>
      <c r="B235" t="b">
        <f>SUMPRODUCT(LEN(hospitalityq!C235:R235))&gt;0</f>
        <v>0</v>
      </c>
      <c r="C235">
        <f>B235*(hospitalityq!C235="")</f>
        <v>0</v>
      </c>
      <c r="E235">
        <f>B235*(hospitalityq!E235="")</f>
        <v>0</v>
      </c>
      <c r="F235">
        <f>B235*(hospitalityq!F235="")</f>
        <v>0</v>
      </c>
      <c r="G235">
        <f>B235*(hospitalityq!G235="")</f>
        <v>0</v>
      </c>
      <c r="H235">
        <f>B235*(hospitalityq!H235="")</f>
        <v>0</v>
      </c>
      <c r="I235">
        <f>B235*(hospitalityq!I235="")</f>
        <v>0</v>
      </c>
      <c r="J235">
        <f>B235*(hospitalityq!J235="")</f>
        <v>0</v>
      </c>
      <c r="K235">
        <f>B235*(hospitalityq!K235="")</f>
        <v>0</v>
      </c>
      <c r="L235">
        <f>B235*(hospitalityq!L235="")</f>
        <v>0</v>
      </c>
      <c r="M235">
        <f>B235*(hospitalityq!M235="")</f>
        <v>0</v>
      </c>
      <c r="N235">
        <f>B235*(hospitalityq!N235="")</f>
        <v>0</v>
      </c>
      <c r="O235">
        <f>B235*(hospitalityq!O235="")</f>
        <v>0</v>
      </c>
      <c r="P235">
        <f>B235*(hospitalityq!P235="")</f>
        <v>0</v>
      </c>
      <c r="Q235">
        <f>B235*(hospitalityq!Q235="")</f>
        <v>0</v>
      </c>
      <c r="R235">
        <f>B235*(hospitalityq!R235="")</f>
        <v>0</v>
      </c>
    </row>
    <row r="236" spans="1:18" x14ac:dyDescent="0.25">
      <c r="A236">
        <f t="shared" si="4"/>
        <v>0</v>
      </c>
      <c r="B236" t="b">
        <f>SUMPRODUCT(LEN(hospitalityq!C236:R236))&gt;0</f>
        <v>0</v>
      </c>
      <c r="C236">
        <f>B236*(hospitalityq!C236="")</f>
        <v>0</v>
      </c>
      <c r="E236">
        <f>B236*(hospitalityq!E236="")</f>
        <v>0</v>
      </c>
      <c r="F236">
        <f>B236*(hospitalityq!F236="")</f>
        <v>0</v>
      </c>
      <c r="G236">
        <f>B236*(hospitalityq!G236="")</f>
        <v>0</v>
      </c>
      <c r="H236">
        <f>B236*(hospitalityq!H236="")</f>
        <v>0</v>
      </c>
      <c r="I236">
        <f>B236*(hospitalityq!I236="")</f>
        <v>0</v>
      </c>
      <c r="J236">
        <f>B236*(hospitalityq!J236="")</f>
        <v>0</v>
      </c>
      <c r="K236">
        <f>B236*(hospitalityq!K236="")</f>
        <v>0</v>
      </c>
      <c r="L236">
        <f>B236*(hospitalityq!L236="")</f>
        <v>0</v>
      </c>
      <c r="M236">
        <f>B236*(hospitalityq!M236="")</f>
        <v>0</v>
      </c>
      <c r="N236">
        <f>B236*(hospitalityq!N236="")</f>
        <v>0</v>
      </c>
      <c r="O236">
        <f>B236*(hospitalityq!O236="")</f>
        <v>0</v>
      </c>
      <c r="P236">
        <f>B236*(hospitalityq!P236="")</f>
        <v>0</v>
      </c>
      <c r="Q236">
        <f>B236*(hospitalityq!Q236="")</f>
        <v>0</v>
      </c>
      <c r="R236">
        <f>B236*(hospitalityq!R236="")</f>
        <v>0</v>
      </c>
    </row>
    <row r="237" spans="1:18" x14ac:dyDescent="0.25">
      <c r="A237">
        <f t="shared" si="4"/>
        <v>0</v>
      </c>
      <c r="B237" t="b">
        <f>SUMPRODUCT(LEN(hospitalityq!C237:R237))&gt;0</f>
        <v>0</v>
      </c>
      <c r="C237">
        <f>B237*(hospitalityq!C237="")</f>
        <v>0</v>
      </c>
      <c r="E237">
        <f>B237*(hospitalityq!E237="")</f>
        <v>0</v>
      </c>
      <c r="F237">
        <f>B237*(hospitalityq!F237="")</f>
        <v>0</v>
      </c>
      <c r="G237">
        <f>B237*(hospitalityq!G237="")</f>
        <v>0</v>
      </c>
      <c r="H237">
        <f>B237*(hospitalityq!H237="")</f>
        <v>0</v>
      </c>
      <c r="I237">
        <f>B237*(hospitalityq!I237="")</f>
        <v>0</v>
      </c>
      <c r="J237">
        <f>B237*(hospitalityq!J237="")</f>
        <v>0</v>
      </c>
      <c r="K237">
        <f>B237*(hospitalityq!K237="")</f>
        <v>0</v>
      </c>
      <c r="L237">
        <f>B237*(hospitalityq!L237="")</f>
        <v>0</v>
      </c>
      <c r="M237">
        <f>B237*(hospitalityq!M237="")</f>
        <v>0</v>
      </c>
      <c r="N237">
        <f>B237*(hospitalityq!N237="")</f>
        <v>0</v>
      </c>
      <c r="O237">
        <f>B237*(hospitalityq!O237="")</f>
        <v>0</v>
      </c>
      <c r="P237">
        <f>B237*(hospitalityq!P237="")</f>
        <v>0</v>
      </c>
      <c r="Q237">
        <f>B237*(hospitalityq!Q237="")</f>
        <v>0</v>
      </c>
      <c r="R237">
        <f>B237*(hospitalityq!R237="")</f>
        <v>0</v>
      </c>
    </row>
    <row r="238" spans="1:18" x14ac:dyDescent="0.25">
      <c r="A238">
        <f t="shared" si="4"/>
        <v>0</v>
      </c>
      <c r="B238" t="b">
        <f>SUMPRODUCT(LEN(hospitalityq!C238:R238))&gt;0</f>
        <v>0</v>
      </c>
      <c r="C238">
        <f>B238*(hospitalityq!C238="")</f>
        <v>0</v>
      </c>
      <c r="E238">
        <f>B238*(hospitalityq!E238="")</f>
        <v>0</v>
      </c>
      <c r="F238">
        <f>B238*(hospitalityq!F238="")</f>
        <v>0</v>
      </c>
      <c r="G238">
        <f>B238*(hospitalityq!G238="")</f>
        <v>0</v>
      </c>
      <c r="H238">
        <f>B238*(hospitalityq!H238="")</f>
        <v>0</v>
      </c>
      <c r="I238">
        <f>B238*(hospitalityq!I238="")</f>
        <v>0</v>
      </c>
      <c r="J238">
        <f>B238*(hospitalityq!J238="")</f>
        <v>0</v>
      </c>
      <c r="K238">
        <f>B238*(hospitalityq!K238="")</f>
        <v>0</v>
      </c>
      <c r="L238">
        <f>B238*(hospitalityq!L238="")</f>
        <v>0</v>
      </c>
      <c r="M238">
        <f>B238*(hospitalityq!M238="")</f>
        <v>0</v>
      </c>
      <c r="N238">
        <f>B238*(hospitalityq!N238="")</f>
        <v>0</v>
      </c>
      <c r="O238">
        <f>B238*(hospitalityq!O238="")</f>
        <v>0</v>
      </c>
      <c r="P238">
        <f>B238*(hospitalityq!P238="")</f>
        <v>0</v>
      </c>
      <c r="Q238">
        <f>B238*(hospitalityq!Q238="")</f>
        <v>0</v>
      </c>
      <c r="R238">
        <f>B238*(hospitalityq!R238="")</f>
        <v>0</v>
      </c>
    </row>
    <row r="239" spans="1:18" x14ac:dyDescent="0.25">
      <c r="A239">
        <f t="shared" si="4"/>
        <v>0</v>
      </c>
      <c r="B239" t="b">
        <f>SUMPRODUCT(LEN(hospitalityq!C239:R239))&gt;0</f>
        <v>0</v>
      </c>
      <c r="C239">
        <f>B239*(hospitalityq!C239="")</f>
        <v>0</v>
      </c>
      <c r="E239">
        <f>B239*(hospitalityq!E239="")</f>
        <v>0</v>
      </c>
      <c r="F239">
        <f>B239*(hospitalityq!F239="")</f>
        <v>0</v>
      </c>
      <c r="G239">
        <f>B239*(hospitalityq!G239="")</f>
        <v>0</v>
      </c>
      <c r="H239">
        <f>B239*(hospitalityq!H239="")</f>
        <v>0</v>
      </c>
      <c r="I239">
        <f>B239*(hospitalityq!I239="")</f>
        <v>0</v>
      </c>
      <c r="J239">
        <f>B239*(hospitalityq!J239="")</f>
        <v>0</v>
      </c>
      <c r="K239">
        <f>B239*(hospitalityq!K239="")</f>
        <v>0</v>
      </c>
      <c r="L239">
        <f>B239*(hospitalityq!L239="")</f>
        <v>0</v>
      </c>
      <c r="M239">
        <f>B239*(hospitalityq!M239="")</f>
        <v>0</v>
      </c>
      <c r="N239">
        <f>B239*(hospitalityq!N239="")</f>
        <v>0</v>
      </c>
      <c r="O239">
        <f>B239*(hospitalityq!O239="")</f>
        <v>0</v>
      </c>
      <c r="P239">
        <f>B239*(hospitalityq!P239="")</f>
        <v>0</v>
      </c>
      <c r="Q239">
        <f>B239*(hospitalityq!Q239="")</f>
        <v>0</v>
      </c>
      <c r="R239">
        <f>B239*(hospitalityq!R239="")</f>
        <v>0</v>
      </c>
    </row>
    <row r="240" spans="1:18" x14ac:dyDescent="0.25">
      <c r="A240">
        <f t="shared" si="4"/>
        <v>0</v>
      </c>
      <c r="B240" t="b">
        <f>SUMPRODUCT(LEN(hospitalityq!C240:R240))&gt;0</f>
        <v>0</v>
      </c>
      <c r="C240">
        <f>B240*(hospitalityq!C240="")</f>
        <v>0</v>
      </c>
      <c r="E240">
        <f>B240*(hospitalityq!E240="")</f>
        <v>0</v>
      </c>
      <c r="F240">
        <f>B240*(hospitalityq!F240="")</f>
        <v>0</v>
      </c>
      <c r="G240">
        <f>B240*(hospitalityq!G240="")</f>
        <v>0</v>
      </c>
      <c r="H240">
        <f>B240*(hospitalityq!H240="")</f>
        <v>0</v>
      </c>
      <c r="I240">
        <f>B240*(hospitalityq!I240="")</f>
        <v>0</v>
      </c>
      <c r="J240">
        <f>B240*(hospitalityq!J240="")</f>
        <v>0</v>
      </c>
      <c r="K240">
        <f>B240*(hospitalityq!K240="")</f>
        <v>0</v>
      </c>
      <c r="L240">
        <f>B240*(hospitalityq!L240="")</f>
        <v>0</v>
      </c>
      <c r="M240">
        <f>B240*(hospitalityq!M240="")</f>
        <v>0</v>
      </c>
      <c r="N240">
        <f>B240*(hospitalityq!N240="")</f>
        <v>0</v>
      </c>
      <c r="O240">
        <f>B240*(hospitalityq!O240="")</f>
        <v>0</v>
      </c>
      <c r="P240">
        <f>B240*(hospitalityq!P240="")</f>
        <v>0</v>
      </c>
      <c r="Q240">
        <f>B240*(hospitalityq!Q240="")</f>
        <v>0</v>
      </c>
      <c r="R240">
        <f>B240*(hospitalityq!R240="")</f>
        <v>0</v>
      </c>
    </row>
    <row r="241" spans="1:18" x14ac:dyDescent="0.25">
      <c r="A241">
        <f t="shared" si="4"/>
        <v>0</v>
      </c>
      <c r="B241" t="b">
        <f>SUMPRODUCT(LEN(hospitalityq!C241:R241))&gt;0</f>
        <v>0</v>
      </c>
      <c r="C241">
        <f>B241*(hospitalityq!C241="")</f>
        <v>0</v>
      </c>
      <c r="E241">
        <f>B241*(hospitalityq!E241="")</f>
        <v>0</v>
      </c>
      <c r="F241">
        <f>B241*(hospitalityq!F241="")</f>
        <v>0</v>
      </c>
      <c r="G241">
        <f>B241*(hospitalityq!G241="")</f>
        <v>0</v>
      </c>
      <c r="H241">
        <f>B241*(hospitalityq!H241="")</f>
        <v>0</v>
      </c>
      <c r="I241">
        <f>B241*(hospitalityq!I241="")</f>
        <v>0</v>
      </c>
      <c r="J241">
        <f>B241*(hospitalityq!J241="")</f>
        <v>0</v>
      </c>
      <c r="K241">
        <f>B241*(hospitalityq!K241="")</f>
        <v>0</v>
      </c>
      <c r="L241">
        <f>B241*(hospitalityq!L241="")</f>
        <v>0</v>
      </c>
      <c r="M241">
        <f>B241*(hospitalityq!M241="")</f>
        <v>0</v>
      </c>
      <c r="N241">
        <f>B241*(hospitalityq!N241="")</f>
        <v>0</v>
      </c>
      <c r="O241">
        <f>B241*(hospitalityq!O241="")</f>
        <v>0</v>
      </c>
      <c r="P241">
        <f>B241*(hospitalityq!P241="")</f>
        <v>0</v>
      </c>
      <c r="Q241">
        <f>B241*(hospitalityq!Q241="")</f>
        <v>0</v>
      </c>
      <c r="R241">
        <f>B241*(hospitalityq!R241="")</f>
        <v>0</v>
      </c>
    </row>
    <row r="242" spans="1:18" x14ac:dyDescent="0.25">
      <c r="A242">
        <f t="shared" si="4"/>
        <v>0</v>
      </c>
      <c r="B242" t="b">
        <f>SUMPRODUCT(LEN(hospitalityq!C242:R242))&gt;0</f>
        <v>0</v>
      </c>
      <c r="C242">
        <f>B242*(hospitalityq!C242="")</f>
        <v>0</v>
      </c>
      <c r="E242">
        <f>B242*(hospitalityq!E242="")</f>
        <v>0</v>
      </c>
      <c r="F242">
        <f>B242*(hospitalityq!F242="")</f>
        <v>0</v>
      </c>
      <c r="G242">
        <f>B242*(hospitalityq!G242="")</f>
        <v>0</v>
      </c>
      <c r="H242">
        <f>B242*(hospitalityq!H242="")</f>
        <v>0</v>
      </c>
      <c r="I242">
        <f>B242*(hospitalityq!I242="")</f>
        <v>0</v>
      </c>
      <c r="J242">
        <f>B242*(hospitalityq!J242="")</f>
        <v>0</v>
      </c>
      <c r="K242">
        <f>B242*(hospitalityq!K242="")</f>
        <v>0</v>
      </c>
      <c r="L242">
        <f>B242*(hospitalityq!L242="")</f>
        <v>0</v>
      </c>
      <c r="M242">
        <f>B242*(hospitalityq!M242="")</f>
        <v>0</v>
      </c>
      <c r="N242">
        <f>B242*(hospitalityq!N242="")</f>
        <v>0</v>
      </c>
      <c r="O242">
        <f>B242*(hospitalityq!O242="")</f>
        <v>0</v>
      </c>
      <c r="P242">
        <f>B242*(hospitalityq!P242="")</f>
        <v>0</v>
      </c>
      <c r="Q242">
        <f>B242*(hospitalityq!Q242="")</f>
        <v>0</v>
      </c>
      <c r="R242">
        <f>B242*(hospitalityq!R242="")</f>
        <v>0</v>
      </c>
    </row>
    <row r="243" spans="1:18" x14ac:dyDescent="0.25">
      <c r="A243">
        <f t="shared" si="4"/>
        <v>0</v>
      </c>
      <c r="B243" t="b">
        <f>SUMPRODUCT(LEN(hospitalityq!C243:R243))&gt;0</f>
        <v>0</v>
      </c>
      <c r="C243">
        <f>B243*(hospitalityq!C243="")</f>
        <v>0</v>
      </c>
      <c r="E243">
        <f>B243*(hospitalityq!E243="")</f>
        <v>0</v>
      </c>
      <c r="F243">
        <f>B243*(hospitalityq!F243="")</f>
        <v>0</v>
      </c>
      <c r="G243">
        <f>B243*(hospitalityq!G243="")</f>
        <v>0</v>
      </c>
      <c r="H243">
        <f>B243*(hospitalityq!H243="")</f>
        <v>0</v>
      </c>
      <c r="I243">
        <f>B243*(hospitalityq!I243="")</f>
        <v>0</v>
      </c>
      <c r="J243">
        <f>B243*(hospitalityq!J243="")</f>
        <v>0</v>
      </c>
      <c r="K243">
        <f>B243*(hospitalityq!K243="")</f>
        <v>0</v>
      </c>
      <c r="L243">
        <f>B243*(hospitalityq!L243="")</f>
        <v>0</v>
      </c>
      <c r="M243">
        <f>B243*(hospitalityq!M243="")</f>
        <v>0</v>
      </c>
      <c r="N243">
        <f>B243*(hospitalityq!N243="")</f>
        <v>0</v>
      </c>
      <c r="O243">
        <f>B243*(hospitalityq!O243="")</f>
        <v>0</v>
      </c>
      <c r="P243">
        <f>B243*(hospitalityq!P243="")</f>
        <v>0</v>
      </c>
      <c r="Q243">
        <f>B243*(hospitalityq!Q243="")</f>
        <v>0</v>
      </c>
      <c r="R243">
        <f>B243*(hospitalityq!R243="")</f>
        <v>0</v>
      </c>
    </row>
    <row r="244" spans="1:18" x14ac:dyDescent="0.25">
      <c r="A244">
        <f t="shared" si="4"/>
        <v>0</v>
      </c>
      <c r="B244" t="b">
        <f>SUMPRODUCT(LEN(hospitalityq!C244:R244))&gt;0</f>
        <v>0</v>
      </c>
      <c r="C244">
        <f>B244*(hospitalityq!C244="")</f>
        <v>0</v>
      </c>
      <c r="E244">
        <f>B244*(hospitalityq!E244="")</f>
        <v>0</v>
      </c>
      <c r="F244">
        <f>B244*(hospitalityq!F244="")</f>
        <v>0</v>
      </c>
      <c r="G244">
        <f>B244*(hospitalityq!G244="")</f>
        <v>0</v>
      </c>
      <c r="H244">
        <f>B244*(hospitalityq!H244="")</f>
        <v>0</v>
      </c>
      <c r="I244">
        <f>B244*(hospitalityq!I244="")</f>
        <v>0</v>
      </c>
      <c r="J244">
        <f>B244*(hospitalityq!J244="")</f>
        <v>0</v>
      </c>
      <c r="K244">
        <f>B244*(hospitalityq!K244="")</f>
        <v>0</v>
      </c>
      <c r="L244">
        <f>B244*(hospitalityq!L244="")</f>
        <v>0</v>
      </c>
      <c r="M244">
        <f>B244*(hospitalityq!M244="")</f>
        <v>0</v>
      </c>
      <c r="N244">
        <f>B244*(hospitalityq!N244="")</f>
        <v>0</v>
      </c>
      <c r="O244">
        <f>B244*(hospitalityq!O244="")</f>
        <v>0</v>
      </c>
      <c r="P244">
        <f>B244*(hospitalityq!P244="")</f>
        <v>0</v>
      </c>
      <c r="Q244">
        <f>B244*(hospitalityq!Q244="")</f>
        <v>0</v>
      </c>
      <c r="R244">
        <f>B244*(hospitalityq!R244="")</f>
        <v>0</v>
      </c>
    </row>
    <row r="245" spans="1:18" x14ac:dyDescent="0.25">
      <c r="A245">
        <f t="shared" si="4"/>
        <v>0</v>
      </c>
      <c r="B245" t="b">
        <f>SUMPRODUCT(LEN(hospitalityq!C245:R245))&gt;0</f>
        <v>0</v>
      </c>
      <c r="C245">
        <f>B245*(hospitalityq!C245="")</f>
        <v>0</v>
      </c>
      <c r="E245">
        <f>B245*(hospitalityq!E245="")</f>
        <v>0</v>
      </c>
      <c r="F245">
        <f>B245*(hospitalityq!F245="")</f>
        <v>0</v>
      </c>
      <c r="G245">
        <f>B245*(hospitalityq!G245="")</f>
        <v>0</v>
      </c>
      <c r="H245">
        <f>B245*(hospitalityq!H245="")</f>
        <v>0</v>
      </c>
      <c r="I245">
        <f>B245*(hospitalityq!I245="")</f>
        <v>0</v>
      </c>
      <c r="J245">
        <f>B245*(hospitalityq!J245="")</f>
        <v>0</v>
      </c>
      <c r="K245">
        <f>B245*(hospitalityq!K245="")</f>
        <v>0</v>
      </c>
      <c r="L245">
        <f>B245*(hospitalityq!L245="")</f>
        <v>0</v>
      </c>
      <c r="M245">
        <f>B245*(hospitalityq!M245="")</f>
        <v>0</v>
      </c>
      <c r="N245">
        <f>B245*(hospitalityq!N245="")</f>
        <v>0</v>
      </c>
      <c r="O245">
        <f>B245*(hospitalityq!O245="")</f>
        <v>0</v>
      </c>
      <c r="P245">
        <f>B245*(hospitalityq!P245="")</f>
        <v>0</v>
      </c>
      <c r="Q245">
        <f>B245*(hospitalityq!Q245="")</f>
        <v>0</v>
      </c>
      <c r="R245">
        <f>B245*(hospitalityq!R245="")</f>
        <v>0</v>
      </c>
    </row>
    <row r="246" spans="1:18" x14ac:dyDescent="0.25">
      <c r="A246">
        <f t="shared" si="4"/>
        <v>0</v>
      </c>
      <c r="B246" t="b">
        <f>SUMPRODUCT(LEN(hospitalityq!C246:R246))&gt;0</f>
        <v>0</v>
      </c>
      <c r="C246">
        <f>B246*(hospitalityq!C246="")</f>
        <v>0</v>
      </c>
      <c r="E246">
        <f>B246*(hospitalityq!E246="")</f>
        <v>0</v>
      </c>
      <c r="F246">
        <f>B246*(hospitalityq!F246="")</f>
        <v>0</v>
      </c>
      <c r="G246">
        <f>B246*(hospitalityq!G246="")</f>
        <v>0</v>
      </c>
      <c r="H246">
        <f>B246*(hospitalityq!H246="")</f>
        <v>0</v>
      </c>
      <c r="I246">
        <f>B246*(hospitalityq!I246="")</f>
        <v>0</v>
      </c>
      <c r="J246">
        <f>B246*(hospitalityq!J246="")</f>
        <v>0</v>
      </c>
      <c r="K246">
        <f>B246*(hospitalityq!K246="")</f>
        <v>0</v>
      </c>
      <c r="L246">
        <f>B246*(hospitalityq!L246="")</f>
        <v>0</v>
      </c>
      <c r="M246">
        <f>B246*(hospitalityq!M246="")</f>
        <v>0</v>
      </c>
      <c r="N246">
        <f>B246*(hospitalityq!N246="")</f>
        <v>0</v>
      </c>
      <c r="O246">
        <f>B246*(hospitalityq!O246="")</f>
        <v>0</v>
      </c>
      <c r="P246">
        <f>B246*(hospitalityq!P246="")</f>
        <v>0</v>
      </c>
      <c r="Q246">
        <f>B246*(hospitalityq!Q246="")</f>
        <v>0</v>
      </c>
      <c r="R246">
        <f>B246*(hospitalityq!R246="")</f>
        <v>0</v>
      </c>
    </row>
    <row r="247" spans="1:18" x14ac:dyDescent="0.25">
      <c r="A247">
        <f t="shared" si="4"/>
        <v>0</v>
      </c>
      <c r="B247" t="b">
        <f>SUMPRODUCT(LEN(hospitalityq!C247:R247))&gt;0</f>
        <v>0</v>
      </c>
      <c r="C247">
        <f>B247*(hospitalityq!C247="")</f>
        <v>0</v>
      </c>
      <c r="E247">
        <f>B247*(hospitalityq!E247="")</f>
        <v>0</v>
      </c>
      <c r="F247">
        <f>B247*(hospitalityq!F247="")</f>
        <v>0</v>
      </c>
      <c r="G247">
        <f>B247*(hospitalityq!G247="")</f>
        <v>0</v>
      </c>
      <c r="H247">
        <f>B247*(hospitalityq!H247="")</f>
        <v>0</v>
      </c>
      <c r="I247">
        <f>B247*(hospitalityq!I247="")</f>
        <v>0</v>
      </c>
      <c r="J247">
        <f>B247*(hospitalityq!J247="")</f>
        <v>0</v>
      </c>
      <c r="K247">
        <f>B247*(hospitalityq!K247="")</f>
        <v>0</v>
      </c>
      <c r="L247">
        <f>B247*(hospitalityq!L247="")</f>
        <v>0</v>
      </c>
      <c r="M247">
        <f>B247*(hospitalityq!M247="")</f>
        <v>0</v>
      </c>
      <c r="N247">
        <f>B247*(hospitalityq!N247="")</f>
        <v>0</v>
      </c>
      <c r="O247">
        <f>B247*(hospitalityq!O247="")</f>
        <v>0</v>
      </c>
      <c r="P247">
        <f>B247*(hospitalityq!P247="")</f>
        <v>0</v>
      </c>
      <c r="Q247">
        <f>B247*(hospitalityq!Q247="")</f>
        <v>0</v>
      </c>
      <c r="R247">
        <f>B247*(hospitalityq!R247="")</f>
        <v>0</v>
      </c>
    </row>
    <row r="248" spans="1:18" x14ac:dyDescent="0.25">
      <c r="A248">
        <f t="shared" si="4"/>
        <v>0</v>
      </c>
      <c r="B248" t="b">
        <f>SUMPRODUCT(LEN(hospitalityq!C248:R248))&gt;0</f>
        <v>0</v>
      </c>
      <c r="C248">
        <f>B248*(hospitalityq!C248="")</f>
        <v>0</v>
      </c>
      <c r="E248">
        <f>B248*(hospitalityq!E248="")</f>
        <v>0</v>
      </c>
      <c r="F248">
        <f>B248*(hospitalityq!F248="")</f>
        <v>0</v>
      </c>
      <c r="G248">
        <f>B248*(hospitalityq!G248="")</f>
        <v>0</v>
      </c>
      <c r="H248">
        <f>B248*(hospitalityq!H248="")</f>
        <v>0</v>
      </c>
      <c r="I248">
        <f>B248*(hospitalityq!I248="")</f>
        <v>0</v>
      </c>
      <c r="J248">
        <f>B248*(hospitalityq!J248="")</f>
        <v>0</v>
      </c>
      <c r="K248">
        <f>B248*(hospitalityq!K248="")</f>
        <v>0</v>
      </c>
      <c r="L248">
        <f>B248*(hospitalityq!L248="")</f>
        <v>0</v>
      </c>
      <c r="M248">
        <f>B248*(hospitalityq!M248="")</f>
        <v>0</v>
      </c>
      <c r="N248">
        <f>B248*(hospitalityq!N248="")</f>
        <v>0</v>
      </c>
      <c r="O248">
        <f>B248*(hospitalityq!O248="")</f>
        <v>0</v>
      </c>
      <c r="P248">
        <f>B248*(hospitalityq!P248="")</f>
        <v>0</v>
      </c>
      <c r="Q248">
        <f>B248*(hospitalityq!Q248="")</f>
        <v>0</v>
      </c>
      <c r="R248">
        <f>B248*(hospitalityq!R248="")</f>
        <v>0</v>
      </c>
    </row>
    <row r="249" spans="1:18" x14ac:dyDescent="0.25">
      <c r="A249">
        <f t="shared" si="4"/>
        <v>0</v>
      </c>
      <c r="B249" t="b">
        <f>SUMPRODUCT(LEN(hospitalityq!C249:R249))&gt;0</f>
        <v>0</v>
      </c>
      <c r="C249">
        <f>B249*(hospitalityq!C249="")</f>
        <v>0</v>
      </c>
      <c r="E249">
        <f>B249*(hospitalityq!E249="")</f>
        <v>0</v>
      </c>
      <c r="F249">
        <f>B249*(hospitalityq!F249="")</f>
        <v>0</v>
      </c>
      <c r="G249">
        <f>B249*(hospitalityq!G249="")</f>
        <v>0</v>
      </c>
      <c r="H249">
        <f>B249*(hospitalityq!H249="")</f>
        <v>0</v>
      </c>
      <c r="I249">
        <f>B249*(hospitalityq!I249="")</f>
        <v>0</v>
      </c>
      <c r="J249">
        <f>B249*(hospitalityq!J249="")</f>
        <v>0</v>
      </c>
      <c r="K249">
        <f>B249*(hospitalityq!K249="")</f>
        <v>0</v>
      </c>
      <c r="L249">
        <f>B249*(hospitalityq!L249="")</f>
        <v>0</v>
      </c>
      <c r="M249">
        <f>B249*(hospitalityq!M249="")</f>
        <v>0</v>
      </c>
      <c r="N249">
        <f>B249*(hospitalityq!N249="")</f>
        <v>0</v>
      </c>
      <c r="O249">
        <f>B249*(hospitalityq!O249="")</f>
        <v>0</v>
      </c>
      <c r="P249">
        <f>B249*(hospitalityq!P249="")</f>
        <v>0</v>
      </c>
      <c r="Q249">
        <f>B249*(hospitalityq!Q249="")</f>
        <v>0</v>
      </c>
      <c r="R249">
        <f>B249*(hospitalityq!R249="")</f>
        <v>0</v>
      </c>
    </row>
    <row r="250" spans="1:18" x14ac:dyDescent="0.25">
      <c r="A250">
        <f t="shared" si="4"/>
        <v>0</v>
      </c>
      <c r="B250" t="b">
        <f>SUMPRODUCT(LEN(hospitalityq!C250:R250))&gt;0</f>
        <v>0</v>
      </c>
      <c r="C250">
        <f>B250*(hospitalityq!C250="")</f>
        <v>0</v>
      </c>
      <c r="E250">
        <f>B250*(hospitalityq!E250="")</f>
        <v>0</v>
      </c>
      <c r="F250">
        <f>B250*(hospitalityq!F250="")</f>
        <v>0</v>
      </c>
      <c r="G250">
        <f>B250*(hospitalityq!G250="")</f>
        <v>0</v>
      </c>
      <c r="H250">
        <f>B250*(hospitalityq!H250="")</f>
        <v>0</v>
      </c>
      <c r="I250">
        <f>B250*(hospitalityq!I250="")</f>
        <v>0</v>
      </c>
      <c r="J250">
        <f>B250*(hospitalityq!J250="")</f>
        <v>0</v>
      </c>
      <c r="K250">
        <f>B250*(hospitalityq!K250="")</f>
        <v>0</v>
      </c>
      <c r="L250">
        <f>B250*(hospitalityq!L250="")</f>
        <v>0</v>
      </c>
      <c r="M250">
        <f>B250*(hospitalityq!M250="")</f>
        <v>0</v>
      </c>
      <c r="N250">
        <f>B250*(hospitalityq!N250="")</f>
        <v>0</v>
      </c>
      <c r="O250">
        <f>B250*(hospitalityq!O250="")</f>
        <v>0</v>
      </c>
      <c r="P250">
        <f>B250*(hospitalityq!P250="")</f>
        <v>0</v>
      </c>
      <c r="Q250">
        <f>B250*(hospitalityq!Q250="")</f>
        <v>0</v>
      </c>
      <c r="R250">
        <f>B250*(hospitalityq!R250="")</f>
        <v>0</v>
      </c>
    </row>
    <row r="251" spans="1:18" x14ac:dyDescent="0.25">
      <c r="A251">
        <f t="shared" si="4"/>
        <v>0</v>
      </c>
      <c r="B251" t="b">
        <f>SUMPRODUCT(LEN(hospitalityq!C251:R251))&gt;0</f>
        <v>0</v>
      </c>
      <c r="C251">
        <f>B251*(hospitalityq!C251="")</f>
        <v>0</v>
      </c>
      <c r="E251">
        <f>B251*(hospitalityq!E251="")</f>
        <v>0</v>
      </c>
      <c r="F251">
        <f>B251*(hospitalityq!F251="")</f>
        <v>0</v>
      </c>
      <c r="G251">
        <f>B251*(hospitalityq!G251="")</f>
        <v>0</v>
      </c>
      <c r="H251">
        <f>B251*(hospitalityq!H251="")</f>
        <v>0</v>
      </c>
      <c r="I251">
        <f>B251*(hospitalityq!I251="")</f>
        <v>0</v>
      </c>
      <c r="J251">
        <f>B251*(hospitalityq!J251="")</f>
        <v>0</v>
      </c>
      <c r="K251">
        <f>B251*(hospitalityq!K251="")</f>
        <v>0</v>
      </c>
      <c r="L251">
        <f>B251*(hospitalityq!L251="")</f>
        <v>0</v>
      </c>
      <c r="M251">
        <f>B251*(hospitalityq!M251="")</f>
        <v>0</v>
      </c>
      <c r="N251">
        <f>B251*(hospitalityq!N251="")</f>
        <v>0</v>
      </c>
      <c r="O251">
        <f>B251*(hospitalityq!O251="")</f>
        <v>0</v>
      </c>
      <c r="P251">
        <f>B251*(hospitalityq!P251="")</f>
        <v>0</v>
      </c>
      <c r="Q251">
        <f>B251*(hospitalityq!Q251="")</f>
        <v>0</v>
      </c>
      <c r="R251">
        <f>B251*(hospitalityq!R251="")</f>
        <v>0</v>
      </c>
    </row>
    <row r="252" spans="1:18" x14ac:dyDescent="0.25">
      <c r="A252">
        <f t="shared" si="4"/>
        <v>0</v>
      </c>
      <c r="B252" t="b">
        <f>SUMPRODUCT(LEN(hospitalityq!C252:R252))&gt;0</f>
        <v>0</v>
      </c>
      <c r="C252">
        <f>B252*(hospitalityq!C252="")</f>
        <v>0</v>
      </c>
      <c r="E252">
        <f>B252*(hospitalityq!E252="")</f>
        <v>0</v>
      </c>
      <c r="F252">
        <f>B252*(hospitalityq!F252="")</f>
        <v>0</v>
      </c>
      <c r="G252">
        <f>B252*(hospitalityq!G252="")</f>
        <v>0</v>
      </c>
      <c r="H252">
        <f>B252*(hospitalityq!H252="")</f>
        <v>0</v>
      </c>
      <c r="I252">
        <f>B252*(hospitalityq!I252="")</f>
        <v>0</v>
      </c>
      <c r="J252">
        <f>B252*(hospitalityq!J252="")</f>
        <v>0</v>
      </c>
      <c r="K252">
        <f>B252*(hospitalityq!K252="")</f>
        <v>0</v>
      </c>
      <c r="L252">
        <f>B252*(hospitalityq!L252="")</f>
        <v>0</v>
      </c>
      <c r="M252">
        <f>B252*(hospitalityq!M252="")</f>
        <v>0</v>
      </c>
      <c r="N252">
        <f>B252*(hospitalityq!N252="")</f>
        <v>0</v>
      </c>
      <c r="O252">
        <f>B252*(hospitalityq!O252="")</f>
        <v>0</v>
      </c>
      <c r="P252">
        <f>B252*(hospitalityq!P252="")</f>
        <v>0</v>
      </c>
      <c r="Q252">
        <f>B252*(hospitalityq!Q252="")</f>
        <v>0</v>
      </c>
      <c r="R252">
        <f>B252*(hospitalityq!R252="")</f>
        <v>0</v>
      </c>
    </row>
    <row r="253" spans="1:18" x14ac:dyDescent="0.25">
      <c r="A253">
        <f t="shared" si="4"/>
        <v>0</v>
      </c>
      <c r="B253" t="b">
        <f>SUMPRODUCT(LEN(hospitalityq!C253:R253))&gt;0</f>
        <v>0</v>
      </c>
      <c r="C253">
        <f>B253*(hospitalityq!C253="")</f>
        <v>0</v>
      </c>
      <c r="E253">
        <f>B253*(hospitalityq!E253="")</f>
        <v>0</v>
      </c>
      <c r="F253">
        <f>B253*(hospitalityq!F253="")</f>
        <v>0</v>
      </c>
      <c r="G253">
        <f>B253*(hospitalityq!G253="")</f>
        <v>0</v>
      </c>
      <c r="H253">
        <f>B253*(hospitalityq!H253="")</f>
        <v>0</v>
      </c>
      <c r="I253">
        <f>B253*(hospitalityq!I253="")</f>
        <v>0</v>
      </c>
      <c r="J253">
        <f>B253*(hospitalityq!J253="")</f>
        <v>0</v>
      </c>
      <c r="K253">
        <f>B253*(hospitalityq!K253="")</f>
        <v>0</v>
      </c>
      <c r="L253">
        <f>B253*(hospitalityq!L253="")</f>
        <v>0</v>
      </c>
      <c r="M253">
        <f>B253*(hospitalityq!M253="")</f>
        <v>0</v>
      </c>
      <c r="N253">
        <f>B253*(hospitalityq!N253="")</f>
        <v>0</v>
      </c>
      <c r="O253">
        <f>B253*(hospitalityq!O253="")</f>
        <v>0</v>
      </c>
      <c r="P253">
        <f>B253*(hospitalityq!P253="")</f>
        <v>0</v>
      </c>
      <c r="Q253">
        <f>B253*(hospitalityq!Q253="")</f>
        <v>0</v>
      </c>
      <c r="R253">
        <f>B253*(hospitalityq!R253="")</f>
        <v>0</v>
      </c>
    </row>
    <row r="254" spans="1:18" x14ac:dyDescent="0.25">
      <c r="A254">
        <f t="shared" si="4"/>
        <v>0</v>
      </c>
      <c r="B254" t="b">
        <f>SUMPRODUCT(LEN(hospitalityq!C254:R254))&gt;0</f>
        <v>0</v>
      </c>
      <c r="C254">
        <f>B254*(hospitalityq!C254="")</f>
        <v>0</v>
      </c>
      <c r="E254">
        <f>B254*(hospitalityq!E254="")</f>
        <v>0</v>
      </c>
      <c r="F254">
        <f>B254*(hospitalityq!F254="")</f>
        <v>0</v>
      </c>
      <c r="G254">
        <f>B254*(hospitalityq!G254="")</f>
        <v>0</v>
      </c>
      <c r="H254">
        <f>B254*(hospitalityq!H254="")</f>
        <v>0</v>
      </c>
      <c r="I254">
        <f>B254*(hospitalityq!I254="")</f>
        <v>0</v>
      </c>
      <c r="J254">
        <f>B254*(hospitalityq!J254="")</f>
        <v>0</v>
      </c>
      <c r="K254">
        <f>B254*(hospitalityq!K254="")</f>
        <v>0</v>
      </c>
      <c r="L254">
        <f>B254*(hospitalityq!L254="")</f>
        <v>0</v>
      </c>
      <c r="M254">
        <f>B254*(hospitalityq!M254="")</f>
        <v>0</v>
      </c>
      <c r="N254">
        <f>B254*(hospitalityq!N254="")</f>
        <v>0</v>
      </c>
      <c r="O254">
        <f>B254*(hospitalityq!O254="")</f>
        <v>0</v>
      </c>
      <c r="P254">
        <f>B254*(hospitalityq!P254="")</f>
        <v>0</v>
      </c>
      <c r="Q254">
        <f>B254*(hospitalityq!Q254="")</f>
        <v>0</v>
      </c>
      <c r="R254">
        <f>B254*(hospitalityq!R254="")</f>
        <v>0</v>
      </c>
    </row>
    <row r="255" spans="1:18" x14ac:dyDescent="0.25">
      <c r="A255">
        <f t="shared" si="4"/>
        <v>0</v>
      </c>
      <c r="B255" t="b">
        <f>SUMPRODUCT(LEN(hospitalityq!C255:R255))&gt;0</f>
        <v>0</v>
      </c>
      <c r="C255">
        <f>B255*(hospitalityq!C255="")</f>
        <v>0</v>
      </c>
      <c r="E255">
        <f>B255*(hospitalityq!E255="")</f>
        <v>0</v>
      </c>
      <c r="F255">
        <f>B255*(hospitalityq!F255="")</f>
        <v>0</v>
      </c>
      <c r="G255">
        <f>B255*(hospitalityq!G255="")</f>
        <v>0</v>
      </c>
      <c r="H255">
        <f>B255*(hospitalityq!H255="")</f>
        <v>0</v>
      </c>
      <c r="I255">
        <f>B255*(hospitalityq!I255="")</f>
        <v>0</v>
      </c>
      <c r="J255">
        <f>B255*(hospitalityq!J255="")</f>
        <v>0</v>
      </c>
      <c r="K255">
        <f>B255*(hospitalityq!K255="")</f>
        <v>0</v>
      </c>
      <c r="L255">
        <f>B255*(hospitalityq!L255="")</f>
        <v>0</v>
      </c>
      <c r="M255">
        <f>B255*(hospitalityq!M255="")</f>
        <v>0</v>
      </c>
      <c r="N255">
        <f>B255*(hospitalityq!N255="")</f>
        <v>0</v>
      </c>
      <c r="O255">
        <f>B255*(hospitalityq!O255="")</f>
        <v>0</v>
      </c>
      <c r="P255">
        <f>B255*(hospitalityq!P255="")</f>
        <v>0</v>
      </c>
      <c r="Q255">
        <f>B255*(hospitalityq!Q255="")</f>
        <v>0</v>
      </c>
      <c r="R255">
        <f>B255*(hospitalityq!R255="")</f>
        <v>0</v>
      </c>
    </row>
    <row r="256" spans="1:18" x14ac:dyDescent="0.25">
      <c r="A256">
        <f t="shared" si="4"/>
        <v>0</v>
      </c>
      <c r="B256" t="b">
        <f>SUMPRODUCT(LEN(hospitalityq!C256:R256))&gt;0</f>
        <v>0</v>
      </c>
      <c r="C256">
        <f>B256*(hospitalityq!C256="")</f>
        <v>0</v>
      </c>
      <c r="E256">
        <f>B256*(hospitalityq!E256="")</f>
        <v>0</v>
      </c>
      <c r="F256">
        <f>B256*(hospitalityq!F256="")</f>
        <v>0</v>
      </c>
      <c r="G256">
        <f>B256*(hospitalityq!G256="")</f>
        <v>0</v>
      </c>
      <c r="H256">
        <f>B256*(hospitalityq!H256="")</f>
        <v>0</v>
      </c>
      <c r="I256">
        <f>B256*(hospitalityq!I256="")</f>
        <v>0</v>
      </c>
      <c r="J256">
        <f>B256*(hospitalityq!J256="")</f>
        <v>0</v>
      </c>
      <c r="K256">
        <f>B256*(hospitalityq!K256="")</f>
        <v>0</v>
      </c>
      <c r="L256">
        <f>B256*(hospitalityq!L256="")</f>
        <v>0</v>
      </c>
      <c r="M256">
        <f>B256*(hospitalityq!M256="")</f>
        <v>0</v>
      </c>
      <c r="N256">
        <f>B256*(hospitalityq!N256="")</f>
        <v>0</v>
      </c>
      <c r="O256">
        <f>B256*(hospitalityq!O256="")</f>
        <v>0</v>
      </c>
      <c r="P256">
        <f>B256*(hospitalityq!P256="")</f>
        <v>0</v>
      </c>
      <c r="Q256">
        <f>B256*(hospitalityq!Q256="")</f>
        <v>0</v>
      </c>
      <c r="R256">
        <f>B256*(hospitalityq!R256="")</f>
        <v>0</v>
      </c>
    </row>
    <row r="257" spans="1:18" x14ac:dyDescent="0.25">
      <c r="A257">
        <f t="shared" si="4"/>
        <v>0</v>
      </c>
      <c r="B257" t="b">
        <f>SUMPRODUCT(LEN(hospitalityq!C257:R257))&gt;0</f>
        <v>0</v>
      </c>
      <c r="C257">
        <f>B257*(hospitalityq!C257="")</f>
        <v>0</v>
      </c>
      <c r="E257">
        <f>B257*(hospitalityq!E257="")</f>
        <v>0</v>
      </c>
      <c r="F257">
        <f>B257*(hospitalityq!F257="")</f>
        <v>0</v>
      </c>
      <c r="G257">
        <f>B257*(hospitalityq!G257="")</f>
        <v>0</v>
      </c>
      <c r="H257">
        <f>B257*(hospitalityq!H257="")</f>
        <v>0</v>
      </c>
      <c r="I257">
        <f>B257*(hospitalityq!I257="")</f>
        <v>0</v>
      </c>
      <c r="J257">
        <f>B257*(hospitalityq!J257="")</f>
        <v>0</v>
      </c>
      <c r="K257">
        <f>B257*(hospitalityq!K257="")</f>
        <v>0</v>
      </c>
      <c r="L257">
        <f>B257*(hospitalityq!L257="")</f>
        <v>0</v>
      </c>
      <c r="M257">
        <f>B257*(hospitalityq!M257="")</f>
        <v>0</v>
      </c>
      <c r="N257">
        <f>B257*(hospitalityq!N257="")</f>
        <v>0</v>
      </c>
      <c r="O257">
        <f>B257*(hospitalityq!O257="")</f>
        <v>0</v>
      </c>
      <c r="P257">
        <f>B257*(hospitalityq!P257="")</f>
        <v>0</v>
      </c>
      <c r="Q257">
        <f>B257*(hospitalityq!Q257="")</f>
        <v>0</v>
      </c>
      <c r="R257">
        <f>B257*(hospitalityq!R257="")</f>
        <v>0</v>
      </c>
    </row>
    <row r="258" spans="1:18" x14ac:dyDescent="0.25">
      <c r="A258">
        <f t="shared" si="4"/>
        <v>0</v>
      </c>
      <c r="B258" t="b">
        <f>SUMPRODUCT(LEN(hospitalityq!C258:R258))&gt;0</f>
        <v>0</v>
      </c>
      <c r="C258">
        <f>B258*(hospitalityq!C258="")</f>
        <v>0</v>
      </c>
      <c r="E258">
        <f>B258*(hospitalityq!E258="")</f>
        <v>0</v>
      </c>
      <c r="F258">
        <f>B258*(hospitalityq!F258="")</f>
        <v>0</v>
      </c>
      <c r="G258">
        <f>B258*(hospitalityq!G258="")</f>
        <v>0</v>
      </c>
      <c r="H258">
        <f>B258*(hospitalityq!H258="")</f>
        <v>0</v>
      </c>
      <c r="I258">
        <f>B258*(hospitalityq!I258="")</f>
        <v>0</v>
      </c>
      <c r="J258">
        <f>B258*(hospitalityq!J258="")</f>
        <v>0</v>
      </c>
      <c r="K258">
        <f>B258*(hospitalityq!K258="")</f>
        <v>0</v>
      </c>
      <c r="L258">
        <f>B258*(hospitalityq!L258="")</f>
        <v>0</v>
      </c>
      <c r="M258">
        <f>B258*(hospitalityq!M258="")</f>
        <v>0</v>
      </c>
      <c r="N258">
        <f>B258*(hospitalityq!N258="")</f>
        <v>0</v>
      </c>
      <c r="O258">
        <f>B258*(hospitalityq!O258="")</f>
        <v>0</v>
      </c>
      <c r="P258">
        <f>B258*(hospitalityq!P258="")</f>
        <v>0</v>
      </c>
      <c r="Q258">
        <f>B258*(hospitalityq!Q258="")</f>
        <v>0</v>
      </c>
      <c r="R258">
        <f>B258*(hospitalityq!R258="")</f>
        <v>0</v>
      </c>
    </row>
    <row r="259" spans="1:18" x14ac:dyDescent="0.25">
      <c r="A259">
        <f t="shared" si="4"/>
        <v>0</v>
      </c>
      <c r="B259" t="b">
        <f>SUMPRODUCT(LEN(hospitalityq!C259:R259))&gt;0</f>
        <v>0</v>
      </c>
      <c r="C259">
        <f>B259*(hospitalityq!C259="")</f>
        <v>0</v>
      </c>
      <c r="E259">
        <f>B259*(hospitalityq!E259="")</f>
        <v>0</v>
      </c>
      <c r="F259">
        <f>B259*(hospitalityq!F259="")</f>
        <v>0</v>
      </c>
      <c r="G259">
        <f>B259*(hospitalityq!G259="")</f>
        <v>0</v>
      </c>
      <c r="H259">
        <f>B259*(hospitalityq!H259="")</f>
        <v>0</v>
      </c>
      <c r="I259">
        <f>B259*(hospitalityq!I259="")</f>
        <v>0</v>
      </c>
      <c r="J259">
        <f>B259*(hospitalityq!J259="")</f>
        <v>0</v>
      </c>
      <c r="K259">
        <f>B259*(hospitalityq!K259="")</f>
        <v>0</v>
      </c>
      <c r="L259">
        <f>B259*(hospitalityq!L259="")</f>
        <v>0</v>
      </c>
      <c r="M259">
        <f>B259*(hospitalityq!M259="")</f>
        <v>0</v>
      </c>
      <c r="N259">
        <f>B259*(hospitalityq!N259="")</f>
        <v>0</v>
      </c>
      <c r="O259">
        <f>B259*(hospitalityq!O259="")</f>
        <v>0</v>
      </c>
      <c r="P259">
        <f>B259*(hospitalityq!P259="")</f>
        <v>0</v>
      </c>
      <c r="Q259">
        <f>B259*(hospitalityq!Q259="")</f>
        <v>0</v>
      </c>
      <c r="R259">
        <f>B259*(hospitalityq!R259="")</f>
        <v>0</v>
      </c>
    </row>
    <row r="260" spans="1:18" x14ac:dyDescent="0.25">
      <c r="A260">
        <f t="shared" si="4"/>
        <v>0</v>
      </c>
      <c r="B260" t="b">
        <f>SUMPRODUCT(LEN(hospitalityq!C260:R260))&gt;0</f>
        <v>0</v>
      </c>
      <c r="C260">
        <f>B260*(hospitalityq!C260="")</f>
        <v>0</v>
      </c>
      <c r="E260">
        <f>B260*(hospitalityq!E260="")</f>
        <v>0</v>
      </c>
      <c r="F260">
        <f>B260*(hospitalityq!F260="")</f>
        <v>0</v>
      </c>
      <c r="G260">
        <f>B260*(hospitalityq!G260="")</f>
        <v>0</v>
      </c>
      <c r="H260">
        <f>B260*(hospitalityq!H260="")</f>
        <v>0</v>
      </c>
      <c r="I260">
        <f>B260*(hospitalityq!I260="")</f>
        <v>0</v>
      </c>
      <c r="J260">
        <f>B260*(hospitalityq!J260="")</f>
        <v>0</v>
      </c>
      <c r="K260">
        <f>B260*(hospitalityq!K260="")</f>
        <v>0</v>
      </c>
      <c r="L260">
        <f>B260*(hospitalityq!L260="")</f>
        <v>0</v>
      </c>
      <c r="M260">
        <f>B260*(hospitalityq!M260="")</f>
        <v>0</v>
      </c>
      <c r="N260">
        <f>B260*(hospitalityq!N260="")</f>
        <v>0</v>
      </c>
      <c r="O260">
        <f>B260*(hospitalityq!O260="")</f>
        <v>0</v>
      </c>
      <c r="P260">
        <f>B260*(hospitalityq!P260="")</f>
        <v>0</v>
      </c>
      <c r="Q260">
        <f>B260*(hospitalityq!Q260="")</f>
        <v>0</v>
      </c>
      <c r="R260">
        <f>B260*(hospitalityq!R260="")</f>
        <v>0</v>
      </c>
    </row>
    <row r="261" spans="1:18" x14ac:dyDescent="0.25">
      <c r="A261">
        <f t="shared" si="4"/>
        <v>0</v>
      </c>
      <c r="B261" t="b">
        <f>SUMPRODUCT(LEN(hospitalityq!C261:R261))&gt;0</f>
        <v>0</v>
      </c>
      <c r="C261">
        <f>B261*(hospitalityq!C261="")</f>
        <v>0</v>
      </c>
      <c r="E261">
        <f>B261*(hospitalityq!E261="")</f>
        <v>0</v>
      </c>
      <c r="F261">
        <f>B261*(hospitalityq!F261="")</f>
        <v>0</v>
      </c>
      <c r="G261">
        <f>B261*(hospitalityq!G261="")</f>
        <v>0</v>
      </c>
      <c r="H261">
        <f>B261*(hospitalityq!H261="")</f>
        <v>0</v>
      </c>
      <c r="I261">
        <f>B261*(hospitalityq!I261="")</f>
        <v>0</v>
      </c>
      <c r="J261">
        <f>B261*(hospitalityq!J261="")</f>
        <v>0</v>
      </c>
      <c r="K261">
        <f>B261*(hospitalityq!K261="")</f>
        <v>0</v>
      </c>
      <c r="L261">
        <f>B261*(hospitalityq!L261="")</f>
        <v>0</v>
      </c>
      <c r="M261">
        <f>B261*(hospitalityq!M261="")</f>
        <v>0</v>
      </c>
      <c r="N261">
        <f>B261*(hospitalityq!N261="")</f>
        <v>0</v>
      </c>
      <c r="O261">
        <f>B261*(hospitalityq!O261="")</f>
        <v>0</v>
      </c>
      <c r="P261">
        <f>B261*(hospitalityq!P261="")</f>
        <v>0</v>
      </c>
      <c r="Q261">
        <f>B261*(hospitalityq!Q261="")</f>
        <v>0</v>
      </c>
      <c r="R261">
        <f>B261*(hospitalityq!R261="")</f>
        <v>0</v>
      </c>
    </row>
    <row r="262" spans="1:18" x14ac:dyDescent="0.25">
      <c r="A262">
        <f t="shared" ref="A262:A325" si="5">IFERROR(MATCH(TRUE,INDEX(C262:R262&lt;&gt;0,),)+2,0)</f>
        <v>0</v>
      </c>
      <c r="B262" t="b">
        <f>SUMPRODUCT(LEN(hospitalityq!C262:R262))&gt;0</f>
        <v>0</v>
      </c>
      <c r="C262">
        <f>B262*(hospitalityq!C262="")</f>
        <v>0</v>
      </c>
      <c r="E262">
        <f>B262*(hospitalityq!E262="")</f>
        <v>0</v>
      </c>
      <c r="F262">
        <f>B262*(hospitalityq!F262="")</f>
        <v>0</v>
      </c>
      <c r="G262">
        <f>B262*(hospitalityq!G262="")</f>
        <v>0</v>
      </c>
      <c r="H262">
        <f>B262*(hospitalityq!H262="")</f>
        <v>0</v>
      </c>
      <c r="I262">
        <f>B262*(hospitalityq!I262="")</f>
        <v>0</v>
      </c>
      <c r="J262">
        <f>B262*(hospitalityq!J262="")</f>
        <v>0</v>
      </c>
      <c r="K262">
        <f>B262*(hospitalityq!K262="")</f>
        <v>0</v>
      </c>
      <c r="L262">
        <f>B262*(hospitalityq!L262="")</f>
        <v>0</v>
      </c>
      <c r="M262">
        <f>B262*(hospitalityq!M262="")</f>
        <v>0</v>
      </c>
      <c r="N262">
        <f>B262*(hospitalityq!N262="")</f>
        <v>0</v>
      </c>
      <c r="O262">
        <f>B262*(hospitalityq!O262="")</f>
        <v>0</v>
      </c>
      <c r="P262">
        <f>B262*(hospitalityq!P262="")</f>
        <v>0</v>
      </c>
      <c r="Q262">
        <f>B262*(hospitalityq!Q262="")</f>
        <v>0</v>
      </c>
      <c r="R262">
        <f>B262*(hospitalityq!R262="")</f>
        <v>0</v>
      </c>
    </row>
    <row r="263" spans="1:18" x14ac:dyDescent="0.25">
      <c r="A263">
        <f t="shared" si="5"/>
        <v>0</v>
      </c>
      <c r="B263" t="b">
        <f>SUMPRODUCT(LEN(hospitalityq!C263:R263))&gt;0</f>
        <v>0</v>
      </c>
      <c r="C263">
        <f>B263*(hospitalityq!C263="")</f>
        <v>0</v>
      </c>
      <c r="E263">
        <f>B263*(hospitalityq!E263="")</f>
        <v>0</v>
      </c>
      <c r="F263">
        <f>B263*(hospitalityq!F263="")</f>
        <v>0</v>
      </c>
      <c r="G263">
        <f>B263*(hospitalityq!G263="")</f>
        <v>0</v>
      </c>
      <c r="H263">
        <f>B263*(hospitalityq!H263="")</f>
        <v>0</v>
      </c>
      <c r="I263">
        <f>B263*(hospitalityq!I263="")</f>
        <v>0</v>
      </c>
      <c r="J263">
        <f>B263*(hospitalityq!J263="")</f>
        <v>0</v>
      </c>
      <c r="K263">
        <f>B263*(hospitalityq!K263="")</f>
        <v>0</v>
      </c>
      <c r="L263">
        <f>B263*(hospitalityq!L263="")</f>
        <v>0</v>
      </c>
      <c r="M263">
        <f>B263*(hospitalityq!M263="")</f>
        <v>0</v>
      </c>
      <c r="N263">
        <f>B263*(hospitalityq!N263="")</f>
        <v>0</v>
      </c>
      <c r="O263">
        <f>B263*(hospitalityq!O263="")</f>
        <v>0</v>
      </c>
      <c r="P263">
        <f>B263*(hospitalityq!P263="")</f>
        <v>0</v>
      </c>
      <c r="Q263">
        <f>B263*(hospitalityq!Q263="")</f>
        <v>0</v>
      </c>
      <c r="R263">
        <f>B263*(hospitalityq!R263="")</f>
        <v>0</v>
      </c>
    </row>
    <row r="264" spans="1:18" x14ac:dyDescent="0.25">
      <c r="A264">
        <f t="shared" si="5"/>
        <v>0</v>
      </c>
      <c r="B264" t="b">
        <f>SUMPRODUCT(LEN(hospitalityq!C264:R264))&gt;0</f>
        <v>0</v>
      </c>
      <c r="C264">
        <f>B264*(hospitalityq!C264="")</f>
        <v>0</v>
      </c>
      <c r="E264">
        <f>B264*(hospitalityq!E264="")</f>
        <v>0</v>
      </c>
      <c r="F264">
        <f>B264*(hospitalityq!F264="")</f>
        <v>0</v>
      </c>
      <c r="G264">
        <f>B264*(hospitalityq!G264="")</f>
        <v>0</v>
      </c>
      <c r="H264">
        <f>B264*(hospitalityq!H264="")</f>
        <v>0</v>
      </c>
      <c r="I264">
        <f>B264*(hospitalityq!I264="")</f>
        <v>0</v>
      </c>
      <c r="J264">
        <f>B264*(hospitalityq!J264="")</f>
        <v>0</v>
      </c>
      <c r="K264">
        <f>B264*(hospitalityq!K264="")</f>
        <v>0</v>
      </c>
      <c r="L264">
        <f>B264*(hospitalityq!L264="")</f>
        <v>0</v>
      </c>
      <c r="M264">
        <f>B264*(hospitalityq!M264="")</f>
        <v>0</v>
      </c>
      <c r="N264">
        <f>B264*(hospitalityq!N264="")</f>
        <v>0</v>
      </c>
      <c r="O264">
        <f>B264*(hospitalityq!O264="")</f>
        <v>0</v>
      </c>
      <c r="P264">
        <f>B264*(hospitalityq!P264="")</f>
        <v>0</v>
      </c>
      <c r="Q264">
        <f>B264*(hospitalityq!Q264="")</f>
        <v>0</v>
      </c>
      <c r="R264">
        <f>B264*(hospitalityq!R264="")</f>
        <v>0</v>
      </c>
    </row>
    <row r="265" spans="1:18" x14ac:dyDescent="0.25">
      <c r="A265">
        <f t="shared" si="5"/>
        <v>0</v>
      </c>
      <c r="B265" t="b">
        <f>SUMPRODUCT(LEN(hospitalityq!C265:R265))&gt;0</f>
        <v>0</v>
      </c>
      <c r="C265">
        <f>B265*(hospitalityq!C265="")</f>
        <v>0</v>
      </c>
      <c r="E265">
        <f>B265*(hospitalityq!E265="")</f>
        <v>0</v>
      </c>
      <c r="F265">
        <f>B265*(hospitalityq!F265="")</f>
        <v>0</v>
      </c>
      <c r="G265">
        <f>B265*(hospitalityq!G265="")</f>
        <v>0</v>
      </c>
      <c r="H265">
        <f>B265*(hospitalityq!H265="")</f>
        <v>0</v>
      </c>
      <c r="I265">
        <f>B265*(hospitalityq!I265="")</f>
        <v>0</v>
      </c>
      <c r="J265">
        <f>B265*(hospitalityq!J265="")</f>
        <v>0</v>
      </c>
      <c r="K265">
        <f>B265*(hospitalityq!K265="")</f>
        <v>0</v>
      </c>
      <c r="L265">
        <f>B265*(hospitalityq!L265="")</f>
        <v>0</v>
      </c>
      <c r="M265">
        <f>B265*(hospitalityq!M265="")</f>
        <v>0</v>
      </c>
      <c r="N265">
        <f>B265*(hospitalityq!N265="")</f>
        <v>0</v>
      </c>
      <c r="O265">
        <f>B265*(hospitalityq!O265="")</f>
        <v>0</v>
      </c>
      <c r="P265">
        <f>B265*(hospitalityq!P265="")</f>
        <v>0</v>
      </c>
      <c r="Q265">
        <f>B265*(hospitalityq!Q265="")</f>
        <v>0</v>
      </c>
      <c r="R265">
        <f>B265*(hospitalityq!R265="")</f>
        <v>0</v>
      </c>
    </row>
    <row r="266" spans="1:18" x14ac:dyDescent="0.25">
      <c r="A266">
        <f t="shared" si="5"/>
        <v>0</v>
      </c>
      <c r="B266" t="b">
        <f>SUMPRODUCT(LEN(hospitalityq!C266:R266))&gt;0</f>
        <v>0</v>
      </c>
      <c r="C266">
        <f>B266*(hospitalityq!C266="")</f>
        <v>0</v>
      </c>
      <c r="E266">
        <f>B266*(hospitalityq!E266="")</f>
        <v>0</v>
      </c>
      <c r="F266">
        <f>B266*(hospitalityq!F266="")</f>
        <v>0</v>
      </c>
      <c r="G266">
        <f>B266*(hospitalityq!G266="")</f>
        <v>0</v>
      </c>
      <c r="H266">
        <f>B266*(hospitalityq!H266="")</f>
        <v>0</v>
      </c>
      <c r="I266">
        <f>B266*(hospitalityq!I266="")</f>
        <v>0</v>
      </c>
      <c r="J266">
        <f>B266*(hospitalityq!J266="")</f>
        <v>0</v>
      </c>
      <c r="K266">
        <f>B266*(hospitalityq!K266="")</f>
        <v>0</v>
      </c>
      <c r="L266">
        <f>B266*(hospitalityq!L266="")</f>
        <v>0</v>
      </c>
      <c r="M266">
        <f>B266*(hospitalityq!M266="")</f>
        <v>0</v>
      </c>
      <c r="N266">
        <f>B266*(hospitalityq!N266="")</f>
        <v>0</v>
      </c>
      <c r="O266">
        <f>B266*(hospitalityq!O266="")</f>
        <v>0</v>
      </c>
      <c r="P266">
        <f>B266*(hospitalityq!P266="")</f>
        <v>0</v>
      </c>
      <c r="Q266">
        <f>B266*(hospitalityq!Q266="")</f>
        <v>0</v>
      </c>
      <c r="R266">
        <f>B266*(hospitalityq!R266="")</f>
        <v>0</v>
      </c>
    </row>
    <row r="267" spans="1:18" x14ac:dyDescent="0.25">
      <c r="A267">
        <f t="shared" si="5"/>
        <v>0</v>
      </c>
      <c r="B267" t="b">
        <f>SUMPRODUCT(LEN(hospitalityq!C267:R267))&gt;0</f>
        <v>0</v>
      </c>
      <c r="C267">
        <f>B267*(hospitalityq!C267="")</f>
        <v>0</v>
      </c>
      <c r="E267">
        <f>B267*(hospitalityq!E267="")</f>
        <v>0</v>
      </c>
      <c r="F267">
        <f>B267*(hospitalityq!F267="")</f>
        <v>0</v>
      </c>
      <c r="G267">
        <f>B267*(hospitalityq!G267="")</f>
        <v>0</v>
      </c>
      <c r="H267">
        <f>B267*(hospitalityq!H267="")</f>
        <v>0</v>
      </c>
      <c r="I267">
        <f>B267*(hospitalityq!I267="")</f>
        <v>0</v>
      </c>
      <c r="J267">
        <f>B267*(hospitalityq!J267="")</f>
        <v>0</v>
      </c>
      <c r="K267">
        <f>B267*(hospitalityq!K267="")</f>
        <v>0</v>
      </c>
      <c r="L267">
        <f>B267*(hospitalityq!L267="")</f>
        <v>0</v>
      </c>
      <c r="M267">
        <f>B267*(hospitalityq!M267="")</f>
        <v>0</v>
      </c>
      <c r="N267">
        <f>B267*(hospitalityq!N267="")</f>
        <v>0</v>
      </c>
      <c r="O267">
        <f>B267*(hospitalityq!O267="")</f>
        <v>0</v>
      </c>
      <c r="P267">
        <f>B267*(hospitalityq!P267="")</f>
        <v>0</v>
      </c>
      <c r="Q267">
        <f>B267*(hospitalityq!Q267="")</f>
        <v>0</v>
      </c>
      <c r="R267">
        <f>B267*(hospitalityq!R267="")</f>
        <v>0</v>
      </c>
    </row>
    <row r="268" spans="1:18" x14ac:dyDescent="0.25">
      <c r="A268">
        <f t="shared" si="5"/>
        <v>0</v>
      </c>
      <c r="B268" t="b">
        <f>SUMPRODUCT(LEN(hospitalityq!C268:R268))&gt;0</f>
        <v>0</v>
      </c>
      <c r="C268">
        <f>B268*(hospitalityq!C268="")</f>
        <v>0</v>
      </c>
      <c r="E268">
        <f>B268*(hospitalityq!E268="")</f>
        <v>0</v>
      </c>
      <c r="F268">
        <f>B268*(hospitalityq!F268="")</f>
        <v>0</v>
      </c>
      <c r="G268">
        <f>B268*(hospitalityq!G268="")</f>
        <v>0</v>
      </c>
      <c r="H268">
        <f>B268*(hospitalityq!H268="")</f>
        <v>0</v>
      </c>
      <c r="I268">
        <f>B268*(hospitalityq!I268="")</f>
        <v>0</v>
      </c>
      <c r="J268">
        <f>B268*(hospitalityq!J268="")</f>
        <v>0</v>
      </c>
      <c r="K268">
        <f>B268*(hospitalityq!K268="")</f>
        <v>0</v>
      </c>
      <c r="L268">
        <f>B268*(hospitalityq!L268="")</f>
        <v>0</v>
      </c>
      <c r="M268">
        <f>B268*(hospitalityq!M268="")</f>
        <v>0</v>
      </c>
      <c r="N268">
        <f>B268*(hospitalityq!N268="")</f>
        <v>0</v>
      </c>
      <c r="O268">
        <f>B268*(hospitalityq!O268="")</f>
        <v>0</v>
      </c>
      <c r="P268">
        <f>B268*(hospitalityq!P268="")</f>
        <v>0</v>
      </c>
      <c r="Q268">
        <f>B268*(hospitalityq!Q268="")</f>
        <v>0</v>
      </c>
      <c r="R268">
        <f>B268*(hospitalityq!R268="")</f>
        <v>0</v>
      </c>
    </row>
    <row r="269" spans="1:18" x14ac:dyDescent="0.25">
      <c r="A269">
        <f t="shared" si="5"/>
        <v>0</v>
      </c>
      <c r="B269" t="b">
        <f>SUMPRODUCT(LEN(hospitalityq!C269:R269))&gt;0</f>
        <v>0</v>
      </c>
      <c r="C269">
        <f>B269*(hospitalityq!C269="")</f>
        <v>0</v>
      </c>
      <c r="E269">
        <f>B269*(hospitalityq!E269="")</f>
        <v>0</v>
      </c>
      <c r="F269">
        <f>B269*(hospitalityq!F269="")</f>
        <v>0</v>
      </c>
      <c r="G269">
        <f>B269*(hospitalityq!G269="")</f>
        <v>0</v>
      </c>
      <c r="H269">
        <f>B269*(hospitalityq!H269="")</f>
        <v>0</v>
      </c>
      <c r="I269">
        <f>B269*(hospitalityq!I269="")</f>
        <v>0</v>
      </c>
      <c r="J269">
        <f>B269*(hospitalityq!J269="")</f>
        <v>0</v>
      </c>
      <c r="K269">
        <f>B269*(hospitalityq!K269="")</f>
        <v>0</v>
      </c>
      <c r="L269">
        <f>B269*(hospitalityq!L269="")</f>
        <v>0</v>
      </c>
      <c r="M269">
        <f>B269*(hospitalityq!M269="")</f>
        <v>0</v>
      </c>
      <c r="N269">
        <f>B269*(hospitalityq!N269="")</f>
        <v>0</v>
      </c>
      <c r="O269">
        <f>B269*(hospitalityq!O269="")</f>
        <v>0</v>
      </c>
      <c r="P269">
        <f>B269*(hospitalityq!P269="")</f>
        <v>0</v>
      </c>
      <c r="Q269">
        <f>B269*(hospitalityq!Q269="")</f>
        <v>0</v>
      </c>
      <c r="R269">
        <f>B269*(hospitalityq!R269="")</f>
        <v>0</v>
      </c>
    </row>
    <row r="270" spans="1:18" x14ac:dyDescent="0.25">
      <c r="A270">
        <f t="shared" si="5"/>
        <v>0</v>
      </c>
      <c r="B270" t="b">
        <f>SUMPRODUCT(LEN(hospitalityq!C270:R270))&gt;0</f>
        <v>0</v>
      </c>
      <c r="C270">
        <f>B270*(hospitalityq!C270="")</f>
        <v>0</v>
      </c>
      <c r="E270">
        <f>B270*(hospitalityq!E270="")</f>
        <v>0</v>
      </c>
      <c r="F270">
        <f>B270*(hospitalityq!F270="")</f>
        <v>0</v>
      </c>
      <c r="G270">
        <f>B270*(hospitalityq!G270="")</f>
        <v>0</v>
      </c>
      <c r="H270">
        <f>B270*(hospitalityq!H270="")</f>
        <v>0</v>
      </c>
      <c r="I270">
        <f>B270*(hospitalityq!I270="")</f>
        <v>0</v>
      </c>
      <c r="J270">
        <f>B270*(hospitalityq!J270="")</f>
        <v>0</v>
      </c>
      <c r="K270">
        <f>B270*(hospitalityq!K270="")</f>
        <v>0</v>
      </c>
      <c r="L270">
        <f>B270*(hospitalityq!L270="")</f>
        <v>0</v>
      </c>
      <c r="M270">
        <f>B270*(hospitalityq!M270="")</f>
        <v>0</v>
      </c>
      <c r="N270">
        <f>B270*(hospitalityq!N270="")</f>
        <v>0</v>
      </c>
      <c r="O270">
        <f>B270*(hospitalityq!O270="")</f>
        <v>0</v>
      </c>
      <c r="P270">
        <f>B270*(hospitalityq!P270="")</f>
        <v>0</v>
      </c>
      <c r="Q270">
        <f>B270*(hospitalityq!Q270="")</f>
        <v>0</v>
      </c>
      <c r="R270">
        <f>B270*(hospitalityq!R270="")</f>
        <v>0</v>
      </c>
    </row>
    <row r="271" spans="1:18" x14ac:dyDescent="0.25">
      <c r="A271">
        <f t="shared" si="5"/>
        <v>0</v>
      </c>
      <c r="B271" t="b">
        <f>SUMPRODUCT(LEN(hospitalityq!C271:R271))&gt;0</f>
        <v>0</v>
      </c>
      <c r="C271">
        <f>B271*(hospitalityq!C271="")</f>
        <v>0</v>
      </c>
      <c r="E271">
        <f>B271*(hospitalityq!E271="")</f>
        <v>0</v>
      </c>
      <c r="F271">
        <f>B271*(hospitalityq!F271="")</f>
        <v>0</v>
      </c>
      <c r="G271">
        <f>B271*(hospitalityq!G271="")</f>
        <v>0</v>
      </c>
      <c r="H271">
        <f>B271*(hospitalityq!H271="")</f>
        <v>0</v>
      </c>
      <c r="I271">
        <f>B271*(hospitalityq!I271="")</f>
        <v>0</v>
      </c>
      <c r="J271">
        <f>B271*(hospitalityq!J271="")</f>
        <v>0</v>
      </c>
      <c r="K271">
        <f>B271*(hospitalityq!K271="")</f>
        <v>0</v>
      </c>
      <c r="L271">
        <f>B271*(hospitalityq!L271="")</f>
        <v>0</v>
      </c>
      <c r="M271">
        <f>B271*(hospitalityq!M271="")</f>
        <v>0</v>
      </c>
      <c r="N271">
        <f>B271*(hospitalityq!N271="")</f>
        <v>0</v>
      </c>
      <c r="O271">
        <f>B271*(hospitalityq!O271="")</f>
        <v>0</v>
      </c>
      <c r="P271">
        <f>B271*(hospitalityq!P271="")</f>
        <v>0</v>
      </c>
      <c r="Q271">
        <f>B271*(hospitalityq!Q271="")</f>
        <v>0</v>
      </c>
      <c r="R271">
        <f>B271*(hospitalityq!R271="")</f>
        <v>0</v>
      </c>
    </row>
    <row r="272" spans="1:18" x14ac:dyDescent="0.25">
      <c r="A272">
        <f t="shared" si="5"/>
        <v>0</v>
      </c>
      <c r="B272" t="b">
        <f>SUMPRODUCT(LEN(hospitalityq!C272:R272))&gt;0</f>
        <v>0</v>
      </c>
      <c r="C272">
        <f>B272*(hospitalityq!C272="")</f>
        <v>0</v>
      </c>
      <c r="E272">
        <f>B272*(hospitalityq!E272="")</f>
        <v>0</v>
      </c>
      <c r="F272">
        <f>B272*(hospitalityq!F272="")</f>
        <v>0</v>
      </c>
      <c r="G272">
        <f>B272*(hospitalityq!G272="")</f>
        <v>0</v>
      </c>
      <c r="H272">
        <f>B272*(hospitalityq!H272="")</f>
        <v>0</v>
      </c>
      <c r="I272">
        <f>B272*(hospitalityq!I272="")</f>
        <v>0</v>
      </c>
      <c r="J272">
        <f>B272*(hospitalityq!J272="")</f>
        <v>0</v>
      </c>
      <c r="K272">
        <f>B272*(hospitalityq!K272="")</f>
        <v>0</v>
      </c>
      <c r="L272">
        <f>B272*(hospitalityq!L272="")</f>
        <v>0</v>
      </c>
      <c r="M272">
        <f>B272*(hospitalityq!M272="")</f>
        <v>0</v>
      </c>
      <c r="N272">
        <f>B272*(hospitalityq!N272="")</f>
        <v>0</v>
      </c>
      <c r="O272">
        <f>B272*(hospitalityq!O272="")</f>
        <v>0</v>
      </c>
      <c r="P272">
        <f>B272*(hospitalityq!P272="")</f>
        <v>0</v>
      </c>
      <c r="Q272">
        <f>B272*(hospitalityq!Q272="")</f>
        <v>0</v>
      </c>
      <c r="R272">
        <f>B272*(hospitalityq!R272="")</f>
        <v>0</v>
      </c>
    </row>
    <row r="273" spans="1:18" x14ac:dyDescent="0.25">
      <c r="A273">
        <f t="shared" si="5"/>
        <v>0</v>
      </c>
      <c r="B273" t="b">
        <f>SUMPRODUCT(LEN(hospitalityq!C273:R273))&gt;0</f>
        <v>0</v>
      </c>
      <c r="C273">
        <f>B273*(hospitalityq!C273="")</f>
        <v>0</v>
      </c>
      <c r="E273">
        <f>B273*(hospitalityq!E273="")</f>
        <v>0</v>
      </c>
      <c r="F273">
        <f>B273*(hospitalityq!F273="")</f>
        <v>0</v>
      </c>
      <c r="G273">
        <f>B273*(hospitalityq!G273="")</f>
        <v>0</v>
      </c>
      <c r="H273">
        <f>B273*(hospitalityq!H273="")</f>
        <v>0</v>
      </c>
      <c r="I273">
        <f>B273*(hospitalityq!I273="")</f>
        <v>0</v>
      </c>
      <c r="J273">
        <f>B273*(hospitalityq!J273="")</f>
        <v>0</v>
      </c>
      <c r="K273">
        <f>B273*(hospitalityq!K273="")</f>
        <v>0</v>
      </c>
      <c r="L273">
        <f>B273*(hospitalityq!L273="")</f>
        <v>0</v>
      </c>
      <c r="M273">
        <f>B273*(hospitalityq!M273="")</f>
        <v>0</v>
      </c>
      <c r="N273">
        <f>B273*(hospitalityq!N273="")</f>
        <v>0</v>
      </c>
      <c r="O273">
        <f>B273*(hospitalityq!O273="")</f>
        <v>0</v>
      </c>
      <c r="P273">
        <f>B273*(hospitalityq!P273="")</f>
        <v>0</v>
      </c>
      <c r="Q273">
        <f>B273*(hospitalityq!Q273="")</f>
        <v>0</v>
      </c>
      <c r="R273">
        <f>B273*(hospitalityq!R273="")</f>
        <v>0</v>
      </c>
    </row>
    <row r="274" spans="1:18" x14ac:dyDescent="0.25">
      <c r="A274">
        <f t="shared" si="5"/>
        <v>0</v>
      </c>
      <c r="B274" t="b">
        <f>SUMPRODUCT(LEN(hospitalityq!C274:R274))&gt;0</f>
        <v>0</v>
      </c>
      <c r="C274">
        <f>B274*(hospitalityq!C274="")</f>
        <v>0</v>
      </c>
      <c r="E274">
        <f>B274*(hospitalityq!E274="")</f>
        <v>0</v>
      </c>
      <c r="F274">
        <f>B274*(hospitalityq!F274="")</f>
        <v>0</v>
      </c>
      <c r="G274">
        <f>B274*(hospitalityq!G274="")</f>
        <v>0</v>
      </c>
      <c r="H274">
        <f>B274*(hospitalityq!H274="")</f>
        <v>0</v>
      </c>
      <c r="I274">
        <f>B274*(hospitalityq!I274="")</f>
        <v>0</v>
      </c>
      <c r="J274">
        <f>B274*(hospitalityq!J274="")</f>
        <v>0</v>
      </c>
      <c r="K274">
        <f>B274*(hospitalityq!K274="")</f>
        <v>0</v>
      </c>
      <c r="L274">
        <f>B274*(hospitalityq!L274="")</f>
        <v>0</v>
      </c>
      <c r="M274">
        <f>B274*(hospitalityq!M274="")</f>
        <v>0</v>
      </c>
      <c r="N274">
        <f>B274*(hospitalityq!N274="")</f>
        <v>0</v>
      </c>
      <c r="O274">
        <f>B274*(hospitalityq!O274="")</f>
        <v>0</v>
      </c>
      <c r="P274">
        <f>B274*(hospitalityq!P274="")</f>
        <v>0</v>
      </c>
      <c r="Q274">
        <f>B274*(hospitalityq!Q274="")</f>
        <v>0</v>
      </c>
      <c r="R274">
        <f>B274*(hospitalityq!R274="")</f>
        <v>0</v>
      </c>
    </row>
    <row r="275" spans="1:18" x14ac:dyDescent="0.25">
      <c r="A275">
        <f t="shared" si="5"/>
        <v>0</v>
      </c>
      <c r="B275" t="b">
        <f>SUMPRODUCT(LEN(hospitalityq!C275:R275))&gt;0</f>
        <v>0</v>
      </c>
      <c r="C275">
        <f>B275*(hospitalityq!C275="")</f>
        <v>0</v>
      </c>
      <c r="E275">
        <f>B275*(hospitalityq!E275="")</f>
        <v>0</v>
      </c>
      <c r="F275">
        <f>B275*(hospitalityq!F275="")</f>
        <v>0</v>
      </c>
      <c r="G275">
        <f>B275*(hospitalityq!G275="")</f>
        <v>0</v>
      </c>
      <c r="H275">
        <f>B275*(hospitalityq!H275="")</f>
        <v>0</v>
      </c>
      <c r="I275">
        <f>B275*(hospitalityq!I275="")</f>
        <v>0</v>
      </c>
      <c r="J275">
        <f>B275*(hospitalityq!J275="")</f>
        <v>0</v>
      </c>
      <c r="K275">
        <f>B275*(hospitalityq!K275="")</f>
        <v>0</v>
      </c>
      <c r="L275">
        <f>B275*(hospitalityq!L275="")</f>
        <v>0</v>
      </c>
      <c r="M275">
        <f>B275*(hospitalityq!M275="")</f>
        <v>0</v>
      </c>
      <c r="N275">
        <f>B275*(hospitalityq!N275="")</f>
        <v>0</v>
      </c>
      <c r="O275">
        <f>B275*(hospitalityq!O275="")</f>
        <v>0</v>
      </c>
      <c r="P275">
        <f>B275*(hospitalityq!P275="")</f>
        <v>0</v>
      </c>
      <c r="Q275">
        <f>B275*(hospitalityq!Q275="")</f>
        <v>0</v>
      </c>
      <c r="R275">
        <f>B275*(hospitalityq!R275="")</f>
        <v>0</v>
      </c>
    </row>
    <row r="276" spans="1:18" x14ac:dyDescent="0.25">
      <c r="A276">
        <f t="shared" si="5"/>
        <v>0</v>
      </c>
      <c r="B276" t="b">
        <f>SUMPRODUCT(LEN(hospitalityq!C276:R276))&gt;0</f>
        <v>0</v>
      </c>
      <c r="C276">
        <f>B276*(hospitalityq!C276="")</f>
        <v>0</v>
      </c>
      <c r="E276">
        <f>B276*(hospitalityq!E276="")</f>
        <v>0</v>
      </c>
      <c r="F276">
        <f>B276*(hospitalityq!F276="")</f>
        <v>0</v>
      </c>
      <c r="G276">
        <f>B276*(hospitalityq!G276="")</f>
        <v>0</v>
      </c>
      <c r="H276">
        <f>B276*(hospitalityq!H276="")</f>
        <v>0</v>
      </c>
      <c r="I276">
        <f>B276*(hospitalityq!I276="")</f>
        <v>0</v>
      </c>
      <c r="J276">
        <f>B276*(hospitalityq!J276="")</f>
        <v>0</v>
      </c>
      <c r="K276">
        <f>B276*(hospitalityq!K276="")</f>
        <v>0</v>
      </c>
      <c r="L276">
        <f>B276*(hospitalityq!L276="")</f>
        <v>0</v>
      </c>
      <c r="M276">
        <f>B276*(hospitalityq!M276="")</f>
        <v>0</v>
      </c>
      <c r="N276">
        <f>B276*(hospitalityq!N276="")</f>
        <v>0</v>
      </c>
      <c r="O276">
        <f>B276*(hospitalityq!O276="")</f>
        <v>0</v>
      </c>
      <c r="P276">
        <f>B276*(hospitalityq!P276="")</f>
        <v>0</v>
      </c>
      <c r="Q276">
        <f>B276*(hospitalityq!Q276="")</f>
        <v>0</v>
      </c>
      <c r="R276">
        <f>B276*(hospitalityq!R276="")</f>
        <v>0</v>
      </c>
    </row>
    <row r="277" spans="1:18" x14ac:dyDescent="0.25">
      <c r="A277">
        <f t="shared" si="5"/>
        <v>0</v>
      </c>
      <c r="B277" t="b">
        <f>SUMPRODUCT(LEN(hospitalityq!C277:R277))&gt;0</f>
        <v>0</v>
      </c>
      <c r="C277">
        <f>B277*(hospitalityq!C277="")</f>
        <v>0</v>
      </c>
      <c r="E277">
        <f>B277*(hospitalityq!E277="")</f>
        <v>0</v>
      </c>
      <c r="F277">
        <f>B277*(hospitalityq!F277="")</f>
        <v>0</v>
      </c>
      <c r="G277">
        <f>B277*(hospitalityq!G277="")</f>
        <v>0</v>
      </c>
      <c r="H277">
        <f>B277*(hospitalityq!H277="")</f>
        <v>0</v>
      </c>
      <c r="I277">
        <f>B277*(hospitalityq!I277="")</f>
        <v>0</v>
      </c>
      <c r="J277">
        <f>B277*(hospitalityq!J277="")</f>
        <v>0</v>
      </c>
      <c r="K277">
        <f>B277*(hospitalityq!K277="")</f>
        <v>0</v>
      </c>
      <c r="L277">
        <f>B277*(hospitalityq!L277="")</f>
        <v>0</v>
      </c>
      <c r="M277">
        <f>B277*(hospitalityq!M277="")</f>
        <v>0</v>
      </c>
      <c r="N277">
        <f>B277*(hospitalityq!N277="")</f>
        <v>0</v>
      </c>
      <c r="O277">
        <f>B277*(hospitalityq!O277="")</f>
        <v>0</v>
      </c>
      <c r="P277">
        <f>B277*(hospitalityq!P277="")</f>
        <v>0</v>
      </c>
      <c r="Q277">
        <f>B277*(hospitalityq!Q277="")</f>
        <v>0</v>
      </c>
      <c r="R277">
        <f>B277*(hospitalityq!R277="")</f>
        <v>0</v>
      </c>
    </row>
    <row r="278" spans="1:18" x14ac:dyDescent="0.25">
      <c r="A278">
        <f t="shared" si="5"/>
        <v>0</v>
      </c>
      <c r="B278" t="b">
        <f>SUMPRODUCT(LEN(hospitalityq!C278:R278))&gt;0</f>
        <v>0</v>
      </c>
      <c r="C278">
        <f>B278*(hospitalityq!C278="")</f>
        <v>0</v>
      </c>
      <c r="E278">
        <f>B278*(hospitalityq!E278="")</f>
        <v>0</v>
      </c>
      <c r="F278">
        <f>B278*(hospitalityq!F278="")</f>
        <v>0</v>
      </c>
      <c r="G278">
        <f>B278*(hospitalityq!G278="")</f>
        <v>0</v>
      </c>
      <c r="H278">
        <f>B278*(hospitalityq!H278="")</f>
        <v>0</v>
      </c>
      <c r="I278">
        <f>B278*(hospitalityq!I278="")</f>
        <v>0</v>
      </c>
      <c r="J278">
        <f>B278*(hospitalityq!J278="")</f>
        <v>0</v>
      </c>
      <c r="K278">
        <f>B278*(hospitalityq!K278="")</f>
        <v>0</v>
      </c>
      <c r="L278">
        <f>B278*(hospitalityq!L278="")</f>
        <v>0</v>
      </c>
      <c r="M278">
        <f>B278*(hospitalityq!M278="")</f>
        <v>0</v>
      </c>
      <c r="N278">
        <f>B278*(hospitalityq!N278="")</f>
        <v>0</v>
      </c>
      <c r="O278">
        <f>B278*(hospitalityq!O278="")</f>
        <v>0</v>
      </c>
      <c r="P278">
        <f>B278*(hospitalityq!P278="")</f>
        <v>0</v>
      </c>
      <c r="Q278">
        <f>B278*(hospitalityq!Q278="")</f>
        <v>0</v>
      </c>
      <c r="R278">
        <f>B278*(hospitalityq!R278="")</f>
        <v>0</v>
      </c>
    </row>
    <row r="279" spans="1:18" x14ac:dyDescent="0.25">
      <c r="A279">
        <f t="shared" si="5"/>
        <v>0</v>
      </c>
      <c r="B279" t="b">
        <f>SUMPRODUCT(LEN(hospitalityq!C279:R279))&gt;0</f>
        <v>0</v>
      </c>
      <c r="C279">
        <f>B279*(hospitalityq!C279="")</f>
        <v>0</v>
      </c>
      <c r="E279">
        <f>B279*(hospitalityq!E279="")</f>
        <v>0</v>
      </c>
      <c r="F279">
        <f>B279*(hospitalityq!F279="")</f>
        <v>0</v>
      </c>
      <c r="G279">
        <f>B279*(hospitalityq!G279="")</f>
        <v>0</v>
      </c>
      <c r="H279">
        <f>B279*(hospitalityq!H279="")</f>
        <v>0</v>
      </c>
      <c r="I279">
        <f>B279*(hospitalityq!I279="")</f>
        <v>0</v>
      </c>
      <c r="J279">
        <f>B279*(hospitalityq!J279="")</f>
        <v>0</v>
      </c>
      <c r="K279">
        <f>B279*(hospitalityq!K279="")</f>
        <v>0</v>
      </c>
      <c r="L279">
        <f>B279*(hospitalityq!L279="")</f>
        <v>0</v>
      </c>
      <c r="M279">
        <f>B279*(hospitalityq!M279="")</f>
        <v>0</v>
      </c>
      <c r="N279">
        <f>B279*(hospitalityq!N279="")</f>
        <v>0</v>
      </c>
      <c r="O279">
        <f>B279*(hospitalityq!O279="")</f>
        <v>0</v>
      </c>
      <c r="P279">
        <f>B279*(hospitalityq!P279="")</f>
        <v>0</v>
      </c>
      <c r="Q279">
        <f>B279*(hospitalityq!Q279="")</f>
        <v>0</v>
      </c>
      <c r="R279">
        <f>B279*(hospitalityq!R279="")</f>
        <v>0</v>
      </c>
    </row>
    <row r="280" spans="1:18" x14ac:dyDescent="0.25">
      <c r="A280">
        <f t="shared" si="5"/>
        <v>0</v>
      </c>
      <c r="B280" t="b">
        <f>SUMPRODUCT(LEN(hospitalityq!C280:R280))&gt;0</f>
        <v>0</v>
      </c>
      <c r="C280">
        <f>B280*(hospitalityq!C280="")</f>
        <v>0</v>
      </c>
      <c r="E280">
        <f>B280*(hospitalityq!E280="")</f>
        <v>0</v>
      </c>
      <c r="F280">
        <f>B280*(hospitalityq!F280="")</f>
        <v>0</v>
      </c>
      <c r="G280">
        <f>B280*(hospitalityq!G280="")</f>
        <v>0</v>
      </c>
      <c r="H280">
        <f>B280*(hospitalityq!H280="")</f>
        <v>0</v>
      </c>
      <c r="I280">
        <f>B280*(hospitalityq!I280="")</f>
        <v>0</v>
      </c>
      <c r="J280">
        <f>B280*(hospitalityq!J280="")</f>
        <v>0</v>
      </c>
      <c r="K280">
        <f>B280*(hospitalityq!K280="")</f>
        <v>0</v>
      </c>
      <c r="L280">
        <f>B280*(hospitalityq!L280="")</f>
        <v>0</v>
      </c>
      <c r="M280">
        <f>B280*(hospitalityq!M280="")</f>
        <v>0</v>
      </c>
      <c r="N280">
        <f>B280*(hospitalityq!N280="")</f>
        <v>0</v>
      </c>
      <c r="O280">
        <f>B280*(hospitalityq!O280="")</f>
        <v>0</v>
      </c>
      <c r="P280">
        <f>B280*(hospitalityq!P280="")</f>
        <v>0</v>
      </c>
      <c r="Q280">
        <f>B280*(hospitalityq!Q280="")</f>
        <v>0</v>
      </c>
      <c r="R280">
        <f>B280*(hospitalityq!R280="")</f>
        <v>0</v>
      </c>
    </row>
    <row r="281" spans="1:18" x14ac:dyDescent="0.25">
      <c r="A281">
        <f t="shared" si="5"/>
        <v>0</v>
      </c>
      <c r="B281" t="b">
        <f>SUMPRODUCT(LEN(hospitalityq!C281:R281))&gt;0</f>
        <v>0</v>
      </c>
      <c r="C281">
        <f>B281*(hospitalityq!C281="")</f>
        <v>0</v>
      </c>
      <c r="E281">
        <f>B281*(hospitalityq!E281="")</f>
        <v>0</v>
      </c>
      <c r="F281">
        <f>B281*(hospitalityq!F281="")</f>
        <v>0</v>
      </c>
      <c r="G281">
        <f>B281*(hospitalityq!G281="")</f>
        <v>0</v>
      </c>
      <c r="H281">
        <f>B281*(hospitalityq!H281="")</f>
        <v>0</v>
      </c>
      <c r="I281">
        <f>B281*(hospitalityq!I281="")</f>
        <v>0</v>
      </c>
      <c r="J281">
        <f>B281*(hospitalityq!J281="")</f>
        <v>0</v>
      </c>
      <c r="K281">
        <f>B281*(hospitalityq!K281="")</f>
        <v>0</v>
      </c>
      <c r="L281">
        <f>B281*(hospitalityq!L281="")</f>
        <v>0</v>
      </c>
      <c r="M281">
        <f>B281*(hospitalityq!M281="")</f>
        <v>0</v>
      </c>
      <c r="N281">
        <f>B281*(hospitalityq!N281="")</f>
        <v>0</v>
      </c>
      <c r="O281">
        <f>B281*(hospitalityq!O281="")</f>
        <v>0</v>
      </c>
      <c r="P281">
        <f>B281*(hospitalityq!P281="")</f>
        <v>0</v>
      </c>
      <c r="Q281">
        <f>B281*(hospitalityq!Q281="")</f>
        <v>0</v>
      </c>
      <c r="R281">
        <f>B281*(hospitalityq!R281="")</f>
        <v>0</v>
      </c>
    </row>
    <row r="282" spans="1:18" x14ac:dyDescent="0.25">
      <c r="A282">
        <f t="shared" si="5"/>
        <v>0</v>
      </c>
      <c r="B282" t="b">
        <f>SUMPRODUCT(LEN(hospitalityq!C282:R282))&gt;0</f>
        <v>0</v>
      </c>
      <c r="C282">
        <f>B282*(hospitalityq!C282="")</f>
        <v>0</v>
      </c>
      <c r="E282">
        <f>B282*(hospitalityq!E282="")</f>
        <v>0</v>
      </c>
      <c r="F282">
        <f>B282*(hospitalityq!F282="")</f>
        <v>0</v>
      </c>
      <c r="G282">
        <f>B282*(hospitalityq!G282="")</f>
        <v>0</v>
      </c>
      <c r="H282">
        <f>B282*(hospitalityq!H282="")</f>
        <v>0</v>
      </c>
      <c r="I282">
        <f>B282*(hospitalityq!I282="")</f>
        <v>0</v>
      </c>
      <c r="J282">
        <f>B282*(hospitalityq!J282="")</f>
        <v>0</v>
      </c>
      <c r="K282">
        <f>B282*(hospitalityq!K282="")</f>
        <v>0</v>
      </c>
      <c r="L282">
        <f>B282*(hospitalityq!L282="")</f>
        <v>0</v>
      </c>
      <c r="M282">
        <f>B282*(hospitalityq!M282="")</f>
        <v>0</v>
      </c>
      <c r="N282">
        <f>B282*(hospitalityq!N282="")</f>
        <v>0</v>
      </c>
      <c r="O282">
        <f>B282*(hospitalityq!O282="")</f>
        <v>0</v>
      </c>
      <c r="P282">
        <f>B282*(hospitalityq!P282="")</f>
        <v>0</v>
      </c>
      <c r="Q282">
        <f>B282*(hospitalityq!Q282="")</f>
        <v>0</v>
      </c>
      <c r="R282">
        <f>B282*(hospitalityq!R282="")</f>
        <v>0</v>
      </c>
    </row>
    <row r="283" spans="1:18" x14ac:dyDescent="0.25">
      <c r="A283">
        <f t="shared" si="5"/>
        <v>0</v>
      </c>
      <c r="B283" t="b">
        <f>SUMPRODUCT(LEN(hospitalityq!C283:R283))&gt;0</f>
        <v>0</v>
      </c>
      <c r="C283">
        <f>B283*(hospitalityq!C283="")</f>
        <v>0</v>
      </c>
      <c r="E283">
        <f>B283*(hospitalityq!E283="")</f>
        <v>0</v>
      </c>
      <c r="F283">
        <f>B283*(hospitalityq!F283="")</f>
        <v>0</v>
      </c>
      <c r="G283">
        <f>B283*(hospitalityq!G283="")</f>
        <v>0</v>
      </c>
      <c r="H283">
        <f>B283*(hospitalityq!H283="")</f>
        <v>0</v>
      </c>
      <c r="I283">
        <f>B283*(hospitalityq!I283="")</f>
        <v>0</v>
      </c>
      <c r="J283">
        <f>B283*(hospitalityq!J283="")</f>
        <v>0</v>
      </c>
      <c r="K283">
        <f>B283*(hospitalityq!K283="")</f>
        <v>0</v>
      </c>
      <c r="L283">
        <f>B283*(hospitalityq!L283="")</f>
        <v>0</v>
      </c>
      <c r="M283">
        <f>B283*(hospitalityq!M283="")</f>
        <v>0</v>
      </c>
      <c r="N283">
        <f>B283*(hospitalityq!N283="")</f>
        <v>0</v>
      </c>
      <c r="O283">
        <f>B283*(hospitalityq!O283="")</f>
        <v>0</v>
      </c>
      <c r="P283">
        <f>B283*(hospitalityq!P283="")</f>
        <v>0</v>
      </c>
      <c r="Q283">
        <f>B283*(hospitalityq!Q283="")</f>
        <v>0</v>
      </c>
      <c r="R283">
        <f>B283*(hospitalityq!R283="")</f>
        <v>0</v>
      </c>
    </row>
    <row r="284" spans="1:18" x14ac:dyDescent="0.25">
      <c r="A284">
        <f t="shared" si="5"/>
        <v>0</v>
      </c>
      <c r="B284" t="b">
        <f>SUMPRODUCT(LEN(hospitalityq!C284:R284))&gt;0</f>
        <v>0</v>
      </c>
      <c r="C284">
        <f>B284*(hospitalityq!C284="")</f>
        <v>0</v>
      </c>
      <c r="E284">
        <f>B284*(hospitalityq!E284="")</f>
        <v>0</v>
      </c>
      <c r="F284">
        <f>B284*(hospitalityq!F284="")</f>
        <v>0</v>
      </c>
      <c r="G284">
        <f>B284*(hospitalityq!G284="")</f>
        <v>0</v>
      </c>
      <c r="H284">
        <f>B284*(hospitalityq!H284="")</f>
        <v>0</v>
      </c>
      <c r="I284">
        <f>B284*(hospitalityq!I284="")</f>
        <v>0</v>
      </c>
      <c r="J284">
        <f>B284*(hospitalityq!J284="")</f>
        <v>0</v>
      </c>
      <c r="K284">
        <f>B284*(hospitalityq!K284="")</f>
        <v>0</v>
      </c>
      <c r="L284">
        <f>B284*(hospitalityq!L284="")</f>
        <v>0</v>
      </c>
      <c r="M284">
        <f>B284*(hospitalityq!M284="")</f>
        <v>0</v>
      </c>
      <c r="N284">
        <f>B284*(hospitalityq!N284="")</f>
        <v>0</v>
      </c>
      <c r="O284">
        <f>B284*(hospitalityq!O284="")</f>
        <v>0</v>
      </c>
      <c r="P284">
        <f>B284*(hospitalityq!P284="")</f>
        <v>0</v>
      </c>
      <c r="Q284">
        <f>B284*(hospitalityq!Q284="")</f>
        <v>0</v>
      </c>
      <c r="R284">
        <f>B284*(hospitalityq!R284="")</f>
        <v>0</v>
      </c>
    </row>
    <row r="285" spans="1:18" x14ac:dyDescent="0.25">
      <c r="A285">
        <f t="shared" si="5"/>
        <v>0</v>
      </c>
      <c r="B285" t="b">
        <f>SUMPRODUCT(LEN(hospitalityq!C285:R285))&gt;0</f>
        <v>0</v>
      </c>
      <c r="C285">
        <f>B285*(hospitalityq!C285="")</f>
        <v>0</v>
      </c>
      <c r="E285">
        <f>B285*(hospitalityq!E285="")</f>
        <v>0</v>
      </c>
      <c r="F285">
        <f>B285*(hospitalityq!F285="")</f>
        <v>0</v>
      </c>
      <c r="G285">
        <f>B285*(hospitalityq!G285="")</f>
        <v>0</v>
      </c>
      <c r="H285">
        <f>B285*(hospitalityq!H285="")</f>
        <v>0</v>
      </c>
      <c r="I285">
        <f>B285*(hospitalityq!I285="")</f>
        <v>0</v>
      </c>
      <c r="J285">
        <f>B285*(hospitalityq!J285="")</f>
        <v>0</v>
      </c>
      <c r="K285">
        <f>B285*(hospitalityq!K285="")</f>
        <v>0</v>
      </c>
      <c r="L285">
        <f>B285*(hospitalityq!L285="")</f>
        <v>0</v>
      </c>
      <c r="M285">
        <f>B285*(hospitalityq!M285="")</f>
        <v>0</v>
      </c>
      <c r="N285">
        <f>B285*(hospitalityq!N285="")</f>
        <v>0</v>
      </c>
      <c r="O285">
        <f>B285*(hospitalityq!O285="")</f>
        <v>0</v>
      </c>
      <c r="P285">
        <f>B285*(hospitalityq!P285="")</f>
        <v>0</v>
      </c>
      <c r="Q285">
        <f>B285*(hospitalityq!Q285="")</f>
        <v>0</v>
      </c>
      <c r="R285">
        <f>B285*(hospitalityq!R285="")</f>
        <v>0</v>
      </c>
    </row>
    <row r="286" spans="1:18" x14ac:dyDescent="0.25">
      <c r="A286">
        <f t="shared" si="5"/>
        <v>0</v>
      </c>
      <c r="B286" t="b">
        <f>SUMPRODUCT(LEN(hospitalityq!C286:R286))&gt;0</f>
        <v>0</v>
      </c>
      <c r="C286">
        <f>B286*(hospitalityq!C286="")</f>
        <v>0</v>
      </c>
      <c r="E286">
        <f>B286*(hospitalityq!E286="")</f>
        <v>0</v>
      </c>
      <c r="F286">
        <f>B286*(hospitalityq!F286="")</f>
        <v>0</v>
      </c>
      <c r="G286">
        <f>B286*(hospitalityq!G286="")</f>
        <v>0</v>
      </c>
      <c r="H286">
        <f>B286*(hospitalityq!H286="")</f>
        <v>0</v>
      </c>
      <c r="I286">
        <f>B286*(hospitalityq!I286="")</f>
        <v>0</v>
      </c>
      <c r="J286">
        <f>B286*(hospitalityq!J286="")</f>
        <v>0</v>
      </c>
      <c r="K286">
        <f>B286*(hospitalityq!K286="")</f>
        <v>0</v>
      </c>
      <c r="L286">
        <f>B286*(hospitalityq!L286="")</f>
        <v>0</v>
      </c>
      <c r="M286">
        <f>B286*(hospitalityq!M286="")</f>
        <v>0</v>
      </c>
      <c r="N286">
        <f>B286*(hospitalityq!N286="")</f>
        <v>0</v>
      </c>
      <c r="O286">
        <f>B286*(hospitalityq!O286="")</f>
        <v>0</v>
      </c>
      <c r="P286">
        <f>B286*(hospitalityq!P286="")</f>
        <v>0</v>
      </c>
      <c r="Q286">
        <f>B286*(hospitalityq!Q286="")</f>
        <v>0</v>
      </c>
      <c r="R286">
        <f>B286*(hospitalityq!R286="")</f>
        <v>0</v>
      </c>
    </row>
    <row r="287" spans="1:18" x14ac:dyDescent="0.25">
      <c r="A287">
        <f t="shared" si="5"/>
        <v>0</v>
      </c>
      <c r="B287" t="b">
        <f>SUMPRODUCT(LEN(hospitalityq!C287:R287))&gt;0</f>
        <v>0</v>
      </c>
      <c r="C287">
        <f>B287*(hospitalityq!C287="")</f>
        <v>0</v>
      </c>
      <c r="E287">
        <f>B287*(hospitalityq!E287="")</f>
        <v>0</v>
      </c>
      <c r="F287">
        <f>B287*(hospitalityq!F287="")</f>
        <v>0</v>
      </c>
      <c r="G287">
        <f>B287*(hospitalityq!G287="")</f>
        <v>0</v>
      </c>
      <c r="H287">
        <f>B287*(hospitalityq!H287="")</f>
        <v>0</v>
      </c>
      <c r="I287">
        <f>B287*(hospitalityq!I287="")</f>
        <v>0</v>
      </c>
      <c r="J287">
        <f>B287*(hospitalityq!J287="")</f>
        <v>0</v>
      </c>
      <c r="K287">
        <f>B287*(hospitalityq!K287="")</f>
        <v>0</v>
      </c>
      <c r="L287">
        <f>B287*(hospitalityq!L287="")</f>
        <v>0</v>
      </c>
      <c r="M287">
        <f>B287*(hospitalityq!M287="")</f>
        <v>0</v>
      </c>
      <c r="N287">
        <f>B287*(hospitalityq!N287="")</f>
        <v>0</v>
      </c>
      <c r="O287">
        <f>B287*(hospitalityq!O287="")</f>
        <v>0</v>
      </c>
      <c r="P287">
        <f>B287*(hospitalityq!P287="")</f>
        <v>0</v>
      </c>
      <c r="Q287">
        <f>B287*(hospitalityq!Q287="")</f>
        <v>0</v>
      </c>
      <c r="R287">
        <f>B287*(hospitalityq!R287="")</f>
        <v>0</v>
      </c>
    </row>
    <row r="288" spans="1:18" x14ac:dyDescent="0.25">
      <c r="A288">
        <f t="shared" si="5"/>
        <v>0</v>
      </c>
      <c r="B288" t="b">
        <f>SUMPRODUCT(LEN(hospitalityq!C288:R288))&gt;0</f>
        <v>0</v>
      </c>
      <c r="C288">
        <f>B288*(hospitalityq!C288="")</f>
        <v>0</v>
      </c>
      <c r="E288">
        <f>B288*(hospitalityq!E288="")</f>
        <v>0</v>
      </c>
      <c r="F288">
        <f>B288*(hospitalityq!F288="")</f>
        <v>0</v>
      </c>
      <c r="G288">
        <f>B288*(hospitalityq!G288="")</f>
        <v>0</v>
      </c>
      <c r="H288">
        <f>B288*(hospitalityq!H288="")</f>
        <v>0</v>
      </c>
      <c r="I288">
        <f>B288*(hospitalityq!I288="")</f>
        <v>0</v>
      </c>
      <c r="J288">
        <f>B288*(hospitalityq!J288="")</f>
        <v>0</v>
      </c>
      <c r="K288">
        <f>B288*(hospitalityq!K288="")</f>
        <v>0</v>
      </c>
      <c r="L288">
        <f>B288*(hospitalityq!L288="")</f>
        <v>0</v>
      </c>
      <c r="M288">
        <f>B288*(hospitalityq!M288="")</f>
        <v>0</v>
      </c>
      <c r="N288">
        <f>B288*(hospitalityq!N288="")</f>
        <v>0</v>
      </c>
      <c r="O288">
        <f>B288*(hospitalityq!O288="")</f>
        <v>0</v>
      </c>
      <c r="P288">
        <f>B288*(hospitalityq!P288="")</f>
        <v>0</v>
      </c>
      <c r="Q288">
        <f>B288*(hospitalityq!Q288="")</f>
        <v>0</v>
      </c>
      <c r="R288">
        <f>B288*(hospitalityq!R288="")</f>
        <v>0</v>
      </c>
    </row>
    <row r="289" spans="1:18" x14ac:dyDescent="0.25">
      <c r="A289">
        <f t="shared" si="5"/>
        <v>0</v>
      </c>
      <c r="B289" t="b">
        <f>SUMPRODUCT(LEN(hospitalityq!C289:R289))&gt;0</f>
        <v>0</v>
      </c>
      <c r="C289">
        <f>B289*(hospitalityq!C289="")</f>
        <v>0</v>
      </c>
      <c r="E289">
        <f>B289*(hospitalityq!E289="")</f>
        <v>0</v>
      </c>
      <c r="F289">
        <f>B289*(hospitalityq!F289="")</f>
        <v>0</v>
      </c>
      <c r="G289">
        <f>B289*(hospitalityq!G289="")</f>
        <v>0</v>
      </c>
      <c r="H289">
        <f>B289*(hospitalityq!H289="")</f>
        <v>0</v>
      </c>
      <c r="I289">
        <f>B289*(hospitalityq!I289="")</f>
        <v>0</v>
      </c>
      <c r="J289">
        <f>B289*(hospitalityq!J289="")</f>
        <v>0</v>
      </c>
      <c r="K289">
        <f>B289*(hospitalityq!K289="")</f>
        <v>0</v>
      </c>
      <c r="L289">
        <f>B289*(hospitalityq!L289="")</f>
        <v>0</v>
      </c>
      <c r="M289">
        <f>B289*(hospitalityq!M289="")</f>
        <v>0</v>
      </c>
      <c r="N289">
        <f>B289*(hospitalityq!N289="")</f>
        <v>0</v>
      </c>
      <c r="O289">
        <f>B289*(hospitalityq!O289="")</f>
        <v>0</v>
      </c>
      <c r="P289">
        <f>B289*(hospitalityq!P289="")</f>
        <v>0</v>
      </c>
      <c r="Q289">
        <f>B289*(hospitalityq!Q289="")</f>
        <v>0</v>
      </c>
      <c r="R289">
        <f>B289*(hospitalityq!R289="")</f>
        <v>0</v>
      </c>
    </row>
    <row r="290" spans="1:18" x14ac:dyDescent="0.25">
      <c r="A290">
        <f t="shared" si="5"/>
        <v>0</v>
      </c>
      <c r="B290" t="b">
        <f>SUMPRODUCT(LEN(hospitalityq!C290:R290))&gt;0</f>
        <v>0</v>
      </c>
      <c r="C290">
        <f>B290*(hospitalityq!C290="")</f>
        <v>0</v>
      </c>
      <c r="E290">
        <f>B290*(hospitalityq!E290="")</f>
        <v>0</v>
      </c>
      <c r="F290">
        <f>B290*(hospitalityq!F290="")</f>
        <v>0</v>
      </c>
      <c r="G290">
        <f>B290*(hospitalityq!G290="")</f>
        <v>0</v>
      </c>
      <c r="H290">
        <f>B290*(hospitalityq!H290="")</f>
        <v>0</v>
      </c>
      <c r="I290">
        <f>B290*(hospitalityq!I290="")</f>
        <v>0</v>
      </c>
      <c r="J290">
        <f>B290*(hospitalityq!J290="")</f>
        <v>0</v>
      </c>
      <c r="K290">
        <f>B290*(hospitalityq!K290="")</f>
        <v>0</v>
      </c>
      <c r="L290">
        <f>B290*(hospitalityq!L290="")</f>
        <v>0</v>
      </c>
      <c r="M290">
        <f>B290*(hospitalityq!M290="")</f>
        <v>0</v>
      </c>
      <c r="N290">
        <f>B290*(hospitalityq!N290="")</f>
        <v>0</v>
      </c>
      <c r="O290">
        <f>B290*(hospitalityq!O290="")</f>
        <v>0</v>
      </c>
      <c r="P290">
        <f>B290*(hospitalityq!P290="")</f>
        <v>0</v>
      </c>
      <c r="Q290">
        <f>B290*(hospitalityq!Q290="")</f>
        <v>0</v>
      </c>
      <c r="R290">
        <f>B290*(hospitalityq!R290="")</f>
        <v>0</v>
      </c>
    </row>
    <row r="291" spans="1:18" x14ac:dyDescent="0.25">
      <c r="A291">
        <f t="shared" si="5"/>
        <v>0</v>
      </c>
      <c r="B291" t="b">
        <f>SUMPRODUCT(LEN(hospitalityq!C291:R291))&gt;0</f>
        <v>0</v>
      </c>
      <c r="C291">
        <f>B291*(hospitalityq!C291="")</f>
        <v>0</v>
      </c>
      <c r="E291">
        <f>B291*(hospitalityq!E291="")</f>
        <v>0</v>
      </c>
      <c r="F291">
        <f>B291*(hospitalityq!F291="")</f>
        <v>0</v>
      </c>
      <c r="G291">
        <f>B291*(hospitalityq!G291="")</f>
        <v>0</v>
      </c>
      <c r="H291">
        <f>B291*(hospitalityq!H291="")</f>
        <v>0</v>
      </c>
      <c r="I291">
        <f>B291*(hospitalityq!I291="")</f>
        <v>0</v>
      </c>
      <c r="J291">
        <f>B291*(hospitalityq!J291="")</f>
        <v>0</v>
      </c>
      <c r="K291">
        <f>B291*(hospitalityq!K291="")</f>
        <v>0</v>
      </c>
      <c r="L291">
        <f>B291*(hospitalityq!L291="")</f>
        <v>0</v>
      </c>
      <c r="M291">
        <f>B291*(hospitalityq!M291="")</f>
        <v>0</v>
      </c>
      <c r="N291">
        <f>B291*(hospitalityq!N291="")</f>
        <v>0</v>
      </c>
      <c r="O291">
        <f>B291*(hospitalityq!O291="")</f>
        <v>0</v>
      </c>
      <c r="P291">
        <f>B291*(hospitalityq!P291="")</f>
        <v>0</v>
      </c>
      <c r="Q291">
        <f>B291*(hospitalityq!Q291="")</f>
        <v>0</v>
      </c>
      <c r="R291">
        <f>B291*(hospitalityq!R291="")</f>
        <v>0</v>
      </c>
    </row>
    <row r="292" spans="1:18" x14ac:dyDescent="0.25">
      <c r="A292">
        <f t="shared" si="5"/>
        <v>0</v>
      </c>
      <c r="B292" t="b">
        <f>SUMPRODUCT(LEN(hospitalityq!C292:R292))&gt;0</f>
        <v>0</v>
      </c>
      <c r="C292">
        <f>B292*(hospitalityq!C292="")</f>
        <v>0</v>
      </c>
      <c r="E292">
        <f>B292*(hospitalityq!E292="")</f>
        <v>0</v>
      </c>
      <c r="F292">
        <f>B292*(hospitalityq!F292="")</f>
        <v>0</v>
      </c>
      <c r="G292">
        <f>B292*(hospitalityq!G292="")</f>
        <v>0</v>
      </c>
      <c r="H292">
        <f>B292*(hospitalityq!H292="")</f>
        <v>0</v>
      </c>
      <c r="I292">
        <f>B292*(hospitalityq!I292="")</f>
        <v>0</v>
      </c>
      <c r="J292">
        <f>B292*(hospitalityq!J292="")</f>
        <v>0</v>
      </c>
      <c r="K292">
        <f>B292*(hospitalityq!K292="")</f>
        <v>0</v>
      </c>
      <c r="L292">
        <f>B292*(hospitalityq!L292="")</f>
        <v>0</v>
      </c>
      <c r="M292">
        <f>B292*(hospitalityq!M292="")</f>
        <v>0</v>
      </c>
      <c r="N292">
        <f>B292*(hospitalityq!N292="")</f>
        <v>0</v>
      </c>
      <c r="O292">
        <f>B292*(hospitalityq!O292="")</f>
        <v>0</v>
      </c>
      <c r="P292">
        <f>B292*(hospitalityq!P292="")</f>
        <v>0</v>
      </c>
      <c r="Q292">
        <f>B292*(hospitalityq!Q292="")</f>
        <v>0</v>
      </c>
      <c r="R292">
        <f>B292*(hospitalityq!R292="")</f>
        <v>0</v>
      </c>
    </row>
    <row r="293" spans="1:18" x14ac:dyDescent="0.25">
      <c r="A293">
        <f t="shared" si="5"/>
        <v>0</v>
      </c>
      <c r="B293" t="b">
        <f>SUMPRODUCT(LEN(hospitalityq!C293:R293))&gt;0</f>
        <v>0</v>
      </c>
      <c r="C293">
        <f>B293*(hospitalityq!C293="")</f>
        <v>0</v>
      </c>
      <c r="E293">
        <f>B293*(hospitalityq!E293="")</f>
        <v>0</v>
      </c>
      <c r="F293">
        <f>B293*(hospitalityq!F293="")</f>
        <v>0</v>
      </c>
      <c r="G293">
        <f>B293*(hospitalityq!G293="")</f>
        <v>0</v>
      </c>
      <c r="H293">
        <f>B293*(hospitalityq!H293="")</f>
        <v>0</v>
      </c>
      <c r="I293">
        <f>B293*(hospitalityq!I293="")</f>
        <v>0</v>
      </c>
      <c r="J293">
        <f>B293*(hospitalityq!J293="")</f>
        <v>0</v>
      </c>
      <c r="K293">
        <f>B293*(hospitalityq!K293="")</f>
        <v>0</v>
      </c>
      <c r="L293">
        <f>B293*(hospitalityq!L293="")</f>
        <v>0</v>
      </c>
      <c r="M293">
        <f>B293*(hospitalityq!M293="")</f>
        <v>0</v>
      </c>
      <c r="N293">
        <f>B293*(hospitalityq!N293="")</f>
        <v>0</v>
      </c>
      <c r="O293">
        <f>B293*(hospitalityq!O293="")</f>
        <v>0</v>
      </c>
      <c r="P293">
        <f>B293*(hospitalityq!P293="")</f>
        <v>0</v>
      </c>
      <c r="Q293">
        <f>B293*(hospitalityq!Q293="")</f>
        <v>0</v>
      </c>
      <c r="R293">
        <f>B293*(hospitalityq!R293="")</f>
        <v>0</v>
      </c>
    </row>
    <row r="294" spans="1:18" x14ac:dyDescent="0.25">
      <c r="A294">
        <f t="shared" si="5"/>
        <v>0</v>
      </c>
      <c r="B294" t="b">
        <f>SUMPRODUCT(LEN(hospitalityq!C294:R294))&gt;0</f>
        <v>0</v>
      </c>
      <c r="C294">
        <f>B294*(hospitalityq!C294="")</f>
        <v>0</v>
      </c>
      <c r="E294">
        <f>B294*(hospitalityq!E294="")</f>
        <v>0</v>
      </c>
      <c r="F294">
        <f>B294*(hospitalityq!F294="")</f>
        <v>0</v>
      </c>
      <c r="G294">
        <f>B294*(hospitalityq!G294="")</f>
        <v>0</v>
      </c>
      <c r="H294">
        <f>B294*(hospitalityq!H294="")</f>
        <v>0</v>
      </c>
      <c r="I294">
        <f>B294*(hospitalityq!I294="")</f>
        <v>0</v>
      </c>
      <c r="J294">
        <f>B294*(hospitalityq!J294="")</f>
        <v>0</v>
      </c>
      <c r="K294">
        <f>B294*(hospitalityq!K294="")</f>
        <v>0</v>
      </c>
      <c r="L294">
        <f>B294*(hospitalityq!L294="")</f>
        <v>0</v>
      </c>
      <c r="M294">
        <f>B294*(hospitalityq!M294="")</f>
        <v>0</v>
      </c>
      <c r="N294">
        <f>B294*(hospitalityq!N294="")</f>
        <v>0</v>
      </c>
      <c r="O294">
        <f>B294*(hospitalityq!O294="")</f>
        <v>0</v>
      </c>
      <c r="P294">
        <f>B294*(hospitalityq!P294="")</f>
        <v>0</v>
      </c>
      <c r="Q294">
        <f>B294*(hospitalityq!Q294="")</f>
        <v>0</v>
      </c>
      <c r="R294">
        <f>B294*(hospitalityq!R294="")</f>
        <v>0</v>
      </c>
    </row>
    <row r="295" spans="1:18" x14ac:dyDescent="0.25">
      <c r="A295">
        <f t="shared" si="5"/>
        <v>0</v>
      </c>
      <c r="B295" t="b">
        <f>SUMPRODUCT(LEN(hospitalityq!C295:R295))&gt;0</f>
        <v>0</v>
      </c>
      <c r="C295">
        <f>B295*(hospitalityq!C295="")</f>
        <v>0</v>
      </c>
      <c r="E295">
        <f>B295*(hospitalityq!E295="")</f>
        <v>0</v>
      </c>
      <c r="F295">
        <f>B295*(hospitalityq!F295="")</f>
        <v>0</v>
      </c>
      <c r="G295">
        <f>B295*(hospitalityq!G295="")</f>
        <v>0</v>
      </c>
      <c r="H295">
        <f>B295*(hospitalityq!H295="")</f>
        <v>0</v>
      </c>
      <c r="I295">
        <f>B295*(hospitalityq!I295="")</f>
        <v>0</v>
      </c>
      <c r="J295">
        <f>B295*(hospitalityq!J295="")</f>
        <v>0</v>
      </c>
      <c r="K295">
        <f>B295*(hospitalityq!K295="")</f>
        <v>0</v>
      </c>
      <c r="L295">
        <f>B295*(hospitalityq!L295="")</f>
        <v>0</v>
      </c>
      <c r="M295">
        <f>B295*(hospitalityq!M295="")</f>
        <v>0</v>
      </c>
      <c r="N295">
        <f>B295*(hospitalityq!N295="")</f>
        <v>0</v>
      </c>
      <c r="O295">
        <f>B295*(hospitalityq!O295="")</f>
        <v>0</v>
      </c>
      <c r="P295">
        <f>B295*(hospitalityq!P295="")</f>
        <v>0</v>
      </c>
      <c r="Q295">
        <f>B295*(hospitalityq!Q295="")</f>
        <v>0</v>
      </c>
      <c r="R295">
        <f>B295*(hospitalityq!R295="")</f>
        <v>0</v>
      </c>
    </row>
    <row r="296" spans="1:18" x14ac:dyDescent="0.25">
      <c r="A296">
        <f t="shared" si="5"/>
        <v>0</v>
      </c>
      <c r="B296" t="b">
        <f>SUMPRODUCT(LEN(hospitalityq!C296:R296))&gt;0</f>
        <v>0</v>
      </c>
      <c r="C296">
        <f>B296*(hospitalityq!C296="")</f>
        <v>0</v>
      </c>
      <c r="E296">
        <f>B296*(hospitalityq!E296="")</f>
        <v>0</v>
      </c>
      <c r="F296">
        <f>B296*(hospitalityq!F296="")</f>
        <v>0</v>
      </c>
      <c r="G296">
        <f>B296*(hospitalityq!G296="")</f>
        <v>0</v>
      </c>
      <c r="H296">
        <f>B296*(hospitalityq!H296="")</f>
        <v>0</v>
      </c>
      <c r="I296">
        <f>B296*(hospitalityq!I296="")</f>
        <v>0</v>
      </c>
      <c r="J296">
        <f>B296*(hospitalityq!J296="")</f>
        <v>0</v>
      </c>
      <c r="K296">
        <f>B296*(hospitalityq!K296="")</f>
        <v>0</v>
      </c>
      <c r="L296">
        <f>B296*(hospitalityq!L296="")</f>
        <v>0</v>
      </c>
      <c r="M296">
        <f>B296*(hospitalityq!M296="")</f>
        <v>0</v>
      </c>
      <c r="N296">
        <f>B296*(hospitalityq!N296="")</f>
        <v>0</v>
      </c>
      <c r="O296">
        <f>B296*(hospitalityq!O296="")</f>
        <v>0</v>
      </c>
      <c r="P296">
        <f>B296*(hospitalityq!P296="")</f>
        <v>0</v>
      </c>
      <c r="Q296">
        <f>B296*(hospitalityq!Q296="")</f>
        <v>0</v>
      </c>
      <c r="R296">
        <f>B296*(hospitalityq!R296="")</f>
        <v>0</v>
      </c>
    </row>
    <row r="297" spans="1:18" x14ac:dyDescent="0.25">
      <c r="A297">
        <f t="shared" si="5"/>
        <v>0</v>
      </c>
      <c r="B297" t="b">
        <f>SUMPRODUCT(LEN(hospitalityq!C297:R297))&gt;0</f>
        <v>0</v>
      </c>
      <c r="C297">
        <f>B297*(hospitalityq!C297="")</f>
        <v>0</v>
      </c>
      <c r="E297">
        <f>B297*(hospitalityq!E297="")</f>
        <v>0</v>
      </c>
      <c r="F297">
        <f>B297*(hospitalityq!F297="")</f>
        <v>0</v>
      </c>
      <c r="G297">
        <f>B297*(hospitalityq!G297="")</f>
        <v>0</v>
      </c>
      <c r="H297">
        <f>B297*(hospitalityq!H297="")</f>
        <v>0</v>
      </c>
      <c r="I297">
        <f>B297*(hospitalityq!I297="")</f>
        <v>0</v>
      </c>
      <c r="J297">
        <f>B297*(hospitalityq!J297="")</f>
        <v>0</v>
      </c>
      <c r="K297">
        <f>B297*(hospitalityq!K297="")</f>
        <v>0</v>
      </c>
      <c r="L297">
        <f>B297*(hospitalityq!L297="")</f>
        <v>0</v>
      </c>
      <c r="M297">
        <f>B297*(hospitalityq!M297="")</f>
        <v>0</v>
      </c>
      <c r="N297">
        <f>B297*(hospitalityq!N297="")</f>
        <v>0</v>
      </c>
      <c r="O297">
        <f>B297*(hospitalityq!O297="")</f>
        <v>0</v>
      </c>
      <c r="P297">
        <f>B297*(hospitalityq!P297="")</f>
        <v>0</v>
      </c>
      <c r="Q297">
        <f>B297*(hospitalityq!Q297="")</f>
        <v>0</v>
      </c>
      <c r="R297">
        <f>B297*(hospitalityq!R297="")</f>
        <v>0</v>
      </c>
    </row>
    <row r="298" spans="1:18" x14ac:dyDescent="0.25">
      <c r="A298">
        <f t="shared" si="5"/>
        <v>0</v>
      </c>
      <c r="B298" t="b">
        <f>SUMPRODUCT(LEN(hospitalityq!C298:R298))&gt;0</f>
        <v>0</v>
      </c>
      <c r="C298">
        <f>B298*(hospitalityq!C298="")</f>
        <v>0</v>
      </c>
      <c r="E298">
        <f>B298*(hospitalityq!E298="")</f>
        <v>0</v>
      </c>
      <c r="F298">
        <f>B298*(hospitalityq!F298="")</f>
        <v>0</v>
      </c>
      <c r="G298">
        <f>B298*(hospitalityq!G298="")</f>
        <v>0</v>
      </c>
      <c r="H298">
        <f>B298*(hospitalityq!H298="")</f>
        <v>0</v>
      </c>
      <c r="I298">
        <f>B298*(hospitalityq!I298="")</f>
        <v>0</v>
      </c>
      <c r="J298">
        <f>B298*(hospitalityq!J298="")</f>
        <v>0</v>
      </c>
      <c r="K298">
        <f>B298*(hospitalityq!K298="")</f>
        <v>0</v>
      </c>
      <c r="L298">
        <f>B298*(hospitalityq!L298="")</f>
        <v>0</v>
      </c>
      <c r="M298">
        <f>B298*(hospitalityq!M298="")</f>
        <v>0</v>
      </c>
      <c r="N298">
        <f>B298*(hospitalityq!N298="")</f>
        <v>0</v>
      </c>
      <c r="O298">
        <f>B298*(hospitalityq!O298="")</f>
        <v>0</v>
      </c>
      <c r="P298">
        <f>B298*(hospitalityq!P298="")</f>
        <v>0</v>
      </c>
      <c r="Q298">
        <f>B298*(hospitalityq!Q298="")</f>
        <v>0</v>
      </c>
      <c r="R298">
        <f>B298*(hospitalityq!R298="")</f>
        <v>0</v>
      </c>
    </row>
    <row r="299" spans="1:18" x14ac:dyDescent="0.25">
      <c r="A299">
        <f t="shared" si="5"/>
        <v>0</v>
      </c>
      <c r="B299" t="b">
        <f>SUMPRODUCT(LEN(hospitalityq!C299:R299))&gt;0</f>
        <v>0</v>
      </c>
      <c r="C299">
        <f>B299*(hospitalityq!C299="")</f>
        <v>0</v>
      </c>
      <c r="E299">
        <f>B299*(hospitalityq!E299="")</f>
        <v>0</v>
      </c>
      <c r="F299">
        <f>B299*(hospitalityq!F299="")</f>
        <v>0</v>
      </c>
      <c r="G299">
        <f>B299*(hospitalityq!G299="")</f>
        <v>0</v>
      </c>
      <c r="H299">
        <f>B299*(hospitalityq!H299="")</f>
        <v>0</v>
      </c>
      <c r="I299">
        <f>B299*(hospitalityq!I299="")</f>
        <v>0</v>
      </c>
      <c r="J299">
        <f>B299*(hospitalityq!J299="")</f>
        <v>0</v>
      </c>
      <c r="K299">
        <f>B299*(hospitalityq!K299="")</f>
        <v>0</v>
      </c>
      <c r="L299">
        <f>B299*(hospitalityq!L299="")</f>
        <v>0</v>
      </c>
      <c r="M299">
        <f>B299*(hospitalityq!M299="")</f>
        <v>0</v>
      </c>
      <c r="N299">
        <f>B299*(hospitalityq!N299="")</f>
        <v>0</v>
      </c>
      <c r="O299">
        <f>B299*(hospitalityq!O299="")</f>
        <v>0</v>
      </c>
      <c r="P299">
        <f>B299*(hospitalityq!P299="")</f>
        <v>0</v>
      </c>
      <c r="Q299">
        <f>B299*(hospitalityq!Q299="")</f>
        <v>0</v>
      </c>
      <c r="R299">
        <f>B299*(hospitalityq!R299="")</f>
        <v>0</v>
      </c>
    </row>
    <row r="300" spans="1:18" x14ac:dyDescent="0.25">
      <c r="A300">
        <f t="shared" si="5"/>
        <v>0</v>
      </c>
      <c r="B300" t="b">
        <f>SUMPRODUCT(LEN(hospitalityq!C300:R300))&gt;0</f>
        <v>0</v>
      </c>
      <c r="C300">
        <f>B300*(hospitalityq!C300="")</f>
        <v>0</v>
      </c>
      <c r="E300">
        <f>B300*(hospitalityq!E300="")</f>
        <v>0</v>
      </c>
      <c r="F300">
        <f>B300*(hospitalityq!F300="")</f>
        <v>0</v>
      </c>
      <c r="G300">
        <f>B300*(hospitalityq!G300="")</f>
        <v>0</v>
      </c>
      <c r="H300">
        <f>B300*(hospitalityq!H300="")</f>
        <v>0</v>
      </c>
      <c r="I300">
        <f>B300*(hospitalityq!I300="")</f>
        <v>0</v>
      </c>
      <c r="J300">
        <f>B300*(hospitalityq!J300="")</f>
        <v>0</v>
      </c>
      <c r="K300">
        <f>B300*(hospitalityq!K300="")</f>
        <v>0</v>
      </c>
      <c r="L300">
        <f>B300*(hospitalityq!L300="")</f>
        <v>0</v>
      </c>
      <c r="M300">
        <f>B300*(hospitalityq!M300="")</f>
        <v>0</v>
      </c>
      <c r="N300">
        <f>B300*(hospitalityq!N300="")</f>
        <v>0</v>
      </c>
      <c r="O300">
        <f>B300*(hospitalityq!O300="")</f>
        <v>0</v>
      </c>
      <c r="P300">
        <f>B300*(hospitalityq!P300="")</f>
        <v>0</v>
      </c>
      <c r="Q300">
        <f>B300*(hospitalityq!Q300="")</f>
        <v>0</v>
      </c>
      <c r="R300">
        <f>B300*(hospitalityq!R300="")</f>
        <v>0</v>
      </c>
    </row>
    <row r="301" spans="1:18" x14ac:dyDescent="0.25">
      <c r="A301">
        <f t="shared" si="5"/>
        <v>0</v>
      </c>
      <c r="B301" t="b">
        <f>SUMPRODUCT(LEN(hospitalityq!C301:R301))&gt;0</f>
        <v>0</v>
      </c>
      <c r="C301">
        <f>B301*(hospitalityq!C301="")</f>
        <v>0</v>
      </c>
      <c r="E301">
        <f>B301*(hospitalityq!E301="")</f>
        <v>0</v>
      </c>
      <c r="F301">
        <f>B301*(hospitalityq!F301="")</f>
        <v>0</v>
      </c>
      <c r="G301">
        <f>B301*(hospitalityq!G301="")</f>
        <v>0</v>
      </c>
      <c r="H301">
        <f>B301*(hospitalityq!H301="")</f>
        <v>0</v>
      </c>
      <c r="I301">
        <f>B301*(hospitalityq!I301="")</f>
        <v>0</v>
      </c>
      <c r="J301">
        <f>B301*(hospitalityq!J301="")</f>
        <v>0</v>
      </c>
      <c r="K301">
        <f>B301*(hospitalityq!K301="")</f>
        <v>0</v>
      </c>
      <c r="L301">
        <f>B301*(hospitalityq!L301="")</f>
        <v>0</v>
      </c>
      <c r="M301">
        <f>B301*(hospitalityq!M301="")</f>
        <v>0</v>
      </c>
      <c r="N301">
        <f>B301*(hospitalityq!N301="")</f>
        <v>0</v>
      </c>
      <c r="O301">
        <f>B301*(hospitalityq!O301="")</f>
        <v>0</v>
      </c>
      <c r="P301">
        <f>B301*(hospitalityq!P301="")</f>
        <v>0</v>
      </c>
      <c r="Q301">
        <f>B301*(hospitalityq!Q301="")</f>
        <v>0</v>
      </c>
      <c r="R301">
        <f>B301*(hospitalityq!R301="")</f>
        <v>0</v>
      </c>
    </row>
    <row r="302" spans="1:18" x14ac:dyDescent="0.25">
      <c r="A302">
        <f t="shared" si="5"/>
        <v>0</v>
      </c>
      <c r="B302" t="b">
        <f>SUMPRODUCT(LEN(hospitalityq!C302:R302))&gt;0</f>
        <v>0</v>
      </c>
      <c r="C302">
        <f>B302*(hospitalityq!C302="")</f>
        <v>0</v>
      </c>
      <c r="E302">
        <f>B302*(hospitalityq!E302="")</f>
        <v>0</v>
      </c>
      <c r="F302">
        <f>B302*(hospitalityq!F302="")</f>
        <v>0</v>
      </c>
      <c r="G302">
        <f>B302*(hospitalityq!G302="")</f>
        <v>0</v>
      </c>
      <c r="H302">
        <f>B302*(hospitalityq!H302="")</f>
        <v>0</v>
      </c>
      <c r="I302">
        <f>B302*(hospitalityq!I302="")</f>
        <v>0</v>
      </c>
      <c r="J302">
        <f>B302*(hospitalityq!J302="")</f>
        <v>0</v>
      </c>
      <c r="K302">
        <f>B302*(hospitalityq!K302="")</f>
        <v>0</v>
      </c>
      <c r="L302">
        <f>B302*(hospitalityq!L302="")</f>
        <v>0</v>
      </c>
      <c r="M302">
        <f>B302*(hospitalityq!M302="")</f>
        <v>0</v>
      </c>
      <c r="N302">
        <f>B302*(hospitalityq!N302="")</f>
        <v>0</v>
      </c>
      <c r="O302">
        <f>B302*(hospitalityq!O302="")</f>
        <v>0</v>
      </c>
      <c r="P302">
        <f>B302*(hospitalityq!P302="")</f>
        <v>0</v>
      </c>
      <c r="Q302">
        <f>B302*(hospitalityq!Q302="")</f>
        <v>0</v>
      </c>
      <c r="R302">
        <f>B302*(hospitalityq!R302="")</f>
        <v>0</v>
      </c>
    </row>
    <row r="303" spans="1:18" x14ac:dyDescent="0.25">
      <c r="A303">
        <f t="shared" si="5"/>
        <v>0</v>
      </c>
      <c r="B303" t="b">
        <f>SUMPRODUCT(LEN(hospitalityq!C303:R303))&gt;0</f>
        <v>0</v>
      </c>
      <c r="C303">
        <f>B303*(hospitalityq!C303="")</f>
        <v>0</v>
      </c>
      <c r="E303">
        <f>B303*(hospitalityq!E303="")</f>
        <v>0</v>
      </c>
      <c r="F303">
        <f>B303*(hospitalityq!F303="")</f>
        <v>0</v>
      </c>
      <c r="G303">
        <f>B303*(hospitalityq!G303="")</f>
        <v>0</v>
      </c>
      <c r="H303">
        <f>B303*(hospitalityq!H303="")</f>
        <v>0</v>
      </c>
      <c r="I303">
        <f>B303*(hospitalityq!I303="")</f>
        <v>0</v>
      </c>
      <c r="J303">
        <f>B303*(hospitalityq!J303="")</f>
        <v>0</v>
      </c>
      <c r="K303">
        <f>B303*(hospitalityq!K303="")</f>
        <v>0</v>
      </c>
      <c r="L303">
        <f>B303*(hospitalityq!L303="")</f>
        <v>0</v>
      </c>
      <c r="M303">
        <f>B303*(hospitalityq!M303="")</f>
        <v>0</v>
      </c>
      <c r="N303">
        <f>B303*(hospitalityq!N303="")</f>
        <v>0</v>
      </c>
      <c r="O303">
        <f>B303*(hospitalityq!O303="")</f>
        <v>0</v>
      </c>
      <c r="P303">
        <f>B303*(hospitalityq!P303="")</f>
        <v>0</v>
      </c>
      <c r="Q303">
        <f>B303*(hospitalityq!Q303="")</f>
        <v>0</v>
      </c>
      <c r="R303">
        <f>B303*(hospitalityq!R303="")</f>
        <v>0</v>
      </c>
    </row>
    <row r="304" spans="1:18" x14ac:dyDescent="0.25">
      <c r="A304">
        <f t="shared" si="5"/>
        <v>0</v>
      </c>
      <c r="B304" t="b">
        <f>SUMPRODUCT(LEN(hospitalityq!C304:R304))&gt;0</f>
        <v>0</v>
      </c>
      <c r="C304">
        <f>B304*(hospitalityq!C304="")</f>
        <v>0</v>
      </c>
      <c r="E304">
        <f>B304*(hospitalityq!E304="")</f>
        <v>0</v>
      </c>
      <c r="F304">
        <f>B304*(hospitalityq!F304="")</f>
        <v>0</v>
      </c>
      <c r="G304">
        <f>B304*(hospitalityq!G304="")</f>
        <v>0</v>
      </c>
      <c r="H304">
        <f>B304*(hospitalityq!H304="")</f>
        <v>0</v>
      </c>
      <c r="I304">
        <f>B304*(hospitalityq!I304="")</f>
        <v>0</v>
      </c>
      <c r="J304">
        <f>B304*(hospitalityq!J304="")</f>
        <v>0</v>
      </c>
      <c r="K304">
        <f>B304*(hospitalityq!K304="")</f>
        <v>0</v>
      </c>
      <c r="L304">
        <f>B304*(hospitalityq!L304="")</f>
        <v>0</v>
      </c>
      <c r="M304">
        <f>B304*(hospitalityq!M304="")</f>
        <v>0</v>
      </c>
      <c r="N304">
        <f>B304*(hospitalityq!N304="")</f>
        <v>0</v>
      </c>
      <c r="O304">
        <f>B304*(hospitalityq!O304="")</f>
        <v>0</v>
      </c>
      <c r="P304">
        <f>B304*(hospitalityq!P304="")</f>
        <v>0</v>
      </c>
      <c r="Q304">
        <f>B304*(hospitalityq!Q304="")</f>
        <v>0</v>
      </c>
      <c r="R304">
        <f>B304*(hospitalityq!R304="")</f>
        <v>0</v>
      </c>
    </row>
    <row r="305" spans="1:18" x14ac:dyDescent="0.25">
      <c r="A305">
        <f t="shared" si="5"/>
        <v>0</v>
      </c>
      <c r="B305" t="b">
        <f>SUMPRODUCT(LEN(hospitalityq!C305:R305))&gt;0</f>
        <v>0</v>
      </c>
      <c r="C305">
        <f>B305*(hospitalityq!C305="")</f>
        <v>0</v>
      </c>
      <c r="E305">
        <f>B305*(hospitalityq!E305="")</f>
        <v>0</v>
      </c>
      <c r="F305">
        <f>B305*(hospitalityq!F305="")</f>
        <v>0</v>
      </c>
      <c r="G305">
        <f>B305*(hospitalityq!G305="")</f>
        <v>0</v>
      </c>
      <c r="H305">
        <f>B305*(hospitalityq!H305="")</f>
        <v>0</v>
      </c>
      <c r="I305">
        <f>B305*(hospitalityq!I305="")</f>
        <v>0</v>
      </c>
      <c r="J305">
        <f>B305*(hospitalityq!J305="")</f>
        <v>0</v>
      </c>
      <c r="K305">
        <f>B305*(hospitalityq!K305="")</f>
        <v>0</v>
      </c>
      <c r="L305">
        <f>B305*(hospitalityq!L305="")</f>
        <v>0</v>
      </c>
      <c r="M305">
        <f>B305*(hospitalityq!M305="")</f>
        <v>0</v>
      </c>
      <c r="N305">
        <f>B305*(hospitalityq!N305="")</f>
        <v>0</v>
      </c>
      <c r="O305">
        <f>B305*(hospitalityq!O305="")</f>
        <v>0</v>
      </c>
      <c r="P305">
        <f>B305*(hospitalityq!P305="")</f>
        <v>0</v>
      </c>
      <c r="Q305">
        <f>B305*(hospitalityq!Q305="")</f>
        <v>0</v>
      </c>
      <c r="R305">
        <f>B305*(hospitalityq!R305="")</f>
        <v>0</v>
      </c>
    </row>
    <row r="306" spans="1:18" x14ac:dyDescent="0.25">
      <c r="A306">
        <f t="shared" si="5"/>
        <v>0</v>
      </c>
      <c r="B306" t="b">
        <f>SUMPRODUCT(LEN(hospitalityq!C306:R306))&gt;0</f>
        <v>0</v>
      </c>
      <c r="C306">
        <f>B306*(hospitalityq!C306="")</f>
        <v>0</v>
      </c>
      <c r="E306">
        <f>B306*(hospitalityq!E306="")</f>
        <v>0</v>
      </c>
      <c r="F306">
        <f>B306*(hospitalityq!F306="")</f>
        <v>0</v>
      </c>
      <c r="G306">
        <f>B306*(hospitalityq!G306="")</f>
        <v>0</v>
      </c>
      <c r="H306">
        <f>B306*(hospitalityq!H306="")</f>
        <v>0</v>
      </c>
      <c r="I306">
        <f>B306*(hospitalityq!I306="")</f>
        <v>0</v>
      </c>
      <c r="J306">
        <f>B306*(hospitalityq!J306="")</f>
        <v>0</v>
      </c>
      <c r="K306">
        <f>B306*(hospitalityq!K306="")</f>
        <v>0</v>
      </c>
      <c r="L306">
        <f>B306*(hospitalityq!L306="")</f>
        <v>0</v>
      </c>
      <c r="M306">
        <f>B306*(hospitalityq!M306="")</f>
        <v>0</v>
      </c>
      <c r="N306">
        <f>B306*(hospitalityq!N306="")</f>
        <v>0</v>
      </c>
      <c r="O306">
        <f>B306*(hospitalityq!O306="")</f>
        <v>0</v>
      </c>
      <c r="P306">
        <f>B306*(hospitalityq!P306="")</f>
        <v>0</v>
      </c>
      <c r="Q306">
        <f>B306*(hospitalityq!Q306="")</f>
        <v>0</v>
      </c>
      <c r="R306">
        <f>B306*(hospitalityq!R306="")</f>
        <v>0</v>
      </c>
    </row>
    <row r="307" spans="1:18" x14ac:dyDescent="0.25">
      <c r="A307">
        <f t="shared" si="5"/>
        <v>0</v>
      </c>
      <c r="B307" t="b">
        <f>SUMPRODUCT(LEN(hospitalityq!C307:R307))&gt;0</f>
        <v>0</v>
      </c>
      <c r="C307">
        <f>B307*(hospitalityq!C307="")</f>
        <v>0</v>
      </c>
      <c r="E307">
        <f>B307*(hospitalityq!E307="")</f>
        <v>0</v>
      </c>
      <c r="F307">
        <f>B307*(hospitalityq!F307="")</f>
        <v>0</v>
      </c>
      <c r="G307">
        <f>B307*(hospitalityq!G307="")</f>
        <v>0</v>
      </c>
      <c r="H307">
        <f>B307*(hospitalityq!H307="")</f>
        <v>0</v>
      </c>
      <c r="I307">
        <f>B307*(hospitalityq!I307="")</f>
        <v>0</v>
      </c>
      <c r="J307">
        <f>B307*(hospitalityq!J307="")</f>
        <v>0</v>
      </c>
      <c r="K307">
        <f>B307*(hospitalityq!K307="")</f>
        <v>0</v>
      </c>
      <c r="L307">
        <f>B307*(hospitalityq!L307="")</f>
        <v>0</v>
      </c>
      <c r="M307">
        <f>B307*(hospitalityq!M307="")</f>
        <v>0</v>
      </c>
      <c r="N307">
        <f>B307*(hospitalityq!N307="")</f>
        <v>0</v>
      </c>
      <c r="O307">
        <f>B307*(hospitalityq!O307="")</f>
        <v>0</v>
      </c>
      <c r="P307">
        <f>B307*(hospitalityq!P307="")</f>
        <v>0</v>
      </c>
      <c r="Q307">
        <f>B307*(hospitalityq!Q307="")</f>
        <v>0</v>
      </c>
      <c r="R307">
        <f>B307*(hospitalityq!R307="")</f>
        <v>0</v>
      </c>
    </row>
    <row r="308" spans="1:18" x14ac:dyDescent="0.25">
      <c r="A308">
        <f t="shared" si="5"/>
        <v>0</v>
      </c>
      <c r="B308" t="b">
        <f>SUMPRODUCT(LEN(hospitalityq!C308:R308))&gt;0</f>
        <v>0</v>
      </c>
      <c r="C308">
        <f>B308*(hospitalityq!C308="")</f>
        <v>0</v>
      </c>
      <c r="E308">
        <f>B308*(hospitalityq!E308="")</f>
        <v>0</v>
      </c>
      <c r="F308">
        <f>B308*(hospitalityq!F308="")</f>
        <v>0</v>
      </c>
      <c r="G308">
        <f>B308*(hospitalityq!G308="")</f>
        <v>0</v>
      </c>
      <c r="H308">
        <f>B308*(hospitalityq!H308="")</f>
        <v>0</v>
      </c>
      <c r="I308">
        <f>B308*(hospitalityq!I308="")</f>
        <v>0</v>
      </c>
      <c r="J308">
        <f>B308*(hospitalityq!J308="")</f>
        <v>0</v>
      </c>
      <c r="K308">
        <f>B308*(hospitalityq!K308="")</f>
        <v>0</v>
      </c>
      <c r="L308">
        <f>B308*(hospitalityq!L308="")</f>
        <v>0</v>
      </c>
      <c r="M308">
        <f>B308*(hospitalityq!M308="")</f>
        <v>0</v>
      </c>
      <c r="N308">
        <f>B308*(hospitalityq!N308="")</f>
        <v>0</v>
      </c>
      <c r="O308">
        <f>B308*(hospitalityq!O308="")</f>
        <v>0</v>
      </c>
      <c r="P308">
        <f>B308*(hospitalityq!P308="")</f>
        <v>0</v>
      </c>
      <c r="Q308">
        <f>B308*(hospitalityq!Q308="")</f>
        <v>0</v>
      </c>
      <c r="R308">
        <f>B308*(hospitalityq!R308="")</f>
        <v>0</v>
      </c>
    </row>
    <row r="309" spans="1:18" x14ac:dyDescent="0.25">
      <c r="A309">
        <f t="shared" si="5"/>
        <v>0</v>
      </c>
      <c r="B309" t="b">
        <f>SUMPRODUCT(LEN(hospitalityq!C309:R309))&gt;0</f>
        <v>0</v>
      </c>
      <c r="C309">
        <f>B309*(hospitalityq!C309="")</f>
        <v>0</v>
      </c>
      <c r="E309">
        <f>B309*(hospitalityq!E309="")</f>
        <v>0</v>
      </c>
      <c r="F309">
        <f>B309*(hospitalityq!F309="")</f>
        <v>0</v>
      </c>
      <c r="G309">
        <f>B309*(hospitalityq!G309="")</f>
        <v>0</v>
      </c>
      <c r="H309">
        <f>B309*(hospitalityq!H309="")</f>
        <v>0</v>
      </c>
      <c r="I309">
        <f>B309*(hospitalityq!I309="")</f>
        <v>0</v>
      </c>
      <c r="J309">
        <f>B309*(hospitalityq!J309="")</f>
        <v>0</v>
      </c>
      <c r="K309">
        <f>B309*(hospitalityq!K309="")</f>
        <v>0</v>
      </c>
      <c r="L309">
        <f>B309*(hospitalityq!L309="")</f>
        <v>0</v>
      </c>
      <c r="M309">
        <f>B309*(hospitalityq!M309="")</f>
        <v>0</v>
      </c>
      <c r="N309">
        <f>B309*(hospitalityq!N309="")</f>
        <v>0</v>
      </c>
      <c r="O309">
        <f>B309*(hospitalityq!O309="")</f>
        <v>0</v>
      </c>
      <c r="P309">
        <f>B309*(hospitalityq!P309="")</f>
        <v>0</v>
      </c>
      <c r="Q309">
        <f>B309*(hospitalityq!Q309="")</f>
        <v>0</v>
      </c>
      <c r="R309">
        <f>B309*(hospitalityq!R309="")</f>
        <v>0</v>
      </c>
    </row>
    <row r="310" spans="1:18" x14ac:dyDescent="0.25">
      <c r="A310">
        <f t="shared" si="5"/>
        <v>0</v>
      </c>
      <c r="B310" t="b">
        <f>SUMPRODUCT(LEN(hospitalityq!C310:R310))&gt;0</f>
        <v>0</v>
      </c>
      <c r="C310">
        <f>B310*(hospitalityq!C310="")</f>
        <v>0</v>
      </c>
      <c r="E310">
        <f>B310*(hospitalityq!E310="")</f>
        <v>0</v>
      </c>
      <c r="F310">
        <f>B310*(hospitalityq!F310="")</f>
        <v>0</v>
      </c>
      <c r="G310">
        <f>B310*(hospitalityq!G310="")</f>
        <v>0</v>
      </c>
      <c r="H310">
        <f>B310*(hospitalityq!H310="")</f>
        <v>0</v>
      </c>
      <c r="I310">
        <f>B310*(hospitalityq!I310="")</f>
        <v>0</v>
      </c>
      <c r="J310">
        <f>B310*(hospitalityq!J310="")</f>
        <v>0</v>
      </c>
      <c r="K310">
        <f>B310*(hospitalityq!K310="")</f>
        <v>0</v>
      </c>
      <c r="L310">
        <f>B310*(hospitalityq!L310="")</f>
        <v>0</v>
      </c>
      <c r="M310">
        <f>B310*(hospitalityq!M310="")</f>
        <v>0</v>
      </c>
      <c r="N310">
        <f>B310*(hospitalityq!N310="")</f>
        <v>0</v>
      </c>
      <c r="O310">
        <f>B310*(hospitalityq!O310="")</f>
        <v>0</v>
      </c>
      <c r="P310">
        <f>B310*(hospitalityq!P310="")</f>
        <v>0</v>
      </c>
      <c r="Q310">
        <f>B310*(hospitalityq!Q310="")</f>
        <v>0</v>
      </c>
      <c r="R310">
        <f>B310*(hospitalityq!R310="")</f>
        <v>0</v>
      </c>
    </row>
    <row r="311" spans="1:18" x14ac:dyDescent="0.25">
      <c r="A311">
        <f t="shared" si="5"/>
        <v>0</v>
      </c>
      <c r="B311" t="b">
        <f>SUMPRODUCT(LEN(hospitalityq!C311:R311))&gt;0</f>
        <v>0</v>
      </c>
      <c r="C311">
        <f>B311*(hospitalityq!C311="")</f>
        <v>0</v>
      </c>
      <c r="E311">
        <f>B311*(hospitalityq!E311="")</f>
        <v>0</v>
      </c>
      <c r="F311">
        <f>B311*(hospitalityq!F311="")</f>
        <v>0</v>
      </c>
      <c r="G311">
        <f>B311*(hospitalityq!G311="")</f>
        <v>0</v>
      </c>
      <c r="H311">
        <f>B311*(hospitalityq!H311="")</f>
        <v>0</v>
      </c>
      <c r="I311">
        <f>B311*(hospitalityq!I311="")</f>
        <v>0</v>
      </c>
      <c r="J311">
        <f>B311*(hospitalityq!J311="")</f>
        <v>0</v>
      </c>
      <c r="K311">
        <f>B311*(hospitalityq!K311="")</f>
        <v>0</v>
      </c>
      <c r="L311">
        <f>B311*(hospitalityq!L311="")</f>
        <v>0</v>
      </c>
      <c r="M311">
        <f>B311*(hospitalityq!M311="")</f>
        <v>0</v>
      </c>
      <c r="N311">
        <f>B311*(hospitalityq!N311="")</f>
        <v>0</v>
      </c>
      <c r="O311">
        <f>B311*(hospitalityq!O311="")</f>
        <v>0</v>
      </c>
      <c r="P311">
        <f>B311*(hospitalityq!P311="")</f>
        <v>0</v>
      </c>
      <c r="Q311">
        <f>B311*(hospitalityq!Q311="")</f>
        <v>0</v>
      </c>
      <c r="R311">
        <f>B311*(hospitalityq!R311="")</f>
        <v>0</v>
      </c>
    </row>
    <row r="312" spans="1:18" x14ac:dyDescent="0.25">
      <c r="A312">
        <f t="shared" si="5"/>
        <v>0</v>
      </c>
      <c r="B312" t="b">
        <f>SUMPRODUCT(LEN(hospitalityq!C312:R312))&gt;0</f>
        <v>0</v>
      </c>
      <c r="C312">
        <f>B312*(hospitalityq!C312="")</f>
        <v>0</v>
      </c>
      <c r="E312">
        <f>B312*(hospitalityq!E312="")</f>
        <v>0</v>
      </c>
      <c r="F312">
        <f>B312*(hospitalityq!F312="")</f>
        <v>0</v>
      </c>
      <c r="G312">
        <f>B312*(hospitalityq!G312="")</f>
        <v>0</v>
      </c>
      <c r="H312">
        <f>B312*(hospitalityq!H312="")</f>
        <v>0</v>
      </c>
      <c r="I312">
        <f>B312*(hospitalityq!I312="")</f>
        <v>0</v>
      </c>
      <c r="J312">
        <f>B312*(hospitalityq!J312="")</f>
        <v>0</v>
      </c>
      <c r="K312">
        <f>B312*(hospitalityq!K312="")</f>
        <v>0</v>
      </c>
      <c r="L312">
        <f>B312*(hospitalityq!L312="")</f>
        <v>0</v>
      </c>
      <c r="M312">
        <f>B312*(hospitalityq!M312="")</f>
        <v>0</v>
      </c>
      <c r="N312">
        <f>B312*(hospitalityq!N312="")</f>
        <v>0</v>
      </c>
      <c r="O312">
        <f>B312*(hospitalityq!O312="")</f>
        <v>0</v>
      </c>
      <c r="P312">
        <f>B312*(hospitalityq!P312="")</f>
        <v>0</v>
      </c>
      <c r="Q312">
        <f>B312*(hospitalityq!Q312="")</f>
        <v>0</v>
      </c>
      <c r="R312">
        <f>B312*(hospitalityq!R312="")</f>
        <v>0</v>
      </c>
    </row>
    <row r="313" spans="1:18" x14ac:dyDescent="0.25">
      <c r="A313">
        <f t="shared" si="5"/>
        <v>0</v>
      </c>
      <c r="B313" t="b">
        <f>SUMPRODUCT(LEN(hospitalityq!C313:R313))&gt;0</f>
        <v>0</v>
      </c>
      <c r="C313">
        <f>B313*(hospitalityq!C313="")</f>
        <v>0</v>
      </c>
      <c r="E313">
        <f>B313*(hospitalityq!E313="")</f>
        <v>0</v>
      </c>
      <c r="F313">
        <f>B313*(hospitalityq!F313="")</f>
        <v>0</v>
      </c>
      <c r="G313">
        <f>B313*(hospitalityq!G313="")</f>
        <v>0</v>
      </c>
      <c r="H313">
        <f>B313*(hospitalityq!H313="")</f>
        <v>0</v>
      </c>
      <c r="I313">
        <f>B313*(hospitalityq!I313="")</f>
        <v>0</v>
      </c>
      <c r="J313">
        <f>B313*(hospitalityq!J313="")</f>
        <v>0</v>
      </c>
      <c r="K313">
        <f>B313*(hospitalityq!K313="")</f>
        <v>0</v>
      </c>
      <c r="L313">
        <f>B313*(hospitalityq!L313="")</f>
        <v>0</v>
      </c>
      <c r="M313">
        <f>B313*(hospitalityq!M313="")</f>
        <v>0</v>
      </c>
      <c r="N313">
        <f>B313*(hospitalityq!N313="")</f>
        <v>0</v>
      </c>
      <c r="O313">
        <f>B313*(hospitalityq!O313="")</f>
        <v>0</v>
      </c>
      <c r="P313">
        <f>B313*(hospitalityq!P313="")</f>
        <v>0</v>
      </c>
      <c r="Q313">
        <f>B313*(hospitalityq!Q313="")</f>
        <v>0</v>
      </c>
      <c r="R313">
        <f>B313*(hospitalityq!R313="")</f>
        <v>0</v>
      </c>
    </row>
    <row r="314" spans="1:18" x14ac:dyDescent="0.25">
      <c r="A314">
        <f t="shared" si="5"/>
        <v>0</v>
      </c>
      <c r="B314" t="b">
        <f>SUMPRODUCT(LEN(hospitalityq!C314:R314))&gt;0</f>
        <v>0</v>
      </c>
      <c r="C314">
        <f>B314*(hospitalityq!C314="")</f>
        <v>0</v>
      </c>
      <c r="E314">
        <f>B314*(hospitalityq!E314="")</f>
        <v>0</v>
      </c>
      <c r="F314">
        <f>B314*(hospitalityq!F314="")</f>
        <v>0</v>
      </c>
      <c r="G314">
        <f>B314*(hospitalityq!G314="")</f>
        <v>0</v>
      </c>
      <c r="H314">
        <f>B314*(hospitalityq!H314="")</f>
        <v>0</v>
      </c>
      <c r="I314">
        <f>B314*(hospitalityq!I314="")</f>
        <v>0</v>
      </c>
      <c r="J314">
        <f>B314*(hospitalityq!J314="")</f>
        <v>0</v>
      </c>
      <c r="K314">
        <f>B314*(hospitalityq!K314="")</f>
        <v>0</v>
      </c>
      <c r="L314">
        <f>B314*(hospitalityq!L314="")</f>
        <v>0</v>
      </c>
      <c r="M314">
        <f>B314*(hospitalityq!M314="")</f>
        <v>0</v>
      </c>
      <c r="N314">
        <f>B314*(hospitalityq!N314="")</f>
        <v>0</v>
      </c>
      <c r="O314">
        <f>B314*(hospitalityq!O314="")</f>
        <v>0</v>
      </c>
      <c r="P314">
        <f>B314*(hospitalityq!P314="")</f>
        <v>0</v>
      </c>
      <c r="Q314">
        <f>B314*(hospitalityq!Q314="")</f>
        <v>0</v>
      </c>
      <c r="R314">
        <f>B314*(hospitalityq!R314="")</f>
        <v>0</v>
      </c>
    </row>
    <row r="315" spans="1:18" x14ac:dyDescent="0.25">
      <c r="A315">
        <f t="shared" si="5"/>
        <v>0</v>
      </c>
      <c r="B315" t="b">
        <f>SUMPRODUCT(LEN(hospitalityq!C315:R315))&gt;0</f>
        <v>0</v>
      </c>
      <c r="C315">
        <f>B315*(hospitalityq!C315="")</f>
        <v>0</v>
      </c>
      <c r="E315">
        <f>B315*(hospitalityq!E315="")</f>
        <v>0</v>
      </c>
      <c r="F315">
        <f>B315*(hospitalityq!F315="")</f>
        <v>0</v>
      </c>
      <c r="G315">
        <f>B315*(hospitalityq!G315="")</f>
        <v>0</v>
      </c>
      <c r="H315">
        <f>B315*(hospitalityq!H315="")</f>
        <v>0</v>
      </c>
      <c r="I315">
        <f>B315*(hospitalityq!I315="")</f>
        <v>0</v>
      </c>
      <c r="J315">
        <f>B315*(hospitalityq!J315="")</f>
        <v>0</v>
      </c>
      <c r="K315">
        <f>B315*(hospitalityq!K315="")</f>
        <v>0</v>
      </c>
      <c r="L315">
        <f>B315*(hospitalityq!L315="")</f>
        <v>0</v>
      </c>
      <c r="M315">
        <f>B315*(hospitalityq!M315="")</f>
        <v>0</v>
      </c>
      <c r="N315">
        <f>B315*(hospitalityq!N315="")</f>
        <v>0</v>
      </c>
      <c r="O315">
        <f>B315*(hospitalityq!O315="")</f>
        <v>0</v>
      </c>
      <c r="P315">
        <f>B315*(hospitalityq!P315="")</f>
        <v>0</v>
      </c>
      <c r="Q315">
        <f>B315*(hospitalityq!Q315="")</f>
        <v>0</v>
      </c>
      <c r="R315">
        <f>B315*(hospitalityq!R315="")</f>
        <v>0</v>
      </c>
    </row>
    <row r="316" spans="1:18" x14ac:dyDescent="0.25">
      <c r="A316">
        <f t="shared" si="5"/>
        <v>0</v>
      </c>
      <c r="B316" t="b">
        <f>SUMPRODUCT(LEN(hospitalityq!C316:R316))&gt;0</f>
        <v>0</v>
      </c>
      <c r="C316">
        <f>B316*(hospitalityq!C316="")</f>
        <v>0</v>
      </c>
      <c r="E316">
        <f>B316*(hospitalityq!E316="")</f>
        <v>0</v>
      </c>
      <c r="F316">
        <f>B316*(hospitalityq!F316="")</f>
        <v>0</v>
      </c>
      <c r="G316">
        <f>B316*(hospitalityq!G316="")</f>
        <v>0</v>
      </c>
      <c r="H316">
        <f>B316*(hospitalityq!H316="")</f>
        <v>0</v>
      </c>
      <c r="I316">
        <f>B316*(hospitalityq!I316="")</f>
        <v>0</v>
      </c>
      <c r="J316">
        <f>B316*(hospitalityq!J316="")</f>
        <v>0</v>
      </c>
      <c r="K316">
        <f>B316*(hospitalityq!K316="")</f>
        <v>0</v>
      </c>
      <c r="L316">
        <f>B316*(hospitalityq!L316="")</f>
        <v>0</v>
      </c>
      <c r="M316">
        <f>B316*(hospitalityq!M316="")</f>
        <v>0</v>
      </c>
      <c r="N316">
        <f>B316*(hospitalityq!N316="")</f>
        <v>0</v>
      </c>
      <c r="O316">
        <f>B316*(hospitalityq!O316="")</f>
        <v>0</v>
      </c>
      <c r="P316">
        <f>B316*(hospitalityq!P316="")</f>
        <v>0</v>
      </c>
      <c r="Q316">
        <f>B316*(hospitalityq!Q316="")</f>
        <v>0</v>
      </c>
      <c r="R316">
        <f>B316*(hospitalityq!R316="")</f>
        <v>0</v>
      </c>
    </row>
    <row r="317" spans="1:18" x14ac:dyDescent="0.25">
      <c r="A317">
        <f t="shared" si="5"/>
        <v>0</v>
      </c>
      <c r="B317" t="b">
        <f>SUMPRODUCT(LEN(hospitalityq!C317:R317))&gt;0</f>
        <v>0</v>
      </c>
      <c r="C317">
        <f>B317*(hospitalityq!C317="")</f>
        <v>0</v>
      </c>
      <c r="E317">
        <f>B317*(hospitalityq!E317="")</f>
        <v>0</v>
      </c>
      <c r="F317">
        <f>B317*(hospitalityq!F317="")</f>
        <v>0</v>
      </c>
      <c r="G317">
        <f>B317*(hospitalityq!G317="")</f>
        <v>0</v>
      </c>
      <c r="H317">
        <f>B317*(hospitalityq!H317="")</f>
        <v>0</v>
      </c>
      <c r="I317">
        <f>B317*(hospitalityq!I317="")</f>
        <v>0</v>
      </c>
      <c r="J317">
        <f>B317*(hospitalityq!J317="")</f>
        <v>0</v>
      </c>
      <c r="K317">
        <f>B317*(hospitalityq!K317="")</f>
        <v>0</v>
      </c>
      <c r="L317">
        <f>B317*(hospitalityq!L317="")</f>
        <v>0</v>
      </c>
      <c r="M317">
        <f>B317*(hospitalityq!M317="")</f>
        <v>0</v>
      </c>
      <c r="N317">
        <f>B317*(hospitalityq!N317="")</f>
        <v>0</v>
      </c>
      <c r="O317">
        <f>B317*(hospitalityq!O317="")</f>
        <v>0</v>
      </c>
      <c r="P317">
        <f>B317*(hospitalityq!P317="")</f>
        <v>0</v>
      </c>
      <c r="Q317">
        <f>B317*(hospitalityq!Q317="")</f>
        <v>0</v>
      </c>
      <c r="R317">
        <f>B317*(hospitalityq!R317="")</f>
        <v>0</v>
      </c>
    </row>
    <row r="318" spans="1:18" x14ac:dyDescent="0.25">
      <c r="A318">
        <f t="shared" si="5"/>
        <v>0</v>
      </c>
      <c r="B318" t="b">
        <f>SUMPRODUCT(LEN(hospitalityq!C318:R318))&gt;0</f>
        <v>0</v>
      </c>
      <c r="C318">
        <f>B318*(hospitalityq!C318="")</f>
        <v>0</v>
      </c>
      <c r="E318">
        <f>B318*(hospitalityq!E318="")</f>
        <v>0</v>
      </c>
      <c r="F318">
        <f>B318*(hospitalityq!F318="")</f>
        <v>0</v>
      </c>
      <c r="G318">
        <f>B318*(hospitalityq!G318="")</f>
        <v>0</v>
      </c>
      <c r="H318">
        <f>B318*(hospitalityq!H318="")</f>
        <v>0</v>
      </c>
      <c r="I318">
        <f>B318*(hospitalityq!I318="")</f>
        <v>0</v>
      </c>
      <c r="J318">
        <f>B318*(hospitalityq!J318="")</f>
        <v>0</v>
      </c>
      <c r="K318">
        <f>B318*(hospitalityq!K318="")</f>
        <v>0</v>
      </c>
      <c r="L318">
        <f>B318*(hospitalityq!L318="")</f>
        <v>0</v>
      </c>
      <c r="M318">
        <f>B318*(hospitalityq!M318="")</f>
        <v>0</v>
      </c>
      <c r="N318">
        <f>B318*(hospitalityq!N318="")</f>
        <v>0</v>
      </c>
      <c r="O318">
        <f>B318*(hospitalityq!O318="")</f>
        <v>0</v>
      </c>
      <c r="P318">
        <f>B318*(hospitalityq!P318="")</f>
        <v>0</v>
      </c>
      <c r="Q318">
        <f>B318*(hospitalityq!Q318="")</f>
        <v>0</v>
      </c>
      <c r="R318">
        <f>B318*(hospitalityq!R318="")</f>
        <v>0</v>
      </c>
    </row>
    <row r="319" spans="1:18" x14ac:dyDescent="0.25">
      <c r="A319">
        <f t="shared" si="5"/>
        <v>0</v>
      </c>
      <c r="B319" t="b">
        <f>SUMPRODUCT(LEN(hospitalityq!C319:R319))&gt;0</f>
        <v>0</v>
      </c>
      <c r="C319">
        <f>B319*(hospitalityq!C319="")</f>
        <v>0</v>
      </c>
      <c r="E319">
        <f>B319*(hospitalityq!E319="")</f>
        <v>0</v>
      </c>
      <c r="F319">
        <f>B319*(hospitalityq!F319="")</f>
        <v>0</v>
      </c>
      <c r="G319">
        <f>B319*(hospitalityq!G319="")</f>
        <v>0</v>
      </c>
      <c r="H319">
        <f>B319*(hospitalityq!H319="")</f>
        <v>0</v>
      </c>
      <c r="I319">
        <f>B319*(hospitalityq!I319="")</f>
        <v>0</v>
      </c>
      <c r="J319">
        <f>B319*(hospitalityq!J319="")</f>
        <v>0</v>
      </c>
      <c r="K319">
        <f>B319*(hospitalityq!K319="")</f>
        <v>0</v>
      </c>
      <c r="L319">
        <f>B319*(hospitalityq!L319="")</f>
        <v>0</v>
      </c>
      <c r="M319">
        <f>B319*(hospitalityq!M319="")</f>
        <v>0</v>
      </c>
      <c r="N319">
        <f>B319*(hospitalityq!N319="")</f>
        <v>0</v>
      </c>
      <c r="O319">
        <f>B319*(hospitalityq!O319="")</f>
        <v>0</v>
      </c>
      <c r="P319">
        <f>B319*(hospitalityq!P319="")</f>
        <v>0</v>
      </c>
      <c r="Q319">
        <f>B319*(hospitalityq!Q319="")</f>
        <v>0</v>
      </c>
      <c r="R319">
        <f>B319*(hospitalityq!R319="")</f>
        <v>0</v>
      </c>
    </row>
    <row r="320" spans="1:18" x14ac:dyDescent="0.25">
      <c r="A320">
        <f t="shared" si="5"/>
        <v>0</v>
      </c>
      <c r="B320" t="b">
        <f>SUMPRODUCT(LEN(hospitalityq!C320:R320))&gt;0</f>
        <v>0</v>
      </c>
      <c r="C320">
        <f>B320*(hospitalityq!C320="")</f>
        <v>0</v>
      </c>
      <c r="E320">
        <f>B320*(hospitalityq!E320="")</f>
        <v>0</v>
      </c>
      <c r="F320">
        <f>B320*(hospitalityq!F320="")</f>
        <v>0</v>
      </c>
      <c r="G320">
        <f>B320*(hospitalityq!G320="")</f>
        <v>0</v>
      </c>
      <c r="H320">
        <f>B320*(hospitalityq!H320="")</f>
        <v>0</v>
      </c>
      <c r="I320">
        <f>B320*(hospitalityq!I320="")</f>
        <v>0</v>
      </c>
      <c r="J320">
        <f>B320*(hospitalityq!J320="")</f>
        <v>0</v>
      </c>
      <c r="K320">
        <f>B320*(hospitalityq!K320="")</f>
        <v>0</v>
      </c>
      <c r="L320">
        <f>B320*(hospitalityq!L320="")</f>
        <v>0</v>
      </c>
      <c r="M320">
        <f>B320*(hospitalityq!M320="")</f>
        <v>0</v>
      </c>
      <c r="N320">
        <f>B320*(hospitalityq!N320="")</f>
        <v>0</v>
      </c>
      <c r="O320">
        <f>B320*(hospitalityq!O320="")</f>
        <v>0</v>
      </c>
      <c r="P320">
        <f>B320*(hospitalityq!P320="")</f>
        <v>0</v>
      </c>
      <c r="Q320">
        <f>B320*(hospitalityq!Q320="")</f>
        <v>0</v>
      </c>
      <c r="R320">
        <f>B320*(hospitalityq!R320="")</f>
        <v>0</v>
      </c>
    </row>
    <row r="321" spans="1:18" x14ac:dyDescent="0.25">
      <c r="A321">
        <f t="shared" si="5"/>
        <v>0</v>
      </c>
      <c r="B321" t="b">
        <f>SUMPRODUCT(LEN(hospitalityq!C321:R321))&gt;0</f>
        <v>0</v>
      </c>
      <c r="C321">
        <f>B321*(hospitalityq!C321="")</f>
        <v>0</v>
      </c>
      <c r="E321">
        <f>B321*(hospitalityq!E321="")</f>
        <v>0</v>
      </c>
      <c r="F321">
        <f>B321*(hospitalityq!F321="")</f>
        <v>0</v>
      </c>
      <c r="G321">
        <f>B321*(hospitalityq!G321="")</f>
        <v>0</v>
      </c>
      <c r="H321">
        <f>B321*(hospitalityq!H321="")</f>
        <v>0</v>
      </c>
      <c r="I321">
        <f>B321*(hospitalityq!I321="")</f>
        <v>0</v>
      </c>
      <c r="J321">
        <f>B321*(hospitalityq!J321="")</f>
        <v>0</v>
      </c>
      <c r="K321">
        <f>B321*(hospitalityq!K321="")</f>
        <v>0</v>
      </c>
      <c r="L321">
        <f>B321*(hospitalityq!L321="")</f>
        <v>0</v>
      </c>
      <c r="M321">
        <f>B321*(hospitalityq!M321="")</f>
        <v>0</v>
      </c>
      <c r="N321">
        <f>B321*(hospitalityq!N321="")</f>
        <v>0</v>
      </c>
      <c r="O321">
        <f>B321*(hospitalityq!O321="")</f>
        <v>0</v>
      </c>
      <c r="P321">
        <f>B321*(hospitalityq!P321="")</f>
        <v>0</v>
      </c>
      <c r="Q321">
        <f>B321*(hospitalityq!Q321="")</f>
        <v>0</v>
      </c>
      <c r="R321">
        <f>B321*(hospitalityq!R321="")</f>
        <v>0</v>
      </c>
    </row>
    <row r="322" spans="1:18" x14ac:dyDescent="0.25">
      <c r="A322">
        <f t="shared" si="5"/>
        <v>0</v>
      </c>
      <c r="B322" t="b">
        <f>SUMPRODUCT(LEN(hospitalityq!C322:R322))&gt;0</f>
        <v>0</v>
      </c>
      <c r="C322">
        <f>B322*(hospitalityq!C322="")</f>
        <v>0</v>
      </c>
      <c r="E322">
        <f>B322*(hospitalityq!E322="")</f>
        <v>0</v>
      </c>
      <c r="F322">
        <f>B322*(hospitalityq!F322="")</f>
        <v>0</v>
      </c>
      <c r="G322">
        <f>B322*(hospitalityq!G322="")</f>
        <v>0</v>
      </c>
      <c r="H322">
        <f>B322*(hospitalityq!H322="")</f>
        <v>0</v>
      </c>
      <c r="I322">
        <f>B322*(hospitalityq!I322="")</f>
        <v>0</v>
      </c>
      <c r="J322">
        <f>B322*(hospitalityq!J322="")</f>
        <v>0</v>
      </c>
      <c r="K322">
        <f>B322*(hospitalityq!K322="")</f>
        <v>0</v>
      </c>
      <c r="L322">
        <f>B322*(hospitalityq!L322="")</f>
        <v>0</v>
      </c>
      <c r="M322">
        <f>B322*(hospitalityq!M322="")</f>
        <v>0</v>
      </c>
      <c r="N322">
        <f>B322*(hospitalityq!N322="")</f>
        <v>0</v>
      </c>
      <c r="O322">
        <f>B322*(hospitalityq!O322="")</f>
        <v>0</v>
      </c>
      <c r="P322">
        <f>B322*(hospitalityq!P322="")</f>
        <v>0</v>
      </c>
      <c r="Q322">
        <f>B322*(hospitalityq!Q322="")</f>
        <v>0</v>
      </c>
      <c r="R322">
        <f>B322*(hospitalityq!R322="")</f>
        <v>0</v>
      </c>
    </row>
    <row r="323" spans="1:18" x14ac:dyDescent="0.25">
      <c r="A323">
        <f t="shared" si="5"/>
        <v>0</v>
      </c>
      <c r="B323" t="b">
        <f>SUMPRODUCT(LEN(hospitalityq!C323:R323))&gt;0</f>
        <v>0</v>
      </c>
      <c r="C323">
        <f>B323*(hospitalityq!C323="")</f>
        <v>0</v>
      </c>
      <c r="E323">
        <f>B323*(hospitalityq!E323="")</f>
        <v>0</v>
      </c>
      <c r="F323">
        <f>B323*(hospitalityq!F323="")</f>
        <v>0</v>
      </c>
      <c r="G323">
        <f>B323*(hospitalityq!G323="")</f>
        <v>0</v>
      </c>
      <c r="H323">
        <f>B323*(hospitalityq!H323="")</f>
        <v>0</v>
      </c>
      <c r="I323">
        <f>B323*(hospitalityq!I323="")</f>
        <v>0</v>
      </c>
      <c r="J323">
        <f>B323*(hospitalityq!J323="")</f>
        <v>0</v>
      </c>
      <c r="K323">
        <f>B323*(hospitalityq!K323="")</f>
        <v>0</v>
      </c>
      <c r="L323">
        <f>B323*(hospitalityq!L323="")</f>
        <v>0</v>
      </c>
      <c r="M323">
        <f>B323*(hospitalityq!M323="")</f>
        <v>0</v>
      </c>
      <c r="N323">
        <f>B323*(hospitalityq!N323="")</f>
        <v>0</v>
      </c>
      <c r="O323">
        <f>B323*(hospitalityq!O323="")</f>
        <v>0</v>
      </c>
      <c r="P323">
        <f>B323*(hospitalityq!P323="")</f>
        <v>0</v>
      </c>
      <c r="Q323">
        <f>B323*(hospitalityq!Q323="")</f>
        <v>0</v>
      </c>
      <c r="R323">
        <f>B323*(hospitalityq!R323="")</f>
        <v>0</v>
      </c>
    </row>
    <row r="324" spans="1:18" x14ac:dyDescent="0.25">
      <c r="A324">
        <f t="shared" si="5"/>
        <v>0</v>
      </c>
      <c r="B324" t="b">
        <f>SUMPRODUCT(LEN(hospitalityq!C324:R324))&gt;0</f>
        <v>0</v>
      </c>
      <c r="C324">
        <f>B324*(hospitalityq!C324="")</f>
        <v>0</v>
      </c>
      <c r="E324">
        <f>B324*(hospitalityq!E324="")</f>
        <v>0</v>
      </c>
      <c r="F324">
        <f>B324*(hospitalityq!F324="")</f>
        <v>0</v>
      </c>
      <c r="G324">
        <f>B324*(hospitalityq!G324="")</f>
        <v>0</v>
      </c>
      <c r="H324">
        <f>B324*(hospitalityq!H324="")</f>
        <v>0</v>
      </c>
      <c r="I324">
        <f>B324*(hospitalityq!I324="")</f>
        <v>0</v>
      </c>
      <c r="J324">
        <f>B324*(hospitalityq!J324="")</f>
        <v>0</v>
      </c>
      <c r="K324">
        <f>B324*(hospitalityq!K324="")</f>
        <v>0</v>
      </c>
      <c r="L324">
        <f>B324*(hospitalityq!L324="")</f>
        <v>0</v>
      </c>
      <c r="M324">
        <f>B324*(hospitalityq!M324="")</f>
        <v>0</v>
      </c>
      <c r="N324">
        <f>B324*(hospitalityq!N324="")</f>
        <v>0</v>
      </c>
      <c r="O324">
        <f>B324*(hospitalityq!O324="")</f>
        <v>0</v>
      </c>
      <c r="P324">
        <f>B324*(hospitalityq!P324="")</f>
        <v>0</v>
      </c>
      <c r="Q324">
        <f>B324*(hospitalityq!Q324="")</f>
        <v>0</v>
      </c>
      <c r="R324">
        <f>B324*(hospitalityq!R324="")</f>
        <v>0</v>
      </c>
    </row>
    <row r="325" spans="1:18" x14ac:dyDescent="0.25">
      <c r="A325">
        <f t="shared" si="5"/>
        <v>0</v>
      </c>
      <c r="B325" t="b">
        <f>SUMPRODUCT(LEN(hospitalityq!C325:R325))&gt;0</f>
        <v>0</v>
      </c>
      <c r="C325">
        <f>B325*(hospitalityq!C325="")</f>
        <v>0</v>
      </c>
      <c r="E325">
        <f>B325*(hospitalityq!E325="")</f>
        <v>0</v>
      </c>
      <c r="F325">
        <f>B325*(hospitalityq!F325="")</f>
        <v>0</v>
      </c>
      <c r="G325">
        <f>B325*(hospitalityq!G325="")</f>
        <v>0</v>
      </c>
      <c r="H325">
        <f>B325*(hospitalityq!H325="")</f>
        <v>0</v>
      </c>
      <c r="I325">
        <f>B325*(hospitalityq!I325="")</f>
        <v>0</v>
      </c>
      <c r="J325">
        <f>B325*(hospitalityq!J325="")</f>
        <v>0</v>
      </c>
      <c r="K325">
        <f>B325*(hospitalityq!K325="")</f>
        <v>0</v>
      </c>
      <c r="L325">
        <f>B325*(hospitalityq!L325="")</f>
        <v>0</v>
      </c>
      <c r="M325">
        <f>B325*(hospitalityq!M325="")</f>
        <v>0</v>
      </c>
      <c r="N325">
        <f>B325*(hospitalityq!N325="")</f>
        <v>0</v>
      </c>
      <c r="O325">
        <f>B325*(hospitalityq!O325="")</f>
        <v>0</v>
      </c>
      <c r="P325">
        <f>B325*(hospitalityq!P325="")</f>
        <v>0</v>
      </c>
      <c r="Q325">
        <f>B325*(hospitalityq!Q325="")</f>
        <v>0</v>
      </c>
      <c r="R325">
        <f>B325*(hospitalityq!R325="")</f>
        <v>0</v>
      </c>
    </row>
    <row r="326" spans="1:18" x14ac:dyDescent="0.25">
      <c r="A326">
        <f t="shared" ref="A326:A389" si="6">IFERROR(MATCH(TRUE,INDEX(C326:R326&lt;&gt;0,),)+2,0)</f>
        <v>0</v>
      </c>
      <c r="B326" t="b">
        <f>SUMPRODUCT(LEN(hospitalityq!C326:R326))&gt;0</f>
        <v>0</v>
      </c>
      <c r="C326">
        <f>B326*(hospitalityq!C326="")</f>
        <v>0</v>
      </c>
      <c r="E326">
        <f>B326*(hospitalityq!E326="")</f>
        <v>0</v>
      </c>
      <c r="F326">
        <f>B326*(hospitalityq!F326="")</f>
        <v>0</v>
      </c>
      <c r="G326">
        <f>B326*(hospitalityq!G326="")</f>
        <v>0</v>
      </c>
      <c r="H326">
        <f>B326*(hospitalityq!H326="")</f>
        <v>0</v>
      </c>
      <c r="I326">
        <f>B326*(hospitalityq!I326="")</f>
        <v>0</v>
      </c>
      <c r="J326">
        <f>B326*(hospitalityq!J326="")</f>
        <v>0</v>
      </c>
      <c r="K326">
        <f>B326*(hospitalityq!K326="")</f>
        <v>0</v>
      </c>
      <c r="L326">
        <f>B326*(hospitalityq!L326="")</f>
        <v>0</v>
      </c>
      <c r="M326">
        <f>B326*(hospitalityq!M326="")</f>
        <v>0</v>
      </c>
      <c r="N326">
        <f>B326*(hospitalityq!N326="")</f>
        <v>0</v>
      </c>
      <c r="O326">
        <f>B326*(hospitalityq!O326="")</f>
        <v>0</v>
      </c>
      <c r="P326">
        <f>B326*(hospitalityq!P326="")</f>
        <v>0</v>
      </c>
      <c r="Q326">
        <f>B326*(hospitalityq!Q326="")</f>
        <v>0</v>
      </c>
      <c r="R326">
        <f>B326*(hospitalityq!R326="")</f>
        <v>0</v>
      </c>
    </row>
    <row r="327" spans="1:18" x14ac:dyDescent="0.25">
      <c r="A327">
        <f t="shared" si="6"/>
        <v>0</v>
      </c>
      <c r="B327" t="b">
        <f>SUMPRODUCT(LEN(hospitalityq!C327:R327))&gt;0</f>
        <v>0</v>
      </c>
      <c r="C327">
        <f>B327*(hospitalityq!C327="")</f>
        <v>0</v>
      </c>
      <c r="E327">
        <f>B327*(hospitalityq!E327="")</f>
        <v>0</v>
      </c>
      <c r="F327">
        <f>B327*(hospitalityq!F327="")</f>
        <v>0</v>
      </c>
      <c r="G327">
        <f>B327*(hospitalityq!G327="")</f>
        <v>0</v>
      </c>
      <c r="H327">
        <f>B327*(hospitalityq!H327="")</f>
        <v>0</v>
      </c>
      <c r="I327">
        <f>B327*(hospitalityq!I327="")</f>
        <v>0</v>
      </c>
      <c r="J327">
        <f>B327*(hospitalityq!J327="")</f>
        <v>0</v>
      </c>
      <c r="K327">
        <f>B327*(hospitalityq!K327="")</f>
        <v>0</v>
      </c>
      <c r="L327">
        <f>B327*(hospitalityq!L327="")</f>
        <v>0</v>
      </c>
      <c r="M327">
        <f>B327*(hospitalityq!M327="")</f>
        <v>0</v>
      </c>
      <c r="N327">
        <f>B327*(hospitalityq!N327="")</f>
        <v>0</v>
      </c>
      <c r="O327">
        <f>B327*(hospitalityq!O327="")</f>
        <v>0</v>
      </c>
      <c r="P327">
        <f>B327*(hospitalityq!P327="")</f>
        <v>0</v>
      </c>
      <c r="Q327">
        <f>B327*(hospitalityq!Q327="")</f>
        <v>0</v>
      </c>
      <c r="R327">
        <f>B327*(hospitalityq!R327="")</f>
        <v>0</v>
      </c>
    </row>
    <row r="328" spans="1:18" x14ac:dyDescent="0.25">
      <c r="A328">
        <f t="shared" si="6"/>
        <v>0</v>
      </c>
      <c r="B328" t="b">
        <f>SUMPRODUCT(LEN(hospitalityq!C328:R328))&gt;0</f>
        <v>0</v>
      </c>
      <c r="C328">
        <f>B328*(hospitalityq!C328="")</f>
        <v>0</v>
      </c>
      <c r="E328">
        <f>B328*(hospitalityq!E328="")</f>
        <v>0</v>
      </c>
      <c r="F328">
        <f>B328*(hospitalityq!F328="")</f>
        <v>0</v>
      </c>
      <c r="G328">
        <f>B328*(hospitalityq!G328="")</f>
        <v>0</v>
      </c>
      <c r="H328">
        <f>B328*(hospitalityq!H328="")</f>
        <v>0</v>
      </c>
      <c r="I328">
        <f>B328*(hospitalityq!I328="")</f>
        <v>0</v>
      </c>
      <c r="J328">
        <f>B328*(hospitalityq!J328="")</f>
        <v>0</v>
      </c>
      <c r="K328">
        <f>B328*(hospitalityq!K328="")</f>
        <v>0</v>
      </c>
      <c r="L328">
        <f>B328*(hospitalityq!L328="")</f>
        <v>0</v>
      </c>
      <c r="M328">
        <f>B328*(hospitalityq!M328="")</f>
        <v>0</v>
      </c>
      <c r="N328">
        <f>B328*(hospitalityq!N328="")</f>
        <v>0</v>
      </c>
      <c r="O328">
        <f>B328*(hospitalityq!O328="")</f>
        <v>0</v>
      </c>
      <c r="P328">
        <f>B328*(hospitalityq!P328="")</f>
        <v>0</v>
      </c>
      <c r="Q328">
        <f>B328*(hospitalityq!Q328="")</f>
        <v>0</v>
      </c>
      <c r="R328">
        <f>B328*(hospitalityq!R328="")</f>
        <v>0</v>
      </c>
    </row>
    <row r="329" spans="1:18" x14ac:dyDescent="0.25">
      <c r="A329">
        <f t="shared" si="6"/>
        <v>0</v>
      </c>
      <c r="B329" t="b">
        <f>SUMPRODUCT(LEN(hospitalityq!C329:R329))&gt;0</f>
        <v>0</v>
      </c>
      <c r="C329">
        <f>B329*(hospitalityq!C329="")</f>
        <v>0</v>
      </c>
      <c r="E329">
        <f>B329*(hospitalityq!E329="")</f>
        <v>0</v>
      </c>
      <c r="F329">
        <f>B329*(hospitalityq!F329="")</f>
        <v>0</v>
      </c>
      <c r="G329">
        <f>B329*(hospitalityq!G329="")</f>
        <v>0</v>
      </c>
      <c r="H329">
        <f>B329*(hospitalityq!H329="")</f>
        <v>0</v>
      </c>
      <c r="I329">
        <f>B329*(hospitalityq!I329="")</f>
        <v>0</v>
      </c>
      <c r="J329">
        <f>B329*(hospitalityq!J329="")</f>
        <v>0</v>
      </c>
      <c r="K329">
        <f>B329*(hospitalityq!K329="")</f>
        <v>0</v>
      </c>
      <c r="L329">
        <f>B329*(hospitalityq!L329="")</f>
        <v>0</v>
      </c>
      <c r="M329">
        <f>B329*(hospitalityq!M329="")</f>
        <v>0</v>
      </c>
      <c r="N329">
        <f>B329*(hospitalityq!N329="")</f>
        <v>0</v>
      </c>
      <c r="O329">
        <f>B329*(hospitalityq!O329="")</f>
        <v>0</v>
      </c>
      <c r="P329">
        <f>B329*(hospitalityq!P329="")</f>
        <v>0</v>
      </c>
      <c r="Q329">
        <f>B329*(hospitalityq!Q329="")</f>
        <v>0</v>
      </c>
      <c r="R329">
        <f>B329*(hospitalityq!R329="")</f>
        <v>0</v>
      </c>
    </row>
    <row r="330" spans="1:18" x14ac:dyDescent="0.25">
      <c r="A330">
        <f t="shared" si="6"/>
        <v>0</v>
      </c>
      <c r="B330" t="b">
        <f>SUMPRODUCT(LEN(hospitalityq!C330:R330))&gt;0</f>
        <v>0</v>
      </c>
      <c r="C330">
        <f>B330*(hospitalityq!C330="")</f>
        <v>0</v>
      </c>
      <c r="E330">
        <f>B330*(hospitalityq!E330="")</f>
        <v>0</v>
      </c>
      <c r="F330">
        <f>B330*(hospitalityq!F330="")</f>
        <v>0</v>
      </c>
      <c r="G330">
        <f>B330*(hospitalityq!G330="")</f>
        <v>0</v>
      </c>
      <c r="H330">
        <f>B330*(hospitalityq!H330="")</f>
        <v>0</v>
      </c>
      <c r="I330">
        <f>B330*(hospitalityq!I330="")</f>
        <v>0</v>
      </c>
      <c r="J330">
        <f>B330*(hospitalityq!J330="")</f>
        <v>0</v>
      </c>
      <c r="K330">
        <f>B330*(hospitalityq!K330="")</f>
        <v>0</v>
      </c>
      <c r="L330">
        <f>B330*(hospitalityq!L330="")</f>
        <v>0</v>
      </c>
      <c r="M330">
        <f>B330*(hospitalityq!M330="")</f>
        <v>0</v>
      </c>
      <c r="N330">
        <f>B330*(hospitalityq!N330="")</f>
        <v>0</v>
      </c>
      <c r="O330">
        <f>B330*(hospitalityq!O330="")</f>
        <v>0</v>
      </c>
      <c r="P330">
        <f>B330*(hospitalityq!P330="")</f>
        <v>0</v>
      </c>
      <c r="Q330">
        <f>B330*(hospitalityq!Q330="")</f>
        <v>0</v>
      </c>
      <c r="R330">
        <f>B330*(hospitalityq!R330="")</f>
        <v>0</v>
      </c>
    </row>
    <row r="331" spans="1:18" x14ac:dyDescent="0.25">
      <c r="A331">
        <f t="shared" si="6"/>
        <v>0</v>
      </c>
      <c r="B331" t="b">
        <f>SUMPRODUCT(LEN(hospitalityq!C331:R331))&gt;0</f>
        <v>0</v>
      </c>
      <c r="C331">
        <f>B331*(hospitalityq!C331="")</f>
        <v>0</v>
      </c>
      <c r="E331">
        <f>B331*(hospitalityq!E331="")</f>
        <v>0</v>
      </c>
      <c r="F331">
        <f>B331*(hospitalityq!F331="")</f>
        <v>0</v>
      </c>
      <c r="G331">
        <f>B331*(hospitalityq!G331="")</f>
        <v>0</v>
      </c>
      <c r="H331">
        <f>B331*(hospitalityq!H331="")</f>
        <v>0</v>
      </c>
      <c r="I331">
        <f>B331*(hospitalityq!I331="")</f>
        <v>0</v>
      </c>
      <c r="J331">
        <f>B331*(hospitalityq!J331="")</f>
        <v>0</v>
      </c>
      <c r="K331">
        <f>B331*(hospitalityq!K331="")</f>
        <v>0</v>
      </c>
      <c r="L331">
        <f>B331*(hospitalityq!L331="")</f>
        <v>0</v>
      </c>
      <c r="M331">
        <f>B331*(hospitalityq!M331="")</f>
        <v>0</v>
      </c>
      <c r="N331">
        <f>B331*(hospitalityq!N331="")</f>
        <v>0</v>
      </c>
      <c r="O331">
        <f>B331*(hospitalityq!O331="")</f>
        <v>0</v>
      </c>
      <c r="P331">
        <f>B331*(hospitalityq!P331="")</f>
        <v>0</v>
      </c>
      <c r="Q331">
        <f>B331*(hospitalityq!Q331="")</f>
        <v>0</v>
      </c>
      <c r="R331">
        <f>B331*(hospitalityq!R331="")</f>
        <v>0</v>
      </c>
    </row>
    <row r="332" spans="1:18" x14ac:dyDescent="0.25">
      <c r="A332">
        <f t="shared" si="6"/>
        <v>0</v>
      </c>
      <c r="B332" t="b">
        <f>SUMPRODUCT(LEN(hospitalityq!C332:R332))&gt;0</f>
        <v>0</v>
      </c>
      <c r="C332">
        <f>B332*(hospitalityq!C332="")</f>
        <v>0</v>
      </c>
      <c r="E332">
        <f>B332*(hospitalityq!E332="")</f>
        <v>0</v>
      </c>
      <c r="F332">
        <f>B332*(hospitalityq!F332="")</f>
        <v>0</v>
      </c>
      <c r="G332">
        <f>B332*(hospitalityq!G332="")</f>
        <v>0</v>
      </c>
      <c r="H332">
        <f>B332*(hospitalityq!H332="")</f>
        <v>0</v>
      </c>
      <c r="I332">
        <f>B332*(hospitalityq!I332="")</f>
        <v>0</v>
      </c>
      <c r="J332">
        <f>B332*(hospitalityq!J332="")</f>
        <v>0</v>
      </c>
      <c r="K332">
        <f>B332*(hospitalityq!K332="")</f>
        <v>0</v>
      </c>
      <c r="L332">
        <f>B332*(hospitalityq!L332="")</f>
        <v>0</v>
      </c>
      <c r="M332">
        <f>B332*(hospitalityq!M332="")</f>
        <v>0</v>
      </c>
      <c r="N332">
        <f>B332*(hospitalityq!N332="")</f>
        <v>0</v>
      </c>
      <c r="O332">
        <f>B332*(hospitalityq!O332="")</f>
        <v>0</v>
      </c>
      <c r="P332">
        <f>B332*(hospitalityq!P332="")</f>
        <v>0</v>
      </c>
      <c r="Q332">
        <f>B332*(hospitalityq!Q332="")</f>
        <v>0</v>
      </c>
      <c r="R332">
        <f>B332*(hospitalityq!R332="")</f>
        <v>0</v>
      </c>
    </row>
    <row r="333" spans="1:18" x14ac:dyDescent="0.25">
      <c r="A333">
        <f t="shared" si="6"/>
        <v>0</v>
      </c>
      <c r="B333" t="b">
        <f>SUMPRODUCT(LEN(hospitalityq!C333:R333))&gt;0</f>
        <v>0</v>
      </c>
      <c r="C333">
        <f>B333*(hospitalityq!C333="")</f>
        <v>0</v>
      </c>
      <c r="E333">
        <f>B333*(hospitalityq!E333="")</f>
        <v>0</v>
      </c>
      <c r="F333">
        <f>B333*(hospitalityq!F333="")</f>
        <v>0</v>
      </c>
      <c r="G333">
        <f>B333*(hospitalityq!G333="")</f>
        <v>0</v>
      </c>
      <c r="H333">
        <f>B333*(hospitalityq!H333="")</f>
        <v>0</v>
      </c>
      <c r="I333">
        <f>B333*(hospitalityq!I333="")</f>
        <v>0</v>
      </c>
      <c r="J333">
        <f>B333*(hospitalityq!J333="")</f>
        <v>0</v>
      </c>
      <c r="K333">
        <f>B333*(hospitalityq!K333="")</f>
        <v>0</v>
      </c>
      <c r="L333">
        <f>B333*(hospitalityq!L333="")</f>
        <v>0</v>
      </c>
      <c r="M333">
        <f>B333*(hospitalityq!M333="")</f>
        <v>0</v>
      </c>
      <c r="N333">
        <f>B333*(hospitalityq!N333="")</f>
        <v>0</v>
      </c>
      <c r="O333">
        <f>B333*(hospitalityq!O333="")</f>
        <v>0</v>
      </c>
      <c r="P333">
        <f>B333*(hospitalityq!P333="")</f>
        <v>0</v>
      </c>
      <c r="Q333">
        <f>B333*(hospitalityq!Q333="")</f>
        <v>0</v>
      </c>
      <c r="R333">
        <f>B333*(hospitalityq!R333="")</f>
        <v>0</v>
      </c>
    </row>
    <row r="334" spans="1:18" x14ac:dyDescent="0.25">
      <c r="A334">
        <f t="shared" si="6"/>
        <v>0</v>
      </c>
      <c r="B334" t="b">
        <f>SUMPRODUCT(LEN(hospitalityq!C334:R334))&gt;0</f>
        <v>0</v>
      </c>
      <c r="C334">
        <f>B334*(hospitalityq!C334="")</f>
        <v>0</v>
      </c>
      <c r="E334">
        <f>B334*(hospitalityq!E334="")</f>
        <v>0</v>
      </c>
      <c r="F334">
        <f>B334*(hospitalityq!F334="")</f>
        <v>0</v>
      </c>
      <c r="G334">
        <f>B334*(hospitalityq!G334="")</f>
        <v>0</v>
      </c>
      <c r="H334">
        <f>B334*(hospitalityq!H334="")</f>
        <v>0</v>
      </c>
      <c r="I334">
        <f>B334*(hospitalityq!I334="")</f>
        <v>0</v>
      </c>
      <c r="J334">
        <f>B334*(hospitalityq!J334="")</f>
        <v>0</v>
      </c>
      <c r="K334">
        <f>B334*(hospitalityq!K334="")</f>
        <v>0</v>
      </c>
      <c r="L334">
        <f>B334*(hospitalityq!L334="")</f>
        <v>0</v>
      </c>
      <c r="M334">
        <f>B334*(hospitalityq!M334="")</f>
        <v>0</v>
      </c>
      <c r="N334">
        <f>B334*(hospitalityq!N334="")</f>
        <v>0</v>
      </c>
      <c r="O334">
        <f>B334*(hospitalityq!O334="")</f>
        <v>0</v>
      </c>
      <c r="P334">
        <f>B334*(hospitalityq!P334="")</f>
        <v>0</v>
      </c>
      <c r="Q334">
        <f>B334*(hospitalityq!Q334="")</f>
        <v>0</v>
      </c>
      <c r="R334">
        <f>B334*(hospitalityq!R334="")</f>
        <v>0</v>
      </c>
    </row>
    <row r="335" spans="1:18" x14ac:dyDescent="0.25">
      <c r="A335">
        <f t="shared" si="6"/>
        <v>0</v>
      </c>
      <c r="B335" t="b">
        <f>SUMPRODUCT(LEN(hospitalityq!C335:R335))&gt;0</f>
        <v>0</v>
      </c>
      <c r="C335">
        <f>B335*(hospitalityq!C335="")</f>
        <v>0</v>
      </c>
      <c r="E335">
        <f>B335*(hospitalityq!E335="")</f>
        <v>0</v>
      </c>
      <c r="F335">
        <f>B335*(hospitalityq!F335="")</f>
        <v>0</v>
      </c>
      <c r="G335">
        <f>B335*(hospitalityq!G335="")</f>
        <v>0</v>
      </c>
      <c r="H335">
        <f>B335*(hospitalityq!H335="")</f>
        <v>0</v>
      </c>
      <c r="I335">
        <f>B335*(hospitalityq!I335="")</f>
        <v>0</v>
      </c>
      <c r="J335">
        <f>B335*(hospitalityq!J335="")</f>
        <v>0</v>
      </c>
      <c r="K335">
        <f>B335*(hospitalityq!K335="")</f>
        <v>0</v>
      </c>
      <c r="L335">
        <f>B335*(hospitalityq!L335="")</f>
        <v>0</v>
      </c>
      <c r="M335">
        <f>B335*(hospitalityq!M335="")</f>
        <v>0</v>
      </c>
      <c r="N335">
        <f>B335*(hospitalityq!N335="")</f>
        <v>0</v>
      </c>
      <c r="O335">
        <f>B335*(hospitalityq!O335="")</f>
        <v>0</v>
      </c>
      <c r="P335">
        <f>B335*(hospitalityq!P335="")</f>
        <v>0</v>
      </c>
      <c r="Q335">
        <f>B335*(hospitalityq!Q335="")</f>
        <v>0</v>
      </c>
      <c r="R335">
        <f>B335*(hospitalityq!R335="")</f>
        <v>0</v>
      </c>
    </row>
    <row r="336" spans="1:18" x14ac:dyDescent="0.25">
      <c r="A336">
        <f t="shared" si="6"/>
        <v>0</v>
      </c>
      <c r="B336" t="b">
        <f>SUMPRODUCT(LEN(hospitalityq!C336:R336))&gt;0</f>
        <v>0</v>
      </c>
      <c r="C336">
        <f>B336*(hospitalityq!C336="")</f>
        <v>0</v>
      </c>
      <c r="E336">
        <f>B336*(hospitalityq!E336="")</f>
        <v>0</v>
      </c>
      <c r="F336">
        <f>B336*(hospitalityq!F336="")</f>
        <v>0</v>
      </c>
      <c r="G336">
        <f>B336*(hospitalityq!G336="")</f>
        <v>0</v>
      </c>
      <c r="H336">
        <f>B336*(hospitalityq!H336="")</f>
        <v>0</v>
      </c>
      <c r="I336">
        <f>B336*(hospitalityq!I336="")</f>
        <v>0</v>
      </c>
      <c r="J336">
        <f>B336*(hospitalityq!J336="")</f>
        <v>0</v>
      </c>
      <c r="K336">
        <f>B336*(hospitalityq!K336="")</f>
        <v>0</v>
      </c>
      <c r="L336">
        <f>B336*(hospitalityq!L336="")</f>
        <v>0</v>
      </c>
      <c r="M336">
        <f>B336*(hospitalityq!M336="")</f>
        <v>0</v>
      </c>
      <c r="N336">
        <f>B336*(hospitalityq!N336="")</f>
        <v>0</v>
      </c>
      <c r="O336">
        <f>B336*(hospitalityq!O336="")</f>
        <v>0</v>
      </c>
      <c r="P336">
        <f>B336*(hospitalityq!P336="")</f>
        <v>0</v>
      </c>
      <c r="Q336">
        <f>B336*(hospitalityq!Q336="")</f>
        <v>0</v>
      </c>
      <c r="R336">
        <f>B336*(hospitalityq!R336="")</f>
        <v>0</v>
      </c>
    </row>
    <row r="337" spans="1:18" x14ac:dyDescent="0.25">
      <c r="A337">
        <f t="shared" si="6"/>
        <v>0</v>
      </c>
      <c r="B337" t="b">
        <f>SUMPRODUCT(LEN(hospitalityq!C337:R337))&gt;0</f>
        <v>0</v>
      </c>
      <c r="C337">
        <f>B337*(hospitalityq!C337="")</f>
        <v>0</v>
      </c>
      <c r="E337">
        <f>B337*(hospitalityq!E337="")</f>
        <v>0</v>
      </c>
      <c r="F337">
        <f>B337*(hospitalityq!F337="")</f>
        <v>0</v>
      </c>
      <c r="G337">
        <f>B337*(hospitalityq!G337="")</f>
        <v>0</v>
      </c>
      <c r="H337">
        <f>B337*(hospitalityq!H337="")</f>
        <v>0</v>
      </c>
      <c r="I337">
        <f>B337*(hospitalityq!I337="")</f>
        <v>0</v>
      </c>
      <c r="J337">
        <f>B337*(hospitalityq!J337="")</f>
        <v>0</v>
      </c>
      <c r="K337">
        <f>B337*(hospitalityq!K337="")</f>
        <v>0</v>
      </c>
      <c r="L337">
        <f>B337*(hospitalityq!L337="")</f>
        <v>0</v>
      </c>
      <c r="M337">
        <f>B337*(hospitalityq!M337="")</f>
        <v>0</v>
      </c>
      <c r="N337">
        <f>B337*(hospitalityq!N337="")</f>
        <v>0</v>
      </c>
      <c r="O337">
        <f>B337*(hospitalityq!O337="")</f>
        <v>0</v>
      </c>
      <c r="P337">
        <f>B337*(hospitalityq!P337="")</f>
        <v>0</v>
      </c>
      <c r="Q337">
        <f>B337*(hospitalityq!Q337="")</f>
        <v>0</v>
      </c>
      <c r="R337">
        <f>B337*(hospitalityq!R337="")</f>
        <v>0</v>
      </c>
    </row>
    <row r="338" spans="1:18" x14ac:dyDescent="0.25">
      <c r="A338">
        <f t="shared" si="6"/>
        <v>0</v>
      </c>
      <c r="B338" t="b">
        <f>SUMPRODUCT(LEN(hospitalityq!C338:R338))&gt;0</f>
        <v>0</v>
      </c>
      <c r="C338">
        <f>B338*(hospitalityq!C338="")</f>
        <v>0</v>
      </c>
      <c r="E338">
        <f>B338*(hospitalityq!E338="")</f>
        <v>0</v>
      </c>
      <c r="F338">
        <f>B338*(hospitalityq!F338="")</f>
        <v>0</v>
      </c>
      <c r="G338">
        <f>B338*(hospitalityq!G338="")</f>
        <v>0</v>
      </c>
      <c r="H338">
        <f>B338*(hospitalityq!H338="")</f>
        <v>0</v>
      </c>
      <c r="I338">
        <f>B338*(hospitalityq!I338="")</f>
        <v>0</v>
      </c>
      <c r="J338">
        <f>B338*(hospitalityq!J338="")</f>
        <v>0</v>
      </c>
      <c r="K338">
        <f>B338*(hospitalityq!K338="")</f>
        <v>0</v>
      </c>
      <c r="L338">
        <f>B338*(hospitalityq!L338="")</f>
        <v>0</v>
      </c>
      <c r="M338">
        <f>B338*(hospitalityq!M338="")</f>
        <v>0</v>
      </c>
      <c r="N338">
        <f>B338*(hospitalityq!N338="")</f>
        <v>0</v>
      </c>
      <c r="O338">
        <f>B338*(hospitalityq!O338="")</f>
        <v>0</v>
      </c>
      <c r="P338">
        <f>B338*(hospitalityq!P338="")</f>
        <v>0</v>
      </c>
      <c r="Q338">
        <f>B338*(hospitalityq!Q338="")</f>
        <v>0</v>
      </c>
      <c r="R338">
        <f>B338*(hospitalityq!R338="")</f>
        <v>0</v>
      </c>
    </row>
    <row r="339" spans="1:18" x14ac:dyDescent="0.25">
      <c r="A339">
        <f t="shared" si="6"/>
        <v>0</v>
      </c>
      <c r="B339" t="b">
        <f>SUMPRODUCT(LEN(hospitalityq!C339:R339))&gt;0</f>
        <v>0</v>
      </c>
      <c r="C339">
        <f>B339*(hospitalityq!C339="")</f>
        <v>0</v>
      </c>
      <c r="E339">
        <f>B339*(hospitalityq!E339="")</f>
        <v>0</v>
      </c>
      <c r="F339">
        <f>B339*(hospitalityq!F339="")</f>
        <v>0</v>
      </c>
      <c r="G339">
        <f>B339*(hospitalityq!G339="")</f>
        <v>0</v>
      </c>
      <c r="H339">
        <f>B339*(hospitalityq!H339="")</f>
        <v>0</v>
      </c>
      <c r="I339">
        <f>B339*(hospitalityq!I339="")</f>
        <v>0</v>
      </c>
      <c r="J339">
        <f>B339*(hospitalityq!J339="")</f>
        <v>0</v>
      </c>
      <c r="K339">
        <f>B339*(hospitalityq!K339="")</f>
        <v>0</v>
      </c>
      <c r="L339">
        <f>B339*(hospitalityq!L339="")</f>
        <v>0</v>
      </c>
      <c r="M339">
        <f>B339*(hospitalityq!M339="")</f>
        <v>0</v>
      </c>
      <c r="N339">
        <f>B339*(hospitalityq!N339="")</f>
        <v>0</v>
      </c>
      <c r="O339">
        <f>B339*(hospitalityq!O339="")</f>
        <v>0</v>
      </c>
      <c r="P339">
        <f>B339*(hospitalityq!P339="")</f>
        <v>0</v>
      </c>
      <c r="Q339">
        <f>B339*(hospitalityq!Q339="")</f>
        <v>0</v>
      </c>
      <c r="R339">
        <f>B339*(hospitalityq!R339="")</f>
        <v>0</v>
      </c>
    </row>
    <row r="340" spans="1:18" x14ac:dyDescent="0.25">
      <c r="A340">
        <f t="shared" si="6"/>
        <v>0</v>
      </c>
      <c r="B340" t="b">
        <f>SUMPRODUCT(LEN(hospitalityq!C340:R340))&gt;0</f>
        <v>0</v>
      </c>
      <c r="C340">
        <f>B340*(hospitalityq!C340="")</f>
        <v>0</v>
      </c>
      <c r="E340">
        <f>B340*(hospitalityq!E340="")</f>
        <v>0</v>
      </c>
      <c r="F340">
        <f>B340*(hospitalityq!F340="")</f>
        <v>0</v>
      </c>
      <c r="G340">
        <f>B340*(hospitalityq!G340="")</f>
        <v>0</v>
      </c>
      <c r="H340">
        <f>B340*(hospitalityq!H340="")</f>
        <v>0</v>
      </c>
      <c r="I340">
        <f>B340*(hospitalityq!I340="")</f>
        <v>0</v>
      </c>
      <c r="J340">
        <f>B340*(hospitalityq!J340="")</f>
        <v>0</v>
      </c>
      <c r="K340">
        <f>B340*(hospitalityq!K340="")</f>
        <v>0</v>
      </c>
      <c r="L340">
        <f>B340*(hospitalityq!L340="")</f>
        <v>0</v>
      </c>
      <c r="M340">
        <f>B340*(hospitalityq!M340="")</f>
        <v>0</v>
      </c>
      <c r="N340">
        <f>B340*(hospitalityq!N340="")</f>
        <v>0</v>
      </c>
      <c r="O340">
        <f>B340*(hospitalityq!O340="")</f>
        <v>0</v>
      </c>
      <c r="P340">
        <f>B340*(hospitalityq!P340="")</f>
        <v>0</v>
      </c>
      <c r="Q340">
        <f>B340*(hospitalityq!Q340="")</f>
        <v>0</v>
      </c>
      <c r="R340">
        <f>B340*(hospitalityq!R340="")</f>
        <v>0</v>
      </c>
    </row>
    <row r="341" spans="1:18" x14ac:dyDescent="0.25">
      <c r="A341">
        <f t="shared" si="6"/>
        <v>0</v>
      </c>
      <c r="B341" t="b">
        <f>SUMPRODUCT(LEN(hospitalityq!C341:R341))&gt;0</f>
        <v>0</v>
      </c>
      <c r="C341">
        <f>B341*(hospitalityq!C341="")</f>
        <v>0</v>
      </c>
      <c r="E341">
        <f>B341*(hospitalityq!E341="")</f>
        <v>0</v>
      </c>
      <c r="F341">
        <f>B341*(hospitalityq!F341="")</f>
        <v>0</v>
      </c>
      <c r="G341">
        <f>B341*(hospitalityq!G341="")</f>
        <v>0</v>
      </c>
      <c r="H341">
        <f>B341*(hospitalityq!H341="")</f>
        <v>0</v>
      </c>
      <c r="I341">
        <f>B341*(hospitalityq!I341="")</f>
        <v>0</v>
      </c>
      <c r="J341">
        <f>B341*(hospitalityq!J341="")</f>
        <v>0</v>
      </c>
      <c r="K341">
        <f>B341*(hospitalityq!K341="")</f>
        <v>0</v>
      </c>
      <c r="L341">
        <f>B341*(hospitalityq!L341="")</f>
        <v>0</v>
      </c>
      <c r="M341">
        <f>B341*(hospitalityq!M341="")</f>
        <v>0</v>
      </c>
      <c r="N341">
        <f>B341*(hospitalityq!N341="")</f>
        <v>0</v>
      </c>
      <c r="O341">
        <f>B341*(hospitalityq!O341="")</f>
        <v>0</v>
      </c>
      <c r="P341">
        <f>B341*(hospitalityq!P341="")</f>
        <v>0</v>
      </c>
      <c r="Q341">
        <f>B341*(hospitalityq!Q341="")</f>
        <v>0</v>
      </c>
      <c r="R341">
        <f>B341*(hospitalityq!R341="")</f>
        <v>0</v>
      </c>
    </row>
    <row r="342" spans="1:18" x14ac:dyDescent="0.25">
      <c r="A342">
        <f t="shared" si="6"/>
        <v>0</v>
      </c>
      <c r="B342" t="b">
        <f>SUMPRODUCT(LEN(hospitalityq!C342:R342))&gt;0</f>
        <v>0</v>
      </c>
      <c r="C342">
        <f>B342*(hospitalityq!C342="")</f>
        <v>0</v>
      </c>
      <c r="E342">
        <f>B342*(hospitalityq!E342="")</f>
        <v>0</v>
      </c>
      <c r="F342">
        <f>B342*(hospitalityq!F342="")</f>
        <v>0</v>
      </c>
      <c r="G342">
        <f>B342*(hospitalityq!G342="")</f>
        <v>0</v>
      </c>
      <c r="H342">
        <f>B342*(hospitalityq!H342="")</f>
        <v>0</v>
      </c>
      <c r="I342">
        <f>B342*(hospitalityq!I342="")</f>
        <v>0</v>
      </c>
      <c r="J342">
        <f>B342*(hospitalityq!J342="")</f>
        <v>0</v>
      </c>
      <c r="K342">
        <f>B342*(hospitalityq!K342="")</f>
        <v>0</v>
      </c>
      <c r="L342">
        <f>B342*(hospitalityq!L342="")</f>
        <v>0</v>
      </c>
      <c r="M342">
        <f>B342*(hospitalityq!M342="")</f>
        <v>0</v>
      </c>
      <c r="N342">
        <f>B342*(hospitalityq!N342="")</f>
        <v>0</v>
      </c>
      <c r="O342">
        <f>B342*(hospitalityq!O342="")</f>
        <v>0</v>
      </c>
      <c r="P342">
        <f>B342*(hospitalityq!P342="")</f>
        <v>0</v>
      </c>
      <c r="Q342">
        <f>B342*(hospitalityq!Q342="")</f>
        <v>0</v>
      </c>
      <c r="R342">
        <f>B342*(hospitalityq!R342="")</f>
        <v>0</v>
      </c>
    </row>
    <row r="343" spans="1:18" x14ac:dyDescent="0.25">
      <c r="A343">
        <f t="shared" si="6"/>
        <v>0</v>
      </c>
      <c r="B343" t="b">
        <f>SUMPRODUCT(LEN(hospitalityq!C343:R343))&gt;0</f>
        <v>0</v>
      </c>
      <c r="C343">
        <f>B343*(hospitalityq!C343="")</f>
        <v>0</v>
      </c>
      <c r="E343">
        <f>B343*(hospitalityq!E343="")</f>
        <v>0</v>
      </c>
      <c r="F343">
        <f>B343*(hospitalityq!F343="")</f>
        <v>0</v>
      </c>
      <c r="G343">
        <f>B343*(hospitalityq!G343="")</f>
        <v>0</v>
      </c>
      <c r="H343">
        <f>B343*(hospitalityq!H343="")</f>
        <v>0</v>
      </c>
      <c r="I343">
        <f>B343*(hospitalityq!I343="")</f>
        <v>0</v>
      </c>
      <c r="J343">
        <f>B343*(hospitalityq!J343="")</f>
        <v>0</v>
      </c>
      <c r="K343">
        <f>B343*(hospitalityq!K343="")</f>
        <v>0</v>
      </c>
      <c r="L343">
        <f>B343*(hospitalityq!L343="")</f>
        <v>0</v>
      </c>
      <c r="M343">
        <f>B343*(hospitalityq!M343="")</f>
        <v>0</v>
      </c>
      <c r="N343">
        <f>B343*(hospitalityq!N343="")</f>
        <v>0</v>
      </c>
      <c r="O343">
        <f>B343*(hospitalityq!O343="")</f>
        <v>0</v>
      </c>
      <c r="P343">
        <f>B343*(hospitalityq!P343="")</f>
        <v>0</v>
      </c>
      <c r="Q343">
        <f>B343*(hospitalityq!Q343="")</f>
        <v>0</v>
      </c>
      <c r="R343">
        <f>B343*(hospitalityq!R343="")</f>
        <v>0</v>
      </c>
    </row>
    <row r="344" spans="1:18" x14ac:dyDescent="0.25">
      <c r="A344">
        <f t="shared" si="6"/>
        <v>0</v>
      </c>
      <c r="B344" t="b">
        <f>SUMPRODUCT(LEN(hospitalityq!C344:R344))&gt;0</f>
        <v>0</v>
      </c>
      <c r="C344">
        <f>B344*(hospitalityq!C344="")</f>
        <v>0</v>
      </c>
      <c r="E344">
        <f>B344*(hospitalityq!E344="")</f>
        <v>0</v>
      </c>
      <c r="F344">
        <f>B344*(hospitalityq!F344="")</f>
        <v>0</v>
      </c>
      <c r="G344">
        <f>B344*(hospitalityq!G344="")</f>
        <v>0</v>
      </c>
      <c r="H344">
        <f>B344*(hospitalityq!H344="")</f>
        <v>0</v>
      </c>
      <c r="I344">
        <f>B344*(hospitalityq!I344="")</f>
        <v>0</v>
      </c>
      <c r="J344">
        <f>B344*(hospitalityq!J344="")</f>
        <v>0</v>
      </c>
      <c r="K344">
        <f>B344*(hospitalityq!K344="")</f>
        <v>0</v>
      </c>
      <c r="L344">
        <f>B344*(hospitalityq!L344="")</f>
        <v>0</v>
      </c>
      <c r="M344">
        <f>B344*(hospitalityq!M344="")</f>
        <v>0</v>
      </c>
      <c r="N344">
        <f>B344*(hospitalityq!N344="")</f>
        <v>0</v>
      </c>
      <c r="O344">
        <f>B344*(hospitalityq!O344="")</f>
        <v>0</v>
      </c>
      <c r="P344">
        <f>B344*(hospitalityq!P344="")</f>
        <v>0</v>
      </c>
      <c r="Q344">
        <f>B344*(hospitalityq!Q344="")</f>
        <v>0</v>
      </c>
      <c r="R344">
        <f>B344*(hospitalityq!R344="")</f>
        <v>0</v>
      </c>
    </row>
    <row r="345" spans="1:18" x14ac:dyDescent="0.25">
      <c r="A345">
        <f t="shared" si="6"/>
        <v>0</v>
      </c>
      <c r="B345" t="b">
        <f>SUMPRODUCT(LEN(hospitalityq!C345:R345))&gt;0</f>
        <v>0</v>
      </c>
      <c r="C345">
        <f>B345*(hospitalityq!C345="")</f>
        <v>0</v>
      </c>
      <c r="E345">
        <f>B345*(hospitalityq!E345="")</f>
        <v>0</v>
      </c>
      <c r="F345">
        <f>B345*(hospitalityq!F345="")</f>
        <v>0</v>
      </c>
      <c r="G345">
        <f>B345*(hospitalityq!G345="")</f>
        <v>0</v>
      </c>
      <c r="H345">
        <f>B345*(hospitalityq!H345="")</f>
        <v>0</v>
      </c>
      <c r="I345">
        <f>B345*(hospitalityq!I345="")</f>
        <v>0</v>
      </c>
      <c r="J345">
        <f>B345*(hospitalityq!J345="")</f>
        <v>0</v>
      </c>
      <c r="K345">
        <f>B345*(hospitalityq!K345="")</f>
        <v>0</v>
      </c>
      <c r="L345">
        <f>B345*(hospitalityq!L345="")</f>
        <v>0</v>
      </c>
      <c r="M345">
        <f>B345*(hospitalityq!M345="")</f>
        <v>0</v>
      </c>
      <c r="N345">
        <f>B345*(hospitalityq!N345="")</f>
        <v>0</v>
      </c>
      <c r="O345">
        <f>B345*(hospitalityq!O345="")</f>
        <v>0</v>
      </c>
      <c r="P345">
        <f>B345*(hospitalityq!P345="")</f>
        <v>0</v>
      </c>
      <c r="Q345">
        <f>B345*(hospitalityq!Q345="")</f>
        <v>0</v>
      </c>
      <c r="R345">
        <f>B345*(hospitalityq!R345="")</f>
        <v>0</v>
      </c>
    </row>
    <row r="346" spans="1:18" x14ac:dyDescent="0.25">
      <c r="A346">
        <f t="shared" si="6"/>
        <v>0</v>
      </c>
      <c r="B346" t="b">
        <f>SUMPRODUCT(LEN(hospitalityq!C346:R346))&gt;0</f>
        <v>0</v>
      </c>
      <c r="C346">
        <f>B346*(hospitalityq!C346="")</f>
        <v>0</v>
      </c>
      <c r="E346">
        <f>B346*(hospitalityq!E346="")</f>
        <v>0</v>
      </c>
      <c r="F346">
        <f>B346*(hospitalityq!F346="")</f>
        <v>0</v>
      </c>
      <c r="G346">
        <f>B346*(hospitalityq!G346="")</f>
        <v>0</v>
      </c>
      <c r="H346">
        <f>B346*(hospitalityq!H346="")</f>
        <v>0</v>
      </c>
      <c r="I346">
        <f>B346*(hospitalityq!I346="")</f>
        <v>0</v>
      </c>
      <c r="J346">
        <f>B346*(hospitalityq!J346="")</f>
        <v>0</v>
      </c>
      <c r="K346">
        <f>B346*(hospitalityq!K346="")</f>
        <v>0</v>
      </c>
      <c r="L346">
        <f>B346*(hospitalityq!L346="")</f>
        <v>0</v>
      </c>
      <c r="M346">
        <f>B346*(hospitalityq!M346="")</f>
        <v>0</v>
      </c>
      <c r="N346">
        <f>B346*(hospitalityq!N346="")</f>
        <v>0</v>
      </c>
      <c r="O346">
        <f>B346*(hospitalityq!O346="")</f>
        <v>0</v>
      </c>
      <c r="P346">
        <f>B346*(hospitalityq!P346="")</f>
        <v>0</v>
      </c>
      <c r="Q346">
        <f>B346*(hospitalityq!Q346="")</f>
        <v>0</v>
      </c>
      <c r="R346">
        <f>B346*(hospitalityq!R346="")</f>
        <v>0</v>
      </c>
    </row>
    <row r="347" spans="1:18" x14ac:dyDescent="0.25">
      <c r="A347">
        <f t="shared" si="6"/>
        <v>0</v>
      </c>
      <c r="B347" t="b">
        <f>SUMPRODUCT(LEN(hospitalityq!C347:R347))&gt;0</f>
        <v>0</v>
      </c>
      <c r="C347">
        <f>B347*(hospitalityq!C347="")</f>
        <v>0</v>
      </c>
      <c r="E347">
        <f>B347*(hospitalityq!E347="")</f>
        <v>0</v>
      </c>
      <c r="F347">
        <f>B347*(hospitalityq!F347="")</f>
        <v>0</v>
      </c>
      <c r="G347">
        <f>B347*(hospitalityq!G347="")</f>
        <v>0</v>
      </c>
      <c r="H347">
        <f>B347*(hospitalityq!H347="")</f>
        <v>0</v>
      </c>
      <c r="I347">
        <f>B347*(hospitalityq!I347="")</f>
        <v>0</v>
      </c>
      <c r="J347">
        <f>B347*(hospitalityq!J347="")</f>
        <v>0</v>
      </c>
      <c r="K347">
        <f>B347*(hospitalityq!K347="")</f>
        <v>0</v>
      </c>
      <c r="L347">
        <f>B347*(hospitalityq!L347="")</f>
        <v>0</v>
      </c>
      <c r="M347">
        <f>B347*(hospitalityq!M347="")</f>
        <v>0</v>
      </c>
      <c r="N347">
        <f>B347*(hospitalityq!N347="")</f>
        <v>0</v>
      </c>
      <c r="O347">
        <f>B347*(hospitalityq!O347="")</f>
        <v>0</v>
      </c>
      <c r="P347">
        <f>B347*(hospitalityq!P347="")</f>
        <v>0</v>
      </c>
      <c r="Q347">
        <f>B347*(hospitalityq!Q347="")</f>
        <v>0</v>
      </c>
      <c r="R347">
        <f>B347*(hospitalityq!R347="")</f>
        <v>0</v>
      </c>
    </row>
    <row r="348" spans="1:18" x14ac:dyDescent="0.25">
      <c r="A348">
        <f t="shared" si="6"/>
        <v>0</v>
      </c>
      <c r="B348" t="b">
        <f>SUMPRODUCT(LEN(hospitalityq!C348:R348))&gt;0</f>
        <v>0</v>
      </c>
      <c r="C348">
        <f>B348*(hospitalityq!C348="")</f>
        <v>0</v>
      </c>
      <c r="E348">
        <f>B348*(hospitalityq!E348="")</f>
        <v>0</v>
      </c>
      <c r="F348">
        <f>B348*(hospitalityq!F348="")</f>
        <v>0</v>
      </c>
      <c r="G348">
        <f>B348*(hospitalityq!G348="")</f>
        <v>0</v>
      </c>
      <c r="H348">
        <f>B348*(hospitalityq!H348="")</f>
        <v>0</v>
      </c>
      <c r="I348">
        <f>B348*(hospitalityq!I348="")</f>
        <v>0</v>
      </c>
      <c r="J348">
        <f>B348*(hospitalityq!J348="")</f>
        <v>0</v>
      </c>
      <c r="K348">
        <f>B348*(hospitalityq!K348="")</f>
        <v>0</v>
      </c>
      <c r="L348">
        <f>B348*(hospitalityq!L348="")</f>
        <v>0</v>
      </c>
      <c r="M348">
        <f>B348*(hospitalityq!M348="")</f>
        <v>0</v>
      </c>
      <c r="N348">
        <f>B348*(hospitalityq!N348="")</f>
        <v>0</v>
      </c>
      <c r="O348">
        <f>B348*(hospitalityq!O348="")</f>
        <v>0</v>
      </c>
      <c r="P348">
        <f>B348*(hospitalityq!P348="")</f>
        <v>0</v>
      </c>
      <c r="Q348">
        <f>B348*(hospitalityq!Q348="")</f>
        <v>0</v>
      </c>
      <c r="R348">
        <f>B348*(hospitalityq!R348="")</f>
        <v>0</v>
      </c>
    </row>
    <row r="349" spans="1:18" x14ac:dyDescent="0.25">
      <c r="A349">
        <f t="shared" si="6"/>
        <v>0</v>
      </c>
      <c r="B349" t="b">
        <f>SUMPRODUCT(LEN(hospitalityq!C349:R349))&gt;0</f>
        <v>0</v>
      </c>
      <c r="C349">
        <f>B349*(hospitalityq!C349="")</f>
        <v>0</v>
      </c>
      <c r="E349">
        <f>B349*(hospitalityq!E349="")</f>
        <v>0</v>
      </c>
      <c r="F349">
        <f>B349*(hospitalityq!F349="")</f>
        <v>0</v>
      </c>
      <c r="G349">
        <f>B349*(hospitalityq!G349="")</f>
        <v>0</v>
      </c>
      <c r="H349">
        <f>B349*(hospitalityq!H349="")</f>
        <v>0</v>
      </c>
      <c r="I349">
        <f>B349*(hospitalityq!I349="")</f>
        <v>0</v>
      </c>
      <c r="J349">
        <f>B349*(hospitalityq!J349="")</f>
        <v>0</v>
      </c>
      <c r="K349">
        <f>B349*(hospitalityq!K349="")</f>
        <v>0</v>
      </c>
      <c r="L349">
        <f>B349*(hospitalityq!L349="")</f>
        <v>0</v>
      </c>
      <c r="M349">
        <f>B349*(hospitalityq!M349="")</f>
        <v>0</v>
      </c>
      <c r="N349">
        <f>B349*(hospitalityq!N349="")</f>
        <v>0</v>
      </c>
      <c r="O349">
        <f>B349*(hospitalityq!O349="")</f>
        <v>0</v>
      </c>
      <c r="P349">
        <f>B349*(hospitalityq!P349="")</f>
        <v>0</v>
      </c>
      <c r="Q349">
        <f>B349*(hospitalityq!Q349="")</f>
        <v>0</v>
      </c>
      <c r="R349">
        <f>B349*(hospitalityq!R349="")</f>
        <v>0</v>
      </c>
    </row>
    <row r="350" spans="1:18" x14ac:dyDescent="0.25">
      <c r="A350">
        <f t="shared" si="6"/>
        <v>0</v>
      </c>
      <c r="B350" t="b">
        <f>SUMPRODUCT(LEN(hospitalityq!C350:R350))&gt;0</f>
        <v>0</v>
      </c>
      <c r="C350">
        <f>B350*(hospitalityq!C350="")</f>
        <v>0</v>
      </c>
      <c r="E350">
        <f>B350*(hospitalityq!E350="")</f>
        <v>0</v>
      </c>
      <c r="F350">
        <f>B350*(hospitalityq!F350="")</f>
        <v>0</v>
      </c>
      <c r="G350">
        <f>B350*(hospitalityq!G350="")</f>
        <v>0</v>
      </c>
      <c r="H350">
        <f>B350*(hospitalityq!H350="")</f>
        <v>0</v>
      </c>
      <c r="I350">
        <f>B350*(hospitalityq!I350="")</f>
        <v>0</v>
      </c>
      <c r="J350">
        <f>B350*(hospitalityq!J350="")</f>
        <v>0</v>
      </c>
      <c r="K350">
        <f>B350*(hospitalityq!K350="")</f>
        <v>0</v>
      </c>
      <c r="L350">
        <f>B350*(hospitalityq!L350="")</f>
        <v>0</v>
      </c>
      <c r="M350">
        <f>B350*(hospitalityq!M350="")</f>
        <v>0</v>
      </c>
      <c r="N350">
        <f>B350*(hospitalityq!N350="")</f>
        <v>0</v>
      </c>
      <c r="O350">
        <f>B350*(hospitalityq!O350="")</f>
        <v>0</v>
      </c>
      <c r="P350">
        <f>B350*(hospitalityq!P350="")</f>
        <v>0</v>
      </c>
      <c r="Q350">
        <f>B350*(hospitalityq!Q350="")</f>
        <v>0</v>
      </c>
      <c r="R350">
        <f>B350*(hospitalityq!R350="")</f>
        <v>0</v>
      </c>
    </row>
    <row r="351" spans="1:18" x14ac:dyDescent="0.25">
      <c r="A351">
        <f t="shared" si="6"/>
        <v>0</v>
      </c>
      <c r="B351" t="b">
        <f>SUMPRODUCT(LEN(hospitalityq!C351:R351))&gt;0</f>
        <v>0</v>
      </c>
      <c r="C351">
        <f>B351*(hospitalityq!C351="")</f>
        <v>0</v>
      </c>
      <c r="E351">
        <f>B351*(hospitalityq!E351="")</f>
        <v>0</v>
      </c>
      <c r="F351">
        <f>B351*(hospitalityq!F351="")</f>
        <v>0</v>
      </c>
      <c r="G351">
        <f>B351*(hospitalityq!G351="")</f>
        <v>0</v>
      </c>
      <c r="H351">
        <f>B351*(hospitalityq!H351="")</f>
        <v>0</v>
      </c>
      <c r="I351">
        <f>B351*(hospitalityq!I351="")</f>
        <v>0</v>
      </c>
      <c r="J351">
        <f>B351*(hospitalityq!J351="")</f>
        <v>0</v>
      </c>
      <c r="K351">
        <f>B351*(hospitalityq!K351="")</f>
        <v>0</v>
      </c>
      <c r="L351">
        <f>B351*(hospitalityq!L351="")</f>
        <v>0</v>
      </c>
      <c r="M351">
        <f>B351*(hospitalityq!M351="")</f>
        <v>0</v>
      </c>
      <c r="N351">
        <f>B351*(hospitalityq!N351="")</f>
        <v>0</v>
      </c>
      <c r="O351">
        <f>B351*(hospitalityq!O351="")</f>
        <v>0</v>
      </c>
      <c r="P351">
        <f>B351*(hospitalityq!P351="")</f>
        <v>0</v>
      </c>
      <c r="Q351">
        <f>B351*(hospitalityq!Q351="")</f>
        <v>0</v>
      </c>
      <c r="R351">
        <f>B351*(hospitalityq!R351="")</f>
        <v>0</v>
      </c>
    </row>
    <row r="352" spans="1:18" x14ac:dyDescent="0.25">
      <c r="A352">
        <f t="shared" si="6"/>
        <v>0</v>
      </c>
      <c r="B352" t="b">
        <f>SUMPRODUCT(LEN(hospitalityq!C352:R352))&gt;0</f>
        <v>0</v>
      </c>
      <c r="C352">
        <f>B352*(hospitalityq!C352="")</f>
        <v>0</v>
      </c>
      <c r="E352">
        <f>B352*(hospitalityq!E352="")</f>
        <v>0</v>
      </c>
      <c r="F352">
        <f>B352*(hospitalityq!F352="")</f>
        <v>0</v>
      </c>
      <c r="G352">
        <f>B352*(hospitalityq!G352="")</f>
        <v>0</v>
      </c>
      <c r="H352">
        <f>B352*(hospitalityq!H352="")</f>
        <v>0</v>
      </c>
      <c r="I352">
        <f>B352*(hospitalityq!I352="")</f>
        <v>0</v>
      </c>
      <c r="J352">
        <f>B352*(hospitalityq!J352="")</f>
        <v>0</v>
      </c>
      <c r="K352">
        <f>B352*(hospitalityq!K352="")</f>
        <v>0</v>
      </c>
      <c r="L352">
        <f>B352*(hospitalityq!L352="")</f>
        <v>0</v>
      </c>
      <c r="M352">
        <f>B352*(hospitalityq!M352="")</f>
        <v>0</v>
      </c>
      <c r="N352">
        <f>B352*(hospitalityq!N352="")</f>
        <v>0</v>
      </c>
      <c r="O352">
        <f>B352*(hospitalityq!O352="")</f>
        <v>0</v>
      </c>
      <c r="P352">
        <f>B352*(hospitalityq!P352="")</f>
        <v>0</v>
      </c>
      <c r="Q352">
        <f>B352*(hospitalityq!Q352="")</f>
        <v>0</v>
      </c>
      <c r="R352">
        <f>B352*(hospitalityq!R352="")</f>
        <v>0</v>
      </c>
    </row>
    <row r="353" spans="1:18" x14ac:dyDescent="0.25">
      <c r="A353">
        <f t="shared" si="6"/>
        <v>0</v>
      </c>
      <c r="B353" t="b">
        <f>SUMPRODUCT(LEN(hospitalityq!C353:R353))&gt;0</f>
        <v>0</v>
      </c>
      <c r="C353">
        <f>B353*(hospitalityq!C353="")</f>
        <v>0</v>
      </c>
      <c r="E353">
        <f>B353*(hospitalityq!E353="")</f>
        <v>0</v>
      </c>
      <c r="F353">
        <f>B353*(hospitalityq!F353="")</f>
        <v>0</v>
      </c>
      <c r="G353">
        <f>B353*(hospitalityq!G353="")</f>
        <v>0</v>
      </c>
      <c r="H353">
        <f>B353*(hospitalityq!H353="")</f>
        <v>0</v>
      </c>
      <c r="I353">
        <f>B353*(hospitalityq!I353="")</f>
        <v>0</v>
      </c>
      <c r="J353">
        <f>B353*(hospitalityq!J353="")</f>
        <v>0</v>
      </c>
      <c r="K353">
        <f>B353*(hospitalityq!K353="")</f>
        <v>0</v>
      </c>
      <c r="L353">
        <f>B353*(hospitalityq!L353="")</f>
        <v>0</v>
      </c>
      <c r="M353">
        <f>B353*(hospitalityq!M353="")</f>
        <v>0</v>
      </c>
      <c r="N353">
        <f>B353*(hospitalityq!N353="")</f>
        <v>0</v>
      </c>
      <c r="O353">
        <f>B353*(hospitalityq!O353="")</f>
        <v>0</v>
      </c>
      <c r="P353">
        <f>B353*(hospitalityq!P353="")</f>
        <v>0</v>
      </c>
      <c r="Q353">
        <f>B353*(hospitalityq!Q353="")</f>
        <v>0</v>
      </c>
      <c r="R353">
        <f>B353*(hospitalityq!R353="")</f>
        <v>0</v>
      </c>
    </row>
    <row r="354" spans="1:18" x14ac:dyDescent="0.25">
      <c r="A354">
        <f t="shared" si="6"/>
        <v>0</v>
      </c>
      <c r="B354" t="b">
        <f>SUMPRODUCT(LEN(hospitalityq!C354:R354))&gt;0</f>
        <v>0</v>
      </c>
      <c r="C354">
        <f>B354*(hospitalityq!C354="")</f>
        <v>0</v>
      </c>
      <c r="E354">
        <f>B354*(hospitalityq!E354="")</f>
        <v>0</v>
      </c>
      <c r="F354">
        <f>B354*(hospitalityq!F354="")</f>
        <v>0</v>
      </c>
      <c r="G354">
        <f>B354*(hospitalityq!G354="")</f>
        <v>0</v>
      </c>
      <c r="H354">
        <f>B354*(hospitalityq!H354="")</f>
        <v>0</v>
      </c>
      <c r="I354">
        <f>B354*(hospitalityq!I354="")</f>
        <v>0</v>
      </c>
      <c r="J354">
        <f>B354*(hospitalityq!J354="")</f>
        <v>0</v>
      </c>
      <c r="K354">
        <f>B354*(hospitalityq!K354="")</f>
        <v>0</v>
      </c>
      <c r="L354">
        <f>B354*(hospitalityq!L354="")</f>
        <v>0</v>
      </c>
      <c r="M354">
        <f>B354*(hospitalityq!M354="")</f>
        <v>0</v>
      </c>
      <c r="N354">
        <f>B354*(hospitalityq!N354="")</f>
        <v>0</v>
      </c>
      <c r="O354">
        <f>B354*(hospitalityq!O354="")</f>
        <v>0</v>
      </c>
      <c r="P354">
        <f>B354*(hospitalityq!P354="")</f>
        <v>0</v>
      </c>
      <c r="Q354">
        <f>B354*(hospitalityq!Q354="")</f>
        <v>0</v>
      </c>
      <c r="R354">
        <f>B354*(hospitalityq!R354="")</f>
        <v>0</v>
      </c>
    </row>
    <row r="355" spans="1:18" x14ac:dyDescent="0.25">
      <c r="A355">
        <f t="shared" si="6"/>
        <v>0</v>
      </c>
      <c r="B355" t="b">
        <f>SUMPRODUCT(LEN(hospitalityq!C355:R355))&gt;0</f>
        <v>0</v>
      </c>
      <c r="C355">
        <f>B355*(hospitalityq!C355="")</f>
        <v>0</v>
      </c>
      <c r="E355">
        <f>B355*(hospitalityq!E355="")</f>
        <v>0</v>
      </c>
      <c r="F355">
        <f>B355*(hospitalityq!F355="")</f>
        <v>0</v>
      </c>
      <c r="G355">
        <f>B355*(hospitalityq!G355="")</f>
        <v>0</v>
      </c>
      <c r="H355">
        <f>B355*(hospitalityq!H355="")</f>
        <v>0</v>
      </c>
      <c r="I355">
        <f>B355*(hospitalityq!I355="")</f>
        <v>0</v>
      </c>
      <c r="J355">
        <f>B355*(hospitalityq!J355="")</f>
        <v>0</v>
      </c>
      <c r="K355">
        <f>B355*(hospitalityq!K355="")</f>
        <v>0</v>
      </c>
      <c r="L355">
        <f>B355*(hospitalityq!L355="")</f>
        <v>0</v>
      </c>
      <c r="M355">
        <f>B355*(hospitalityq!M355="")</f>
        <v>0</v>
      </c>
      <c r="N355">
        <f>B355*(hospitalityq!N355="")</f>
        <v>0</v>
      </c>
      <c r="O355">
        <f>B355*(hospitalityq!O355="")</f>
        <v>0</v>
      </c>
      <c r="P355">
        <f>B355*(hospitalityq!P355="")</f>
        <v>0</v>
      </c>
      <c r="Q355">
        <f>B355*(hospitalityq!Q355="")</f>
        <v>0</v>
      </c>
      <c r="R355">
        <f>B355*(hospitalityq!R355="")</f>
        <v>0</v>
      </c>
    </row>
    <row r="356" spans="1:18" x14ac:dyDescent="0.25">
      <c r="A356">
        <f t="shared" si="6"/>
        <v>0</v>
      </c>
      <c r="B356" t="b">
        <f>SUMPRODUCT(LEN(hospitalityq!C356:R356))&gt;0</f>
        <v>0</v>
      </c>
      <c r="C356">
        <f>B356*(hospitalityq!C356="")</f>
        <v>0</v>
      </c>
      <c r="E356">
        <f>B356*(hospitalityq!E356="")</f>
        <v>0</v>
      </c>
      <c r="F356">
        <f>B356*(hospitalityq!F356="")</f>
        <v>0</v>
      </c>
      <c r="G356">
        <f>B356*(hospitalityq!G356="")</f>
        <v>0</v>
      </c>
      <c r="H356">
        <f>B356*(hospitalityq!H356="")</f>
        <v>0</v>
      </c>
      <c r="I356">
        <f>B356*(hospitalityq!I356="")</f>
        <v>0</v>
      </c>
      <c r="J356">
        <f>B356*(hospitalityq!J356="")</f>
        <v>0</v>
      </c>
      <c r="K356">
        <f>B356*(hospitalityq!K356="")</f>
        <v>0</v>
      </c>
      <c r="L356">
        <f>B356*(hospitalityq!L356="")</f>
        <v>0</v>
      </c>
      <c r="M356">
        <f>B356*(hospitalityq!M356="")</f>
        <v>0</v>
      </c>
      <c r="N356">
        <f>B356*(hospitalityq!N356="")</f>
        <v>0</v>
      </c>
      <c r="O356">
        <f>B356*(hospitalityq!O356="")</f>
        <v>0</v>
      </c>
      <c r="P356">
        <f>B356*(hospitalityq!P356="")</f>
        <v>0</v>
      </c>
      <c r="Q356">
        <f>B356*(hospitalityq!Q356="")</f>
        <v>0</v>
      </c>
      <c r="R356">
        <f>B356*(hospitalityq!R356="")</f>
        <v>0</v>
      </c>
    </row>
    <row r="357" spans="1:18" x14ac:dyDescent="0.25">
      <c r="A357">
        <f t="shared" si="6"/>
        <v>0</v>
      </c>
      <c r="B357" t="b">
        <f>SUMPRODUCT(LEN(hospitalityq!C357:R357))&gt;0</f>
        <v>0</v>
      </c>
      <c r="C357">
        <f>B357*(hospitalityq!C357="")</f>
        <v>0</v>
      </c>
      <c r="E357">
        <f>B357*(hospitalityq!E357="")</f>
        <v>0</v>
      </c>
      <c r="F357">
        <f>B357*(hospitalityq!F357="")</f>
        <v>0</v>
      </c>
      <c r="G357">
        <f>B357*(hospitalityq!G357="")</f>
        <v>0</v>
      </c>
      <c r="H357">
        <f>B357*(hospitalityq!H357="")</f>
        <v>0</v>
      </c>
      <c r="I357">
        <f>B357*(hospitalityq!I357="")</f>
        <v>0</v>
      </c>
      <c r="J357">
        <f>B357*(hospitalityq!J357="")</f>
        <v>0</v>
      </c>
      <c r="K357">
        <f>B357*(hospitalityq!K357="")</f>
        <v>0</v>
      </c>
      <c r="L357">
        <f>B357*(hospitalityq!L357="")</f>
        <v>0</v>
      </c>
      <c r="M357">
        <f>B357*(hospitalityq!M357="")</f>
        <v>0</v>
      </c>
      <c r="N357">
        <f>B357*(hospitalityq!N357="")</f>
        <v>0</v>
      </c>
      <c r="O357">
        <f>B357*(hospitalityq!O357="")</f>
        <v>0</v>
      </c>
      <c r="P357">
        <f>B357*(hospitalityq!P357="")</f>
        <v>0</v>
      </c>
      <c r="Q357">
        <f>B357*(hospitalityq!Q357="")</f>
        <v>0</v>
      </c>
      <c r="R357">
        <f>B357*(hospitalityq!R357="")</f>
        <v>0</v>
      </c>
    </row>
    <row r="358" spans="1:18" x14ac:dyDescent="0.25">
      <c r="A358">
        <f t="shared" si="6"/>
        <v>0</v>
      </c>
      <c r="B358" t="b">
        <f>SUMPRODUCT(LEN(hospitalityq!C358:R358))&gt;0</f>
        <v>0</v>
      </c>
      <c r="C358">
        <f>B358*(hospitalityq!C358="")</f>
        <v>0</v>
      </c>
      <c r="E358">
        <f>B358*(hospitalityq!E358="")</f>
        <v>0</v>
      </c>
      <c r="F358">
        <f>B358*(hospitalityq!F358="")</f>
        <v>0</v>
      </c>
      <c r="G358">
        <f>B358*(hospitalityq!G358="")</f>
        <v>0</v>
      </c>
      <c r="H358">
        <f>B358*(hospitalityq!H358="")</f>
        <v>0</v>
      </c>
      <c r="I358">
        <f>B358*(hospitalityq!I358="")</f>
        <v>0</v>
      </c>
      <c r="J358">
        <f>B358*(hospitalityq!J358="")</f>
        <v>0</v>
      </c>
      <c r="K358">
        <f>B358*(hospitalityq!K358="")</f>
        <v>0</v>
      </c>
      <c r="L358">
        <f>B358*(hospitalityq!L358="")</f>
        <v>0</v>
      </c>
      <c r="M358">
        <f>B358*(hospitalityq!M358="")</f>
        <v>0</v>
      </c>
      <c r="N358">
        <f>B358*(hospitalityq!N358="")</f>
        <v>0</v>
      </c>
      <c r="O358">
        <f>B358*(hospitalityq!O358="")</f>
        <v>0</v>
      </c>
      <c r="P358">
        <f>B358*(hospitalityq!P358="")</f>
        <v>0</v>
      </c>
      <c r="Q358">
        <f>B358*(hospitalityq!Q358="")</f>
        <v>0</v>
      </c>
      <c r="R358">
        <f>B358*(hospitalityq!R358="")</f>
        <v>0</v>
      </c>
    </row>
    <row r="359" spans="1:18" x14ac:dyDescent="0.25">
      <c r="A359">
        <f t="shared" si="6"/>
        <v>0</v>
      </c>
      <c r="B359" t="b">
        <f>SUMPRODUCT(LEN(hospitalityq!C359:R359))&gt;0</f>
        <v>0</v>
      </c>
      <c r="C359">
        <f>B359*(hospitalityq!C359="")</f>
        <v>0</v>
      </c>
      <c r="E359">
        <f>B359*(hospitalityq!E359="")</f>
        <v>0</v>
      </c>
      <c r="F359">
        <f>B359*(hospitalityq!F359="")</f>
        <v>0</v>
      </c>
      <c r="G359">
        <f>B359*(hospitalityq!G359="")</f>
        <v>0</v>
      </c>
      <c r="H359">
        <f>B359*(hospitalityq!H359="")</f>
        <v>0</v>
      </c>
      <c r="I359">
        <f>B359*(hospitalityq!I359="")</f>
        <v>0</v>
      </c>
      <c r="J359">
        <f>B359*(hospitalityq!J359="")</f>
        <v>0</v>
      </c>
      <c r="K359">
        <f>B359*(hospitalityq!K359="")</f>
        <v>0</v>
      </c>
      <c r="L359">
        <f>B359*(hospitalityq!L359="")</f>
        <v>0</v>
      </c>
      <c r="M359">
        <f>B359*(hospitalityq!M359="")</f>
        <v>0</v>
      </c>
      <c r="N359">
        <f>B359*(hospitalityq!N359="")</f>
        <v>0</v>
      </c>
      <c r="O359">
        <f>B359*(hospitalityq!O359="")</f>
        <v>0</v>
      </c>
      <c r="P359">
        <f>B359*(hospitalityq!P359="")</f>
        <v>0</v>
      </c>
      <c r="Q359">
        <f>B359*(hospitalityq!Q359="")</f>
        <v>0</v>
      </c>
      <c r="R359">
        <f>B359*(hospitalityq!R359="")</f>
        <v>0</v>
      </c>
    </row>
    <row r="360" spans="1:18" x14ac:dyDescent="0.25">
      <c r="A360">
        <f t="shared" si="6"/>
        <v>0</v>
      </c>
      <c r="B360" t="b">
        <f>SUMPRODUCT(LEN(hospitalityq!C360:R360))&gt;0</f>
        <v>0</v>
      </c>
      <c r="C360">
        <f>B360*(hospitalityq!C360="")</f>
        <v>0</v>
      </c>
      <c r="E360">
        <f>B360*(hospitalityq!E360="")</f>
        <v>0</v>
      </c>
      <c r="F360">
        <f>B360*(hospitalityq!F360="")</f>
        <v>0</v>
      </c>
      <c r="G360">
        <f>B360*(hospitalityq!G360="")</f>
        <v>0</v>
      </c>
      <c r="H360">
        <f>B360*(hospitalityq!H360="")</f>
        <v>0</v>
      </c>
      <c r="I360">
        <f>B360*(hospitalityq!I360="")</f>
        <v>0</v>
      </c>
      <c r="J360">
        <f>B360*(hospitalityq!J360="")</f>
        <v>0</v>
      </c>
      <c r="K360">
        <f>B360*(hospitalityq!K360="")</f>
        <v>0</v>
      </c>
      <c r="L360">
        <f>B360*(hospitalityq!L360="")</f>
        <v>0</v>
      </c>
      <c r="M360">
        <f>B360*(hospitalityq!M360="")</f>
        <v>0</v>
      </c>
      <c r="N360">
        <f>B360*(hospitalityq!N360="")</f>
        <v>0</v>
      </c>
      <c r="O360">
        <f>B360*(hospitalityq!O360="")</f>
        <v>0</v>
      </c>
      <c r="P360">
        <f>B360*(hospitalityq!P360="")</f>
        <v>0</v>
      </c>
      <c r="Q360">
        <f>B360*(hospitalityq!Q360="")</f>
        <v>0</v>
      </c>
      <c r="R360">
        <f>B360*(hospitalityq!R360="")</f>
        <v>0</v>
      </c>
    </row>
    <row r="361" spans="1:18" x14ac:dyDescent="0.25">
      <c r="A361">
        <f t="shared" si="6"/>
        <v>0</v>
      </c>
      <c r="B361" t="b">
        <f>SUMPRODUCT(LEN(hospitalityq!C361:R361))&gt;0</f>
        <v>0</v>
      </c>
      <c r="C361">
        <f>B361*(hospitalityq!C361="")</f>
        <v>0</v>
      </c>
      <c r="E361">
        <f>B361*(hospitalityq!E361="")</f>
        <v>0</v>
      </c>
      <c r="F361">
        <f>B361*(hospitalityq!F361="")</f>
        <v>0</v>
      </c>
      <c r="G361">
        <f>B361*(hospitalityq!G361="")</f>
        <v>0</v>
      </c>
      <c r="H361">
        <f>B361*(hospitalityq!H361="")</f>
        <v>0</v>
      </c>
      <c r="I361">
        <f>B361*(hospitalityq!I361="")</f>
        <v>0</v>
      </c>
      <c r="J361">
        <f>B361*(hospitalityq!J361="")</f>
        <v>0</v>
      </c>
      <c r="K361">
        <f>B361*(hospitalityq!K361="")</f>
        <v>0</v>
      </c>
      <c r="L361">
        <f>B361*(hospitalityq!L361="")</f>
        <v>0</v>
      </c>
      <c r="M361">
        <f>B361*(hospitalityq!M361="")</f>
        <v>0</v>
      </c>
      <c r="N361">
        <f>B361*(hospitalityq!N361="")</f>
        <v>0</v>
      </c>
      <c r="O361">
        <f>B361*(hospitalityq!O361="")</f>
        <v>0</v>
      </c>
      <c r="P361">
        <f>B361*(hospitalityq!P361="")</f>
        <v>0</v>
      </c>
      <c r="Q361">
        <f>B361*(hospitalityq!Q361="")</f>
        <v>0</v>
      </c>
      <c r="R361">
        <f>B361*(hospitalityq!R361="")</f>
        <v>0</v>
      </c>
    </row>
    <row r="362" spans="1:18" x14ac:dyDescent="0.25">
      <c r="A362">
        <f t="shared" si="6"/>
        <v>0</v>
      </c>
      <c r="B362" t="b">
        <f>SUMPRODUCT(LEN(hospitalityq!C362:R362))&gt;0</f>
        <v>0</v>
      </c>
      <c r="C362">
        <f>B362*(hospitalityq!C362="")</f>
        <v>0</v>
      </c>
      <c r="E362">
        <f>B362*(hospitalityq!E362="")</f>
        <v>0</v>
      </c>
      <c r="F362">
        <f>B362*(hospitalityq!F362="")</f>
        <v>0</v>
      </c>
      <c r="G362">
        <f>B362*(hospitalityq!G362="")</f>
        <v>0</v>
      </c>
      <c r="H362">
        <f>B362*(hospitalityq!H362="")</f>
        <v>0</v>
      </c>
      <c r="I362">
        <f>B362*(hospitalityq!I362="")</f>
        <v>0</v>
      </c>
      <c r="J362">
        <f>B362*(hospitalityq!J362="")</f>
        <v>0</v>
      </c>
      <c r="K362">
        <f>B362*(hospitalityq!K362="")</f>
        <v>0</v>
      </c>
      <c r="L362">
        <f>B362*(hospitalityq!L362="")</f>
        <v>0</v>
      </c>
      <c r="M362">
        <f>B362*(hospitalityq!M362="")</f>
        <v>0</v>
      </c>
      <c r="N362">
        <f>B362*(hospitalityq!N362="")</f>
        <v>0</v>
      </c>
      <c r="O362">
        <f>B362*(hospitalityq!O362="")</f>
        <v>0</v>
      </c>
      <c r="P362">
        <f>B362*(hospitalityq!P362="")</f>
        <v>0</v>
      </c>
      <c r="Q362">
        <f>B362*(hospitalityq!Q362="")</f>
        <v>0</v>
      </c>
      <c r="R362">
        <f>B362*(hospitalityq!R362="")</f>
        <v>0</v>
      </c>
    </row>
    <row r="363" spans="1:18" x14ac:dyDescent="0.25">
      <c r="A363">
        <f t="shared" si="6"/>
        <v>0</v>
      </c>
      <c r="B363" t="b">
        <f>SUMPRODUCT(LEN(hospitalityq!C363:R363))&gt;0</f>
        <v>0</v>
      </c>
      <c r="C363">
        <f>B363*(hospitalityq!C363="")</f>
        <v>0</v>
      </c>
      <c r="E363">
        <f>B363*(hospitalityq!E363="")</f>
        <v>0</v>
      </c>
      <c r="F363">
        <f>B363*(hospitalityq!F363="")</f>
        <v>0</v>
      </c>
      <c r="G363">
        <f>B363*(hospitalityq!G363="")</f>
        <v>0</v>
      </c>
      <c r="H363">
        <f>B363*(hospitalityq!H363="")</f>
        <v>0</v>
      </c>
      <c r="I363">
        <f>B363*(hospitalityq!I363="")</f>
        <v>0</v>
      </c>
      <c r="J363">
        <f>B363*(hospitalityq!J363="")</f>
        <v>0</v>
      </c>
      <c r="K363">
        <f>B363*(hospitalityq!K363="")</f>
        <v>0</v>
      </c>
      <c r="L363">
        <f>B363*(hospitalityq!L363="")</f>
        <v>0</v>
      </c>
      <c r="M363">
        <f>B363*(hospitalityq!M363="")</f>
        <v>0</v>
      </c>
      <c r="N363">
        <f>B363*(hospitalityq!N363="")</f>
        <v>0</v>
      </c>
      <c r="O363">
        <f>B363*(hospitalityq!O363="")</f>
        <v>0</v>
      </c>
      <c r="P363">
        <f>B363*(hospitalityq!P363="")</f>
        <v>0</v>
      </c>
      <c r="Q363">
        <f>B363*(hospitalityq!Q363="")</f>
        <v>0</v>
      </c>
      <c r="R363">
        <f>B363*(hospitalityq!R363="")</f>
        <v>0</v>
      </c>
    </row>
    <row r="364" spans="1:18" x14ac:dyDescent="0.25">
      <c r="A364">
        <f t="shared" si="6"/>
        <v>0</v>
      </c>
      <c r="B364" t="b">
        <f>SUMPRODUCT(LEN(hospitalityq!C364:R364))&gt;0</f>
        <v>0</v>
      </c>
      <c r="C364">
        <f>B364*(hospitalityq!C364="")</f>
        <v>0</v>
      </c>
      <c r="E364">
        <f>B364*(hospitalityq!E364="")</f>
        <v>0</v>
      </c>
      <c r="F364">
        <f>B364*(hospitalityq!F364="")</f>
        <v>0</v>
      </c>
      <c r="G364">
        <f>B364*(hospitalityq!G364="")</f>
        <v>0</v>
      </c>
      <c r="H364">
        <f>B364*(hospitalityq!H364="")</f>
        <v>0</v>
      </c>
      <c r="I364">
        <f>B364*(hospitalityq!I364="")</f>
        <v>0</v>
      </c>
      <c r="J364">
        <f>B364*(hospitalityq!J364="")</f>
        <v>0</v>
      </c>
      <c r="K364">
        <f>B364*(hospitalityq!K364="")</f>
        <v>0</v>
      </c>
      <c r="L364">
        <f>B364*(hospitalityq!L364="")</f>
        <v>0</v>
      </c>
      <c r="M364">
        <f>B364*(hospitalityq!M364="")</f>
        <v>0</v>
      </c>
      <c r="N364">
        <f>B364*(hospitalityq!N364="")</f>
        <v>0</v>
      </c>
      <c r="O364">
        <f>B364*(hospitalityq!O364="")</f>
        <v>0</v>
      </c>
      <c r="P364">
        <f>B364*(hospitalityq!P364="")</f>
        <v>0</v>
      </c>
      <c r="Q364">
        <f>B364*(hospitalityq!Q364="")</f>
        <v>0</v>
      </c>
      <c r="R364">
        <f>B364*(hospitalityq!R364="")</f>
        <v>0</v>
      </c>
    </row>
    <row r="365" spans="1:18" x14ac:dyDescent="0.25">
      <c r="A365">
        <f t="shared" si="6"/>
        <v>0</v>
      </c>
      <c r="B365" t="b">
        <f>SUMPRODUCT(LEN(hospitalityq!C365:R365))&gt;0</f>
        <v>0</v>
      </c>
      <c r="C365">
        <f>B365*(hospitalityq!C365="")</f>
        <v>0</v>
      </c>
      <c r="E365">
        <f>B365*(hospitalityq!E365="")</f>
        <v>0</v>
      </c>
      <c r="F365">
        <f>B365*(hospitalityq!F365="")</f>
        <v>0</v>
      </c>
      <c r="G365">
        <f>B365*(hospitalityq!G365="")</f>
        <v>0</v>
      </c>
      <c r="H365">
        <f>B365*(hospitalityq!H365="")</f>
        <v>0</v>
      </c>
      <c r="I365">
        <f>B365*(hospitalityq!I365="")</f>
        <v>0</v>
      </c>
      <c r="J365">
        <f>B365*(hospitalityq!J365="")</f>
        <v>0</v>
      </c>
      <c r="K365">
        <f>B365*(hospitalityq!K365="")</f>
        <v>0</v>
      </c>
      <c r="L365">
        <f>B365*(hospitalityq!L365="")</f>
        <v>0</v>
      </c>
      <c r="M365">
        <f>B365*(hospitalityq!M365="")</f>
        <v>0</v>
      </c>
      <c r="N365">
        <f>B365*(hospitalityq!N365="")</f>
        <v>0</v>
      </c>
      <c r="O365">
        <f>B365*(hospitalityq!O365="")</f>
        <v>0</v>
      </c>
      <c r="P365">
        <f>B365*(hospitalityq!P365="")</f>
        <v>0</v>
      </c>
      <c r="Q365">
        <f>B365*(hospitalityq!Q365="")</f>
        <v>0</v>
      </c>
      <c r="R365">
        <f>B365*(hospitalityq!R365="")</f>
        <v>0</v>
      </c>
    </row>
    <row r="366" spans="1:18" x14ac:dyDescent="0.25">
      <c r="A366">
        <f t="shared" si="6"/>
        <v>0</v>
      </c>
      <c r="B366" t="b">
        <f>SUMPRODUCT(LEN(hospitalityq!C366:R366))&gt;0</f>
        <v>0</v>
      </c>
      <c r="C366">
        <f>B366*(hospitalityq!C366="")</f>
        <v>0</v>
      </c>
      <c r="E366">
        <f>B366*(hospitalityq!E366="")</f>
        <v>0</v>
      </c>
      <c r="F366">
        <f>B366*(hospitalityq!F366="")</f>
        <v>0</v>
      </c>
      <c r="G366">
        <f>B366*(hospitalityq!G366="")</f>
        <v>0</v>
      </c>
      <c r="H366">
        <f>B366*(hospitalityq!H366="")</f>
        <v>0</v>
      </c>
      <c r="I366">
        <f>B366*(hospitalityq!I366="")</f>
        <v>0</v>
      </c>
      <c r="J366">
        <f>B366*(hospitalityq!J366="")</f>
        <v>0</v>
      </c>
      <c r="K366">
        <f>B366*(hospitalityq!K366="")</f>
        <v>0</v>
      </c>
      <c r="L366">
        <f>B366*(hospitalityq!L366="")</f>
        <v>0</v>
      </c>
      <c r="M366">
        <f>B366*(hospitalityq!M366="")</f>
        <v>0</v>
      </c>
      <c r="N366">
        <f>B366*(hospitalityq!N366="")</f>
        <v>0</v>
      </c>
      <c r="O366">
        <f>B366*(hospitalityq!O366="")</f>
        <v>0</v>
      </c>
      <c r="P366">
        <f>B366*(hospitalityq!P366="")</f>
        <v>0</v>
      </c>
      <c r="Q366">
        <f>B366*(hospitalityq!Q366="")</f>
        <v>0</v>
      </c>
      <c r="R366">
        <f>B366*(hospitalityq!R366="")</f>
        <v>0</v>
      </c>
    </row>
    <row r="367" spans="1:18" x14ac:dyDescent="0.25">
      <c r="A367">
        <f t="shared" si="6"/>
        <v>0</v>
      </c>
      <c r="B367" t="b">
        <f>SUMPRODUCT(LEN(hospitalityq!C367:R367))&gt;0</f>
        <v>0</v>
      </c>
      <c r="C367">
        <f>B367*(hospitalityq!C367="")</f>
        <v>0</v>
      </c>
      <c r="E367">
        <f>B367*(hospitalityq!E367="")</f>
        <v>0</v>
      </c>
      <c r="F367">
        <f>B367*(hospitalityq!F367="")</f>
        <v>0</v>
      </c>
      <c r="G367">
        <f>B367*(hospitalityq!G367="")</f>
        <v>0</v>
      </c>
      <c r="H367">
        <f>B367*(hospitalityq!H367="")</f>
        <v>0</v>
      </c>
      <c r="I367">
        <f>B367*(hospitalityq!I367="")</f>
        <v>0</v>
      </c>
      <c r="J367">
        <f>B367*(hospitalityq!J367="")</f>
        <v>0</v>
      </c>
      <c r="K367">
        <f>B367*(hospitalityq!K367="")</f>
        <v>0</v>
      </c>
      <c r="L367">
        <f>B367*(hospitalityq!L367="")</f>
        <v>0</v>
      </c>
      <c r="M367">
        <f>B367*(hospitalityq!M367="")</f>
        <v>0</v>
      </c>
      <c r="N367">
        <f>B367*(hospitalityq!N367="")</f>
        <v>0</v>
      </c>
      <c r="O367">
        <f>B367*(hospitalityq!O367="")</f>
        <v>0</v>
      </c>
      <c r="P367">
        <f>B367*(hospitalityq!P367="")</f>
        <v>0</v>
      </c>
      <c r="Q367">
        <f>B367*(hospitalityq!Q367="")</f>
        <v>0</v>
      </c>
      <c r="R367">
        <f>B367*(hospitalityq!R367="")</f>
        <v>0</v>
      </c>
    </row>
    <row r="368" spans="1:18" x14ac:dyDescent="0.25">
      <c r="A368">
        <f t="shared" si="6"/>
        <v>0</v>
      </c>
      <c r="B368" t="b">
        <f>SUMPRODUCT(LEN(hospitalityq!C368:R368))&gt;0</f>
        <v>0</v>
      </c>
      <c r="C368">
        <f>B368*(hospitalityq!C368="")</f>
        <v>0</v>
      </c>
      <c r="E368">
        <f>B368*(hospitalityq!E368="")</f>
        <v>0</v>
      </c>
      <c r="F368">
        <f>B368*(hospitalityq!F368="")</f>
        <v>0</v>
      </c>
      <c r="G368">
        <f>B368*(hospitalityq!G368="")</f>
        <v>0</v>
      </c>
      <c r="H368">
        <f>B368*(hospitalityq!H368="")</f>
        <v>0</v>
      </c>
      <c r="I368">
        <f>B368*(hospitalityq!I368="")</f>
        <v>0</v>
      </c>
      <c r="J368">
        <f>B368*(hospitalityq!J368="")</f>
        <v>0</v>
      </c>
      <c r="K368">
        <f>B368*(hospitalityq!K368="")</f>
        <v>0</v>
      </c>
      <c r="L368">
        <f>B368*(hospitalityq!L368="")</f>
        <v>0</v>
      </c>
      <c r="M368">
        <f>B368*(hospitalityq!M368="")</f>
        <v>0</v>
      </c>
      <c r="N368">
        <f>B368*(hospitalityq!N368="")</f>
        <v>0</v>
      </c>
      <c r="O368">
        <f>B368*(hospitalityq!O368="")</f>
        <v>0</v>
      </c>
      <c r="P368">
        <f>B368*(hospitalityq!P368="")</f>
        <v>0</v>
      </c>
      <c r="Q368">
        <f>B368*(hospitalityq!Q368="")</f>
        <v>0</v>
      </c>
      <c r="R368">
        <f>B368*(hospitalityq!R368="")</f>
        <v>0</v>
      </c>
    </row>
    <row r="369" spans="1:18" x14ac:dyDescent="0.25">
      <c r="A369">
        <f t="shared" si="6"/>
        <v>0</v>
      </c>
      <c r="B369" t="b">
        <f>SUMPRODUCT(LEN(hospitalityq!C369:R369))&gt;0</f>
        <v>0</v>
      </c>
      <c r="C369">
        <f>B369*(hospitalityq!C369="")</f>
        <v>0</v>
      </c>
      <c r="E369">
        <f>B369*(hospitalityq!E369="")</f>
        <v>0</v>
      </c>
      <c r="F369">
        <f>B369*(hospitalityq!F369="")</f>
        <v>0</v>
      </c>
      <c r="G369">
        <f>B369*(hospitalityq!G369="")</f>
        <v>0</v>
      </c>
      <c r="H369">
        <f>B369*(hospitalityq!H369="")</f>
        <v>0</v>
      </c>
      <c r="I369">
        <f>B369*(hospitalityq!I369="")</f>
        <v>0</v>
      </c>
      <c r="J369">
        <f>B369*(hospitalityq!J369="")</f>
        <v>0</v>
      </c>
      <c r="K369">
        <f>B369*(hospitalityq!K369="")</f>
        <v>0</v>
      </c>
      <c r="L369">
        <f>B369*(hospitalityq!L369="")</f>
        <v>0</v>
      </c>
      <c r="M369">
        <f>B369*(hospitalityq!M369="")</f>
        <v>0</v>
      </c>
      <c r="N369">
        <f>B369*(hospitalityq!N369="")</f>
        <v>0</v>
      </c>
      <c r="O369">
        <f>B369*(hospitalityq!O369="")</f>
        <v>0</v>
      </c>
      <c r="P369">
        <f>B369*(hospitalityq!P369="")</f>
        <v>0</v>
      </c>
      <c r="Q369">
        <f>B369*(hospitalityq!Q369="")</f>
        <v>0</v>
      </c>
      <c r="R369">
        <f>B369*(hospitalityq!R369="")</f>
        <v>0</v>
      </c>
    </row>
    <row r="370" spans="1:18" x14ac:dyDescent="0.25">
      <c r="A370">
        <f t="shared" si="6"/>
        <v>0</v>
      </c>
      <c r="B370" t="b">
        <f>SUMPRODUCT(LEN(hospitalityq!C370:R370))&gt;0</f>
        <v>0</v>
      </c>
      <c r="C370">
        <f>B370*(hospitalityq!C370="")</f>
        <v>0</v>
      </c>
      <c r="E370">
        <f>B370*(hospitalityq!E370="")</f>
        <v>0</v>
      </c>
      <c r="F370">
        <f>B370*(hospitalityq!F370="")</f>
        <v>0</v>
      </c>
      <c r="G370">
        <f>B370*(hospitalityq!G370="")</f>
        <v>0</v>
      </c>
      <c r="H370">
        <f>B370*(hospitalityq!H370="")</f>
        <v>0</v>
      </c>
      <c r="I370">
        <f>B370*(hospitalityq!I370="")</f>
        <v>0</v>
      </c>
      <c r="J370">
        <f>B370*(hospitalityq!J370="")</f>
        <v>0</v>
      </c>
      <c r="K370">
        <f>B370*(hospitalityq!K370="")</f>
        <v>0</v>
      </c>
      <c r="L370">
        <f>B370*(hospitalityq!L370="")</f>
        <v>0</v>
      </c>
      <c r="M370">
        <f>B370*(hospitalityq!M370="")</f>
        <v>0</v>
      </c>
      <c r="N370">
        <f>B370*(hospitalityq!N370="")</f>
        <v>0</v>
      </c>
      <c r="O370">
        <f>B370*(hospitalityq!O370="")</f>
        <v>0</v>
      </c>
      <c r="P370">
        <f>B370*(hospitalityq!P370="")</f>
        <v>0</v>
      </c>
      <c r="Q370">
        <f>B370*(hospitalityq!Q370="")</f>
        <v>0</v>
      </c>
      <c r="R370">
        <f>B370*(hospitalityq!R370="")</f>
        <v>0</v>
      </c>
    </row>
    <row r="371" spans="1:18" x14ac:dyDescent="0.25">
      <c r="A371">
        <f t="shared" si="6"/>
        <v>0</v>
      </c>
      <c r="B371" t="b">
        <f>SUMPRODUCT(LEN(hospitalityq!C371:R371))&gt;0</f>
        <v>0</v>
      </c>
      <c r="C371">
        <f>B371*(hospitalityq!C371="")</f>
        <v>0</v>
      </c>
      <c r="E371">
        <f>B371*(hospitalityq!E371="")</f>
        <v>0</v>
      </c>
      <c r="F371">
        <f>B371*(hospitalityq!F371="")</f>
        <v>0</v>
      </c>
      <c r="G371">
        <f>B371*(hospitalityq!G371="")</f>
        <v>0</v>
      </c>
      <c r="H371">
        <f>B371*(hospitalityq!H371="")</f>
        <v>0</v>
      </c>
      <c r="I371">
        <f>B371*(hospitalityq!I371="")</f>
        <v>0</v>
      </c>
      <c r="J371">
        <f>B371*(hospitalityq!J371="")</f>
        <v>0</v>
      </c>
      <c r="K371">
        <f>B371*(hospitalityq!K371="")</f>
        <v>0</v>
      </c>
      <c r="L371">
        <f>B371*(hospitalityq!L371="")</f>
        <v>0</v>
      </c>
      <c r="M371">
        <f>B371*(hospitalityq!M371="")</f>
        <v>0</v>
      </c>
      <c r="N371">
        <f>B371*(hospitalityq!N371="")</f>
        <v>0</v>
      </c>
      <c r="O371">
        <f>B371*(hospitalityq!O371="")</f>
        <v>0</v>
      </c>
      <c r="P371">
        <f>B371*(hospitalityq!P371="")</f>
        <v>0</v>
      </c>
      <c r="Q371">
        <f>B371*(hospitalityq!Q371="")</f>
        <v>0</v>
      </c>
      <c r="R371">
        <f>B371*(hospitalityq!R371="")</f>
        <v>0</v>
      </c>
    </row>
    <row r="372" spans="1:18" x14ac:dyDescent="0.25">
      <c r="A372">
        <f t="shared" si="6"/>
        <v>0</v>
      </c>
      <c r="B372" t="b">
        <f>SUMPRODUCT(LEN(hospitalityq!C372:R372))&gt;0</f>
        <v>0</v>
      </c>
      <c r="C372">
        <f>B372*(hospitalityq!C372="")</f>
        <v>0</v>
      </c>
      <c r="E372">
        <f>B372*(hospitalityq!E372="")</f>
        <v>0</v>
      </c>
      <c r="F372">
        <f>B372*(hospitalityq!F372="")</f>
        <v>0</v>
      </c>
      <c r="G372">
        <f>B372*(hospitalityq!G372="")</f>
        <v>0</v>
      </c>
      <c r="H372">
        <f>B372*(hospitalityq!H372="")</f>
        <v>0</v>
      </c>
      <c r="I372">
        <f>B372*(hospitalityq!I372="")</f>
        <v>0</v>
      </c>
      <c r="J372">
        <f>B372*(hospitalityq!J372="")</f>
        <v>0</v>
      </c>
      <c r="K372">
        <f>B372*(hospitalityq!K372="")</f>
        <v>0</v>
      </c>
      <c r="L372">
        <f>B372*(hospitalityq!L372="")</f>
        <v>0</v>
      </c>
      <c r="M372">
        <f>B372*(hospitalityq!M372="")</f>
        <v>0</v>
      </c>
      <c r="N372">
        <f>B372*(hospitalityq!N372="")</f>
        <v>0</v>
      </c>
      <c r="O372">
        <f>B372*(hospitalityq!O372="")</f>
        <v>0</v>
      </c>
      <c r="P372">
        <f>B372*(hospitalityq!P372="")</f>
        <v>0</v>
      </c>
      <c r="Q372">
        <f>B372*(hospitalityq!Q372="")</f>
        <v>0</v>
      </c>
      <c r="R372">
        <f>B372*(hospitalityq!R372="")</f>
        <v>0</v>
      </c>
    </row>
    <row r="373" spans="1:18" x14ac:dyDescent="0.25">
      <c r="A373">
        <f t="shared" si="6"/>
        <v>0</v>
      </c>
      <c r="B373" t="b">
        <f>SUMPRODUCT(LEN(hospitalityq!C373:R373))&gt;0</f>
        <v>0</v>
      </c>
      <c r="C373">
        <f>B373*(hospitalityq!C373="")</f>
        <v>0</v>
      </c>
      <c r="E373">
        <f>B373*(hospitalityq!E373="")</f>
        <v>0</v>
      </c>
      <c r="F373">
        <f>B373*(hospitalityq!F373="")</f>
        <v>0</v>
      </c>
      <c r="G373">
        <f>B373*(hospitalityq!G373="")</f>
        <v>0</v>
      </c>
      <c r="H373">
        <f>B373*(hospitalityq!H373="")</f>
        <v>0</v>
      </c>
      <c r="I373">
        <f>B373*(hospitalityq!I373="")</f>
        <v>0</v>
      </c>
      <c r="J373">
        <f>B373*(hospitalityq!J373="")</f>
        <v>0</v>
      </c>
      <c r="K373">
        <f>B373*(hospitalityq!K373="")</f>
        <v>0</v>
      </c>
      <c r="L373">
        <f>B373*(hospitalityq!L373="")</f>
        <v>0</v>
      </c>
      <c r="M373">
        <f>B373*(hospitalityq!M373="")</f>
        <v>0</v>
      </c>
      <c r="N373">
        <f>B373*(hospitalityq!N373="")</f>
        <v>0</v>
      </c>
      <c r="O373">
        <f>B373*(hospitalityq!O373="")</f>
        <v>0</v>
      </c>
      <c r="P373">
        <f>B373*(hospitalityq!P373="")</f>
        <v>0</v>
      </c>
      <c r="Q373">
        <f>B373*(hospitalityq!Q373="")</f>
        <v>0</v>
      </c>
      <c r="R373">
        <f>B373*(hospitalityq!R373="")</f>
        <v>0</v>
      </c>
    </row>
    <row r="374" spans="1:18" x14ac:dyDescent="0.25">
      <c r="A374">
        <f t="shared" si="6"/>
        <v>0</v>
      </c>
      <c r="B374" t="b">
        <f>SUMPRODUCT(LEN(hospitalityq!C374:R374))&gt;0</f>
        <v>0</v>
      </c>
      <c r="C374">
        <f>B374*(hospitalityq!C374="")</f>
        <v>0</v>
      </c>
      <c r="E374">
        <f>B374*(hospitalityq!E374="")</f>
        <v>0</v>
      </c>
      <c r="F374">
        <f>B374*(hospitalityq!F374="")</f>
        <v>0</v>
      </c>
      <c r="G374">
        <f>B374*(hospitalityq!G374="")</f>
        <v>0</v>
      </c>
      <c r="H374">
        <f>B374*(hospitalityq!H374="")</f>
        <v>0</v>
      </c>
      <c r="I374">
        <f>B374*(hospitalityq!I374="")</f>
        <v>0</v>
      </c>
      <c r="J374">
        <f>B374*(hospitalityq!J374="")</f>
        <v>0</v>
      </c>
      <c r="K374">
        <f>B374*(hospitalityq!K374="")</f>
        <v>0</v>
      </c>
      <c r="L374">
        <f>B374*(hospitalityq!L374="")</f>
        <v>0</v>
      </c>
      <c r="M374">
        <f>B374*(hospitalityq!M374="")</f>
        <v>0</v>
      </c>
      <c r="N374">
        <f>B374*(hospitalityq!N374="")</f>
        <v>0</v>
      </c>
      <c r="O374">
        <f>B374*(hospitalityq!O374="")</f>
        <v>0</v>
      </c>
      <c r="P374">
        <f>B374*(hospitalityq!P374="")</f>
        <v>0</v>
      </c>
      <c r="Q374">
        <f>B374*(hospitalityq!Q374="")</f>
        <v>0</v>
      </c>
      <c r="R374">
        <f>B374*(hospitalityq!R374="")</f>
        <v>0</v>
      </c>
    </row>
    <row r="375" spans="1:18" x14ac:dyDescent="0.25">
      <c r="A375">
        <f t="shared" si="6"/>
        <v>0</v>
      </c>
      <c r="B375" t="b">
        <f>SUMPRODUCT(LEN(hospitalityq!C375:R375))&gt;0</f>
        <v>0</v>
      </c>
      <c r="C375">
        <f>B375*(hospitalityq!C375="")</f>
        <v>0</v>
      </c>
      <c r="E375">
        <f>B375*(hospitalityq!E375="")</f>
        <v>0</v>
      </c>
      <c r="F375">
        <f>B375*(hospitalityq!F375="")</f>
        <v>0</v>
      </c>
      <c r="G375">
        <f>B375*(hospitalityq!G375="")</f>
        <v>0</v>
      </c>
      <c r="H375">
        <f>B375*(hospitalityq!H375="")</f>
        <v>0</v>
      </c>
      <c r="I375">
        <f>B375*(hospitalityq!I375="")</f>
        <v>0</v>
      </c>
      <c r="J375">
        <f>B375*(hospitalityq!J375="")</f>
        <v>0</v>
      </c>
      <c r="K375">
        <f>B375*(hospitalityq!K375="")</f>
        <v>0</v>
      </c>
      <c r="L375">
        <f>B375*(hospitalityq!L375="")</f>
        <v>0</v>
      </c>
      <c r="M375">
        <f>B375*(hospitalityq!M375="")</f>
        <v>0</v>
      </c>
      <c r="N375">
        <f>B375*(hospitalityq!N375="")</f>
        <v>0</v>
      </c>
      <c r="O375">
        <f>B375*(hospitalityq!O375="")</f>
        <v>0</v>
      </c>
      <c r="P375">
        <f>B375*(hospitalityq!P375="")</f>
        <v>0</v>
      </c>
      <c r="Q375">
        <f>B375*(hospitalityq!Q375="")</f>
        <v>0</v>
      </c>
      <c r="R375">
        <f>B375*(hospitalityq!R375="")</f>
        <v>0</v>
      </c>
    </row>
    <row r="376" spans="1:18" x14ac:dyDescent="0.25">
      <c r="A376">
        <f t="shared" si="6"/>
        <v>0</v>
      </c>
      <c r="B376" t="b">
        <f>SUMPRODUCT(LEN(hospitalityq!C376:R376))&gt;0</f>
        <v>0</v>
      </c>
      <c r="C376">
        <f>B376*(hospitalityq!C376="")</f>
        <v>0</v>
      </c>
      <c r="E376">
        <f>B376*(hospitalityq!E376="")</f>
        <v>0</v>
      </c>
      <c r="F376">
        <f>B376*(hospitalityq!F376="")</f>
        <v>0</v>
      </c>
      <c r="G376">
        <f>B376*(hospitalityq!G376="")</f>
        <v>0</v>
      </c>
      <c r="H376">
        <f>B376*(hospitalityq!H376="")</f>
        <v>0</v>
      </c>
      <c r="I376">
        <f>B376*(hospitalityq!I376="")</f>
        <v>0</v>
      </c>
      <c r="J376">
        <f>B376*(hospitalityq!J376="")</f>
        <v>0</v>
      </c>
      <c r="K376">
        <f>B376*(hospitalityq!K376="")</f>
        <v>0</v>
      </c>
      <c r="L376">
        <f>B376*(hospitalityq!L376="")</f>
        <v>0</v>
      </c>
      <c r="M376">
        <f>B376*(hospitalityq!M376="")</f>
        <v>0</v>
      </c>
      <c r="N376">
        <f>B376*(hospitalityq!N376="")</f>
        <v>0</v>
      </c>
      <c r="O376">
        <f>B376*(hospitalityq!O376="")</f>
        <v>0</v>
      </c>
      <c r="P376">
        <f>B376*(hospitalityq!P376="")</f>
        <v>0</v>
      </c>
      <c r="Q376">
        <f>B376*(hospitalityq!Q376="")</f>
        <v>0</v>
      </c>
      <c r="R376">
        <f>B376*(hospitalityq!R376="")</f>
        <v>0</v>
      </c>
    </row>
    <row r="377" spans="1:18" x14ac:dyDescent="0.25">
      <c r="A377">
        <f t="shared" si="6"/>
        <v>0</v>
      </c>
      <c r="B377" t="b">
        <f>SUMPRODUCT(LEN(hospitalityq!C377:R377))&gt;0</f>
        <v>0</v>
      </c>
      <c r="C377">
        <f>B377*(hospitalityq!C377="")</f>
        <v>0</v>
      </c>
      <c r="E377">
        <f>B377*(hospitalityq!E377="")</f>
        <v>0</v>
      </c>
      <c r="F377">
        <f>B377*(hospitalityq!F377="")</f>
        <v>0</v>
      </c>
      <c r="G377">
        <f>B377*(hospitalityq!G377="")</f>
        <v>0</v>
      </c>
      <c r="H377">
        <f>B377*(hospitalityq!H377="")</f>
        <v>0</v>
      </c>
      <c r="I377">
        <f>B377*(hospitalityq!I377="")</f>
        <v>0</v>
      </c>
      <c r="J377">
        <f>B377*(hospitalityq!J377="")</f>
        <v>0</v>
      </c>
      <c r="K377">
        <f>B377*(hospitalityq!K377="")</f>
        <v>0</v>
      </c>
      <c r="L377">
        <f>B377*(hospitalityq!L377="")</f>
        <v>0</v>
      </c>
      <c r="M377">
        <f>B377*(hospitalityq!M377="")</f>
        <v>0</v>
      </c>
      <c r="N377">
        <f>B377*(hospitalityq!N377="")</f>
        <v>0</v>
      </c>
      <c r="O377">
        <f>B377*(hospitalityq!O377="")</f>
        <v>0</v>
      </c>
      <c r="P377">
        <f>B377*(hospitalityq!P377="")</f>
        <v>0</v>
      </c>
      <c r="Q377">
        <f>B377*(hospitalityq!Q377="")</f>
        <v>0</v>
      </c>
      <c r="R377">
        <f>B377*(hospitalityq!R377="")</f>
        <v>0</v>
      </c>
    </row>
    <row r="378" spans="1:18" x14ac:dyDescent="0.25">
      <c r="A378">
        <f t="shared" si="6"/>
        <v>0</v>
      </c>
      <c r="B378" t="b">
        <f>SUMPRODUCT(LEN(hospitalityq!C378:R378))&gt;0</f>
        <v>0</v>
      </c>
      <c r="C378">
        <f>B378*(hospitalityq!C378="")</f>
        <v>0</v>
      </c>
      <c r="E378">
        <f>B378*(hospitalityq!E378="")</f>
        <v>0</v>
      </c>
      <c r="F378">
        <f>B378*(hospitalityq!F378="")</f>
        <v>0</v>
      </c>
      <c r="G378">
        <f>B378*(hospitalityq!G378="")</f>
        <v>0</v>
      </c>
      <c r="H378">
        <f>B378*(hospitalityq!H378="")</f>
        <v>0</v>
      </c>
      <c r="I378">
        <f>B378*(hospitalityq!I378="")</f>
        <v>0</v>
      </c>
      <c r="J378">
        <f>B378*(hospitalityq!J378="")</f>
        <v>0</v>
      </c>
      <c r="K378">
        <f>B378*(hospitalityq!K378="")</f>
        <v>0</v>
      </c>
      <c r="L378">
        <f>B378*(hospitalityq!L378="")</f>
        <v>0</v>
      </c>
      <c r="M378">
        <f>B378*(hospitalityq!M378="")</f>
        <v>0</v>
      </c>
      <c r="N378">
        <f>B378*(hospitalityq!N378="")</f>
        <v>0</v>
      </c>
      <c r="O378">
        <f>B378*(hospitalityq!O378="")</f>
        <v>0</v>
      </c>
      <c r="P378">
        <f>B378*(hospitalityq!P378="")</f>
        <v>0</v>
      </c>
      <c r="Q378">
        <f>B378*(hospitalityq!Q378="")</f>
        <v>0</v>
      </c>
      <c r="R378">
        <f>B378*(hospitalityq!R378="")</f>
        <v>0</v>
      </c>
    </row>
    <row r="379" spans="1:18" x14ac:dyDescent="0.25">
      <c r="A379">
        <f t="shared" si="6"/>
        <v>0</v>
      </c>
      <c r="B379" t="b">
        <f>SUMPRODUCT(LEN(hospitalityq!C379:R379))&gt;0</f>
        <v>0</v>
      </c>
      <c r="C379">
        <f>B379*(hospitalityq!C379="")</f>
        <v>0</v>
      </c>
      <c r="E379">
        <f>B379*(hospitalityq!E379="")</f>
        <v>0</v>
      </c>
      <c r="F379">
        <f>B379*(hospitalityq!F379="")</f>
        <v>0</v>
      </c>
      <c r="G379">
        <f>B379*(hospitalityq!G379="")</f>
        <v>0</v>
      </c>
      <c r="H379">
        <f>B379*(hospitalityq!H379="")</f>
        <v>0</v>
      </c>
      <c r="I379">
        <f>B379*(hospitalityq!I379="")</f>
        <v>0</v>
      </c>
      <c r="J379">
        <f>B379*(hospitalityq!J379="")</f>
        <v>0</v>
      </c>
      <c r="K379">
        <f>B379*(hospitalityq!K379="")</f>
        <v>0</v>
      </c>
      <c r="L379">
        <f>B379*(hospitalityq!L379="")</f>
        <v>0</v>
      </c>
      <c r="M379">
        <f>B379*(hospitalityq!M379="")</f>
        <v>0</v>
      </c>
      <c r="N379">
        <f>B379*(hospitalityq!N379="")</f>
        <v>0</v>
      </c>
      <c r="O379">
        <f>B379*(hospitalityq!O379="")</f>
        <v>0</v>
      </c>
      <c r="P379">
        <f>B379*(hospitalityq!P379="")</f>
        <v>0</v>
      </c>
      <c r="Q379">
        <f>B379*(hospitalityq!Q379="")</f>
        <v>0</v>
      </c>
      <c r="R379">
        <f>B379*(hospitalityq!R379="")</f>
        <v>0</v>
      </c>
    </row>
    <row r="380" spans="1:18" x14ac:dyDescent="0.25">
      <c r="A380">
        <f t="shared" si="6"/>
        <v>0</v>
      </c>
      <c r="B380" t="b">
        <f>SUMPRODUCT(LEN(hospitalityq!C380:R380))&gt;0</f>
        <v>0</v>
      </c>
      <c r="C380">
        <f>B380*(hospitalityq!C380="")</f>
        <v>0</v>
      </c>
      <c r="E380">
        <f>B380*(hospitalityq!E380="")</f>
        <v>0</v>
      </c>
      <c r="F380">
        <f>B380*(hospitalityq!F380="")</f>
        <v>0</v>
      </c>
      <c r="G380">
        <f>B380*(hospitalityq!G380="")</f>
        <v>0</v>
      </c>
      <c r="H380">
        <f>B380*(hospitalityq!H380="")</f>
        <v>0</v>
      </c>
      <c r="I380">
        <f>B380*(hospitalityq!I380="")</f>
        <v>0</v>
      </c>
      <c r="J380">
        <f>B380*(hospitalityq!J380="")</f>
        <v>0</v>
      </c>
      <c r="K380">
        <f>B380*(hospitalityq!K380="")</f>
        <v>0</v>
      </c>
      <c r="L380">
        <f>B380*(hospitalityq!L380="")</f>
        <v>0</v>
      </c>
      <c r="M380">
        <f>B380*(hospitalityq!M380="")</f>
        <v>0</v>
      </c>
      <c r="N380">
        <f>B380*(hospitalityq!N380="")</f>
        <v>0</v>
      </c>
      <c r="O380">
        <f>B380*(hospitalityq!O380="")</f>
        <v>0</v>
      </c>
      <c r="P380">
        <f>B380*(hospitalityq!P380="")</f>
        <v>0</v>
      </c>
      <c r="Q380">
        <f>B380*(hospitalityq!Q380="")</f>
        <v>0</v>
      </c>
      <c r="R380">
        <f>B380*(hospitalityq!R380="")</f>
        <v>0</v>
      </c>
    </row>
    <row r="381" spans="1:18" x14ac:dyDescent="0.25">
      <c r="A381">
        <f t="shared" si="6"/>
        <v>0</v>
      </c>
      <c r="B381" t="b">
        <f>SUMPRODUCT(LEN(hospitalityq!C381:R381))&gt;0</f>
        <v>0</v>
      </c>
      <c r="C381">
        <f>B381*(hospitalityq!C381="")</f>
        <v>0</v>
      </c>
      <c r="E381">
        <f>B381*(hospitalityq!E381="")</f>
        <v>0</v>
      </c>
      <c r="F381">
        <f>B381*(hospitalityq!F381="")</f>
        <v>0</v>
      </c>
      <c r="G381">
        <f>B381*(hospitalityq!G381="")</f>
        <v>0</v>
      </c>
      <c r="H381">
        <f>B381*(hospitalityq!H381="")</f>
        <v>0</v>
      </c>
      <c r="I381">
        <f>B381*(hospitalityq!I381="")</f>
        <v>0</v>
      </c>
      <c r="J381">
        <f>B381*(hospitalityq!J381="")</f>
        <v>0</v>
      </c>
      <c r="K381">
        <f>B381*(hospitalityq!K381="")</f>
        <v>0</v>
      </c>
      <c r="L381">
        <f>B381*(hospitalityq!L381="")</f>
        <v>0</v>
      </c>
      <c r="M381">
        <f>B381*(hospitalityq!M381="")</f>
        <v>0</v>
      </c>
      <c r="N381">
        <f>B381*(hospitalityq!N381="")</f>
        <v>0</v>
      </c>
      <c r="O381">
        <f>B381*(hospitalityq!O381="")</f>
        <v>0</v>
      </c>
      <c r="P381">
        <f>B381*(hospitalityq!P381="")</f>
        <v>0</v>
      </c>
      <c r="Q381">
        <f>B381*(hospitalityq!Q381="")</f>
        <v>0</v>
      </c>
      <c r="R381">
        <f>B381*(hospitalityq!R381="")</f>
        <v>0</v>
      </c>
    </row>
    <row r="382" spans="1:18" x14ac:dyDescent="0.25">
      <c r="A382">
        <f t="shared" si="6"/>
        <v>0</v>
      </c>
      <c r="B382" t="b">
        <f>SUMPRODUCT(LEN(hospitalityq!C382:R382))&gt;0</f>
        <v>0</v>
      </c>
      <c r="C382">
        <f>B382*(hospitalityq!C382="")</f>
        <v>0</v>
      </c>
      <c r="E382">
        <f>B382*(hospitalityq!E382="")</f>
        <v>0</v>
      </c>
      <c r="F382">
        <f>B382*(hospitalityq!F382="")</f>
        <v>0</v>
      </c>
      <c r="G382">
        <f>B382*(hospitalityq!G382="")</f>
        <v>0</v>
      </c>
      <c r="H382">
        <f>B382*(hospitalityq!H382="")</f>
        <v>0</v>
      </c>
      <c r="I382">
        <f>B382*(hospitalityq!I382="")</f>
        <v>0</v>
      </c>
      <c r="J382">
        <f>B382*(hospitalityq!J382="")</f>
        <v>0</v>
      </c>
      <c r="K382">
        <f>B382*(hospitalityq!K382="")</f>
        <v>0</v>
      </c>
      <c r="L382">
        <f>B382*(hospitalityq!L382="")</f>
        <v>0</v>
      </c>
      <c r="M382">
        <f>B382*(hospitalityq!M382="")</f>
        <v>0</v>
      </c>
      <c r="N382">
        <f>B382*(hospitalityq!N382="")</f>
        <v>0</v>
      </c>
      <c r="O382">
        <f>B382*(hospitalityq!O382="")</f>
        <v>0</v>
      </c>
      <c r="P382">
        <f>B382*(hospitalityq!P382="")</f>
        <v>0</v>
      </c>
      <c r="Q382">
        <f>B382*(hospitalityq!Q382="")</f>
        <v>0</v>
      </c>
      <c r="R382">
        <f>B382*(hospitalityq!R382="")</f>
        <v>0</v>
      </c>
    </row>
    <row r="383" spans="1:18" x14ac:dyDescent="0.25">
      <c r="A383">
        <f t="shared" si="6"/>
        <v>0</v>
      </c>
      <c r="B383" t="b">
        <f>SUMPRODUCT(LEN(hospitalityq!C383:R383))&gt;0</f>
        <v>0</v>
      </c>
      <c r="C383">
        <f>B383*(hospitalityq!C383="")</f>
        <v>0</v>
      </c>
      <c r="E383">
        <f>B383*(hospitalityq!E383="")</f>
        <v>0</v>
      </c>
      <c r="F383">
        <f>B383*(hospitalityq!F383="")</f>
        <v>0</v>
      </c>
      <c r="G383">
        <f>B383*(hospitalityq!G383="")</f>
        <v>0</v>
      </c>
      <c r="H383">
        <f>B383*(hospitalityq!H383="")</f>
        <v>0</v>
      </c>
      <c r="I383">
        <f>B383*(hospitalityq!I383="")</f>
        <v>0</v>
      </c>
      <c r="J383">
        <f>B383*(hospitalityq!J383="")</f>
        <v>0</v>
      </c>
      <c r="K383">
        <f>B383*(hospitalityq!K383="")</f>
        <v>0</v>
      </c>
      <c r="L383">
        <f>B383*(hospitalityq!L383="")</f>
        <v>0</v>
      </c>
      <c r="M383">
        <f>B383*(hospitalityq!M383="")</f>
        <v>0</v>
      </c>
      <c r="N383">
        <f>B383*(hospitalityq!N383="")</f>
        <v>0</v>
      </c>
      <c r="O383">
        <f>B383*(hospitalityq!O383="")</f>
        <v>0</v>
      </c>
      <c r="P383">
        <f>B383*(hospitalityq!P383="")</f>
        <v>0</v>
      </c>
      <c r="Q383">
        <f>B383*(hospitalityq!Q383="")</f>
        <v>0</v>
      </c>
      <c r="R383">
        <f>B383*(hospitalityq!R383="")</f>
        <v>0</v>
      </c>
    </row>
    <row r="384" spans="1:18" x14ac:dyDescent="0.25">
      <c r="A384">
        <f t="shared" si="6"/>
        <v>0</v>
      </c>
      <c r="B384" t="b">
        <f>SUMPRODUCT(LEN(hospitalityq!C384:R384))&gt;0</f>
        <v>0</v>
      </c>
      <c r="C384">
        <f>B384*(hospitalityq!C384="")</f>
        <v>0</v>
      </c>
      <c r="E384">
        <f>B384*(hospitalityq!E384="")</f>
        <v>0</v>
      </c>
      <c r="F384">
        <f>B384*(hospitalityq!F384="")</f>
        <v>0</v>
      </c>
      <c r="G384">
        <f>B384*(hospitalityq!G384="")</f>
        <v>0</v>
      </c>
      <c r="H384">
        <f>B384*(hospitalityq!H384="")</f>
        <v>0</v>
      </c>
      <c r="I384">
        <f>B384*(hospitalityq!I384="")</f>
        <v>0</v>
      </c>
      <c r="J384">
        <f>B384*(hospitalityq!J384="")</f>
        <v>0</v>
      </c>
      <c r="K384">
        <f>B384*(hospitalityq!K384="")</f>
        <v>0</v>
      </c>
      <c r="L384">
        <f>B384*(hospitalityq!L384="")</f>
        <v>0</v>
      </c>
      <c r="M384">
        <f>B384*(hospitalityq!M384="")</f>
        <v>0</v>
      </c>
      <c r="N384">
        <f>B384*(hospitalityq!N384="")</f>
        <v>0</v>
      </c>
      <c r="O384">
        <f>B384*(hospitalityq!O384="")</f>
        <v>0</v>
      </c>
      <c r="P384">
        <f>B384*(hospitalityq!P384="")</f>
        <v>0</v>
      </c>
      <c r="Q384">
        <f>B384*(hospitalityq!Q384="")</f>
        <v>0</v>
      </c>
      <c r="R384">
        <f>B384*(hospitalityq!R384="")</f>
        <v>0</v>
      </c>
    </row>
    <row r="385" spans="1:18" x14ac:dyDescent="0.25">
      <c r="A385">
        <f t="shared" si="6"/>
        <v>0</v>
      </c>
      <c r="B385" t="b">
        <f>SUMPRODUCT(LEN(hospitalityq!C385:R385))&gt;0</f>
        <v>0</v>
      </c>
      <c r="C385">
        <f>B385*(hospitalityq!C385="")</f>
        <v>0</v>
      </c>
      <c r="E385">
        <f>B385*(hospitalityq!E385="")</f>
        <v>0</v>
      </c>
      <c r="F385">
        <f>B385*(hospitalityq!F385="")</f>
        <v>0</v>
      </c>
      <c r="G385">
        <f>B385*(hospitalityq!G385="")</f>
        <v>0</v>
      </c>
      <c r="H385">
        <f>B385*(hospitalityq!H385="")</f>
        <v>0</v>
      </c>
      <c r="I385">
        <f>B385*(hospitalityq!I385="")</f>
        <v>0</v>
      </c>
      <c r="J385">
        <f>B385*(hospitalityq!J385="")</f>
        <v>0</v>
      </c>
      <c r="K385">
        <f>B385*(hospitalityq!K385="")</f>
        <v>0</v>
      </c>
      <c r="L385">
        <f>B385*(hospitalityq!L385="")</f>
        <v>0</v>
      </c>
      <c r="M385">
        <f>B385*(hospitalityq!M385="")</f>
        <v>0</v>
      </c>
      <c r="N385">
        <f>B385*(hospitalityq!N385="")</f>
        <v>0</v>
      </c>
      <c r="O385">
        <f>B385*(hospitalityq!O385="")</f>
        <v>0</v>
      </c>
      <c r="P385">
        <f>B385*(hospitalityq!P385="")</f>
        <v>0</v>
      </c>
      <c r="Q385">
        <f>B385*(hospitalityq!Q385="")</f>
        <v>0</v>
      </c>
      <c r="R385">
        <f>B385*(hospitalityq!R385="")</f>
        <v>0</v>
      </c>
    </row>
    <row r="386" spans="1:18" x14ac:dyDescent="0.25">
      <c r="A386">
        <f t="shared" si="6"/>
        <v>0</v>
      </c>
      <c r="B386" t="b">
        <f>SUMPRODUCT(LEN(hospitalityq!C386:R386))&gt;0</f>
        <v>0</v>
      </c>
      <c r="C386">
        <f>B386*(hospitalityq!C386="")</f>
        <v>0</v>
      </c>
      <c r="E386">
        <f>B386*(hospitalityq!E386="")</f>
        <v>0</v>
      </c>
      <c r="F386">
        <f>B386*(hospitalityq!F386="")</f>
        <v>0</v>
      </c>
      <c r="G386">
        <f>B386*(hospitalityq!G386="")</f>
        <v>0</v>
      </c>
      <c r="H386">
        <f>B386*(hospitalityq!H386="")</f>
        <v>0</v>
      </c>
      <c r="I386">
        <f>B386*(hospitalityq!I386="")</f>
        <v>0</v>
      </c>
      <c r="J386">
        <f>B386*(hospitalityq!J386="")</f>
        <v>0</v>
      </c>
      <c r="K386">
        <f>B386*(hospitalityq!K386="")</f>
        <v>0</v>
      </c>
      <c r="L386">
        <f>B386*(hospitalityq!L386="")</f>
        <v>0</v>
      </c>
      <c r="M386">
        <f>B386*(hospitalityq!M386="")</f>
        <v>0</v>
      </c>
      <c r="N386">
        <f>B386*(hospitalityq!N386="")</f>
        <v>0</v>
      </c>
      <c r="O386">
        <f>B386*(hospitalityq!O386="")</f>
        <v>0</v>
      </c>
      <c r="P386">
        <f>B386*(hospitalityq!P386="")</f>
        <v>0</v>
      </c>
      <c r="Q386">
        <f>B386*(hospitalityq!Q386="")</f>
        <v>0</v>
      </c>
      <c r="R386">
        <f>B386*(hospitalityq!R386="")</f>
        <v>0</v>
      </c>
    </row>
    <row r="387" spans="1:18" x14ac:dyDescent="0.25">
      <c r="A387">
        <f t="shared" si="6"/>
        <v>0</v>
      </c>
      <c r="B387" t="b">
        <f>SUMPRODUCT(LEN(hospitalityq!C387:R387))&gt;0</f>
        <v>0</v>
      </c>
      <c r="C387">
        <f>B387*(hospitalityq!C387="")</f>
        <v>0</v>
      </c>
      <c r="E387">
        <f>B387*(hospitalityq!E387="")</f>
        <v>0</v>
      </c>
      <c r="F387">
        <f>B387*(hospitalityq!F387="")</f>
        <v>0</v>
      </c>
      <c r="G387">
        <f>B387*(hospitalityq!G387="")</f>
        <v>0</v>
      </c>
      <c r="H387">
        <f>B387*(hospitalityq!H387="")</f>
        <v>0</v>
      </c>
      <c r="I387">
        <f>B387*(hospitalityq!I387="")</f>
        <v>0</v>
      </c>
      <c r="J387">
        <f>B387*(hospitalityq!J387="")</f>
        <v>0</v>
      </c>
      <c r="K387">
        <f>B387*(hospitalityq!K387="")</f>
        <v>0</v>
      </c>
      <c r="L387">
        <f>B387*(hospitalityq!L387="")</f>
        <v>0</v>
      </c>
      <c r="M387">
        <f>B387*(hospitalityq!M387="")</f>
        <v>0</v>
      </c>
      <c r="N387">
        <f>B387*(hospitalityq!N387="")</f>
        <v>0</v>
      </c>
      <c r="O387">
        <f>B387*(hospitalityq!O387="")</f>
        <v>0</v>
      </c>
      <c r="P387">
        <f>B387*(hospitalityq!P387="")</f>
        <v>0</v>
      </c>
      <c r="Q387">
        <f>B387*(hospitalityq!Q387="")</f>
        <v>0</v>
      </c>
      <c r="R387">
        <f>B387*(hospitalityq!R387="")</f>
        <v>0</v>
      </c>
    </row>
    <row r="388" spans="1:18" x14ac:dyDescent="0.25">
      <c r="A388">
        <f t="shared" si="6"/>
        <v>0</v>
      </c>
      <c r="B388" t="b">
        <f>SUMPRODUCT(LEN(hospitalityq!C388:R388))&gt;0</f>
        <v>0</v>
      </c>
      <c r="C388">
        <f>B388*(hospitalityq!C388="")</f>
        <v>0</v>
      </c>
      <c r="E388">
        <f>B388*(hospitalityq!E388="")</f>
        <v>0</v>
      </c>
      <c r="F388">
        <f>B388*(hospitalityq!F388="")</f>
        <v>0</v>
      </c>
      <c r="G388">
        <f>B388*(hospitalityq!G388="")</f>
        <v>0</v>
      </c>
      <c r="H388">
        <f>B388*(hospitalityq!H388="")</f>
        <v>0</v>
      </c>
      <c r="I388">
        <f>B388*(hospitalityq!I388="")</f>
        <v>0</v>
      </c>
      <c r="J388">
        <f>B388*(hospitalityq!J388="")</f>
        <v>0</v>
      </c>
      <c r="K388">
        <f>B388*(hospitalityq!K388="")</f>
        <v>0</v>
      </c>
      <c r="L388">
        <f>B388*(hospitalityq!L388="")</f>
        <v>0</v>
      </c>
      <c r="M388">
        <f>B388*(hospitalityq!M388="")</f>
        <v>0</v>
      </c>
      <c r="N388">
        <f>B388*(hospitalityq!N388="")</f>
        <v>0</v>
      </c>
      <c r="O388">
        <f>B388*(hospitalityq!O388="")</f>
        <v>0</v>
      </c>
      <c r="P388">
        <f>B388*(hospitalityq!P388="")</f>
        <v>0</v>
      </c>
      <c r="Q388">
        <f>B388*(hospitalityq!Q388="")</f>
        <v>0</v>
      </c>
      <c r="R388">
        <f>B388*(hospitalityq!R388="")</f>
        <v>0</v>
      </c>
    </row>
    <row r="389" spans="1:18" x14ac:dyDescent="0.25">
      <c r="A389">
        <f t="shared" si="6"/>
        <v>0</v>
      </c>
      <c r="B389" t="b">
        <f>SUMPRODUCT(LEN(hospitalityq!C389:R389))&gt;0</f>
        <v>0</v>
      </c>
      <c r="C389">
        <f>B389*(hospitalityq!C389="")</f>
        <v>0</v>
      </c>
      <c r="E389">
        <f>B389*(hospitalityq!E389="")</f>
        <v>0</v>
      </c>
      <c r="F389">
        <f>B389*(hospitalityq!F389="")</f>
        <v>0</v>
      </c>
      <c r="G389">
        <f>B389*(hospitalityq!G389="")</f>
        <v>0</v>
      </c>
      <c r="H389">
        <f>B389*(hospitalityq!H389="")</f>
        <v>0</v>
      </c>
      <c r="I389">
        <f>B389*(hospitalityq!I389="")</f>
        <v>0</v>
      </c>
      <c r="J389">
        <f>B389*(hospitalityq!J389="")</f>
        <v>0</v>
      </c>
      <c r="K389">
        <f>B389*(hospitalityq!K389="")</f>
        <v>0</v>
      </c>
      <c r="L389">
        <f>B389*(hospitalityq!L389="")</f>
        <v>0</v>
      </c>
      <c r="M389">
        <f>B389*(hospitalityq!M389="")</f>
        <v>0</v>
      </c>
      <c r="N389">
        <f>B389*(hospitalityq!N389="")</f>
        <v>0</v>
      </c>
      <c r="O389">
        <f>B389*(hospitalityq!O389="")</f>
        <v>0</v>
      </c>
      <c r="P389">
        <f>B389*(hospitalityq!P389="")</f>
        <v>0</v>
      </c>
      <c r="Q389">
        <f>B389*(hospitalityq!Q389="")</f>
        <v>0</v>
      </c>
      <c r="R389">
        <f>B389*(hospitalityq!R389="")</f>
        <v>0</v>
      </c>
    </row>
    <row r="390" spans="1:18" x14ac:dyDescent="0.25">
      <c r="A390">
        <f t="shared" ref="A390:A453" si="7">IFERROR(MATCH(TRUE,INDEX(C390:R390&lt;&gt;0,),)+2,0)</f>
        <v>0</v>
      </c>
      <c r="B390" t="b">
        <f>SUMPRODUCT(LEN(hospitalityq!C390:R390))&gt;0</f>
        <v>0</v>
      </c>
      <c r="C390">
        <f>B390*(hospitalityq!C390="")</f>
        <v>0</v>
      </c>
      <c r="E390">
        <f>B390*(hospitalityq!E390="")</f>
        <v>0</v>
      </c>
      <c r="F390">
        <f>B390*(hospitalityq!F390="")</f>
        <v>0</v>
      </c>
      <c r="G390">
        <f>B390*(hospitalityq!G390="")</f>
        <v>0</v>
      </c>
      <c r="H390">
        <f>B390*(hospitalityq!H390="")</f>
        <v>0</v>
      </c>
      <c r="I390">
        <f>B390*(hospitalityq!I390="")</f>
        <v>0</v>
      </c>
      <c r="J390">
        <f>B390*(hospitalityq!J390="")</f>
        <v>0</v>
      </c>
      <c r="K390">
        <f>B390*(hospitalityq!K390="")</f>
        <v>0</v>
      </c>
      <c r="L390">
        <f>B390*(hospitalityq!L390="")</f>
        <v>0</v>
      </c>
      <c r="M390">
        <f>B390*(hospitalityq!M390="")</f>
        <v>0</v>
      </c>
      <c r="N390">
        <f>B390*(hospitalityq!N390="")</f>
        <v>0</v>
      </c>
      <c r="O390">
        <f>B390*(hospitalityq!O390="")</f>
        <v>0</v>
      </c>
      <c r="P390">
        <f>B390*(hospitalityq!P390="")</f>
        <v>0</v>
      </c>
      <c r="Q390">
        <f>B390*(hospitalityq!Q390="")</f>
        <v>0</v>
      </c>
      <c r="R390">
        <f>B390*(hospitalityq!R390="")</f>
        <v>0</v>
      </c>
    </row>
    <row r="391" spans="1:18" x14ac:dyDescent="0.25">
      <c r="A391">
        <f t="shared" si="7"/>
        <v>0</v>
      </c>
      <c r="B391" t="b">
        <f>SUMPRODUCT(LEN(hospitalityq!C391:R391))&gt;0</f>
        <v>0</v>
      </c>
      <c r="C391">
        <f>B391*(hospitalityq!C391="")</f>
        <v>0</v>
      </c>
      <c r="E391">
        <f>B391*(hospitalityq!E391="")</f>
        <v>0</v>
      </c>
      <c r="F391">
        <f>B391*(hospitalityq!F391="")</f>
        <v>0</v>
      </c>
      <c r="G391">
        <f>B391*(hospitalityq!G391="")</f>
        <v>0</v>
      </c>
      <c r="H391">
        <f>B391*(hospitalityq!H391="")</f>
        <v>0</v>
      </c>
      <c r="I391">
        <f>B391*(hospitalityq!I391="")</f>
        <v>0</v>
      </c>
      <c r="J391">
        <f>B391*(hospitalityq!J391="")</f>
        <v>0</v>
      </c>
      <c r="K391">
        <f>B391*(hospitalityq!K391="")</f>
        <v>0</v>
      </c>
      <c r="L391">
        <f>B391*(hospitalityq!L391="")</f>
        <v>0</v>
      </c>
      <c r="M391">
        <f>B391*(hospitalityq!M391="")</f>
        <v>0</v>
      </c>
      <c r="N391">
        <f>B391*(hospitalityq!N391="")</f>
        <v>0</v>
      </c>
      <c r="O391">
        <f>B391*(hospitalityq!O391="")</f>
        <v>0</v>
      </c>
      <c r="P391">
        <f>B391*(hospitalityq!P391="")</f>
        <v>0</v>
      </c>
      <c r="Q391">
        <f>B391*(hospitalityq!Q391="")</f>
        <v>0</v>
      </c>
      <c r="R391">
        <f>B391*(hospitalityq!R391="")</f>
        <v>0</v>
      </c>
    </row>
    <row r="392" spans="1:18" x14ac:dyDescent="0.25">
      <c r="A392">
        <f t="shared" si="7"/>
        <v>0</v>
      </c>
      <c r="B392" t="b">
        <f>SUMPRODUCT(LEN(hospitalityq!C392:R392))&gt;0</f>
        <v>0</v>
      </c>
      <c r="C392">
        <f>B392*(hospitalityq!C392="")</f>
        <v>0</v>
      </c>
      <c r="E392">
        <f>B392*(hospitalityq!E392="")</f>
        <v>0</v>
      </c>
      <c r="F392">
        <f>B392*(hospitalityq!F392="")</f>
        <v>0</v>
      </c>
      <c r="G392">
        <f>B392*(hospitalityq!G392="")</f>
        <v>0</v>
      </c>
      <c r="H392">
        <f>B392*(hospitalityq!H392="")</f>
        <v>0</v>
      </c>
      <c r="I392">
        <f>B392*(hospitalityq!I392="")</f>
        <v>0</v>
      </c>
      <c r="J392">
        <f>B392*(hospitalityq!J392="")</f>
        <v>0</v>
      </c>
      <c r="K392">
        <f>B392*(hospitalityq!K392="")</f>
        <v>0</v>
      </c>
      <c r="L392">
        <f>B392*(hospitalityq!L392="")</f>
        <v>0</v>
      </c>
      <c r="M392">
        <f>B392*(hospitalityq!M392="")</f>
        <v>0</v>
      </c>
      <c r="N392">
        <f>B392*(hospitalityq!N392="")</f>
        <v>0</v>
      </c>
      <c r="O392">
        <f>B392*(hospitalityq!O392="")</f>
        <v>0</v>
      </c>
      <c r="P392">
        <f>B392*(hospitalityq!P392="")</f>
        <v>0</v>
      </c>
      <c r="Q392">
        <f>B392*(hospitalityq!Q392="")</f>
        <v>0</v>
      </c>
      <c r="R392">
        <f>B392*(hospitalityq!R392="")</f>
        <v>0</v>
      </c>
    </row>
    <row r="393" spans="1:18" x14ac:dyDescent="0.25">
      <c r="A393">
        <f t="shared" si="7"/>
        <v>0</v>
      </c>
      <c r="B393" t="b">
        <f>SUMPRODUCT(LEN(hospitalityq!C393:R393))&gt;0</f>
        <v>0</v>
      </c>
      <c r="C393">
        <f>B393*(hospitalityq!C393="")</f>
        <v>0</v>
      </c>
      <c r="E393">
        <f>B393*(hospitalityq!E393="")</f>
        <v>0</v>
      </c>
      <c r="F393">
        <f>B393*(hospitalityq!F393="")</f>
        <v>0</v>
      </c>
      <c r="G393">
        <f>B393*(hospitalityq!G393="")</f>
        <v>0</v>
      </c>
      <c r="H393">
        <f>B393*(hospitalityq!H393="")</f>
        <v>0</v>
      </c>
      <c r="I393">
        <f>B393*(hospitalityq!I393="")</f>
        <v>0</v>
      </c>
      <c r="J393">
        <f>B393*(hospitalityq!J393="")</f>
        <v>0</v>
      </c>
      <c r="K393">
        <f>B393*(hospitalityq!K393="")</f>
        <v>0</v>
      </c>
      <c r="L393">
        <f>B393*(hospitalityq!L393="")</f>
        <v>0</v>
      </c>
      <c r="M393">
        <f>B393*(hospitalityq!M393="")</f>
        <v>0</v>
      </c>
      <c r="N393">
        <f>B393*(hospitalityq!N393="")</f>
        <v>0</v>
      </c>
      <c r="O393">
        <f>B393*(hospitalityq!O393="")</f>
        <v>0</v>
      </c>
      <c r="P393">
        <f>B393*(hospitalityq!P393="")</f>
        <v>0</v>
      </c>
      <c r="Q393">
        <f>B393*(hospitalityq!Q393="")</f>
        <v>0</v>
      </c>
      <c r="R393">
        <f>B393*(hospitalityq!R393="")</f>
        <v>0</v>
      </c>
    </row>
    <row r="394" spans="1:18" x14ac:dyDescent="0.25">
      <c r="A394">
        <f t="shared" si="7"/>
        <v>0</v>
      </c>
      <c r="B394" t="b">
        <f>SUMPRODUCT(LEN(hospitalityq!C394:R394))&gt;0</f>
        <v>0</v>
      </c>
      <c r="C394">
        <f>B394*(hospitalityq!C394="")</f>
        <v>0</v>
      </c>
      <c r="E394">
        <f>B394*(hospitalityq!E394="")</f>
        <v>0</v>
      </c>
      <c r="F394">
        <f>B394*(hospitalityq!F394="")</f>
        <v>0</v>
      </c>
      <c r="G394">
        <f>B394*(hospitalityq!G394="")</f>
        <v>0</v>
      </c>
      <c r="H394">
        <f>B394*(hospitalityq!H394="")</f>
        <v>0</v>
      </c>
      <c r="I394">
        <f>B394*(hospitalityq!I394="")</f>
        <v>0</v>
      </c>
      <c r="J394">
        <f>B394*(hospitalityq!J394="")</f>
        <v>0</v>
      </c>
      <c r="K394">
        <f>B394*(hospitalityq!K394="")</f>
        <v>0</v>
      </c>
      <c r="L394">
        <f>B394*(hospitalityq!L394="")</f>
        <v>0</v>
      </c>
      <c r="M394">
        <f>B394*(hospitalityq!M394="")</f>
        <v>0</v>
      </c>
      <c r="N394">
        <f>B394*(hospitalityq!N394="")</f>
        <v>0</v>
      </c>
      <c r="O394">
        <f>B394*(hospitalityq!O394="")</f>
        <v>0</v>
      </c>
      <c r="P394">
        <f>B394*(hospitalityq!P394="")</f>
        <v>0</v>
      </c>
      <c r="Q394">
        <f>B394*(hospitalityq!Q394="")</f>
        <v>0</v>
      </c>
      <c r="R394">
        <f>B394*(hospitalityq!R394="")</f>
        <v>0</v>
      </c>
    </row>
    <row r="395" spans="1:18" x14ac:dyDescent="0.25">
      <c r="A395">
        <f t="shared" si="7"/>
        <v>0</v>
      </c>
      <c r="B395" t="b">
        <f>SUMPRODUCT(LEN(hospitalityq!C395:R395))&gt;0</f>
        <v>0</v>
      </c>
      <c r="C395">
        <f>B395*(hospitalityq!C395="")</f>
        <v>0</v>
      </c>
      <c r="E395">
        <f>B395*(hospitalityq!E395="")</f>
        <v>0</v>
      </c>
      <c r="F395">
        <f>B395*(hospitalityq!F395="")</f>
        <v>0</v>
      </c>
      <c r="G395">
        <f>B395*(hospitalityq!G395="")</f>
        <v>0</v>
      </c>
      <c r="H395">
        <f>B395*(hospitalityq!H395="")</f>
        <v>0</v>
      </c>
      <c r="I395">
        <f>B395*(hospitalityq!I395="")</f>
        <v>0</v>
      </c>
      <c r="J395">
        <f>B395*(hospitalityq!J395="")</f>
        <v>0</v>
      </c>
      <c r="K395">
        <f>B395*(hospitalityq!K395="")</f>
        <v>0</v>
      </c>
      <c r="L395">
        <f>B395*(hospitalityq!L395="")</f>
        <v>0</v>
      </c>
      <c r="M395">
        <f>B395*(hospitalityq!M395="")</f>
        <v>0</v>
      </c>
      <c r="N395">
        <f>B395*(hospitalityq!N395="")</f>
        <v>0</v>
      </c>
      <c r="O395">
        <f>B395*(hospitalityq!O395="")</f>
        <v>0</v>
      </c>
      <c r="P395">
        <f>B395*(hospitalityq!P395="")</f>
        <v>0</v>
      </c>
      <c r="Q395">
        <f>B395*(hospitalityq!Q395="")</f>
        <v>0</v>
      </c>
      <c r="R395">
        <f>B395*(hospitalityq!R395="")</f>
        <v>0</v>
      </c>
    </row>
    <row r="396" spans="1:18" x14ac:dyDescent="0.25">
      <c r="A396">
        <f t="shared" si="7"/>
        <v>0</v>
      </c>
      <c r="B396" t="b">
        <f>SUMPRODUCT(LEN(hospitalityq!C396:R396))&gt;0</f>
        <v>0</v>
      </c>
      <c r="C396">
        <f>B396*(hospitalityq!C396="")</f>
        <v>0</v>
      </c>
      <c r="E396">
        <f>B396*(hospitalityq!E396="")</f>
        <v>0</v>
      </c>
      <c r="F396">
        <f>B396*(hospitalityq!F396="")</f>
        <v>0</v>
      </c>
      <c r="G396">
        <f>B396*(hospitalityq!G396="")</f>
        <v>0</v>
      </c>
      <c r="H396">
        <f>B396*(hospitalityq!H396="")</f>
        <v>0</v>
      </c>
      <c r="I396">
        <f>B396*(hospitalityq!I396="")</f>
        <v>0</v>
      </c>
      <c r="J396">
        <f>B396*(hospitalityq!J396="")</f>
        <v>0</v>
      </c>
      <c r="K396">
        <f>B396*(hospitalityq!K396="")</f>
        <v>0</v>
      </c>
      <c r="L396">
        <f>B396*(hospitalityq!L396="")</f>
        <v>0</v>
      </c>
      <c r="M396">
        <f>B396*(hospitalityq!M396="")</f>
        <v>0</v>
      </c>
      <c r="N396">
        <f>B396*(hospitalityq!N396="")</f>
        <v>0</v>
      </c>
      <c r="O396">
        <f>B396*(hospitalityq!O396="")</f>
        <v>0</v>
      </c>
      <c r="P396">
        <f>B396*(hospitalityq!P396="")</f>
        <v>0</v>
      </c>
      <c r="Q396">
        <f>B396*(hospitalityq!Q396="")</f>
        <v>0</v>
      </c>
      <c r="R396">
        <f>B396*(hospitalityq!R396="")</f>
        <v>0</v>
      </c>
    </row>
    <row r="397" spans="1:18" x14ac:dyDescent="0.25">
      <c r="A397">
        <f t="shared" si="7"/>
        <v>0</v>
      </c>
      <c r="B397" t="b">
        <f>SUMPRODUCT(LEN(hospitalityq!C397:R397))&gt;0</f>
        <v>0</v>
      </c>
      <c r="C397">
        <f>B397*(hospitalityq!C397="")</f>
        <v>0</v>
      </c>
      <c r="E397">
        <f>B397*(hospitalityq!E397="")</f>
        <v>0</v>
      </c>
      <c r="F397">
        <f>B397*(hospitalityq!F397="")</f>
        <v>0</v>
      </c>
      <c r="G397">
        <f>B397*(hospitalityq!G397="")</f>
        <v>0</v>
      </c>
      <c r="H397">
        <f>B397*(hospitalityq!H397="")</f>
        <v>0</v>
      </c>
      <c r="I397">
        <f>B397*(hospitalityq!I397="")</f>
        <v>0</v>
      </c>
      <c r="J397">
        <f>B397*(hospitalityq!J397="")</f>
        <v>0</v>
      </c>
      <c r="K397">
        <f>B397*(hospitalityq!K397="")</f>
        <v>0</v>
      </c>
      <c r="L397">
        <f>B397*(hospitalityq!L397="")</f>
        <v>0</v>
      </c>
      <c r="M397">
        <f>B397*(hospitalityq!M397="")</f>
        <v>0</v>
      </c>
      <c r="N397">
        <f>B397*(hospitalityq!N397="")</f>
        <v>0</v>
      </c>
      <c r="O397">
        <f>B397*(hospitalityq!O397="")</f>
        <v>0</v>
      </c>
      <c r="P397">
        <f>B397*(hospitalityq!P397="")</f>
        <v>0</v>
      </c>
      <c r="Q397">
        <f>B397*(hospitalityq!Q397="")</f>
        <v>0</v>
      </c>
      <c r="R397">
        <f>B397*(hospitalityq!R397="")</f>
        <v>0</v>
      </c>
    </row>
    <row r="398" spans="1:18" x14ac:dyDescent="0.25">
      <c r="A398">
        <f t="shared" si="7"/>
        <v>0</v>
      </c>
      <c r="B398" t="b">
        <f>SUMPRODUCT(LEN(hospitalityq!C398:R398))&gt;0</f>
        <v>0</v>
      </c>
      <c r="C398">
        <f>B398*(hospitalityq!C398="")</f>
        <v>0</v>
      </c>
      <c r="E398">
        <f>B398*(hospitalityq!E398="")</f>
        <v>0</v>
      </c>
      <c r="F398">
        <f>B398*(hospitalityq!F398="")</f>
        <v>0</v>
      </c>
      <c r="G398">
        <f>B398*(hospitalityq!G398="")</f>
        <v>0</v>
      </c>
      <c r="H398">
        <f>B398*(hospitalityq!H398="")</f>
        <v>0</v>
      </c>
      <c r="I398">
        <f>B398*(hospitalityq!I398="")</f>
        <v>0</v>
      </c>
      <c r="J398">
        <f>B398*(hospitalityq!J398="")</f>
        <v>0</v>
      </c>
      <c r="K398">
        <f>B398*(hospitalityq!K398="")</f>
        <v>0</v>
      </c>
      <c r="L398">
        <f>B398*(hospitalityq!L398="")</f>
        <v>0</v>
      </c>
      <c r="M398">
        <f>B398*(hospitalityq!M398="")</f>
        <v>0</v>
      </c>
      <c r="N398">
        <f>B398*(hospitalityq!N398="")</f>
        <v>0</v>
      </c>
      <c r="O398">
        <f>B398*(hospitalityq!O398="")</f>
        <v>0</v>
      </c>
      <c r="P398">
        <f>B398*(hospitalityq!P398="")</f>
        <v>0</v>
      </c>
      <c r="Q398">
        <f>B398*(hospitalityq!Q398="")</f>
        <v>0</v>
      </c>
      <c r="R398">
        <f>B398*(hospitalityq!R398="")</f>
        <v>0</v>
      </c>
    </row>
    <row r="399" spans="1:18" x14ac:dyDescent="0.25">
      <c r="A399">
        <f t="shared" si="7"/>
        <v>0</v>
      </c>
      <c r="B399" t="b">
        <f>SUMPRODUCT(LEN(hospitalityq!C399:R399))&gt;0</f>
        <v>0</v>
      </c>
      <c r="C399">
        <f>B399*(hospitalityq!C399="")</f>
        <v>0</v>
      </c>
      <c r="E399">
        <f>B399*(hospitalityq!E399="")</f>
        <v>0</v>
      </c>
      <c r="F399">
        <f>B399*(hospitalityq!F399="")</f>
        <v>0</v>
      </c>
      <c r="G399">
        <f>B399*(hospitalityq!G399="")</f>
        <v>0</v>
      </c>
      <c r="H399">
        <f>B399*(hospitalityq!H399="")</f>
        <v>0</v>
      </c>
      <c r="I399">
        <f>B399*(hospitalityq!I399="")</f>
        <v>0</v>
      </c>
      <c r="J399">
        <f>B399*(hospitalityq!J399="")</f>
        <v>0</v>
      </c>
      <c r="K399">
        <f>B399*(hospitalityq!K399="")</f>
        <v>0</v>
      </c>
      <c r="L399">
        <f>B399*(hospitalityq!L399="")</f>
        <v>0</v>
      </c>
      <c r="M399">
        <f>B399*(hospitalityq!M399="")</f>
        <v>0</v>
      </c>
      <c r="N399">
        <f>B399*(hospitalityq!N399="")</f>
        <v>0</v>
      </c>
      <c r="O399">
        <f>B399*(hospitalityq!O399="")</f>
        <v>0</v>
      </c>
      <c r="P399">
        <f>B399*(hospitalityq!P399="")</f>
        <v>0</v>
      </c>
      <c r="Q399">
        <f>B399*(hospitalityq!Q399="")</f>
        <v>0</v>
      </c>
      <c r="R399">
        <f>B399*(hospitalityq!R399="")</f>
        <v>0</v>
      </c>
    </row>
    <row r="400" spans="1:18" x14ac:dyDescent="0.25">
      <c r="A400">
        <f t="shared" si="7"/>
        <v>0</v>
      </c>
      <c r="B400" t="b">
        <f>SUMPRODUCT(LEN(hospitalityq!C400:R400))&gt;0</f>
        <v>0</v>
      </c>
      <c r="C400">
        <f>B400*(hospitalityq!C400="")</f>
        <v>0</v>
      </c>
      <c r="E400">
        <f>B400*(hospitalityq!E400="")</f>
        <v>0</v>
      </c>
      <c r="F400">
        <f>B400*(hospitalityq!F400="")</f>
        <v>0</v>
      </c>
      <c r="G400">
        <f>B400*(hospitalityq!G400="")</f>
        <v>0</v>
      </c>
      <c r="H400">
        <f>B400*(hospitalityq!H400="")</f>
        <v>0</v>
      </c>
      <c r="I400">
        <f>B400*(hospitalityq!I400="")</f>
        <v>0</v>
      </c>
      <c r="J400">
        <f>B400*(hospitalityq!J400="")</f>
        <v>0</v>
      </c>
      <c r="K400">
        <f>B400*(hospitalityq!K400="")</f>
        <v>0</v>
      </c>
      <c r="L400">
        <f>B400*(hospitalityq!L400="")</f>
        <v>0</v>
      </c>
      <c r="M400">
        <f>B400*(hospitalityq!M400="")</f>
        <v>0</v>
      </c>
      <c r="N400">
        <f>B400*(hospitalityq!N400="")</f>
        <v>0</v>
      </c>
      <c r="O400">
        <f>B400*(hospitalityq!O400="")</f>
        <v>0</v>
      </c>
      <c r="P400">
        <f>B400*(hospitalityq!P400="")</f>
        <v>0</v>
      </c>
      <c r="Q400">
        <f>B400*(hospitalityq!Q400="")</f>
        <v>0</v>
      </c>
      <c r="R400">
        <f>B400*(hospitalityq!R400="")</f>
        <v>0</v>
      </c>
    </row>
    <row r="401" spans="1:18" x14ac:dyDescent="0.25">
      <c r="A401">
        <f t="shared" si="7"/>
        <v>0</v>
      </c>
      <c r="B401" t="b">
        <f>SUMPRODUCT(LEN(hospitalityq!C401:R401))&gt;0</f>
        <v>0</v>
      </c>
      <c r="C401">
        <f>B401*(hospitalityq!C401="")</f>
        <v>0</v>
      </c>
      <c r="E401">
        <f>B401*(hospitalityq!E401="")</f>
        <v>0</v>
      </c>
      <c r="F401">
        <f>B401*(hospitalityq!F401="")</f>
        <v>0</v>
      </c>
      <c r="G401">
        <f>B401*(hospitalityq!G401="")</f>
        <v>0</v>
      </c>
      <c r="H401">
        <f>B401*(hospitalityq!H401="")</f>
        <v>0</v>
      </c>
      <c r="I401">
        <f>B401*(hospitalityq!I401="")</f>
        <v>0</v>
      </c>
      <c r="J401">
        <f>B401*(hospitalityq!J401="")</f>
        <v>0</v>
      </c>
      <c r="K401">
        <f>B401*(hospitalityq!K401="")</f>
        <v>0</v>
      </c>
      <c r="L401">
        <f>B401*(hospitalityq!L401="")</f>
        <v>0</v>
      </c>
      <c r="M401">
        <f>B401*(hospitalityq!M401="")</f>
        <v>0</v>
      </c>
      <c r="N401">
        <f>B401*(hospitalityq!N401="")</f>
        <v>0</v>
      </c>
      <c r="O401">
        <f>B401*(hospitalityq!O401="")</f>
        <v>0</v>
      </c>
      <c r="P401">
        <f>B401*(hospitalityq!P401="")</f>
        <v>0</v>
      </c>
      <c r="Q401">
        <f>B401*(hospitalityq!Q401="")</f>
        <v>0</v>
      </c>
      <c r="R401">
        <f>B401*(hospitalityq!R401="")</f>
        <v>0</v>
      </c>
    </row>
    <row r="402" spans="1:18" x14ac:dyDescent="0.25">
      <c r="A402">
        <f t="shared" si="7"/>
        <v>0</v>
      </c>
      <c r="B402" t="b">
        <f>SUMPRODUCT(LEN(hospitalityq!C402:R402))&gt;0</f>
        <v>0</v>
      </c>
      <c r="C402">
        <f>B402*(hospitalityq!C402="")</f>
        <v>0</v>
      </c>
      <c r="E402">
        <f>B402*(hospitalityq!E402="")</f>
        <v>0</v>
      </c>
      <c r="F402">
        <f>B402*(hospitalityq!F402="")</f>
        <v>0</v>
      </c>
      <c r="G402">
        <f>B402*(hospitalityq!G402="")</f>
        <v>0</v>
      </c>
      <c r="H402">
        <f>B402*(hospitalityq!H402="")</f>
        <v>0</v>
      </c>
      <c r="I402">
        <f>B402*(hospitalityq!I402="")</f>
        <v>0</v>
      </c>
      <c r="J402">
        <f>B402*(hospitalityq!J402="")</f>
        <v>0</v>
      </c>
      <c r="K402">
        <f>B402*(hospitalityq!K402="")</f>
        <v>0</v>
      </c>
      <c r="L402">
        <f>B402*(hospitalityq!L402="")</f>
        <v>0</v>
      </c>
      <c r="M402">
        <f>B402*(hospitalityq!M402="")</f>
        <v>0</v>
      </c>
      <c r="N402">
        <f>B402*(hospitalityq!N402="")</f>
        <v>0</v>
      </c>
      <c r="O402">
        <f>B402*(hospitalityq!O402="")</f>
        <v>0</v>
      </c>
      <c r="P402">
        <f>B402*(hospitalityq!P402="")</f>
        <v>0</v>
      </c>
      <c r="Q402">
        <f>B402*(hospitalityq!Q402="")</f>
        <v>0</v>
      </c>
      <c r="R402">
        <f>B402*(hospitalityq!R402="")</f>
        <v>0</v>
      </c>
    </row>
    <row r="403" spans="1:18" x14ac:dyDescent="0.25">
      <c r="A403">
        <f t="shared" si="7"/>
        <v>0</v>
      </c>
      <c r="B403" t="b">
        <f>SUMPRODUCT(LEN(hospitalityq!C403:R403))&gt;0</f>
        <v>0</v>
      </c>
      <c r="C403">
        <f>B403*(hospitalityq!C403="")</f>
        <v>0</v>
      </c>
      <c r="E403">
        <f>B403*(hospitalityq!E403="")</f>
        <v>0</v>
      </c>
      <c r="F403">
        <f>B403*(hospitalityq!F403="")</f>
        <v>0</v>
      </c>
      <c r="G403">
        <f>B403*(hospitalityq!G403="")</f>
        <v>0</v>
      </c>
      <c r="H403">
        <f>B403*(hospitalityq!H403="")</f>
        <v>0</v>
      </c>
      <c r="I403">
        <f>B403*(hospitalityq!I403="")</f>
        <v>0</v>
      </c>
      <c r="J403">
        <f>B403*(hospitalityq!J403="")</f>
        <v>0</v>
      </c>
      <c r="K403">
        <f>B403*(hospitalityq!K403="")</f>
        <v>0</v>
      </c>
      <c r="L403">
        <f>B403*(hospitalityq!L403="")</f>
        <v>0</v>
      </c>
      <c r="M403">
        <f>B403*(hospitalityq!M403="")</f>
        <v>0</v>
      </c>
      <c r="N403">
        <f>B403*(hospitalityq!N403="")</f>
        <v>0</v>
      </c>
      <c r="O403">
        <f>B403*(hospitalityq!O403="")</f>
        <v>0</v>
      </c>
      <c r="P403">
        <f>B403*(hospitalityq!P403="")</f>
        <v>0</v>
      </c>
      <c r="Q403">
        <f>B403*(hospitalityq!Q403="")</f>
        <v>0</v>
      </c>
      <c r="R403">
        <f>B403*(hospitalityq!R403="")</f>
        <v>0</v>
      </c>
    </row>
    <row r="404" spans="1:18" x14ac:dyDescent="0.25">
      <c r="A404">
        <f t="shared" si="7"/>
        <v>0</v>
      </c>
      <c r="B404" t="b">
        <f>SUMPRODUCT(LEN(hospitalityq!C404:R404))&gt;0</f>
        <v>0</v>
      </c>
      <c r="C404">
        <f>B404*(hospitalityq!C404="")</f>
        <v>0</v>
      </c>
      <c r="E404">
        <f>B404*(hospitalityq!E404="")</f>
        <v>0</v>
      </c>
      <c r="F404">
        <f>B404*(hospitalityq!F404="")</f>
        <v>0</v>
      </c>
      <c r="G404">
        <f>B404*(hospitalityq!G404="")</f>
        <v>0</v>
      </c>
      <c r="H404">
        <f>B404*(hospitalityq!H404="")</f>
        <v>0</v>
      </c>
      <c r="I404">
        <f>B404*(hospitalityq!I404="")</f>
        <v>0</v>
      </c>
      <c r="J404">
        <f>B404*(hospitalityq!J404="")</f>
        <v>0</v>
      </c>
      <c r="K404">
        <f>B404*(hospitalityq!K404="")</f>
        <v>0</v>
      </c>
      <c r="L404">
        <f>B404*(hospitalityq!L404="")</f>
        <v>0</v>
      </c>
      <c r="M404">
        <f>B404*(hospitalityq!M404="")</f>
        <v>0</v>
      </c>
      <c r="N404">
        <f>B404*(hospitalityq!N404="")</f>
        <v>0</v>
      </c>
      <c r="O404">
        <f>B404*(hospitalityq!O404="")</f>
        <v>0</v>
      </c>
      <c r="P404">
        <f>B404*(hospitalityq!P404="")</f>
        <v>0</v>
      </c>
      <c r="Q404">
        <f>B404*(hospitalityq!Q404="")</f>
        <v>0</v>
      </c>
      <c r="R404">
        <f>B404*(hospitalityq!R404="")</f>
        <v>0</v>
      </c>
    </row>
    <row r="405" spans="1:18" x14ac:dyDescent="0.25">
      <c r="A405">
        <f t="shared" si="7"/>
        <v>0</v>
      </c>
      <c r="B405" t="b">
        <f>SUMPRODUCT(LEN(hospitalityq!C405:R405))&gt;0</f>
        <v>0</v>
      </c>
      <c r="C405">
        <f>B405*(hospitalityq!C405="")</f>
        <v>0</v>
      </c>
      <c r="E405">
        <f>B405*(hospitalityq!E405="")</f>
        <v>0</v>
      </c>
      <c r="F405">
        <f>B405*(hospitalityq!F405="")</f>
        <v>0</v>
      </c>
      <c r="G405">
        <f>B405*(hospitalityq!G405="")</f>
        <v>0</v>
      </c>
      <c r="H405">
        <f>B405*(hospitalityq!H405="")</f>
        <v>0</v>
      </c>
      <c r="I405">
        <f>B405*(hospitalityq!I405="")</f>
        <v>0</v>
      </c>
      <c r="J405">
        <f>B405*(hospitalityq!J405="")</f>
        <v>0</v>
      </c>
      <c r="K405">
        <f>B405*(hospitalityq!K405="")</f>
        <v>0</v>
      </c>
      <c r="L405">
        <f>B405*(hospitalityq!L405="")</f>
        <v>0</v>
      </c>
      <c r="M405">
        <f>B405*(hospitalityq!M405="")</f>
        <v>0</v>
      </c>
      <c r="N405">
        <f>B405*(hospitalityq!N405="")</f>
        <v>0</v>
      </c>
      <c r="O405">
        <f>B405*(hospitalityq!O405="")</f>
        <v>0</v>
      </c>
      <c r="P405">
        <f>B405*(hospitalityq!P405="")</f>
        <v>0</v>
      </c>
      <c r="Q405">
        <f>B405*(hospitalityq!Q405="")</f>
        <v>0</v>
      </c>
      <c r="R405">
        <f>B405*(hospitalityq!R405="")</f>
        <v>0</v>
      </c>
    </row>
    <row r="406" spans="1:18" x14ac:dyDescent="0.25">
      <c r="A406">
        <f t="shared" si="7"/>
        <v>0</v>
      </c>
      <c r="B406" t="b">
        <f>SUMPRODUCT(LEN(hospitalityq!C406:R406))&gt;0</f>
        <v>0</v>
      </c>
      <c r="C406">
        <f>B406*(hospitalityq!C406="")</f>
        <v>0</v>
      </c>
      <c r="E406">
        <f>B406*(hospitalityq!E406="")</f>
        <v>0</v>
      </c>
      <c r="F406">
        <f>B406*(hospitalityq!F406="")</f>
        <v>0</v>
      </c>
      <c r="G406">
        <f>B406*(hospitalityq!G406="")</f>
        <v>0</v>
      </c>
      <c r="H406">
        <f>B406*(hospitalityq!H406="")</f>
        <v>0</v>
      </c>
      <c r="I406">
        <f>B406*(hospitalityq!I406="")</f>
        <v>0</v>
      </c>
      <c r="J406">
        <f>B406*(hospitalityq!J406="")</f>
        <v>0</v>
      </c>
      <c r="K406">
        <f>B406*(hospitalityq!K406="")</f>
        <v>0</v>
      </c>
      <c r="L406">
        <f>B406*(hospitalityq!L406="")</f>
        <v>0</v>
      </c>
      <c r="M406">
        <f>B406*(hospitalityq!M406="")</f>
        <v>0</v>
      </c>
      <c r="N406">
        <f>B406*(hospitalityq!N406="")</f>
        <v>0</v>
      </c>
      <c r="O406">
        <f>B406*(hospitalityq!O406="")</f>
        <v>0</v>
      </c>
      <c r="P406">
        <f>B406*(hospitalityq!P406="")</f>
        <v>0</v>
      </c>
      <c r="Q406">
        <f>B406*(hospitalityq!Q406="")</f>
        <v>0</v>
      </c>
      <c r="R406">
        <f>B406*(hospitalityq!R406="")</f>
        <v>0</v>
      </c>
    </row>
    <row r="407" spans="1:18" x14ac:dyDescent="0.25">
      <c r="A407">
        <f t="shared" si="7"/>
        <v>0</v>
      </c>
      <c r="B407" t="b">
        <f>SUMPRODUCT(LEN(hospitalityq!C407:R407))&gt;0</f>
        <v>0</v>
      </c>
      <c r="C407">
        <f>B407*(hospitalityq!C407="")</f>
        <v>0</v>
      </c>
      <c r="E407">
        <f>B407*(hospitalityq!E407="")</f>
        <v>0</v>
      </c>
      <c r="F407">
        <f>B407*(hospitalityq!F407="")</f>
        <v>0</v>
      </c>
      <c r="G407">
        <f>B407*(hospitalityq!G407="")</f>
        <v>0</v>
      </c>
      <c r="H407">
        <f>B407*(hospitalityq!H407="")</f>
        <v>0</v>
      </c>
      <c r="I407">
        <f>B407*(hospitalityq!I407="")</f>
        <v>0</v>
      </c>
      <c r="J407">
        <f>B407*(hospitalityq!J407="")</f>
        <v>0</v>
      </c>
      <c r="K407">
        <f>B407*(hospitalityq!K407="")</f>
        <v>0</v>
      </c>
      <c r="L407">
        <f>B407*(hospitalityq!L407="")</f>
        <v>0</v>
      </c>
      <c r="M407">
        <f>B407*(hospitalityq!M407="")</f>
        <v>0</v>
      </c>
      <c r="N407">
        <f>B407*(hospitalityq!N407="")</f>
        <v>0</v>
      </c>
      <c r="O407">
        <f>B407*(hospitalityq!O407="")</f>
        <v>0</v>
      </c>
      <c r="P407">
        <f>B407*(hospitalityq!P407="")</f>
        <v>0</v>
      </c>
      <c r="Q407">
        <f>B407*(hospitalityq!Q407="")</f>
        <v>0</v>
      </c>
      <c r="R407">
        <f>B407*(hospitalityq!R407="")</f>
        <v>0</v>
      </c>
    </row>
    <row r="408" spans="1:18" x14ac:dyDescent="0.25">
      <c r="A408">
        <f t="shared" si="7"/>
        <v>0</v>
      </c>
      <c r="B408" t="b">
        <f>SUMPRODUCT(LEN(hospitalityq!C408:R408))&gt;0</f>
        <v>0</v>
      </c>
      <c r="C408">
        <f>B408*(hospitalityq!C408="")</f>
        <v>0</v>
      </c>
      <c r="E408">
        <f>B408*(hospitalityq!E408="")</f>
        <v>0</v>
      </c>
      <c r="F408">
        <f>B408*(hospitalityq!F408="")</f>
        <v>0</v>
      </c>
      <c r="G408">
        <f>B408*(hospitalityq!G408="")</f>
        <v>0</v>
      </c>
      <c r="H408">
        <f>B408*(hospitalityq!H408="")</f>
        <v>0</v>
      </c>
      <c r="I408">
        <f>B408*(hospitalityq!I408="")</f>
        <v>0</v>
      </c>
      <c r="J408">
        <f>B408*(hospitalityq!J408="")</f>
        <v>0</v>
      </c>
      <c r="K408">
        <f>B408*(hospitalityq!K408="")</f>
        <v>0</v>
      </c>
      <c r="L408">
        <f>B408*(hospitalityq!L408="")</f>
        <v>0</v>
      </c>
      <c r="M408">
        <f>B408*(hospitalityq!M408="")</f>
        <v>0</v>
      </c>
      <c r="N408">
        <f>B408*(hospitalityq!N408="")</f>
        <v>0</v>
      </c>
      <c r="O408">
        <f>B408*(hospitalityq!O408="")</f>
        <v>0</v>
      </c>
      <c r="P408">
        <f>B408*(hospitalityq!P408="")</f>
        <v>0</v>
      </c>
      <c r="Q408">
        <f>B408*(hospitalityq!Q408="")</f>
        <v>0</v>
      </c>
      <c r="R408">
        <f>B408*(hospitalityq!R408="")</f>
        <v>0</v>
      </c>
    </row>
    <row r="409" spans="1:18" x14ac:dyDescent="0.25">
      <c r="A409">
        <f t="shared" si="7"/>
        <v>0</v>
      </c>
      <c r="B409" t="b">
        <f>SUMPRODUCT(LEN(hospitalityq!C409:R409))&gt;0</f>
        <v>0</v>
      </c>
      <c r="C409">
        <f>B409*(hospitalityq!C409="")</f>
        <v>0</v>
      </c>
      <c r="E409">
        <f>B409*(hospitalityq!E409="")</f>
        <v>0</v>
      </c>
      <c r="F409">
        <f>B409*(hospitalityq!F409="")</f>
        <v>0</v>
      </c>
      <c r="G409">
        <f>B409*(hospitalityq!G409="")</f>
        <v>0</v>
      </c>
      <c r="H409">
        <f>B409*(hospitalityq!H409="")</f>
        <v>0</v>
      </c>
      <c r="I409">
        <f>B409*(hospitalityq!I409="")</f>
        <v>0</v>
      </c>
      <c r="J409">
        <f>B409*(hospitalityq!J409="")</f>
        <v>0</v>
      </c>
      <c r="K409">
        <f>B409*(hospitalityq!K409="")</f>
        <v>0</v>
      </c>
      <c r="L409">
        <f>B409*(hospitalityq!L409="")</f>
        <v>0</v>
      </c>
      <c r="M409">
        <f>B409*(hospitalityq!M409="")</f>
        <v>0</v>
      </c>
      <c r="N409">
        <f>B409*(hospitalityq!N409="")</f>
        <v>0</v>
      </c>
      <c r="O409">
        <f>B409*(hospitalityq!O409="")</f>
        <v>0</v>
      </c>
      <c r="P409">
        <f>B409*(hospitalityq!P409="")</f>
        <v>0</v>
      </c>
      <c r="Q409">
        <f>B409*(hospitalityq!Q409="")</f>
        <v>0</v>
      </c>
      <c r="R409">
        <f>B409*(hospitalityq!R409="")</f>
        <v>0</v>
      </c>
    </row>
    <row r="410" spans="1:18" x14ac:dyDescent="0.25">
      <c r="A410">
        <f t="shared" si="7"/>
        <v>0</v>
      </c>
      <c r="B410" t="b">
        <f>SUMPRODUCT(LEN(hospitalityq!C410:R410))&gt;0</f>
        <v>0</v>
      </c>
      <c r="C410">
        <f>B410*(hospitalityq!C410="")</f>
        <v>0</v>
      </c>
      <c r="E410">
        <f>B410*(hospitalityq!E410="")</f>
        <v>0</v>
      </c>
      <c r="F410">
        <f>B410*(hospitalityq!F410="")</f>
        <v>0</v>
      </c>
      <c r="G410">
        <f>B410*(hospitalityq!G410="")</f>
        <v>0</v>
      </c>
      <c r="H410">
        <f>B410*(hospitalityq!H410="")</f>
        <v>0</v>
      </c>
      <c r="I410">
        <f>B410*(hospitalityq!I410="")</f>
        <v>0</v>
      </c>
      <c r="J410">
        <f>B410*(hospitalityq!J410="")</f>
        <v>0</v>
      </c>
      <c r="K410">
        <f>B410*(hospitalityq!K410="")</f>
        <v>0</v>
      </c>
      <c r="L410">
        <f>B410*(hospitalityq!L410="")</f>
        <v>0</v>
      </c>
      <c r="M410">
        <f>B410*(hospitalityq!M410="")</f>
        <v>0</v>
      </c>
      <c r="N410">
        <f>B410*(hospitalityq!N410="")</f>
        <v>0</v>
      </c>
      <c r="O410">
        <f>B410*(hospitalityq!O410="")</f>
        <v>0</v>
      </c>
      <c r="P410">
        <f>B410*(hospitalityq!P410="")</f>
        <v>0</v>
      </c>
      <c r="Q410">
        <f>B410*(hospitalityq!Q410="")</f>
        <v>0</v>
      </c>
      <c r="R410">
        <f>B410*(hospitalityq!R410="")</f>
        <v>0</v>
      </c>
    </row>
    <row r="411" spans="1:18" x14ac:dyDescent="0.25">
      <c r="A411">
        <f t="shared" si="7"/>
        <v>0</v>
      </c>
      <c r="B411" t="b">
        <f>SUMPRODUCT(LEN(hospitalityq!C411:R411))&gt;0</f>
        <v>0</v>
      </c>
      <c r="C411">
        <f>B411*(hospitalityq!C411="")</f>
        <v>0</v>
      </c>
      <c r="E411">
        <f>B411*(hospitalityq!E411="")</f>
        <v>0</v>
      </c>
      <c r="F411">
        <f>B411*(hospitalityq!F411="")</f>
        <v>0</v>
      </c>
      <c r="G411">
        <f>B411*(hospitalityq!G411="")</f>
        <v>0</v>
      </c>
      <c r="H411">
        <f>B411*(hospitalityq!H411="")</f>
        <v>0</v>
      </c>
      <c r="I411">
        <f>B411*(hospitalityq!I411="")</f>
        <v>0</v>
      </c>
      <c r="J411">
        <f>B411*(hospitalityq!J411="")</f>
        <v>0</v>
      </c>
      <c r="K411">
        <f>B411*(hospitalityq!K411="")</f>
        <v>0</v>
      </c>
      <c r="L411">
        <f>B411*(hospitalityq!L411="")</f>
        <v>0</v>
      </c>
      <c r="M411">
        <f>B411*(hospitalityq!M411="")</f>
        <v>0</v>
      </c>
      <c r="N411">
        <f>B411*(hospitalityq!N411="")</f>
        <v>0</v>
      </c>
      <c r="O411">
        <f>B411*(hospitalityq!O411="")</f>
        <v>0</v>
      </c>
      <c r="P411">
        <f>B411*(hospitalityq!P411="")</f>
        <v>0</v>
      </c>
      <c r="Q411">
        <f>B411*(hospitalityq!Q411="")</f>
        <v>0</v>
      </c>
      <c r="R411">
        <f>B411*(hospitalityq!R411="")</f>
        <v>0</v>
      </c>
    </row>
    <row r="412" spans="1:18" x14ac:dyDescent="0.25">
      <c r="A412">
        <f t="shared" si="7"/>
        <v>0</v>
      </c>
      <c r="B412" t="b">
        <f>SUMPRODUCT(LEN(hospitalityq!C412:R412))&gt;0</f>
        <v>0</v>
      </c>
      <c r="C412">
        <f>B412*(hospitalityq!C412="")</f>
        <v>0</v>
      </c>
      <c r="E412">
        <f>B412*(hospitalityq!E412="")</f>
        <v>0</v>
      </c>
      <c r="F412">
        <f>B412*(hospitalityq!F412="")</f>
        <v>0</v>
      </c>
      <c r="G412">
        <f>B412*(hospitalityq!G412="")</f>
        <v>0</v>
      </c>
      <c r="H412">
        <f>B412*(hospitalityq!H412="")</f>
        <v>0</v>
      </c>
      <c r="I412">
        <f>B412*(hospitalityq!I412="")</f>
        <v>0</v>
      </c>
      <c r="J412">
        <f>B412*(hospitalityq!J412="")</f>
        <v>0</v>
      </c>
      <c r="K412">
        <f>B412*(hospitalityq!K412="")</f>
        <v>0</v>
      </c>
      <c r="L412">
        <f>B412*(hospitalityq!L412="")</f>
        <v>0</v>
      </c>
      <c r="M412">
        <f>B412*(hospitalityq!M412="")</f>
        <v>0</v>
      </c>
      <c r="N412">
        <f>B412*(hospitalityq!N412="")</f>
        <v>0</v>
      </c>
      <c r="O412">
        <f>B412*(hospitalityq!O412="")</f>
        <v>0</v>
      </c>
      <c r="P412">
        <f>B412*(hospitalityq!P412="")</f>
        <v>0</v>
      </c>
      <c r="Q412">
        <f>B412*(hospitalityq!Q412="")</f>
        <v>0</v>
      </c>
      <c r="R412">
        <f>B412*(hospitalityq!R412="")</f>
        <v>0</v>
      </c>
    </row>
    <row r="413" spans="1:18" x14ac:dyDescent="0.25">
      <c r="A413">
        <f t="shared" si="7"/>
        <v>0</v>
      </c>
      <c r="B413" t="b">
        <f>SUMPRODUCT(LEN(hospitalityq!C413:R413))&gt;0</f>
        <v>0</v>
      </c>
      <c r="C413">
        <f>B413*(hospitalityq!C413="")</f>
        <v>0</v>
      </c>
      <c r="E413">
        <f>B413*(hospitalityq!E413="")</f>
        <v>0</v>
      </c>
      <c r="F413">
        <f>B413*(hospitalityq!F413="")</f>
        <v>0</v>
      </c>
      <c r="G413">
        <f>B413*(hospitalityq!G413="")</f>
        <v>0</v>
      </c>
      <c r="H413">
        <f>B413*(hospitalityq!H413="")</f>
        <v>0</v>
      </c>
      <c r="I413">
        <f>B413*(hospitalityq!I413="")</f>
        <v>0</v>
      </c>
      <c r="J413">
        <f>B413*(hospitalityq!J413="")</f>
        <v>0</v>
      </c>
      <c r="K413">
        <f>B413*(hospitalityq!K413="")</f>
        <v>0</v>
      </c>
      <c r="L413">
        <f>B413*(hospitalityq!L413="")</f>
        <v>0</v>
      </c>
      <c r="M413">
        <f>B413*(hospitalityq!M413="")</f>
        <v>0</v>
      </c>
      <c r="N413">
        <f>B413*(hospitalityq!N413="")</f>
        <v>0</v>
      </c>
      <c r="O413">
        <f>B413*(hospitalityq!O413="")</f>
        <v>0</v>
      </c>
      <c r="P413">
        <f>B413*(hospitalityq!P413="")</f>
        <v>0</v>
      </c>
      <c r="Q413">
        <f>B413*(hospitalityq!Q413="")</f>
        <v>0</v>
      </c>
      <c r="R413">
        <f>B413*(hospitalityq!R413="")</f>
        <v>0</v>
      </c>
    </row>
    <row r="414" spans="1:18" x14ac:dyDescent="0.25">
      <c r="A414">
        <f t="shared" si="7"/>
        <v>0</v>
      </c>
      <c r="B414" t="b">
        <f>SUMPRODUCT(LEN(hospitalityq!C414:R414))&gt;0</f>
        <v>0</v>
      </c>
      <c r="C414">
        <f>B414*(hospitalityq!C414="")</f>
        <v>0</v>
      </c>
      <c r="E414">
        <f>B414*(hospitalityq!E414="")</f>
        <v>0</v>
      </c>
      <c r="F414">
        <f>B414*(hospitalityq!F414="")</f>
        <v>0</v>
      </c>
      <c r="G414">
        <f>B414*(hospitalityq!G414="")</f>
        <v>0</v>
      </c>
      <c r="H414">
        <f>B414*(hospitalityq!H414="")</f>
        <v>0</v>
      </c>
      <c r="I414">
        <f>B414*(hospitalityq!I414="")</f>
        <v>0</v>
      </c>
      <c r="J414">
        <f>B414*(hospitalityq!J414="")</f>
        <v>0</v>
      </c>
      <c r="K414">
        <f>B414*(hospitalityq!K414="")</f>
        <v>0</v>
      </c>
      <c r="L414">
        <f>B414*(hospitalityq!L414="")</f>
        <v>0</v>
      </c>
      <c r="M414">
        <f>B414*(hospitalityq!M414="")</f>
        <v>0</v>
      </c>
      <c r="N414">
        <f>B414*(hospitalityq!N414="")</f>
        <v>0</v>
      </c>
      <c r="O414">
        <f>B414*(hospitalityq!O414="")</f>
        <v>0</v>
      </c>
      <c r="P414">
        <f>B414*(hospitalityq!P414="")</f>
        <v>0</v>
      </c>
      <c r="Q414">
        <f>B414*(hospitalityq!Q414="")</f>
        <v>0</v>
      </c>
      <c r="R414">
        <f>B414*(hospitalityq!R414="")</f>
        <v>0</v>
      </c>
    </row>
    <row r="415" spans="1:18" x14ac:dyDescent="0.25">
      <c r="A415">
        <f t="shared" si="7"/>
        <v>0</v>
      </c>
      <c r="B415" t="b">
        <f>SUMPRODUCT(LEN(hospitalityq!C415:R415))&gt;0</f>
        <v>0</v>
      </c>
      <c r="C415">
        <f>B415*(hospitalityq!C415="")</f>
        <v>0</v>
      </c>
      <c r="E415">
        <f>B415*(hospitalityq!E415="")</f>
        <v>0</v>
      </c>
      <c r="F415">
        <f>B415*(hospitalityq!F415="")</f>
        <v>0</v>
      </c>
      <c r="G415">
        <f>B415*(hospitalityq!G415="")</f>
        <v>0</v>
      </c>
      <c r="H415">
        <f>B415*(hospitalityq!H415="")</f>
        <v>0</v>
      </c>
      <c r="I415">
        <f>B415*(hospitalityq!I415="")</f>
        <v>0</v>
      </c>
      <c r="J415">
        <f>B415*(hospitalityq!J415="")</f>
        <v>0</v>
      </c>
      <c r="K415">
        <f>B415*(hospitalityq!K415="")</f>
        <v>0</v>
      </c>
      <c r="L415">
        <f>B415*(hospitalityq!L415="")</f>
        <v>0</v>
      </c>
      <c r="M415">
        <f>B415*(hospitalityq!M415="")</f>
        <v>0</v>
      </c>
      <c r="N415">
        <f>B415*(hospitalityq!N415="")</f>
        <v>0</v>
      </c>
      <c r="O415">
        <f>B415*(hospitalityq!O415="")</f>
        <v>0</v>
      </c>
      <c r="P415">
        <f>B415*(hospitalityq!P415="")</f>
        <v>0</v>
      </c>
      <c r="Q415">
        <f>B415*(hospitalityq!Q415="")</f>
        <v>0</v>
      </c>
      <c r="R415">
        <f>B415*(hospitalityq!R415="")</f>
        <v>0</v>
      </c>
    </row>
    <row r="416" spans="1:18" x14ac:dyDescent="0.25">
      <c r="A416">
        <f t="shared" si="7"/>
        <v>0</v>
      </c>
      <c r="B416" t="b">
        <f>SUMPRODUCT(LEN(hospitalityq!C416:R416))&gt;0</f>
        <v>0</v>
      </c>
      <c r="C416">
        <f>B416*(hospitalityq!C416="")</f>
        <v>0</v>
      </c>
      <c r="E416">
        <f>B416*(hospitalityq!E416="")</f>
        <v>0</v>
      </c>
      <c r="F416">
        <f>B416*(hospitalityq!F416="")</f>
        <v>0</v>
      </c>
      <c r="G416">
        <f>B416*(hospitalityq!G416="")</f>
        <v>0</v>
      </c>
      <c r="H416">
        <f>B416*(hospitalityq!H416="")</f>
        <v>0</v>
      </c>
      <c r="I416">
        <f>B416*(hospitalityq!I416="")</f>
        <v>0</v>
      </c>
      <c r="J416">
        <f>B416*(hospitalityq!J416="")</f>
        <v>0</v>
      </c>
      <c r="K416">
        <f>B416*(hospitalityq!K416="")</f>
        <v>0</v>
      </c>
      <c r="L416">
        <f>B416*(hospitalityq!L416="")</f>
        <v>0</v>
      </c>
      <c r="M416">
        <f>B416*(hospitalityq!M416="")</f>
        <v>0</v>
      </c>
      <c r="N416">
        <f>B416*(hospitalityq!N416="")</f>
        <v>0</v>
      </c>
      <c r="O416">
        <f>B416*(hospitalityq!O416="")</f>
        <v>0</v>
      </c>
      <c r="P416">
        <f>B416*(hospitalityq!P416="")</f>
        <v>0</v>
      </c>
      <c r="Q416">
        <f>B416*(hospitalityq!Q416="")</f>
        <v>0</v>
      </c>
      <c r="R416">
        <f>B416*(hospitalityq!R416="")</f>
        <v>0</v>
      </c>
    </row>
    <row r="417" spans="1:18" x14ac:dyDescent="0.25">
      <c r="A417">
        <f t="shared" si="7"/>
        <v>0</v>
      </c>
      <c r="B417" t="b">
        <f>SUMPRODUCT(LEN(hospitalityq!C417:R417))&gt;0</f>
        <v>0</v>
      </c>
      <c r="C417">
        <f>B417*(hospitalityq!C417="")</f>
        <v>0</v>
      </c>
      <c r="E417">
        <f>B417*(hospitalityq!E417="")</f>
        <v>0</v>
      </c>
      <c r="F417">
        <f>B417*(hospitalityq!F417="")</f>
        <v>0</v>
      </c>
      <c r="G417">
        <f>B417*(hospitalityq!G417="")</f>
        <v>0</v>
      </c>
      <c r="H417">
        <f>B417*(hospitalityq!H417="")</f>
        <v>0</v>
      </c>
      <c r="I417">
        <f>B417*(hospitalityq!I417="")</f>
        <v>0</v>
      </c>
      <c r="J417">
        <f>B417*(hospitalityq!J417="")</f>
        <v>0</v>
      </c>
      <c r="K417">
        <f>B417*(hospitalityq!K417="")</f>
        <v>0</v>
      </c>
      <c r="L417">
        <f>B417*(hospitalityq!L417="")</f>
        <v>0</v>
      </c>
      <c r="M417">
        <f>B417*(hospitalityq!M417="")</f>
        <v>0</v>
      </c>
      <c r="N417">
        <f>B417*(hospitalityq!N417="")</f>
        <v>0</v>
      </c>
      <c r="O417">
        <f>B417*(hospitalityq!O417="")</f>
        <v>0</v>
      </c>
      <c r="P417">
        <f>B417*(hospitalityq!P417="")</f>
        <v>0</v>
      </c>
      <c r="Q417">
        <f>B417*(hospitalityq!Q417="")</f>
        <v>0</v>
      </c>
      <c r="R417">
        <f>B417*(hospitalityq!R417="")</f>
        <v>0</v>
      </c>
    </row>
    <row r="418" spans="1:18" x14ac:dyDescent="0.25">
      <c r="A418">
        <f t="shared" si="7"/>
        <v>0</v>
      </c>
      <c r="B418" t="b">
        <f>SUMPRODUCT(LEN(hospitalityq!C418:R418))&gt;0</f>
        <v>0</v>
      </c>
      <c r="C418">
        <f>B418*(hospitalityq!C418="")</f>
        <v>0</v>
      </c>
      <c r="E418">
        <f>B418*(hospitalityq!E418="")</f>
        <v>0</v>
      </c>
      <c r="F418">
        <f>B418*(hospitalityq!F418="")</f>
        <v>0</v>
      </c>
      <c r="G418">
        <f>B418*(hospitalityq!G418="")</f>
        <v>0</v>
      </c>
      <c r="H418">
        <f>B418*(hospitalityq!H418="")</f>
        <v>0</v>
      </c>
      <c r="I418">
        <f>B418*(hospitalityq!I418="")</f>
        <v>0</v>
      </c>
      <c r="J418">
        <f>B418*(hospitalityq!J418="")</f>
        <v>0</v>
      </c>
      <c r="K418">
        <f>B418*(hospitalityq!K418="")</f>
        <v>0</v>
      </c>
      <c r="L418">
        <f>B418*(hospitalityq!L418="")</f>
        <v>0</v>
      </c>
      <c r="M418">
        <f>B418*(hospitalityq!M418="")</f>
        <v>0</v>
      </c>
      <c r="N418">
        <f>B418*(hospitalityq!N418="")</f>
        <v>0</v>
      </c>
      <c r="O418">
        <f>B418*(hospitalityq!O418="")</f>
        <v>0</v>
      </c>
      <c r="P418">
        <f>B418*(hospitalityq!P418="")</f>
        <v>0</v>
      </c>
      <c r="Q418">
        <f>B418*(hospitalityq!Q418="")</f>
        <v>0</v>
      </c>
      <c r="R418">
        <f>B418*(hospitalityq!R418="")</f>
        <v>0</v>
      </c>
    </row>
    <row r="419" spans="1:18" x14ac:dyDescent="0.25">
      <c r="A419">
        <f t="shared" si="7"/>
        <v>0</v>
      </c>
      <c r="B419" t="b">
        <f>SUMPRODUCT(LEN(hospitalityq!C419:R419))&gt;0</f>
        <v>0</v>
      </c>
      <c r="C419">
        <f>B419*(hospitalityq!C419="")</f>
        <v>0</v>
      </c>
      <c r="E419">
        <f>B419*(hospitalityq!E419="")</f>
        <v>0</v>
      </c>
      <c r="F419">
        <f>B419*(hospitalityq!F419="")</f>
        <v>0</v>
      </c>
      <c r="G419">
        <f>B419*(hospitalityq!G419="")</f>
        <v>0</v>
      </c>
      <c r="H419">
        <f>B419*(hospitalityq!H419="")</f>
        <v>0</v>
      </c>
      <c r="I419">
        <f>B419*(hospitalityq!I419="")</f>
        <v>0</v>
      </c>
      <c r="J419">
        <f>B419*(hospitalityq!J419="")</f>
        <v>0</v>
      </c>
      <c r="K419">
        <f>B419*(hospitalityq!K419="")</f>
        <v>0</v>
      </c>
      <c r="L419">
        <f>B419*(hospitalityq!L419="")</f>
        <v>0</v>
      </c>
      <c r="M419">
        <f>B419*(hospitalityq!M419="")</f>
        <v>0</v>
      </c>
      <c r="N419">
        <f>B419*(hospitalityq!N419="")</f>
        <v>0</v>
      </c>
      <c r="O419">
        <f>B419*(hospitalityq!O419="")</f>
        <v>0</v>
      </c>
      <c r="P419">
        <f>B419*(hospitalityq!P419="")</f>
        <v>0</v>
      </c>
      <c r="Q419">
        <f>B419*(hospitalityq!Q419="")</f>
        <v>0</v>
      </c>
      <c r="R419">
        <f>B419*(hospitalityq!R419="")</f>
        <v>0</v>
      </c>
    </row>
    <row r="420" spans="1:18" x14ac:dyDescent="0.25">
      <c r="A420">
        <f t="shared" si="7"/>
        <v>0</v>
      </c>
      <c r="B420" t="b">
        <f>SUMPRODUCT(LEN(hospitalityq!C420:R420))&gt;0</f>
        <v>0</v>
      </c>
      <c r="C420">
        <f>B420*(hospitalityq!C420="")</f>
        <v>0</v>
      </c>
      <c r="E420">
        <f>B420*(hospitalityq!E420="")</f>
        <v>0</v>
      </c>
      <c r="F420">
        <f>B420*(hospitalityq!F420="")</f>
        <v>0</v>
      </c>
      <c r="G420">
        <f>B420*(hospitalityq!G420="")</f>
        <v>0</v>
      </c>
      <c r="H420">
        <f>B420*(hospitalityq!H420="")</f>
        <v>0</v>
      </c>
      <c r="I420">
        <f>B420*(hospitalityq!I420="")</f>
        <v>0</v>
      </c>
      <c r="J420">
        <f>B420*(hospitalityq!J420="")</f>
        <v>0</v>
      </c>
      <c r="K420">
        <f>B420*(hospitalityq!K420="")</f>
        <v>0</v>
      </c>
      <c r="L420">
        <f>B420*(hospitalityq!L420="")</f>
        <v>0</v>
      </c>
      <c r="M420">
        <f>B420*(hospitalityq!M420="")</f>
        <v>0</v>
      </c>
      <c r="N420">
        <f>B420*(hospitalityq!N420="")</f>
        <v>0</v>
      </c>
      <c r="O420">
        <f>B420*(hospitalityq!O420="")</f>
        <v>0</v>
      </c>
      <c r="P420">
        <f>B420*(hospitalityq!P420="")</f>
        <v>0</v>
      </c>
      <c r="Q420">
        <f>B420*(hospitalityq!Q420="")</f>
        <v>0</v>
      </c>
      <c r="R420">
        <f>B420*(hospitalityq!R420="")</f>
        <v>0</v>
      </c>
    </row>
    <row r="421" spans="1:18" x14ac:dyDescent="0.25">
      <c r="A421">
        <f t="shared" si="7"/>
        <v>0</v>
      </c>
      <c r="B421" t="b">
        <f>SUMPRODUCT(LEN(hospitalityq!C421:R421))&gt;0</f>
        <v>0</v>
      </c>
      <c r="C421">
        <f>B421*(hospitalityq!C421="")</f>
        <v>0</v>
      </c>
      <c r="E421">
        <f>B421*(hospitalityq!E421="")</f>
        <v>0</v>
      </c>
      <c r="F421">
        <f>B421*(hospitalityq!F421="")</f>
        <v>0</v>
      </c>
      <c r="G421">
        <f>B421*(hospitalityq!G421="")</f>
        <v>0</v>
      </c>
      <c r="H421">
        <f>B421*(hospitalityq!H421="")</f>
        <v>0</v>
      </c>
      <c r="I421">
        <f>B421*(hospitalityq!I421="")</f>
        <v>0</v>
      </c>
      <c r="J421">
        <f>B421*(hospitalityq!J421="")</f>
        <v>0</v>
      </c>
      <c r="K421">
        <f>B421*(hospitalityq!K421="")</f>
        <v>0</v>
      </c>
      <c r="L421">
        <f>B421*(hospitalityq!L421="")</f>
        <v>0</v>
      </c>
      <c r="M421">
        <f>B421*(hospitalityq!M421="")</f>
        <v>0</v>
      </c>
      <c r="N421">
        <f>B421*(hospitalityq!N421="")</f>
        <v>0</v>
      </c>
      <c r="O421">
        <f>B421*(hospitalityq!O421="")</f>
        <v>0</v>
      </c>
      <c r="P421">
        <f>B421*(hospitalityq!P421="")</f>
        <v>0</v>
      </c>
      <c r="Q421">
        <f>B421*(hospitalityq!Q421="")</f>
        <v>0</v>
      </c>
      <c r="R421">
        <f>B421*(hospitalityq!R421="")</f>
        <v>0</v>
      </c>
    </row>
    <row r="422" spans="1:18" x14ac:dyDescent="0.25">
      <c r="A422">
        <f t="shared" si="7"/>
        <v>0</v>
      </c>
      <c r="B422" t="b">
        <f>SUMPRODUCT(LEN(hospitalityq!C422:R422))&gt;0</f>
        <v>0</v>
      </c>
      <c r="C422">
        <f>B422*(hospitalityq!C422="")</f>
        <v>0</v>
      </c>
      <c r="E422">
        <f>B422*(hospitalityq!E422="")</f>
        <v>0</v>
      </c>
      <c r="F422">
        <f>B422*(hospitalityq!F422="")</f>
        <v>0</v>
      </c>
      <c r="G422">
        <f>B422*(hospitalityq!G422="")</f>
        <v>0</v>
      </c>
      <c r="H422">
        <f>B422*(hospitalityq!H422="")</f>
        <v>0</v>
      </c>
      <c r="I422">
        <f>B422*(hospitalityq!I422="")</f>
        <v>0</v>
      </c>
      <c r="J422">
        <f>B422*(hospitalityq!J422="")</f>
        <v>0</v>
      </c>
      <c r="K422">
        <f>B422*(hospitalityq!K422="")</f>
        <v>0</v>
      </c>
      <c r="L422">
        <f>B422*(hospitalityq!L422="")</f>
        <v>0</v>
      </c>
      <c r="M422">
        <f>B422*(hospitalityq!M422="")</f>
        <v>0</v>
      </c>
      <c r="N422">
        <f>B422*(hospitalityq!N422="")</f>
        <v>0</v>
      </c>
      <c r="O422">
        <f>B422*(hospitalityq!O422="")</f>
        <v>0</v>
      </c>
      <c r="P422">
        <f>B422*(hospitalityq!P422="")</f>
        <v>0</v>
      </c>
      <c r="Q422">
        <f>B422*(hospitalityq!Q422="")</f>
        <v>0</v>
      </c>
      <c r="R422">
        <f>B422*(hospitalityq!R422="")</f>
        <v>0</v>
      </c>
    </row>
    <row r="423" spans="1:18" x14ac:dyDescent="0.25">
      <c r="A423">
        <f t="shared" si="7"/>
        <v>0</v>
      </c>
      <c r="B423" t="b">
        <f>SUMPRODUCT(LEN(hospitalityq!C423:R423))&gt;0</f>
        <v>0</v>
      </c>
      <c r="C423">
        <f>B423*(hospitalityq!C423="")</f>
        <v>0</v>
      </c>
      <c r="E423">
        <f>B423*(hospitalityq!E423="")</f>
        <v>0</v>
      </c>
      <c r="F423">
        <f>B423*(hospitalityq!F423="")</f>
        <v>0</v>
      </c>
      <c r="G423">
        <f>B423*(hospitalityq!G423="")</f>
        <v>0</v>
      </c>
      <c r="H423">
        <f>B423*(hospitalityq!H423="")</f>
        <v>0</v>
      </c>
      <c r="I423">
        <f>B423*(hospitalityq!I423="")</f>
        <v>0</v>
      </c>
      <c r="J423">
        <f>B423*(hospitalityq!J423="")</f>
        <v>0</v>
      </c>
      <c r="K423">
        <f>B423*(hospitalityq!K423="")</f>
        <v>0</v>
      </c>
      <c r="L423">
        <f>B423*(hospitalityq!L423="")</f>
        <v>0</v>
      </c>
      <c r="M423">
        <f>B423*(hospitalityq!M423="")</f>
        <v>0</v>
      </c>
      <c r="N423">
        <f>B423*(hospitalityq!N423="")</f>
        <v>0</v>
      </c>
      <c r="O423">
        <f>B423*(hospitalityq!O423="")</f>
        <v>0</v>
      </c>
      <c r="P423">
        <f>B423*(hospitalityq!P423="")</f>
        <v>0</v>
      </c>
      <c r="Q423">
        <f>B423*(hospitalityq!Q423="")</f>
        <v>0</v>
      </c>
      <c r="R423">
        <f>B423*(hospitalityq!R423="")</f>
        <v>0</v>
      </c>
    </row>
    <row r="424" spans="1:18" x14ac:dyDescent="0.25">
      <c r="A424">
        <f t="shared" si="7"/>
        <v>0</v>
      </c>
      <c r="B424" t="b">
        <f>SUMPRODUCT(LEN(hospitalityq!C424:R424))&gt;0</f>
        <v>0</v>
      </c>
      <c r="C424">
        <f>B424*(hospitalityq!C424="")</f>
        <v>0</v>
      </c>
      <c r="E424">
        <f>B424*(hospitalityq!E424="")</f>
        <v>0</v>
      </c>
      <c r="F424">
        <f>B424*(hospitalityq!F424="")</f>
        <v>0</v>
      </c>
      <c r="G424">
        <f>B424*(hospitalityq!G424="")</f>
        <v>0</v>
      </c>
      <c r="H424">
        <f>B424*(hospitalityq!H424="")</f>
        <v>0</v>
      </c>
      <c r="I424">
        <f>B424*(hospitalityq!I424="")</f>
        <v>0</v>
      </c>
      <c r="J424">
        <f>B424*(hospitalityq!J424="")</f>
        <v>0</v>
      </c>
      <c r="K424">
        <f>B424*(hospitalityq!K424="")</f>
        <v>0</v>
      </c>
      <c r="L424">
        <f>B424*(hospitalityq!L424="")</f>
        <v>0</v>
      </c>
      <c r="M424">
        <f>B424*(hospitalityq!M424="")</f>
        <v>0</v>
      </c>
      <c r="N424">
        <f>B424*(hospitalityq!N424="")</f>
        <v>0</v>
      </c>
      <c r="O424">
        <f>B424*(hospitalityq!O424="")</f>
        <v>0</v>
      </c>
      <c r="P424">
        <f>B424*(hospitalityq!P424="")</f>
        <v>0</v>
      </c>
      <c r="Q424">
        <f>B424*(hospitalityq!Q424="")</f>
        <v>0</v>
      </c>
      <c r="R424">
        <f>B424*(hospitalityq!R424="")</f>
        <v>0</v>
      </c>
    </row>
    <row r="425" spans="1:18" x14ac:dyDescent="0.25">
      <c r="A425">
        <f t="shared" si="7"/>
        <v>0</v>
      </c>
      <c r="B425" t="b">
        <f>SUMPRODUCT(LEN(hospitalityq!C425:R425))&gt;0</f>
        <v>0</v>
      </c>
      <c r="C425">
        <f>B425*(hospitalityq!C425="")</f>
        <v>0</v>
      </c>
      <c r="E425">
        <f>B425*(hospitalityq!E425="")</f>
        <v>0</v>
      </c>
      <c r="F425">
        <f>B425*(hospitalityq!F425="")</f>
        <v>0</v>
      </c>
      <c r="G425">
        <f>B425*(hospitalityq!G425="")</f>
        <v>0</v>
      </c>
      <c r="H425">
        <f>B425*(hospitalityq!H425="")</f>
        <v>0</v>
      </c>
      <c r="I425">
        <f>B425*(hospitalityq!I425="")</f>
        <v>0</v>
      </c>
      <c r="J425">
        <f>B425*(hospitalityq!J425="")</f>
        <v>0</v>
      </c>
      <c r="K425">
        <f>B425*(hospitalityq!K425="")</f>
        <v>0</v>
      </c>
      <c r="L425">
        <f>B425*(hospitalityq!L425="")</f>
        <v>0</v>
      </c>
      <c r="M425">
        <f>B425*(hospitalityq!M425="")</f>
        <v>0</v>
      </c>
      <c r="N425">
        <f>B425*(hospitalityq!N425="")</f>
        <v>0</v>
      </c>
      <c r="O425">
        <f>B425*(hospitalityq!O425="")</f>
        <v>0</v>
      </c>
      <c r="P425">
        <f>B425*(hospitalityq!P425="")</f>
        <v>0</v>
      </c>
      <c r="Q425">
        <f>B425*(hospitalityq!Q425="")</f>
        <v>0</v>
      </c>
      <c r="R425">
        <f>B425*(hospitalityq!R425="")</f>
        <v>0</v>
      </c>
    </row>
    <row r="426" spans="1:18" x14ac:dyDescent="0.25">
      <c r="A426">
        <f t="shared" si="7"/>
        <v>0</v>
      </c>
      <c r="B426" t="b">
        <f>SUMPRODUCT(LEN(hospitalityq!C426:R426))&gt;0</f>
        <v>0</v>
      </c>
      <c r="C426">
        <f>B426*(hospitalityq!C426="")</f>
        <v>0</v>
      </c>
      <c r="E426">
        <f>B426*(hospitalityq!E426="")</f>
        <v>0</v>
      </c>
      <c r="F426">
        <f>B426*(hospitalityq!F426="")</f>
        <v>0</v>
      </c>
      <c r="G426">
        <f>B426*(hospitalityq!G426="")</f>
        <v>0</v>
      </c>
      <c r="H426">
        <f>B426*(hospitalityq!H426="")</f>
        <v>0</v>
      </c>
      <c r="I426">
        <f>B426*(hospitalityq!I426="")</f>
        <v>0</v>
      </c>
      <c r="J426">
        <f>B426*(hospitalityq!J426="")</f>
        <v>0</v>
      </c>
      <c r="K426">
        <f>B426*(hospitalityq!K426="")</f>
        <v>0</v>
      </c>
      <c r="L426">
        <f>B426*(hospitalityq!L426="")</f>
        <v>0</v>
      </c>
      <c r="M426">
        <f>B426*(hospitalityq!M426="")</f>
        <v>0</v>
      </c>
      <c r="N426">
        <f>B426*(hospitalityq!N426="")</f>
        <v>0</v>
      </c>
      <c r="O426">
        <f>B426*(hospitalityq!O426="")</f>
        <v>0</v>
      </c>
      <c r="P426">
        <f>B426*(hospitalityq!P426="")</f>
        <v>0</v>
      </c>
      <c r="Q426">
        <f>B426*(hospitalityq!Q426="")</f>
        <v>0</v>
      </c>
      <c r="R426">
        <f>B426*(hospitalityq!R426="")</f>
        <v>0</v>
      </c>
    </row>
    <row r="427" spans="1:18" x14ac:dyDescent="0.25">
      <c r="A427">
        <f t="shared" si="7"/>
        <v>0</v>
      </c>
      <c r="B427" t="b">
        <f>SUMPRODUCT(LEN(hospitalityq!C427:R427))&gt;0</f>
        <v>0</v>
      </c>
      <c r="C427">
        <f>B427*(hospitalityq!C427="")</f>
        <v>0</v>
      </c>
      <c r="E427">
        <f>B427*(hospitalityq!E427="")</f>
        <v>0</v>
      </c>
      <c r="F427">
        <f>B427*(hospitalityq!F427="")</f>
        <v>0</v>
      </c>
      <c r="G427">
        <f>B427*(hospitalityq!G427="")</f>
        <v>0</v>
      </c>
      <c r="H427">
        <f>B427*(hospitalityq!H427="")</f>
        <v>0</v>
      </c>
      <c r="I427">
        <f>B427*(hospitalityq!I427="")</f>
        <v>0</v>
      </c>
      <c r="J427">
        <f>B427*(hospitalityq!J427="")</f>
        <v>0</v>
      </c>
      <c r="K427">
        <f>B427*(hospitalityq!K427="")</f>
        <v>0</v>
      </c>
      <c r="L427">
        <f>B427*(hospitalityq!L427="")</f>
        <v>0</v>
      </c>
      <c r="M427">
        <f>B427*(hospitalityq!M427="")</f>
        <v>0</v>
      </c>
      <c r="N427">
        <f>B427*(hospitalityq!N427="")</f>
        <v>0</v>
      </c>
      <c r="O427">
        <f>B427*(hospitalityq!O427="")</f>
        <v>0</v>
      </c>
      <c r="P427">
        <f>B427*(hospitalityq!P427="")</f>
        <v>0</v>
      </c>
      <c r="Q427">
        <f>B427*(hospitalityq!Q427="")</f>
        <v>0</v>
      </c>
      <c r="R427">
        <f>B427*(hospitalityq!R427="")</f>
        <v>0</v>
      </c>
    </row>
    <row r="428" spans="1:18" x14ac:dyDescent="0.25">
      <c r="A428">
        <f t="shared" si="7"/>
        <v>0</v>
      </c>
      <c r="B428" t="b">
        <f>SUMPRODUCT(LEN(hospitalityq!C428:R428))&gt;0</f>
        <v>0</v>
      </c>
      <c r="C428">
        <f>B428*(hospitalityq!C428="")</f>
        <v>0</v>
      </c>
      <c r="E428">
        <f>B428*(hospitalityq!E428="")</f>
        <v>0</v>
      </c>
      <c r="F428">
        <f>B428*(hospitalityq!F428="")</f>
        <v>0</v>
      </c>
      <c r="G428">
        <f>B428*(hospitalityq!G428="")</f>
        <v>0</v>
      </c>
      <c r="H428">
        <f>B428*(hospitalityq!H428="")</f>
        <v>0</v>
      </c>
      <c r="I428">
        <f>B428*(hospitalityq!I428="")</f>
        <v>0</v>
      </c>
      <c r="J428">
        <f>B428*(hospitalityq!J428="")</f>
        <v>0</v>
      </c>
      <c r="K428">
        <f>B428*(hospitalityq!K428="")</f>
        <v>0</v>
      </c>
      <c r="L428">
        <f>B428*(hospitalityq!L428="")</f>
        <v>0</v>
      </c>
      <c r="M428">
        <f>B428*(hospitalityq!M428="")</f>
        <v>0</v>
      </c>
      <c r="N428">
        <f>B428*(hospitalityq!N428="")</f>
        <v>0</v>
      </c>
      <c r="O428">
        <f>B428*(hospitalityq!O428="")</f>
        <v>0</v>
      </c>
      <c r="P428">
        <f>B428*(hospitalityq!P428="")</f>
        <v>0</v>
      </c>
      <c r="Q428">
        <f>B428*(hospitalityq!Q428="")</f>
        <v>0</v>
      </c>
      <c r="R428">
        <f>B428*(hospitalityq!R428="")</f>
        <v>0</v>
      </c>
    </row>
    <row r="429" spans="1:18" x14ac:dyDescent="0.25">
      <c r="A429">
        <f t="shared" si="7"/>
        <v>0</v>
      </c>
      <c r="B429" t="b">
        <f>SUMPRODUCT(LEN(hospitalityq!C429:R429))&gt;0</f>
        <v>0</v>
      </c>
      <c r="C429">
        <f>B429*(hospitalityq!C429="")</f>
        <v>0</v>
      </c>
      <c r="E429">
        <f>B429*(hospitalityq!E429="")</f>
        <v>0</v>
      </c>
      <c r="F429">
        <f>B429*(hospitalityq!F429="")</f>
        <v>0</v>
      </c>
      <c r="G429">
        <f>B429*(hospitalityq!G429="")</f>
        <v>0</v>
      </c>
      <c r="H429">
        <f>B429*(hospitalityq!H429="")</f>
        <v>0</v>
      </c>
      <c r="I429">
        <f>B429*(hospitalityq!I429="")</f>
        <v>0</v>
      </c>
      <c r="J429">
        <f>B429*(hospitalityq!J429="")</f>
        <v>0</v>
      </c>
      <c r="K429">
        <f>B429*(hospitalityq!K429="")</f>
        <v>0</v>
      </c>
      <c r="L429">
        <f>B429*(hospitalityq!L429="")</f>
        <v>0</v>
      </c>
      <c r="M429">
        <f>B429*(hospitalityq!M429="")</f>
        <v>0</v>
      </c>
      <c r="N429">
        <f>B429*(hospitalityq!N429="")</f>
        <v>0</v>
      </c>
      <c r="O429">
        <f>B429*(hospitalityq!O429="")</f>
        <v>0</v>
      </c>
      <c r="P429">
        <f>B429*(hospitalityq!P429="")</f>
        <v>0</v>
      </c>
      <c r="Q429">
        <f>B429*(hospitalityq!Q429="")</f>
        <v>0</v>
      </c>
      <c r="R429">
        <f>B429*(hospitalityq!R429="")</f>
        <v>0</v>
      </c>
    </row>
    <row r="430" spans="1:18" x14ac:dyDescent="0.25">
      <c r="A430">
        <f t="shared" si="7"/>
        <v>0</v>
      </c>
      <c r="B430" t="b">
        <f>SUMPRODUCT(LEN(hospitalityq!C430:R430))&gt;0</f>
        <v>0</v>
      </c>
      <c r="C430">
        <f>B430*(hospitalityq!C430="")</f>
        <v>0</v>
      </c>
      <c r="E430">
        <f>B430*(hospitalityq!E430="")</f>
        <v>0</v>
      </c>
      <c r="F430">
        <f>B430*(hospitalityq!F430="")</f>
        <v>0</v>
      </c>
      <c r="G430">
        <f>B430*(hospitalityq!G430="")</f>
        <v>0</v>
      </c>
      <c r="H430">
        <f>B430*(hospitalityq!H430="")</f>
        <v>0</v>
      </c>
      <c r="I430">
        <f>B430*(hospitalityq!I430="")</f>
        <v>0</v>
      </c>
      <c r="J430">
        <f>B430*(hospitalityq!J430="")</f>
        <v>0</v>
      </c>
      <c r="K430">
        <f>B430*(hospitalityq!K430="")</f>
        <v>0</v>
      </c>
      <c r="L430">
        <f>B430*(hospitalityq!L430="")</f>
        <v>0</v>
      </c>
      <c r="M430">
        <f>B430*(hospitalityq!M430="")</f>
        <v>0</v>
      </c>
      <c r="N430">
        <f>B430*(hospitalityq!N430="")</f>
        <v>0</v>
      </c>
      <c r="O430">
        <f>B430*(hospitalityq!O430="")</f>
        <v>0</v>
      </c>
      <c r="P430">
        <f>B430*(hospitalityq!P430="")</f>
        <v>0</v>
      </c>
      <c r="Q430">
        <f>B430*(hospitalityq!Q430="")</f>
        <v>0</v>
      </c>
      <c r="R430">
        <f>B430*(hospitalityq!R430="")</f>
        <v>0</v>
      </c>
    </row>
    <row r="431" spans="1:18" x14ac:dyDescent="0.25">
      <c r="A431">
        <f t="shared" si="7"/>
        <v>0</v>
      </c>
      <c r="B431" t="b">
        <f>SUMPRODUCT(LEN(hospitalityq!C431:R431))&gt;0</f>
        <v>0</v>
      </c>
      <c r="C431">
        <f>B431*(hospitalityq!C431="")</f>
        <v>0</v>
      </c>
      <c r="E431">
        <f>B431*(hospitalityq!E431="")</f>
        <v>0</v>
      </c>
      <c r="F431">
        <f>B431*(hospitalityq!F431="")</f>
        <v>0</v>
      </c>
      <c r="G431">
        <f>B431*(hospitalityq!G431="")</f>
        <v>0</v>
      </c>
      <c r="H431">
        <f>B431*(hospitalityq!H431="")</f>
        <v>0</v>
      </c>
      <c r="I431">
        <f>B431*(hospitalityq!I431="")</f>
        <v>0</v>
      </c>
      <c r="J431">
        <f>B431*(hospitalityq!J431="")</f>
        <v>0</v>
      </c>
      <c r="K431">
        <f>B431*(hospitalityq!K431="")</f>
        <v>0</v>
      </c>
      <c r="L431">
        <f>B431*(hospitalityq!L431="")</f>
        <v>0</v>
      </c>
      <c r="M431">
        <f>B431*(hospitalityq!M431="")</f>
        <v>0</v>
      </c>
      <c r="N431">
        <f>B431*(hospitalityq!N431="")</f>
        <v>0</v>
      </c>
      <c r="O431">
        <f>B431*(hospitalityq!O431="")</f>
        <v>0</v>
      </c>
      <c r="P431">
        <f>B431*(hospitalityq!P431="")</f>
        <v>0</v>
      </c>
      <c r="Q431">
        <f>B431*(hospitalityq!Q431="")</f>
        <v>0</v>
      </c>
      <c r="R431">
        <f>B431*(hospitalityq!R431="")</f>
        <v>0</v>
      </c>
    </row>
    <row r="432" spans="1:18" x14ac:dyDescent="0.25">
      <c r="A432">
        <f t="shared" si="7"/>
        <v>0</v>
      </c>
      <c r="B432" t="b">
        <f>SUMPRODUCT(LEN(hospitalityq!C432:R432))&gt;0</f>
        <v>0</v>
      </c>
      <c r="C432">
        <f>B432*(hospitalityq!C432="")</f>
        <v>0</v>
      </c>
      <c r="E432">
        <f>B432*(hospitalityq!E432="")</f>
        <v>0</v>
      </c>
      <c r="F432">
        <f>B432*(hospitalityq!F432="")</f>
        <v>0</v>
      </c>
      <c r="G432">
        <f>B432*(hospitalityq!G432="")</f>
        <v>0</v>
      </c>
      <c r="H432">
        <f>B432*(hospitalityq!H432="")</f>
        <v>0</v>
      </c>
      <c r="I432">
        <f>B432*(hospitalityq!I432="")</f>
        <v>0</v>
      </c>
      <c r="J432">
        <f>B432*(hospitalityq!J432="")</f>
        <v>0</v>
      </c>
      <c r="K432">
        <f>B432*(hospitalityq!K432="")</f>
        <v>0</v>
      </c>
      <c r="L432">
        <f>B432*(hospitalityq!L432="")</f>
        <v>0</v>
      </c>
      <c r="M432">
        <f>B432*(hospitalityq!M432="")</f>
        <v>0</v>
      </c>
      <c r="N432">
        <f>B432*(hospitalityq!N432="")</f>
        <v>0</v>
      </c>
      <c r="O432">
        <f>B432*(hospitalityq!O432="")</f>
        <v>0</v>
      </c>
      <c r="P432">
        <f>B432*(hospitalityq!P432="")</f>
        <v>0</v>
      </c>
      <c r="Q432">
        <f>B432*(hospitalityq!Q432="")</f>
        <v>0</v>
      </c>
      <c r="R432">
        <f>B432*(hospitalityq!R432="")</f>
        <v>0</v>
      </c>
    </row>
    <row r="433" spans="1:18" x14ac:dyDescent="0.25">
      <c r="A433">
        <f t="shared" si="7"/>
        <v>0</v>
      </c>
      <c r="B433" t="b">
        <f>SUMPRODUCT(LEN(hospitalityq!C433:R433))&gt;0</f>
        <v>0</v>
      </c>
      <c r="C433">
        <f>B433*(hospitalityq!C433="")</f>
        <v>0</v>
      </c>
      <c r="E433">
        <f>B433*(hospitalityq!E433="")</f>
        <v>0</v>
      </c>
      <c r="F433">
        <f>B433*(hospitalityq!F433="")</f>
        <v>0</v>
      </c>
      <c r="G433">
        <f>B433*(hospitalityq!G433="")</f>
        <v>0</v>
      </c>
      <c r="H433">
        <f>B433*(hospitalityq!H433="")</f>
        <v>0</v>
      </c>
      <c r="I433">
        <f>B433*(hospitalityq!I433="")</f>
        <v>0</v>
      </c>
      <c r="J433">
        <f>B433*(hospitalityq!J433="")</f>
        <v>0</v>
      </c>
      <c r="K433">
        <f>B433*(hospitalityq!K433="")</f>
        <v>0</v>
      </c>
      <c r="L433">
        <f>B433*(hospitalityq!L433="")</f>
        <v>0</v>
      </c>
      <c r="M433">
        <f>B433*(hospitalityq!M433="")</f>
        <v>0</v>
      </c>
      <c r="N433">
        <f>B433*(hospitalityq!N433="")</f>
        <v>0</v>
      </c>
      <c r="O433">
        <f>B433*(hospitalityq!O433="")</f>
        <v>0</v>
      </c>
      <c r="P433">
        <f>B433*(hospitalityq!P433="")</f>
        <v>0</v>
      </c>
      <c r="Q433">
        <f>B433*(hospitalityq!Q433="")</f>
        <v>0</v>
      </c>
      <c r="R433">
        <f>B433*(hospitalityq!R433="")</f>
        <v>0</v>
      </c>
    </row>
    <row r="434" spans="1:18" x14ac:dyDescent="0.25">
      <c r="A434">
        <f t="shared" si="7"/>
        <v>0</v>
      </c>
      <c r="B434" t="b">
        <f>SUMPRODUCT(LEN(hospitalityq!C434:R434))&gt;0</f>
        <v>0</v>
      </c>
      <c r="C434">
        <f>B434*(hospitalityq!C434="")</f>
        <v>0</v>
      </c>
      <c r="E434">
        <f>B434*(hospitalityq!E434="")</f>
        <v>0</v>
      </c>
      <c r="F434">
        <f>B434*(hospitalityq!F434="")</f>
        <v>0</v>
      </c>
      <c r="G434">
        <f>B434*(hospitalityq!G434="")</f>
        <v>0</v>
      </c>
      <c r="H434">
        <f>B434*(hospitalityq!H434="")</f>
        <v>0</v>
      </c>
      <c r="I434">
        <f>B434*(hospitalityq!I434="")</f>
        <v>0</v>
      </c>
      <c r="J434">
        <f>B434*(hospitalityq!J434="")</f>
        <v>0</v>
      </c>
      <c r="K434">
        <f>B434*(hospitalityq!K434="")</f>
        <v>0</v>
      </c>
      <c r="L434">
        <f>B434*(hospitalityq!L434="")</f>
        <v>0</v>
      </c>
      <c r="M434">
        <f>B434*(hospitalityq!M434="")</f>
        <v>0</v>
      </c>
      <c r="N434">
        <f>B434*(hospitalityq!N434="")</f>
        <v>0</v>
      </c>
      <c r="O434">
        <f>B434*(hospitalityq!O434="")</f>
        <v>0</v>
      </c>
      <c r="P434">
        <f>B434*(hospitalityq!P434="")</f>
        <v>0</v>
      </c>
      <c r="Q434">
        <f>B434*(hospitalityq!Q434="")</f>
        <v>0</v>
      </c>
      <c r="R434">
        <f>B434*(hospitalityq!R434="")</f>
        <v>0</v>
      </c>
    </row>
    <row r="435" spans="1:18" x14ac:dyDescent="0.25">
      <c r="A435">
        <f t="shared" si="7"/>
        <v>0</v>
      </c>
      <c r="B435" t="b">
        <f>SUMPRODUCT(LEN(hospitalityq!C435:R435))&gt;0</f>
        <v>0</v>
      </c>
      <c r="C435">
        <f>B435*(hospitalityq!C435="")</f>
        <v>0</v>
      </c>
      <c r="E435">
        <f>B435*(hospitalityq!E435="")</f>
        <v>0</v>
      </c>
      <c r="F435">
        <f>B435*(hospitalityq!F435="")</f>
        <v>0</v>
      </c>
      <c r="G435">
        <f>B435*(hospitalityq!G435="")</f>
        <v>0</v>
      </c>
      <c r="H435">
        <f>B435*(hospitalityq!H435="")</f>
        <v>0</v>
      </c>
      <c r="I435">
        <f>B435*(hospitalityq!I435="")</f>
        <v>0</v>
      </c>
      <c r="J435">
        <f>B435*(hospitalityq!J435="")</f>
        <v>0</v>
      </c>
      <c r="K435">
        <f>B435*(hospitalityq!K435="")</f>
        <v>0</v>
      </c>
      <c r="L435">
        <f>B435*(hospitalityq!L435="")</f>
        <v>0</v>
      </c>
      <c r="M435">
        <f>B435*(hospitalityq!M435="")</f>
        <v>0</v>
      </c>
      <c r="N435">
        <f>B435*(hospitalityq!N435="")</f>
        <v>0</v>
      </c>
      <c r="O435">
        <f>B435*(hospitalityq!O435="")</f>
        <v>0</v>
      </c>
      <c r="P435">
        <f>B435*(hospitalityq!P435="")</f>
        <v>0</v>
      </c>
      <c r="Q435">
        <f>B435*(hospitalityq!Q435="")</f>
        <v>0</v>
      </c>
      <c r="R435">
        <f>B435*(hospitalityq!R435="")</f>
        <v>0</v>
      </c>
    </row>
    <row r="436" spans="1:18" x14ac:dyDescent="0.25">
      <c r="A436">
        <f t="shared" si="7"/>
        <v>0</v>
      </c>
      <c r="B436" t="b">
        <f>SUMPRODUCT(LEN(hospitalityq!C436:R436))&gt;0</f>
        <v>0</v>
      </c>
      <c r="C436">
        <f>B436*(hospitalityq!C436="")</f>
        <v>0</v>
      </c>
      <c r="E436">
        <f>B436*(hospitalityq!E436="")</f>
        <v>0</v>
      </c>
      <c r="F436">
        <f>B436*(hospitalityq!F436="")</f>
        <v>0</v>
      </c>
      <c r="G436">
        <f>B436*(hospitalityq!G436="")</f>
        <v>0</v>
      </c>
      <c r="H436">
        <f>B436*(hospitalityq!H436="")</f>
        <v>0</v>
      </c>
      <c r="I436">
        <f>B436*(hospitalityq!I436="")</f>
        <v>0</v>
      </c>
      <c r="J436">
        <f>B436*(hospitalityq!J436="")</f>
        <v>0</v>
      </c>
      <c r="K436">
        <f>B436*(hospitalityq!K436="")</f>
        <v>0</v>
      </c>
      <c r="L436">
        <f>B436*(hospitalityq!L436="")</f>
        <v>0</v>
      </c>
      <c r="M436">
        <f>B436*(hospitalityq!M436="")</f>
        <v>0</v>
      </c>
      <c r="N436">
        <f>B436*(hospitalityq!N436="")</f>
        <v>0</v>
      </c>
      <c r="O436">
        <f>B436*(hospitalityq!O436="")</f>
        <v>0</v>
      </c>
      <c r="P436">
        <f>B436*(hospitalityq!P436="")</f>
        <v>0</v>
      </c>
      <c r="Q436">
        <f>B436*(hospitalityq!Q436="")</f>
        <v>0</v>
      </c>
      <c r="R436">
        <f>B436*(hospitalityq!R436="")</f>
        <v>0</v>
      </c>
    </row>
    <row r="437" spans="1:18" x14ac:dyDescent="0.25">
      <c r="A437">
        <f t="shared" si="7"/>
        <v>0</v>
      </c>
      <c r="B437" t="b">
        <f>SUMPRODUCT(LEN(hospitalityq!C437:R437))&gt;0</f>
        <v>0</v>
      </c>
      <c r="C437">
        <f>B437*(hospitalityq!C437="")</f>
        <v>0</v>
      </c>
      <c r="E437">
        <f>B437*(hospitalityq!E437="")</f>
        <v>0</v>
      </c>
      <c r="F437">
        <f>B437*(hospitalityq!F437="")</f>
        <v>0</v>
      </c>
      <c r="G437">
        <f>B437*(hospitalityq!G437="")</f>
        <v>0</v>
      </c>
      <c r="H437">
        <f>B437*(hospitalityq!H437="")</f>
        <v>0</v>
      </c>
      <c r="I437">
        <f>B437*(hospitalityq!I437="")</f>
        <v>0</v>
      </c>
      <c r="J437">
        <f>B437*(hospitalityq!J437="")</f>
        <v>0</v>
      </c>
      <c r="K437">
        <f>B437*(hospitalityq!K437="")</f>
        <v>0</v>
      </c>
      <c r="L437">
        <f>B437*(hospitalityq!L437="")</f>
        <v>0</v>
      </c>
      <c r="M437">
        <f>B437*(hospitalityq!M437="")</f>
        <v>0</v>
      </c>
      <c r="N437">
        <f>B437*(hospitalityq!N437="")</f>
        <v>0</v>
      </c>
      <c r="O437">
        <f>B437*(hospitalityq!O437="")</f>
        <v>0</v>
      </c>
      <c r="P437">
        <f>B437*(hospitalityq!P437="")</f>
        <v>0</v>
      </c>
      <c r="Q437">
        <f>B437*(hospitalityq!Q437="")</f>
        <v>0</v>
      </c>
      <c r="R437">
        <f>B437*(hospitalityq!R437="")</f>
        <v>0</v>
      </c>
    </row>
    <row r="438" spans="1:18" x14ac:dyDescent="0.25">
      <c r="A438">
        <f t="shared" si="7"/>
        <v>0</v>
      </c>
      <c r="B438" t="b">
        <f>SUMPRODUCT(LEN(hospitalityq!C438:R438))&gt;0</f>
        <v>0</v>
      </c>
      <c r="C438">
        <f>B438*(hospitalityq!C438="")</f>
        <v>0</v>
      </c>
      <c r="E438">
        <f>B438*(hospitalityq!E438="")</f>
        <v>0</v>
      </c>
      <c r="F438">
        <f>B438*(hospitalityq!F438="")</f>
        <v>0</v>
      </c>
      <c r="G438">
        <f>B438*(hospitalityq!G438="")</f>
        <v>0</v>
      </c>
      <c r="H438">
        <f>B438*(hospitalityq!H438="")</f>
        <v>0</v>
      </c>
      <c r="I438">
        <f>B438*(hospitalityq!I438="")</f>
        <v>0</v>
      </c>
      <c r="J438">
        <f>B438*(hospitalityq!J438="")</f>
        <v>0</v>
      </c>
      <c r="K438">
        <f>B438*(hospitalityq!K438="")</f>
        <v>0</v>
      </c>
      <c r="L438">
        <f>B438*(hospitalityq!L438="")</f>
        <v>0</v>
      </c>
      <c r="M438">
        <f>B438*(hospitalityq!M438="")</f>
        <v>0</v>
      </c>
      <c r="N438">
        <f>B438*(hospitalityq!N438="")</f>
        <v>0</v>
      </c>
      <c r="O438">
        <f>B438*(hospitalityq!O438="")</f>
        <v>0</v>
      </c>
      <c r="P438">
        <f>B438*(hospitalityq!P438="")</f>
        <v>0</v>
      </c>
      <c r="Q438">
        <f>B438*(hospitalityq!Q438="")</f>
        <v>0</v>
      </c>
      <c r="R438">
        <f>B438*(hospitalityq!R438="")</f>
        <v>0</v>
      </c>
    </row>
    <row r="439" spans="1:18" x14ac:dyDescent="0.25">
      <c r="A439">
        <f t="shared" si="7"/>
        <v>0</v>
      </c>
      <c r="B439" t="b">
        <f>SUMPRODUCT(LEN(hospitalityq!C439:R439))&gt;0</f>
        <v>0</v>
      </c>
      <c r="C439">
        <f>B439*(hospitalityq!C439="")</f>
        <v>0</v>
      </c>
      <c r="E439">
        <f>B439*(hospitalityq!E439="")</f>
        <v>0</v>
      </c>
      <c r="F439">
        <f>B439*(hospitalityq!F439="")</f>
        <v>0</v>
      </c>
      <c r="G439">
        <f>B439*(hospitalityq!G439="")</f>
        <v>0</v>
      </c>
      <c r="H439">
        <f>B439*(hospitalityq!H439="")</f>
        <v>0</v>
      </c>
      <c r="I439">
        <f>B439*(hospitalityq!I439="")</f>
        <v>0</v>
      </c>
      <c r="J439">
        <f>B439*(hospitalityq!J439="")</f>
        <v>0</v>
      </c>
      <c r="K439">
        <f>B439*(hospitalityq!K439="")</f>
        <v>0</v>
      </c>
      <c r="L439">
        <f>B439*(hospitalityq!L439="")</f>
        <v>0</v>
      </c>
      <c r="M439">
        <f>B439*(hospitalityq!M439="")</f>
        <v>0</v>
      </c>
      <c r="N439">
        <f>B439*(hospitalityq!N439="")</f>
        <v>0</v>
      </c>
      <c r="O439">
        <f>B439*(hospitalityq!O439="")</f>
        <v>0</v>
      </c>
      <c r="P439">
        <f>B439*(hospitalityq!P439="")</f>
        <v>0</v>
      </c>
      <c r="Q439">
        <f>B439*(hospitalityq!Q439="")</f>
        <v>0</v>
      </c>
      <c r="R439">
        <f>B439*(hospitalityq!R439="")</f>
        <v>0</v>
      </c>
    </row>
    <row r="440" spans="1:18" x14ac:dyDescent="0.25">
      <c r="A440">
        <f t="shared" si="7"/>
        <v>0</v>
      </c>
      <c r="B440" t="b">
        <f>SUMPRODUCT(LEN(hospitalityq!C440:R440))&gt;0</f>
        <v>0</v>
      </c>
      <c r="C440">
        <f>B440*(hospitalityq!C440="")</f>
        <v>0</v>
      </c>
      <c r="E440">
        <f>B440*(hospitalityq!E440="")</f>
        <v>0</v>
      </c>
      <c r="F440">
        <f>B440*(hospitalityq!F440="")</f>
        <v>0</v>
      </c>
      <c r="G440">
        <f>B440*(hospitalityq!G440="")</f>
        <v>0</v>
      </c>
      <c r="H440">
        <f>B440*(hospitalityq!H440="")</f>
        <v>0</v>
      </c>
      <c r="I440">
        <f>B440*(hospitalityq!I440="")</f>
        <v>0</v>
      </c>
      <c r="J440">
        <f>B440*(hospitalityq!J440="")</f>
        <v>0</v>
      </c>
      <c r="K440">
        <f>B440*(hospitalityq!K440="")</f>
        <v>0</v>
      </c>
      <c r="L440">
        <f>B440*(hospitalityq!L440="")</f>
        <v>0</v>
      </c>
      <c r="M440">
        <f>B440*(hospitalityq!M440="")</f>
        <v>0</v>
      </c>
      <c r="N440">
        <f>B440*(hospitalityq!N440="")</f>
        <v>0</v>
      </c>
      <c r="O440">
        <f>B440*(hospitalityq!O440="")</f>
        <v>0</v>
      </c>
      <c r="P440">
        <f>B440*(hospitalityq!P440="")</f>
        <v>0</v>
      </c>
      <c r="Q440">
        <f>B440*(hospitalityq!Q440="")</f>
        <v>0</v>
      </c>
      <c r="R440">
        <f>B440*(hospitalityq!R440="")</f>
        <v>0</v>
      </c>
    </row>
    <row r="441" spans="1:18" x14ac:dyDescent="0.25">
      <c r="A441">
        <f t="shared" si="7"/>
        <v>0</v>
      </c>
      <c r="B441" t="b">
        <f>SUMPRODUCT(LEN(hospitalityq!C441:R441))&gt;0</f>
        <v>0</v>
      </c>
      <c r="C441">
        <f>B441*(hospitalityq!C441="")</f>
        <v>0</v>
      </c>
      <c r="E441">
        <f>B441*(hospitalityq!E441="")</f>
        <v>0</v>
      </c>
      <c r="F441">
        <f>B441*(hospitalityq!F441="")</f>
        <v>0</v>
      </c>
      <c r="G441">
        <f>B441*(hospitalityq!G441="")</f>
        <v>0</v>
      </c>
      <c r="H441">
        <f>B441*(hospitalityq!H441="")</f>
        <v>0</v>
      </c>
      <c r="I441">
        <f>B441*(hospitalityq!I441="")</f>
        <v>0</v>
      </c>
      <c r="J441">
        <f>B441*(hospitalityq!J441="")</f>
        <v>0</v>
      </c>
      <c r="K441">
        <f>B441*(hospitalityq!K441="")</f>
        <v>0</v>
      </c>
      <c r="L441">
        <f>B441*(hospitalityq!L441="")</f>
        <v>0</v>
      </c>
      <c r="M441">
        <f>B441*(hospitalityq!M441="")</f>
        <v>0</v>
      </c>
      <c r="N441">
        <f>B441*(hospitalityq!N441="")</f>
        <v>0</v>
      </c>
      <c r="O441">
        <f>B441*(hospitalityq!O441="")</f>
        <v>0</v>
      </c>
      <c r="P441">
        <f>B441*(hospitalityq!P441="")</f>
        <v>0</v>
      </c>
      <c r="Q441">
        <f>B441*(hospitalityq!Q441="")</f>
        <v>0</v>
      </c>
      <c r="R441">
        <f>B441*(hospitalityq!R441="")</f>
        <v>0</v>
      </c>
    </row>
    <row r="442" spans="1:18" x14ac:dyDescent="0.25">
      <c r="A442">
        <f t="shared" si="7"/>
        <v>0</v>
      </c>
      <c r="B442" t="b">
        <f>SUMPRODUCT(LEN(hospitalityq!C442:R442))&gt;0</f>
        <v>0</v>
      </c>
      <c r="C442">
        <f>B442*(hospitalityq!C442="")</f>
        <v>0</v>
      </c>
      <c r="E442">
        <f>B442*(hospitalityq!E442="")</f>
        <v>0</v>
      </c>
      <c r="F442">
        <f>B442*(hospitalityq!F442="")</f>
        <v>0</v>
      </c>
      <c r="G442">
        <f>B442*(hospitalityq!G442="")</f>
        <v>0</v>
      </c>
      <c r="H442">
        <f>B442*(hospitalityq!H442="")</f>
        <v>0</v>
      </c>
      <c r="I442">
        <f>B442*(hospitalityq!I442="")</f>
        <v>0</v>
      </c>
      <c r="J442">
        <f>B442*(hospitalityq!J442="")</f>
        <v>0</v>
      </c>
      <c r="K442">
        <f>B442*(hospitalityq!K442="")</f>
        <v>0</v>
      </c>
      <c r="L442">
        <f>B442*(hospitalityq!L442="")</f>
        <v>0</v>
      </c>
      <c r="M442">
        <f>B442*(hospitalityq!M442="")</f>
        <v>0</v>
      </c>
      <c r="N442">
        <f>B442*(hospitalityq!N442="")</f>
        <v>0</v>
      </c>
      <c r="O442">
        <f>B442*(hospitalityq!O442="")</f>
        <v>0</v>
      </c>
      <c r="P442">
        <f>B442*(hospitalityq!P442="")</f>
        <v>0</v>
      </c>
      <c r="Q442">
        <f>B442*(hospitalityq!Q442="")</f>
        <v>0</v>
      </c>
      <c r="R442">
        <f>B442*(hospitalityq!R442="")</f>
        <v>0</v>
      </c>
    </row>
    <row r="443" spans="1:18" x14ac:dyDescent="0.25">
      <c r="A443">
        <f t="shared" si="7"/>
        <v>0</v>
      </c>
      <c r="B443" t="b">
        <f>SUMPRODUCT(LEN(hospitalityq!C443:R443))&gt;0</f>
        <v>0</v>
      </c>
      <c r="C443">
        <f>B443*(hospitalityq!C443="")</f>
        <v>0</v>
      </c>
      <c r="E443">
        <f>B443*(hospitalityq!E443="")</f>
        <v>0</v>
      </c>
      <c r="F443">
        <f>B443*(hospitalityq!F443="")</f>
        <v>0</v>
      </c>
      <c r="G443">
        <f>B443*(hospitalityq!G443="")</f>
        <v>0</v>
      </c>
      <c r="H443">
        <f>B443*(hospitalityq!H443="")</f>
        <v>0</v>
      </c>
      <c r="I443">
        <f>B443*(hospitalityq!I443="")</f>
        <v>0</v>
      </c>
      <c r="J443">
        <f>B443*(hospitalityq!J443="")</f>
        <v>0</v>
      </c>
      <c r="K443">
        <f>B443*(hospitalityq!K443="")</f>
        <v>0</v>
      </c>
      <c r="L443">
        <f>B443*(hospitalityq!L443="")</f>
        <v>0</v>
      </c>
      <c r="M443">
        <f>B443*(hospitalityq!M443="")</f>
        <v>0</v>
      </c>
      <c r="N443">
        <f>B443*(hospitalityq!N443="")</f>
        <v>0</v>
      </c>
      <c r="O443">
        <f>B443*(hospitalityq!O443="")</f>
        <v>0</v>
      </c>
      <c r="P443">
        <f>B443*(hospitalityq!P443="")</f>
        <v>0</v>
      </c>
      <c r="Q443">
        <f>B443*(hospitalityq!Q443="")</f>
        <v>0</v>
      </c>
      <c r="R443">
        <f>B443*(hospitalityq!R443="")</f>
        <v>0</v>
      </c>
    </row>
    <row r="444" spans="1:18" x14ac:dyDescent="0.25">
      <c r="A444">
        <f t="shared" si="7"/>
        <v>0</v>
      </c>
      <c r="B444" t="b">
        <f>SUMPRODUCT(LEN(hospitalityq!C444:R444))&gt;0</f>
        <v>0</v>
      </c>
      <c r="C444">
        <f>B444*(hospitalityq!C444="")</f>
        <v>0</v>
      </c>
      <c r="E444">
        <f>B444*(hospitalityq!E444="")</f>
        <v>0</v>
      </c>
      <c r="F444">
        <f>B444*(hospitalityq!F444="")</f>
        <v>0</v>
      </c>
      <c r="G444">
        <f>B444*(hospitalityq!G444="")</f>
        <v>0</v>
      </c>
      <c r="H444">
        <f>B444*(hospitalityq!H444="")</f>
        <v>0</v>
      </c>
      <c r="I444">
        <f>B444*(hospitalityq!I444="")</f>
        <v>0</v>
      </c>
      <c r="J444">
        <f>B444*(hospitalityq!J444="")</f>
        <v>0</v>
      </c>
      <c r="K444">
        <f>B444*(hospitalityq!K444="")</f>
        <v>0</v>
      </c>
      <c r="L444">
        <f>B444*(hospitalityq!L444="")</f>
        <v>0</v>
      </c>
      <c r="M444">
        <f>B444*(hospitalityq!M444="")</f>
        <v>0</v>
      </c>
      <c r="N444">
        <f>B444*(hospitalityq!N444="")</f>
        <v>0</v>
      </c>
      <c r="O444">
        <f>B444*(hospitalityq!O444="")</f>
        <v>0</v>
      </c>
      <c r="P444">
        <f>B444*(hospitalityq!P444="")</f>
        <v>0</v>
      </c>
      <c r="Q444">
        <f>B444*(hospitalityq!Q444="")</f>
        <v>0</v>
      </c>
      <c r="R444">
        <f>B444*(hospitalityq!R444="")</f>
        <v>0</v>
      </c>
    </row>
    <row r="445" spans="1:18" x14ac:dyDescent="0.25">
      <c r="A445">
        <f t="shared" si="7"/>
        <v>0</v>
      </c>
      <c r="B445" t="b">
        <f>SUMPRODUCT(LEN(hospitalityq!C445:R445))&gt;0</f>
        <v>0</v>
      </c>
      <c r="C445">
        <f>B445*(hospitalityq!C445="")</f>
        <v>0</v>
      </c>
      <c r="E445">
        <f>B445*(hospitalityq!E445="")</f>
        <v>0</v>
      </c>
      <c r="F445">
        <f>B445*(hospitalityq!F445="")</f>
        <v>0</v>
      </c>
      <c r="G445">
        <f>B445*(hospitalityq!G445="")</f>
        <v>0</v>
      </c>
      <c r="H445">
        <f>B445*(hospitalityq!H445="")</f>
        <v>0</v>
      </c>
      <c r="I445">
        <f>B445*(hospitalityq!I445="")</f>
        <v>0</v>
      </c>
      <c r="J445">
        <f>B445*(hospitalityq!J445="")</f>
        <v>0</v>
      </c>
      <c r="K445">
        <f>B445*(hospitalityq!K445="")</f>
        <v>0</v>
      </c>
      <c r="L445">
        <f>B445*(hospitalityq!L445="")</f>
        <v>0</v>
      </c>
      <c r="M445">
        <f>B445*(hospitalityq!M445="")</f>
        <v>0</v>
      </c>
      <c r="N445">
        <f>B445*(hospitalityq!N445="")</f>
        <v>0</v>
      </c>
      <c r="O445">
        <f>B445*(hospitalityq!O445="")</f>
        <v>0</v>
      </c>
      <c r="P445">
        <f>B445*(hospitalityq!P445="")</f>
        <v>0</v>
      </c>
      <c r="Q445">
        <f>B445*(hospitalityq!Q445="")</f>
        <v>0</v>
      </c>
      <c r="R445">
        <f>B445*(hospitalityq!R445="")</f>
        <v>0</v>
      </c>
    </row>
    <row r="446" spans="1:18" x14ac:dyDescent="0.25">
      <c r="A446">
        <f t="shared" si="7"/>
        <v>0</v>
      </c>
      <c r="B446" t="b">
        <f>SUMPRODUCT(LEN(hospitalityq!C446:R446))&gt;0</f>
        <v>0</v>
      </c>
      <c r="C446">
        <f>B446*(hospitalityq!C446="")</f>
        <v>0</v>
      </c>
      <c r="E446">
        <f>B446*(hospitalityq!E446="")</f>
        <v>0</v>
      </c>
      <c r="F446">
        <f>B446*(hospitalityq!F446="")</f>
        <v>0</v>
      </c>
      <c r="G446">
        <f>B446*(hospitalityq!G446="")</f>
        <v>0</v>
      </c>
      <c r="H446">
        <f>B446*(hospitalityq!H446="")</f>
        <v>0</v>
      </c>
      <c r="I446">
        <f>B446*(hospitalityq!I446="")</f>
        <v>0</v>
      </c>
      <c r="J446">
        <f>B446*(hospitalityq!J446="")</f>
        <v>0</v>
      </c>
      <c r="K446">
        <f>B446*(hospitalityq!K446="")</f>
        <v>0</v>
      </c>
      <c r="L446">
        <f>B446*(hospitalityq!L446="")</f>
        <v>0</v>
      </c>
      <c r="M446">
        <f>B446*(hospitalityq!M446="")</f>
        <v>0</v>
      </c>
      <c r="N446">
        <f>B446*(hospitalityq!N446="")</f>
        <v>0</v>
      </c>
      <c r="O446">
        <f>B446*(hospitalityq!O446="")</f>
        <v>0</v>
      </c>
      <c r="P446">
        <f>B446*(hospitalityq!P446="")</f>
        <v>0</v>
      </c>
      <c r="Q446">
        <f>B446*(hospitalityq!Q446="")</f>
        <v>0</v>
      </c>
      <c r="R446">
        <f>B446*(hospitalityq!R446="")</f>
        <v>0</v>
      </c>
    </row>
    <row r="447" spans="1:18" x14ac:dyDescent="0.25">
      <c r="A447">
        <f t="shared" si="7"/>
        <v>0</v>
      </c>
      <c r="B447" t="b">
        <f>SUMPRODUCT(LEN(hospitalityq!C447:R447))&gt;0</f>
        <v>0</v>
      </c>
      <c r="C447">
        <f>B447*(hospitalityq!C447="")</f>
        <v>0</v>
      </c>
      <c r="E447">
        <f>B447*(hospitalityq!E447="")</f>
        <v>0</v>
      </c>
      <c r="F447">
        <f>B447*(hospitalityq!F447="")</f>
        <v>0</v>
      </c>
      <c r="G447">
        <f>B447*(hospitalityq!G447="")</f>
        <v>0</v>
      </c>
      <c r="H447">
        <f>B447*(hospitalityq!H447="")</f>
        <v>0</v>
      </c>
      <c r="I447">
        <f>B447*(hospitalityq!I447="")</f>
        <v>0</v>
      </c>
      <c r="J447">
        <f>B447*(hospitalityq!J447="")</f>
        <v>0</v>
      </c>
      <c r="K447">
        <f>B447*(hospitalityq!K447="")</f>
        <v>0</v>
      </c>
      <c r="L447">
        <f>B447*(hospitalityq!L447="")</f>
        <v>0</v>
      </c>
      <c r="M447">
        <f>B447*(hospitalityq!M447="")</f>
        <v>0</v>
      </c>
      <c r="N447">
        <f>B447*(hospitalityq!N447="")</f>
        <v>0</v>
      </c>
      <c r="O447">
        <f>B447*(hospitalityq!O447="")</f>
        <v>0</v>
      </c>
      <c r="P447">
        <f>B447*(hospitalityq!P447="")</f>
        <v>0</v>
      </c>
      <c r="Q447">
        <f>B447*(hospitalityq!Q447="")</f>
        <v>0</v>
      </c>
      <c r="R447">
        <f>B447*(hospitalityq!R447="")</f>
        <v>0</v>
      </c>
    </row>
    <row r="448" spans="1:18" x14ac:dyDescent="0.25">
      <c r="A448">
        <f t="shared" si="7"/>
        <v>0</v>
      </c>
      <c r="B448" t="b">
        <f>SUMPRODUCT(LEN(hospitalityq!C448:R448))&gt;0</f>
        <v>0</v>
      </c>
      <c r="C448">
        <f>B448*(hospitalityq!C448="")</f>
        <v>0</v>
      </c>
      <c r="E448">
        <f>B448*(hospitalityq!E448="")</f>
        <v>0</v>
      </c>
      <c r="F448">
        <f>B448*(hospitalityq!F448="")</f>
        <v>0</v>
      </c>
      <c r="G448">
        <f>B448*(hospitalityq!G448="")</f>
        <v>0</v>
      </c>
      <c r="H448">
        <f>B448*(hospitalityq!H448="")</f>
        <v>0</v>
      </c>
      <c r="I448">
        <f>B448*(hospitalityq!I448="")</f>
        <v>0</v>
      </c>
      <c r="J448">
        <f>B448*(hospitalityq!J448="")</f>
        <v>0</v>
      </c>
      <c r="K448">
        <f>B448*(hospitalityq!K448="")</f>
        <v>0</v>
      </c>
      <c r="L448">
        <f>B448*(hospitalityq!L448="")</f>
        <v>0</v>
      </c>
      <c r="M448">
        <f>B448*(hospitalityq!M448="")</f>
        <v>0</v>
      </c>
      <c r="N448">
        <f>B448*(hospitalityq!N448="")</f>
        <v>0</v>
      </c>
      <c r="O448">
        <f>B448*(hospitalityq!O448="")</f>
        <v>0</v>
      </c>
      <c r="P448">
        <f>B448*(hospitalityq!P448="")</f>
        <v>0</v>
      </c>
      <c r="Q448">
        <f>B448*(hospitalityq!Q448="")</f>
        <v>0</v>
      </c>
      <c r="R448">
        <f>B448*(hospitalityq!R448="")</f>
        <v>0</v>
      </c>
    </row>
    <row r="449" spans="1:18" x14ac:dyDescent="0.25">
      <c r="A449">
        <f t="shared" si="7"/>
        <v>0</v>
      </c>
      <c r="B449" t="b">
        <f>SUMPRODUCT(LEN(hospitalityq!C449:R449))&gt;0</f>
        <v>0</v>
      </c>
      <c r="C449">
        <f>B449*(hospitalityq!C449="")</f>
        <v>0</v>
      </c>
      <c r="E449">
        <f>B449*(hospitalityq!E449="")</f>
        <v>0</v>
      </c>
      <c r="F449">
        <f>B449*(hospitalityq!F449="")</f>
        <v>0</v>
      </c>
      <c r="G449">
        <f>B449*(hospitalityq!G449="")</f>
        <v>0</v>
      </c>
      <c r="H449">
        <f>B449*(hospitalityq!H449="")</f>
        <v>0</v>
      </c>
      <c r="I449">
        <f>B449*(hospitalityq!I449="")</f>
        <v>0</v>
      </c>
      <c r="J449">
        <f>B449*(hospitalityq!J449="")</f>
        <v>0</v>
      </c>
      <c r="K449">
        <f>B449*(hospitalityq!K449="")</f>
        <v>0</v>
      </c>
      <c r="L449">
        <f>B449*(hospitalityq!L449="")</f>
        <v>0</v>
      </c>
      <c r="M449">
        <f>B449*(hospitalityq!M449="")</f>
        <v>0</v>
      </c>
      <c r="N449">
        <f>B449*(hospitalityq!N449="")</f>
        <v>0</v>
      </c>
      <c r="O449">
        <f>B449*(hospitalityq!O449="")</f>
        <v>0</v>
      </c>
      <c r="P449">
        <f>B449*(hospitalityq!P449="")</f>
        <v>0</v>
      </c>
      <c r="Q449">
        <f>B449*(hospitalityq!Q449="")</f>
        <v>0</v>
      </c>
      <c r="R449">
        <f>B449*(hospitalityq!R449="")</f>
        <v>0</v>
      </c>
    </row>
    <row r="450" spans="1:18" x14ac:dyDescent="0.25">
      <c r="A450">
        <f t="shared" si="7"/>
        <v>0</v>
      </c>
      <c r="B450" t="b">
        <f>SUMPRODUCT(LEN(hospitalityq!C450:R450))&gt;0</f>
        <v>0</v>
      </c>
      <c r="C450">
        <f>B450*(hospitalityq!C450="")</f>
        <v>0</v>
      </c>
      <c r="E450">
        <f>B450*(hospitalityq!E450="")</f>
        <v>0</v>
      </c>
      <c r="F450">
        <f>B450*(hospitalityq!F450="")</f>
        <v>0</v>
      </c>
      <c r="G450">
        <f>B450*(hospitalityq!G450="")</f>
        <v>0</v>
      </c>
      <c r="H450">
        <f>B450*(hospitalityq!H450="")</f>
        <v>0</v>
      </c>
      <c r="I450">
        <f>B450*(hospitalityq!I450="")</f>
        <v>0</v>
      </c>
      <c r="J450">
        <f>B450*(hospitalityq!J450="")</f>
        <v>0</v>
      </c>
      <c r="K450">
        <f>B450*(hospitalityq!K450="")</f>
        <v>0</v>
      </c>
      <c r="L450">
        <f>B450*(hospitalityq!L450="")</f>
        <v>0</v>
      </c>
      <c r="M450">
        <f>B450*(hospitalityq!M450="")</f>
        <v>0</v>
      </c>
      <c r="N450">
        <f>B450*(hospitalityq!N450="")</f>
        <v>0</v>
      </c>
      <c r="O450">
        <f>B450*(hospitalityq!O450="")</f>
        <v>0</v>
      </c>
      <c r="P450">
        <f>B450*(hospitalityq!P450="")</f>
        <v>0</v>
      </c>
      <c r="Q450">
        <f>B450*(hospitalityq!Q450="")</f>
        <v>0</v>
      </c>
      <c r="R450">
        <f>B450*(hospitalityq!R450="")</f>
        <v>0</v>
      </c>
    </row>
    <row r="451" spans="1:18" x14ac:dyDescent="0.25">
      <c r="A451">
        <f t="shared" si="7"/>
        <v>0</v>
      </c>
      <c r="B451" t="b">
        <f>SUMPRODUCT(LEN(hospitalityq!C451:R451))&gt;0</f>
        <v>0</v>
      </c>
      <c r="C451">
        <f>B451*(hospitalityq!C451="")</f>
        <v>0</v>
      </c>
      <c r="E451">
        <f>B451*(hospitalityq!E451="")</f>
        <v>0</v>
      </c>
      <c r="F451">
        <f>B451*(hospitalityq!F451="")</f>
        <v>0</v>
      </c>
      <c r="G451">
        <f>B451*(hospitalityq!G451="")</f>
        <v>0</v>
      </c>
      <c r="H451">
        <f>B451*(hospitalityq!H451="")</f>
        <v>0</v>
      </c>
      <c r="I451">
        <f>B451*(hospitalityq!I451="")</f>
        <v>0</v>
      </c>
      <c r="J451">
        <f>B451*(hospitalityq!J451="")</f>
        <v>0</v>
      </c>
      <c r="K451">
        <f>B451*(hospitalityq!K451="")</f>
        <v>0</v>
      </c>
      <c r="L451">
        <f>B451*(hospitalityq!L451="")</f>
        <v>0</v>
      </c>
      <c r="M451">
        <f>B451*(hospitalityq!M451="")</f>
        <v>0</v>
      </c>
      <c r="N451">
        <f>B451*(hospitalityq!N451="")</f>
        <v>0</v>
      </c>
      <c r="O451">
        <f>B451*(hospitalityq!O451="")</f>
        <v>0</v>
      </c>
      <c r="P451">
        <f>B451*(hospitalityq!P451="")</f>
        <v>0</v>
      </c>
      <c r="Q451">
        <f>B451*(hospitalityq!Q451="")</f>
        <v>0</v>
      </c>
      <c r="R451">
        <f>B451*(hospitalityq!R451="")</f>
        <v>0</v>
      </c>
    </row>
    <row r="452" spans="1:18" x14ac:dyDescent="0.25">
      <c r="A452">
        <f t="shared" si="7"/>
        <v>0</v>
      </c>
      <c r="B452" t="b">
        <f>SUMPRODUCT(LEN(hospitalityq!C452:R452))&gt;0</f>
        <v>0</v>
      </c>
      <c r="C452">
        <f>B452*(hospitalityq!C452="")</f>
        <v>0</v>
      </c>
      <c r="E452">
        <f>B452*(hospitalityq!E452="")</f>
        <v>0</v>
      </c>
      <c r="F452">
        <f>B452*(hospitalityq!F452="")</f>
        <v>0</v>
      </c>
      <c r="G452">
        <f>B452*(hospitalityq!G452="")</f>
        <v>0</v>
      </c>
      <c r="H452">
        <f>B452*(hospitalityq!H452="")</f>
        <v>0</v>
      </c>
      <c r="I452">
        <f>B452*(hospitalityq!I452="")</f>
        <v>0</v>
      </c>
      <c r="J452">
        <f>B452*(hospitalityq!J452="")</f>
        <v>0</v>
      </c>
      <c r="K452">
        <f>B452*(hospitalityq!K452="")</f>
        <v>0</v>
      </c>
      <c r="L452">
        <f>B452*(hospitalityq!L452="")</f>
        <v>0</v>
      </c>
      <c r="M452">
        <f>B452*(hospitalityq!M452="")</f>
        <v>0</v>
      </c>
      <c r="N452">
        <f>B452*(hospitalityq!N452="")</f>
        <v>0</v>
      </c>
      <c r="O452">
        <f>B452*(hospitalityq!O452="")</f>
        <v>0</v>
      </c>
      <c r="P452">
        <f>B452*(hospitalityq!P452="")</f>
        <v>0</v>
      </c>
      <c r="Q452">
        <f>B452*(hospitalityq!Q452="")</f>
        <v>0</v>
      </c>
      <c r="R452">
        <f>B452*(hospitalityq!R452="")</f>
        <v>0</v>
      </c>
    </row>
    <row r="453" spans="1:18" x14ac:dyDescent="0.25">
      <c r="A453">
        <f t="shared" si="7"/>
        <v>0</v>
      </c>
      <c r="B453" t="b">
        <f>SUMPRODUCT(LEN(hospitalityq!C453:R453))&gt;0</f>
        <v>0</v>
      </c>
      <c r="C453">
        <f>B453*(hospitalityq!C453="")</f>
        <v>0</v>
      </c>
      <c r="E453">
        <f>B453*(hospitalityq!E453="")</f>
        <v>0</v>
      </c>
      <c r="F453">
        <f>B453*(hospitalityq!F453="")</f>
        <v>0</v>
      </c>
      <c r="G453">
        <f>B453*(hospitalityq!G453="")</f>
        <v>0</v>
      </c>
      <c r="H453">
        <f>B453*(hospitalityq!H453="")</f>
        <v>0</v>
      </c>
      <c r="I453">
        <f>B453*(hospitalityq!I453="")</f>
        <v>0</v>
      </c>
      <c r="J453">
        <f>B453*(hospitalityq!J453="")</f>
        <v>0</v>
      </c>
      <c r="K453">
        <f>B453*(hospitalityq!K453="")</f>
        <v>0</v>
      </c>
      <c r="L453">
        <f>B453*(hospitalityq!L453="")</f>
        <v>0</v>
      </c>
      <c r="M453">
        <f>B453*(hospitalityq!M453="")</f>
        <v>0</v>
      </c>
      <c r="N453">
        <f>B453*(hospitalityq!N453="")</f>
        <v>0</v>
      </c>
      <c r="O453">
        <f>B453*(hospitalityq!O453="")</f>
        <v>0</v>
      </c>
      <c r="P453">
        <f>B453*(hospitalityq!P453="")</f>
        <v>0</v>
      </c>
      <c r="Q453">
        <f>B453*(hospitalityq!Q453="")</f>
        <v>0</v>
      </c>
      <c r="R453">
        <f>B453*(hospitalityq!R453="")</f>
        <v>0</v>
      </c>
    </row>
    <row r="454" spans="1:18" x14ac:dyDescent="0.25">
      <c r="A454">
        <f t="shared" ref="A454:A517" si="8">IFERROR(MATCH(TRUE,INDEX(C454:R454&lt;&gt;0,),)+2,0)</f>
        <v>0</v>
      </c>
      <c r="B454" t="b">
        <f>SUMPRODUCT(LEN(hospitalityq!C454:R454))&gt;0</f>
        <v>0</v>
      </c>
      <c r="C454">
        <f>B454*(hospitalityq!C454="")</f>
        <v>0</v>
      </c>
      <c r="E454">
        <f>B454*(hospitalityq!E454="")</f>
        <v>0</v>
      </c>
      <c r="F454">
        <f>B454*(hospitalityq!F454="")</f>
        <v>0</v>
      </c>
      <c r="G454">
        <f>B454*(hospitalityq!G454="")</f>
        <v>0</v>
      </c>
      <c r="H454">
        <f>B454*(hospitalityq!H454="")</f>
        <v>0</v>
      </c>
      <c r="I454">
        <f>B454*(hospitalityq!I454="")</f>
        <v>0</v>
      </c>
      <c r="J454">
        <f>B454*(hospitalityq!J454="")</f>
        <v>0</v>
      </c>
      <c r="K454">
        <f>B454*(hospitalityq!K454="")</f>
        <v>0</v>
      </c>
      <c r="L454">
        <f>B454*(hospitalityq!L454="")</f>
        <v>0</v>
      </c>
      <c r="M454">
        <f>B454*(hospitalityq!M454="")</f>
        <v>0</v>
      </c>
      <c r="N454">
        <f>B454*(hospitalityq!N454="")</f>
        <v>0</v>
      </c>
      <c r="O454">
        <f>B454*(hospitalityq!O454="")</f>
        <v>0</v>
      </c>
      <c r="P454">
        <f>B454*(hospitalityq!P454="")</f>
        <v>0</v>
      </c>
      <c r="Q454">
        <f>B454*(hospitalityq!Q454="")</f>
        <v>0</v>
      </c>
      <c r="R454">
        <f>B454*(hospitalityq!R454="")</f>
        <v>0</v>
      </c>
    </row>
    <row r="455" spans="1:18" x14ac:dyDescent="0.25">
      <c r="A455">
        <f t="shared" si="8"/>
        <v>0</v>
      </c>
      <c r="B455" t="b">
        <f>SUMPRODUCT(LEN(hospitalityq!C455:R455))&gt;0</f>
        <v>0</v>
      </c>
      <c r="C455">
        <f>B455*(hospitalityq!C455="")</f>
        <v>0</v>
      </c>
      <c r="E455">
        <f>B455*(hospitalityq!E455="")</f>
        <v>0</v>
      </c>
      <c r="F455">
        <f>B455*(hospitalityq!F455="")</f>
        <v>0</v>
      </c>
      <c r="G455">
        <f>B455*(hospitalityq!G455="")</f>
        <v>0</v>
      </c>
      <c r="H455">
        <f>B455*(hospitalityq!H455="")</f>
        <v>0</v>
      </c>
      <c r="I455">
        <f>B455*(hospitalityq!I455="")</f>
        <v>0</v>
      </c>
      <c r="J455">
        <f>B455*(hospitalityq!J455="")</f>
        <v>0</v>
      </c>
      <c r="K455">
        <f>B455*(hospitalityq!K455="")</f>
        <v>0</v>
      </c>
      <c r="L455">
        <f>B455*(hospitalityq!L455="")</f>
        <v>0</v>
      </c>
      <c r="M455">
        <f>B455*(hospitalityq!M455="")</f>
        <v>0</v>
      </c>
      <c r="N455">
        <f>B455*(hospitalityq!N455="")</f>
        <v>0</v>
      </c>
      <c r="O455">
        <f>B455*(hospitalityq!O455="")</f>
        <v>0</v>
      </c>
      <c r="P455">
        <f>B455*(hospitalityq!P455="")</f>
        <v>0</v>
      </c>
      <c r="Q455">
        <f>B455*(hospitalityq!Q455="")</f>
        <v>0</v>
      </c>
      <c r="R455">
        <f>B455*(hospitalityq!R455="")</f>
        <v>0</v>
      </c>
    </row>
    <row r="456" spans="1:18" x14ac:dyDescent="0.25">
      <c r="A456">
        <f t="shared" si="8"/>
        <v>0</v>
      </c>
      <c r="B456" t="b">
        <f>SUMPRODUCT(LEN(hospitalityq!C456:R456))&gt;0</f>
        <v>0</v>
      </c>
      <c r="C456">
        <f>B456*(hospitalityq!C456="")</f>
        <v>0</v>
      </c>
      <c r="E456">
        <f>B456*(hospitalityq!E456="")</f>
        <v>0</v>
      </c>
      <c r="F456">
        <f>B456*(hospitalityq!F456="")</f>
        <v>0</v>
      </c>
      <c r="G456">
        <f>B456*(hospitalityq!G456="")</f>
        <v>0</v>
      </c>
      <c r="H456">
        <f>B456*(hospitalityq!H456="")</f>
        <v>0</v>
      </c>
      <c r="I456">
        <f>B456*(hospitalityq!I456="")</f>
        <v>0</v>
      </c>
      <c r="J456">
        <f>B456*(hospitalityq!J456="")</f>
        <v>0</v>
      </c>
      <c r="K456">
        <f>B456*(hospitalityq!K456="")</f>
        <v>0</v>
      </c>
      <c r="L456">
        <f>B456*(hospitalityq!L456="")</f>
        <v>0</v>
      </c>
      <c r="M456">
        <f>B456*(hospitalityq!M456="")</f>
        <v>0</v>
      </c>
      <c r="N456">
        <f>B456*(hospitalityq!N456="")</f>
        <v>0</v>
      </c>
      <c r="O456">
        <f>B456*(hospitalityq!O456="")</f>
        <v>0</v>
      </c>
      <c r="P456">
        <f>B456*(hospitalityq!P456="")</f>
        <v>0</v>
      </c>
      <c r="Q456">
        <f>B456*(hospitalityq!Q456="")</f>
        <v>0</v>
      </c>
      <c r="R456">
        <f>B456*(hospitalityq!R456="")</f>
        <v>0</v>
      </c>
    </row>
    <row r="457" spans="1:18" x14ac:dyDescent="0.25">
      <c r="A457">
        <f t="shared" si="8"/>
        <v>0</v>
      </c>
      <c r="B457" t="b">
        <f>SUMPRODUCT(LEN(hospitalityq!C457:R457))&gt;0</f>
        <v>0</v>
      </c>
      <c r="C457">
        <f>B457*(hospitalityq!C457="")</f>
        <v>0</v>
      </c>
      <c r="E457">
        <f>B457*(hospitalityq!E457="")</f>
        <v>0</v>
      </c>
      <c r="F457">
        <f>B457*(hospitalityq!F457="")</f>
        <v>0</v>
      </c>
      <c r="G457">
        <f>B457*(hospitalityq!G457="")</f>
        <v>0</v>
      </c>
      <c r="H457">
        <f>B457*(hospitalityq!H457="")</f>
        <v>0</v>
      </c>
      <c r="I457">
        <f>B457*(hospitalityq!I457="")</f>
        <v>0</v>
      </c>
      <c r="J457">
        <f>B457*(hospitalityq!J457="")</f>
        <v>0</v>
      </c>
      <c r="K457">
        <f>B457*(hospitalityq!K457="")</f>
        <v>0</v>
      </c>
      <c r="L457">
        <f>B457*(hospitalityq!L457="")</f>
        <v>0</v>
      </c>
      <c r="M457">
        <f>B457*(hospitalityq!M457="")</f>
        <v>0</v>
      </c>
      <c r="N457">
        <f>B457*(hospitalityq!N457="")</f>
        <v>0</v>
      </c>
      <c r="O457">
        <f>B457*(hospitalityq!O457="")</f>
        <v>0</v>
      </c>
      <c r="P457">
        <f>B457*(hospitalityq!P457="")</f>
        <v>0</v>
      </c>
      <c r="Q457">
        <f>B457*(hospitalityq!Q457="")</f>
        <v>0</v>
      </c>
      <c r="R457">
        <f>B457*(hospitalityq!R457="")</f>
        <v>0</v>
      </c>
    </row>
    <row r="458" spans="1:18" x14ac:dyDescent="0.25">
      <c r="A458">
        <f t="shared" si="8"/>
        <v>0</v>
      </c>
      <c r="B458" t="b">
        <f>SUMPRODUCT(LEN(hospitalityq!C458:R458))&gt;0</f>
        <v>0</v>
      </c>
      <c r="C458">
        <f>B458*(hospitalityq!C458="")</f>
        <v>0</v>
      </c>
      <c r="E458">
        <f>B458*(hospitalityq!E458="")</f>
        <v>0</v>
      </c>
      <c r="F458">
        <f>B458*(hospitalityq!F458="")</f>
        <v>0</v>
      </c>
      <c r="G458">
        <f>B458*(hospitalityq!G458="")</f>
        <v>0</v>
      </c>
      <c r="H458">
        <f>B458*(hospitalityq!H458="")</f>
        <v>0</v>
      </c>
      <c r="I458">
        <f>B458*(hospitalityq!I458="")</f>
        <v>0</v>
      </c>
      <c r="J458">
        <f>B458*(hospitalityq!J458="")</f>
        <v>0</v>
      </c>
      <c r="K458">
        <f>B458*(hospitalityq!K458="")</f>
        <v>0</v>
      </c>
      <c r="L458">
        <f>B458*(hospitalityq!L458="")</f>
        <v>0</v>
      </c>
      <c r="M458">
        <f>B458*(hospitalityq!M458="")</f>
        <v>0</v>
      </c>
      <c r="N458">
        <f>B458*(hospitalityq!N458="")</f>
        <v>0</v>
      </c>
      <c r="O458">
        <f>B458*(hospitalityq!O458="")</f>
        <v>0</v>
      </c>
      <c r="P458">
        <f>B458*(hospitalityq!P458="")</f>
        <v>0</v>
      </c>
      <c r="Q458">
        <f>B458*(hospitalityq!Q458="")</f>
        <v>0</v>
      </c>
      <c r="R458">
        <f>B458*(hospitalityq!R458="")</f>
        <v>0</v>
      </c>
    </row>
    <row r="459" spans="1:18" x14ac:dyDescent="0.25">
      <c r="A459">
        <f t="shared" si="8"/>
        <v>0</v>
      </c>
      <c r="B459" t="b">
        <f>SUMPRODUCT(LEN(hospitalityq!C459:R459))&gt;0</f>
        <v>0</v>
      </c>
      <c r="C459">
        <f>B459*(hospitalityq!C459="")</f>
        <v>0</v>
      </c>
      <c r="E459">
        <f>B459*(hospitalityq!E459="")</f>
        <v>0</v>
      </c>
      <c r="F459">
        <f>B459*(hospitalityq!F459="")</f>
        <v>0</v>
      </c>
      <c r="G459">
        <f>B459*(hospitalityq!G459="")</f>
        <v>0</v>
      </c>
      <c r="H459">
        <f>B459*(hospitalityq!H459="")</f>
        <v>0</v>
      </c>
      <c r="I459">
        <f>B459*(hospitalityq!I459="")</f>
        <v>0</v>
      </c>
      <c r="J459">
        <f>B459*(hospitalityq!J459="")</f>
        <v>0</v>
      </c>
      <c r="K459">
        <f>B459*(hospitalityq!K459="")</f>
        <v>0</v>
      </c>
      <c r="L459">
        <f>B459*(hospitalityq!L459="")</f>
        <v>0</v>
      </c>
      <c r="M459">
        <f>B459*(hospitalityq!M459="")</f>
        <v>0</v>
      </c>
      <c r="N459">
        <f>B459*(hospitalityq!N459="")</f>
        <v>0</v>
      </c>
      <c r="O459">
        <f>B459*(hospitalityq!O459="")</f>
        <v>0</v>
      </c>
      <c r="P459">
        <f>B459*(hospitalityq!P459="")</f>
        <v>0</v>
      </c>
      <c r="Q459">
        <f>B459*(hospitalityq!Q459="")</f>
        <v>0</v>
      </c>
      <c r="R459">
        <f>B459*(hospitalityq!R459="")</f>
        <v>0</v>
      </c>
    </row>
    <row r="460" spans="1:18" x14ac:dyDescent="0.25">
      <c r="A460">
        <f t="shared" si="8"/>
        <v>0</v>
      </c>
      <c r="B460" t="b">
        <f>SUMPRODUCT(LEN(hospitalityq!C460:R460))&gt;0</f>
        <v>0</v>
      </c>
      <c r="C460">
        <f>B460*(hospitalityq!C460="")</f>
        <v>0</v>
      </c>
      <c r="E460">
        <f>B460*(hospitalityq!E460="")</f>
        <v>0</v>
      </c>
      <c r="F460">
        <f>B460*(hospitalityq!F460="")</f>
        <v>0</v>
      </c>
      <c r="G460">
        <f>B460*(hospitalityq!G460="")</f>
        <v>0</v>
      </c>
      <c r="H460">
        <f>B460*(hospitalityq!H460="")</f>
        <v>0</v>
      </c>
      <c r="I460">
        <f>B460*(hospitalityq!I460="")</f>
        <v>0</v>
      </c>
      <c r="J460">
        <f>B460*(hospitalityq!J460="")</f>
        <v>0</v>
      </c>
      <c r="K460">
        <f>B460*(hospitalityq!K460="")</f>
        <v>0</v>
      </c>
      <c r="L460">
        <f>B460*(hospitalityq!L460="")</f>
        <v>0</v>
      </c>
      <c r="M460">
        <f>B460*(hospitalityq!M460="")</f>
        <v>0</v>
      </c>
      <c r="N460">
        <f>B460*(hospitalityq!N460="")</f>
        <v>0</v>
      </c>
      <c r="O460">
        <f>B460*(hospitalityq!O460="")</f>
        <v>0</v>
      </c>
      <c r="P460">
        <f>B460*(hospitalityq!P460="")</f>
        <v>0</v>
      </c>
      <c r="Q460">
        <f>B460*(hospitalityq!Q460="")</f>
        <v>0</v>
      </c>
      <c r="R460">
        <f>B460*(hospitalityq!R460="")</f>
        <v>0</v>
      </c>
    </row>
    <row r="461" spans="1:18" x14ac:dyDescent="0.25">
      <c r="A461">
        <f t="shared" si="8"/>
        <v>0</v>
      </c>
      <c r="B461" t="b">
        <f>SUMPRODUCT(LEN(hospitalityq!C461:R461))&gt;0</f>
        <v>0</v>
      </c>
      <c r="C461">
        <f>B461*(hospitalityq!C461="")</f>
        <v>0</v>
      </c>
      <c r="E461">
        <f>B461*(hospitalityq!E461="")</f>
        <v>0</v>
      </c>
      <c r="F461">
        <f>B461*(hospitalityq!F461="")</f>
        <v>0</v>
      </c>
      <c r="G461">
        <f>B461*(hospitalityq!G461="")</f>
        <v>0</v>
      </c>
      <c r="H461">
        <f>B461*(hospitalityq!H461="")</f>
        <v>0</v>
      </c>
      <c r="I461">
        <f>B461*(hospitalityq!I461="")</f>
        <v>0</v>
      </c>
      <c r="J461">
        <f>B461*(hospitalityq!J461="")</f>
        <v>0</v>
      </c>
      <c r="K461">
        <f>B461*(hospitalityq!K461="")</f>
        <v>0</v>
      </c>
      <c r="L461">
        <f>B461*(hospitalityq!L461="")</f>
        <v>0</v>
      </c>
      <c r="M461">
        <f>B461*(hospitalityq!M461="")</f>
        <v>0</v>
      </c>
      <c r="N461">
        <f>B461*(hospitalityq!N461="")</f>
        <v>0</v>
      </c>
      <c r="O461">
        <f>B461*(hospitalityq!O461="")</f>
        <v>0</v>
      </c>
      <c r="P461">
        <f>B461*(hospitalityq!P461="")</f>
        <v>0</v>
      </c>
      <c r="Q461">
        <f>B461*(hospitalityq!Q461="")</f>
        <v>0</v>
      </c>
      <c r="R461">
        <f>B461*(hospitalityq!R461="")</f>
        <v>0</v>
      </c>
    </row>
    <row r="462" spans="1:18" x14ac:dyDescent="0.25">
      <c r="A462">
        <f t="shared" si="8"/>
        <v>0</v>
      </c>
      <c r="B462" t="b">
        <f>SUMPRODUCT(LEN(hospitalityq!C462:R462))&gt;0</f>
        <v>0</v>
      </c>
      <c r="C462">
        <f>B462*(hospitalityq!C462="")</f>
        <v>0</v>
      </c>
      <c r="E462">
        <f>B462*(hospitalityq!E462="")</f>
        <v>0</v>
      </c>
      <c r="F462">
        <f>B462*(hospitalityq!F462="")</f>
        <v>0</v>
      </c>
      <c r="G462">
        <f>B462*(hospitalityq!G462="")</f>
        <v>0</v>
      </c>
      <c r="H462">
        <f>B462*(hospitalityq!H462="")</f>
        <v>0</v>
      </c>
      <c r="I462">
        <f>B462*(hospitalityq!I462="")</f>
        <v>0</v>
      </c>
      <c r="J462">
        <f>B462*(hospitalityq!J462="")</f>
        <v>0</v>
      </c>
      <c r="K462">
        <f>B462*(hospitalityq!K462="")</f>
        <v>0</v>
      </c>
      <c r="L462">
        <f>B462*(hospitalityq!L462="")</f>
        <v>0</v>
      </c>
      <c r="M462">
        <f>B462*(hospitalityq!M462="")</f>
        <v>0</v>
      </c>
      <c r="N462">
        <f>B462*(hospitalityq!N462="")</f>
        <v>0</v>
      </c>
      <c r="O462">
        <f>B462*(hospitalityq!O462="")</f>
        <v>0</v>
      </c>
      <c r="P462">
        <f>B462*(hospitalityq!P462="")</f>
        <v>0</v>
      </c>
      <c r="Q462">
        <f>B462*(hospitalityq!Q462="")</f>
        <v>0</v>
      </c>
      <c r="R462">
        <f>B462*(hospitalityq!R462="")</f>
        <v>0</v>
      </c>
    </row>
    <row r="463" spans="1:18" x14ac:dyDescent="0.25">
      <c r="A463">
        <f t="shared" si="8"/>
        <v>0</v>
      </c>
      <c r="B463" t="b">
        <f>SUMPRODUCT(LEN(hospitalityq!C463:R463))&gt;0</f>
        <v>0</v>
      </c>
      <c r="C463">
        <f>B463*(hospitalityq!C463="")</f>
        <v>0</v>
      </c>
      <c r="E463">
        <f>B463*(hospitalityq!E463="")</f>
        <v>0</v>
      </c>
      <c r="F463">
        <f>B463*(hospitalityq!F463="")</f>
        <v>0</v>
      </c>
      <c r="G463">
        <f>B463*(hospitalityq!G463="")</f>
        <v>0</v>
      </c>
      <c r="H463">
        <f>B463*(hospitalityq!H463="")</f>
        <v>0</v>
      </c>
      <c r="I463">
        <f>B463*(hospitalityq!I463="")</f>
        <v>0</v>
      </c>
      <c r="J463">
        <f>B463*(hospitalityq!J463="")</f>
        <v>0</v>
      </c>
      <c r="K463">
        <f>B463*(hospitalityq!K463="")</f>
        <v>0</v>
      </c>
      <c r="L463">
        <f>B463*(hospitalityq!L463="")</f>
        <v>0</v>
      </c>
      <c r="M463">
        <f>B463*(hospitalityq!M463="")</f>
        <v>0</v>
      </c>
      <c r="N463">
        <f>B463*(hospitalityq!N463="")</f>
        <v>0</v>
      </c>
      <c r="O463">
        <f>B463*(hospitalityq!O463="")</f>
        <v>0</v>
      </c>
      <c r="P463">
        <f>B463*(hospitalityq!P463="")</f>
        <v>0</v>
      </c>
      <c r="Q463">
        <f>B463*(hospitalityq!Q463="")</f>
        <v>0</v>
      </c>
      <c r="R463">
        <f>B463*(hospitalityq!R463="")</f>
        <v>0</v>
      </c>
    </row>
    <row r="464" spans="1:18" x14ac:dyDescent="0.25">
      <c r="A464">
        <f t="shared" si="8"/>
        <v>0</v>
      </c>
      <c r="B464" t="b">
        <f>SUMPRODUCT(LEN(hospitalityq!C464:R464))&gt;0</f>
        <v>0</v>
      </c>
      <c r="C464">
        <f>B464*(hospitalityq!C464="")</f>
        <v>0</v>
      </c>
      <c r="E464">
        <f>B464*(hospitalityq!E464="")</f>
        <v>0</v>
      </c>
      <c r="F464">
        <f>B464*(hospitalityq!F464="")</f>
        <v>0</v>
      </c>
      <c r="G464">
        <f>B464*(hospitalityq!G464="")</f>
        <v>0</v>
      </c>
      <c r="H464">
        <f>B464*(hospitalityq!H464="")</f>
        <v>0</v>
      </c>
      <c r="I464">
        <f>B464*(hospitalityq!I464="")</f>
        <v>0</v>
      </c>
      <c r="J464">
        <f>B464*(hospitalityq!J464="")</f>
        <v>0</v>
      </c>
      <c r="K464">
        <f>B464*(hospitalityq!K464="")</f>
        <v>0</v>
      </c>
      <c r="L464">
        <f>B464*(hospitalityq!L464="")</f>
        <v>0</v>
      </c>
      <c r="M464">
        <f>B464*(hospitalityq!M464="")</f>
        <v>0</v>
      </c>
      <c r="N464">
        <f>B464*(hospitalityq!N464="")</f>
        <v>0</v>
      </c>
      <c r="O464">
        <f>B464*(hospitalityq!O464="")</f>
        <v>0</v>
      </c>
      <c r="P464">
        <f>B464*(hospitalityq!P464="")</f>
        <v>0</v>
      </c>
      <c r="Q464">
        <f>B464*(hospitalityq!Q464="")</f>
        <v>0</v>
      </c>
      <c r="R464">
        <f>B464*(hospitalityq!R464="")</f>
        <v>0</v>
      </c>
    </row>
    <row r="465" spans="1:18" x14ac:dyDescent="0.25">
      <c r="A465">
        <f t="shared" si="8"/>
        <v>0</v>
      </c>
      <c r="B465" t="b">
        <f>SUMPRODUCT(LEN(hospitalityq!C465:R465))&gt;0</f>
        <v>0</v>
      </c>
      <c r="C465">
        <f>B465*(hospitalityq!C465="")</f>
        <v>0</v>
      </c>
      <c r="E465">
        <f>B465*(hospitalityq!E465="")</f>
        <v>0</v>
      </c>
      <c r="F465">
        <f>B465*(hospitalityq!F465="")</f>
        <v>0</v>
      </c>
      <c r="G465">
        <f>B465*(hospitalityq!G465="")</f>
        <v>0</v>
      </c>
      <c r="H465">
        <f>B465*(hospitalityq!H465="")</f>
        <v>0</v>
      </c>
      <c r="I465">
        <f>B465*(hospitalityq!I465="")</f>
        <v>0</v>
      </c>
      <c r="J465">
        <f>B465*(hospitalityq!J465="")</f>
        <v>0</v>
      </c>
      <c r="K465">
        <f>B465*(hospitalityq!K465="")</f>
        <v>0</v>
      </c>
      <c r="L465">
        <f>B465*(hospitalityq!L465="")</f>
        <v>0</v>
      </c>
      <c r="M465">
        <f>B465*(hospitalityq!M465="")</f>
        <v>0</v>
      </c>
      <c r="N465">
        <f>B465*(hospitalityq!N465="")</f>
        <v>0</v>
      </c>
      <c r="O465">
        <f>B465*(hospitalityq!O465="")</f>
        <v>0</v>
      </c>
      <c r="P465">
        <f>B465*(hospitalityq!P465="")</f>
        <v>0</v>
      </c>
      <c r="Q465">
        <f>B465*(hospitalityq!Q465="")</f>
        <v>0</v>
      </c>
      <c r="R465">
        <f>B465*(hospitalityq!R465="")</f>
        <v>0</v>
      </c>
    </row>
    <row r="466" spans="1:18" x14ac:dyDescent="0.25">
      <c r="A466">
        <f t="shared" si="8"/>
        <v>0</v>
      </c>
      <c r="B466" t="b">
        <f>SUMPRODUCT(LEN(hospitalityq!C466:R466))&gt;0</f>
        <v>0</v>
      </c>
      <c r="C466">
        <f>B466*(hospitalityq!C466="")</f>
        <v>0</v>
      </c>
      <c r="E466">
        <f>B466*(hospitalityq!E466="")</f>
        <v>0</v>
      </c>
      <c r="F466">
        <f>B466*(hospitalityq!F466="")</f>
        <v>0</v>
      </c>
      <c r="G466">
        <f>B466*(hospitalityq!G466="")</f>
        <v>0</v>
      </c>
      <c r="H466">
        <f>B466*(hospitalityq!H466="")</f>
        <v>0</v>
      </c>
      <c r="I466">
        <f>B466*(hospitalityq!I466="")</f>
        <v>0</v>
      </c>
      <c r="J466">
        <f>B466*(hospitalityq!J466="")</f>
        <v>0</v>
      </c>
      <c r="K466">
        <f>B466*(hospitalityq!K466="")</f>
        <v>0</v>
      </c>
      <c r="L466">
        <f>B466*(hospitalityq!L466="")</f>
        <v>0</v>
      </c>
      <c r="M466">
        <f>B466*(hospitalityq!M466="")</f>
        <v>0</v>
      </c>
      <c r="N466">
        <f>B466*(hospitalityq!N466="")</f>
        <v>0</v>
      </c>
      <c r="O466">
        <f>B466*(hospitalityq!O466="")</f>
        <v>0</v>
      </c>
      <c r="P466">
        <f>B466*(hospitalityq!P466="")</f>
        <v>0</v>
      </c>
      <c r="Q466">
        <f>B466*(hospitalityq!Q466="")</f>
        <v>0</v>
      </c>
      <c r="R466">
        <f>B466*(hospitalityq!R466="")</f>
        <v>0</v>
      </c>
    </row>
    <row r="467" spans="1:18" x14ac:dyDescent="0.25">
      <c r="A467">
        <f t="shared" si="8"/>
        <v>0</v>
      </c>
      <c r="B467" t="b">
        <f>SUMPRODUCT(LEN(hospitalityq!C467:R467))&gt;0</f>
        <v>0</v>
      </c>
      <c r="C467">
        <f>B467*(hospitalityq!C467="")</f>
        <v>0</v>
      </c>
      <c r="E467">
        <f>B467*(hospitalityq!E467="")</f>
        <v>0</v>
      </c>
      <c r="F467">
        <f>B467*(hospitalityq!F467="")</f>
        <v>0</v>
      </c>
      <c r="G467">
        <f>B467*(hospitalityq!G467="")</f>
        <v>0</v>
      </c>
      <c r="H467">
        <f>B467*(hospitalityq!H467="")</f>
        <v>0</v>
      </c>
      <c r="I467">
        <f>B467*(hospitalityq!I467="")</f>
        <v>0</v>
      </c>
      <c r="J467">
        <f>B467*(hospitalityq!J467="")</f>
        <v>0</v>
      </c>
      <c r="K467">
        <f>B467*(hospitalityq!K467="")</f>
        <v>0</v>
      </c>
      <c r="L467">
        <f>B467*(hospitalityq!L467="")</f>
        <v>0</v>
      </c>
      <c r="M467">
        <f>B467*(hospitalityq!M467="")</f>
        <v>0</v>
      </c>
      <c r="N467">
        <f>B467*(hospitalityq!N467="")</f>
        <v>0</v>
      </c>
      <c r="O467">
        <f>B467*(hospitalityq!O467="")</f>
        <v>0</v>
      </c>
      <c r="P467">
        <f>B467*(hospitalityq!P467="")</f>
        <v>0</v>
      </c>
      <c r="Q467">
        <f>B467*(hospitalityq!Q467="")</f>
        <v>0</v>
      </c>
      <c r="R467">
        <f>B467*(hospitalityq!R467="")</f>
        <v>0</v>
      </c>
    </row>
    <row r="468" spans="1:18" x14ac:dyDescent="0.25">
      <c r="A468">
        <f t="shared" si="8"/>
        <v>0</v>
      </c>
      <c r="B468" t="b">
        <f>SUMPRODUCT(LEN(hospitalityq!C468:R468))&gt;0</f>
        <v>0</v>
      </c>
      <c r="C468">
        <f>B468*(hospitalityq!C468="")</f>
        <v>0</v>
      </c>
      <c r="E468">
        <f>B468*(hospitalityq!E468="")</f>
        <v>0</v>
      </c>
      <c r="F468">
        <f>B468*(hospitalityq!F468="")</f>
        <v>0</v>
      </c>
      <c r="G468">
        <f>B468*(hospitalityq!G468="")</f>
        <v>0</v>
      </c>
      <c r="H468">
        <f>B468*(hospitalityq!H468="")</f>
        <v>0</v>
      </c>
      <c r="I468">
        <f>B468*(hospitalityq!I468="")</f>
        <v>0</v>
      </c>
      <c r="J468">
        <f>B468*(hospitalityq!J468="")</f>
        <v>0</v>
      </c>
      <c r="K468">
        <f>B468*(hospitalityq!K468="")</f>
        <v>0</v>
      </c>
      <c r="L468">
        <f>B468*(hospitalityq!L468="")</f>
        <v>0</v>
      </c>
      <c r="M468">
        <f>B468*(hospitalityq!M468="")</f>
        <v>0</v>
      </c>
      <c r="N468">
        <f>B468*(hospitalityq!N468="")</f>
        <v>0</v>
      </c>
      <c r="O468">
        <f>B468*(hospitalityq!O468="")</f>
        <v>0</v>
      </c>
      <c r="P468">
        <f>B468*(hospitalityq!P468="")</f>
        <v>0</v>
      </c>
      <c r="Q468">
        <f>B468*(hospitalityq!Q468="")</f>
        <v>0</v>
      </c>
      <c r="R468">
        <f>B468*(hospitalityq!R468="")</f>
        <v>0</v>
      </c>
    </row>
    <row r="469" spans="1:18" x14ac:dyDescent="0.25">
      <c r="A469">
        <f t="shared" si="8"/>
        <v>0</v>
      </c>
      <c r="B469" t="b">
        <f>SUMPRODUCT(LEN(hospitalityq!C469:R469))&gt;0</f>
        <v>0</v>
      </c>
      <c r="C469">
        <f>B469*(hospitalityq!C469="")</f>
        <v>0</v>
      </c>
      <c r="E469">
        <f>B469*(hospitalityq!E469="")</f>
        <v>0</v>
      </c>
      <c r="F469">
        <f>B469*(hospitalityq!F469="")</f>
        <v>0</v>
      </c>
      <c r="G469">
        <f>B469*(hospitalityq!G469="")</f>
        <v>0</v>
      </c>
      <c r="H469">
        <f>B469*(hospitalityq!H469="")</f>
        <v>0</v>
      </c>
      <c r="I469">
        <f>B469*(hospitalityq!I469="")</f>
        <v>0</v>
      </c>
      <c r="J469">
        <f>B469*(hospitalityq!J469="")</f>
        <v>0</v>
      </c>
      <c r="K469">
        <f>B469*(hospitalityq!K469="")</f>
        <v>0</v>
      </c>
      <c r="L469">
        <f>B469*(hospitalityq!L469="")</f>
        <v>0</v>
      </c>
      <c r="M469">
        <f>B469*(hospitalityq!M469="")</f>
        <v>0</v>
      </c>
      <c r="N469">
        <f>B469*(hospitalityq!N469="")</f>
        <v>0</v>
      </c>
      <c r="O469">
        <f>B469*(hospitalityq!O469="")</f>
        <v>0</v>
      </c>
      <c r="P469">
        <f>B469*(hospitalityq!P469="")</f>
        <v>0</v>
      </c>
      <c r="Q469">
        <f>B469*(hospitalityq!Q469="")</f>
        <v>0</v>
      </c>
      <c r="R469">
        <f>B469*(hospitalityq!R469="")</f>
        <v>0</v>
      </c>
    </row>
    <row r="470" spans="1:18" x14ac:dyDescent="0.25">
      <c r="A470">
        <f t="shared" si="8"/>
        <v>0</v>
      </c>
      <c r="B470" t="b">
        <f>SUMPRODUCT(LEN(hospitalityq!C470:R470))&gt;0</f>
        <v>0</v>
      </c>
      <c r="C470">
        <f>B470*(hospitalityq!C470="")</f>
        <v>0</v>
      </c>
      <c r="E470">
        <f>B470*(hospitalityq!E470="")</f>
        <v>0</v>
      </c>
      <c r="F470">
        <f>B470*(hospitalityq!F470="")</f>
        <v>0</v>
      </c>
      <c r="G470">
        <f>B470*(hospitalityq!G470="")</f>
        <v>0</v>
      </c>
      <c r="H470">
        <f>B470*(hospitalityq!H470="")</f>
        <v>0</v>
      </c>
      <c r="I470">
        <f>B470*(hospitalityq!I470="")</f>
        <v>0</v>
      </c>
      <c r="J470">
        <f>B470*(hospitalityq!J470="")</f>
        <v>0</v>
      </c>
      <c r="K470">
        <f>B470*(hospitalityq!K470="")</f>
        <v>0</v>
      </c>
      <c r="L470">
        <f>B470*(hospitalityq!L470="")</f>
        <v>0</v>
      </c>
      <c r="M470">
        <f>B470*(hospitalityq!M470="")</f>
        <v>0</v>
      </c>
      <c r="N470">
        <f>B470*(hospitalityq!N470="")</f>
        <v>0</v>
      </c>
      <c r="O470">
        <f>B470*(hospitalityq!O470="")</f>
        <v>0</v>
      </c>
      <c r="P470">
        <f>B470*(hospitalityq!P470="")</f>
        <v>0</v>
      </c>
      <c r="Q470">
        <f>B470*(hospitalityq!Q470="")</f>
        <v>0</v>
      </c>
      <c r="R470">
        <f>B470*(hospitalityq!R470="")</f>
        <v>0</v>
      </c>
    </row>
    <row r="471" spans="1:18" x14ac:dyDescent="0.25">
      <c r="A471">
        <f t="shared" si="8"/>
        <v>0</v>
      </c>
      <c r="B471" t="b">
        <f>SUMPRODUCT(LEN(hospitalityq!C471:R471))&gt;0</f>
        <v>0</v>
      </c>
      <c r="C471">
        <f>B471*(hospitalityq!C471="")</f>
        <v>0</v>
      </c>
      <c r="E471">
        <f>B471*(hospitalityq!E471="")</f>
        <v>0</v>
      </c>
      <c r="F471">
        <f>B471*(hospitalityq!F471="")</f>
        <v>0</v>
      </c>
      <c r="G471">
        <f>B471*(hospitalityq!G471="")</f>
        <v>0</v>
      </c>
      <c r="H471">
        <f>B471*(hospitalityq!H471="")</f>
        <v>0</v>
      </c>
      <c r="I471">
        <f>B471*(hospitalityq!I471="")</f>
        <v>0</v>
      </c>
      <c r="J471">
        <f>B471*(hospitalityq!J471="")</f>
        <v>0</v>
      </c>
      <c r="K471">
        <f>B471*(hospitalityq!K471="")</f>
        <v>0</v>
      </c>
      <c r="L471">
        <f>B471*(hospitalityq!L471="")</f>
        <v>0</v>
      </c>
      <c r="M471">
        <f>B471*(hospitalityq!M471="")</f>
        <v>0</v>
      </c>
      <c r="N471">
        <f>B471*(hospitalityq!N471="")</f>
        <v>0</v>
      </c>
      <c r="O471">
        <f>B471*(hospitalityq!O471="")</f>
        <v>0</v>
      </c>
      <c r="P471">
        <f>B471*(hospitalityq!P471="")</f>
        <v>0</v>
      </c>
      <c r="Q471">
        <f>B471*(hospitalityq!Q471="")</f>
        <v>0</v>
      </c>
      <c r="R471">
        <f>B471*(hospitalityq!R471="")</f>
        <v>0</v>
      </c>
    </row>
    <row r="472" spans="1:18" x14ac:dyDescent="0.25">
      <c r="A472">
        <f t="shared" si="8"/>
        <v>0</v>
      </c>
      <c r="B472" t="b">
        <f>SUMPRODUCT(LEN(hospitalityq!C472:R472))&gt;0</f>
        <v>0</v>
      </c>
      <c r="C472">
        <f>B472*(hospitalityq!C472="")</f>
        <v>0</v>
      </c>
      <c r="E472">
        <f>B472*(hospitalityq!E472="")</f>
        <v>0</v>
      </c>
      <c r="F472">
        <f>B472*(hospitalityq!F472="")</f>
        <v>0</v>
      </c>
      <c r="G472">
        <f>B472*(hospitalityq!G472="")</f>
        <v>0</v>
      </c>
      <c r="H472">
        <f>B472*(hospitalityq!H472="")</f>
        <v>0</v>
      </c>
      <c r="I472">
        <f>B472*(hospitalityq!I472="")</f>
        <v>0</v>
      </c>
      <c r="J472">
        <f>B472*(hospitalityq!J472="")</f>
        <v>0</v>
      </c>
      <c r="K472">
        <f>B472*(hospitalityq!K472="")</f>
        <v>0</v>
      </c>
      <c r="L472">
        <f>B472*(hospitalityq!L472="")</f>
        <v>0</v>
      </c>
      <c r="M472">
        <f>B472*(hospitalityq!M472="")</f>
        <v>0</v>
      </c>
      <c r="N472">
        <f>B472*(hospitalityq!N472="")</f>
        <v>0</v>
      </c>
      <c r="O472">
        <f>B472*(hospitalityq!O472="")</f>
        <v>0</v>
      </c>
      <c r="P472">
        <f>B472*(hospitalityq!P472="")</f>
        <v>0</v>
      </c>
      <c r="Q472">
        <f>B472*(hospitalityq!Q472="")</f>
        <v>0</v>
      </c>
      <c r="R472">
        <f>B472*(hospitalityq!R472="")</f>
        <v>0</v>
      </c>
    </row>
    <row r="473" spans="1:18" x14ac:dyDescent="0.25">
      <c r="A473">
        <f t="shared" si="8"/>
        <v>0</v>
      </c>
      <c r="B473" t="b">
        <f>SUMPRODUCT(LEN(hospitalityq!C473:R473))&gt;0</f>
        <v>0</v>
      </c>
      <c r="C473">
        <f>B473*(hospitalityq!C473="")</f>
        <v>0</v>
      </c>
      <c r="E473">
        <f>B473*(hospitalityq!E473="")</f>
        <v>0</v>
      </c>
      <c r="F473">
        <f>B473*(hospitalityq!F473="")</f>
        <v>0</v>
      </c>
      <c r="G473">
        <f>B473*(hospitalityq!G473="")</f>
        <v>0</v>
      </c>
      <c r="H473">
        <f>B473*(hospitalityq!H473="")</f>
        <v>0</v>
      </c>
      <c r="I473">
        <f>B473*(hospitalityq!I473="")</f>
        <v>0</v>
      </c>
      <c r="J473">
        <f>B473*(hospitalityq!J473="")</f>
        <v>0</v>
      </c>
      <c r="K473">
        <f>B473*(hospitalityq!K473="")</f>
        <v>0</v>
      </c>
      <c r="L473">
        <f>B473*(hospitalityq!L473="")</f>
        <v>0</v>
      </c>
      <c r="M473">
        <f>B473*(hospitalityq!M473="")</f>
        <v>0</v>
      </c>
      <c r="N473">
        <f>B473*(hospitalityq!N473="")</f>
        <v>0</v>
      </c>
      <c r="O473">
        <f>B473*(hospitalityq!O473="")</f>
        <v>0</v>
      </c>
      <c r="P473">
        <f>B473*(hospitalityq!P473="")</f>
        <v>0</v>
      </c>
      <c r="Q473">
        <f>B473*(hospitalityq!Q473="")</f>
        <v>0</v>
      </c>
      <c r="R473">
        <f>B473*(hospitalityq!R473="")</f>
        <v>0</v>
      </c>
    </row>
    <row r="474" spans="1:18" x14ac:dyDescent="0.25">
      <c r="A474">
        <f t="shared" si="8"/>
        <v>0</v>
      </c>
      <c r="B474" t="b">
        <f>SUMPRODUCT(LEN(hospitalityq!C474:R474))&gt;0</f>
        <v>0</v>
      </c>
      <c r="C474">
        <f>B474*(hospitalityq!C474="")</f>
        <v>0</v>
      </c>
      <c r="E474">
        <f>B474*(hospitalityq!E474="")</f>
        <v>0</v>
      </c>
      <c r="F474">
        <f>B474*(hospitalityq!F474="")</f>
        <v>0</v>
      </c>
      <c r="G474">
        <f>B474*(hospitalityq!G474="")</f>
        <v>0</v>
      </c>
      <c r="H474">
        <f>B474*(hospitalityq!H474="")</f>
        <v>0</v>
      </c>
      <c r="I474">
        <f>B474*(hospitalityq!I474="")</f>
        <v>0</v>
      </c>
      <c r="J474">
        <f>B474*(hospitalityq!J474="")</f>
        <v>0</v>
      </c>
      <c r="K474">
        <f>B474*(hospitalityq!K474="")</f>
        <v>0</v>
      </c>
      <c r="L474">
        <f>B474*(hospitalityq!L474="")</f>
        <v>0</v>
      </c>
      <c r="M474">
        <f>B474*(hospitalityq!M474="")</f>
        <v>0</v>
      </c>
      <c r="N474">
        <f>B474*(hospitalityq!N474="")</f>
        <v>0</v>
      </c>
      <c r="O474">
        <f>B474*(hospitalityq!O474="")</f>
        <v>0</v>
      </c>
      <c r="P474">
        <f>B474*(hospitalityq!P474="")</f>
        <v>0</v>
      </c>
      <c r="Q474">
        <f>B474*(hospitalityq!Q474="")</f>
        <v>0</v>
      </c>
      <c r="R474">
        <f>B474*(hospitalityq!R474="")</f>
        <v>0</v>
      </c>
    </row>
    <row r="475" spans="1:18" x14ac:dyDescent="0.25">
      <c r="A475">
        <f t="shared" si="8"/>
        <v>0</v>
      </c>
      <c r="B475" t="b">
        <f>SUMPRODUCT(LEN(hospitalityq!C475:R475))&gt;0</f>
        <v>0</v>
      </c>
      <c r="C475">
        <f>B475*(hospitalityq!C475="")</f>
        <v>0</v>
      </c>
      <c r="E475">
        <f>B475*(hospitalityq!E475="")</f>
        <v>0</v>
      </c>
      <c r="F475">
        <f>B475*(hospitalityq!F475="")</f>
        <v>0</v>
      </c>
      <c r="G475">
        <f>B475*(hospitalityq!G475="")</f>
        <v>0</v>
      </c>
      <c r="H475">
        <f>B475*(hospitalityq!H475="")</f>
        <v>0</v>
      </c>
      <c r="I475">
        <f>B475*(hospitalityq!I475="")</f>
        <v>0</v>
      </c>
      <c r="J475">
        <f>B475*(hospitalityq!J475="")</f>
        <v>0</v>
      </c>
      <c r="K475">
        <f>B475*(hospitalityq!K475="")</f>
        <v>0</v>
      </c>
      <c r="L475">
        <f>B475*(hospitalityq!L475="")</f>
        <v>0</v>
      </c>
      <c r="M475">
        <f>B475*(hospitalityq!M475="")</f>
        <v>0</v>
      </c>
      <c r="N475">
        <f>B475*(hospitalityq!N475="")</f>
        <v>0</v>
      </c>
      <c r="O475">
        <f>B475*(hospitalityq!O475="")</f>
        <v>0</v>
      </c>
      <c r="P475">
        <f>B475*(hospitalityq!P475="")</f>
        <v>0</v>
      </c>
      <c r="Q475">
        <f>B475*(hospitalityq!Q475="")</f>
        <v>0</v>
      </c>
      <c r="R475">
        <f>B475*(hospitalityq!R475="")</f>
        <v>0</v>
      </c>
    </row>
    <row r="476" spans="1:18" x14ac:dyDescent="0.25">
      <c r="A476">
        <f t="shared" si="8"/>
        <v>0</v>
      </c>
      <c r="B476" t="b">
        <f>SUMPRODUCT(LEN(hospitalityq!C476:R476))&gt;0</f>
        <v>0</v>
      </c>
      <c r="C476">
        <f>B476*(hospitalityq!C476="")</f>
        <v>0</v>
      </c>
      <c r="E476">
        <f>B476*(hospitalityq!E476="")</f>
        <v>0</v>
      </c>
      <c r="F476">
        <f>B476*(hospitalityq!F476="")</f>
        <v>0</v>
      </c>
      <c r="G476">
        <f>B476*(hospitalityq!G476="")</f>
        <v>0</v>
      </c>
      <c r="H476">
        <f>B476*(hospitalityq!H476="")</f>
        <v>0</v>
      </c>
      <c r="I476">
        <f>B476*(hospitalityq!I476="")</f>
        <v>0</v>
      </c>
      <c r="J476">
        <f>B476*(hospitalityq!J476="")</f>
        <v>0</v>
      </c>
      <c r="K476">
        <f>B476*(hospitalityq!K476="")</f>
        <v>0</v>
      </c>
      <c r="L476">
        <f>B476*(hospitalityq!L476="")</f>
        <v>0</v>
      </c>
      <c r="M476">
        <f>B476*(hospitalityq!M476="")</f>
        <v>0</v>
      </c>
      <c r="N476">
        <f>B476*(hospitalityq!N476="")</f>
        <v>0</v>
      </c>
      <c r="O476">
        <f>B476*(hospitalityq!O476="")</f>
        <v>0</v>
      </c>
      <c r="P476">
        <f>B476*(hospitalityq!P476="")</f>
        <v>0</v>
      </c>
      <c r="Q476">
        <f>B476*(hospitalityq!Q476="")</f>
        <v>0</v>
      </c>
      <c r="R476">
        <f>B476*(hospitalityq!R476="")</f>
        <v>0</v>
      </c>
    </row>
    <row r="477" spans="1:18" x14ac:dyDescent="0.25">
      <c r="A477">
        <f t="shared" si="8"/>
        <v>0</v>
      </c>
      <c r="B477" t="b">
        <f>SUMPRODUCT(LEN(hospitalityq!C477:R477))&gt;0</f>
        <v>0</v>
      </c>
      <c r="C477">
        <f>B477*(hospitalityq!C477="")</f>
        <v>0</v>
      </c>
      <c r="E477">
        <f>B477*(hospitalityq!E477="")</f>
        <v>0</v>
      </c>
      <c r="F477">
        <f>B477*(hospitalityq!F477="")</f>
        <v>0</v>
      </c>
      <c r="G477">
        <f>B477*(hospitalityq!G477="")</f>
        <v>0</v>
      </c>
      <c r="H477">
        <f>B477*(hospitalityq!H477="")</f>
        <v>0</v>
      </c>
      <c r="I477">
        <f>B477*(hospitalityq!I477="")</f>
        <v>0</v>
      </c>
      <c r="J477">
        <f>B477*(hospitalityq!J477="")</f>
        <v>0</v>
      </c>
      <c r="K477">
        <f>B477*(hospitalityq!K477="")</f>
        <v>0</v>
      </c>
      <c r="L477">
        <f>B477*(hospitalityq!L477="")</f>
        <v>0</v>
      </c>
      <c r="M477">
        <f>B477*(hospitalityq!M477="")</f>
        <v>0</v>
      </c>
      <c r="N477">
        <f>B477*(hospitalityq!N477="")</f>
        <v>0</v>
      </c>
      <c r="O477">
        <f>B477*(hospitalityq!O477="")</f>
        <v>0</v>
      </c>
      <c r="P477">
        <f>B477*(hospitalityq!P477="")</f>
        <v>0</v>
      </c>
      <c r="Q477">
        <f>B477*(hospitalityq!Q477="")</f>
        <v>0</v>
      </c>
      <c r="R477">
        <f>B477*(hospitalityq!R477="")</f>
        <v>0</v>
      </c>
    </row>
    <row r="478" spans="1:18" x14ac:dyDescent="0.25">
      <c r="A478">
        <f t="shared" si="8"/>
        <v>0</v>
      </c>
      <c r="B478" t="b">
        <f>SUMPRODUCT(LEN(hospitalityq!C478:R478))&gt;0</f>
        <v>0</v>
      </c>
      <c r="C478">
        <f>B478*(hospitalityq!C478="")</f>
        <v>0</v>
      </c>
      <c r="E478">
        <f>B478*(hospitalityq!E478="")</f>
        <v>0</v>
      </c>
      <c r="F478">
        <f>B478*(hospitalityq!F478="")</f>
        <v>0</v>
      </c>
      <c r="G478">
        <f>B478*(hospitalityq!G478="")</f>
        <v>0</v>
      </c>
      <c r="H478">
        <f>B478*(hospitalityq!H478="")</f>
        <v>0</v>
      </c>
      <c r="I478">
        <f>B478*(hospitalityq!I478="")</f>
        <v>0</v>
      </c>
      <c r="J478">
        <f>B478*(hospitalityq!J478="")</f>
        <v>0</v>
      </c>
      <c r="K478">
        <f>B478*(hospitalityq!K478="")</f>
        <v>0</v>
      </c>
      <c r="L478">
        <f>B478*(hospitalityq!L478="")</f>
        <v>0</v>
      </c>
      <c r="M478">
        <f>B478*(hospitalityq!M478="")</f>
        <v>0</v>
      </c>
      <c r="N478">
        <f>B478*(hospitalityq!N478="")</f>
        <v>0</v>
      </c>
      <c r="O478">
        <f>B478*(hospitalityq!O478="")</f>
        <v>0</v>
      </c>
      <c r="P478">
        <f>B478*(hospitalityq!P478="")</f>
        <v>0</v>
      </c>
      <c r="Q478">
        <f>B478*(hospitalityq!Q478="")</f>
        <v>0</v>
      </c>
      <c r="R478">
        <f>B478*(hospitalityq!R478="")</f>
        <v>0</v>
      </c>
    </row>
    <row r="479" spans="1:18" x14ac:dyDescent="0.25">
      <c r="A479">
        <f t="shared" si="8"/>
        <v>0</v>
      </c>
      <c r="B479" t="b">
        <f>SUMPRODUCT(LEN(hospitalityq!C479:R479))&gt;0</f>
        <v>0</v>
      </c>
      <c r="C479">
        <f>B479*(hospitalityq!C479="")</f>
        <v>0</v>
      </c>
      <c r="E479">
        <f>B479*(hospitalityq!E479="")</f>
        <v>0</v>
      </c>
      <c r="F479">
        <f>B479*(hospitalityq!F479="")</f>
        <v>0</v>
      </c>
      <c r="G479">
        <f>B479*(hospitalityq!G479="")</f>
        <v>0</v>
      </c>
      <c r="H479">
        <f>B479*(hospitalityq!H479="")</f>
        <v>0</v>
      </c>
      <c r="I479">
        <f>B479*(hospitalityq!I479="")</f>
        <v>0</v>
      </c>
      <c r="J479">
        <f>B479*(hospitalityq!J479="")</f>
        <v>0</v>
      </c>
      <c r="K479">
        <f>B479*(hospitalityq!K479="")</f>
        <v>0</v>
      </c>
      <c r="L479">
        <f>B479*(hospitalityq!L479="")</f>
        <v>0</v>
      </c>
      <c r="M479">
        <f>B479*(hospitalityq!M479="")</f>
        <v>0</v>
      </c>
      <c r="N479">
        <f>B479*(hospitalityq!N479="")</f>
        <v>0</v>
      </c>
      <c r="O479">
        <f>B479*(hospitalityq!O479="")</f>
        <v>0</v>
      </c>
      <c r="P479">
        <f>B479*(hospitalityq!P479="")</f>
        <v>0</v>
      </c>
      <c r="Q479">
        <f>B479*(hospitalityq!Q479="")</f>
        <v>0</v>
      </c>
      <c r="R479">
        <f>B479*(hospitalityq!R479="")</f>
        <v>0</v>
      </c>
    </row>
    <row r="480" spans="1:18" x14ac:dyDescent="0.25">
      <c r="A480">
        <f t="shared" si="8"/>
        <v>0</v>
      </c>
      <c r="B480" t="b">
        <f>SUMPRODUCT(LEN(hospitalityq!C480:R480))&gt;0</f>
        <v>0</v>
      </c>
      <c r="C480">
        <f>B480*(hospitalityq!C480="")</f>
        <v>0</v>
      </c>
      <c r="E480">
        <f>B480*(hospitalityq!E480="")</f>
        <v>0</v>
      </c>
      <c r="F480">
        <f>B480*(hospitalityq!F480="")</f>
        <v>0</v>
      </c>
      <c r="G480">
        <f>B480*(hospitalityq!G480="")</f>
        <v>0</v>
      </c>
      <c r="H480">
        <f>B480*(hospitalityq!H480="")</f>
        <v>0</v>
      </c>
      <c r="I480">
        <f>B480*(hospitalityq!I480="")</f>
        <v>0</v>
      </c>
      <c r="J480">
        <f>B480*(hospitalityq!J480="")</f>
        <v>0</v>
      </c>
      <c r="K480">
        <f>B480*(hospitalityq!K480="")</f>
        <v>0</v>
      </c>
      <c r="L480">
        <f>B480*(hospitalityq!L480="")</f>
        <v>0</v>
      </c>
      <c r="M480">
        <f>B480*(hospitalityq!M480="")</f>
        <v>0</v>
      </c>
      <c r="N480">
        <f>B480*(hospitalityq!N480="")</f>
        <v>0</v>
      </c>
      <c r="O480">
        <f>B480*(hospitalityq!O480="")</f>
        <v>0</v>
      </c>
      <c r="P480">
        <f>B480*(hospitalityq!P480="")</f>
        <v>0</v>
      </c>
      <c r="Q480">
        <f>B480*(hospitalityq!Q480="")</f>
        <v>0</v>
      </c>
      <c r="R480">
        <f>B480*(hospitalityq!R480="")</f>
        <v>0</v>
      </c>
    </row>
    <row r="481" spans="1:18" x14ac:dyDescent="0.25">
      <c r="A481">
        <f t="shared" si="8"/>
        <v>0</v>
      </c>
      <c r="B481" t="b">
        <f>SUMPRODUCT(LEN(hospitalityq!C481:R481))&gt;0</f>
        <v>0</v>
      </c>
      <c r="C481">
        <f>B481*(hospitalityq!C481="")</f>
        <v>0</v>
      </c>
      <c r="E481">
        <f>B481*(hospitalityq!E481="")</f>
        <v>0</v>
      </c>
      <c r="F481">
        <f>B481*(hospitalityq!F481="")</f>
        <v>0</v>
      </c>
      <c r="G481">
        <f>B481*(hospitalityq!G481="")</f>
        <v>0</v>
      </c>
      <c r="H481">
        <f>B481*(hospitalityq!H481="")</f>
        <v>0</v>
      </c>
      <c r="I481">
        <f>B481*(hospitalityq!I481="")</f>
        <v>0</v>
      </c>
      <c r="J481">
        <f>B481*(hospitalityq!J481="")</f>
        <v>0</v>
      </c>
      <c r="K481">
        <f>B481*(hospitalityq!K481="")</f>
        <v>0</v>
      </c>
      <c r="L481">
        <f>B481*(hospitalityq!L481="")</f>
        <v>0</v>
      </c>
      <c r="M481">
        <f>B481*(hospitalityq!M481="")</f>
        <v>0</v>
      </c>
      <c r="N481">
        <f>B481*(hospitalityq!N481="")</f>
        <v>0</v>
      </c>
      <c r="O481">
        <f>B481*(hospitalityq!O481="")</f>
        <v>0</v>
      </c>
      <c r="P481">
        <f>B481*(hospitalityq!P481="")</f>
        <v>0</v>
      </c>
      <c r="Q481">
        <f>B481*(hospitalityq!Q481="")</f>
        <v>0</v>
      </c>
      <c r="R481">
        <f>B481*(hospitalityq!R481="")</f>
        <v>0</v>
      </c>
    </row>
    <row r="482" spans="1:18" x14ac:dyDescent="0.25">
      <c r="A482">
        <f t="shared" si="8"/>
        <v>0</v>
      </c>
      <c r="B482" t="b">
        <f>SUMPRODUCT(LEN(hospitalityq!C482:R482))&gt;0</f>
        <v>0</v>
      </c>
      <c r="C482">
        <f>B482*(hospitalityq!C482="")</f>
        <v>0</v>
      </c>
      <c r="E482">
        <f>B482*(hospitalityq!E482="")</f>
        <v>0</v>
      </c>
      <c r="F482">
        <f>B482*(hospitalityq!F482="")</f>
        <v>0</v>
      </c>
      <c r="G482">
        <f>B482*(hospitalityq!G482="")</f>
        <v>0</v>
      </c>
      <c r="H482">
        <f>B482*(hospitalityq!H482="")</f>
        <v>0</v>
      </c>
      <c r="I482">
        <f>B482*(hospitalityq!I482="")</f>
        <v>0</v>
      </c>
      <c r="J482">
        <f>B482*(hospitalityq!J482="")</f>
        <v>0</v>
      </c>
      <c r="K482">
        <f>B482*(hospitalityq!K482="")</f>
        <v>0</v>
      </c>
      <c r="L482">
        <f>B482*(hospitalityq!L482="")</f>
        <v>0</v>
      </c>
      <c r="M482">
        <f>B482*(hospitalityq!M482="")</f>
        <v>0</v>
      </c>
      <c r="N482">
        <f>B482*(hospitalityq!N482="")</f>
        <v>0</v>
      </c>
      <c r="O482">
        <f>B482*(hospitalityq!O482="")</f>
        <v>0</v>
      </c>
      <c r="P482">
        <f>B482*(hospitalityq!P482="")</f>
        <v>0</v>
      </c>
      <c r="Q482">
        <f>B482*(hospitalityq!Q482="")</f>
        <v>0</v>
      </c>
      <c r="R482">
        <f>B482*(hospitalityq!R482="")</f>
        <v>0</v>
      </c>
    </row>
    <row r="483" spans="1:18" x14ac:dyDescent="0.25">
      <c r="A483">
        <f t="shared" si="8"/>
        <v>0</v>
      </c>
      <c r="B483" t="b">
        <f>SUMPRODUCT(LEN(hospitalityq!C483:R483))&gt;0</f>
        <v>0</v>
      </c>
      <c r="C483">
        <f>B483*(hospitalityq!C483="")</f>
        <v>0</v>
      </c>
      <c r="E483">
        <f>B483*(hospitalityq!E483="")</f>
        <v>0</v>
      </c>
      <c r="F483">
        <f>B483*(hospitalityq!F483="")</f>
        <v>0</v>
      </c>
      <c r="G483">
        <f>B483*(hospitalityq!G483="")</f>
        <v>0</v>
      </c>
      <c r="H483">
        <f>B483*(hospitalityq!H483="")</f>
        <v>0</v>
      </c>
      <c r="I483">
        <f>B483*(hospitalityq!I483="")</f>
        <v>0</v>
      </c>
      <c r="J483">
        <f>B483*(hospitalityq!J483="")</f>
        <v>0</v>
      </c>
      <c r="K483">
        <f>B483*(hospitalityq!K483="")</f>
        <v>0</v>
      </c>
      <c r="L483">
        <f>B483*(hospitalityq!L483="")</f>
        <v>0</v>
      </c>
      <c r="M483">
        <f>B483*(hospitalityq!M483="")</f>
        <v>0</v>
      </c>
      <c r="N483">
        <f>B483*(hospitalityq!N483="")</f>
        <v>0</v>
      </c>
      <c r="O483">
        <f>B483*(hospitalityq!O483="")</f>
        <v>0</v>
      </c>
      <c r="P483">
        <f>B483*(hospitalityq!P483="")</f>
        <v>0</v>
      </c>
      <c r="Q483">
        <f>B483*(hospitalityq!Q483="")</f>
        <v>0</v>
      </c>
      <c r="R483">
        <f>B483*(hospitalityq!R483="")</f>
        <v>0</v>
      </c>
    </row>
    <row r="484" spans="1:18" x14ac:dyDescent="0.25">
      <c r="A484">
        <f t="shared" si="8"/>
        <v>0</v>
      </c>
      <c r="B484" t="b">
        <f>SUMPRODUCT(LEN(hospitalityq!C484:R484))&gt;0</f>
        <v>0</v>
      </c>
      <c r="C484">
        <f>B484*(hospitalityq!C484="")</f>
        <v>0</v>
      </c>
      <c r="E484">
        <f>B484*(hospitalityq!E484="")</f>
        <v>0</v>
      </c>
      <c r="F484">
        <f>B484*(hospitalityq!F484="")</f>
        <v>0</v>
      </c>
      <c r="G484">
        <f>B484*(hospitalityq!G484="")</f>
        <v>0</v>
      </c>
      <c r="H484">
        <f>B484*(hospitalityq!H484="")</f>
        <v>0</v>
      </c>
      <c r="I484">
        <f>B484*(hospitalityq!I484="")</f>
        <v>0</v>
      </c>
      <c r="J484">
        <f>B484*(hospitalityq!J484="")</f>
        <v>0</v>
      </c>
      <c r="K484">
        <f>B484*(hospitalityq!K484="")</f>
        <v>0</v>
      </c>
      <c r="L484">
        <f>B484*(hospitalityq!L484="")</f>
        <v>0</v>
      </c>
      <c r="M484">
        <f>B484*(hospitalityq!M484="")</f>
        <v>0</v>
      </c>
      <c r="N484">
        <f>B484*(hospitalityq!N484="")</f>
        <v>0</v>
      </c>
      <c r="O484">
        <f>B484*(hospitalityq!O484="")</f>
        <v>0</v>
      </c>
      <c r="P484">
        <f>B484*(hospitalityq!P484="")</f>
        <v>0</v>
      </c>
      <c r="Q484">
        <f>B484*(hospitalityq!Q484="")</f>
        <v>0</v>
      </c>
      <c r="R484">
        <f>B484*(hospitalityq!R484="")</f>
        <v>0</v>
      </c>
    </row>
    <row r="485" spans="1:18" x14ac:dyDescent="0.25">
      <c r="A485">
        <f t="shared" si="8"/>
        <v>0</v>
      </c>
      <c r="B485" t="b">
        <f>SUMPRODUCT(LEN(hospitalityq!C485:R485))&gt;0</f>
        <v>0</v>
      </c>
      <c r="C485">
        <f>B485*(hospitalityq!C485="")</f>
        <v>0</v>
      </c>
      <c r="E485">
        <f>B485*(hospitalityq!E485="")</f>
        <v>0</v>
      </c>
      <c r="F485">
        <f>B485*(hospitalityq!F485="")</f>
        <v>0</v>
      </c>
      <c r="G485">
        <f>B485*(hospitalityq!G485="")</f>
        <v>0</v>
      </c>
      <c r="H485">
        <f>B485*(hospitalityq!H485="")</f>
        <v>0</v>
      </c>
      <c r="I485">
        <f>B485*(hospitalityq!I485="")</f>
        <v>0</v>
      </c>
      <c r="J485">
        <f>B485*(hospitalityq!J485="")</f>
        <v>0</v>
      </c>
      <c r="K485">
        <f>B485*(hospitalityq!K485="")</f>
        <v>0</v>
      </c>
      <c r="L485">
        <f>B485*(hospitalityq!L485="")</f>
        <v>0</v>
      </c>
      <c r="M485">
        <f>B485*(hospitalityq!M485="")</f>
        <v>0</v>
      </c>
      <c r="N485">
        <f>B485*(hospitalityq!N485="")</f>
        <v>0</v>
      </c>
      <c r="O485">
        <f>B485*(hospitalityq!O485="")</f>
        <v>0</v>
      </c>
      <c r="P485">
        <f>B485*(hospitalityq!P485="")</f>
        <v>0</v>
      </c>
      <c r="Q485">
        <f>B485*(hospitalityq!Q485="")</f>
        <v>0</v>
      </c>
      <c r="R485">
        <f>B485*(hospitalityq!R485="")</f>
        <v>0</v>
      </c>
    </row>
    <row r="486" spans="1:18" x14ac:dyDescent="0.25">
      <c r="A486">
        <f t="shared" si="8"/>
        <v>0</v>
      </c>
      <c r="B486" t="b">
        <f>SUMPRODUCT(LEN(hospitalityq!C486:R486))&gt;0</f>
        <v>0</v>
      </c>
      <c r="C486">
        <f>B486*(hospitalityq!C486="")</f>
        <v>0</v>
      </c>
      <c r="E486">
        <f>B486*(hospitalityq!E486="")</f>
        <v>0</v>
      </c>
      <c r="F486">
        <f>B486*(hospitalityq!F486="")</f>
        <v>0</v>
      </c>
      <c r="G486">
        <f>B486*(hospitalityq!G486="")</f>
        <v>0</v>
      </c>
      <c r="H486">
        <f>B486*(hospitalityq!H486="")</f>
        <v>0</v>
      </c>
      <c r="I486">
        <f>B486*(hospitalityq!I486="")</f>
        <v>0</v>
      </c>
      <c r="J486">
        <f>B486*(hospitalityq!J486="")</f>
        <v>0</v>
      </c>
      <c r="K486">
        <f>B486*(hospitalityq!K486="")</f>
        <v>0</v>
      </c>
      <c r="L486">
        <f>B486*(hospitalityq!L486="")</f>
        <v>0</v>
      </c>
      <c r="M486">
        <f>B486*(hospitalityq!M486="")</f>
        <v>0</v>
      </c>
      <c r="N486">
        <f>B486*(hospitalityq!N486="")</f>
        <v>0</v>
      </c>
      <c r="O486">
        <f>B486*(hospitalityq!O486="")</f>
        <v>0</v>
      </c>
      <c r="P486">
        <f>B486*(hospitalityq!P486="")</f>
        <v>0</v>
      </c>
      <c r="Q486">
        <f>B486*(hospitalityq!Q486="")</f>
        <v>0</v>
      </c>
      <c r="R486">
        <f>B486*(hospitalityq!R486="")</f>
        <v>0</v>
      </c>
    </row>
    <row r="487" spans="1:18" x14ac:dyDescent="0.25">
      <c r="A487">
        <f t="shared" si="8"/>
        <v>0</v>
      </c>
      <c r="B487" t="b">
        <f>SUMPRODUCT(LEN(hospitalityq!C487:R487))&gt;0</f>
        <v>0</v>
      </c>
      <c r="C487">
        <f>B487*(hospitalityq!C487="")</f>
        <v>0</v>
      </c>
      <c r="E487">
        <f>B487*(hospitalityq!E487="")</f>
        <v>0</v>
      </c>
      <c r="F487">
        <f>B487*(hospitalityq!F487="")</f>
        <v>0</v>
      </c>
      <c r="G487">
        <f>B487*(hospitalityq!G487="")</f>
        <v>0</v>
      </c>
      <c r="H487">
        <f>B487*(hospitalityq!H487="")</f>
        <v>0</v>
      </c>
      <c r="I487">
        <f>B487*(hospitalityq!I487="")</f>
        <v>0</v>
      </c>
      <c r="J487">
        <f>B487*(hospitalityq!J487="")</f>
        <v>0</v>
      </c>
      <c r="K487">
        <f>B487*(hospitalityq!K487="")</f>
        <v>0</v>
      </c>
      <c r="L487">
        <f>B487*(hospitalityq!L487="")</f>
        <v>0</v>
      </c>
      <c r="M487">
        <f>B487*(hospitalityq!M487="")</f>
        <v>0</v>
      </c>
      <c r="N487">
        <f>B487*(hospitalityq!N487="")</f>
        <v>0</v>
      </c>
      <c r="O487">
        <f>B487*(hospitalityq!O487="")</f>
        <v>0</v>
      </c>
      <c r="P487">
        <f>B487*(hospitalityq!P487="")</f>
        <v>0</v>
      </c>
      <c r="Q487">
        <f>B487*(hospitalityq!Q487="")</f>
        <v>0</v>
      </c>
      <c r="R487">
        <f>B487*(hospitalityq!R487="")</f>
        <v>0</v>
      </c>
    </row>
    <row r="488" spans="1:18" x14ac:dyDescent="0.25">
      <c r="A488">
        <f t="shared" si="8"/>
        <v>0</v>
      </c>
      <c r="B488" t="b">
        <f>SUMPRODUCT(LEN(hospitalityq!C488:R488))&gt;0</f>
        <v>0</v>
      </c>
      <c r="C488">
        <f>B488*(hospitalityq!C488="")</f>
        <v>0</v>
      </c>
      <c r="E488">
        <f>B488*(hospitalityq!E488="")</f>
        <v>0</v>
      </c>
      <c r="F488">
        <f>B488*(hospitalityq!F488="")</f>
        <v>0</v>
      </c>
      <c r="G488">
        <f>B488*(hospitalityq!G488="")</f>
        <v>0</v>
      </c>
      <c r="H488">
        <f>B488*(hospitalityq!H488="")</f>
        <v>0</v>
      </c>
      <c r="I488">
        <f>B488*(hospitalityq!I488="")</f>
        <v>0</v>
      </c>
      <c r="J488">
        <f>B488*(hospitalityq!J488="")</f>
        <v>0</v>
      </c>
      <c r="K488">
        <f>B488*(hospitalityq!K488="")</f>
        <v>0</v>
      </c>
      <c r="L488">
        <f>B488*(hospitalityq!L488="")</f>
        <v>0</v>
      </c>
      <c r="M488">
        <f>B488*(hospitalityq!M488="")</f>
        <v>0</v>
      </c>
      <c r="N488">
        <f>B488*(hospitalityq!N488="")</f>
        <v>0</v>
      </c>
      <c r="O488">
        <f>B488*(hospitalityq!O488="")</f>
        <v>0</v>
      </c>
      <c r="P488">
        <f>B488*(hospitalityq!P488="")</f>
        <v>0</v>
      </c>
      <c r="Q488">
        <f>B488*(hospitalityq!Q488="")</f>
        <v>0</v>
      </c>
      <c r="R488">
        <f>B488*(hospitalityq!R488="")</f>
        <v>0</v>
      </c>
    </row>
    <row r="489" spans="1:18" x14ac:dyDescent="0.25">
      <c r="A489">
        <f t="shared" si="8"/>
        <v>0</v>
      </c>
      <c r="B489" t="b">
        <f>SUMPRODUCT(LEN(hospitalityq!C489:R489))&gt;0</f>
        <v>0</v>
      </c>
      <c r="C489">
        <f>B489*(hospitalityq!C489="")</f>
        <v>0</v>
      </c>
      <c r="E489">
        <f>B489*(hospitalityq!E489="")</f>
        <v>0</v>
      </c>
      <c r="F489">
        <f>B489*(hospitalityq!F489="")</f>
        <v>0</v>
      </c>
      <c r="G489">
        <f>B489*(hospitalityq!G489="")</f>
        <v>0</v>
      </c>
      <c r="H489">
        <f>B489*(hospitalityq!H489="")</f>
        <v>0</v>
      </c>
      <c r="I489">
        <f>B489*(hospitalityq!I489="")</f>
        <v>0</v>
      </c>
      <c r="J489">
        <f>B489*(hospitalityq!J489="")</f>
        <v>0</v>
      </c>
      <c r="K489">
        <f>B489*(hospitalityq!K489="")</f>
        <v>0</v>
      </c>
      <c r="L489">
        <f>B489*(hospitalityq!L489="")</f>
        <v>0</v>
      </c>
      <c r="M489">
        <f>B489*(hospitalityq!M489="")</f>
        <v>0</v>
      </c>
      <c r="N489">
        <f>B489*(hospitalityq!N489="")</f>
        <v>0</v>
      </c>
      <c r="O489">
        <f>B489*(hospitalityq!O489="")</f>
        <v>0</v>
      </c>
      <c r="P489">
        <f>B489*(hospitalityq!P489="")</f>
        <v>0</v>
      </c>
      <c r="Q489">
        <f>B489*(hospitalityq!Q489="")</f>
        <v>0</v>
      </c>
      <c r="R489">
        <f>B489*(hospitalityq!R489="")</f>
        <v>0</v>
      </c>
    </row>
    <row r="490" spans="1:18" x14ac:dyDescent="0.25">
      <c r="A490">
        <f t="shared" si="8"/>
        <v>0</v>
      </c>
      <c r="B490" t="b">
        <f>SUMPRODUCT(LEN(hospitalityq!C490:R490))&gt;0</f>
        <v>0</v>
      </c>
      <c r="C490">
        <f>B490*(hospitalityq!C490="")</f>
        <v>0</v>
      </c>
      <c r="E490">
        <f>B490*(hospitalityq!E490="")</f>
        <v>0</v>
      </c>
      <c r="F490">
        <f>B490*(hospitalityq!F490="")</f>
        <v>0</v>
      </c>
      <c r="G490">
        <f>B490*(hospitalityq!G490="")</f>
        <v>0</v>
      </c>
      <c r="H490">
        <f>B490*(hospitalityq!H490="")</f>
        <v>0</v>
      </c>
      <c r="I490">
        <f>B490*(hospitalityq!I490="")</f>
        <v>0</v>
      </c>
      <c r="J490">
        <f>B490*(hospitalityq!J490="")</f>
        <v>0</v>
      </c>
      <c r="K490">
        <f>B490*(hospitalityq!K490="")</f>
        <v>0</v>
      </c>
      <c r="L490">
        <f>B490*(hospitalityq!L490="")</f>
        <v>0</v>
      </c>
      <c r="M490">
        <f>B490*(hospitalityq!M490="")</f>
        <v>0</v>
      </c>
      <c r="N490">
        <f>B490*(hospitalityq!N490="")</f>
        <v>0</v>
      </c>
      <c r="O490">
        <f>B490*(hospitalityq!O490="")</f>
        <v>0</v>
      </c>
      <c r="P490">
        <f>B490*(hospitalityq!P490="")</f>
        <v>0</v>
      </c>
      <c r="Q490">
        <f>B490*(hospitalityq!Q490="")</f>
        <v>0</v>
      </c>
      <c r="R490">
        <f>B490*(hospitalityq!R490="")</f>
        <v>0</v>
      </c>
    </row>
    <row r="491" spans="1:18" x14ac:dyDescent="0.25">
      <c r="A491">
        <f t="shared" si="8"/>
        <v>0</v>
      </c>
      <c r="B491" t="b">
        <f>SUMPRODUCT(LEN(hospitalityq!C491:R491))&gt;0</f>
        <v>0</v>
      </c>
      <c r="C491">
        <f>B491*(hospitalityq!C491="")</f>
        <v>0</v>
      </c>
      <c r="E491">
        <f>B491*(hospitalityq!E491="")</f>
        <v>0</v>
      </c>
      <c r="F491">
        <f>B491*(hospitalityq!F491="")</f>
        <v>0</v>
      </c>
      <c r="G491">
        <f>B491*(hospitalityq!G491="")</f>
        <v>0</v>
      </c>
      <c r="H491">
        <f>B491*(hospitalityq!H491="")</f>
        <v>0</v>
      </c>
      <c r="I491">
        <f>B491*(hospitalityq!I491="")</f>
        <v>0</v>
      </c>
      <c r="J491">
        <f>B491*(hospitalityq!J491="")</f>
        <v>0</v>
      </c>
      <c r="K491">
        <f>B491*(hospitalityq!K491="")</f>
        <v>0</v>
      </c>
      <c r="L491">
        <f>B491*(hospitalityq!L491="")</f>
        <v>0</v>
      </c>
      <c r="M491">
        <f>B491*(hospitalityq!M491="")</f>
        <v>0</v>
      </c>
      <c r="N491">
        <f>B491*(hospitalityq!N491="")</f>
        <v>0</v>
      </c>
      <c r="O491">
        <f>B491*(hospitalityq!O491="")</f>
        <v>0</v>
      </c>
      <c r="P491">
        <f>B491*(hospitalityq!P491="")</f>
        <v>0</v>
      </c>
      <c r="Q491">
        <f>B491*(hospitalityq!Q491="")</f>
        <v>0</v>
      </c>
      <c r="R491">
        <f>B491*(hospitalityq!R491="")</f>
        <v>0</v>
      </c>
    </row>
    <row r="492" spans="1:18" x14ac:dyDescent="0.25">
      <c r="A492">
        <f t="shared" si="8"/>
        <v>0</v>
      </c>
      <c r="B492" t="b">
        <f>SUMPRODUCT(LEN(hospitalityq!C492:R492))&gt;0</f>
        <v>0</v>
      </c>
      <c r="C492">
        <f>B492*(hospitalityq!C492="")</f>
        <v>0</v>
      </c>
      <c r="E492">
        <f>B492*(hospitalityq!E492="")</f>
        <v>0</v>
      </c>
      <c r="F492">
        <f>B492*(hospitalityq!F492="")</f>
        <v>0</v>
      </c>
      <c r="G492">
        <f>B492*(hospitalityq!G492="")</f>
        <v>0</v>
      </c>
      <c r="H492">
        <f>B492*(hospitalityq!H492="")</f>
        <v>0</v>
      </c>
      <c r="I492">
        <f>B492*(hospitalityq!I492="")</f>
        <v>0</v>
      </c>
      <c r="J492">
        <f>B492*(hospitalityq!J492="")</f>
        <v>0</v>
      </c>
      <c r="K492">
        <f>B492*(hospitalityq!K492="")</f>
        <v>0</v>
      </c>
      <c r="L492">
        <f>B492*(hospitalityq!L492="")</f>
        <v>0</v>
      </c>
      <c r="M492">
        <f>B492*(hospitalityq!M492="")</f>
        <v>0</v>
      </c>
      <c r="N492">
        <f>B492*(hospitalityq!N492="")</f>
        <v>0</v>
      </c>
      <c r="O492">
        <f>B492*(hospitalityq!O492="")</f>
        <v>0</v>
      </c>
      <c r="P492">
        <f>B492*(hospitalityq!P492="")</f>
        <v>0</v>
      </c>
      <c r="Q492">
        <f>B492*(hospitalityq!Q492="")</f>
        <v>0</v>
      </c>
      <c r="R492">
        <f>B492*(hospitalityq!R492="")</f>
        <v>0</v>
      </c>
    </row>
    <row r="493" spans="1:18" x14ac:dyDescent="0.25">
      <c r="A493">
        <f t="shared" si="8"/>
        <v>0</v>
      </c>
      <c r="B493" t="b">
        <f>SUMPRODUCT(LEN(hospitalityq!C493:R493))&gt;0</f>
        <v>0</v>
      </c>
      <c r="C493">
        <f>B493*(hospitalityq!C493="")</f>
        <v>0</v>
      </c>
      <c r="E493">
        <f>B493*(hospitalityq!E493="")</f>
        <v>0</v>
      </c>
      <c r="F493">
        <f>B493*(hospitalityq!F493="")</f>
        <v>0</v>
      </c>
      <c r="G493">
        <f>B493*(hospitalityq!G493="")</f>
        <v>0</v>
      </c>
      <c r="H493">
        <f>B493*(hospitalityq!H493="")</f>
        <v>0</v>
      </c>
      <c r="I493">
        <f>B493*(hospitalityq!I493="")</f>
        <v>0</v>
      </c>
      <c r="J493">
        <f>B493*(hospitalityq!J493="")</f>
        <v>0</v>
      </c>
      <c r="K493">
        <f>B493*(hospitalityq!K493="")</f>
        <v>0</v>
      </c>
      <c r="L493">
        <f>B493*(hospitalityq!L493="")</f>
        <v>0</v>
      </c>
      <c r="M493">
        <f>B493*(hospitalityq!M493="")</f>
        <v>0</v>
      </c>
      <c r="N493">
        <f>B493*(hospitalityq!N493="")</f>
        <v>0</v>
      </c>
      <c r="O493">
        <f>B493*(hospitalityq!O493="")</f>
        <v>0</v>
      </c>
      <c r="P493">
        <f>B493*(hospitalityq!P493="")</f>
        <v>0</v>
      </c>
      <c r="Q493">
        <f>B493*(hospitalityq!Q493="")</f>
        <v>0</v>
      </c>
      <c r="R493">
        <f>B493*(hospitalityq!R493="")</f>
        <v>0</v>
      </c>
    </row>
    <row r="494" spans="1:18" x14ac:dyDescent="0.25">
      <c r="A494">
        <f t="shared" si="8"/>
        <v>0</v>
      </c>
      <c r="B494" t="b">
        <f>SUMPRODUCT(LEN(hospitalityq!C494:R494))&gt;0</f>
        <v>0</v>
      </c>
      <c r="C494">
        <f>B494*(hospitalityq!C494="")</f>
        <v>0</v>
      </c>
      <c r="E494">
        <f>B494*(hospitalityq!E494="")</f>
        <v>0</v>
      </c>
      <c r="F494">
        <f>B494*(hospitalityq!F494="")</f>
        <v>0</v>
      </c>
      <c r="G494">
        <f>B494*(hospitalityq!G494="")</f>
        <v>0</v>
      </c>
      <c r="H494">
        <f>B494*(hospitalityq!H494="")</f>
        <v>0</v>
      </c>
      <c r="I494">
        <f>B494*(hospitalityq!I494="")</f>
        <v>0</v>
      </c>
      <c r="J494">
        <f>B494*(hospitalityq!J494="")</f>
        <v>0</v>
      </c>
      <c r="K494">
        <f>B494*(hospitalityq!K494="")</f>
        <v>0</v>
      </c>
      <c r="L494">
        <f>B494*(hospitalityq!L494="")</f>
        <v>0</v>
      </c>
      <c r="M494">
        <f>B494*(hospitalityq!M494="")</f>
        <v>0</v>
      </c>
      <c r="N494">
        <f>B494*(hospitalityq!N494="")</f>
        <v>0</v>
      </c>
      <c r="O494">
        <f>B494*(hospitalityq!O494="")</f>
        <v>0</v>
      </c>
      <c r="P494">
        <f>B494*(hospitalityq!P494="")</f>
        <v>0</v>
      </c>
      <c r="Q494">
        <f>B494*(hospitalityq!Q494="")</f>
        <v>0</v>
      </c>
      <c r="R494">
        <f>B494*(hospitalityq!R494="")</f>
        <v>0</v>
      </c>
    </row>
    <row r="495" spans="1:18" x14ac:dyDescent="0.25">
      <c r="A495">
        <f t="shared" si="8"/>
        <v>0</v>
      </c>
      <c r="B495" t="b">
        <f>SUMPRODUCT(LEN(hospitalityq!C495:R495))&gt;0</f>
        <v>0</v>
      </c>
      <c r="C495">
        <f>B495*(hospitalityq!C495="")</f>
        <v>0</v>
      </c>
      <c r="E495">
        <f>B495*(hospitalityq!E495="")</f>
        <v>0</v>
      </c>
      <c r="F495">
        <f>B495*(hospitalityq!F495="")</f>
        <v>0</v>
      </c>
      <c r="G495">
        <f>B495*(hospitalityq!G495="")</f>
        <v>0</v>
      </c>
      <c r="H495">
        <f>B495*(hospitalityq!H495="")</f>
        <v>0</v>
      </c>
      <c r="I495">
        <f>B495*(hospitalityq!I495="")</f>
        <v>0</v>
      </c>
      <c r="J495">
        <f>B495*(hospitalityq!J495="")</f>
        <v>0</v>
      </c>
      <c r="K495">
        <f>B495*(hospitalityq!K495="")</f>
        <v>0</v>
      </c>
      <c r="L495">
        <f>B495*(hospitalityq!L495="")</f>
        <v>0</v>
      </c>
      <c r="M495">
        <f>B495*(hospitalityq!M495="")</f>
        <v>0</v>
      </c>
      <c r="N495">
        <f>B495*(hospitalityq!N495="")</f>
        <v>0</v>
      </c>
      <c r="O495">
        <f>B495*(hospitalityq!O495="")</f>
        <v>0</v>
      </c>
      <c r="P495">
        <f>B495*(hospitalityq!P495="")</f>
        <v>0</v>
      </c>
      <c r="Q495">
        <f>B495*(hospitalityq!Q495="")</f>
        <v>0</v>
      </c>
      <c r="R495">
        <f>B495*(hospitalityq!R495="")</f>
        <v>0</v>
      </c>
    </row>
    <row r="496" spans="1:18" x14ac:dyDescent="0.25">
      <c r="A496">
        <f t="shared" si="8"/>
        <v>0</v>
      </c>
      <c r="B496" t="b">
        <f>SUMPRODUCT(LEN(hospitalityq!C496:R496))&gt;0</f>
        <v>0</v>
      </c>
      <c r="C496">
        <f>B496*(hospitalityq!C496="")</f>
        <v>0</v>
      </c>
      <c r="E496">
        <f>B496*(hospitalityq!E496="")</f>
        <v>0</v>
      </c>
      <c r="F496">
        <f>B496*(hospitalityq!F496="")</f>
        <v>0</v>
      </c>
      <c r="G496">
        <f>B496*(hospitalityq!G496="")</f>
        <v>0</v>
      </c>
      <c r="H496">
        <f>B496*(hospitalityq!H496="")</f>
        <v>0</v>
      </c>
      <c r="I496">
        <f>B496*(hospitalityq!I496="")</f>
        <v>0</v>
      </c>
      <c r="J496">
        <f>B496*(hospitalityq!J496="")</f>
        <v>0</v>
      </c>
      <c r="K496">
        <f>B496*(hospitalityq!K496="")</f>
        <v>0</v>
      </c>
      <c r="L496">
        <f>B496*(hospitalityq!L496="")</f>
        <v>0</v>
      </c>
      <c r="M496">
        <f>B496*(hospitalityq!M496="")</f>
        <v>0</v>
      </c>
      <c r="N496">
        <f>B496*(hospitalityq!N496="")</f>
        <v>0</v>
      </c>
      <c r="O496">
        <f>B496*(hospitalityq!O496="")</f>
        <v>0</v>
      </c>
      <c r="P496">
        <f>B496*(hospitalityq!P496="")</f>
        <v>0</v>
      </c>
      <c r="Q496">
        <f>B496*(hospitalityq!Q496="")</f>
        <v>0</v>
      </c>
      <c r="R496">
        <f>B496*(hospitalityq!R496="")</f>
        <v>0</v>
      </c>
    </row>
    <row r="497" spans="1:18" x14ac:dyDescent="0.25">
      <c r="A497">
        <f t="shared" si="8"/>
        <v>0</v>
      </c>
      <c r="B497" t="b">
        <f>SUMPRODUCT(LEN(hospitalityq!C497:R497))&gt;0</f>
        <v>0</v>
      </c>
      <c r="C497">
        <f>B497*(hospitalityq!C497="")</f>
        <v>0</v>
      </c>
      <c r="E497">
        <f>B497*(hospitalityq!E497="")</f>
        <v>0</v>
      </c>
      <c r="F497">
        <f>B497*(hospitalityq!F497="")</f>
        <v>0</v>
      </c>
      <c r="G497">
        <f>B497*(hospitalityq!G497="")</f>
        <v>0</v>
      </c>
      <c r="H497">
        <f>B497*(hospitalityq!H497="")</f>
        <v>0</v>
      </c>
      <c r="I497">
        <f>B497*(hospitalityq!I497="")</f>
        <v>0</v>
      </c>
      <c r="J497">
        <f>B497*(hospitalityq!J497="")</f>
        <v>0</v>
      </c>
      <c r="K497">
        <f>B497*(hospitalityq!K497="")</f>
        <v>0</v>
      </c>
      <c r="L497">
        <f>B497*(hospitalityq!L497="")</f>
        <v>0</v>
      </c>
      <c r="M497">
        <f>B497*(hospitalityq!M497="")</f>
        <v>0</v>
      </c>
      <c r="N497">
        <f>B497*(hospitalityq!N497="")</f>
        <v>0</v>
      </c>
      <c r="O497">
        <f>B497*(hospitalityq!O497="")</f>
        <v>0</v>
      </c>
      <c r="P497">
        <f>B497*(hospitalityq!P497="")</f>
        <v>0</v>
      </c>
      <c r="Q497">
        <f>B497*(hospitalityq!Q497="")</f>
        <v>0</v>
      </c>
      <c r="R497">
        <f>B497*(hospitalityq!R497="")</f>
        <v>0</v>
      </c>
    </row>
    <row r="498" spans="1:18" x14ac:dyDescent="0.25">
      <c r="A498">
        <f t="shared" si="8"/>
        <v>0</v>
      </c>
      <c r="B498" t="b">
        <f>SUMPRODUCT(LEN(hospitalityq!C498:R498))&gt;0</f>
        <v>0</v>
      </c>
      <c r="C498">
        <f>B498*(hospitalityq!C498="")</f>
        <v>0</v>
      </c>
      <c r="E498">
        <f>B498*(hospitalityq!E498="")</f>
        <v>0</v>
      </c>
      <c r="F498">
        <f>B498*(hospitalityq!F498="")</f>
        <v>0</v>
      </c>
      <c r="G498">
        <f>B498*(hospitalityq!G498="")</f>
        <v>0</v>
      </c>
      <c r="H498">
        <f>B498*(hospitalityq!H498="")</f>
        <v>0</v>
      </c>
      <c r="I498">
        <f>B498*(hospitalityq!I498="")</f>
        <v>0</v>
      </c>
      <c r="J498">
        <f>B498*(hospitalityq!J498="")</f>
        <v>0</v>
      </c>
      <c r="K498">
        <f>B498*(hospitalityq!K498="")</f>
        <v>0</v>
      </c>
      <c r="L498">
        <f>B498*(hospitalityq!L498="")</f>
        <v>0</v>
      </c>
      <c r="M498">
        <f>B498*(hospitalityq!M498="")</f>
        <v>0</v>
      </c>
      <c r="N498">
        <f>B498*(hospitalityq!N498="")</f>
        <v>0</v>
      </c>
      <c r="O498">
        <f>B498*(hospitalityq!O498="")</f>
        <v>0</v>
      </c>
      <c r="P498">
        <f>B498*(hospitalityq!P498="")</f>
        <v>0</v>
      </c>
      <c r="Q498">
        <f>B498*(hospitalityq!Q498="")</f>
        <v>0</v>
      </c>
      <c r="R498">
        <f>B498*(hospitalityq!R498="")</f>
        <v>0</v>
      </c>
    </row>
    <row r="499" spans="1:18" x14ac:dyDescent="0.25">
      <c r="A499">
        <f t="shared" si="8"/>
        <v>0</v>
      </c>
      <c r="B499" t="b">
        <f>SUMPRODUCT(LEN(hospitalityq!C499:R499))&gt;0</f>
        <v>0</v>
      </c>
      <c r="C499">
        <f>B499*(hospitalityq!C499="")</f>
        <v>0</v>
      </c>
      <c r="E499">
        <f>B499*(hospitalityq!E499="")</f>
        <v>0</v>
      </c>
      <c r="F499">
        <f>B499*(hospitalityq!F499="")</f>
        <v>0</v>
      </c>
      <c r="G499">
        <f>B499*(hospitalityq!G499="")</f>
        <v>0</v>
      </c>
      <c r="H499">
        <f>B499*(hospitalityq!H499="")</f>
        <v>0</v>
      </c>
      <c r="I499">
        <f>B499*(hospitalityq!I499="")</f>
        <v>0</v>
      </c>
      <c r="J499">
        <f>B499*(hospitalityq!J499="")</f>
        <v>0</v>
      </c>
      <c r="K499">
        <f>B499*(hospitalityq!K499="")</f>
        <v>0</v>
      </c>
      <c r="L499">
        <f>B499*(hospitalityq!L499="")</f>
        <v>0</v>
      </c>
      <c r="M499">
        <f>B499*(hospitalityq!M499="")</f>
        <v>0</v>
      </c>
      <c r="N499">
        <f>B499*(hospitalityq!N499="")</f>
        <v>0</v>
      </c>
      <c r="O499">
        <f>B499*(hospitalityq!O499="")</f>
        <v>0</v>
      </c>
      <c r="P499">
        <f>B499*(hospitalityq!P499="")</f>
        <v>0</v>
      </c>
      <c r="Q499">
        <f>B499*(hospitalityq!Q499="")</f>
        <v>0</v>
      </c>
      <c r="R499">
        <f>B499*(hospitalityq!R499="")</f>
        <v>0</v>
      </c>
    </row>
    <row r="500" spans="1:18" x14ac:dyDescent="0.25">
      <c r="A500">
        <f t="shared" si="8"/>
        <v>0</v>
      </c>
      <c r="B500" t="b">
        <f>SUMPRODUCT(LEN(hospitalityq!C500:R500))&gt;0</f>
        <v>0</v>
      </c>
      <c r="C500">
        <f>B500*(hospitalityq!C500="")</f>
        <v>0</v>
      </c>
      <c r="E500">
        <f>B500*(hospitalityq!E500="")</f>
        <v>0</v>
      </c>
      <c r="F500">
        <f>B500*(hospitalityq!F500="")</f>
        <v>0</v>
      </c>
      <c r="G500">
        <f>B500*(hospitalityq!G500="")</f>
        <v>0</v>
      </c>
      <c r="H500">
        <f>B500*(hospitalityq!H500="")</f>
        <v>0</v>
      </c>
      <c r="I500">
        <f>B500*(hospitalityq!I500="")</f>
        <v>0</v>
      </c>
      <c r="J500">
        <f>B500*(hospitalityq!J500="")</f>
        <v>0</v>
      </c>
      <c r="K500">
        <f>B500*(hospitalityq!K500="")</f>
        <v>0</v>
      </c>
      <c r="L500">
        <f>B500*(hospitalityq!L500="")</f>
        <v>0</v>
      </c>
      <c r="M500">
        <f>B500*(hospitalityq!M500="")</f>
        <v>0</v>
      </c>
      <c r="N500">
        <f>B500*(hospitalityq!N500="")</f>
        <v>0</v>
      </c>
      <c r="O500">
        <f>B500*(hospitalityq!O500="")</f>
        <v>0</v>
      </c>
      <c r="P500">
        <f>B500*(hospitalityq!P500="")</f>
        <v>0</v>
      </c>
      <c r="Q500">
        <f>B500*(hospitalityq!Q500="")</f>
        <v>0</v>
      </c>
      <c r="R500">
        <f>B500*(hospitalityq!R500="")</f>
        <v>0</v>
      </c>
    </row>
    <row r="501" spans="1:18" x14ac:dyDescent="0.25">
      <c r="A501">
        <f t="shared" si="8"/>
        <v>0</v>
      </c>
      <c r="B501" t="b">
        <f>SUMPRODUCT(LEN(hospitalityq!C501:R501))&gt;0</f>
        <v>0</v>
      </c>
      <c r="C501">
        <f>B501*(hospitalityq!C501="")</f>
        <v>0</v>
      </c>
      <c r="E501">
        <f>B501*(hospitalityq!E501="")</f>
        <v>0</v>
      </c>
      <c r="F501">
        <f>B501*(hospitalityq!F501="")</f>
        <v>0</v>
      </c>
      <c r="G501">
        <f>B501*(hospitalityq!G501="")</f>
        <v>0</v>
      </c>
      <c r="H501">
        <f>B501*(hospitalityq!H501="")</f>
        <v>0</v>
      </c>
      <c r="I501">
        <f>B501*(hospitalityq!I501="")</f>
        <v>0</v>
      </c>
      <c r="J501">
        <f>B501*(hospitalityq!J501="")</f>
        <v>0</v>
      </c>
      <c r="K501">
        <f>B501*(hospitalityq!K501="")</f>
        <v>0</v>
      </c>
      <c r="L501">
        <f>B501*(hospitalityq!L501="")</f>
        <v>0</v>
      </c>
      <c r="M501">
        <f>B501*(hospitalityq!M501="")</f>
        <v>0</v>
      </c>
      <c r="N501">
        <f>B501*(hospitalityq!N501="")</f>
        <v>0</v>
      </c>
      <c r="O501">
        <f>B501*(hospitalityq!O501="")</f>
        <v>0</v>
      </c>
      <c r="P501">
        <f>B501*(hospitalityq!P501="")</f>
        <v>0</v>
      </c>
      <c r="Q501">
        <f>B501*(hospitalityq!Q501="")</f>
        <v>0</v>
      </c>
      <c r="R501">
        <f>B501*(hospitalityq!R501="")</f>
        <v>0</v>
      </c>
    </row>
    <row r="502" spans="1:18" x14ac:dyDescent="0.25">
      <c r="A502">
        <f t="shared" si="8"/>
        <v>0</v>
      </c>
      <c r="B502" t="b">
        <f>SUMPRODUCT(LEN(hospitalityq!C502:R502))&gt;0</f>
        <v>0</v>
      </c>
      <c r="C502">
        <f>B502*(hospitalityq!C502="")</f>
        <v>0</v>
      </c>
      <c r="E502">
        <f>B502*(hospitalityq!E502="")</f>
        <v>0</v>
      </c>
      <c r="F502">
        <f>B502*(hospitalityq!F502="")</f>
        <v>0</v>
      </c>
      <c r="G502">
        <f>B502*(hospitalityq!G502="")</f>
        <v>0</v>
      </c>
      <c r="H502">
        <f>B502*(hospitalityq!H502="")</f>
        <v>0</v>
      </c>
      <c r="I502">
        <f>B502*(hospitalityq!I502="")</f>
        <v>0</v>
      </c>
      <c r="J502">
        <f>B502*(hospitalityq!J502="")</f>
        <v>0</v>
      </c>
      <c r="K502">
        <f>B502*(hospitalityq!K502="")</f>
        <v>0</v>
      </c>
      <c r="L502">
        <f>B502*(hospitalityq!L502="")</f>
        <v>0</v>
      </c>
      <c r="M502">
        <f>B502*(hospitalityq!M502="")</f>
        <v>0</v>
      </c>
      <c r="N502">
        <f>B502*(hospitalityq!N502="")</f>
        <v>0</v>
      </c>
      <c r="O502">
        <f>B502*(hospitalityq!O502="")</f>
        <v>0</v>
      </c>
      <c r="P502">
        <f>B502*(hospitalityq!P502="")</f>
        <v>0</v>
      </c>
      <c r="Q502">
        <f>B502*(hospitalityq!Q502="")</f>
        <v>0</v>
      </c>
      <c r="R502">
        <f>B502*(hospitalityq!R502="")</f>
        <v>0</v>
      </c>
    </row>
    <row r="503" spans="1:18" x14ac:dyDescent="0.25">
      <c r="A503">
        <f t="shared" si="8"/>
        <v>0</v>
      </c>
      <c r="B503" t="b">
        <f>SUMPRODUCT(LEN(hospitalityq!C503:R503))&gt;0</f>
        <v>0</v>
      </c>
      <c r="C503">
        <f>B503*(hospitalityq!C503="")</f>
        <v>0</v>
      </c>
      <c r="E503">
        <f>B503*(hospitalityq!E503="")</f>
        <v>0</v>
      </c>
      <c r="F503">
        <f>B503*(hospitalityq!F503="")</f>
        <v>0</v>
      </c>
      <c r="G503">
        <f>B503*(hospitalityq!G503="")</f>
        <v>0</v>
      </c>
      <c r="H503">
        <f>B503*(hospitalityq!H503="")</f>
        <v>0</v>
      </c>
      <c r="I503">
        <f>B503*(hospitalityq!I503="")</f>
        <v>0</v>
      </c>
      <c r="J503">
        <f>B503*(hospitalityq!J503="")</f>
        <v>0</v>
      </c>
      <c r="K503">
        <f>B503*(hospitalityq!K503="")</f>
        <v>0</v>
      </c>
      <c r="L503">
        <f>B503*(hospitalityq!L503="")</f>
        <v>0</v>
      </c>
      <c r="M503">
        <f>B503*(hospitalityq!M503="")</f>
        <v>0</v>
      </c>
      <c r="N503">
        <f>B503*(hospitalityq!N503="")</f>
        <v>0</v>
      </c>
      <c r="O503">
        <f>B503*(hospitalityq!O503="")</f>
        <v>0</v>
      </c>
      <c r="P503">
        <f>B503*(hospitalityq!P503="")</f>
        <v>0</v>
      </c>
      <c r="Q503">
        <f>B503*(hospitalityq!Q503="")</f>
        <v>0</v>
      </c>
      <c r="R503">
        <f>B503*(hospitalityq!R503="")</f>
        <v>0</v>
      </c>
    </row>
    <row r="504" spans="1:18" x14ac:dyDescent="0.25">
      <c r="A504">
        <f t="shared" si="8"/>
        <v>0</v>
      </c>
      <c r="B504" t="b">
        <f>SUMPRODUCT(LEN(hospitalityq!C504:R504))&gt;0</f>
        <v>0</v>
      </c>
      <c r="C504">
        <f>B504*(hospitalityq!C504="")</f>
        <v>0</v>
      </c>
      <c r="E504">
        <f>B504*(hospitalityq!E504="")</f>
        <v>0</v>
      </c>
      <c r="F504">
        <f>B504*(hospitalityq!F504="")</f>
        <v>0</v>
      </c>
      <c r="G504">
        <f>B504*(hospitalityq!G504="")</f>
        <v>0</v>
      </c>
      <c r="H504">
        <f>B504*(hospitalityq!H504="")</f>
        <v>0</v>
      </c>
      <c r="I504">
        <f>B504*(hospitalityq!I504="")</f>
        <v>0</v>
      </c>
      <c r="J504">
        <f>B504*(hospitalityq!J504="")</f>
        <v>0</v>
      </c>
      <c r="K504">
        <f>B504*(hospitalityq!K504="")</f>
        <v>0</v>
      </c>
      <c r="L504">
        <f>B504*(hospitalityq!L504="")</f>
        <v>0</v>
      </c>
      <c r="M504">
        <f>B504*(hospitalityq!M504="")</f>
        <v>0</v>
      </c>
      <c r="N504">
        <f>B504*(hospitalityq!N504="")</f>
        <v>0</v>
      </c>
      <c r="O504">
        <f>B504*(hospitalityq!O504="")</f>
        <v>0</v>
      </c>
      <c r="P504">
        <f>B504*(hospitalityq!P504="")</f>
        <v>0</v>
      </c>
      <c r="Q504">
        <f>B504*(hospitalityq!Q504="")</f>
        <v>0</v>
      </c>
      <c r="R504">
        <f>B504*(hospitalityq!R504="")</f>
        <v>0</v>
      </c>
    </row>
    <row r="505" spans="1:18" x14ac:dyDescent="0.25">
      <c r="A505">
        <f t="shared" si="8"/>
        <v>0</v>
      </c>
      <c r="B505" t="b">
        <f>SUMPRODUCT(LEN(hospitalityq!C505:R505))&gt;0</f>
        <v>0</v>
      </c>
      <c r="C505">
        <f>B505*(hospitalityq!C505="")</f>
        <v>0</v>
      </c>
      <c r="E505">
        <f>B505*(hospitalityq!E505="")</f>
        <v>0</v>
      </c>
      <c r="F505">
        <f>B505*(hospitalityq!F505="")</f>
        <v>0</v>
      </c>
      <c r="G505">
        <f>B505*(hospitalityq!G505="")</f>
        <v>0</v>
      </c>
      <c r="H505">
        <f>B505*(hospitalityq!H505="")</f>
        <v>0</v>
      </c>
      <c r="I505">
        <f>B505*(hospitalityq!I505="")</f>
        <v>0</v>
      </c>
      <c r="J505">
        <f>B505*(hospitalityq!J505="")</f>
        <v>0</v>
      </c>
      <c r="K505">
        <f>B505*(hospitalityq!K505="")</f>
        <v>0</v>
      </c>
      <c r="L505">
        <f>B505*(hospitalityq!L505="")</f>
        <v>0</v>
      </c>
      <c r="M505">
        <f>B505*(hospitalityq!M505="")</f>
        <v>0</v>
      </c>
      <c r="N505">
        <f>B505*(hospitalityq!N505="")</f>
        <v>0</v>
      </c>
      <c r="O505">
        <f>B505*(hospitalityq!O505="")</f>
        <v>0</v>
      </c>
      <c r="P505">
        <f>B505*(hospitalityq!P505="")</f>
        <v>0</v>
      </c>
      <c r="Q505">
        <f>B505*(hospitalityq!Q505="")</f>
        <v>0</v>
      </c>
      <c r="R505">
        <f>B505*(hospitalityq!R505="")</f>
        <v>0</v>
      </c>
    </row>
    <row r="506" spans="1:18" x14ac:dyDescent="0.25">
      <c r="A506">
        <f t="shared" si="8"/>
        <v>0</v>
      </c>
      <c r="B506" t="b">
        <f>SUMPRODUCT(LEN(hospitalityq!C506:R506))&gt;0</f>
        <v>0</v>
      </c>
      <c r="C506">
        <f>B506*(hospitalityq!C506="")</f>
        <v>0</v>
      </c>
      <c r="E506">
        <f>B506*(hospitalityq!E506="")</f>
        <v>0</v>
      </c>
      <c r="F506">
        <f>B506*(hospitalityq!F506="")</f>
        <v>0</v>
      </c>
      <c r="G506">
        <f>B506*(hospitalityq!G506="")</f>
        <v>0</v>
      </c>
      <c r="H506">
        <f>B506*(hospitalityq!H506="")</f>
        <v>0</v>
      </c>
      <c r="I506">
        <f>B506*(hospitalityq!I506="")</f>
        <v>0</v>
      </c>
      <c r="J506">
        <f>B506*(hospitalityq!J506="")</f>
        <v>0</v>
      </c>
      <c r="K506">
        <f>B506*(hospitalityq!K506="")</f>
        <v>0</v>
      </c>
      <c r="L506">
        <f>B506*(hospitalityq!L506="")</f>
        <v>0</v>
      </c>
      <c r="M506">
        <f>B506*(hospitalityq!M506="")</f>
        <v>0</v>
      </c>
      <c r="N506">
        <f>B506*(hospitalityq!N506="")</f>
        <v>0</v>
      </c>
      <c r="O506">
        <f>B506*(hospitalityq!O506="")</f>
        <v>0</v>
      </c>
      <c r="P506">
        <f>B506*(hospitalityq!P506="")</f>
        <v>0</v>
      </c>
      <c r="Q506">
        <f>B506*(hospitalityq!Q506="")</f>
        <v>0</v>
      </c>
      <c r="R506">
        <f>B506*(hospitalityq!R506="")</f>
        <v>0</v>
      </c>
    </row>
    <row r="507" spans="1:18" x14ac:dyDescent="0.25">
      <c r="A507">
        <f t="shared" si="8"/>
        <v>0</v>
      </c>
      <c r="B507" t="b">
        <f>SUMPRODUCT(LEN(hospitalityq!C507:R507))&gt;0</f>
        <v>0</v>
      </c>
      <c r="C507">
        <f>B507*(hospitalityq!C507="")</f>
        <v>0</v>
      </c>
      <c r="E507">
        <f>B507*(hospitalityq!E507="")</f>
        <v>0</v>
      </c>
      <c r="F507">
        <f>B507*(hospitalityq!F507="")</f>
        <v>0</v>
      </c>
      <c r="G507">
        <f>B507*(hospitalityq!G507="")</f>
        <v>0</v>
      </c>
      <c r="H507">
        <f>B507*(hospitalityq!H507="")</f>
        <v>0</v>
      </c>
      <c r="I507">
        <f>B507*(hospitalityq!I507="")</f>
        <v>0</v>
      </c>
      <c r="J507">
        <f>B507*(hospitalityq!J507="")</f>
        <v>0</v>
      </c>
      <c r="K507">
        <f>B507*(hospitalityq!K507="")</f>
        <v>0</v>
      </c>
      <c r="L507">
        <f>B507*(hospitalityq!L507="")</f>
        <v>0</v>
      </c>
      <c r="M507">
        <f>B507*(hospitalityq!M507="")</f>
        <v>0</v>
      </c>
      <c r="N507">
        <f>B507*(hospitalityq!N507="")</f>
        <v>0</v>
      </c>
      <c r="O507">
        <f>B507*(hospitalityq!O507="")</f>
        <v>0</v>
      </c>
      <c r="P507">
        <f>B507*(hospitalityq!P507="")</f>
        <v>0</v>
      </c>
      <c r="Q507">
        <f>B507*(hospitalityq!Q507="")</f>
        <v>0</v>
      </c>
      <c r="R507">
        <f>B507*(hospitalityq!R507="")</f>
        <v>0</v>
      </c>
    </row>
    <row r="508" spans="1:18" x14ac:dyDescent="0.25">
      <c r="A508">
        <f t="shared" si="8"/>
        <v>0</v>
      </c>
      <c r="B508" t="b">
        <f>SUMPRODUCT(LEN(hospitalityq!C508:R508))&gt;0</f>
        <v>0</v>
      </c>
      <c r="C508">
        <f>B508*(hospitalityq!C508="")</f>
        <v>0</v>
      </c>
      <c r="E508">
        <f>B508*(hospitalityq!E508="")</f>
        <v>0</v>
      </c>
      <c r="F508">
        <f>B508*(hospitalityq!F508="")</f>
        <v>0</v>
      </c>
      <c r="G508">
        <f>B508*(hospitalityq!G508="")</f>
        <v>0</v>
      </c>
      <c r="H508">
        <f>B508*(hospitalityq!H508="")</f>
        <v>0</v>
      </c>
      <c r="I508">
        <f>B508*(hospitalityq!I508="")</f>
        <v>0</v>
      </c>
      <c r="J508">
        <f>B508*(hospitalityq!J508="")</f>
        <v>0</v>
      </c>
      <c r="K508">
        <f>B508*(hospitalityq!K508="")</f>
        <v>0</v>
      </c>
      <c r="L508">
        <f>B508*(hospitalityq!L508="")</f>
        <v>0</v>
      </c>
      <c r="M508">
        <f>B508*(hospitalityq!M508="")</f>
        <v>0</v>
      </c>
      <c r="N508">
        <f>B508*(hospitalityq!N508="")</f>
        <v>0</v>
      </c>
      <c r="O508">
        <f>B508*(hospitalityq!O508="")</f>
        <v>0</v>
      </c>
      <c r="P508">
        <f>B508*(hospitalityq!P508="")</f>
        <v>0</v>
      </c>
      <c r="Q508">
        <f>B508*(hospitalityq!Q508="")</f>
        <v>0</v>
      </c>
      <c r="R508">
        <f>B508*(hospitalityq!R508="")</f>
        <v>0</v>
      </c>
    </row>
    <row r="509" spans="1:18" x14ac:dyDescent="0.25">
      <c r="A509">
        <f t="shared" si="8"/>
        <v>0</v>
      </c>
      <c r="B509" t="b">
        <f>SUMPRODUCT(LEN(hospitalityq!C509:R509))&gt;0</f>
        <v>0</v>
      </c>
      <c r="C509">
        <f>B509*(hospitalityq!C509="")</f>
        <v>0</v>
      </c>
      <c r="E509">
        <f>B509*(hospitalityq!E509="")</f>
        <v>0</v>
      </c>
      <c r="F509">
        <f>B509*(hospitalityq!F509="")</f>
        <v>0</v>
      </c>
      <c r="G509">
        <f>B509*(hospitalityq!G509="")</f>
        <v>0</v>
      </c>
      <c r="H509">
        <f>B509*(hospitalityq!H509="")</f>
        <v>0</v>
      </c>
      <c r="I509">
        <f>B509*(hospitalityq!I509="")</f>
        <v>0</v>
      </c>
      <c r="J509">
        <f>B509*(hospitalityq!J509="")</f>
        <v>0</v>
      </c>
      <c r="K509">
        <f>B509*(hospitalityq!K509="")</f>
        <v>0</v>
      </c>
      <c r="L509">
        <f>B509*(hospitalityq!L509="")</f>
        <v>0</v>
      </c>
      <c r="M509">
        <f>B509*(hospitalityq!M509="")</f>
        <v>0</v>
      </c>
      <c r="N509">
        <f>B509*(hospitalityq!N509="")</f>
        <v>0</v>
      </c>
      <c r="O509">
        <f>B509*(hospitalityq!O509="")</f>
        <v>0</v>
      </c>
      <c r="P509">
        <f>B509*(hospitalityq!P509="")</f>
        <v>0</v>
      </c>
      <c r="Q509">
        <f>B509*(hospitalityq!Q509="")</f>
        <v>0</v>
      </c>
      <c r="R509">
        <f>B509*(hospitalityq!R509="")</f>
        <v>0</v>
      </c>
    </row>
    <row r="510" spans="1:18" x14ac:dyDescent="0.25">
      <c r="A510">
        <f t="shared" si="8"/>
        <v>0</v>
      </c>
      <c r="B510" t="b">
        <f>SUMPRODUCT(LEN(hospitalityq!C510:R510))&gt;0</f>
        <v>0</v>
      </c>
      <c r="C510">
        <f>B510*(hospitalityq!C510="")</f>
        <v>0</v>
      </c>
      <c r="E510">
        <f>B510*(hospitalityq!E510="")</f>
        <v>0</v>
      </c>
      <c r="F510">
        <f>B510*(hospitalityq!F510="")</f>
        <v>0</v>
      </c>
      <c r="G510">
        <f>B510*(hospitalityq!G510="")</f>
        <v>0</v>
      </c>
      <c r="H510">
        <f>B510*(hospitalityq!H510="")</f>
        <v>0</v>
      </c>
      <c r="I510">
        <f>B510*(hospitalityq!I510="")</f>
        <v>0</v>
      </c>
      <c r="J510">
        <f>B510*(hospitalityq!J510="")</f>
        <v>0</v>
      </c>
      <c r="K510">
        <f>B510*(hospitalityq!K510="")</f>
        <v>0</v>
      </c>
      <c r="L510">
        <f>B510*(hospitalityq!L510="")</f>
        <v>0</v>
      </c>
      <c r="M510">
        <f>B510*(hospitalityq!M510="")</f>
        <v>0</v>
      </c>
      <c r="N510">
        <f>B510*(hospitalityq!N510="")</f>
        <v>0</v>
      </c>
      <c r="O510">
        <f>B510*(hospitalityq!O510="")</f>
        <v>0</v>
      </c>
      <c r="P510">
        <f>B510*(hospitalityq!P510="")</f>
        <v>0</v>
      </c>
      <c r="Q510">
        <f>B510*(hospitalityq!Q510="")</f>
        <v>0</v>
      </c>
      <c r="R510">
        <f>B510*(hospitalityq!R510="")</f>
        <v>0</v>
      </c>
    </row>
    <row r="511" spans="1:18" x14ac:dyDescent="0.25">
      <c r="A511">
        <f t="shared" si="8"/>
        <v>0</v>
      </c>
      <c r="B511" t="b">
        <f>SUMPRODUCT(LEN(hospitalityq!C511:R511))&gt;0</f>
        <v>0</v>
      </c>
      <c r="C511">
        <f>B511*(hospitalityq!C511="")</f>
        <v>0</v>
      </c>
      <c r="E511">
        <f>B511*(hospitalityq!E511="")</f>
        <v>0</v>
      </c>
      <c r="F511">
        <f>B511*(hospitalityq!F511="")</f>
        <v>0</v>
      </c>
      <c r="G511">
        <f>B511*(hospitalityq!G511="")</f>
        <v>0</v>
      </c>
      <c r="H511">
        <f>B511*(hospitalityq!H511="")</f>
        <v>0</v>
      </c>
      <c r="I511">
        <f>B511*(hospitalityq!I511="")</f>
        <v>0</v>
      </c>
      <c r="J511">
        <f>B511*(hospitalityq!J511="")</f>
        <v>0</v>
      </c>
      <c r="K511">
        <f>B511*(hospitalityq!K511="")</f>
        <v>0</v>
      </c>
      <c r="L511">
        <f>B511*(hospitalityq!L511="")</f>
        <v>0</v>
      </c>
      <c r="M511">
        <f>B511*(hospitalityq!M511="")</f>
        <v>0</v>
      </c>
      <c r="N511">
        <f>B511*(hospitalityq!N511="")</f>
        <v>0</v>
      </c>
      <c r="O511">
        <f>B511*(hospitalityq!O511="")</f>
        <v>0</v>
      </c>
      <c r="P511">
        <f>B511*(hospitalityq!P511="")</f>
        <v>0</v>
      </c>
      <c r="Q511">
        <f>B511*(hospitalityq!Q511="")</f>
        <v>0</v>
      </c>
      <c r="R511">
        <f>B511*(hospitalityq!R511="")</f>
        <v>0</v>
      </c>
    </row>
    <row r="512" spans="1:18" x14ac:dyDescent="0.25">
      <c r="A512">
        <f t="shared" si="8"/>
        <v>0</v>
      </c>
      <c r="B512" t="b">
        <f>SUMPRODUCT(LEN(hospitalityq!C512:R512))&gt;0</f>
        <v>0</v>
      </c>
      <c r="C512">
        <f>B512*(hospitalityq!C512="")</f>
        <v>0</v>
      </c>
      <c r="E512">
        <f>B512*(hospitalityq!E512="")</f>
        <v>0</v>
      </c>
      <c r="F512">
        <f>B512*(hospitalityq!F512="")</f>
        <v>0</v>
      </c>
      <c r="G512">
        <f>B512*(hospitalityq!G512="")</f>
        <v>0</v>
      </c>
      <c r="H512">
        <f>B512*(hospitalityq!H512="")</f>
        <v>0</v>
      </c>
      <c r="I512">
        <f>B512*(hospitalityq!I512="")</f>
        <v>0</v>
      </c>
      <c r="J512">
        <f>B512*(hospitalityq!J512="")</f>
        <v>0</v>
      </c>
      <c r="K512">
        <f>B512*(hospitalityq!K512="")</f>
        <v>0</v>
      </c>
      <c r="L512">
        <f>B512*(hospitalityq!L512="")</f>
        <v>0</v>
      </c>
      <c r="M512">
        <f>B512*(hospitalityq!M512="")</f>
        <v>0</v>
      </c>
      <c r="N512">
        <f>B512*(hospitalityq!N512="")</f>
        <v>0</v>
      </c>
      <c r="O512">
        <f>B512*(hospitalityq!O512="")</f>
        <v>0</v>
      </c>
      <c r="P512">
        <f>B512*(hospitalityq!P512="")</f>
        <v>0</v>
      </c>
      <c r="Q512">
        <f>B512*(hospitalityq!Q512="")</f>
        <v>0</v>
      </c>
      <c r="R512">
        <f>B512*(hospitalityq!R512="")</f>
        <v>0</v>
      </c>
    </row>
    <row r="513" spans="1:18" x14ac:dyDescent="0.25">
      <c r="A513">
        <f t="shared" si="8"/>
        <v>0</v>
      </c>
      <c r="B513" t="b">
        <f>SUMPRODUCT(LEN(hospitalityq!C513:R513))&gt;0</f>
        <v>0</v>
      </c>
      <c r="C513">
        <f>B513*(hospitalityq!C513="")</f>
        <v>0</v>
      </c>
      <c r="E513">
        <f>B513*(hospitalityq!E513="")</f>
        <v>0</v>
      </c>
      <c r="F513">
        <f>B513*(hospitalityq!F513="")</f>
        <v>0</v>
      </c>
      <c r="G513">
        <f>B513*(hospitalityq!G513="")</f>
        <v>0</v>
      </c>
      <c r="H513">
        <f>B513*(hospitalityq!H513="")</f>
        <v>0</v>
      </c>
      <c r="I513">
        <f>B513*(hospitalityq!I513="")</f>
        <v>0</v>
      </c>
      <c r="J513">
        <f>B513*(hospitalityq!J513="")</f>
        <v>0</v>
      </c>
      <c r="K513">
        <f>B513*(hospitalityq!K513="")</f>
        <v>0</v>
      </c>
      <c r="L513">
        <f>B513*(hospitalityq!L513="")</f>
        <v>0</v>
      </c>
      <c r="M513">
        <f>B513*(hospitalityq!M513="")</f>
        <v>0</v>
      </c>
      <c r="N513">
        <f>B513*(hospitalityq!N513="")</f>
        <v>0</v>
      </c>
      <c r="O513">
        <f>B513*(hospitalityq!O513="")</f>
        <v>0</v>
      </c>
      <c r="P513">
        <f>B513*(hospitalityq!P513="")</f>
        <v>0</v>
      </c>
      <c r="Q513">
        <f>B513*(hospitalityq!Q513="")</f>
        <v>0</v>
      </c>
      <c r="R513">
        <f>B513*(hospitalityq!R513="")</f>
        <v>0</v>
      </c>
    </row>
    <row r="514" spans="1:18" x14ac:dyDescent="0.25">
      <c r="A514">
        <f t="shared" si="8"/>
        <v>0</v>
      </c>
      <c r="B514" t="b">
        <f>SUMPRODUCT(LEN(hospitalityq!C514:R514))&gt;0</f>
        <v>0</v>
      </c>
      <c r="C514">
        <f>B514*(hospitalityq!C514="")</f>
        <v>0</v>
      </c>
      <c r="E514">
        <f>B514*(hospitalityq!E514="")</f>
        <v>0</v>
      </c>
      <c r="F514">
        <f>B514*(hospitalityq!F514="")</f>
        <v>0</v>
      </c>
      <c r="G514">
        <f>B514*(hospitalityq!G514="")</f>
        <v>0</v>
      </c>
      <c r="H514">
        <f>B514*(hospitalityq!H514="")</f>
        <v>0</v>
      </c>
      <c r="I514">
        <f>B514*(hospitalityq!I514="")</f>
        <v>0</v>
      </c>
      <c r="J514">
        <f>B514*(hospitalityq!J514="")</f>
        <v>0</v>
      </c>
      <c r="K514">
        <f>B514*(hospitalityq!K514="")</f>
        <v>0</v>
      </c>
      <c r="L514">
        <f>B514*(hospitalityq!L514="")</f>
        <v>0</v>
      </c>
      <c r="M514">
        <f>B514*(hospitalityq!M514="")</f>
        <v>0</v>
      </c>
      <c r="N514">
        <f>B514*(hospitalityq!N514="")</f>
        <v>0</v>
      </c>
      <c r="O514">
        <f>B514*(hospitalityq!O514="")</f>
        <v>0</v>
      </c>
      <c r="P514">
        <f>B514*(hospitalityq!P514="")</f>
        <v>0</v>
      </c>
      <c r="Q514">
        <f>B514*(hospitalityq!Q514="")</f>
        <v>0</v>
      </c>
      <c r="R514">
        <f>B514*(hospitalityq!R514="")</f>
        <v>0</v>
      </c>
    </row>
    <row r="515" spans="1:18" x14ac:dyDescent="0.25">
      <c r="A515">
        <f t="shared" si="8"/>
        <v>0</v>
      </c>
      <c r="B515" t="b">
        <f>SUMPRODUCT(LEN(hospitalityq!C515:R515))&gt;0</f>
        <v>0</v>
      </c>
      <c r="C515">
        <f>B515*(hospitalityq!C515="")</f>
        <v>0</v>
      </c>
      <c r="E515">
        <f>B515*(hospitalityq!E515="")</f>
        <v>0</v>
      </c>
      <c r="F515">
        <f>B515*(hospitalityq!F515="")</f>
        <v>0</v>
      </c>
      <c r="G515">
        <f>B515*(hospitalityq!G515="")</f>
        <v>0</v>
      </c>
      <c r="H515">
        <f>B515*(hospitalityq!H515="")</f>
        <v>0</v>
      </c>
      <c r="I515">
        <f>B515*(hospitalityq!I515="")</f>
        <v>0</v>
      </c>
      <c r="J515">
        <f>B515*(hospitalityq!J515="")</f>
        <v>0</v>
      </c>
      <c r="K515">
        <f>B515*(hospitalityq!K515="")</f>
        <v>0</v>
      </c>
      <c r="L515">
        <f>B515*(hospitalityq!L515="")</f>
        <v>0</v>
      </c>
      <c r="M515">
        <f>B515*(hospitalityq!M515="")</f>
        <v>0</v>
      </c>
      <c r="N515">
        <f>B515*(hospitalityq!N515="")</f>
        <v>0</v>
      </c>
      <c r="O515">
        <f>B515*(hospitalityq!O515="")</f>
        <v>0</v>
      </c>
      <c r="P515">
        <f>B515*(hospitalityq!P515="")</f>
        <v>0</v>
      </c>
      <c r="Q515">
        <f>B515*(hospitalityq!Q515="")</f>
        <v>0</v>
      </c>
      <c r="R515">
        <f>B515*(hospitalityq!R515="")</f>
        <v>0</v>
      </c>
    </row>
    <row r="516" spans="1:18" x14ac:dyDescent="0.25">
      <c r="A516">
        <f t="shared" si="8"/>
        <v>0</v>
      </c>
      <c r="B516" t="b">
        <f>SUMPRODUCT(LEN(hospitalityq!C516:R516))&gt;0</f>
        <v>0</v>
      </c>
      <c r="C516">
        <f>B516*(hospitalityq!C516="")</f>
        <v>0</v>
      </c>
      <c r="E516">
        <f>B516*(hospitalityq!E516="")</f>
        <v>0</v>
      </c>
      <c r="F516">
        <f>B516*(hospitalityq!F516="")</f>
        <v>0</v>
      </c>
      <c r="G516">
        <f>B516*(hospitalityq!G516="")</f>
        <v>0</v>
      </c>
      <c r="H516">
        <f>B516*(hospitalityq!H516="")</f>
        <v>0</v>
      </c>
      <c r="I516">
        <f>B516*(hospitalityq!I516="")</f>
        <v>0</v>
      </c>
      <c r="J516">
        <f>B516*(hospitalityq!J516="")</f>
        <v>0</v>
      </c>
      <c r="K516">
        <f>B516*(hospitalityq!K516="")</f>
        <v>0</v>
      </c>
      <c r="L516">
        <f>B516*(hospitalityq!L516="")</f>
        <v>0</v>
      </c>
      <c r="M516">
        <f>B516*(hospitalityq!M516="")</f>
        <v>0</v>
      </c>
      <c r="N516">
        <f>B516*(hospitalityq!N516="")</f>
        <v>0</v>
      </c>
      <c r="O516">
        <f>B516*(hospitalityq!O516="")</f>
        <v>0</v>
      </c>
      <c r="P516">
        <f>B516*(hospitalityq!P516="")</f>
        <v>0</v>
      </c>
      <c r="Q516">
        <f>B516*(hospitalityq!Q516="")</f>
        <v>0</v>
      </c>
      <c r="R516">
        <f>B516*(hospitalityq!R516="")</f>
        <v>0</v>
      </c>
    </row>
    <row r="517" spans="1:18" x14ac:dyDescent="0.25">
      <c r="A517">
        <f t="shared" si="8"/>
        <v>0</v>
      </c>
      <c r="B517" t="b">
        <f>SUMPRODUCT(LEN(hospitalityq!C517:R517))&gt;0</f>
        <v>0</v>
      </c>
      <c r="C517">
        <f>B517*(hospitalityq!C517="")</f>
        <v>0</v>
      </c>
      <c r="E517">
        <f>B517*(hospitalityq!E517="")</f>
        <v>0</v>
      </c>
      <c r="F517">
        <f>B517*(hospitalityq!F517="")</f>
        <v>0</v>
      </c>
      <c r="G517">
        <f>B517*(hospitalityq!G517="")</f>
        <v>0</v>
      </c>
      <c r="H517">
        <f>B517*(hospitalityq!H517="")</f>
        <v>0</v>
      </c>
      <c r="I517">
        <f>B517*(hospitalityq!I517="")</f>
        <v>0</v>
      </c>
      <c r="J517">
        <f>B517*(hospitalityq!J517="")</f>
        <v>0</v>
      </c>
      <c r="K517">
        <f>B517*(hospitalityq!K517="")</f>
        <v>0</v>
      </c>
      <c r="L517">
        <f>B517*(hospitalityq!L517="")</f>
        <v>0</v>
      </c>
      <c r="M517">
        <f>B517*(hospitalityq!M517="")</f>
        <v>0</v>
      </c>
      <c r="N517">
        <f>B517*(hospitalityq!N517="")</f>
        <v>0</v>
      </c>
      <c r="O517">
        <f>B517*(hospitalityq!O517="")</f>
        <v>0</v>
      </c>
      <c r="P517">
        <f>B517*(hospitalityq!P517="")</f>
        <v>0</v>
      </c>
      <c r="Q517">
        <f>B517*(hospitalityq!Q517="")</f>
        <v>0</v>
      </c>
      <c r="R517">
        <f>B517*(hospitalityq!R517="")</f>
        <v>0</v>
      </c>
    </row>
    <row r="518" spans="1:18" x14ac:dyDescent="0.25">
      <c r="A518">
        <f t="shared" ref="A518:A581" si="9">IFERROR(MATCH(TRUE,INDEX(C518:R518&lt;&gt;0,),)+2,0)</f>
        <v>0</v>
      </c>
      <c r="B518" t="b">
        <f>SUMPRODUCT(LEN(hospitalityq!C518:R518))&gt;0</f>
        <v>0</v>
      </c>
      <c r="C518">
        <f>B518*(hospitalityq!C518="")</f>
        <v>0</v>
      </c>
      <c r="E518">
        <f>B518*(hospitalityq!E518="")</f>
        <v>0</v>
      </c>
      <c r="F518">
        <f>B518*(hospitalityq!F518="")</f>
        <v>0</v>
      </c>
      <c r="G518">
        <f>B518*(hospitalityq!G518="")</f>
        <v>0</v>
      </c>
      <c r="H518">
        <f>B518*(hospitalityq!H518="")</f>
        <v>0</v>
      </c>
      <c r="I518">
        <f>B518*(hospitalityq!I518="")</f>
        <v>0</v>
      </c>
      <c r="J518">
        <f>B518*(hospitalityq!J518="")</f>
        <v>0</v>
      </c>
      <c r="K518">
        <f>B518*(hospitalityq!K518="")</f>
        <v>0</v>
      </c>
      <c r="L518">
        <f>B518*(hospitalityq!L518="")</f>
        <v>0</v>
      </c>
      <c r="M518">
        <f>B518*(hospitalityq!M518="")</f>
        <v>0</v>
      </c>
      <c r="N518">
        <f>B518*(hospitalityq!N518="")</f>
        <v>0</v>
      </c>
      <c r="O518">
        <f>B518*(hospitalityq!O518="")</f>
        <v>0</v>
      </c>
      <c r="P518">
        <f>B518*(hospitalityq!P518="")</f>
        <v>0</v>
      </c>
      <c r="Q518">
        <f>B518*(hospitalityq!Q518="")</f>
        <v>0</v>
      </c>
      <c r="R518">
        <f>B518*(hospitalityq!R518="")</f>
        <v>0</v>
      </c>
    </row>
    <row r="519" spans="1:18" x14ac:dyDescent="0.25">
      <c r="A519">
        <f t="shared" si="9"/>
        <v>0</v>
      </c>
      <c r="B519" t="b">
        <f>SUMPRODUCT(LEN(hospitalityq!C519:R519))&gt;0</f>
        <v>0</v>
      </c>
      <c r="C519">
        <f>B519*(hospitalityq!C519="")</f>
        <v>0</v>
      </c>
      <c r="E519">
        <f>B519*(hospitalityq!E519="")</f>
        <v>0</v>
      </c>
      <c r="F519">
        <f>B519*(hospitalityq!F519="")</f>
        <v>0</v>
      </c>
      <c r="G519">
        <f>B519*(hospitalityq!G519="")</f>
        <v>0</v>
      </c>
      <c r="H519">
        <f>B519*(hospitalityq!H519="")</f>
        <v>0</v>
      </c>
      <c r="I519">
        <f>B519*(hospitalityq!I519="")</f>
        <v>0</v>
      </c>
      <c r="J519">
        <f>B519*(hospitalityq!J519="")</f>
        <v>0</v>
      </c>
      <c r="K519">
        <f>B519*(hospitalityq!K519="")</f>
        <v>0</v>
      </c>
      <c r="L519">
        <f>B519*(hospitalityq!L519="")</f>
        <v>0</v>
      </c>
      <c r="M519">
        <f>B519*(hospitalityq!M519="")</f>
        <v>0</v>
      </c>
      <c r="N519">
        <f>B519*(hospitalityq!N519="")</f>
        <v>0</v>
      </c>
      <c r="O519">
        <f>B519*(hospitalityq!O519="")</f>
        <v>0</v>
      </c>
      <c r="P519">
        <f>B519*(hospitalityq!P519="")</f>
        <v>0</v>
      </c>
      <c r="Q519">
        <f>B519*(hospitalityq!Q519="")</f>
        <v>0</v>
      </c>
      <c r="R519">
        <f>B519*(hospitalityq!R519="")</f>
        <v>0</v>
      </c>
    </row>
    <row r="520" spans="1:18" x14ac:dyDescent="0.25">
      <c r="A520">
        <f t="shared" si="9"/>
        <v>0</v>
      </c>
      <c r="B520" t="b">
        <f>SUMPRODUCT(LEN(hospitalityq!C520:R520))&gt;0</f>
        <v>0</v>
      </c>
      <c r="C520">
        <f>B520*(hospitalityq!C520="")</f>
        <v>0</v>
      </c>
      <c r="E520">
        <f>B520*(hospitalityq!E520="")</f>
        <v>0</v>
      </c>
      <c r="F520">
        <f>B520*(hospitalityq!F520="")</f>
        <v>0</v>
      </c>
      <c r="G520">
        <f>B520*(hospitalityq!G520="")</f>
        <v>0</v>
      </c>
      <c r="H520">
        <f>B520*(hospitalityq!H520="")</f>
        <v>0</v>
      </c>
      <c r="I520">
        <f>B520*(hospitalityq!I520="")</f>
        <v>0</v>
      </c>
      <c r="J520">
        <f>B520*(hospitalityq!J520="")</f>
        <v>0</v>
      </c>
      <c r="K520">
        <f>B520*(hospitalityq!K520="")</f>
        <v>0</v>
      </c>
      <c r="L520">
        <f>B520*(hospitalityq!L520="")</f>
        <v>0</v>
      </c>
      <c r="M520">
        <f>B520*(hospitalityq!M520="")</f>
        <v>0</v>
      </c>
      <c r="N520">
        <f>B520*(hospitalityq!N520="")</f>
        <v>0</v>
      </c>
      <c r="O520">
        <f>B520*(hospitalityq!O520="")</f>
        <v>0</v>
      </c>
      <c r="P520">
        <f>B520*(hospitalityq!P520="")</f>
        <v>0</v>
      </c>
      <c r="Q520">
        <f>B520*(hospitalityq!Q520="")</f>
        <v>0</v>
      </c>
      <c r="R520">
        <f>B520*(hospitalityq!R520="")</f>
        <v>0</v>
      </c>
    </row>
    <row r="521" spans="1:18" x14ac:dyDescent="0.25">
      <c r="A521">
        <f t="shared" si="9"/>
        <v>0</v>
      </c>
      <c r="B521" t="b">
        <f>SUMPRODUCT(LEN(hospitalityq!C521:R521))&gt;0</f>
        <v>0</v>
      </c>
      <c r="C521">
        <f>B521*(hospitalityq!C521="")</f>
        <v>0</v>
      </c>
      <c r="E521">
        <f>B521*(hospitalityq!E521="")</f>
        <v>0</v>
      </c>
      <c r="F521">
        <f>B521*(hospitalityq!F521="")</f>
        <v>0</v>
      </c>
      <c r="G521">
        <f>B521*(hospitalityq!G521="")</f>
        <v>0</v>
      </c>
      <c r="H521">
        <f>B521*(hospitalityq!H521="")</f>
        <v>0</v>
      </c>
      <c r="I521">
        <f>B521*(hospitalityq!I521="")</f>
        <v>0</v>
      </c>
      <c r="J521">
        <f>B521*(hospitalityq!J521="")</f>
        <v>0</v>
      </c>
      <c r="K521">
        <f>B521*(hospitalityq!K521="")</f>
        <v>0</v>
      </c>
      <c r="L521">
        <f>B521*(hospitalityq!L521="")</f>
        <v>0</v>
      </c>
      <c r="M521">
        <f>B521*(hospitalityq!M521="")</f>
        <v>0</v>
      </c>
      <c r="N521">
        <f>B521*(hospitalityq!N521="")</f>
        <v>0</v>
      </c>
      <c r="O521">
        <f>B521*(hospitalityq!O521="")</f>
        <v>0</v>
      </c>
      <c r="P521">
        <f>B521*(hospitalityq!P521="")</f>
        <v>0</v>
      </c>
      <c r="Q521">
        <f>B521*(hospitalityq!Q521="")</f>
        <v>0</v>
      </c>
      <c r="R521">
        <f>B521*(hospitalityq!R521="")</f>
        <v>0</v>
      </c>
    </row>
    <row r="522" spans="1:18" x14ac:dyDescent="0.25">
      <c r="A522">
        <f t="shared" si="9"/>
        <v>0</v>
      </c>
      <c r="B522" t="b">
        <f>SUMPRODUCT(LEN(hospitalityq!C522:R522))&gt;0</f>
        <v>0</v>
      </c>
      <c r="C522">
        <f>B522*(hospitalityq!C522="")</f>
        <v>0</v>
      </c>
      <c r="E522">
        <f>B522*(hospitalityq!E522="")</f>
        <v>0</v>
      </c>
      <c r="F522">
        <f>B522*(hospitalityq!F522="")</f>
        <v>0</v>
      </c>
      <c r="G522">
        <f>B522*(hospitalityq!G522="")</f>
        <v>0</v>
      </c>
      <c r="H522">
        <f>B522*(hospitalityq!H522="")</f>
        <v>0</v>
      </c>
      <c r="I522">
        <f>B522*(hospitalityq!I522="")</f>
        <v>0</v>
      </c>
      <c r="J522">
        <f>B522*(hospitalityq!J522="")</f>
        <v>0</v>
      </c>
      <c r="K522">
        <f>B522*(hospitalityq!K522="")</f>
        <v>0</v>
      </c>
      <c r="L522">
        <f>B522*(hospitalityq!L522="")</f>
        <v>0</v>
      </c>
      <c r="M522">
        <f>B522*(hospitalityq!M522="")</f>
        <v>0</v>
      </c>
      <c r="N522">
        <f>B522*(hospitalityq!N522="")</f>
        <v>0</v>
      </c>
      <c r="O522">
        <f>B522*(hospitalityq!O522="")</f>
        <v>0</v>
      </c>
      <c r="P522">
        <f>B522*(hospitalityq!P522="")</f>
        <v>0</v>
      </c>
      <c r="Q522">
        <f>B522*(hospitalityq!Q522="")</f>
        <v>0</v>
      </c>
      <c r="R522">
        <f>B522*(hospitalityq!R522="")</f>
        <v>0</v>
      </c>
    </row>
    <row r="523" spans="1:18" x14ac:dyDescent="0.25">
      <c r="A523">
        <f t="shared" si="9"/>
        <v>0</v>
      </c>
      <c r="B523" t="b">
        <f>SUMPRODUCT(LEN(hospitalityq!C523:R523))&gt;0</f>
        <v>0</v>
      </c>
      <c r="C523">
        <f>B523*(hospitalityq!C523="")</f>
        <v>0</v>
      </c>
      <c r="E523">
        <f>B523*(hospitalityq!E523="")</f>
        <v>0</v>
      </c>
      <c r="F523">
        <f>B523*(hospitalityq!F523="")</f>
        <v>0</v>
      </c>
      <c r="G523">
        <f>B523*(hospitalityq!G523="")</f>
        <v>0</v>
      </c>
      <c r="H523">
        <f>B523*(hospitalityq!H523="")</f>
        <v>0</v>
      </c>
      <c r="I523">
        <f>B523*(hospitalityq!I523="")</f>
        <v>0</v>
      </c>
      <c r="J523">
        <f>B523*(hospitalityq!J523="")</f>
        <v>0</v>
      </c>
      <c r="K523">
        <f>B523*(hospitalityq!K523="")</f>
        <v>0</v>
      </c>
      <c r="L523">
        <f>B523*(hospitalityq!L523="")</f>
        <v>0</v>
      </c>
      <c r="M523">
        <f>B523*(hospitalityq!M523="")</f>
        <v>0</v>
      </c>
      <c r="N523">
        <f>B523*(hospitalityq!N523="")</f>
        <v>0</v>
      </c>
      <c r="O523">
        <f>B523*(hospitalityq!O523="")</f>
        <v>0</v>
      </c>
      <c r="P523">
        <f>B523*(hospitalityq!P523="")</f>
        <v>0</v>
      </c>
      <c r="Q523">
        <f>B523*(hospitalityq!Q523="")</f>
        <v>0</v>
      </c>
      <c r="R523">
        <f>B523*(hospitalityq!R523="")</f>
        <v>0</v>
      </c>
    </row>
    <row r="524" spans="1:18" x14ac:dyDescent="0.25">
      <c r="A524">
        <f t="shared" si="9"/>
        <v>0</v>
      </c>
      <c r="B524" t="b">
        <f>SUMPRODUCT(LEN(hospitalityq!C524:R524))&gt;0</f>
        <v>0</v>
      </c>
      <c r="C524">
        <f>B524*(hospitalityq!C524="")</f>
        <v>0</v>
      </c>
      <c r="E524">
        <f>B524*(hospitalityq!E524="")</f>
        <v>0</v>
      </c>
      <c r="F524">
        <f>B524*(hospitalityq!F524="")</f>
        <v>0</v>
      </c>
      <c r="G524">
        <f>B524*(hospitalityq!G524="")</f>
        <v>0</v>
      </c>
      <c r="H524">
        <f>B524*(hospitalityq!H524="")</f>
        <v>0</v>
      </c>
      <c r="I524">
        <f>B524*(hospitalityq!I524="")</f>
        <v>0</v>
      </c>
      <c r="J524">
        <f>B524*(hospitalityq!J524="")</f>
        <v>0</v>
      </c>
      <c r="K524">
        <f>B524*(hospitalityq!K524="")</f>
        <v>0</v>
      </c>
      <c r="L524">
        <f>B524*(hospitalityq!L524="")</f>
        <v>0</v>
      </c>
      <c r="M524">
        <f>B524*(hospitalityq!M524="")</f>
        <v>0</v>
      </c>
      <c r="N524">
        <f>B524*(hospitalityq!N524="")</f>
        <v>0</v>
      </c>
      <c r="O524">
        <f>B524*(hospitalityq!O524="")</f>
        <v>0</v>
      </c>
      <c r="P524">
        <f>B524*(hospitalityq!P524="")</f>
        <v>0</v>
      </c>
      <c r="Q524">
        <f>B524*(hospitalityq!Q524="")</f>
        <v>0</v>
      </c>
      <c r="R524">
        <f>B524*(hospitalityq!R524="")</f>
        <v>0</v>
      </c>
    </row>
    <row r="525" spans="1:18" x14ac:dyDescent="0.25">
      <c r="A525">
        <f t="shared" si="9"/>
        <v>0</v>
      </c>
      <c r="B525" t="b">
        <f>SUMPRODUCT(LEN(hospitalityq!C525:R525))&gt;0</f>
        <v>0</v>
      </c>
      <c r="C525">
        <f>B525*(hospitalityq!C525="")</f>
        <v>0</v>
      </c>
      <c r="E525">
        <f>B525*(hospitalityq!E525="")</f>
        <v>0</v>
      </c>
      <c r="F525">
        <f>B525*(hospitalityq!F525="")</f>
        <v>0</v>
      </c>
      <c r="G525">
        <f>B525*(hospitalityq!G525="")</f>
        <v>0</v>
      </c>
      <c r="H525">
        <f>B525*(hospitalityq!H525="")</f>
        <v>0</v>
      </c>
      <c r="I525">
        <f>B525*(hospitalityq!I525="")</f>
        <v>0</v>
      </c>
      <c r="J525">
        <f>B525*(hospitalityq!J525="")</f>
        <v>0</v>
      </c>
      <c r="K525">
        <f>B525*(hospitalityq!K525="")</f>
        <v>0</v>
      </c>
      <c r="L525">
        <f>B525*(hospitalityq!L525="")</f>
        <v>0</v>
      </c>
      <c r="M525">
        <f>B525*(hospitalityq!M525="")</f>
        <v>0</v>
      </c>
      <c r="N525">
        <f>B525*(hospitalityq!N525="")</f>
        <v>0</v>
      </c>
      <c r="O525">
        <f>B525*(hospitalityq!O525="")</f>
        <v>0</v>
      </c>
      <c r="P525">
        <f>B525*(hospitalityq!P525="")</f>
        <v>0</v>
      </c>
      <c r="Q525">
        <f>B525*(hospitalityq!Q525="")</f>
        <v>0</v>
      </c>
      <c r="R525">
        <f>B525*(hospitalityq!R525="")</f>
        <v>0</v>
      </c>
    </row>
    <row r="526" spans="1:18" x14ac:dyDescent="0.25">
      <c r="A526">
        <f t="shared" si="9"/>
        <v>0</v>
      </c>
      <c r="B526" t="b">
        <f>SUMPRODUCT(LEN(hospitalityq!C526:R526))&gt;0</f>
        <v>0</v>
      </c>
      <c r="C526">
        <f>B526*(hospitalityq!C526="")</f>
        <v>0</v>
      </c>
      <c r="E526">
        <f>B526*(hospitalityq!E526="")</f>
        <v>0</v>
      </c>
      <c r="F526">
        <f>B526*(hospitalityq!F526="")</f>
        <v>0</v>
      </c>
      <c r="G526">
        <f>B526*(hospitalityq!G526="")</f>
        <v>0</v>
      </c>
      <c r="H526">
        <f>B526*(hospitalityq!H526="")</f>
        <v>0</v>
      </c>
      <c r="I526">
        <f>B526*(hospitalityq!I526="")</f>
        <v>0</v>
      </c>
      <c r="J526">
        <f>B526*(hospitalityq!J526="")</f>
        <v>0</v>
      </c>
      <c r="K526">
        <f>B526*(hospitalityq!K526="")</f>
        <v>0</v>
      </c>
      <c r="L526">
        <f>B526*(hospitalityq!L526="")</f>
        <v>0</v>
      </c>
      <c r="M526">
        <f>B526*(hospitalityq!M526="")</f>
        <v>0</v>
      </c>
      <c r="N526">
        <f>B526*(hospitalityq!N526="")</f>
        <v>0</v>
      </c>
      <c r="O526">
        <f>B526*(hospitalityq!O526="")</f>
        <v>0</v>
      </c>
      <c r="P526">
        <f>B526*(hospitalityq!P526="")</f>
        <v>0</v>
      </c>
      <c r="Q526">
        <f>B526*(hospitalityq!Q526="")</f>
        <v>0</v>
      </c>
      <c r="R526">
        <f>B526*(hospitalityq!R526="")</f>
        <v>0</v>
      </c>
    </row>
    <row r="527" spans="1:18" x14ac:dyDescent="0.25">
      <c r="A527">
        <f t="shared" si="9"/>
        <v>0</v>
      </c>
      <c r="B527" t="b">
        <f>SUMPRODUCT(LEN(hospitalityq!C527:R527))&gt;0</f>
        <v>0</v>
      </c>
      <c r="C527">
        <f>B527*(hospitalityq!C527="")</f>
        <v>0</v>
      </c>
      <c r="E527">
        <f>B527*(hospitalityq!E527="")</f>
        <v>0</v>
      </c>
      <c r="F527">
        <f>B527*(hospitalityq!F527="")</f>
        <v>0</v>
      </c>
      <c r="G527">
        <f>B527*(hospitalityq!G527="")</f>
        <v>0</v>
      </c>
      <c r="H527">
        <f>B527*(hospitalityq!H527="")</f>
        <v>0</v>
      </c>
      <c r="I527">
        <f>B527*(hospitalityq!I527="")</f>
        <v>0</v>
      </c>
      <c r="J527">
        <f>B527*(hospitalityq!J527="")</f>
        <v>0</v>
      </c>
      <c r="K527">
        <f>B527*(hospitalityq!K527="")</f>
        <v>0</v>
      </c>
      <c r="L527">
        <f>B527*(hospitalityq!L527="")</f>
        <v>0</v>
      </c>
      <c r="M527">
        <f>B527*(hospitalityq!M527="")</f>
        <v>0</v>
      </c>
      <c r="N527">
        <f>B527*(hospitalityq!N527="")</f>
        <v>0</v>
      </c>
      <c r="O527">
        <f>B527*(hospitalityq!O527="")</f>
        <v>0</v>
      </c>
      <c r="P527">
        <f>B527*(hospitalityq!P527="")</f>
        <v>0</v>
      </c>
      <c r="Q527">
        <f>B527*(hospitalityq!Q527="")</f>
        <v>0</v>
      </c>
      <c r="R527">
        <f>B527*(hospitalityq!R527="")</f>
        <v>0</v>
      </c>
    </row>
    <row r="528" spans="1:18" x14ac:dyDescent="0.25">
      <c r="A528">
        <f t="shared" si="9"/>
        <v>0</v>
      </c>
      <c r="B528" t="b">
        <f>SUMPRODUCT(LEN(hospitalityq!C528:R528))&gt;0</f>
        <v>0</v>
      </c>
      <c r="C528">
        <f>B528*(hospitalityq!C528="")</f>
        <v>0</v>
      </c>
      <c r="E528">
        <f>B528*(hospitalityq!E528="")</f>
        <v>0</v>
      </c>
      <c r="F528">
        <f>B528*(hospitalityq!F528="")</f>
        <v>0</v>
      </c>
      <c r="G528">
        <f>B528*(hospitalityq!G528="")</f>
        <v>0</v>
      </c>
      <c r="H528">
        <f>B528*(hospitalityq!H528="")</f>
        <v>0</v>
      </c>
      <c r="I528">
        <f>B528*(hospitalityq!I528="")</f>
        <v>0</v>
      </c>
      <c r="J528">
        <f>B528*(hospitalityq!J528="")</f>
        <v>0</v>
      </c>
      <c r="K528">
        <f>B528*(hospitalityq!K528="")</f>
        <v>0</v>
      </c>
      <c r="L528">
        <f>B528*(hospitalityq!L528="")</f>
        <v>0</v>
      </c>
      <c r="M528">
        <f>B528*(hospitalityq!M528="")</f>
        <v>0</v>
      </c>
      <c r="N528">
        <f>B528*(hospitalityq!N528="")</f>
        <v>0</v>
      </c>
      <c r="O528">
        <f>B528*(hospitalityq!O528="")</f>
        <v>0</v>
      </c>
      <c r="P528">
        <f>B528*(hospitalityq!P528="")</f>
        <v>0</v>
      </c>
      <c r="Q528">
        <f>B528*(hospitalityq!Q528="")</f>
        <v>0</v>
      </c>
      <c r="R528">
        <f>B528*(hospitalityq!R528="")</f>
        <v>0</v>
      </c>
    </row>
    <row r="529" spans="1:18" x14ac:dyDescent="0.25">
      <c r="A529">
        <f t="shared" si="9"/>
        <v>0</v>
      </c>
      <c r="B529" t="b">
        <f>SUMPRODUCT(LEN(hospitalityq!C529:R529))&gt;0</f>
        <v>0</v>
      </c>
      <c r="C529">
        <f>B529*(hospitalityq!C529="")</f>
        <v>0</v>
      </c>
      <c r="E529">
        <f>B529*(hospitalityq!E529="")</f>
        <v>0</v>
      </c>
      <c r="F529">
        <f>B529*(hospitalityq!F529="")</f>
        <v>0</v>
      </c>
      <c r="G529">
        <f>B529*(hospitalityq!G529="")</f>
        <v>0</v>
      </c>
      <c r="H529">
        <f>B529*(hospitalityq!H529="")</f>
        <v>0</v>
      </c>
      <c r="I529">
        <f>B529*(hospitalityq!I529="")</f>
        <v>0</v>
      </c>
      <c r="J529">
        <f>B529*(hospitalityq!J529="")</f>
        <v>0</v>
      </c>
      <c r="K529">
        <f>B529*(hospitalityq!K529="")</f>
        <v>0</v>
      </c>
      <c r="L529">
        <f>B529*(hospitalityq!L529="")</f>
        <v>0</v>
      </c>
      <c r="M529">
        <f>B529*(hospitalityq!M529="")</f>
        <v>0</v>
      </c>
      <c r="N529">
        <f>B529*(hospitalityq!N529="")</f>
        <v>0</v>
      </c>
      <c r="O529">
        <f>B529*(hospitalityq!O529="")</f>
        <v>0</v>
      </c>
      <c r="P529">
        <f>B529*(hospitalityq!P529="")</f>
        <v>0</v>
      </c>
      <c r="Q529">
        <f>B529*(hospitalityq!Q529="")</f>
        <v>0</v>
      </c>
      <c r="R529">
        <f>B529*(hospitalityq!R529="")</f>
        <v>0</v>
      </c>
    </row>
    <row r="530" spans="1:18" x14ac:dyDescent="0.25">
      <c r="A530">
        <f t="shared" si="9"/>
        <v>0</v>
      </c>
      <c r="B530" t="b">
        <f>SUMPRODUCT(LEN(hospitalityq!C530:R530))&gt;0</f>
        <v>0</v>
      </c>
      <c r="C530">
        <f>B530*(hospitalityq!C530="")</f>
        <v>0</v>
      </c>
      <c r="E530">
        <f>B530*(hospitalityq!E530="")</f>
        <v>0</v>
      </c>
      <c r="F530">
        <f>B530*(hospitalityq!F530="")</f>
        <v>0</v>
      </c>
      <c r="G530">
        <f>B530*(hospitalityq!G530="")</f>
        <v>0</v>
      </c>
      <c r="H530">
        <f>B530*(hospitalityq!H530="")</f>
        <v>0</v>
      </c>
      <c r="I530">
        <f>B530*(hospitalityq!I530="")</f>
        <v>0</v>
      </c>
      <c r="J530">
        <f>B530*(hospitalityq!J530="")</f>
        <v>0</v>
      </c>
      <c r="K530">
        <f>B530*(hospitalityq!K530="")</f>
        <v>0</v>
      </c>
      <c r="L530">
        <f>B530*(hospitalityq!L530="")</f>
        <v>0</v>
      </c>
      <c r="M530">
        <f>B530*(hospitalityq!M530="")</f>
        <v>0</v>
      </c>
      <c r="N530">
        <f>B530*(hospitalityq!N530="")</f>
        <v>0</v>
      </c>
      <c r="O530">
        <f>B530*(hospitalityq!O530="")</f>
        <v>0</v>
      </c>
      <c r="P530">
        <f>B530*(hospitalityq!P530="")</f>
        <v>0</v>
      </c>
      <c r="Q530">
        <f>B530*(hospitalityq!Q530="")</f>
        <v>0</v>
      </c>
      <c r="R530">
        <f>B530*(hospitalityq!R530="")</f>
        <v>0</v>
      </c>
    </row>
    <row r="531" spans="1:18" x14ac:dyDescent="0.25">
      <c r="A531">
        <f t="shared" si="9"/>
        <v>0</v>
      </c>
      <c r="B531" t="b">
        <f>SUMPRODUCT(LEN(hospitalityq!C531:R531))&gt;0</f>
        <v>0</v>
      </c>
      <c r="C531">
        <f>B531*(hospitalityq!C531="")</f>
        <v>0</v>
      </c>
      <c r="E531">
        <f>B531*(hospitalityq!E531="")</f>
        <v>0</v>
      </c>
      <c r="F531">
        <f>B531*(hospitalityq!F531="")</f>
        <v>0</v>
      </c>
      <c r="G531">
        <f>B531*(hospitalityq!G531="")</f>
        <v>0</v>
      </c>
      <c r="H531">
        <f>B531*(hospitalityq!H531="")</f>
        <v>0</v>
      </c>
      <c r="I531">
        <f>B531*(hospitalityq!I531="")</f>
        <v>0</v>
      </c>
      <c r="J531">
        <f>B531*(hospitalityq!J531="")</f>
        <v>0</v>
      </c>
      <c r="K531">
        <f>B531*(hospitalityq!K531="")</f>
        <v>0</v>
      </c>
      <c r="L531">
        <f>B531*(hospitalityq!L531="")</f>
        <v>0</v>
      </c>
      <c r="M531">
        <f>B531*(hospitalityq!M531="")</f>
        <v>0</v>
      </c>
      <c r="N531">
        <f>B531*(hospitalityq!N531="")</f>
        <v>0</v>
      </c>
      <c r="O531">
        <f>B531*(hospitalityq!O531="")</f>
        <v>0</v>
      </c>
      <c r="P531">
        <f>B531*(hospitalityq!P531="")</f>
        <v>0</v>
      </c>
      <c r="Q531">
        <f>B531*(hospitalityq!Q531="")</f>
        <v>0</v>
      </c>
      <c r="R531">
        <f>B531*(hospitalityq!R531="")</f>
        <v>0</v>
      </c>
    </row>
    <row r="532" spans="1:18" x14ac:dyDescent="0.25">
      <c r="A532">
        <f t="shared" si="9"/>
        <v>0</v>
      </c>
      <c r="B532" t="b">
        <f>SUMPRODUCT(LEN(hospitalityq!C532:R532))&gt;0</f>
        <v>0</v>
      </c>
      <c r="C532">
        <f>B532*(hospitalityq!C532="")</f>
        <v>0</v>
      </c>
      <c r="E532">
        <f>B532*(hospitalityq!E532="")</f>
        <v>0</v>
      </c>
      <c r="F532">
        <f>B532*(hospitalityq!F532="")</f>
        <v>0</v>
      </c>
      <c r="G532">
        <f>B532*(hospitalityq!G532="")</f>
        <v>0</v>
      </c>
      <c r="H532">
        <f>B532*(hospitalityq!H532="")</f>
        <v>0</v>
      </c>
      <c r="I532">
        <f>B532*(hospitalityq!I532="")</f>
        <v>0</v>
      </c>
      <c r="J532">
        <f>B532*(hospitalityq!J532="")</f>
        <v>0</v>
      </c>
      <c r="K532">
        <f>B532*(hospitalityq!K532="")</f>
        <v>0</v>
      </c>
      <c r="L532">
        <f>B532*(hospitalityq!L532="")</f>
        <v>0</v>
      </c>
      <c r="M532">
        <f>B532*(hospitalityq!M532="")</f>
        <v>0</v>
      </c>
      <c r="N532">
        <f>B532*(hospitalityq!N532="")</f>
        <v>0</v>
      </c>
      <c r="O532">
        <f>B532*(hospitalityq!O532="")</f>
        <v>0</v>
      </c>
      <c r="P532">
        <f>B532*(hospitalityq!P532="")</f>
        <v>0</v>
      </c>
      <c r="Q532">
        <f>B532*(hospitalityq!Q532="")</f>
        <v>0</v>
      </c>
      <c r="R532">
        <f>B532*(hospitalityq!R532="")</f>
        <v>0</v>
      </c>
    </row>
    <row r="533" spans="1:18" x14ac:dyDescent="0.25">
      <c r="A533">
        <f t="shared" si="9"/>
        <v>0</v>
      </c>
      <c r="B533" t="b">
        <f>SUMPRODUCT(LEN(hospitalityq!C533:R533))&gt;0</f>
        <v>0</v>
      </c>
      <c r="C533">
        <f>B533*(hospitalityq!C533="")</f>
        <v>0</v>
      </c>
      <c r="E533">
        <f>B533*(hospitalityq!E533="")</f>
        <v>0</v>
      </c>
      <c r="F533">
        <f>B533*(hospitalityq!F533="")</f>
        <v>0</v>
      </c>
      <c r="G533">
        <f>B533*(hospitalityq!G533="")</f>
        <v>0</v>
      </c>
      <c r="H533">
        <f>B533*(hospitalityq!H533="")</f>
        <v>0</v>
      </c>
      <c r="I533">
        <f>B533*(hospitalityq!I533="")</f>
        <v>0</v>
      </c>
      <c r="J533">
        <f>B533*(hospitalityq!J533="")</f>
        <v>0</v>
      </c>
      <c r="K533">
        <f>B533*(hospitalityq!K533="")</f>
        <v>0</v>
      </c>
      <c r="L533">
        <f>B533*(hospitalityq!L533="")</f>
        <v>0</v>
      </c>
      <c r="M533">
        <f>B533*(hospitalityq!M533="")</f>
        <v>0</v>
      </c>
      <c r="N533">
        <f>B533*(hospitalityq!N533="")</f>
        <v>0</v>
      </c>
      <c r="O533">
        <f>B533*(hospitalityq!O533="")</f>
        <v>0</v>
      </c>
      <c r="P533">
        <f>B533*(hospitalityq!P533="")</f>
        <v>0</v>
      </c>
      <c r="Q533">
        <f>B533*(hospitalityq!Q533="")</f>
        <v>0</v>
      </c>
      <c r="R533">
        <f>B533*(hospitalityq!R533="")</f>
        <v>0</v>
      </c>
    </row>
    <row r="534" spans="1:18" x14ac:dyDescent="0.25">
      <c r="A534">
        <f t="shared" si="9"/>
        <v>0</v>
      </c>
      <c r="B534" t="b">
        <f>SUMPRODUCT(LEN(hospitalityq!C534:R534))&gt;0</f>
        <v>0</v>
      </c>
      <c r="C534">
        <f>B534*(hospitalityq!C534="")</f>
        <v>0</v>
      </c>
      <c r="E534">
        <f>B534*(hospitalityq!E534="")</f>
        <v>0</v>
      </c>
      <c r="F534">
        <f>B534*(hospitalityq!F534="")</f>
        <v>0</v>
      </c>
      <c r="G534">
        <f>B534*(hospitalityq!G534="")</f>
        <v>0</v>
      </c>
      <c r="H534">
        <f>B534*(hospitalityq!H534="")</f>
        <v>0</v>
      </c>
      <c r="I534">
        <f>B534*(hospitalityq!I534="")</f>
        <v>0</v>
      </c>
      <c r="J534">
        <f>B534*(hospitalityq!J534="")</f>
        <v>0</v>
      </c>
      <c r="K534">
        <f>B534*(hospitalityq!K534="")</f>
        <v>0</v>
      </c>
      <c r="L534">
        <f>B534*(hospitalityq!L534="")</f>
        <v>0</v>
      </c>
      <c r="M534">
        <f>B534*(hospitalityq!M534="")</f>
        <v>0</v>
      </c>
      <c r="N534">
        <f>B534*(hospitalityq!N534="")</f>
        <v>0</v>
      </c>
      <c r="O534">
        <f>B534*(hospitalityq!O534="")</f>
        <v>0</v>
      </c>
      <c r="P534">
        <f>B534*(hospitalityq!P534="")</f>
        <v>0</v>
      </c>
      <c r="Q534">
        <f>B534*(hospitalityq!Q534="")</f>
        <v>0</v>
      </c>
      <c r="R534">
        <f>B534*(hospitalityq!R534="")</f>
        <v>0</v>
      </c>
    </row>
    <row r="535" spans="1:18" x14ac:dyDescent="0.25">
      <c r="A535">
        <f t="shared" si="9"/>
        <v>0</v>
      </c>
      <c r="B535" t="b">
        <f>SUMPRODUCT(LEN(hospitalityq!C535:R535))&gt;0</f>
        <v>0</v>
      </c>
      <c r="C535">
        <f>B535*(hospitalityq!C535="")</f>
        <v>0</v>
      </c>
      <c r="E535">
        <f>B535*(hospitalityq!E535="")</f>
        <v>0</v>
      </c>
      <c r="F535">
        <f>B535*(hospitalityq!F535="")</f>
        <v>0</v>
      </c>
      <c r="G535">
        <f>B535*(hospitalityq!G535="")</f>
        <v>0</v>
      </c>
      <c r="H535">
        <f>B535*(hospitalityq!H535="")</f>
        <v>0</v>
      </c>
      <c r="I535">
        <f>B535*(hospitalityq!I535="")</f>
        <v>0</v>
      </c>
      <c r="J535">
        <f>B535*(hospitalityq!J535="")</f>
        <v>0</v>
      </c>
      <c r="K535">
        <f>B535*(hospitalityq!K535="")</f>
        <v>0</v>
      </c>
      <c r="L535">
        <f>B535*(hospitalityq!L535="")</f>
        <v>0</v>
      </c>
      <c r="M535">
        <f>B535*(hospitalityq!M535="")</f>
        <v>0</v>
      </c>
      <c r="N535">
        <f>B535*(hospitalityq!N535="")</f>
        <v>0</v>
      </c>
      <c r="O535">
        <f>B535*(hospitalityq!O535="")</f>
        <v>0</v>
      </c>
      <c r="P535">
        <f>B535*(hospitalityq!P535="")</f>
        <v>0</v>
      </c>
      <c r="Q535">
        <f>B535*(hospitalityq!Q535="")</f>
        <v>0</v>
      </c>
      <c r="R535">
        <f>B535*(hospitalityq!R535="")</f>
        <v>0</v>
      </c>
    </row>
    <row r="536" spans="1:18" x14ac:dyDescent="0.25">
      <c r="A536">
        <f t="shared" si="9"/>
        <v>0</v>
      </c>
      <c r="B536" t="b">
        <f>SUMPRODUCT(LEN(hospitalityq!C536:R536))&gt;0</f>
        <v>0</v>
      </c>
      <c r="C536">
        <f>B536*(hospitalityq!C536="")</f>
        <v>0</v>
      </c>
      <c r="E536">
        <f>B536*(hospitalityq!E536="")</f>
        <v>0</v>
      </c>
      <c r="F536">
        <f>B536*(hospitalityq!F536="")</f>
        <v>0</v>
      </c>
      <c r="G536">
        <f>B536*(hospitalityq!G536="")</f>
        <v>0</v>
      </c>
      <c r="H536">
        <f>B536*(hospitalityq!H536="")</f>
        <v>0</v>
      </c>
      <c r="I536">
        <f>B536*(hospitalityq!I536="")</f>
        <v>0</v>
      </c>
      <c r="J536">
        <f>B536*(hospitalityq!J536="")</f>
        <v>0</v>
      </c>
      <c r="K536">
        <f>B536*(hospitalityq!K536="")</f>
        <v>0</v>
      </c>
      <c r="L536">
        <f>B536*(hospitalityq!L536="")</f>
        <v>0</v>
      </c>
      <c r="M536">
        <f>B536*(hospitalityq!M536="")</f>
        <v>0</v>
      </c>
      <c r="N536">
        <f>B536*(hospitalityq!N536="")</f>
        <v>0</v>
      </c>
      <c r="O536">
        <f>B536*(hospitalityq!O536="")</f>
        <v>0</v>
      </c>
      <c r="P536">
        <f>B536*(hospitalityq!P536="")</f>
        <v>0</v>
      </c>
      <c r="Q536">
        <f>B536*(hospitalityq!Q536="")</f>
        <v>0</v>
      </c>
      <c r="R536">
        <f>B536*(hospitalityq!R536="")</f>
        <v>0</v>
      </c>
    </row>
    <row r="537" spans="1:18" x14ac:dyDescent="0.25">
      <c r="A537">
        <f t="shared" si="9"/>
        <v>0</v>
      </c>
      <c r="B537" t="b">
        <f>SUMPRODUCT(LEN(hospitalityq!C537:R537))&gt;0</f>
        <v>0</v>
      </c>
      <c r="C537">
        <f>B537*(hospitalityq!C537="")</f>
        <v>0</v>
      </c>
      <c r="E537">
        <f>B537*(hospitalityq!E537="")</f>
        <v>0</v>
      </c>
      <c r="F537">
        <f>B537*(hospitalityq!F537="")</f>
        <v>0</v>
      </c>
      <c r="G537">
        <f>B537*(hospitalityq!G537="")</f>
        <v>0</v>
      </c>
      <c r="H537">
        <f>B537*(hospitalityq!H537="")</f>
        <v>0</v>
      </c>
      <c r="I537">
        <f>B537*(hospitalityq!I537="")</f>
        <v>0</v>
      </c>
      <c r="J537">
        <f>B537*(hospitalityq!J537="")</f>
        <v>0</v>
      </c>
      <c r="K537">
        <f>B537*(hospitalityq!K537="")</f>
        <v>0</v>
      </c>
      <c r="L537">
        <f>B537*(hospitalityq!L537="")</f>
        <v>0</v>
      </c>
      <c r="M537">
        <f>B537*(hospitalityq!M537="")</f>
        <v>0</v>
      </c>
      <c r="N537">
        <f>B537*(hospitalityq!N537="")</f>
        <v>0</v>
      </c>
      <c r="O537">
        <f>B537*(hospitalityq!O537="")</f>
        <v>0</v>
      </c>
      <c r="P537">
        <f>B537*(hospitalityq!P537="")</f>
        <v>0</v>
      </c>
      <c r="Q537">
        <f>B537*(hospitalityq!Q537="")</f>
        <v>0</v>
      </c>
      <c r="R537">
        <f>B537*(hospitalityq!R537="")</f>
        <v>0</v>
      </c>
    </row>
    <row r="538" spans="1:18" x14ac:dyDescent="0.25">
      <c r="A538">
        <f t="shared" si="9"/>
        <v>0</v>
      </c>
      <c r="B538" t="b">
        <f>SUMPRODUCT(LEN(hospitalityq!C538:R538))&gt;0</f>
        <v>0</v>
      </c>
      <c r="C538">
        <f>B538*(hospitalityq!C538="")</f>
        <v>0</v>
      </c>
      <c r="E538">
        <f>B538*(hospitalityq!E538="")</f>
        <v>0</v>
      </c>
      <c r="F538">
        <f>B538*(hospitalityq!F538="")</f>
        <v>0</v>
      </c>
      <c r="G538">
        <f>B538*(hospitalityq!G538="")</f>
        <v>0</v>
      </c>
      <c r="H538">
        <f>B538*(hospitalityq!H538="")</f>
        <v>0</v>
      </c>
      <c r="I538">
        <f>B538*(hospitalityq!I538="")</f>
        <v>0</v>
      </c>
      <c r="J538">
        <f>B538*(hospitalityq!J538="")</f>
        <v>0</v>
      </c>
      <c r="K538">
        <f>B538*(hospitalityq!K538="")</f>
        <v>0</v>
      </c>
      <c r="L538">
        <f>B538*(hospitalityq!L538="")</f>
        <v>0</v>
      </c>
      <c r="M538">
        <f>B538*(hospitalityq!M538="")</f>
        <v>0</v>
      </c>
      <c r="N538">
        <f>B538*(hospitalityq!N538="")</f>
        <v>0</v>
      </c>
      <c r="O538">
        <f>B538*(hospitalityq!O538="")</f>
        <v>0</v>
      </c>
      <c r="P538">
        <f>B538*(hospitalityq!P538="")</f>
        <v>0</v>
      </c>
      <c r="Q538">
        <f>B538*(hospitalityq!Q538="")</f>
        <v>0</v>
      </c>
      <c r="R538">
        <f>B538*(hospitalityq!R538="")</f>
        <v>0</v>
      </c>
    </row>
    <row r="539" spans="1:18" x14ac:dyDescent="0.25">
      <c r="A539">
        <f t="shared" si="9"/>
        <v>0</v>
      </c>
      <c r="B539" t="b">
        <f>SUMPRODUCT(LEN(hospitalityq!C539:R539))&gt;0</f>
        <v>0</v>
      </c>
      <c r="C539">
        <f>B539*(hospitalityq!C539="")</f>
        <v>0</v>
      </c>
      <c r="E539">
        <f>B539*(hospitalityq!E539="")</f>
        <v>0</v>
      </c>
      <c r="F539">
        <f>B539*(hospitalityq!F539="")</f>
        <v>0</v>
      </c>
      <c r="G539">
        <f>B539*(hospitalityq!G539="")</f>
        <v>0</v>
      </c>
      <c r="H539">
        <f>B539*(hospitalityq!H539="")</f>
        <v>0</v>
      </c>
      <c r="I539">
        <f>B539*(hospitalityq!I539="")</f>
        <v>0</v>
      </c>
      <c r="J539">
        <f>B539*(hospitalityq!J539="")</f>
        <v>0</v>
      </c>
      <c r="K539">
        <f>B539*(hospitalityq!K539="")</f>
        <v>0</v>
      </c>
      <c r="L539">
        <f>B539*(hospitalityq!L539="")</f>
        <v>0</v>
      </c>
      <c r="M539">
        <f>B539*(hospitalityq!M539="")</f>
        <v>0</v>
      </c>
      <c r="N539">
        <f>B539*(hospitalityq!N539="")</f>
        <v>0</v>
      </c>
      <c r="O539">
        <f>B539*(hospitalityq!O539="")</f>
        <v>0</v>
      </c>
      <c r="P539">
        <f>B539*(hospitalityq!P539="")</f>
        <v>0</v>
      </c>
      <c r="Q539">
        <f>B539*(hospitalityq!Q539="")</f>
        <v>0</v>
      </c>
      <c r="R539">
        <f>B539*(hospitalityq!R539="")</f>
        <v>0</v>
      </c>
    </row>
    <row r="540" spans="1:18" x14ac:dyDescent="0.25">
      <c r="A540">
        <f t="shared" si="9"/>
        <v>0</v>
      </c>
      <c r="B540" t="b">
        <f>SUMPRODUCT(LEN(hospitalityq!C540:R540))&gt;0</f>
        <v>0</v>
      </c>
      <c r="C540">
        <f>B540*(hospitalityq!C540="")</f>
        <v>0</v>
      </c>
      <c r="E540">
        <f>B540*(hospitalityq!E540="")</f>
        <v>0</v>
      </c>
      <c r="F540">
        <f>B540*(hospitalityq!F540="")</f>
        <v>0</v>
      </c>
      <c r="G540">
        <f>B540*(hospitalityq!G540="")</f>
        <v>0</v>
      </c>
      <c r="H540">
        <f>B540*(hospitalityq!H540="")</f>
        <v>0</v>
      </c>
      <c r="I540">
        <f>B540*(hospitalityq!I540="")</f>
        <v>0</v>
      </c>
      <c r="J540">
        <f>B540*(hospitalityq!J540="")</f>
        <v>0</v>
      </c>
      <c r="K540">
        <f>B540*(hospitalityq!K540="")</f>
        <v>0</v>
      </c>
      <c r="L540">
        <f>B540*(hospitalityq!L540="")</f>
        <v>0</v>
      </c>
      <c r="M540">
        <f>B540*(hospitalityq!M540="")</f>
        <v>0</v>
      </c>
      <c r="N540">
        <f>B540*(hospitalityq!N540="")</f>
        <v>0</v>
      </c>
      <c r="O540">
        <f>B540*(hospitalityq!O540="")</f>
        <v>0</v>
      </c>
      <c r="P540">
        <f>B540*(hospitalityq!P540="")</f>
        <v>0</v>
      </c>
      <c r="Q540">
        <f>B540*(hospitalityq!Q540="")</f>
        <v>0</v>
      </c>
      <c r="R540">
        <f>B540*(hospitalityq!R540="")</f>
        <v>0</v>
      </c>
    </row>
    <row r="541" spans="1:18" x14ac:dyDescent="0.25">
      <c r="A541">
        <f t="shared" si="9"/>
        <v>0</v>
      </c>
      <c r="B541" t="b">
        <f>SUMPRODUCT(LEN(hospitalityq!C541:R541))&gt;0</f>
        <v>0</v>
      </c>
      <c r="C541">
        <f>B541*(hospitalityq!C541="")</f>
        <v>0</v>
      </c>
      <c r="E541">
        <f>B541*(hospitalityq!E541="")</f>
        <v>0</v>
      </c>
      <c r="F541">
        <f>B541*(hospitalityq!F541="")</f>
        <v>0</v>
      </c>
      <c r="G541">
        <f>B541*(hospitalityq!G541="")</f>
        <v>0</v>
      </c>
      <c r="H541">
        <f>B541*(hospitalityq!H541="")</f>
        <v>0</v>
      </c>
      <c r="I541">
        <f>B541*(hospitalityq!I541="")</f>
        <v>0</v>
      </c>
      <c r="J541">
        <f>B541*(hospitalityq!J541="")</f>
        <v>0</v>
      </c>
      <c r="K541">
        <f>B541*(hospitalityq!K541="")</f>
        <v>0</v>
      </c>
      <c r="L541">
        <f>B541*(hospitalityq!L541="")</f>
        <v>0</v>
      </c>
      <c r="M541">
        <f>B541*(hospitalityq!M541="")</f>
        <v>0</v>
      </c>
      <c r="N541">
        <f>B541*(hospitalityq!N541="")</f>
        <v>0</v>
      </c>
      <c r="O541">
        <f>B541*(hospitalityq!O541="")</f>
        <v>0</v>
      </c>
      <c r="P541">
        <f>B541*(hospitalityq!P541="")</f>
        <v>0</v>
      </c>
      <c r="Q541">
        <f>B541*(hospitalityq!Q541="")</f>
        <v>0</v>
      </c>
      <c r="R541">
        <f>B541*(hospitalityq!R541="")</f>
        <v>0</v>
      </c>
    </row>
    <row r="542" spans="1:18" x14ac:dyDescent="0.25">
      <c r="A542">
        <f t="shared" si="9"/>
        <v>0</v>
      </c>
      <c r="B542" t="b">
        <f>SUMPRODUCT(LEN(hospitalityq!C542:R542))&gt;0</f>
        <v>0</v>
      </c>
      <c r="C542">
        <f>B542*(hospitalityq!C542="")</f>
        <v>0</v>
      </c>
      <c r="E542">
        <f>B542*(hospitalityq!E542="")</f>
        <v>0</v>
      </c>
      <c r="F542">
        <f>B542*(hospitalityq!F542="")</f>
        <v>0</v>
      </c>
      <c r="G542">
        <f>B542*(hospitalityq!G542="")</f>
        <v>0</v>
      </c>
      <c r="H542">
        <f>B542*(hospitalityq!H542="")</f>
        <v>0</v>
      </c>
      <c r="I542">
        <f>B542*(hospitalityq!I542="")</f>
        <v>0</v>
      </c>
      <c r="J542">
        <f>B542*(hospitalityq!J542="")</f>
        <v>0</v>
      </c>
      <c r="K542">
        <f>B542*(hospitalityq!K542="")</f>
        <v>0</v>
      </c>
      <c r="L542">
        <f>B542*(hospitalityq!L542="")</f>
        <v>0</v>
      </c>
      <c r="M542">
        <f>B542*(hospitalityq!M542="")</f>
        <v>0</v>
      </c>
      <c r="N542">
        <f>B542*(hospitalityq!N542="")</f>
        <v>0</v>
      </c>
      <c r="O542">
        <f>B542*(hospitalityq!O542="")</f>
        <v>0</v>
      </c>
      <c r="P542">
        <f>B542*(hospitalityq!P542="")</f>
        <v>0</v>
      </c>
      <c r="Q542">
        <f>B542*(hospitalityq!Q542="")</f>
        <v>0</v>
      </c>
      <c r="R542">
        <f>B542*(hospitalityq!R542="")</f>
        <v>0</v>
      </c>
    </row>
    <row r="543" spans="1:18" x14ac:dyDescent="0.25">
      <c r="A543">
        <f t="shared" si="9"/>
        <v>0</v>
      </c>
      <c r="B543" t="b">
        <f>SUMPRODUCT(LEN(hospitalityq!C543:R543))&gt;0</f>
        <v>0</v>
      </c>
      <c r="C543">
        <f>B543*(hospitalityq!C543="")</f>
        <v>0</v>
      </c>
      <c r="E543">
        <f>B543*(hospitalityq!E543="")</f>
        <v>0</v>
      </c>
      <c r="F543">
        <f>B543*(hospitalityq!F543="")</f>
        <v>0</v>
      </c>
      <c r="G543">
        <f>B543*(hospitalityq!G543="")</f>
        <v>0</v>
      </c>
      <c r="H543">
        <f>B543*(hospitalityq!H543="")</f>
        <v>0</v>
      </c>
      <c r="I543">
        <f>B543*(hospitalityq!I543="")</f>
        <v>0</v>
      </c>
      <c r="J543">
        <f>B543*(hospitalityq!J543="")</f>
        <v>0</v>
      </c>
      <c r="K543">
        <f>B543*(hospitalityq!K543="")</f>
        <v>0</v>
      </c>
      <c r="L543">
        <f>B543*(hospitalityq!L543="")</f>
        <v>0</v>
      </c>
      <c r="M543">
        <f>B543*(hospitalityq!M543="")</f>
        <v>0</v>
      </c>
      <c r="N543">
        <f>B543*(hospitalityq!N543="")</f>
        <v>0</v>
      </c>
      <c r="O543">
        <f>B543*(hospitalityq!O543="")</f>
        <v>0</v>
      </c>
      <c r="P543">
        <f>B543*(hospitalityq!P543="")</f>
        <v>0</v>
      </c>
      <c r="Q543">
        <f>B543*(hospitalityq!Q543="")</f>
        <v>0</v>
      </c>
      <c r="R543">
        <f>B543*(hospitalityq!R543="")</f>
        <v>0</v>
      </c>
    </row>
    <row r="544" spans="1:18" x14ac:dyDescent="0.25">
      <c r="A544">
        <f t="shared" si="9"/>
        <v>0</v>
      </c>
      <c r="B544" t="b">
        <f>SUMPRODUCT(LEN(hospitalityq!C544:R544))&gt;0</f>
        <v>0</v>
      </c>
      <c r="C544">
        <f>B544*(hospitalityq!C544="")</f>
        <v>0</v>
      </c>
      <c r="E544">
        <f>B544*(hospitalityq!E544="")</f>
        <v>0</v>
      </c>
      <c r="F544">
        <f>B544*(hospitalityq!F544="")</f>
        <v>0</v>
      </c>
      <c r="G544">
        <f>B544*(hospitalityq!G544="")</f>
        <v>0</v>
      </c>
      <c r="H544">
        <f>B544*(hospitalityq!H544="")</f>
        <v>0</v>
      </c>
      <c r="I544">
        <f>B544*(hospitalityq!I544="")</f>
        <v>0</v>
      </c>
      <c r="J544">
        <f>B544*(hospitalityq!J544="")</f>
        <v>0</v>
      </c>
      <c r="K544">
        <f>B544*(hospitalityq!K544="")</f>
        <v>0</v>
      </c>
      <c r="L544">
        <f>B544*(hospitalityq!L544="")</f>
        <v>0</v>
      </c>
      <c r="M544">
        <f>B544*(hospitalityq!M544="")</f>
        <v>0</v>
      </c>
      <c r="N544">
        <f>B544*(hospitalityq!N544="")</f>
        <v>0</v>
      </c>
      <c r="O544">
        <f>B544*(hospitalityq!O544="")</f>
        <v>0</v>
      </c>
      <c r="P544">
        <f>B544*(hospitalityq!P544="")</f>
        <v>0</v>
      </c>
      <c r="Q544">
        <f>B544*(hospitalityq!Q544="")</f>
        <v>0</v>
      </c>
      <c r="R544">
        <f>B544*(hospitalityq!R544="")</f>
        <v>0</v>
      </c>
    </row>
    <row r="545" spans="1:18" x14ac:dyDescent="0.25">
      <c r="A545">
        <f t="shared" si="9"/>
        <v>0</v>
      </c>
      <c r="B545" t="b">
        <f>SUMPRODUCT(LEN(hospitalityq!C545:R545))&gt;0</f>
        <v>0</v>
      </c>
      <c r="C545">
        <f>B545*(hospitalityq!C545="")</f>
        <v>0</v>
      </c>
      <c r="E545">
        <f>B545*(hospitalityq!E545="")</f>
        <v>0</v>
      </c>
      <c r="F545">
        <f>B545*(hospitalityq!F545="")</f>
        <v>0</v>
      </c>
      <c r="G545">
        <f>B545*(hospitalityq!G545="")</f>
        <v>0</v>
      </c>
      <c r="H545">
        <f>B545*(hospitalityq!H545="")</f>
        <v>0</v>
      </c>
      <c r="I545">
        <f>B545*(hospitalityq!I545="")</f>
        <v>0</v>
      </c>
      <c r="J545">
        <f>B545*(hospitalityq!J545="")</f>
        <v>0</v>
      </c>
      <c r="K545">
        <f>B545*(hospitalityq!K545="")</f>
        <v>0</v>
      </c>
      <c r="L545">
        <f>B545*(hospitalityq!L545="")</f>
        <v>0</v>
      </c>
      <c r="M545">
        <f>B545*(hospitalityq!M545="")</f>
        <v>0</v>
      </c>
      <c r="N545">
        <f>B545*(hospitalityq!N545="")</f>
        <v>0</v>
      </c>
      <c r="O545">
        <f>B545*(hospitalityq!O545="")</f>
        <v>0</v>
      </c>
      <c r="P545">
        <f>B545*(hospitalityq!P545="")</f>
        <v>0</v>
      </c>
      <c r="Q545">
        <f>B545*(hospitalityq!Q545="")</f>
        <v>0</v>
      </c>
      <c r="R545">
        <f>B545*(hospitalityq!R545="")</f>
        <v>0</v>
      </c>
    </row>
    <row r="546" spans="1:18" x14ac:dyDescent="0.25">
      <c r="A546">
        <f t="shared" si="9"/>
        <v>0</v>
      </c>
      <c r="B546" t="b">
        <f>SUMPRODUCT(LEN(hospitalityq!C546:R546))&gt;0</f>
        <v>0</v>
      </c>
      <c r="C546">
        <f>B546*(hospitalityq!C546="")</f>
        <v>0</v>
      </c>
      <c r="E546">
        <f>B546*(hospitalityq!E546="")</f>
        <v>0</v>
      </c>
      <c r="F546">
        <f>B546*(hospitalityq!F546="")</f>
        <v>0</v>
      </c>
      <c r="G546">
        <f>B546*(hospitalityq!G546="")</f>
        <v>0</v>
      </c>
      <c r="H546">
        <f>B546*(hospitalityq!H546="")</f>
        <v>0</v>
      </c>
      <c r="I546">
        <f>B546*(hospitalityq!I546="")</f>
        <v>0</v>
      </c>
      <c r="J546">
        <f>B546*(hospitalityq!J546="")</f>
        <v>0</v>
      </c>
      <c r="K546">
        <f>B546*(hospitalityq!K546="")</f>
        <v>0</v>
      </c>
      <c r="L546">
        <f>B546*(hospitalityq!L546="")</f>
        <v>0</v>
      </c>
      <c r="M546">
        <f>B546*(hospitalityq!M546="")</f>
        <v>0</v>
      </c>
      <c r="N546">
        <f>B546*(hospitalityq!N546="")</f>
        <v>0</v>
      </c>
      <c r="O546">
        <f>B546*(hospitalityq!O546="")</f>
        <v>0</v>
      </c>
      <c r="P546">
        <f>B546*(hospitalityq!P546="")</f>
        <v>0</v>
      </c>
      <c r="Q546">
        <f>B546*(hospitalityq!Q546="")</f>
        <v>0</v>
      </c>
      <c r="R546">
        <f>B546*(hospitalityq!R546="")</f>
        <v>0</v>
      </c>
    </row>
    <row r="547" spans="1:18" x14ac:dyDescent="0.25">
      <c r="A547">
        <f t="shared" si="9"/>
        <v>0</v>
      </c>
      <c r="B547" t="b">
        <f>SUMPRODUCT(LEN(hospitalityq!C547:R547))&gt;0</f>
        <v>0</v>
      </c>
      <c r="C547">
        <f>B547*(hospitalityq!C547="")</f>
        <v>0</v>
      </c>
      <c r="E547">
        <f>B547*(hospitalityq!E547="")</f>
        <v>0</v>
      </c>
      <c r="F547">
        <f>B547*(hospitalityq!F547="")</f>
        <v>0</v>
      </c>
      <c r="G547">
        <f>B547*(hospitalityq!G547="")</f>
        <v>0</v>
      </c>
      <c r="H547">
        <f>B547*(hospitalityq!H547="")</f>
        <v>0</v>
      </c>
      <c r="I547">
        <f>B547*(hospitalityq!I547="")</f>
        <v>0</v>
      </c>
      <c r="J547">
        <f>B547*(hospitalityq!J547="")</f>
        <v>0</v>
      </c>
      <c r="K547">
        <f>B547*(hospitalityq!K547="")</f>
        <v>0</v>
      </c>
      <c r="L547">
        <f>B547*(hospitalityq!L547="")</f>
        <v>0</v>
      </c>
      <c r="M547">
        <f>B547*(hospitalityq!M547="")</f>
        <v>0</v>
      </c>
      <c r="N547">
        <f>B547*(hospitalityq!N547="")</f>
        <v>0</v>
      </c>
      <c r="O547">
        <f>B547*(hospitalityq!O547="")</f>
        <v>0</v>
      </c>
      <c r="P547">
        <f>B547*(hospitalityq!P547="")</f>
        <v>0</v>
      </c>
      <c r="Q547">
        <f>B547*(hospitalityq!Q547="")</f>
        <v>0</v>
      </c>
      <c r="R547">
        <f>B547*(hospitalityq!R547="")</f>
        <v>0</v>
      </c>
    </row>
    <row r="548" spans="1:18" x14ac:dyDescent="0.25">
      <c r="A548">
        <f t="shared" si="9"/>
        <v>0</v>
      </c>
      <c r="B548" t="b">
        <f>SUMPRODUCT(LEN(hospitalityq!C548:R548))&gt;0</f>
        <v>0</v>
      </c>
      <c r="C548">
        <f>B548*(hospitalityq!C548="")</f>
        <v>0</v>
      </c>
      <c r="E548">
        <f>B548*(hospitalityq!E548="")</f>
        <v>0</v>
      </c>
      <c r="F548">
        <f>B548*(hospitalityq!F548="")</f>
        <v>0</v>
      </c>
      <c r="G548">
        <f>B548*(hospitalityq!G548="")</f>
        <v>0</v>
      </c>
      <c r="H548">
        <f>B548*(hospitalityq!H548="")</f>
        <v>0</v>
      </c>
      <c r="I548">
        <f>B548*(hospitalityq!I548="")</f>
        <v>0</v>
      </c>
      <c r="J548">
        <f>B548*(hospitalityq!J548="")</f>
        <v>0</v>
      </c>
      <c r="K548">
        <f>B548*(hospitalityq!K548="")</f>
        <v>0</v>
      </c>
      <c r="L548">
        <f>B548*(hospitalityq!L548="")</f>
        <v>0</v>
      </c>
      <c r="M548">
        <f>B548*(hospitalityq!M548="")</f>
        <v>0</v>
      </c>
      <c r="N548">
        <f>B548*(hospitalityq!N548="")</f>
        <v>0</v>
      </c>
      <c r="O548">
        <f>B548*(hospitalityq!O548="")</f>
        <v>0</v>
      </c>
      <c r="P548">
        <f>B548*(hospitalityq!P548="")</f>
        <v>0</v>
      </c>
      <c r="Q548">
        <f>B548*(hospitalityq!Q548="")</f>
        <v>0</v>
      </c>
      <c r="R548">
        <f>B548*(hospitalityq!R548="")</f>
        <v>0</v>
      </c>
    </row>
    <row r="549" spans="1:18" x14ac:dyDescent="0.25">
      <c r="A549">
        <f t="shared" si="9"/>
        <v>0</v>
      </c>
      <c r="B549" t="b">
        <f>SUMPRODUCT(LEN(hospitalityq!C549:R549))&gt;0</f>
        <v>0</v>
      </c>
      <c r="C549">
        <f>B549*(hospitalityq!C549="")</f>
        <v>0</v>
      </c>
      <c r="E549">
        <f>B549*(hospitalityq!E549="")</f>
        <v>0</v>
      </c>
      <c r="F549">
        <f>B549*(hospitalityq!F549="")</f>
        <v>0</v>
      </c>
      <c r="G549">
        <f>B549*(hospitalityq!G549="")</f>
        <v>0</v>
      </c>
      <c r="H549">
        <f>B549*(hospitalityq!H549="")</f>
        <v>0</v>
      </c>
      <c r="I549">
        <f>B549*(hospitalityq!I549="")</f>
        <v>0</v>
      </c>
      <c r="J549">
        <f>B549*(hospitalityq!J549="")</f>
        <v>0</v>
      </c>
      <c r="K549">
        <f>B549*(hospitalityq!K549="")</f>
        <v>0</v>
      </c>
      <c r="L549">
        <f>B549*(hospitalityq!L549="")</f>
        <v>0</v>
      </c>
      <c r="M549">
        <f>B549*(hospitalityq!M549="")</f>
        <v>0</v>
      </c>
      <c r="N549">
        <f>B549*(hospitalityq!N549="")</f>
        <v>0</v>
      </c>
      <c r="O549">
        <f>B549*(hospitalityq!O549="")</f>
        <v>0</v>
      </c>
      <c r="P549">
        <f>B549*(hospitalityq!P549="")</f>
        <v>0</v>
      </c>
      <c r="Q549">
        <f>B549*(hospitalityq!Q549="")</f>
        <v>0</v>
      </c>
      <c r="R549">
        <f>B549*(hospitalityq!R549="")</f>
        <v>0</v>
      </c>
    </row>
    <row r="550" spans="1:18" x14ac:dyDescent="0.25">
      <c r="A550">
        <f t="shared" si="9"/>
        <v>0</v>
      </c>
      <c r="B550" t="b">
        <f>SUMPRODUCT(LEN(hospitalityq!C550:R550))&gt;0</f>
        <v>0</v>
      </c>
      <c r="C550">
        <f>B550*(hospitalityq!C550="")</f>
        <v>0</v>
      </c>
      <c r="E550">
        <f>B550*(hospitalityq!E550="")</f>
        <v>0</v>
      </c>
      <c r="F550">
        <f>B550*(hospitalityq!F550="")</f>
        <v>0</v>
      </c>
      <c r="G550">
        <f>B550*(hospitalityq!G550="")</f>
        <v>0</v>
      </c>
      <c r="H550">
        <f>B550*(hospitalityq!H550="")</f>
        <v>0</v>
      </c>
      <c r="I550">
        <f>B550*(hospitalityq!I550="")</f>
        <v>0</v>
      </c>
      <c r="J550">
        <f>B550*(hospitalityq!J550="")</f>
        <v>0</v>
      </c>
      <c r="K550">
        <f>B550*(hospitalityq!K550="")</f>
        <v>0</v>
      </c>
      <c r="L550">
        <f>B550*(hospitalityq!L550="")</f>
        <v>0</v>
      </c>
      <c r="M550">
        <f>B550*(hospitalityq!M550="")</f>
        <v>0</v>
      </c>
      <c r="N550">
        <f>B550*(hospitalityq!N550="")</f>
        <v>0</v>
      </c>
      <c r="O550">
        <f>B550*(hospitalityq!O550="")</f>
        <v>0</v>
      </c>
      <c r="P550">
        <f>B550*(hospitalityq!P550="")</f>
        <v>0</v>
      </c>
      <c r="Q550">
        <f>B550*(hospitalityq!Q550="")</f>
        <v>0</v>
      </c>
      <c r="R550">
        <f>B550*(hospitalityq!R550="")</f>
        <v>0</v>
      </c>
    </row>
    <row r="551" spans="1:18" x14ac:dyDescent="0.25">
      <c r="A551">
        <f t="shared" si="9"/>
        <v>0</v>
      </c>
      <c r="B551" t="b">
        <f>SUMPRODUCT(LEN(hospitalityq!C551:R551))&gt;0</f>
        <v>0</v>
      </c>
      <c r="C551">
        <f>B551*(hospitalityq!C551="")</f>
        <v>0</v>
      </c>
      <c r="E551">
        <f>B551*(hospitalityq!E551="")</f>
        <v>0</v>
      </c>
      <c r="F551">
        <f>B551*(hospitalityq!F551="")</f>
        <v>0</v>
      </c>
      <c r="G551">
        <f>B551*(hospitalityq!G551="")</f>
        <v>0</v>
      </c>
      <c r="H551">
        <f>B551*(hospitalityq!H551="")</f>
        <v>0</v>
      </c>
      <c r="I551">
        <f>B551*(hospitalityq!I551="")</f>
        <v>0</v>
      </c>
      <c r="J551">
        <f>B551*(hospitalityq!J551="")</f>
        <v>0</v>
      </c>
      <c r="K551">
        <f>B551*(hospitalityq!K551="")</f>
        <v>0</v>
      </c>
      <c r="L551">
        <f>B551*(hospitalityq!L551="")</f>
        <v>0</v>
      </c>
      <c r="M551">
        <f>B551*(hospitalityq!M551="")</f>
        <v>0</v>
      </c>
      <c r="N551">
        <f>B551*(hospitalityq!N551="")</f>
        <v>0</v>
      </c>
      <c r="O551">
        <f>B551*(hospitalityq!O551="")</f>
        <v>0</v>
      </c>
      <c r="P551">
        <f>B551*(hospitalityq!P551="")</f>
        <v>0</v>
      </c>
      <c r="Q551">
        <f>B551*(hospitalityq!Q551="")</f>
        <v>0</v>
      </c>
      <c r="R551">
        <f>B551*(hospitalityq!R551="")</f>
        <v>0</v>
      </c>
    </row>
    <row r="552" spans="1:18" x14ac:dyDescent="0.25">
      <c r="A552">
        <f t="shared" si="9"/>
        <v>0</v>
      </c>
      <c r="B552" t="b">
        <f>SUMPRODUCT(LEN(hospitalityq!C552:R552))&gt;0</f>
        <v>0</v>
      </c>
      <c r="C552">
        <f>B552*(hospitalityq!C552="")</f>
        <v>0</v>
      </c>
      <c r="E552">
        <f>B552*(hospitalityq!E552="")</f>
        <v>0</v>
      </c>
      <c r="F552">
        <f>B552*(hospitalityq!F552="")</f>
        <v>0</v>
      </c>
      <c r="G552">
        <f>B552*(hospitalityq!G552="")</f>
        <v>0</v>
      </c>
      <c r="H552">
        <f>B552*(hospitalityq!H552="")</f>
        <v>0</v>
      </c>
      <c r="I552">
        <f>B552*(hospitalityq!I552="")</f>
        <v>0</v>
      </c>
      <c r="J552">
        <f>B552*(hospitalityq!J552="")</f>
        <v>0</v>
      </c>
      <c r="K552">
        <f>B552*(hospitalityq!K552="")</f>
        <v>0</v>
      </c>
      <c r="L552">
        <f>B552*(hospitalityq!L552="")</f>
        <v>0</v>
      </c>
      <c r="M552">
        <f>B552*(hospitalityq!M552="")</f>
        <v>0</v>
      </c>
      <c r="N552">
        <f>B552*(hospitalityq!N552="")</f>
        <v>0</v>
      </c>
      <c r="O552">
        <f>B552*(hospitalityq!O552="")</f>
        <v>0</v>
      </c>
      <c r="P552">
        <f>B552*(hospitalityq!P552="")</f>
        <v>0</v>
      </c>
      <c r="Q552">
        <f>B552*(hospitalityq!Q552="")</f>
        <v>0</v>
      </c>
      <c r="R552">
        <f>B552*(hospitalityq!R552="")</f>
        <v>0</v>
      </c>
    </row>
    <row r="553" spans="1:18" x14ac:dyDescent="0.25">
      <c r="A553">
        <f t="shared" si="9"/>
        <v>0</v>
      </c>
      <c r="B553" t="b">
        <f>SUMPRODUCT(LEN(hospitalityq!C553:R553))&gt;0</f>
        <v>0</v>
      </c>
      <c r="C553">
        <f>B553*(hospitalityq!C553="")</f>
        <v>0</v>
      </c>
      <c r="E553">
        <f>B553*(hospitalityq!E553="")</f>
        <v>0</v>
      </c>
      <c r="F553">
        <f>B553*(hospitalityq!F553="")</f>
        <v>0</v>
      </c>
      <c r="G553">
        <f>B553*(hospitalityq!G553="")</f>
        <v>0</v>
      </c>
      <c r="H553">
        <f>B553*(hospitalityq!H553="")</f>
        <v>0</v>
      </c>
      <c r="I553">
        <f>B553*(hospitalityq!I553="")</f>
        <v>0</v>
      </c>
      <c r="J553">
        <f>B553*(hospitalityq!J553="")</f>
        <v>0</v>
      </c>
      <c r="K553">
        <f>B553*(hospitalityq!K553="")</f>
        <v>0</v>
      </c>
      <c r="L553">
        <f>B553*(hospitalityq!L553="")</f>
        <v>0</v>
      </c>
      <c r="M553">
        <f>B553*(hospitalityq!M553="")</f>
        <v>0</v>
      </c>
      <c r="N553">
        <f>B553*(hospitalityq!N553="")</f>
        <v>0</v>
      </c>
      <c r="O553">
        <f>B553*(hospitalityq!O553="")</f>
        <v>0</v>
      </c>
      <c r="P553">
        <f>B553*(hospitalityq!P553="")</f>
        <v>0</v>
      </c>
      <c r="Q553">
        <f>B553*(hospitalityq!Q553="")</f>
        <v>0</v>
      </c>
      <c r="R553">
        <f>B553*(hospitalityq!R553="")</f>
        <v>0</v>
      </c>
    </row>
    <row r="554" spans="1:18" x14ac:dyDescent="0.25">
      <c r="A554">
        <f t="shared" si="9"/>
        <v>0</v>
      </c>
      <c r="B554" t="b">
        <f>SUMPRODUCT(LEN(hospitalityq!C554:R554))&gt;0</f>
        <v>0</v>
      </c>
      <c r="C554">
        <f>B554*(hospitalityq!C554="")</f>
        <v>0</v>
      </c>
      <c r="E554">
        <f>B554*(hospitalityq!E554="")</f>
        <v>0</v>
      </c>
      <c r="F554">
        <f>B554*(hospitalityq!F554="")</f>
        <v>0</v>
      </c>
      <c r="G554">
        <f>B554*(hospitalityq!G554="")</f>
        <v>0</v>
      </c>
      <c r="H554">
        <f>B554*(hospitalityq!H554="")</f>
        <v>0</v>
      </c>
      <c r="I554">
        <f>B554*(hospitalityq!I554="")</f>
        <v>0</v>
      </c>
      <c r="J554">
        <f>B554*(hospitalityq!J554="")</f>
        <v>0</v>
      </c>
      <c r="K554">
        <f>B554*(hospitalityq!K554="")</f>
        <v>0</v>
      </c>
      <c r="L554">
        <f>B554*(hospitalityq!L554="")</f>
        <v>0</v>
      </c>
      <c r="M554">
        <f>B554*(hospitalityq!M554="")</f>
        <v>0</v>
      </c>
      <c r="N554">
        <f>B554*(hospitalityq!N554="")</f>
        <v>0</v>
      </c>
      <c r="O554">
        <f>B554*(hospitalityq!O554="")</f>
        <v>0</v>
      </c>
      <c r="P554">
        <f>B554*(hospitalityq!P554="")</f>
        <v>0</v>
      </c>
      <c r="Q554">
        <f>B554*(hospitalityq!Q554="")</f>
        <v>0</v>
      </c>
      <c r="R554">
        <f>B554*(hospitalityq!R554="")</f>
        <v>0</v>
      </c>
    </row>
    <row r="555" spans="1:18" x14ac:dyDescent="0.25">
      <c r="A555">
        <f t="shared" si="9"/>
        <v>0</v>
      </c>
      <c r="B555" t="b">
        <f>SUMPRODUCT(LEN(hospitalityq!C555:R555))&gt;0</f>
        <v>0</v>
      </c>
      <c r="C555">
        <f>B555*(hospitalityq!C555="")</f>
        <v>0</v>
      </c>
      <c r="E555">
        <f>B555*(hospitalityq!E555="")</f>
        <v>0</v>
      </c>
      <c r="F555">
        <f>B555*(hospitalityq!F555="")</f>
        <v>0</v>
      </c>
      <c r="G555">
        <f>B555*(hospitalityq!G555="")</f>
        <v>0</v>
      </c>
      <c r="H555">
        <f>B555*(hospitalityq!H555="")</f>
        <v>0</v>
      </c>
      <c r="I555">
        <f>B555*(hospitalityq!I555="")</f>
        <v>0</v>
      </c>
      <c r="J555">
        <f>B555*(hospitalityq!J555="")</f>
        <v>0</v>
      </c>
      <c r="K555">
        <f>B555*(hospitalityq!K555="")</f>
        <v>0</v>
      </c>
      <c r="L555">
        <f>B555*(hospitalityq!L555="")</f>
        <v>0</v>
      </c>
      <c r="M555">
        <f>B555*(hospitalityq!M555="")</f>
        <v>0</v>
      </c>
      <c r="N555">
        <f>B555*(hospitalityq!N555="")</f>
        <v>0</v>
      </c>
      <c r="O555">
        <f>B555*(hospitalityq!O555="")</f>
        <v>0</v>
      </c>
      <c r="P555">
        <f>B555*(hospitalityq!P555="")</f>
        <v>0</v>
      </c>
      <c r="Q555">
        <f>B555*(hospitalityq!Q555="")</f>
        <v>0</v>
      </c>
      <c r="R555">
        <f>B555*(hospitalityq!R555="")</f>
        <v>0</v>
      </c>
    </row>
    <row r="556" spans="1:18" x14ac:dyDescent="0.25">
      <c r="A556">
        <f t="shared" si="9"/>
        <v>0</v>
      </c>
      <c r="B556" t="b">
        <f>SUMPRODUCT(LEN(hospitalityq!C556:R556))&gt;0</f>
        <v>0</v>
      </c>
      <c r="C556">
        <f>B556*(hospitalityq!C556="")</f>
        <v>0</v>
      </c>
      <c r="E556">
        <f>B556*(hospitalityq!E556="")</f>
        <v>0</v>
      </c>
      <c r="F556">
        <f>B556*(hospitalityq!F556="")</f>
        <v>0</v>
      </c>
      <c r="G556">
        <f>B556*(hospitalityq!G556="")</f>
        <v>0</v>
      </c>
      <c r="H556">
        <f>B556*(hospitalityq!H556="")</f>
        <v>0</v>
      </c>
      <c r="I556">
        <f>B556*(hospitalityq!I556="")</f>
        <v>0</v>
      </c>
      <c r="J556">
        <f>B556*(hospitalityq!J556="")</f>
        <v>0</v>
      </c>
      <c r="K556">
        <f>B556*(hospitalityq!K556="")</f>
        <v>0</v>
      </c>
      <c r="L556">
        <f>B556*(hospitalityq!L556="")</f>
        <v>0</v>
      </c>
      <c r="M556">
        <f>B556*(hospitalityq!M556="")</f>
        <v>0</v>
      </c>
      <c r="N556">
        <f>B556*(hospitalityq!N556="")</f>
        <v>0</v>
      </c>
      <c r="O556">
        <f>B556*(hospitalityq!O556="")</f>
        <v>0</v>
      </c>
      <c r="P556">
        <f>B556*(hospitalityq!P556="")</f>
        <v>0</v>
      </c>
      <c r="Q556">
        <f>B556*(hospitalityq!Q556="")</f>
        <v>0</v>
      </c>
      <c r="R556">
        <f>B556*(hospitalityq!R556="")</f>
        <v>0</v>
      </c>
    </row>
    <row r="557" spans="1:18" x14ac:dyDescent="0.25">
      <c r="A557">
        <f t="shared" si="9"/>
        <v>0</v>
      </c>
      <c r="B557" t="b">
        <f>SUMPRODUCT(LEN(hospitalityq!C557:R557))&gt;0</f>
        <v>0</v>
      </c>
      <c r="C557">
        <f>B557*(hospitalityq!C557="")</f>
        <v>0</v>
      </c>
      <c r="E557">
        <f>B557*(hospitalityq!E557="")</f>
        <v>0</v>
      </c>
      <c r="F557">
        <f>B557*(hospitalityq!F557="")</f>
        <v>0</v>
      </c>
      <c r="G557">
        <f>B557*(hospitalityq!G557="")</f>
        <v>0</v>
      </c>
      <c r="H557">
        <f>B557*(hospitalityq!H557="")</f>
        <v>0</v>
      </c>
      <c r="I557">
        <f>B557*(hospitalityq!I557="")</f>
        <v>0</v>
      </c>
      <c r="J557">
        <f>B557*(hospitalityq!J557="")</f>
        <v>0</v>
      </c>
      <c r="K557">
        <f>B557*(hospitalityq!K557="")</f>
        <v>0</v>
      </c>
      <c r="L557">
        <f>B557*(hospitalityq!L557="")</f>
        <v>0</v>
      </c>
      <c r="M557">
        <f>B557*(hospitalityq!M557="")</f>
        <v>0</v>
      </c>
      <c r="N557">
        <f>B557*(hospitalityq!N557="")</f>
        <v>0</v>
      </c>
      <c r="O557">
        <f>B557*(hospitalityq!O557="")</f>
        <v>0</v>
      </c>
      <c r="P557">
        <f>B557*(hospitalityq!P557="")</f>
        <v>0</v>
      </c>
      <c r="Q557">
        <f>B557*(hospitalityq!Q557="")</f>
        <v>0</v>
      </c>
      <c r="R557">
        <f>B557*(hospitalityq!R557="")</f>
        <v>0</v>
      </c>
    </row>
    <row r="558" spans="1:18" x14ac:dyDescent="0.25">
      <c r="A558">
        <f t="shared" si="9"/>
        <v>0</v>
      </c>
      <c r="B558" t="b">
        <f>SUMPRODUCT(LEN(hospitalityq!C558:R558))&gt;0</f>
        <v>0</v>
      </c>
      <c r="C558">
        <f>B558*(hospitalityq!C558="")</f>
        <v>0</v>
      </c>
      <c r="E558">
        <f>B558*(hospitalityq!E558="")</f>
        <v>0</v>
      </c>
      <c r="F558">
        <f>B558*(hospitalityq!F558="")</f>
        <v>0</v>
      </c>
      <c r="G558">
        <f>B558*(hospitalityq!G558="")</f>
        <v>0</v>
      </c>
      <c r="H558">
        <f>B558*(hospitalityq!H558="")</f>
        <v>0</v>
      </c>
      <c r="I558">
        <f>B558*(hospitalityq!I558="")</f>
        <v>0</v>
      </c>
      <c r="J558">
        <f>B558*(hospitalityq!J558="")</f>
        <v>0</v>
      </c>
      <c r="K558">
        <f>B558*(hospitalityq!K558="")</f>
        <v>0</v>
      </c>
      <c r="L558">
        <f>B558*(hospitalityq!L558="")</f>
        <v>0</v>
      </c>
      <c r="M558">
        <f>B558*(hospitalityq!M558="")</f>
        <v>0</v>
      </c>
      <c r="N558">
        <f>B558*(hospitalityq!N558="")</f>
        <v>0</v>
      </c>
      <c r="O558">
        <f>B558*(hospitalityq!O558="")</f>
        <v>0</v>
      </c>
      <c r="P558">
        <f>B558*(hospitalityq!P558="")</f>
        <v>0</v>
      </c>
      <c r="Q558">
        <f>B558*(hospitalityq!Q558="")</f>
        <v>0</v>
      </c>
      <c r="R558">
        <f>B558*(hospitalityq!R558="")</f>
        <v>0</v>
      </c>
    </row>
    <row r="559" spans="1:18" x14ac:dyDescent="0.25">
      <c r="A559">
        <f t="shared" si="9"/>
        <v>0</v>
      </c>
      <c r="B559" t="b">
        <f>SUMPRODUCT(LEN(hospitalityq!C559:R559))&gt;0</f>
        <v>0</v>
      </c>
      <c r="C559">
        <f>B559*(hospitalityq!C559="")</f>
        <v>0</v>
      </c>
      <c r="E559">
        <f>B559*(hospitalityq!E559="")</f>
        <v>0</v>
      </c>
      <c r="F559">
        <f>B559*(hospitalityq!F559="")</f>
        <v>0</v>
      </c>
      <c r="G559">
        <f>B559*(hospitalityq!G559="")</f>
        <v>0</v>
      </c>
      <c r="H559">
        <f>B559*(hospitalityq!H559="")</f>
        <v>0</v>
      </c>
      <c r="I559">
        <f>B559*(hospitalityq!I559="")</f>
        <v>0</v>
      </c>
      <c r="J559">
        <f>B559*(hospitalityq!J559="")</f>
        <v>0</v>
      </c>
      <c r="K559">
        <f>B559*(hospitalityq!K559="")</f>
        <v>0</v>
      </c>
      <c r="L559">
        <f>B559*(hospitalityq!L559="")</f>
        <v>0</v>
      </c>
      <c r="M559">
        <f>B559*(hospitalityq!M559="")</f>
        <v>0</v>
      </c>
      <c r="N559">
        <f>B559*(hospitalityq!N559="")</f>
        <v>0</v>
      </c>
      <c r="O559">
        <f>B559*(hospitalityq!O559="")</f>
        <v>0</v>
      </c>
      <c r="P559">
        <f>B559*(hospitalityq!P559="")</f>
        <v>0</v>
      </c>
      <c r="Q559">
        <f>B559*(hospitalityq!Q559="")</f>
        <v>0</v>
      </c>
      <c r="R559">
        <f>B559*(hospitalityq!R559="")</f>
        <v>0</v>
      </c>
    </row>
    <row r="560" spans="1:18" x14ac:dyDescent="0.25">
      <c r="A560">
        <f t="shared" si="9"/>
        <v>0</v>
      </c>
      <c r="B560" t="b">
        <f>SUMPRODUCT(LEN(hospitalityq!C560:R560))&gt;0</f>
        <v>0</v>
      </c>
      <c r="C560">
        <f>B560*(hospitalityq!C560="")</f>
        <v>0</v>
      </c>
      <c r="E560">
        <f>B560*(hospitalityq!E560="")</f>
        <v>0</v>
      </c>
      <c r="F560">
        <f>B560*(hospitalityq!F560="")</f>
        <v>0</v>
      </c>
      <c r="G560">
        <f>B560*(hospitalityq!G560="")</f>
        <v>0</v>
      </c>
      <c r="H560">
        <f>B560*(hospitalityq!H560="")</f>
        <v>0</v>
      </c>
      <c r="I560">
        <f>B560*(hospitalityq!I560="")</f>
        <v>0</v>
      </c>
      <c r="J560">
        <f>B560*(hospitalityq!J560="")</f>
        <v>0</v>
      </c>
      <c r="K560">
        <f>B560*(hospitalityq!K560="")</f>
        <v>0</v>
      </c>
      <c r="L560">
        <f>B560*(hospitalityq!L560="")</f>
        <v>0</v>
      </c>
      <c r="M560">
        <f>B560*(hospitalityq!M560="")</f>
        <v>0</v>
      </c>
      <c r="N560">
        <f>B560*(hospitalityq!N560="")</f>
        <v>0</v>
      </c>
      <c r="O560">
        <f>B560*(hospitalityq!O560="")</f>
        <v>0</v>
      </c>
      <c r="P560">
        <f>B560*(hospitalityq!P560="")</f>
        <v>0</v>
      </c>
      <c r="Q560">
        <f>B560*(hospitalityq!Q560="")</f>
        <v>0</v>
      </c>
      <c r="R560">
        <f>B560*(hospitalityq!R560="")</f>
        <v>0</v>
      </c>
    </row>
    <row r="561" spans="1:18" x14ac:dyDescent="0.25">
      <c r="A561">
        <f t="shared" si="9"/>
        <v>0</v>
      </c>
      <c r="B561" t="b">
        <f>SUMPRODUCT(LEN(hospitalityq!C561:R561))&gt;0</f>
        <v>0</v>
      </c>
      <c r="C561">
        <f>B561*(hospitalityq!C561="")</f>
        <v>0</v>
      </c>
      <c r="E561">
        <f>B561*(hospitalityq!E561="")</f>
        <v>0</v>
      </c>
      <c r="F561">
        <f>B561*(hospitalityq!F561="")</f>
        <v>0</v>
      </c>
      <c r="G561">
        <f>B561*(hospitalityq!G561="")</f>
        <v>0</v>
      </c>
      <c r="H561">
        <f>B561*(hospitalityq!H561="")</f>
        <v>0</v>
      </c>
      <c r="I561">
        <f>B561*(hospitalityq!I561="")</f>
        <v>0</v>
      </c>
      <c r="J561">
        <f>B561*(hospitalityq!J561="")</f>
        <v>0</v>
      </c>
      <c r="K561">
        <f>B561*(hospitalityq!K561="")</f>
        <v>0</v>
      </c>
      <c r="L561">
        <f>B561*(hospitalityq!L561="")</f>
        <v>0</v>
      </c>
      <c r="M561">
        <f>B561*(hospitalityq!M561="")</f>
        <v>0</v>
      </c>
      <c r="N561">
        <f>B561*(hospitalityq!N561="")</f>
        <v>0</v>
      </c>
      <c r="O561">
        <f>B561*(hospitalityq!O561="")</f>
        <v>0</v>
      </c>
      <c r="P561">
        <f>B561*(hospitalityq!P561="")</f>
        <v>0</v>
      </c>
      <c r="Q561">
        <f>B561*(hospitalityq!Q561="")</f>
        <v>0</v>
      </c>
      <c r="R561">
        <f>B561*(hospitalityq!R561="")</f>
        <v>0</v>
      </c>
    </row>
    <row r="562" spans="1:18" x14ac:dyDescent="0.25">
      <c r="A562">
        <f t="shared" si="9"/>
        <v>0</v>
      </c>
      <c r="B562" t="b">
        <f>SUMPRODUCT(LEN(hospitalityq!C562:R562))&gt;0</f>
        <v>0</v>
      </c>
      <c r="C562">
        <f>B562*(hospitalityq!C562="")</f>
        <v>0</v>
      </c>
      <c r="E562">
        <f>B562*(hospitalityq!E562="")</f>
        <v>0</v>
      </c>
      <c r="F562">
        <f>B562*(hospitalityq!F562="")</f>
        <v>0</v>
      </c>
      <c r="G562">
        <f>B562*(hospitalityq!G562="")</f>
        <v>0</v>
      </c>
      <c r="H562">
        <f>B562*(hospitalityq!H562="")</f>
        <v>0</v>
      </c>
      <c r="I562">
        <f>B562*(hospitalityq!I562="")</f>
        <v>0</v>
      </c>
      <c r="J562">
        <f>B562*(hospitalityq!J562="")</f>
        <v>0</v>
      </c>
      <c r="K562">
        <f>B562*(hospitalityq!K562="")</f>
        <v>0</v>
      </c>
      <c r="L562">
        <f>B562*(hospitalityq!L562="")</f>
        <v>0</v>
      </c>
      <c r="M562">
        <f>B562*(hospitalityq!M562="")</f>
        <v>0</v>
      </c>
      <c r="N562">
        <f>B562*(hospitalityq!N562="")</f>
        <v>0</v>
      </c>
      <c r="O562">
        <f>B562*(hospitalityq!O562="")</f>
        <v>0</v>
      </c>
      <c r="P562">
        <f>B562*(hospitalityq!P562="")</f>
        <v>0</v>
      </c>
      <c r="Q562">
        <f>B562*(hospitalityq!Q562="")</f>
        <v>0</v>
      </c>
      <c r="R562">
        <f>B562*(hospitalityq!R562="")</f>
        <v>0</v>
      </c>
    </row>
    <row r="563" spans="1:18" x14ac:dyDescent="0.25">
      <c r="A563">
        <f t="shared" si="9"/>
        <v>0</v>
      </c>
      <c r="B563" t="b">
        <f>SUMPRODUCT(LEN(hospitalityq!C563:R563))&gt;0</f>
        <v>0</v>
      </c>
      <c r="C563">
        <f>B563*(hospitalityq!C563="")</f>
        <v>0</v>
      </c>
      <c r="E563">
        <f>B563*(hospitalityq!E563="")</f>
        <v>0</v>
      </c>
      <c r="F563">
        <f>B563*(hospitalityq!F563="")</f>
        <v>0</v>
      </c>
      <c r="G563">
        <f>B563*(hospitalityq!G563="")</f>
        <v>0</v>
      </c>
      <c r="H563">
        <f>B563*(hospitalityq!H563="")</f>
        <v>0</v>
      </c>
      <c r="I563">
        <f>B563*(hospitalityq!I563="")</f>
        <v>0</v>
      </c>
      <c r="J563">
        <f>B563*(hospitalityq!J563="")</f>
        <v>0</v>
      </c>
      <c r="K563">
        <f>B563*(hospitalityq!K563="")</f>
        <v>0</v>
      </c>
      <c r="L563">
        <f>B563*(hospitalityq!L563="")</f>
        <v>0</v>
      </c>
      <c r="M563">
        <f>B563*(hospitalityq!M563="")</f>
        <v>0</v>
      </c>
      <c r="N563">
        <f>B563*(hospitalityq!N563="")</f>
        <v>0</v>
      </c>
      <c r="O563">
        <f>B563*(hospitalityq!O563="")</f>
        <v>0</v>
      </c>
      <c r="P563">
        <f>B563*(hospitalityq!P563="")</f>
        <v>0</v>
      </c>
      <c r="Q563">
        <f>B563*(hospitalityq!Q563="")</f>
        <v>0</v>
      </c>
      <c r="R563">
        <f>B563*(hospitalityq!R563="")</f>
        <v>0</v>
      </c>
    </row>
    <row r="564" spans="1:18" x14ac:dyDescent="0.25">
      <c r="A564">
        <f t="shared" si="9"/>
        <v>0</v>
      </c>
      <c r="B564" t="b">
        <f>SUMPRODUCT(LEN(hospitalityq!C564:R564))&gt;0</f>
        <v>0</v>
      </c>
      <c r="C564">
        <f>B564*(hospitalityq!C564="")</f>
        <v>0</v>
      </c>
      <c r="E564">
        <f>B564*(hospitalityq!E564="")</f>
        <v>0</v>
      </c>
      <c r="F564">
        <f>B564*(hospitalityq!F564="")</f>
        <v>0</v>
      </c>
      <c r="G564">
        <f>B564*(hospitalityq!G564="")</f>
        <v>0</v>
      </c>
      <c r="H564">
        <f>B564*(hospitalityq!H564="")</f>
        <v>0</v>
      </c>
      <c r="I564">
        <f>B564*(hospitalityq!I564="")</f>
        <v>0</v>
      </c>
      <c r="J564">
        <f>B564*(hospitalityq!J564="")</f>
        <v>0</v>
      </c>
      <c r="K564">
        <f>B564*(hospitalityq!K564="")</f>
        <v>0</v>
      </c>
      <c r="L564">
        <f>B564*(hospitalityq!L564="")</f>
        <v>0</v>
      </c>
      <c r="M564">
        <f>B564*(hospitalityq!M564="")</f>
        <v>0</v>
      </c>
      <c r="N564">
        <f>B564*(hospitalityq!N564="")</f>
        <v>0</v>
      </c>
      <c r="O564">
        <f>B564*(hospitalityq!O564="")</f>
        <v>0</v>
      </c>
      <c r="P564">
        <f>B564*(hospitalityq!P564="")</f>
        <v>0</v>
      </c>
      <c r="Q564">
        <f>B564*(hospitalityq!Q564="")</f>
        <v>0</v>
      </c>
      <c r="R564">
        <f>B564*(hospitalityq!R564="")</f>
        <v>0</v>
      </c>
    </row>
    <row r="565" spans="1:18" x14ac:dyDescent="0.25">
      <c r="A565">
        <f t="shared" si="9"/>
        <v>0</v>
      </c>
      <c r="B565" t="b">
        <f>SUMPRODUCT(LEN(hospitalityq!C565:R565))&gt;0</f>
        <v>0</v>
      </c>
      <c r="C565">
        <f>B565*(hospitalityq!C565="")</f>
        <v>0</v>
      </c>
      <c r="E565">
        <f>B565*(hospitalityq!E565="")</f>
        <v>0</v>
      </c>
      <c r="F565">
        <f>B565*(hospitalityq!F565="")</f>
        <v>0</v>
      </c>
      <c r="G565">
        <f>B565*(hospitalityq!G565="")</f>
        <v>0</v>
      </c>
      <c r="H565">
        <f>B565*(hospitalityq!H565="")</f>
        <v>0</v>
      </c>
      <c r="I565">
        <f>B565*(hospitalityq!I565="")</f>
        <v>0</v>
      </c>
      <c r="J565">
        <f>B565*(hospitalityq!J565="")</f>
        <v>0</v>
      </c>
      <c r="K565">
        <f>B565*(hospitalityq!K565="")</f>
        <v>0</v>
      </c>
      <c r="L565">
        <f>B565*(hospitalityq!L565="")</f>
        <v>0</v>
      </c>
      <c r="M565">
        <f>B565*(hospitalityq!M565="")</f>
        <v>0</v>
      </c>
      <c r="N565">
        <f>B565*(hospitalityq!N565="")</f>
        <v>0</v>
      </c>
      <c r="O565">
        <f>B565*(hospitalityq!O565="")</f>
        <v>0</v>
      </c>
      <c r="P565">
        <f>B565*(hospitalityq!P565="")</f>
        <v>0</v>
      </c>
      <c r="Q565">
        <f>B565*(hospitalityq!Q565="")</f>
        <v>0</v>
      </c>
      <c r="R565">
        <f>B565*(hospitalityq!R565="")</f>
        <v>0</v>
      </c>
    </row>
    <row r="566" spans="1:18" x14ac:dyDescent="0.25">
      <c r="A566">
        <f t="shared" si="9"/>
        <v>0</v>
      </c>
      <c r="B566" t="b">
        <f>SUMPRODUCT(LEN(hospitalityq!C566:R566))&gt;0</f>
        <v>0</v>
      </c>
      <c r="C566">
        <f>B566*(hospitalityq!C566="")</f>
        <v>0</v>
      </c>
      <c r="E566">
        <f>B566*(hospitalityq!E566="")</f>
        <v>0</v>
      </c>
      <c r="F566">
        <f>B566*(hospitalityq!F566="")</f>
        <v>0</v>
      </c>
      <c r="G566">
        <f>B566*(hospitalityq!G566="")</f>
        <v>0</v>
      </c>
      <c r="H566">
        <f>B566*(hospitalityq!H566="")</f>
        <v>0</v>
      </c>
      <c r="I566">
        <f>B566*(hospitalityq!I566="")</f>
        <v>0</v>
      </c>
      <c r="J566">
        <f>B566*(hospitalityq!J566="")</f>
        <v>0</v>
      </c>
      <c r="K566">
        <f>B566*(hospitalityq!K566="")</f>
        <v>0</v>
      </c>
      <c r="L566">
        <f>B566*(hospitalityq!L566="")</f>
        <v>0</v>
      </c>
      <c r="M566">
        <f>B566*(hospitalityq!M566="")</f>
        <v>0</v>
      </c>
      <c r="N566">
        <f>B566*(hospitalityq!N566="")</f>
        <v>0</v>
      </c>
      <c r="O566">
        <f>B566*(hospitalityq!O566="")</f>
        <v>0</v>
      </c>
      <c r="P566">
        <f>B566*(hospitalityq!P566="")</f>
        <v>0</v>
      </c>
      <c r="Q566">
        <f>B566*(hospitalityq!Q566="")</f>
        <v>0</v>
      </c>
      <c r="R566">
        <f>B566*(hospitalityq!R566="")</f>
        <v>0</v>
      </c>
    </row>
    <row r="567" spans="1:18" x14ac:dyDescent="0.25">
      <c r="A567">
        <f t="shared" si="9"/>
        <v>0</v>
      </c>
      <c r="B567" t="b">
        <f>SUMPRODUCT(LEN(hospitalityq!C567:R567))&gt;0</f>
        <v>0</v>
      </c>
      <c r="C567">
        <f>B567*(hospitalityq!C567="")</f>
        <v>0</v>
      </c>
      <c r="E567">
        <f>B567*(hospitalityq!E567="")</f>
        <v>0</v>
      </c>
      <c r="F567">
        <f>B567*(hospitalityq!F567="")</f>
        <v>0</v>
      </c>
      <c r="G567">
        <f>B567*(hospitalityq!G567="")</f>
        <v>0</v>
      </c>
      <c r="H567">
        <f>B567*(hospitalityq!H567="")</f>
        <v>0</v>
      </c>
      <c r="I567">
        <f>B567*(hospitalityq!I567="")</f>
        <v>0</v>
      </c>
      <c r="J567">
        <f>B567*(hospitalityq!J567="")</f>
        <v>0</v>
      </c>
      <c r="K567">
        <f>B567*(hospitalityq!K567="")</f>
        <v>0</v>
      </c>
      <c r="L567">
        <f>B567*(hospitalityq!L567="")</f>
        <v>0</v>
      </c>
      <c r="M567">
        <f>B567*(hospitalityq!M567="")</f>
        <v>0</v>
      </c>
      <c r="N567">
        <f>B567*(hospitalityq!N567="")</f>
        <v>0</v>
      </c>
      <c r="O567">
        <f>B567*(hospitalityq!O567="")</f>
        <v>0</v>
      </c>
      <c r="P567">
        <f>B567*(hospitalityq!P567="")</f>
        <v>0</v>
      </c>
      <c r="Q567">
        <f>B567*(hospitalityq!Q567="")</f>
        <v>0</v>
      </c>
      <c r="R567">
        <f>B567*(hospitalityq!R567="")</f>
        <v>0</v>
      </c>
    </row>
    <row r="568" spans="1:18" x14ac:dyDescent="0.25">
      <c r="A568">
        <f t="shared" si="9"/>
        <v>0</v>
      </c>
      <c r="B568" t="b">
        <f>SUMPRODUCT(LEN(hospitalityq!C568:R568))&gt;0</f>
        <v>0</v>
      </c>
      <c r="C568">
        <f>B568*(hospitalityq!C568="")</f>
        <v>0</v>
      </c>
      <c r="E568">
        <f>B568*(hospitalityq!E568="")</f>
        <v>0</v>
      </c>
      <c r="F568">
        <f>B568*(hospitalityq!F568="")</f>
        <v>0</v>
      </c>
      <c r="G568">
        <f>B568*(hospitalityq!G568="")</f>
        <v>0</v>
      </c>
      <c r="H568">
        <f>B568*(hospitalityq!H568="")</f>
        <v>0</v>
      </c>
      <c r="I568">
        <f>B568*(hospitalityq!I568="")</f>
        <v>0</v>
      </c>
      <c r="J568">
        <f>B568*(hospitalityq!J568="")</f>
        <v>0</v>
      </c>
      <c r="K568">
        <f>B568*(hospitalityq!K568="")</f>
        <v>0</v>
      </c>
      <c r="L568">
        <f>B568*(hospitalityq!L568="")</f>
        <v>0</v>
      </c>
      <c r="M568">
        <f>B568*(hospitalityq!M568="")</f>
        <v>0</v>
      </c>
      <c r="N568">
        <f>B568*(hospitalityq!N568="")</f>
        <v>0</v>
      </c>
      <c r="O568">
        <f>B568*(hospitalityq!O568="")</f>
        <v>0</v>
      </c>
      <c r="P568">
        <f>B568*(hospitalityq!P568="")</f>
        <v>0</v>
      </c>
      <c r="Q568">
        <f>B568*(hospitalityq!Q568="")</f>
        <v>0</v>
      </c>
      <c r="R568">
        <f>B568*(hospitalityq!R568="")</f>
        <v>0</v>
      </c>
    </row>
    <row r="569" spans="1:18" x14ac:dyDescent="0.25">
      <c r="A569">
        <f t="shared" si="9"/>
        <v>0</v>
      </c>
      <c r="B569" t="b">
        <f>SUMPRODUCT(LEN(hospitalityq!C569:R569))&gt;0</f>
        <v>0</v>
      </c>
      <c r="C569">
        <f>B569*(hospitalityq!C569="")</f>
        <v>0</v>
      </c>
      <c r="E569">
        <f>B569*(hospitalityq!E569="")</f>
        <v>0</v>
      </c>
      <c r="F569">
        <f>B569*(hospitalityq!F569="")</f>
        <v>0</v>
      </c>
      <c r="G569">
        <f>B569*(hospitalityq!G569="")</f>
        <v>0</v>
      </c>
      <c r="H569">
        <f>B569*(hospitalityq!H569="")</f>
        <v>0</v>
      </c>
      <c r="I569">
        <f>B569*(hospitalityq!I569="")</f>
        <v>0</v>
      </c>
      <c r="J569">
        <f>B569*(hospitalityq!J569="")</f>
        <v>0</v>
      </c>
      <c r="K569">
        <f>B569*(hospitalityq!K569="")</f>
        <v>0</v>
      </c>
      <c r="L569">
        <f>B569*(hospitalityq!L569="")</f>
        <v>0</v>
      </c>
      <c r="M569">
        <f>B569*(hospitalityq!M569="")</f>
        <v>0</v>
      </c>
      <c r="N569">
        <f>B569*(hospitalityq!N569="")</f>
        <v>0</v>
      </c>
      <c r="O569">
        <f>B569*(hospitalityq!O569="")</f>
        <v>0</v>
      </c>
      <c r="P569">
        <f>B569*(hospitalityq!P569="")</f>
        <v>0</v>
      </c>
      <c r="Q569">
        <f>B569*(hospitalityq!Q569="")</f>
        <v>0</v>
      </c>
      <c r="R569">
        <f>B569*(hospitalityq!R569="")</f>
        <v>0</v>
      </c>
    </row>
    <row r="570" spans="1:18" x14ac:dyDescent="0.25">
      <c r="A570">
        <f t="shared" si="9"/>
        <v>0</v>
      </c>
      <c r="B570" t="b">
        <f>SUMPRODUCT(LEN(hospitalityq!C570:R570))&gt;0</f>
        <v>0</v>
      </c>
      <c r="C570">
        <f>B570*(hospitalityq!C570="")</f>
        <v>0</v>
      </c>
      <c r="E570">
        <f>B570*(hospitalityq!E570="")</f>
        <v>0</v>
      </c>
      <c r="F570">
        <f>B570*(hospitalityq!F570="")</f>
        <v>0</v>
      </c>
      <c r="G570">
        <f>B570*(hospitalityq!G570="")</f>
        <v>0</v>
      </c>
      <c r="H570">
        <f>B570*(hospitalityq!H570="")</f>
        <v>0</v>
      </c>
      <c r="I570">
        <f>B570*(hospitalityq!I570="")</f>
        <v>0</v>
      </c>
      <c r="J570">
        <f>B570*(hospitalityq!J570="")</f>
        <v>0</v>
      </c>
      <c r="K570">
        <f>B570*(hospitalityq!K570="")</f>
        <v>0</v>
      </c>
      <c r="L570">
        <f>B570*(hospitalityq!L570="")</f>
        <v>0</v>
      </c>
      <c r="M570">
        <f>B570*(hospitalityq!M570="")</f>
        <v>0</v>
      </c>
      <c r="N570">
        <f>B570*(hospitalityq!N570="")</f>
        <v>0</v>
      </c>
      <c r="O570">
        <f>B570*(hospitalityq!O570="")</f>
        <v>0</v>
      </c>
      <c r="P570">
        <f>B570*(hospitalityq!P570="")</f>
        <v>0</v>
      </c>
      <c r="Q570">
        <f>B570*(hospitalityq!Q570="")</f>
        <v>0</v>
      </c>
      <c r="R570">
        <f>B570*(hospitalityq!R570="")</f>
        <v>0</v>
      </c>
    </row>
    <row r="571" spans="1:18" x14ac:dyDescent="0.25">
      <c r="A571">
        <f t="shared" si="9"/>
        <v>0</v>
      </c>
      <c r="B571" t="b">
        <f>SUMPRODUCT(LEN(hospitalityq!C571:R571))&gt;0</f>
        <v>0</v>
      </c>
      <c r="C571">
        <f>B571*(hospitalityq!C571="")</f>
        <v>0</v>
      </c>
      <c r="E571">
        <f>B571*(hospitalityq!E571="")</f>
        <v>0</v>
      </c>
      <c r="F571">
        <f>B571*(hospitalityq!F571="")</f>
        <v>0</v>
      </c>
      <c r="G571">
        <f>B571*(hospitalityq!G571="")</f>
        <v>0</v>
      </c>
      <c r="H571">
        <f>B571*(hospitalityq!H571="")</f>
        <v>0</v>
      </c>
      <c r="I571">
        <f>B571*(hospitalityq!I571="")</f>
        <v>0</v>
      </c>
      <c r="J571">
        <f>B571*(hospitalityq!J571="")</f>
        <v>0</v>
      </c>
      <c r="K571">
        <f>B571*(hospitalityq!K571="")</f>
        <v>0</v>
      </c>
      <c r="L571">
        <f>B571*(hospitalityq!L571="")</f>
        <v>0</v>
      </c>
      <c r="M571">
        <f>B571*(hospitalityq!M571="")</f>
        <v>0</v>
      </c>
      <c r="N571">
        <f>B571*(hospitalityq!N571="")</f>
        <v>0</v>
      </c>
      <c r="O571">
        <f>B571*(hospitalityq!O571="")</f>
        <v>0</v>
      </c>
      <c r="P571">
        <f>B571*(hospitalityq!P571="")</f>
        <v>0</v>
      </c>
      <c r="Q571">
        <f>B571*(hospitalityq!Q571="")</f>
        <v>0</v>
      </c>
      <c r="R571">
        <f>B571*(hospitalityq!R571="")</f>
        <v>0</v>
      </c>
    </row>
    <row r="572" spans="1:18" x14ac:dyDescent="0.25">
      <c r="A572">
        <f t="shared" si="9"/>
        <v>0</v>
      </c>
      <c r="B572" t="b">
        <f>SUMPRODUCT(LEN(hospitalityq!C572:R572))&gt;0</f>
        <v>0</v>
      </c>
      <c r="C572">
        <f>B572*(hospitalityq!C572="")</f>
        <v>0</v>
      </c>
      <c r="E572">
        <f>B572*(hospitalityq!E572="")</f>
        <v>0</v>
      </c>
      <c r="F572">
        <f>B572*(hospitalityq!F572="")</f>
        <v>0</v>
      </c>
      <c r="G572">
        <f>B572*(hospitalityq!G572="")</f>
        <v>0</v>
      </c>
      <c r="H572">
        <f>B572*(hospitalityq!H572="")</f>
        <v>0</v>
      </c>
      <c r="I572">
        <f>B572*(hospitalityq!I572="")</f>
        <v>0</v>
      </c>
      <c r="J572">
        <f>B572*(hospitalityq!J572="")</f>
        <v>0</v>
      </c>
      <c r="K572">
        <f>B572*(hospitalityq!K572="")</f>
        <v>0</v>
      </c>
      <c r="L572">
        <f>B572*(hospitalityq!L572="")</f>
        <v>0</v>
      </c>
      <c r="M572">
        <f>B572*(hospitalityq!M572="")</f>
        <v>0</v>
      </c>
      <c r="N572">
        <f>B572*(hospitalityq!N572="")</f>
        <v>0</v>
      </c>
      <c r="O572">
        <f>B572*(hospitalityq!O572="")</f>
        <v>0</v>
      </c>
      <c r="P572">
        <f>B572*(hospitalityq!P572="")</f>
        <v>0</v>
      </c>
      <c r="Q572">
        <f>B572*(hospitalityq!Q572="")</f>
        <v>0</v>
      </c>
      <c r="R572">
        <f>B572*(hospitalityq!R572="")</f>
        <v>0</v>
      </c>
    </row>
    <row r="573" spans="1:18" x14ac:dyDescent="0.25">
      <c r="A573">
        <f t="shared" si="9"/>
        <v>0</v>
      </c>
      <c r="B573" t="b">
        <f>SUMPRODUCT(LEN(hospitalityq!C573:R573))&gt;0</f>
        <v>0</v>
      </c>
      <c r="C573">
        <f>B573*(hospitalityq!C573="")</f>
        <v>0</v>
      </c>
      <c r="E573">
        <f>B573*(hospitalityq!E573="")</f>
        <v>0</v>
      </c>
      <c r="F573">
        <f>B573*(hospitalityq!F573="")</f>
        <v>0</v>
      </c>
      <c r="G573">
        <f>B573*(hospitalityq!G573="")</f>
        <v>0</v>
      </c>
      <c r="H573">
        <f>B573*(hospitalityq!H573="")</f>
        <v>0</v>
      </c>
      <c r="I573">
        <f>B573*(hospitalityq!I573="")</f>
        <v>0</v>
      </c>
      <c r="J573">
        <f>B573*(hospitalityq!J573="")</f>
        <v>0</v>
      </c>
      <c r="K573">
        <f>B573*(hospitalityq!K573="")</f>
        <v>0</v>
      </c>
      <c r="L573">
        <f>B573*(hospitalityq!L573="")</f>
        <v>0</v>
      </c>
      <c r="M573">
        <f>B573*(hospitalityq!M573="")</f>
        <v>0</v>
      </c>
      <c r="N573">
        <f>B573*(hospitalityq!N573="")</f>
        <v>0</v>
      </c>
      <c r="O573">
        <f>B573*(hospitalityq!O573="")</f>
        <v>0</v>
      </c>
      <c r="P573">
        <f>B573*(hospitalityq!P573="")</f>
        <v>0</v>
      </c>
      <c r="Q573">
        <f>B573*(hospitalityq!Q573="")</f>
        <v>0</v>
      </c>
      <c r="R573">
        <f>B573*(hospitalityq!R573="")</f>
        <v>0</v>
      </c>
    </row>
    <row r="574" spans="1:18" x14ac:dyDescent="0.25">
      <c r="A574">
        <f t="shared" si="9"/>
        <v>0</v>
      </c>
      <c r="B574" t="b">
        <f>SUMPRODUCT(LEN(hospitalityq!C574:R574))&gt;0</f>
        <v>0</v>
      </c>
      <c r="C574">
        <f>B574*(hospitalityq!C574="")</f>
        <v>0</v>
      </c>
      <c r="E574">
        <f>B574*(hospitalityq!E574="")</f>
        <v>0</v>
      </c>
      <c r="F574">
        <f>B574*(hospitalityq!F574="")</f>
        <v>0</v>
      </c>
      <c r="G574">
        <f>B574*(hospitalityq!G574="")</f>
        <v>0</v>
      </c>
      <c r="H574">
        <f>B574*(hospitalityq!H574="")</f>
        <v>0</v>
      </c>
      <c r="I574">
        <f>B574*(hospitalityq!I574="")</f>
        <v>0</v>
      </c>
      <c r="J574">
        <f>B574*(hospitalityq!J574="")</f>
        <v>0</v>
      </c>
      <c r="K574">
        <f>B574*(hospitalityq!K574="")</f>
        <v>0</v>
      </c>
      <c r="L574">
        <f>B574*(hospitalityq!L574="")</f>
        <v>0</v>
      </c>
      <c r="M574">
        <f>B574*(hospitalityq!M574="")</f>
        <v>0</v>
      </c>
      <c r="N574">
        <f>B574*(hospitalityq!N574="")</f>
        <v>0</v>
      </c>
      <c r="O574">
        <f>B574*(hospitalityq!O574="")</f>
        <v>0</v>
      </c>
      <c r="P574">
        <f>B574*(hospitalityq!P574="")</f>
        <v>0</v>
      </c>
      <c r="Q574">
        <f>B574*(hospitalityq!Q574="")</f>
        <v>0</v>
      </c>
      <c r="R574">
        <f>B574*(hospitalityq!R574="")</f>
        <v>0</v>
      </c>
    </row>
    <row r="575" spans="1:18" x14ac:dyDescent="0.25">
      <c r="A575">
        <f t="shared" si="9"/>
        <v>0</v>
      </c>
      <c r="B575" t="b">
        <f>SUMPRODUCT(LEN(hospitalityq!C575:R575))&gt;0</f>
        <v>0</v>
      </c>
      <c r="C575">
        <f>B575*(hospitalityq!C575="")</f>
        <v>0</v>
      </c>
      <c r="E575">
        <f>B575*(hospitalityq!E575="")</f>
        <v>0</v>
      </c>
      <c r="F575">
        <f>B575*(hospitalityq!F575="")</f>
        <v>0</v>
      </c>
      <c r="G575">
        <f>B575*(hospitalityq!G575="")</f>
        <v>0</v>
      </c>
      <c r="H575">
        <f>B575*(hospitalityq!H575="")</f>
        <v>0</v>
      </c>
      <c r="I575">
        <f>B575*(hospitalityq!I575="")</f>
        <v>0</v>
      </c>
      <c r="J575">
        <f>B575*(hospitalityq!J575="")</f>
        <v>0</v>
      </c>
      <c r="K575">
        <f>B575*(hospitalityq!K575="")</f>
        <v>0</v>
      </c>
      <c r="L575">
        <f>B575*(hospitalityq!L575="")</f>
        <v>0</v>
      </c>
      <c r="M575">
        <f>B575*(hospitalityq!M575="")</f>
        <v>0</v>
      </c>
      <c r="N575">
        <f>B575*(hospitalityq!N575="")</f>
        <v>0</v>
      </c>
      <c r="O575">
        <f>B575*(hospitalityq!O575="")</f>
        <v>0</v>
      </c>
      <c r="P575">
        <f>B575*(hospitalityq!P575="")</f>
        <v>0</v>
      </c>
      <c r="Q575">
        <f>B575*(hospitalityq!Q575="")</f>
        <v>0</v>
      </c>
      <c r="R575">
        <f>B575*(hospitalityq!R575="")</f>
        <v>0</v>
      </c>
    </row>
    <row r="576" spans="1:18" x14ac:dyDescent="0.25">
      <c r="A576">
        <f t="shared" si="9"/>
        <v>0</v>
      </c>
      <c r="B576" t="b">
        <f>SUMPRODUCT(LEN(hospitalityq!C576:R576))&gt;0</f>
        <v>0</v>
      </c>
      <c r="C576">
        <f>B576*(hospitalityq!C576="")</f>
        <v>0</v>
      </c>
      <c r="E576">
        <f>B576*(hospitalityq!E576="")</f>
        <v>0</v>
      </c>
      <c r="F576">
        <f>B576*(hospitalityq!F576="")</f>
        <v>0</v>
      </c>
      <c r="G576">
        <f>B576*(hospitalityq!G576="")</f>
        <v>0</v>
      </c>
      <c r="H576">
        <f>B576*(hospitalityq!H576="")</f>
        <v>0</v>
      </c>
      <c r="I576">
        <f>B576*(hospitalityq!I576="")</f>
        <v>0</v>
      </c>
      <c r="J576">
        <f>B576*(hospitalityq!J576="")</f>
        <v>0</v>
      </c>
      <c r="K576">
        <f>B576*(hospitalityq!K576="")</f>
        <v>0</v>
      </c>
      <c r="L576">
        <f>B576*(hospitalityq!L576="")</f>
        <v>0</v>
      </c>
      <c r="M576">
        <f>B576*(hospitalityq!M576="")</f>
        <v>0</v>
      </c>
      <c r="N576">
        <f>B576*(hospitalityq!N576="")</f>
        <v>0</v>
      </c>
      <c r="O576">
        <f>B576*(hospitalityq!O576="")</f>
        <v>0</v>
      </c>
      <c r="P576">
        <f>B576*(hospitalityq!P576="")</f>
        <v>0</v>
      </c>
      <c r="Q576">
        <f>B576*(hospitalityq!Q576="")</f>
        <v>0</v>
      </c>
      <c r="R576">
        <f>B576*(hospitalityq!R576="")</f>
        <v>0</v>
      </c>
    </row>
    <row r="577" spans="1:18" x14ac:dyDescent="0.25">
      <c r="A577">
        <f t="shared" si="9"/>
        <v>0</v>
      </c>
      <c r="B577" t="b">
        <f>SUMPRODUCT(LEN(hospitalityq!C577:R577))&gt;0</f>
        <v>0</v>
      </c>
      <c r="C577">
        <f>B577*(hospitalityq!C577="")</f>
        <v>0</v>
      </c>
      <c r="E577">
        <f>B577*(hospitalityq!E577="")</f>
        <v>0</v>
      </c>
      <c r="F577">
        <f>B577*(hospitalityq!F577="")</f>
        <v>0</v>
      </c>
      <c r="G577">
        <f>B577*(hospitalityq!G577="")</f>
        <v>0</v>
      </c>
      <c r="H577">
        <f>B577*(hospitalityq!H577="")</f>
        <v>0</v>
      </c>
      <c r="I577">
        <f>B577*(hospitalityq!I577="")</f>
        <v>0</v>
      </c>
      <c r="J577">
        <f>B577*(hospitalityq!J577="")</f>
        <v>0</v>
      </c>
      <c r="K577">
        <f>B577*(hospitalityq!K577="")</f>
        <v>0</v>
      </c>
      <c r="L577">
        <f>B577*(hospitalityq!L577="")</f>
        <v>0</v>
      </c>
      <c r="M577">
        <f>B577*(hospitalityq!M577="")</f>
        <v>0</v>
      </c>
      <c r="N577">
        <f>B577*(hospitalityq!N577="")</f>
        <v>0</v>
      </c>
      <c r="O577">
        <f>B577*(hospitalityq!O577="")</f>
        <v>0</v>
      </c>
      <c r="P577">
        <f>B577*(hospitalityq!P577="")</f>
        <v>0</v>
      </c>
      <c r="Q577">
        <f>B577*(hospitalityq!Q577="")</f>
        <v>0</v>
      </c>
      <c r="R577">
        <f>B577*(hospitalityq!R577="")</f>
        <v>0</v>
      </c>
    </row>
    <row r="578" spans="1:18" x14ac:dyDescent="0.25">
      <c r="A578">
        <f t="shared" si="9"/>
        <v>0</v>
      </c>
      <c r="B578" t="b">
        <f>SUMPRODUCT(LEN(hospitalityq!C578:R578))&gt;0</f>
        <v>0</v>
      </c>
      <c r="C578">
        <f>B578*(hospitalityq!C578="")</f>
        <v>0</v>
      </c>
      <c r="E578">
        <f>B578*(hospitalityq!E578="")</f>
        <v>0</v>
      </c>
      <c r="F578">
        <f>B578*(hospitalityq!F578="")</f>
        <v>0</v>
      </c>
      <c r="G578">
        <f>B578*(hospitalityq!G578="")</f>
        <v>0</v>
      </c>
      <c r="H578">
        <f>B578*(hospitalityq!H578="")</f>
        <v>0</v>
      </c>
      <c r="I578">
        <f>B578*(hospitalityq!I578="")</f>
        <v>0</v>
      </c>
      <c r="J578">
        <f>B578*(hospitalityq!J578="")</f>
        <v>0</v>
      </c>
      <c r="K578">
        <f>B578*(hospitalityq!K578="")</f>
        <v>0</v>
      </c>
      <c r="L578">
        <f>B578*(hospitalityq!L578="")</f>
        <v>0</v>
      </c>
      <c r="M578">
        <f>B578*(hospitalityq!M578="")</f>
        <v>0</v>
      </c>
      <c r="N578">
        <f>B578*(hospitalityq!N578="")</f>
        <v>0</v>
      </c>
      <c r="O578">
        <f>B578*(hospitalityq!O578="")</f>
        <v>0</v>
      </c>
      <c r="P578">
        <f>B578*(hospitalityq!P578="")</f>
        <v>0</v>
      </c>
      <c r="Q578">
        <f>B578*(hospitalityq!Q578="")</f>
        <v>0</v>
      </c>
      <c r="R578">
        <f>B578*(hospitalityq!R578="")</f>
        <v>0</v>
      </c>
    </row>
    <row r="579" spans="1:18" x14ac:dyDescent="0.25">
      <c r="A579">
        <f t="shared" si="9"/>
        <v>0</v>
      </c>
      <c r="B579" t="b">
        <f>SUMPRODUCT(LEN(hospitalityq!C579:R579))&gt;0</f>
        <v>0</v>
      </c>
      <c r="C579">
        <f>B579*(hospitalityq!C579="")</f>
        <v>0</v>
      </c>
      <c r="E579">
        <f>B579*(hospitalityq!E579="")</f>
        <v>0</v>
      </c>
      <c r="F579">
        <f>B579*(hospitalityq!F579="")</f>
        <v>0</v>
      </c>
      <c r="G579">
        <f>B579*(hospitalityq!G579="")</f>
        <v>0</v>
      </c>
      <c r="H579">
        <f>B579*(hospitalityq!H579="")</f>
        <v>0</v>
      </c>
      <c r="I579">
        <f>B579*(hospitalityq!I579="")</f>
        <v>0</v>
      </c>
      <c r="J579">
        <f>B579*(hospitalityq!J579="")</f>
        <v>0</v>
      </c>
      <c r="K579">
        <f>B579*(hospitalityq!K579="")</f>
        <v>0</v>
      </c>
      <c r="L579">
        <f>B579*(hospitalityq!L579="")</f>
        <v>0</v>
      </c>
      <c r="M579">
        <f>B579*(hospitalityq!M579="")</f>
        <v>0</v>
      </c>
      <c r="N579">
        <f>B579*(hospitalityq!N579="")</f>
        <v>0</v>
      </c>
      <c r="O579">
        <f>B579*(hospitalityq!O579="")</f>
        <v>0</v>
      </c>
      <c r="P579">
        <f>B579*(hospitalityq!P579="")</f>
        <v>0</v>
      </c>
      <c r="Q579">
        <f>B579*(hospitalityq!Q579="")</f>
        <v>0</v>
      </c>
      <c r="R579">
        <f>B579*(hospitalityq!R579="")</f>
        <v>0</v>
      </c>
    </row>
    <row r="580" spans="1:18" x14ac:dyDescent="0.25">
      <c r="A580">
        <f t="shared" si="9"/>
        <v>0</v>
      </c>
      <c r="B580" t="b">
        <f>SUMPRODUCT(LEN(hospitalityq!C580:R580))&gt;0</f>
        <v>0</v>
      </c>
      <c r="C580">
        <f>B580*(hospitalityq!C580="")</f>
        <v>0</v>
      </c>
      <c r="E580">
        <f>B580*(hospitalityq!E580="")</f>
        <v>0</v>
      </c>
      <c r="F580">
        <f>B580*(hospitalityq!F580="")</f>
        <v>0</v>
      </c>
      <c r="G580">
        <f>B580*(hospitalityq!G580="")</f>
        <v>0</v>
      </c>
      <c r="H580">
        <f>B580*(hospitalityq!H580="")</f>
        <v>0</v>
      </c>
      <c r="I580">
        <f>B580*(hospitalityq!I580="")</f>
        <v>0</v>
      </c>
      <c r="J580">
        <f>B580*(hospitalityq!J580="")</f>
        <v>0</v>
      </c>
      <c r="K580">
        <f>B580*(hospitalityq!K580="")</f>
        <v>0</v>
      </c>
      <c r="L580">
        <f>B580*(hospitalityq!L580="")</f>
        <v>0</v>
      </c>
      <c r="M580">
        <f>B580*(hospitalityq!M580="")</f>
        <v>0</v>
      </c>
      <c r="N580">
        <f>B580*(hospitalityq!N580="")</f>
        <v>0</v>
      </c>
      <c r="O580">
        <f>B580*(hospitalityq!O580="")</f>
        <v>0</v>
      </c>
      <c r="P580">
        <f>B580*(hospitalityq!P580="")</f>
        <v>0</v>
      </c>
      <c r="Q580">
        <f>B580*(hospitalityq!Q580="")</f>
        <v>0</v>
      </c>
      <c r="R580">
        <f>B580*(hospitalityq!R580="")</f>
        <v>0</v>
      </c>
    </row>
    <row r="581" spans="1:18" x14ac:dyDescent="0.25">
      <c r="A581">
        <f t="shared" si="9"/>
        <v>0</v>
      </c>
      <c r="B581" t="b">
        <f>SUMPRODUCT(LEN(hospitalityq!C581:R581))&gt;0</f>
        <v>0</v>
      </c>
      <c r="C581">
        <f>B581*(hospitalityq!C581="")</f>
        <v>0</v>
      </c>
      <c r="E581">
        <f>B581*(hospitalityq!E581="")</f>
        <v>0</v>
      </c>
      <c r="F581">
        <f>B581*(hospitalityq!F581="")</f>
        <v>0</v>
      </c>
      <c r="G581">
        <f>B581*(hospitalityq!G581="")</f>
        <v>0</v>
      </c>
      <c r="H581">
        <f>B581*(hospitalityq!H581="")</f>
        <v>0</v>
      </c>
      <c r="I581">
        <f>B581*(hospitalityq!I581="")</f>
        <v>0</v>
      </c>
      <c r="J581">
        <f>B581*(hospitalityq!J581="")</f>
        <v>0</v>
      </c>
      <c r="K581">
        <f>B581*(hospitalityq!K581="")</f>
        <v>0</v>
      </c>
      <c r="L581">
        <f>B581*(hospitalityq!L581="")</f>
        <v>0</v>
      </c>
      <c r="M581">
        <f>B581*(hospitalityq!M581="")</f>
        <v>0</v>
      </c>
      <c r="N581">
        <f>B581*(hospitalityq!N581="")</f>
        <v>0</v>
      </c>
      <c r="O581">
        <f>B581*(hospitalityq!O581="")</f>
        <v>0</v>
      </c>
      <c r="P581">
        <f>B581*(hospitalityq!P581="")</f>
        <v>0</v>
      </c>
      <c r="Q581">
        <f>B581*(hospitalityq!Q581="")</f>
        <v>0</v>
      </c>
      <c r="R581">
        <f>B581*(hospitalityq!R581="")</f>
        <v>0</v>
      </c>
    </row>
    <row r="582" spans="1:18" x14ac:dyDescent="0.25">
      <c r="A582">
        <f t="shared" ref="A582:A645" si="10">IFERROR(MATCH(TRUE,INDEX(C582:R582&lt;&gt;0,),)+2,0)</f>
        <v>0</v>
      </c>
      <c r="B582" t="b">
        <f>SUMPRODUCT(LEN(hospitalityq!C582:R582))&gt;0</f>
        <v>0</v>
      </c>
      <c r="C582">
        <f>B582*(hospitalityq!C582="")</f>
        <v>0</v>
      </c>
      <c r="E582">
        <f>B582*(hospitalityq!E582="")</f>
        <v>0</v>
      </c>
      <c r="F582">
        <f>B582*(hospitalityq!F582="")</f>
        <v>0</v>
      </c>
      <c r="G582">
        <f>B582*(hospitalityq!G582="")</f>
        <v>0</v>
      </c>
      <c r="H582">
        <f>B582*(hospitalityq!H582="")</f>
        <v>0</v>
      </c>
      <c r="I582">
        <f>B582*(hospitalityq!I582="")</f>
        <v>0</v>
      </c>
      <c r="J582">
        <f>B582*(hospitalityq!J582="")</f>
        <v>0</v>
      </c>
      <c r="K582">
        <f>B582*(hospitalityq!K582="")</f>
        <v>0</v>
      </c>
      <c r="L582">
        <f>B582*(hospitalityq!L582="")</f>
        <v>0</v>
      </c>
      <c r="M582">
        <f>B582*(hospitalityq!M582="")</f>
        <v>0</v>
      </c>
      <c r="N582">
        <f>B582*(hospitalityq!N582="")</f>
        <v>0</v>
      </c>
      <c r="O582">
        <f>B582*(hospitalityq!O582="")</f>
        <v>0</v>
      </c>
      <c r="P582">
        <f>B582*(hospitalityq!P582="")</f>
        <v>0</v>
      </c>
      <c r="Q582">
        <f>B582*(hospitalityq!Q582="")</f>
        <v>0</v>
      </c>
      <c r="R582">
        <f>B582*(hospitalityq!R582="")</f>
        <v>0</v>
      </c>
    </row>
    <row r="583" spans="1:18" x14ac:dyDescent="0.25">
      <c r="A583">
        <f t="shared" si="10"/>
        <v>0</v>
      </c>
      <c r="B583" t="b">
        <f>SUMPRODUCT(LEN(hospitalityq!C583:R583))&gt;0</f>
        <v>0</v>
      </c>
      <c r="C583">
        <f>B583*(hospitalityq!C583="")</f>
        <v>0</v>
      </c>
      <c r="E583">
        <f>B583*(hospitalityq!E583="")</f>
        <v>0</v>
      </c>
      <c r="F583">
        <f>B583*(hospitalityq!F583="")</f>
        <v>0</v>
      </c>
      <c r="G583">
        <f>B583*(hospitalityq!G583="")</f>
        <v>0</v>
      </c>
      <c r="H583">
        <f>B583*(hospitalityq!H583="")</f>
        <v>0</v>
      </c>
      <c r="I583">
        <f>B583*(hospitalityq!I583="")</f>
        <v>0</v>
      </c>
      <c r="J583">
        <f>B583*(hospitalityq!J583="")</f>
        <v>0</v>
      </c>
      <c r="K583">
        <f>B583*(hospitalityq!K583="")</f>
        <v>0</v>
      </c>
      <c r="L583">
        <f>B583*(hospitalityq!L583="")</f>
        <v>0</v>
      </c>
      <c r="M583">
        <f>B583*(hospitalityq!M583="")</f>
        <v>0</v>
      </c>
      <c r="N583">
        <f>B583*(hospitalityq!N583="")</f>
        <v>0</v>
      </c>
      <c r="O583">
        <f>B583*(hospitalityq!O583="")</f>
        <v>0</v>
      </c>
      <c r="P583">
        <f>B583*(hospitalityq!P583="")</f>
        <v>0</v>
      </c>
      <c r="Q583">
        <f>B583*(hospitalityq!Q583="")</f>
        <v>0</v>
      </c>
      <c r="R583">
        <f>B583*(hospitalityq!R583="")</f>
        <v>0</v>
      </c>
    </row>
    <row r="584" spans="1:18" x14ac:dyDescent="0.25">
      <c r="A584">
        <f t="shared" si="10"/>
        <v>0</v>
      </c>
      <c r="B584" t="b">
        <f>SUMPRODUCT(LEN(hospitalityq!C584:R584))&gt;0</f>
        <v>0</v>
      </c>
      <c r="C584">
        <f>B584*(hospitalityq!C584="")</f>
        <v>0</v>
      </c>
      <c r="E584">
        <f>B584*(hospitalityq!E584="")</f>
        <v>0</v>
      </c>
      <c r="F584">
        <f>B584*(hospitalityq!F584="")</f>
        <v>0</v>
      </c>
      <c r="G584">
        <f>B584*(hospitalityq!G584="")</f>
        <v>0</v>
      </c>
      <c r="H584">
        <f>B584*(hospitalityq!H584="")</f>
        <v>0</v>
      </c>
      <c r="I584">
        <f>B584*(hospitalityq!I584="")</f>
        <v>0</v>
      </c>
      <c r="J584">
        <f>B584*(hospitalityq!J584="")</f>
        <v>0</v>
      </c>
      <c r="K584">
        <f>B584*(hospitalityq!K584="")</f>
        <v>0</v>
      </c>
      <c r="L584">
        <f>B584*(hospitalityq!L584="")</f>
        <v>0</v>
      </c>
      <c r="M584">
        <f>B584*(hospitalityq!M584="")</f>
        <v>0</v>
      </c>
      <c r="N584">
        <f>B584*(hospitalityq!N584="")</f>
        <v>0</v>
      </c>
      <c r="O584">
        <f>B584*(hospitalityq!O584="")</f>
        <v>0</v>
      </c>
      <c r="P584">
        <f>B584*(hospitalityq!P584="")</f>
        <v>0</v>
      </c>
      <c r="Q584">
        <f>B584*(hospitalityq!Q584="")</f>
        <v>0</v>
      </c>
      <c r="R584">
        <f>B584*(hospitalityq!R584="")</f>
        <v>0</v>
      </c>
    </row>
    <row r="585" spans="1:18" x14ac:dyDescent="0.25">
      <c r="A585">
        <f t="shared" si="10"/>
        <v>0</v>
      </c>
      <c r="B585" t="b">
        <f>SUMPRODUCT(LEN(hospitalityq!C585:R585))&gt;0</f>
        <v>0</v>
      </c>
      <c r="C585">
        <f>B585*(hospitalityq!C585="")</f>
        <v>0</v>
      </c>
      <c r="E585">
        <f>B585*(hospitalityq!E585="")</f>
        <v>0</v>
      </c>
      <c r="F585">
        <f>B585*(hospitalityq!F585="")</f>
        <v>0</v>
      </c>
      <c r="G585">
        <f>B585*(hospitalityq!G585="")</f>
        <v>0</v>
      </c>
      <c r="H585">
        <f>B585*(hospitalityq!H585="")</f>
        <v>0</v>
      </c>
      <c r="I585">
        <f>B585*(hospitalityq!I585="")</f>
        <v>0</v>
      </c>
      <c r="J585">
        <f>B585*(hospitalityq!J585="")</f>
        <v>0</v>
      </c>
      <c r="K585">
        <f>B585*(hospitalityq!K585="")</f>
        <v>0</v>
      </c>
      <c r="L585">
        <f>B585*(hospitalityq!L585="")</f>
        <v>0</v>
      </c>
      <c r="M585">
        <f>B585*(hospitalityq!M585="")</f>
        <v>0</v>
      </c>
      <c r="N585">
        <f>B585*(hospitalityq!N585="")</f>
        <v>0</v>
      </c>
      <c r="O585">
        <f>B585*(hospitalityq!O585="")</f>
        <v>0</v>
      </c>
      <c r="P585">
        <f>B585*(hospitalityq!P585="")</f>
        <v>0</v>
      </c>
      <c r="Q585">
        <f>B585*(hospitalityq!Q585="")</f>
        <v>0</v>
      </c>
      <c r="R585">
        <f>B585*(hospitalityq!R585="")</f>
        <v>0</v>
      </c>
    </row>
    <row r="586" spans="1:18" x14ac:dyDescent="0.25">
      <c r="A586">
        <f t="shared" si="10"/>
        <v>0</v>
      </c>
      <c r="B586" t="b">
        <f>SUMPRODUCT(LEN(hospitalityq!C586:R586))&gt;0</f>
        <v>0</v>
      </c>
      <c r="C586">
        <f>B586*(hospitalityq!C586="")</f>
        <v>0</v>
      </c>
      <c r="E586">
        <f>B586*(hospitalityq!E586="")</f>
        <v>0</v>
      </c>
      <c r="F586">
        <f>B586*(hospitalityq!F586="")</f>
        <v>0</v>
      </c>
      <c r="G586">
        <f>B586*(hospitalityq!G586="")</f>
        <v>0</v>
      </c>
      <c r="H586">
        <f>B586*(hospitalityq!H586="")</f>
        <v>0</v>
      </c>
      <c r="I586">
        <f>B586*(hospitalityq!I586="")</f>
        <v>0</v>
      </c>
      <c r="J586">
        <f>B586*(hospitalityq!J586="")</f>
        <v>0</v>
      </c>
      <c r="K586">
        <f>B586*(hospitalityq!K586="")</f>
        <v>0</v>
      </c>
      <c r="L586">
        <f>B586*(hospitalityq!L586="")</f>
        <v>0</v>
      </c>
      <c r="M586">
        <f>B586*(hospitalityq!M586="")</f>
        <v>0</v>
      </c>
      <c r="N586">
        <f>B586*(hospitalityq!N586="")</f>
        <v>0</v>
      </c>
      <c r="O586">
        <f>B586*(hospitalityq!O586="")</f>
        <v>0</v>
      </c>
      <c r="P586">
        <f>B586*(hospitalityq!P586="")</f>
        <v>0</v>
      </c>
      <c r="Q586">
        <f>B586*(hospitalityq!Q586="")</f>
        <v>0</v>
      </c>
      <c r="R586">
        <f>B586*(hospitalityq!R586="")</f>
        <v>0</v>
      </c>
    </row>
    <row r="587" spans="1:18" x14ac:dyDescent="0.25">
      <c r="A587">
        <f t="shared" si="10"/>
        <v>0</v>
      </c>
      <c r="B587" t="b">
        <f>SUMPRODUCT(LEN(hospitalityq!C587:R587))&gt;0</f>
        <v>0</v>
      </c>
      <c r="C587">
        <f>B587*(hospitalityq!C587="")</f>
        <v>0</v>
      </c>
      <c r="E587">
        <f>B587*(hospitalityq!E587="")</f>
        <v>0</v>
      </c>
      <c r="F587">
        <f>B587*(hospitalityq!F587="")</f>
        <v>0</v>
      </c>
      <c r="G587">
        <f>B587*(hospitalityq!G587="")</f>
        <v>0</v>
      </c>
      <c r="H587">
        <f>B587*(hospitalityq!H587="")</f>
        <v>0</v>
      </c>
      <c r="I587">
        <f>B587*(hospitalityq!I587="")</f>
        <v>0</v>
      </c>
      <c r="J587">
        <f>B587*(hospitalityq!J587="")</f>
        <v>0</v>
      </c>
      <c r="K587">
        <f>B587*(hospitalityq!K587="")</f>
        <v>0</v>
      </c>
      <c r="L587">
        <f>B587*(hospitalityq!L587="")</f>
        <v>0</v>
      </c>
      <c r="M587">
        <f>B587*(hospitalityq!M587="")</f>
        <v>0</v>
      </c>
      <c r="N587">
        <f>B587*(hospitalityq!N587="")</f>
        <v>0</v>
      </c>
      <c r="O587">
        <f>B587*(hospitalityq!O587="")</f>
        <v>0</v>
      </c>
      <c r="P587">
        <f>B587*(hospitalityq!P587="")</f>
        <v>0</v>
      </c>
      <c r="Q587">
        <f>B587*(hospitalityq!Q587="")</f>
        <v>0</v>
      </c>
      <c r="R587">
        <f>B587*(hospitalityq!R587="")</f>
        <v>0</v>
      </c>
    </row>
    <row r="588" spans="1:18" x14ac:dyDescent="0.25">
      <c r="A588">
        <f t="shared" si="10"/>
        <v>0</v>
      </c>
      <c r="B588" t="b">
        <f>SUMPRODUCT(LEN(hospitalityq!C588:R588))&gt;0</f>
        <v>0</v>
      </c>
      <c r="C588">
        <f>B588*(hospitalityq!C588="")</f>
        <v>0</v>
      </c>
      <c r="E588">
        <f>B588*(hospitalityq!E588="")</f>
        <v>0</v>
      </c>
      <c r="F588">
        <f>B588*(hospitalityq!F588="")</f>
        <v>0</v>
      </c>
      <c r="G588">
        <f>B588*(hospitalityq!G588="")</f>
        <v>0</v>
      </c>
      <c r="H588">
        <f>B588*(hospitalityq!H588="")</f>
        <v>0</v>
      </c>
      <c r="I588">
        <f>B588*(hospitalityq!I588="")</f>
        <v>0</v>
      </c>
      <c r="J588">
        <f>B588*(hospitalityq!J588="")</f>
        <v>0</v>
      </c>
      <c r="K588">
        <f>B588*(hospitalityq!K588="")</f>
        <v>0</v>
      </c>
      <c r="L588">
        <f>B588*(hospitalityq!L588="")</f>
        <v>0</v>
      </c>
      <c r="M588">
        <f>B588*(hospitalityq!M588="")</f>
        <v>0</v>
      </c>
      <c r="N588">
        <f>B588*(hospitalityq!N588="")</f>
        <v>0</v>
      </c>
      <c r="O588">
        <f>B588*(hospitalityq!O588="")</f>
        <v>0</v>
      </c>
      <c r="P588">
        <f>B588*(hospitalityq!P588="")</f>
        <v>0</v>
      </c>
      <c r="Q588">
        <f>B588*(hospitalityq!Q588="")</f>
        <v>0</v>
      </c>
      <c r="R588">
        <f>B588*(hospitalityq!R588="")</f>
        <v>0</v>
      </c>
    </row>
    <row r="589" spans="1:18" x14ac:dyDescent="0.25">
      <c r="A589">
        <f t="shared" si="10"/>
        <v>0</v>
      </c>
      <c r="B589" t="b">
        <f>SUMPRODUCT(LEN(hospitalityq!C589:R589))&gt;0</f>
        <v>0</v>
      </c>
      <c r="C589">
        <f>B589*(hospitalityq!C589="")</f>
        <v>0</v>
      </c>
      <c r="E589">
        <f>B589*(hospitalityq!E589="")</f>
        <v>0</v>
      </c>
      <c r="F589">
        <f>B589*(hospitalityq!F589="")</f>
        <v>0</v>
      </c>
      <c r="G589">
        <f>B589*(hospitalityq!G589="")</f>
        <v>0</v>
      </c>
      <c r="H589">
        <f>B589*(hospitalityq!H589="")</f>
        <v>0</v>
      </c>
      <c r="I589">
        <f>B589*(hospitalityq!I589="")</f>
        <v>0</v>
      </c>
      <c r="J589">
        <f>B589*(hospitalityq!J589="")</f>
        <v>0</v>
      </c>
      <c r="K589">
        <f>B589*(hospitalityq!K589="")</f>
        <v>0</v>
      </c>
      <c r="L589">
        <f>B589*(hospitalityq!L589="")</f>
        <v>0</v>
      </c>
      <c r="M589">
        <f>B589*(hospitalityq!M589="")</f>
        <v>0</v>
      </c>
      <c r="N589">
        <f>B589*(hospitalityq!N589="")</f>
        <v>0</v>
      </c>
      <c r="O589">
        <f>B589*(hospitalityq!O589="")</f>
        <v>0</v>
      </c>
      <c r="P589">
        <f>B589*(hospitalityq!P589="")</f>
        <v>0</v>
      </c>
      <c r="Q589">
        <f>B589*(hospitalityq!Q589="")</f>
        <v>0</v>
      </c>
      <c r="R589">
        <f>B589*(hospitalityq!R589="")</f>
        <v>0</v>
      </c>
    </row>
    <row r="590" spans="1:18" x14ac:dyDescent="0.25">
      <c r="A590">
        <f t="shared" si="10"/>
        <v>0</v>
      </c>
      <c r="B590" t="b">
        <f>SUMPRODUCT(LEN(hospitalityq!C590:R590))&gt;0</f>
        <v>0</v>
      </c>
      <c r="C590">
        <f>B590*(hospitalityq!C590="")</f>
        <v>0</v>
      </c>
      <c r="E590">
        <f>B590*(hospitalityq!E590="")</f>
        <v>0</v>
      </c>
      <c r="F590">
        <f>B590*(hospitalityq!F590="")</f>
        <v>0</v>
      </c>
      <c r="G590">
        <f>B590*(hospitalityq!G590="")</f>
        <v>0</v>
      </c>
      <c r="H590">
        <f>B590*(hospitalityq!H590="")</f>
        <v>0</v>
      </c>
      <c r="I590">
        <f>B590*(hospitalityq!I590="")</f>
        <v>0</v>
      </c>
      <c r="J590">
        <f>B590*(hospitalityq!J590="")</f>
        <v>0</v>
      </c>
      <c r="K590">
        <f>B590*(hospitalityq!K590="")</f>
        <v>0</v>
      </c>
      <c r="L590">
        <f>B590*(hospitalityq!L590="")</f>
        <v>0</v>
      </c>
      <c r="M590">
        <f>B590*(hospitalityq!M590="")</f>
        <v>0</v>
      </c>
      <c r="N590">
        <f>B590*(hospitalityq!N590="")</f>
        <v>0</v>
      </c>
      <c r="O590">
        <f>B590*(hospitalityq!O590="")</f>
        <v>0</v>
      </c>
      <c r="P590">
        <f>B590*(hospitalityq!P590="")</f>
        <v>0</v>
      </c>
      <c r="Q590">
        <f>B590*(hospitalityq!Q590="")</f>
        <v>0</v>
      </c>
      <c r="R590">
        <f>B590*(hospitalityq!R590="")</f>
        <v>0</v>
      </c>
    </row>
    <row r="591" spans="1:18" x14ac:dyDescent="0.25">
      <c r="A591">
        <f t="shared" si="10"/>
        <v>0</v>
      </c>
      <c r="B591" t="b">
        <f>SUMPRODUCT(LEN(hospitalityq!C591:R591))&gt;0</f>
        <v>0</v>
      </c>
      <c r="C591">
        <f>B591*(hospitalityq!C591="")</f>
        <v>0</v>
      </c>
      <c r="E591">
        <f>B591*(hospitalityq!E591="")</f>
        <v>0</v>
      </c>
      <c r="F591">
        <f>B591*(hospitalityq!F591="")</f>
        <v>0</v>
      </c>
      <c r="G591">
        <f>B591*(hospitalityq!G591="")</f>
        <v>0</v>
      </c>
      <c r="H591">
        <f>B591*(hospitalityq!H591="")</f>
        <v>0</v>
      </c>
      <c r="I591">
        <f>B591*(hospitalityq!I591="")</f>
        <v>0</v>
      </c>
      <c r="J591">
        <f>B591*(hospitalityq!J591="")</f>
        <v>0</v>
      </c>
      <c r="K591">
        <f>B591*(hospitalityq!K591="")</f>
        <v>0</v>
      </c>
      <c r="L591">
        <f>B591*(hospitalityq!L591="")</f>
        <v>0</v>
      </c>
      <c r="M591">
        <f>B591*(hospitalityq!M591="")</f>
        <v>0</v>
      </c>
      <c r="N591">
        <f>B591*(hospitalityq!N591="")</f>
        <v>0</v>
      </c>
      <c r="O591">
        <f>B591*(hospitalityq!O591="")</f>
        <v>0</v>
      </c>
      <c r="P591">
        <f>B591*(hospitalityq!P591="")</f>
        <v>0</v>
      </c>
      <c r="Q591">
        <f>B591*(hospitalityq!Q591="")</f>
        <v>0</v>
      </c>
      <c r="R591">
        <f>B591*(hospitalityq!R591="")</f>
        <v>0</v>
      </c>
    </row>
    <row r="592" spans="1:18" x14ac:dyDescent="0.25">
      <c r="A592">
        <f t="shared" si="10"/>
        <v>0</v>
      </c>
      <c r="B592" t="b">
        <f>SUMPRODUCT(LEN(hospitalityq!C592:R592))&gt;0</f>
        <v>0</v>
      </c>
      <c r="C592">
        <f>B592*(hospitalityq!C592="")</f>
        <v>0</v>
      </c>
      <c r="E592">
        <f>B592*(hospitalityq!E592="")</f>
        <v>0</v>
      </c>
      <c r="F592">
        <f>B592*(hospitalityq!F592="")</f>
        <v>0</v>
      </c>
      <c r="G592">
        <f>B592*(hospitalityq!G592="")</f>
        <v>0</v>
      </c>
      <c r="H592">
        <f>B592*(hospitalityq!H592="")</f>
        <v>0</v>
      </c>
      <c r="I592">
        <f>B592*(hospitalityq!I592="")</f>
        <v>0</v>
      </c>
      <c r="J592">
        <f>B592*(hospitalityq!J592="")</f>
        <v>0</v>
      </c>
      <c r="K592">
        <f>B592*(hospitalityq!K592="")</f>
        <v>0</v>
      </c>
      <c r="L592">
        <f>B592*(hospitalityq!L592="")</f>
        <v>0</v>
      </c>
      <c r="M592">
        <f>B592*(hospitalityq!M592="")</f>
        <v>0</v>
      </c>
      <c r="N592">
        <f>B592*(hospitalityq!N592="")</f>
        <v>0</v>
      </c>
      <c r="O592">
        <f>B592*(hospitalityq!O592="")</f>
        <v>0</v>
      </c>
      <c r="P592">
        <f>B592*(hospitalityq!P592="")</f>
        <v>0</v>
      </c>
      <c r="Q592">
        <f>B592*(hospitalityq!Q592="")</f>
        <v>0</v>
      </c>
      <c r="R592">
        <f>B592*(hospitalityq!R592="")</f>
        <v>0</v>
      </c>
    </row>
    <row r="593" spans="1:18" x14ac:dyDescent="0.25">
      <c r="A593">
        <f t="shared" si="10"/>
        <v>0</v>
      </c>
      <c r="B593" t="b">
        <f>SUMPRODUCT(LEN(hospitalityq!C593:R593))&gt;0</f>
        <v>0</v>
      </c>
      <c r="C593">
        <f>B593*(hospitalityq!C593="")</f>
        <v>0</v>
      </c>
      <c r="E593">
        <f>B593*(hospitalityq!E593="")</f>
        <v>0</v>
      </c>
      <c r="F593">
        <f>B593*(hospitalityq!F593="")</f>
        <v>0</v>
      </c>
      <c r="G593">
        <f>B593*(hospitalityq!G593="")</f>
        <v>0</v>
      </c>
      <c r="H593">
        <f>B593*(hospitalityq!H593="")</f>
        <v>0</v>
      </c>
      <c r="I593">
        <f>B593*(hospitalityq!I593="")</f>
        <v>0</v>
      </c>
      <c r="J593">
        <f>B593*(hospitalityq!J593="")</f>
        <v>0</v>
      </c>
      <c r="K593">
        <f>B593*(hospitalityq!K593="")</f>
        <v>0</v>
      </c>
      <c r="L593">
        <f>B593*(hospitalityq!L593="")</f>
        <v>0</v>
      </c>
      <c r="M593">
        <f>B593*(hospitalityq!M593="")</f>
        <v>0</v>
      </c>
      <c r="N593">
        <f>B593*(hospitalityq!N593="")</f>
        <v>0</v>
      </c>
      <c r="O593">
        <f>B593*(hospitalityq!O593="")</f>
        <v>0</v>
      </c>
      <c r="P593">
        <f>B593*(hospitalityq!P593="")</f>
        <v>0</v>
      </c>
      <c r="Q593">
        <f>B593*(hospitalityq!Q593="")</f>
        <v>0</v>
      </c>
      <c r="R593">
        <f>B593*(hospitalityq!R593="")</f>
        <v>0</v>
      </c>
    </row>
    <row r="594" spans="1:18" x14ac:dyDescent="0.25">
      <c r="A594">
        <f t="shared" si="10"/>
        <v>0</v>
      </c>
      <c r="B594" t="b">
        <f>SUMPRODUCT(LEN(hospitalityq!C594:R594))&gt;0</f>
        <v>0</v>
      </c>
      <c r="C594">
        <f>B594*(hospitalityq!C594="")</f>
        <v>0</v>
      </c>
      <c r="E594">
        <f>B594*(hospitalityq!E594="")</f>
        <v>0</v>
      </c>
      <c r="F594">
        <f>B594*(hospitalityq!F594="")</f>
        <v>0</v>
      </c>
      <c r="G594">
        <f>B594*(hospitalityq!G594="")</f>
        <v>0</v>
      </c>
      <c r="H594">
        <f>B594*(hospitalityq!H594="")</f>
        <v>0</v>
      </c>
      <c r="I594">
        <f>B594*(hospitalityq!I594="")</f>
        <v>0</v>
      </c>
      <c r="J594">
        <f>B594*(hospitalityq!J594="")</f>
        <v>0</v>
      </c>
      <c r="K594">
        <f>B594*(hospitalityq!K594="")</f>
        <v>0</v>
      </c>
      <c r="L594">
        <f>B594*(hospitalityq!L594="")</f>
        <v>0</v>
      </c>
      <c r="M594">
        <f>B594*(hospitalityq!M594="")</f>
        <v>0</v>
      </c>
      <c r="N594">
        <f>B594*(hospitalityq!N594="")</f>
        <v>0</v>
      </c>
      <c r="O594">
        <f>B594*(hospitalityq!O594="")</f>
        <v>0</v>
      </c>
      <c r="P594">
        <f>B594*(hospitalityq!P594="")</f>
        <v>0</v>
      </c>
      <c r="Q594">
        <f>B594*(hospitalityq!Q594="")</f>
        <v>0</v>
      </c>
      <c r="R594">
        <f>B594*(hospitalityq!R594="")</f>
        <v>0</v>
      </c>
    </row>
    <row r="595" spans="1:18" x14ac:dyDescent="0.25">
      <c r="A595">
        <f t="shared" si="10"/>
        <v>0</v>
      </c>
      <c r="B595" t="b">
        <f>SUMPRODUCT(LEN(hospitalityq!C595:R595))&gt;0</f>
        <v>0</v>
      </c>
      <c r="C595">
        <f>B595*(hospitalityq!C595="")</f>
        <v>0</v>
      </c>
      <c r="E595">
        <f>B595*(hospitalityq!E595="")</f>
        <v>0</v>
      </c>
      <c r="F595">
        <f>B595*(hospitalityq!F595="")</f>
        <v>0</v>
      </c>
      <c r="G595">
        <f>B595*(hospitalityq!G595="")</f>
        <v>0</v>
      </c>
      <c r="H595">
        <f>B595*(hospitalityq!H595="")</f>
        <v>0</v>
      </c>
      <c r="I595">
        <f>B595*(hospitalityq!I595="")</f>
        <v>0</v>
      </c>
      <c r="J595">
        <f>B595*(hospitalityq!J595="")</f>
        <v>0</v>
      </c>
      <c r="K595">
        <f>B595*(hospitalityq!K595="")</f>
        <v>0</v>
      </c>
      <c r="L595">
        <f>B595*(hospitalityq!L595="")</f>
        <v>0</v>
      </c>
      <c r="M595">
        <f>B595*(hospitalityq!M595="")</f>
        <v>0</v>
      </c>
      <c r="N595">
        <f>B595*(hospitalityq!N595="")</f>
        <v>0</v>
      </c>
      <c r="O595">
        <f>B595*(hospitalityq!O595="")</f>
        <v>0</v>
      </c>
      <c r="P595">
        <f>B595*(hospitalityq!P595="")</f>
        <v>0</v>
      </c>
      <c r="Q595">
        <f>B595*(hospitalityq!Q595="")</f>
        <v>0</v>
      </c>
      <c r="R595">
        <f>B595*(hospitalityq!R595="")</f>
        <v>0</v>
      </c>
    </row>
    <row r="596" spans="1:18" x14ac:dyDescent="0.25">
      <c r="A596">
        <f t="shared" si="10"/>
        <v>0</v>
      </c>
      <c r="B596" t="b">
        <f>SUMPRODUCT(LEN(hospitalityq!C596:R596))&gt;0</f>
        <v>0</v>
      </c>
      <c r="C596">
        <f>B596*(hospitalityq!C596="")</f>
        <v>0</v>
      </c>
      <c r="E596">
        <f>B596*(hospitalityq!E596="")</f>
        <v>0</v>
      </c>
      <c r="F596">
        <f>B596*(hospitalityq!F596="")</f>
        <v>0</v>
      </c>
      <c r="G596">
        <f>B596*(hospitalityq!G596="")</f>
        <v>0</v>
      </c>
      <c r="H596">
        <f>B596*(hospitalityq!H596="")</f>
        <v>0</v>
      </c>
      <c r="I596">
        <f>B596*(hospitalityq!I596="")</f>
        <v>0</v>
      </c>
      <c r="J596">
        <f>B596*(hospitalityq!J596="")</f>
        <v>0</v>
      </c>
      <c r="K596">
        <f>B596*(hospitalityq!K596="")</f>
        <v>0</v>
      </c>
      <c r="L596">
        <f>B596*(hospitalityq!L596="")</f>
        <v>0</v>
      </c>
      <c r="M596">
        <f>B596*(hospitalityq!M596="")</f>
        <v>0</v>
      </c>
      <c r="N596">
        <f>B596*(hospitalityq!N596="")</f>
        <v>0</v>
      </c>
      <c r="O596">
        <f>B596*(hospitalityq!O596="")</f>
        <v>0</v>
      </c>
      <c r="P596">
        <f>B596*(hospitalityq!P596="")</f>
        <v>0</v>
      </c>
      <c r="Q596">
        <f>B596*(hospitalityq!Q596="")</f>
        <v>0</v>
      </c>
      <c r="R596">
        <f>B596*(hospitalityq!R596="")</f>
        <v>0</v>
      </c>
    </row>
    <row r="597" spans="1:18" x14ac:dyDescent="0.25">
      <c r="A597">
        <f t="shared" si="10"/>
        <v>0</v>
      </c>
      <c r="B597" t="b">
        <f>SUMPRODUCT(LEN(hospitalityq!C597:R597))&gt;0</f>
        <v>0</v>
      </c>
      <c r="C597">
        <f>B597*(hospitalityq!C597="")</f>
        <v>0</v>
      </c>
      <c r="E597">
        <f>B597*(hospitalityq!E597="")</f>
        <v>0</v>
      </c>
      <c r="F597">
        <f>B597*(hospitalityq!F597="")</f>
        <v>0</v>
      </c>
      <c r="G597">
        <f>B597*(hospitalityq!G597="")</f>
        <v>0</v>
      </c>
      <c r="H597">
        <f>B597*(hospitalityq!H597="")</f>
        <v>0</v>
      </c>
      <c r="I597">
        <f>B597*(hospitalityq!I597="")</f>
        <v>0</v>
      </c>
      <c r="J597">
        <f>B597*(hospitalityq!J597="")</f>
        <v>0</v>
      </c>
      <c r="K597">
        <f>B597*(hospitalityq!K597="")</f>
        <v>0</v>
      </c>
      <c r="L597">
        <f>B597*(hospitalityq!L597="")</f>
        <v>0</v>
      </c>
      <c r="M597">
        <f>B597*(hospitalityq!M597="")</f>
        <v>0</v>
      </c>
      <c r="N597">
        <f>B597*(hospitalityq!N597="")</f>
        <v>0</v>
      </c>
      <c r="O597">
        <f>B597*(hospitalityq!O597="")</f>
        <v>0</v>
      </c>
      <c r="P597">
        <f>B597*(hospitalityq!P597="")</f>
        <v>0</v>
      </c>
      <c r="Q597">
        <f>B597*(hospitalityq!Q597="")</f>
        <v>0</v>
      </c>
      <c r="R597">
        <f>B597*(hospitalityq!R597="")</f>
        <v>0</v>
      </c>
    </row>
    <row r="598" spans="1:18" x14ac:dyDescent="0.25">
      <c r="A598">
        <f t="shared" si="10"/>
        <v>0</v>
      </c>
      <c r="B598" t="b">
        <f>SUMPRODUCT(LEN(hospitalityq!C598:R598))&gt;0</f>
        <v>0</v>
      </c>
      <c r="C598">
        <f>B598*(hospitalityq!C598="")</f>
        <v>0</v>
      </c>
      <c r="E598">
        <f>B598*(hospitalityq!E598="")</f>
        <v>0</v>
      </c>
      <c r="F598">
        <f>B598*(hospitalityq!F598="")</f>
        <v>0</v>
      </c>
      <c r="G598">
        <f>B598*(hospitalityq!G598="")</f>
        <v>0</v>
      </c>
      <c r="H598">
        <f>B598*(hospitalityq!H598="")</f>
        <v>0</v>
      </c>
      <c r="I598">
        <f>B598*(hospitalityq!I598="")</f>
        <v>0</v>
      </c>
      <c r="J598">
        <f>B598*(hospitalityq!J598="")</f>
        <v>0</v>
      </c>
      <c r="K598">
        <f>B598*(hospitalityq!K598="")</f>
        <v>0</v>
      </c>
      <c r="L598">
        <f>B598*(hospitalityq!L598="")</f>
        <v>0</v>
      </c>
      <c r="M598">
        <f>B598*(hospitalityq!M598="")</f>
        <v>0</v>
      </c>
      <c r="N598">
        <f>B598*(hospitalityq!N598="")</f>
        <v>0</v>
      </c>
      <c r="O598">
        <f>B598*(hospitalityq!O598="")</f>
        <v>0</v>
      </c>
      <c r="P598">
        <f>B598*(hospitalityq!P598="")</f>
        <v>0</v>
      </c>
      <c r="Q598">
        <f>B598*(hospitalityq!Q598="")</f>
        <v>0</v>
      </c>
      <c r="R598">
        <f>B598*(hospitalityq!R598="")</f>
        <v>0</v>
      </c>
    </row>
    <row r="599" spans="1:18" x14ac:dyDescent="0.25">
      <c r="A599">
        <f t="shared" si="10"/>
        <v>0</v>
      </c>
      <c r="B599" t="b">
        <f>SUMPRODUCT(LEN(hospitalityq!C599:R599))&gt;0</f>
        <v>0</v>
      </c>
      <c r="C599">
        <f>B599*(hospitalityq!C599="")</f>
        <v>0</v>
      </c>
      <c r="E599">
        <f>B599*(hospitalityq!E599="")</f>
        <v>0</v>
      </c>
      <c r="F599">
        <f>B599*(hospitalityq!F599="")</f>
        <v>0</v>
      </c>
      <c r="G599">
        <f>B599*(hospitalityq!G599="")</f>
        <v>0</v>
      </c>
      <c r="H599">
        <f>B599*(hospitalityq!H599="")</f>
        <v>0</v>
      </c>
      <c r="I599">
        <f>B599*(hospitalityq!I599="")</f>
        <v>0</v>
      </c>
      <c r="J599">
        <f>B599*(hospitalityq!J599="")</f>
        <v>0</v>
      </c>
      <c r="K599">
        <f>B599*(hospitalityq!K599="")</f>
        <v>0</v>
      </c>
      <c r="L599">
        <f>B599*(hospitalityq!L599="")</f>
        <v>0</v>
      </c>
      <c r="M599">
        <f>B599*(hospitalityq!M599="")</f>
        <v>0</v>
      </c>
      <c r="N599">
        <f>B599*(hospitalityq!N599="")</f>
        <v>0</v>
      </c>
      <c r="O599">
        <f>B599*(hospitalityq!O599="")</f>
        <v>0</v>
      </c>
      <c r="P599">
        <f>B599*(hospitalityq!P599="")</f>
        <v>0</v>
      </c>
      <c r="Q599">
        <f>B599*(hospitalityq!Q599="")</f>
        <v>0</v>
      </c>
      <c r="R599">
        <f>B599*(hospitalityq!R599="")</f>
        <v>0</v>
      </c>
    </row>
    <row r="600" spans="1:18" x14ac:dyDescent="0.25">
      <c r="A600">
        <f t="shared" si="10"/>
        <v>0</v>
      </c>
      <c r="B600" t="b">
        <f>SUMPRODUCT(LEN(hospitalityq!C600:R600))&gt;0</f>
        <v>0</v>
      </c>
      <c r="C600">
        <f>B600*(hospitalityq!C600="")</f>
        <v>0</v>
      </c>
      <c r="E600">
        <f>B600*(hospitalityq!E600="")</f>
        <v>0</v>
      </c>
      <c r="F600">
        <f>B600*(hospitalityq!F600="")</f>
        <v>0</v>
      </c>
      <c r="G600">
        <f>B600*(hospitalityq!G600="")</f>
        <v>0</v>
      </c>
      <c r="H600">
        <f>B600*(hospitalityq!H600="")</f>
        <v>0</v>
      </c>
      <c r="I600">
        <f>B600*(hospitalityq!I600="")</f>
        <v>0</v>
      </c>
      <c r="J600">
        <f>B600*(hospitalityq!J600="")</f>
        <v>0</v>
      </c>
      <c r="K600">
        <f>B600*(hospitalityq!K600="")</f>
        <v>0</v>
      </c>
      <c r="L600">
        <f>B600*(hospitalityq!L600="")</f>
        <v>0</v>
      </c>
      <c r="M600">
        <f>B600*(hospitalityq!M600="")</f>
        <v>0</v>
      </c>
      <c r="N600">
        <f>B600*(hospitalityq!N600="")</f>
        <v>0</v>
      </c>
      <c r="O600">
        <f>B600*(hospitalityq!O600="")</f>
        <v>0</v>
      </c>
      <c r="P600">
        <f>B600*(hospitalityq!P600="")</f>
        <v>0</v>
      </c>
      <c r="Q600">
        <f>B600*(hospitalityq!Q600="")</f>
        <v>0</v>
      </c>
      <c r="R600">
        <f>B600*(hospitalityq!R600="")</f>
        <v>0</v>
      </c>
    </row>
    <row r="601" spans="1:18" x14ac:dyDescent="0.25">
      <c r="A601">
        <f t="shared" si="10"/>
        <v>0</v>
      </c>
      <c r="B601" t="b">
        <f>SUMPRODUCT(LEN(hospitalityq!C601:R601))&gt;0</f>
        <v>0</v>
      </c>
      <c r="C601">
        <f>B601*(hospitalityq!C601="")</f>
        <v>0</v>
      </c>
      <c r="E601">
        <f>B601*(hospitalityq!E601="")</f>
        <v>0</v>
      </c>
      <c r="F601">
        <f>B601*(hospitalityq!F601="")</f>
        <v>0</v>
      </c>
      <c r="G601">
        <f>B601*(hospitalityq!G601="")</f>
        <v>0</v>
      </c>
      <c r="H601">
        <f>B601*(hospitalityq!H601="")</f>
        <v>0</v>
      </c>
      <c r="I601">
        <f>B601*(hospitalityq!I601="")</f>
        <v>0</v>
      </c>
      <c r="J601">
        <f>B601*(hospitalityq!J601="")</f>
        <v>0</v>
      </c>
      <c r="K601">
        <f>B601*(hospitalityq!K601="")</f>
        <v>0</v>
      </c>
      <c r="L601">
        <f>B601*(hospitalityq!L601="")</f>
        <v>0</v>
      </c>
      <c r="M601">
        <f>B601*(hospitalityq!M601="")</f>
        <v>0</v>
      </c>
      <c r="N601">
        <f>B601*(hospitalityq!N601="")</f>
        <v>0</v>
      </c>
      <c r="O601">
        <f>B601*(hospitalityq!O601="")</f>
        <v>0</v>
      </c>
      <c r="P601">
        <f>B601*(hospitalityq!P601="")</f>
        <v>0</v>
      </c>
      <c r="Q601">
        <f>B601*(hospitalityq!Q601="")</f>
        <v>0</v>
      </c>
      <c r="R601">
        <f>B601*(hospitalityq!R601="")</f>
        <v>0</v>
      </c>
    </row>
    <row r="602" spans="1:18" x14ac:dyDescent="0.25">
      <c r="A602">
        <f t="shared" si="10"/>
        <v>0</v>
      </c>
      <c r="B602" t="b">
        <f>SUMPRODUCT(LEN(hospitalityq!C602:R602))&gt;0</f>
        <v>0</v>
      </c>
      <c r="C602">
        <f>B602*(hospitalityq!C602="")</f>
        <v>0</v>
      </c>
      <c r="E602">
        <f>B602*(hospitalityq!E602="")</f>
        <v>0</v>
      </c>
      <c r="F602">
        <f>B602*(hospitalityq!F602="")</f>
        <v>0</v>
      </c>
      <c r="G602">
        <f>B602*(hospitalityq!G602="")</f>
        <v>0</v>
      </c>
      <c r="H602">
        <f>B602*(hospitalityq!H602="")</f>
        <v>0</v>
      </c>
      <c r="I602">
        <f>B602*(hospitalityq!I602="")</f>
        <v>0</v>
      </c>
      <c r="J602">
        <f>B602*(hospitalityq!J602="")</f>
        <v>0</v>
      </c>
      <c r="K602">
        <f>B602*(hospitalityq!K602="")</f>
        <v>0</v>
      </c>
      <c r="L602">
        <f>B602*(hospitalityq!L602="")</f>
        <v>0</v>
      </c>
      <c r="M602">
        <f>B602*(hospitalityq!M602="")</f>
        <v>0</v>
      </c>
      <c r="N602">
        <f>B602*(hospitalityq!N602="")</f>
        <v>0</v>
      </c>
      <c r="O602">
        <f>B602*(hospitalityq!O602="")</f>
        <v>0</v>
      </c>
      <c r="P602">
        <f>B602*(hospitalityq!P602="")</f>
        <v>0</v>
      </c>
      <c r="Q602">
        <f>B602*(hospitalityq!Q602="")</f>
        <v>0</v>
      </c>
      <c r="R602">
        <f>B602*(hospitalityq!R602="")</f>
        <v>0</v>
      </c>
    </row>
    <row r="603" spans="1:18" x14ac:dyDescent="0.25">
      <c r="A603">
        <f t="shared" si="10"/>
        <v>0</v>
      </c>
      <c r="B603" t="b">
        <f>SUMPRODUCT(LEN(hospitalityq!C603:R603))&gt;0</f>
        <v>0</v>
      </c>
      <c r="C603">
        <f>B603*(hospitalityq!C603="")</f>
        <v>0</v>
      </c>
      <c r="E603">
        <f>B603*(hospitalityq!E603="")</f>
        <v>0</v>
      </c>
      <c r="F603">
        <f>B603*(hospitalityq!F603="")</f>
        <v>0</v>
      </c>
      <c r="G603">
        <f>B603*(hospitalityq!G603="")</f>
        <v>0</v>
      </c>
      <c r="H603">
        <f>B603*(hospitalityq!H603="")</f>
        <v>0</v>
      </c>
      <c r="I603">
        <f>B603*(hospitalityq!I603="")</f>
        <v>0</v>
      </c>
      <c r="J603">
        <f>B603*(hospitalityq!J603="")</f>
        <v>0</v>
      </c>
      <c r="K603">
        <f>B603*(hospitalityq!K603="")</f>
        <v>0</v>
      </c>
      <c r="L603">
        <f>B603*(hospitalityq!L603="")</f>
        <v>0</v>
      </c>
      <c r="M603">
        <f>B603*(hospitalityq!M603="")</f>
        <v>0</v>
      </c>
      <c r="N603">
        <f>B603*(hospitalityq!N603="")</f>
        <v>0</v>
      </c>
      <c r="O603">
        <f>B603*(hospitalityq!O603="")</f>
        <v>0</v>
      </c>
      <c r="P603">
        <f>B603*(hospitalityq!P603="")</f>
        <v>0</v>
      </c>
      <c r="Q603">
        <f>B603*(hospitalityq!Q603="")</f>
        <v>0</v>
      </c>
      <c r="R603">
        <f>B603*(hospitalityq!R603="")</f>
        <v>0</v>
      </c>
    </row>
    <row r="604" spans="1:18" x14ac:dyDescent="0.25">
      <c r="A604">
        <f t="shared" si="10"/>
        <v>0</v>
      </c>
      <c r="B604" t="b">
        <f>SUMPRODUCT(LEN(hospitalityq!C604:R604))&gt;0</f>
        <v>0</v>
      </c>
      <c r="C604">
        <f>B604*(hospitalityq!C604="")</f>
        <v>0</v>
      </c>
      <c r="E604">
        <f>B604*(hospitalityq!E604="")</f>
        <v>0</v>
      </c>
      <c r="F604">
        <f>B604*(hospitalityq!F604="")</f>
        <v>0</v>
      </c>
      <c r="G604">
        <f>B604*(hospitalityq!G604="")</f>
        <v>0</v>
      </c>
      <c r="H604">
        <f>B604*(hospitalityq!H604="")</f>
        <v>0</v>
      </c>
      <c r="I604">
        <f>B604*(hospitalityq!I604="")</f>
        <v>0</v>
      </c>
      <c r="J604">
        <f>B604*(hospitalityq!J604="")</f>
        <v>0</v>
      </c>
      <c r="K604">
        <f>B604*(hospitalityq!K604="")</f>
        <v>0</v>
      </c>
      <c r="L604">
        <f>B604*(hospitalityq!L604="")</f>
        <v>0</v>
      </c>
      <c r="M604">
        <f>B604*(hospitalityq!M604="")</f>
        <v>0</v>
      </c>
      <c r="N604">
        <f>B604*(hospitalityq!N604="")</f>
        <v>0</v>
      </c>
      <c r="O604">
        <f>B604*(hospitalityq!O604="")</f>
        <v>0</v>
      </c>
      <c r="P604">
        <f>B604*(hospitalityq!P604="")</f>
        <v>0</v>
      </c>
      <c r="Q604">
        <f>B604*(hospitalityq!Q604="")</f>
        <v>0</v>
      </c>
      <c r="R604">
        <f>B604*(hospitalityq!R604="")</f>
        <v>0</v>
      </c>
    </row>
    <row r="605" spans="1:18" x14ac:dyDescent="0.25">
      <c r="A605">
        <f t="shared" si="10"/>
        <v>0</v>
      </c>
      <c r="B605" t="b">
        <f>SUMPRODUCT(LEN(hospitalityq!C605:R605))&gt;0</f>
        <v>0</v>
      </c>
      <c r="C605">
        <f>B605*(hospitalityq!C605="")</f>
        <v>0</v>
      </c>
      <c r="E605">
        <f>B605*(hospitalityq!E605="")</f>
        <v>0</v>
      </c>
      <c r="F605">
        <f>B605*(hospitalityq!F605="")</f>
        <v>0</v>
      </c>
      <c r="G605">
        <f>B605*(hospitalityq!G605="")</f>
        <v>0</v>
      </c>
      <c r="H605">
        <f>B605*(hospitalityq!H605="")</f>
        <v>0</v>
      </c>
      <c r="I605">
        <f>B605*(hospitalityq!I605="")</f>
        <v>0</v>
      </c>
      <c r="J605">
        <f>B605*(hospitalityq!J605="")</f>
        <v>0</v>
      </c>
      <c r="K605">
        <f>B605*(hospitalityq!K605="")</f>
        <v>0</v>
      </c>
      <c r="L605">
        <f>B605*(hospitalityq!L605="")</f>
        <v>0</v>
      </c>
      <c r="M605">
        <f>B605*(hospitalityq!M605="")</f>
        <v>0</v>
      </c>
      <c r="N605">
        <f>B605*(hospitalityq!N605="")</f>
        <v>0</v>
      </c>
      <c r="O605">
        <f>B605*(hospitalityq!O605="")</f>
        <v>0</v>
      </c>
      <c r="P605">
        <f>B605*(hospitalityq!P605="")</f>
        <v>0</v>
      </c>
      <c r="Q605">
        <f>B605*(hospitalityq!Q605="")</f>
        <v>0</v>
      </c>
      <c r="R605">
        <f>B605*(hospitalityq!R605="")</f>
        <v>0</v>
      </c>
    </row>
    <row r="606" spans="1:18" x14ac:dyDescent="0.25">
      <c r="A606">
        <f t="shared" si="10"/>
        <v>0</v>
      </c>
      <c r="B606" t="b">
        <f>SUMPRODUCT(LEN(hospitalityq!C606:R606))&gt;0</f>
        <v>0</v>
      </c>
      <c r="C606">
        <f>B606*(hospitalityq!C606="")</f>
        <v>0</v>
      </c>
      <c r="E606">
        <f>B606*(hospitalityq!E606="")</f>
        <v>0</v>
      </c>
      <c r="F606">
        <f>B606*(hospitalityq!F606="")</f>
        <v>0</v>
      </c>
      <c r="G606">
        <f>B606*(hospitalityq!G606="")</f>
        <v>0</v>
      </c>
      <c r="H606">
        <f>B606*(hospitalityq!H606="")</f>
        <v>0</v>
      </c>
      <c r="I606">
        <f>B606*(hospitalityq!I606="")</f>
        <v>0</v>
      </c>
      <c r="J606">
        <f>B606*(hospitalityq!J606="")</f>
        <v>0</v>
      </c>
      <c r="K606">
        <f>B606*(hospitalityq!K606="")</f>
        <v>0</v>
      </c>
      <c r="L606">
        <f>B606*(hospitalityq!L606="")</f>
        <v>0</v>
      </c>
      <c r="M606">
        <f>B606*(hospitalityq!M606="")</f>
        <v>0</v>
      </c>
      <c r="N606">
        <f>B606*(hospitalityq!N606="")</f>
        <v>0</v>
      </c>
      <c r="O606">
        <f>B606*(hospitalityq!O606="")</f>
        <v>0</v>
      </c>
      <c r="P606">
        <f>B606*(hospitalityq!P606="")</f>
        <v>0</v>
      </c>
      <c r="Q606">
        <f>B606*(hospitalityq!Q606="")</f>
        <v>0</v>
      </c>
      <c r="R606">
        <f>B606*(hospitalityq!R606="")</f>
        <v>0</v>
      </c>
    </row>
    <row r="607" spans="1:18" x14ac:dyDescent="0.25">
      <c r="A607">
        <f t="shared" si="10"/>
        <v>0</v>
      </c>
      <c r="B607" t="b">
        <f>SUMPRODUCT(LEN(hospitalityq!C607:R607))&gt;0</f>
        <v>0</v>
      </c>
      <c r="C607">
        <f>B607*(hospitalityq!C607="")</f>
        <v>0</v>
      </c>
      <c r="E607">
        <f>B607*(hospitalityq!E607="")</f>
        <v>0</v>
      </c>
      <c r="F607">
        <f>B607*(hospitalityq!F607="")</f>
        <v>0</v>
      </c>
      <c r="G607">
        <f>B607*(hospitalityq!G607="")</f>
        <v>0</v>
      </c>
      <c r="H607">
        <f>B607*(hospitalityq!H607="")</f>
        <v>0</v>
      </c>
      <c r="I607">
        <f>B607*(hospitalityq!I607="")</f>
        <v>0</v>
      </c>
      <c r="J607">
        <f>B607*(hospitalityq!J607="")</f>
        <v>0</v>
      </c>
      <c r="K607">
        <f>B607*(hospitalityq!K607="")</f>
        <v>0</v>
      </c>
      <c r="L607">
        <f>B607*(hospitalityq!L607="")</f>
        <v>0</v>
      </c>
      <c r="M607">
        <f>B607*(hospitalityq!M607="")</f>
        <v>0</v>
      </c>
      <c r="N607">
        <f>B607*(hospitalityq!N607="")</f>
        <v>0</v>
      </c>
      <c r="O607">
        <f>B607*(hospitalityq!O607="")</f>
        <v>0</v>
      </c>
      <c r="P607">
        <f>B607*(hospitalityq!P607="")</f>
        <v>0</v>
      </c>
      <c r="Q607">
        <f>B607*(hospitalityq!Q607="")</f>
        <v>0</v>
      </c>
      <c r="R607">
        <f>B607*(hospitalityq!R607="")</f>
        <v>0</v>
      </c>
    </row>
    <row r="608" spans="1:18" x14ac:dyDescent="0.25">
      <c r="A608">
        <f t="shared" si="10"/>
        <v>0</v>
      </c>
      <c r="B608" t="b">
        <f>SUMPRODUCT(LEN(hospitalityq!C608:R608))&gt;0</f>
        <v>0</v>
      </c>
      <c r="C608">
        <f>B608*(hospitalityq!C608="")</f>
        <v>0</v>
      </c>
      <c r="E608">
        <f>B608*(hospitalityq!E608="")</f>
        <v>0</v>
      </c>
      <c r="F608">
        <f>B608*(hospitalityq!F608="")</f>
        <v>0</v>
      </c>
      <c r="G608">
        <f>B608*(hospitalityq!G608="")</f>
        <v>0</v>
      </c>
      <c r="H608">
        <f>B608*(hospitalityq!H608="")</f>
        <v>0</v>
      </c>
      <c r="I608">
        <f>B608*(hospitalityq!I608="")</f>
        <v>0</v>
      </c>
      <c r="J608">
        <f>B608*(hospitalityq!J608="")</f>
        <v>0</v>
      </c>
      <c r="K608">
        <f>B608*(hospitalityq!K608="")</f>
        <v>0</v>
      </c>
      <c r="L608">
        <f>B608*(hospitalityq!L608="")</f>
        <v>0</v>
      </c>
      <c r="M608">
        <f>B608*(hospitalityq!M608="")</f>
        <v>0</v>
      </c>
      <c r="N608">
        <f>B608*(hospitalityq!N608="")</f>
        <v>0</v>
      </c>
      <c r="O608">
        <f>B608*(hospitalityq!O608="")</f>
        <v>0</v>
      </c>
      <c r="P608">
        <f>B608*(hospitalityq!P608="")</f>
        <v>0</v>
      </c>
      <c r="Q608">
        <f>B608*(hospitalityq!Q608="")</f>
        <v>0</v>
      </c>
      <c r="R608">
        <f>B608*(hospitalityq!R608="")</f>
        <v>0</v>
      </c>
    </row>
    <row r="609" spans="1:18" x14ac:dyDescent="0.25">
      <c r="A609">
        <f t="shared" si="10"/>
        <v>0</v>
      </c>
      <c r="B609" t="b">
        <f>SUMPRODUCT(LEN(hospitalityq!C609:R609))&gt;0</f>
        <v>0</v>
      </c>
      <c r="C609">
        <f>B609*(hospitalityq!C609="")</f>
        <v>0</v>
      </c>
      <c r="E609">
        <f>B609*(hospitalityq!E609="")</f>
        <v>0</v>
      </c>
      <c r="F609">
        <f>B609*(hospitalityq!F609="")</f>
        <v>0</v>
      </c>
      <c r="G609">
        <f>B609*(hospitalityq!G609="")</f>
        <v>0</v>
      </c>
      <c r="H609">
        <f>B609*(hospitalityq!H609="")</f>
        <v>0</v>
      </c>
      <c r="I609">
        <f>B609*(hospitalityq!I609="")</f>
        <v>0</v>
      </c>
      <c r="J609">
        <f>B609*(hospitalityq!J609="")</f>
        <v>0</v>
      </c>
      <c r="K609">
        <f>B609*(hospitalityq!K609="")</f>
        <v>0</v>
      </c>
      <c r="L609">
        <f>B609*(hospitalityq!L609="")</f>
        <v>0</v>
      </c>
      <c r="M609">
        <f>B609*(hospitalityq!M609="")</f>
        <v>0</v>
      </c>
      <c r="N609">
        <f>B609*(hospitalityq!N609="")</f>
        <v>0</v>
      </c>
      <c r="O609">
        <f>B609*(hospitalityq!O609="")</f>
        <v>0</v>
      </c>
      <c r="P609">
        <f>B609*(hospitalityq!P609="")</f>
        <v>0</v>
      </c>
      <c r="Q609">
        <f>B609*(hospitalityq!Q609="")</f>
        <v>0</v>
      </c>
      <c r="R609">
        <f>B609*(hospitalityq!R609="")</f>
        <v>0</v>
      </c>
    </row>
    <row r="610" spans="1:18" x14ac:dyDescent="0.25">
      <c r="A610">
        <f t="shared" si="10"/>
        <v>0</v>
      </c>
      <c r="B610" t="b">
        <f>SUMPRODUCT(LEN(hospitalityq!C610:R610))&gt;0</f>
        <v>0</v>
      </c>
      <c r="C610">
        <f>B610*(hospitalityq!C610="")</f>
        <v>0</v>
      </c>
      <c r="E610">
        <f>B610*(hospitalityq!E610="")</f>
        <v>0</v>
      </c>
      <c r="F610">
        <f>B610*(hospitalityq!F610="")</f>
        <v>0</v>
      </c>
      <c r="G610">
        <f>B610*(hospitalityq!G610="")</f>
        <v>0</v>
      </c>
      <c r="H610">
        <f>B610*(hospitalityq!H610="")</f>
        <v>0</v>
      </c>
      <c r="I610">
        <f>B610*(hospitalityq!I610="")</f>
        <v>0</v>
      </c>
      <c r="J610">
        <f>B610*(hospitalityq!J610="")</f>
        <v>0</v>
      </c>
      <c r="K610">
        <f>B610*(hospitalityq!K610="")</f>
        <v>0</v>
      </c>
      <c r="L610">
        <f>B610*(hospitalityq!L610="")</f>
        <v>0</v>
      </c>
      <c r="M610">
        <f>B610*(hospitalityq!M610="")</f>
        <v>0</v>
      </c>
      <c r="N610">
        <f>B610*(hospitalityq!N610="")</f>
        <v>0</v>
      </c>
      <c r="O610">
        <f>B610*(hospitalityq!O610="")</f>
        <v>0</v>
      </c>
      <c r="P610">
        <f>B610*(hospitalityq!P610="")</f>
        <v>0</v>
      </c>
      <c r="Q610">
        <f>B610*(hospitalityq!Q610="")</f>
        <v>0</v>
      </c>
      <c r="R610">
        <f>B610*(hospitalityq!R610="")</f>
        <v>0</v>
      </c>
    </row>
    <row r="611" spans="1:18" x14ac:dyDescent="0.25">
      <c r="A611">
        <f t="shared" si="10"/>
        <v>0</v>
      </c>
      <c r="B611" t="b">
        <f>SUMPRODUCT(LEN(hospitalityq!C611:R611))&gt;0</f>
        <v>0</v>
      </c>
      <c r="C611">
        <f>B611*(hospitalityq!C611="")</f>
        <v>0</v>
      </c>
      <c r="E611">
        <f>B611*(hospitalityq!E611="")</f>
        <v>0</v>
      </c>
      <c r="F611">
        <f>B611*(hospitalityq!F611="")</f>
        <v>0</v>
      </c>
      <c r="G611">
        <f>B611*(hospitalityq!G611="")</f>
        <v>0</v>
      </c>
      <c r="H611">
        <f>B611*(hospitalityq!H611="")</f>
        <v>0</v>
      </c>
      <c r="I611">
        <f>B611*(hospitalityq!I611="")</f>
        <v>0</v>
      </c>
      <c r="J611">
        <f>B611*(hospitalityq!J611="")</f>
        <v>0</v>
      </c>
      <c r="K611">
        <f>B611*(hospitalityq!K611="")</f>
        <v>0</v>
      </c>
      <c r="L611">
        <f>B611*(hospitalityq!L611="")</f>
        <v>0</v>
      </c>
      <c r="M611">
        <f>B611*(hospitalityq!M611="")</f>
        <v>0</v>
      </c>
      <c r="N611">
        <f>B611*(hospitalityq!N611="")</f>
        <v>0</v>
      </c>
      <c r="O611">
        <f>B611*(hospitalityq!O611="")</f>
        <v>0</v>
      </c>
      <c r="P611">
        <f>B611*(hospitalityq!P611="")</f>
        <v>0</v>
      </c>
      <c r="Q611">
        <f>B611*(hospitalityq!Q611="")</f>
        <v>0</v>
      </c>
      <c r="R611">
        <f>B611*(hospitalityq!R611="")</f>
        <v>0</v>
      </c>
    </row>
    <row r="612" spans="1:18" x14ac:dyDescent="0.25">
      <c r="A612">
        <f t="shared" si="10"/>
        <v>0</v>
      </c>
      <c r="B612" t="b">
        <f>SUMPRODUCT(LEN(hospitalityq!C612:R612))&gt;0</f>
        <v>0</v>
      </c>
      <c r="C612">
        <f>B612*(hospitalityq!C612="")</f>
        <v>0</v>
      </c>
      <c r="E612">
        <f>B612*(hospitalityq!E612="")</f>
        <v>0</v>
      </c>
      <c r="F612">
        <f>B612*(hospitalityq!F612="")</f>
        <v>0</v>
      </c>
      <c r="G612">
        <f>B612*(hospitalityq!G612="")</f>
        <v>0</v>
      </c>
      <c r="H612">
        <f>B612*(hospitalityq!H612="")</f>
        <v>0</v>
      </c>
      <c r="I612">
        <f>B612*(hospitalityq!I612="")</f>
        <v>0</v>
      </c>
      <c r="J612">
        <f>B612*(hospitalityq!J612="")</f>
        <v>0</v>
      </c>
      <c r="K612">
        <f>B612*(hospitalityq!K612="")</f>
        <v>0</v>
      </c>
      <c r="L612">
        <f>B612*(hospitalityq!L612="")</f>
        <v>0</v>
      </c>
      <c r="M612">
        <f>B612*(hospitalityq!M612="")</f>
        <v>0</v>
      </c>
      <c r="N612">
        <f>B612*(hospitalityq!N612="")</f>
        <v>0</v>
      </c>
      <c r="O612">
        <f>B612*(hospitalityq!O612="")</f>
        <v>0</v>
      </c>
      <c r="P612">
        <f>B612*(hospitalityq!P612="")</f>
        <v>0</v>
      </c>
      <c r="Q612">
        <f>B612*(hospitalityq!Q612="")</f>
        <v>0</v>
      </c>
      <c r="R612">
        <f>B612*(hospitalityq!R612="")</f>
        <v>0</v>
      </c>
    </row>
    <row r="613" spans="1:18" x14ac:dyDescent="0.25">
      <c r="A613">
        <f t="shared" si="10"/>
        <v>0</v>
      </c>
      <c r="B613" t="b">
        <f>SUMPRODUCT(LEN(hospitalityq!C613:R613))&gt;0</f>
        <v>0</v>
      </c>
      <c r="C613">
        <f>B613*(hospitalityq!C613="")</f>
        <v>0</v>
      </c>
      <c r="E613">
        <f>B613*(hospitalityq!E613="")</f>
        <v>0</v>
      </c>
      <c r="F613">
        <f>B613*(hospitalityq!F613="")</f>
        <v>0</v>
      </c>
      <c r="G613">
        <f>B613*(hospitalityq!G613="")</f>
        <v>0</v>
      </c>
      <c r="H613">
        <f>B613*(hospitalityq!H613="")</f>
        <v>0</v>
      </c>
      <c r="I613">
        <f>B613*(hospitalityq!I613="")</f>
        <v>0</v>
      </c>
      <c r="J613">
        <f>B613*(hospitalityq!J613="")</f>
        <v>0</v>
      </c>
      <c r="K613">
        <f>B613*(hospitalityq!K613="")</f>
        <v>0</v>
      </c>
      <c r="L613">
        <f>B613*(hospitalityq!L613="")</f>
        <v>0</v>
      </c>
      <c r="M613">
        <f>B613*(hospitalityq!M613="")</f>
        <v>0</v>
      </c>
      <c r="N613">
        <f>B613*(hospitalityq!N613="")</f>
        <v>0</v>
      </c>
      <c r="O613">
        <f>B613*(hospitalityq!O613="")</f>
        <v>0</v>
      </c>
      <c r="P613">
        <f>B613*(hospitalityq!P613="")</f>
        <v>0</v>
      </c>
      <c r="Q613">
        <f>B613*(hospitalityq!Q613="")</f>
        <v>0</v>
      </c>
      <c r="R613">
        <f>B613*(hospitalityq!R613="")</f>
        <v>0</v>
      </c>
    </row>
    <row r="614" spans="1:18" x14ac:dyDescent="0.25">
      <c r="A614">
        <f t="shared" si="10"/>
        <v>0</v>
      </c>
      <c r="B614" t="b">
        <f>SUMPRODUCT(LEN(hospitalityq!C614:R614))&gt;0</f>
        <v>0</v>
      </c>
      <c r="C614">
        <f>B614*(hospitalityq!C614="")</f>
        <v>0</v>
      </c>
      <c r="E614">
        <f>B614*(hospitalityq!E614="")</f>
        <v>0</v>
      </c>
      <c r="F614">
        <f>B614*(hospitalityq!F614="")</f>
        <v>0</v>
      </c>
      <c r="G614">
        <f>B614*(hospitalityq!G614="")</f>
        <v>0</v>
      </c>
      <c r="H614">
        <f>B614*(hospitalityq!H614="")</f>
        <v>0</v>
      </c>
      <c r="I614">
        <f>B614*(hospitalityq!I614="")</f>
        <v>0</v>
      </c>
      <c r="J614">
        <f>B614*(hospitalityq!J614="")</f>
        <v>0</v>
      </c>
      <c r="K614">
        <f>B614*(hospitalityq!K614="")</f>
        <v>0</v>
      </c>
      <c r="L614">
        <f>B614*(hospitalityq!L614="")</f>
        <v>0</v>
      </c>
      <c r="M614">
        <f>B614*(hospitalityq!M614="")</f>
        <v>0</v>
      </c>
      <c r="N614">
        <f>B614*(hospitalityq!N614="")</f>
        <v>0</v>
      </c>
      <c r="O614">
        <f>B614*(hospitalityq!O614="")</f>
        <v>0</v>
      </c>
      <c r="P614">
        <f>B614*(hospitalityq!P614="")</f>
        <v>0</v>
      </c>
      <c r="Q614">
        <f>B614*(hospitalityq!Q614="")</f>
        <v>0</v>
      </c>
      <c r="R614">
        <f>B614*(hospitalityq!R614="")</f>
        <v>0</v>
      </c>
    </row>
    <row r="615" spans="1:18" x14ac:dyDescent="0.25">
      <c r="A615">
        <f t="shared" si="10"/>
        <v>0</v>
      </c>
      <c r="B615" t="b">
        <f>SUMPRODUCT(LEN(hospitalityq!C615:R615))&gt;0</f>
        <v>0</v>
      </c>
      <c r="C615">
        <f>B615*(hospitalityq!C615="")</f>
        <v>0</v>
      </c>
      <c r="E615">
        <f>B615*(hospitalityq!E615="")</f>
        <v>0</v>
      </c>
      <c r="F615">
        <f>B615*(hospitalityq!F615="")</f>
        <v>0</v>
      </c>
      <c r="G615">
        <f>B615*(hospitalityq!G615="")</f>
        <v>0</v>
      </c>
      <c r="H615">
        <f>B615*(hospitalityq!H615="")</f>
        <v>0</v>
      </c>
      <c r="I615">
        <f>B615*(hospitalityq!I615="")</f>
        <v>0</v>
      </c>
      <c r="J615">
        <f>B615*(hospitalityq!J615="")</f>
        <v>0</v>
      </c>
      <c r="K615">
        <f>B615*(hospitalityq!K615="")</f>
        <v>0</v>
      </c>
      <c r="L615">
        <f>B615*(hospitalityq!L615="")</f>
        <v>0</v>
      </c>
      <c r="M615">
        <f>B615*(hospitalityq!M615="")</f>
        <v>0</v>
      </c>
      <c r="N615">
        <f>B615*(hospitalityq!N615="")</f>
        <v>0</v>
      </c>
      <c r="O615">
        <f>B615*(hospitalityq!O615="")</f>
        <v>0</v>
      </c>
      <c r="P615">
        <f>B615*(hospitalityq!P615="")</f>
        <v>0</v>
      </c>
      <c r="Q615">
        <f>B615*(hospitalityq!Q615="")</f>
        <v>0</v>
      </c>
      <c r="R615">
        <f>B615*(hospitalityq!R615="")</f>
        <v>0</v>
      </c>
    </row>
    <row r="616" spans="1:18" x14ac:dyDescent="0.25">
      <c r="A616">
        <f t="shared" si="10"/>
        <v>0</v>
      </c>
      <c r="B616" t="b">
        <f>SUMPRODUCT(LEN(hospitalityq!C616:R616))&gt;0</f>
        <v>0</v>
      </c>
      <c r="C616">
        <f>B616*(hospitalityq!C616="")</f>
        <v>0</v>
      </c>
      <c r="E616">
        <f>B616*(hospitalityq!E616="")</f>
        <v>0</v>
      </c>
      <c r="F616">
        <f>B616*(hospitalityq!F616="")</f>
        <v>0</v>
      </c>
      <c r="G616">
        <f>B616*(hospitalityq!G616="")</f>
        <v>0</v>
      </c>
      <c r="H616">
        <f>B616*(hospitalityq!H616="")</f>
        <v>0</v>
      </c>
      <c r="I616">
        <f>B616*(hospitalityq!I616="")</f>
        <v>0</v>
      </c>
      <c r="J616">
        <f>B616*(hospitalityq!J616="")</f>
        <v>0</v>
      </c>
      <c r="K616">
        <f>B616*(hospitalityq!K616="")</f>
        <v>0</v>
      </c>
      <c r="L616">
        <f>B616*(hospitalityq!L616="")</f>
        <v>0</v>
      </c>
      <c r="M616">
        <f>B616*(hospitalityq!M616="")</f>
        <v>0</v>
      </c>
      <c r="N616">
        <f>B616*(hospitalityq!N616="")</f>
        <v>0</v>
      </c>
      <c r="O616">
        <f>B616*(hospitalityq!O616="")</f>
        <v>0</v>
      </c>
      <c r="P616">
        <f>B616*(hospitalityq!P616="")</f>
        <v>0</v>
      </c>
      <c r="Q616">
        <f>B616*(hospitalityq!Q616="")</f>
        <v>0</v>
      </c>
      <c r="R616">
        <f>B616*(hospitalityq!R616="")</f>
        <v>0</v>
      </c>
    </row>
    <row r="617" spans="1:18" x14ac:dyDescent="0.25">
      <c r="A617">
        <f t="shared" si="10"/>
        <v>0</v>
      </c>
      <c r="B617" t="b">
        <f>SUMPRODUCT(LEN(hospitalityq!C617:R617))&gt;0</f>
        <v>0</v>
      </c>
      <c r="C617">
        <f>B617*(hospitalityq!C617="")</f>
        <v>0</v>
      </c>
      <c r="E617">
        <f>B617*(hospitalityq!E617="")</f>
        <v>0</v>
      </c>
      <c r="F617">
        <f>B617*(hospitalityq!F617="")</f>
        <v>0</v>
      </c>
      <c r="G617">
        <f>B617*(hospitalityq!G617="")</f>
        <v>0</v>
      </c>
      <c r="H617">
        <f>B617*(hospitalityq!H617="")</f>
        <v>0</v>
      </c>
      <c r="I617">
        <f>B617*(hospitalityq!I617="")</f>
        <v>0</v>
      </c>
      <c r="J617">
        <f>B617*(hospitalityq!J617="")</f>
        <v>0</v>
      </c>
      <c r="K617">
        <f>B617*(hospitalityq!K617="")</f>
        <v>0</v>
      </c>
      <c r="L617">
        <f>B617*(hospitalityq!L617="")</f>
        <v>0</v>
      </c>
      <c r="M617">
        <f>B617*(hospitalityq!M617="")</f>
        <v>0</v>
      </c>
      <c r="N617">
        <f>B617*(hospitalityq!N617="")</f>
        <v>0</v>
      </c>
      <c r="O617">
        <f>B617*(hospitalityq!O617="")</f>
        <v>0</v>
      </c>
      <c r="P617">
        <f>B617*(hospitalityq!P617="")</f>
        <v>0</v>
      </c>
      <c r="Q617">
        <f>B617*(hospitalityq!Q617="")</f>
        <v>0</v>
      </c>
      <c r="R617">
        <f>B617*(hospitalityq!R617="")</f>
        <v>0</v>
      </c>
    </row>
    <row r="618" spans="1:18" x14ac:dyDescent="0.25">
      <c r="A618">
        <f t="shared" si="10"/>
        <v>0</v>
      </c>
      <c r="B618" t="b">
        <f>SUMPRODUCT(LEN(hospitalityq!C618:R618))&gt;0</f>
        <v>0</v>
      </c>
      <c r="C618">
        <f>B618*(hospitalityq!C618="")</f>
        <v>0</v>
      </c>
      <c r="E618">
        <f>B618*(hospitalityq!E618="")</f>
        <v>0</v>
      </c>
      <c r="F618">
        <f>B618*(hospitalityq!F618="")</f>
        <v>0</v>
      </c>
      <c r="G618">
        <f>B618*(hospitalityq!G618="")</f>
        <v>0</v>
      </c>
      <c r="H618">
        <f>B618*(hospitalityq!H618="")</f>
        <v>0</v>
      </c>
      <c r="I618">
        <f>B618*(hospitalityq!I618="")</f>
        <v>0</v>
      </c>
      <c r="J618">
        <f>B618*(hospitalityq!J618="")</f>
        <v>0</v>
      </c>
      <c r="K618">
        <f>B618*(hospitalityq!K618="")</f>
        <v>0</v>
      </c>
      <c r="L618">
        <f>B618*(hospitalityq!L618="")</f>
        <v>0</v>
      </c>
      <c r="M618">
        <f>B618*(hospitalityq!M618="")</f>
        <v>0</v>
      </c>
      <c r="N618">
        <f>B618*(hospitalityq!N618="")</f>
        <v>0</v>
      </c>
      <c r="O618">
        <f>B618*(hospitalityq!O618="")</f>
        <v>0</v>
      </c>
      <c r="P618">
        <f>B618*(hospitalityq!P618="")</f>
        <v>0</v>
      </c>
      <c r="Q618">
        <f>B618*(hospitalityq!Q618="")</f>
        <v>0</v>
      </c>
      <c r="R618">
        <f>B618*(hospitalityq!R618="")</f>
        <v>0</v>
      </c>
    </row>
    <row r="619" spans="1:18" x14ac:dyDescent="0.25">
      <c r="A619">
        <f t="shared" si="10"/>
        <v>0</v>
      </c>
      <c r="B619" t="b">
        <f>SUMPRODUCT(LEN(hospitalityq!C619:R619))&gt;0</f>
        <v>0</v>
      </c>
      <c r="C619">
        <f>B619*(hospitalityq!C619="")</f>
        <v>0</v>
      </c>
      <c r="E619">
        <f>B619*(hospitalityq!E619="")</f>
        <v>0</v>
      </c>
      <c r="F619">
        <f>B619*(hospitalityq!F619="")</f>
        <v>0</v>
      </c>
      <c r="G619">
        <f>B619*(hospitalityq!G619="")</f>
        <v>0</v>
      </c>
      <c r="H619">
        <f>B619*(hospitalityq!H619="")</f>
        <v>0</v>
      </c>
      <c r="I619">
        <f>B619*(hospitalityq!I619="")</f>
        <v>0</v>
      </c>
      <c r="J619">
        <f>B619*(hospitalityq!J619="")</f>
        <v>0</v>
      </c>
      <c r="K619">
        <f>B619*(hospitalityq!K619="")</f>
        <v>0</v>
      </c>
      <c r="L619">
        <f>B619*(hospitalityq!L619="")</f>
        <v>0</v>
      </c>
      <c r="M619">
        <f>B619*(hospitalityq!M619="")</f>
        <v>0</v>
      </c>
      <c r="N619">
        <f>B619*(hospitalityq!N619="")</f>
        <v>0</v>
      </c>
      <c r="O619">
        <f>B619*(hospitalityq!O619="")</f>
        <v>0</v>
      </c>
      <c r="P619">
        <f>B619*(hospitalityq!P619="")</f>
        <v>0</v>
      </c>
      <c r="Q619">
        <f>B619*(hospitalityq!Q619="")</f>
        <v>0</v>
      </c>
      <c r="R619">
        <f>B619*(hospitalityq!R619="")</f>
        <v>0</v>
      </c>
    </row>
    <row r="620" spans="1:18" x14ac:dyDescent="0.25">
      <c r="A620">
        <f t="shared" si="10"/>
        <v>0</v>
      </c>
      <c r="B620" t="b">
        <f>SUMPRODUCT(LEN(hospitalityq!C620:R620))&gt;0</f>
        <v>0</v>
      </c>
      <c r="C620">
        <f>B620*(hospitalityq!C620="")</f>
        <v>0</v>
      </c>
      <c r="E620">
        <f>B620*(hospitalityq!E620="")</f>
        <v>0</v>
      </c>
      <c r="F620">
        <f>B620*(hospitalityq!F620="")</f>
        <v>0</v>
      </c>
      <c r="G620">
        <f>B620*(hospitalityq!G620="")</f>
        <v>0</v>
      </c>
      <c r="H620">
        <f>B620*(hospitalityq!H620="")</f>
        <v>0</v>
      </c>
      <c r="I620">
        <f>B620*(hospitalityq!I620="")</f>
        <v>0</v>
      </c>
      <c r="J620">
        <f>B620*(hospitalityq!J620="")</f>
        <v>0</v>
      </c>
      <c r="K620">
        <f>B620*(hospitalityq!K620="")</f>
        <v>0</v>
      </c>
      <c r="L620">
        <f>B620*(hospitalityq!L620="")</f>
        <v>0</v>
      </c>
      <c r="M620">
        <f>B620*(hospitalityq!M620="")</f>
        <v>0</v>
      </c>
      <c r="N620">
        <f>B620*(hospitalityq!N620="")</f>
        <v>0</v>
      </c>
      <c r="O620">
        <f>B620*(hospitalityq!O620="")</f>
        <v>0</v>
      </c>
      <c r="P620">
        <f>B620*(hospitalityq!P620="")</f>
        <v>0</v>
      </c>
      <c r="Q620">
        <f>B620*(hospitalityq!Q620="")</f>
        <v>0</v>
      </c>
      <c r="R620">
        <f>B620*(hospitalityq!R620="")</f>
        <v>0</v>
      </c>
    </row>
    <row r="621" spans="1:18" x14ac:dyDescent="0.25">
      <c r="A621">
        <f t="shared" si="10"/>
        <v>0</v>
      </c>
      <c r="B621" t="b">
        <f>SUMPRODUCT(LEN(hospitalityq!C621:R621))&gt;0</f>
        <v>0</v>
      </c>
      <c r="C621">
        <f>B621*(hospitalityq!C621="")</f>
        <v>0</v>
      </c>
      <c r="E621">
        <f>B621*(hospitalityq!E621="")</f>
        <v>0</v>
      </c>
      <c r="F621">
        <f>B621*(hospitalityq!F621="")</f>
        <v>0</v>
      </c>
      <c r="G621">
        <f>B621*(hospitalityq!G621="")</f>
        <v>0</v>
      </c>
      <c r="H621">
        <f>B621*(hospitalityq!H621="")</f>
        <v>0</v>
      </c>
      <c r="I621">
        <f>B621*(hospitalityq!I621="")</f>
        <v>0</v>
      </c>
      <c r="J621">
        <f>B621*(hospitalityq!J621="")</f>
        <v>0</v>
      </c>
      <c r="K621">
        <f>B621*(hospitalityq!K621="")</f>
        <v>0</v>
      </c>
      <c r="L621">
        <f>B621*(hospitalityq!L621="")</f>
        <v>0</v>
      </c>
      <c r="M621">
        <f>B621*(hospitalityq!M621="")</f>
        <v>0</v>
      </c>
      <c r="N621">
        <f>B621*(hospitalityq!N621="")</f>
        <v>0</v>
      </c>
      <c r="O621">
        <f>B621*(hospitalityq!O621="")</f>
        <v>0</v>
      </c>
      <c r="P621">
        <f>B621*(hospitalityq!P621="")</f>
        <v>0</v>
      </c>
      <c r="Q621">
        <f>B621*(hospitalityq!Q621="")</f>
        <v>0</v>
      </c>
      <c r="R621">
        <f>B621*(hospitalityq!R621="")</f>
        <v>0</v>
      </c>
    </row>
    <row r="622" spans="1:18" x14ac:dyDescent="0.25">
      <c r="A622">
        <f t="shared" si="10"/>
        <v>0</v>
      </c>
      <c r="B622" t="b">
        <f>SUMPRODUCT(LEN(hospitalityq!C622:R622))&gt;0</f>
        <v>0</v>
      </c>
      <c r="C622">
        <f>B622*(hospitalityq!C622="")</f>
        <v>0</v>
      </c>
      <c r="E622">
        <f>B622*(hospitalityq!E622="")</f>
        <v>0</v>
      </c>
      <c r="F622">
        <f>B622*(hospitalityq!F622="")</f>
        <v>0</v>
      </c>
      <c r="G622">
        <f>B622*(hospitalityq!G622="")</f>
        <v>0</v>
      </c>
      <c r="H622">
        <f>B622*(hospitalityq!H622="")</f>
        <v>0</v>
      </c>
      <c r="I622">
        <f>B622*(hospitalityq!I622="")</f>
        <v>0</v>
      </c>
      <c r="J622">
        <f>B622*(hospitalityq!J622="")</f>
        <v>0</v>
      </c>
      <c r="K622">
        <f>B622*(hospitalityq!K622="")</f>
        <v>0</v>
      </c>
      <c r="L622">
        <f>B622*(hospitalityq!L622="")</f>
        <v>0</v>
      </c>
      <c r="M622">
        <f>B622*(hospitalityq!M622="")</f>
        <v>0</v>
      </c>
      <c r="N622">
        <f>B622*(hospitalityq!N622="")</f>
        <v>0</v>
      </c>
      <c r="O622">
        <f>B622*(hospitalityq!O622="")</f>
        <v>0</v>
      </c>
      <c r="P622">
        <f>B622*(hospitalityq!P622="")</f>
        <v>0</v>
      </c>
      <c r="Q622">
        <f>B622*(hospitalityq!Q622="")</f>
        <v>0</v>
      </c>
      <c r="R622">
        <f>B622*(hospitalityq!R622="")</f>
        <v>0</v>
      </c>
    </row>
    <row r="623" spans="1:18" x14ac:dyDescent="0.25">
      <c r="A623">
        <f t="shared" si="10"/>
        <v>0</v>
      </c>
      <c r="B623" t="b">
        <f>SUMPRODUCT(LEN(hospitalityq!C623:R623))&gt;0</f>
        <v>0</v>
      </c>
      <c r="C623">
        <f>B623*(hospitalityq!C623="")</f>
        <v>0</v>
      </c>
      <c r="E623">
        <f>B623*(hospitalityq!E623="")</f>
        <v>0</v>
      </c>
      <c r="F623">
        <f>B623*(hospitalityq!F623="")</f>
        <v>0</v>
      </c>
      <c r="G623">
        <f>B623*(hospitalityq!G623="")</f>
        <v>0</v>
      </c>
      <c r="H623">
        <f>B623*(hospitalityq!H623="")</f>
        <v>0</v>
      </c>
      <c r="I623">
        <f>B623*(hospitalityq!I623="")</f>
        <v>0</v>
      </c>
      <c r="J623">
        <f>B623*(hospitalityq!J623="")</f>
        <v>0</v>
      </c>
      <c r="K623">
        <f>B623*(hospitalityq!K623="")</f>
        <v>0</v>
      </c>
      <c r="L623">
        <f>B623*(hospitalityq!L623="")</f>
        <v>0</v>
      </c>
      <c r="M623">
        <f>B623*(hospitalityq!M623="")</f>
        <v>0</v>
      </c>
      <c r="N623">
        <f>B623*(hospitalityq!N623="")</f>
        <v>0</v>
      </c>
      <c r="O623">
        <f>B623*(hospitalityq!O623="")</f>
        <v>0</v>
      </c>
      <c r="P623">
        <f>B623*(hospitalityq!P623="")</f>
        <v>0</v>
      </c>
      <c r="Q623">
        <f>B623*(hospitalityq!Q623="")</f>
        <v>0</v>
      </c>
      <c r="R623">
        <f>B623*(hospitalityq!R623="")</f>
        <v>0</v>
      </c>
    </row>
    <row r="624" spans="1:18" x14ac:dyDescent="0.25">
      <c r="A624">
        <f t="shared" si="10"/>
        <v>0</v>
      </c>
      <c r="B624" t="b">
        <f>SUMPRODUCT(LEN(hospitalityq!C624:R624))&gt;0</f>
        <v>0</v>
      </c>
      <c r="C624">
        <f>B624*(hospitalityq!C624="")</f>
        <v>0</v>
      </c>
      <c r="E624">
        <f>B624*(hospitalityq!E624="")</f>
        <v>0</v>
      </c>
      <c r="F624">
        <f>B624*(hospitalityq!F624="")</f>
        <v>0</v>
      </c>
      <c r="G624">
        <f>B624*(hospitalityq!G624="")</f>
        <v>0</v>
      </c>
      <c r="H624">
        <f>B624*(hospitalityq!H624="")</f>
        <v>0</v>
      </c>
      <c r="I624">
        <f>B624*(hospitalityq!I624="")</f>
        <v>0</v>
      </c>
      <c r="J624">
        <f>B624*(hospitalityq!J624="")</f>
        <v>0</v>
      </c>
      <c r="K624">
        <f>B624*(hospitalityq!K624="")</f>
        <v>0</v>
      </c>
      <c r="L624">
        <f>B624*(hospitalityq!L624="")</f>
        <v>0</v>
      </c>
      <c r="M624">
        <f>B624*(hospitalityq!M624="")</f>
        <v>0</v>
      </c>
      <c r="N624">
        <f>B624*(hospitalityq!N624="")</f>
        <v>0</v>
      </c>
      <c r="O624">
        <f>B624*(hospitalityq!O624="")</f>
        <v>0</v>
      </c>
      <c r="P624">
        <f>B624*(hospitalityq!P624="")</f>
        <v>0</v>
      </c>
      <c r="Q624">
        <f>B624*(hospitalityq!Q624="")</f>
        <v>0</v>
      </c>
      <c r="R624">
        <f>B624*(hospitalityq!R624="")</f>
        <v>0</v>
      </c>
    </row>
    <row r="625" spans="1:18" x14ac:dyDescent="0.25">
      <c r="A625">
        <f t="shared" si="10"/>
        <v>0</v>
      </c>
      <c r="B625" t="b">
        <f>SUMPRODUCT(LEN(hospitalityq!C625:R625))&gt;0</f>
        <v>0</v>
      </c>
      <c r="C625">
        <f>B625*(hospitalityq!C625="")</f>
        <v>0</v>
      </c>
      <c r="E625">
        <f>B625*(hospitalityq!E625="")</f>
        <v>0</v>
      </c>
      <c r="F625">
        <f>B625*(hospitalityq!F625="")</f>
        <v>0</v>
      </c>
      <c r="G625">
        <f>B625*(hospitalityq!G625="")</f>
        <v>0</v>
      </c>
      <c r="H625">
        <f>B625*(hospitalityq!H625="")</f>
        <v>0</v>
      </c>
      <c r="I625">
        <f>B625*(hospitalityq!I625="")</f>
        <v>0</v>
      </c>
      <c r="J625">
        <f>B625*(hospitalityq!J625="")</f>
        <v>0</v>
      </c>
      <c r="K625">
        <f>B625*(hospitalityq!K625="")</f>
        <v>0</v>
      </c>
      <c r="L625">
        <f>B625*(hospitalityq!L625="")</f>
        <v>0</v>
      </c>
      <c r="M625">
        <f>B625*(hospitalityq!M625="")</f>
        <v>0</v>
      </c>
      <c r="N625">
        <f>B625*(hospitalityq!N625="")</f>
        <v>0</v>
      </c>
      <c r="O625">
        <f>B625*(hospitalityq!O625="")</f>
        <v>0</v>
      </c>
      <c r="P625">
        <f>B625*(hospitalityq!P625="")</f>
        <v>0</v>
      </c>
      <c r="Q625">
        <f>B625*(hospitalityq!Q625="")</f>
        <v>0</v>
      </c>
      <c r="R625">
        <f>B625*(hospitalityq!R625="")</f>
        <v>0</v>
      </c>
    </row>
    <row r="626" spans="1:18" x14ac:dyDescent="0.25">
      <c r="A626">
        <f t="shared" si="10"/>
        <v>0</v>
      </c>
      <c r="B626" t="b">
        <f>SUMPRODUCT(LEN(hospitalityq!C626:R626))&gt;0</f>
        <v>0</v>
      </c>
      <c r="C626">
        <f>B626*(hospitalityq!C626="")</f>
        <v>0</v>
      </c>
      <c r="E626">
        <f>B626*(hospitalityq!E626="")</f>
        <v>0</v>
      </c>
      <c r="F626">
        <f>B626*(hospitalityq!F626="")</f>
        <v>0</v>
      </c>
      <c r="G626">
        <f>B626*(hospitalityq!G626="")</f>
        <v>0</v>
      </c>
      <c r="H626">
        <f>B626*(hospitalityq!H626="")</f>
        <v>0</v>
      </c>
      <c r="I626">
        <f>B626*(hospitalityq!I626="")</f>
        <v>0</v>
      </c>
      <c r="J626">
        <f>B626*(hospitalityq!J626="")</f>
        <v>0</v>
      </c>
      <c r="K626">
        <f>B626*(hospitalityq!K626="")</f>
        <v>0</v>
      </c>
      <c r="L626">
        <f>B626*(hospitalityq!L626="")</f>
        <v>0</v>
      </c>
      <c r="M626">
        <f>B626*(hospitalityq!M626="")</f>
        <v>0</v>
      </c>
      <c r="N626">
        <f>B626*(hospitalityq!N626="")</f>
        <v>0</v>
      </c>
      <c r="O626">
        <f>B626*(hospitalityq!O626="")</f>
        <v>0</v>
      </c>
      <c r="P626">
        <f>B626*(hospitalityq!P626="")</f>
        <v>0</v>
      </c>
      <c r="Q626">
        <f>B626*(hospitalityq!Q626="")</f>
        <v>0</v>
      </c>
      <c r="R626">
        <f>B626*(hospitalityq!R626="")</f>
        <v>0</v>
      </c>
    </row>
    <row r="627" spans="1:18" x14ac:dyDescent="0.25">
      <c r="A627">
        <f t="shared" si="10"/>
        <v>0</v>
      </c>
      <c r="B627" t="b">
        <f>SUMPRODUCT(LEN(hospitalityq!C627:R627))&gt;0</f>
        <v>0</v>
      </c>
      <c r="C627">
        <f>B627*(hospitalityq!C627="")</f>
        <v>0</v>
      </c>
      <c r="E627">
        <f>B627*(hospitalityq!E627="")</f>
        <v>0</v>
      </c>
      <c r="F627">
        <f>B627*(hospitalityq!F627="")</f>
        <v>0</v>
      </c>
      <c r="G627">
        <f>B627*(hospitalityq!G627="")</f>
        <v>0</v>
      </c>
      <c r="H627">
        <f>B627*(hospitalityq!H627="")</f>
        <v>0</v>
      </c>
      <c r="I627">
        <f>B627*(hospitalityq!I627="")</f>
        <v>0</v>
      </c>
      <c r="J627">
        <f>B627*(hospitalityq!J627="")</f>
        <v>0</v>
      </c>
      <c r="K627">
        <f>B627*(hospitalityq!K627="")</f>
        <v>0</v>
      </c>
      <c r="L627">
        <f>B627*(hospitalityq!L627="")</f>
        <v>0</v>
      </c>
      <c r="M627">
        <f>B627*(hospitalityq!M627="")</f>
        <v>0</v>
      </c>
      <c r="N627">
        <f>B627*(hospitalityq!N627="")</f>
        <v>0</v>
      </c>
      <c r="O627">
        <f>B627*(hospitalityq!O627="")</f>
        <v>0</v>
      </c>
      <c r="P627">
        <f>B627*(hospitalityq!P627="")</f>
        <v>0</v>
      </c>
      <c r="Q627">
        <f>B627*(hospitalityq!Q627="")</f>
        <v>0</v>
      </c>
      <c r="R627">
        <f>B627*(hospitalityq!R627="")</f>
        <v>0</v>
      </c>
    </row>
    <row r="628" spans="1:18" x14ac:dyDescent="0.25">
      <c r="A628">
        <f t="shared" si="10"/>
        <v>0</v>
      </c>
      <c r="B628" t="b">
        <f>SUMPRODUCT(LEN(hospitalityq!C628:R628))&gt;0</f>
        <v>0</v>
      </c>
      <c r="C628">
        <f>B628*(hospitalityq!C628="")</f>
        <v>0</v>
      </c>
      <c r="E628">
        <f>B628*(hospitalityq!E628="")</f>
        <v>0</v>
      </c>
      <c r="F628">
        <f>B628*(hospitalityq!F628="")</f>
        <v>0</v>
      </c>
      <c r="G628">
        <f>B628*(hospitalityq!G628="")</f>
        <v>0</v>
      </c>
      <c r="H628">
        <f>B628*(hospitalityq!H628="")</f>
        <v>0</v>
      </c>
      <c r="I628">
        <f>B628*(hospitalityq!I628="")</f>
        <v>0</v>
      </c>
      <c r="J628">
        <f>B628*(hospitalityq!J628="")</f>
        <v>0</v>
      </c>
      <c r="K628">
        <f>B628*(hospitalityq!K628="")</f>
        <v>0</v>
      </c>
      <c r="L628">
        <f>B628*(hospitalityq!L628="")</f>
        <v>0</v>
      </c>
      <c r="M628">
        <f>B628*(hospitalityq!M628="")</f>
        <v>0</v>
      </c>
      <c r="N628">
        <f>B628*(hospitalityq!N628="")</f>
        <v>0</v>
      </c>
      <c r="O628">
        <f>B628*(hospitalityq!O628="")</f>
        <v>0</v>
      </c>
      <c r="P628">
        <f>B628*(hospitalityq!P628="")</f>
        <v>0</v>
      </c>
      <c r="Q628">
        <f>B628*(hospitalityq!Q628="")</f>
        <v>0</v>
      </c>
      <c r="R628">
        <f>B628*(hospitalityq!R628="")</f>
        <v>0</v>
      </c>
    </row>
    <row r="629" spans="1:18" x14ac:dyDescent="0.25">
      <c r="A629">
        <f t="shared" si="10"/>
        <v>0</v>
      </c>
      <c r="B629" t="b">
        <f>SUMPRODUCT(LEN(hospitalityq!C629:R629))&gt;0</f>
        <v>0</v>
      </c>
      <c r="C629">
        <f>B629*(hospitalityq!C629="")</f>
        <v>0</v>
      </c>
      <c r="E629">
        <f>B629*(hospitalityq!E629="")</f>
        <v>0</v>
      </c>
      <c r="F629">
        <f>B629*(hospitalityq!F629="")</f>
        <v>0</v>
      </c>
      <c r="G629">
        <f>B629*(hospitalityq!G629="")</f>
        <v>0</v>
      </c>
      <c r="H629">
        <f>B629*(hospitalityq!H629="")</f>
        <v>0</v>
      </c>
      <c r="I629">
        <f>B629*(hospitalityq!I629="")</f>
        <v>0</v>
      </c>
      <c r="J629">
        <f>B629*(hospitalityq!J629="")</f>
        <v>0</v>
      </c>
      <c r="K629">
        <f>B629*(hospitalityq!K629="")</f>
        <v>0</v>
      </c>
      <c r="L629">
        <f>B629*(hospitalityq!L629="")</f>
        <v>0</v>
      </c>
      <c r="M629">
        <f>B629*(hospitalityq!M629="")</f>
        <v>0</v>
      </c>
      <c r="N629">
        <f>B629*(hospitalityq!N629="")</f>
        <v>0</v>
      </c>
      <c r="O629">
        <f>B629*(hospitalityq!O629="")</f>
        <v>0</v>
      </c>
      <c r="P629">
        <f>B629*(hospitalityq!P629="")</f>
        <v>0</v>
      </c>
      <c r="Q629">
        <f>B629*(hospitalityq!Q629="")</f>
        <v>0</v>
      </c>
      <c r="R629">
        <f>B629*(hospitalityq!R629="")</f>
        <v>0</v>
      </c>
    </row>
    <row r="630" spans="1:18" x14ac:dyDescent="0.25">
      <c r="A630">
        <f t="shared" si="10"/>
        <v>0</v>
      </c>
      <c r="B630" t="b">
        <f>SUMPRODUCT(LEN(hospitalityq!C630:R630))&gt;0</f>
        <v>0</v>
      </c>
      <c r="C630">
        <f>B630*(hospitalityq!C630="")</f>
        <v>0</v>
      </c>
      <c r="E630">
        <f>B630*(hospitalityq!E630="")</f>
        <v>0</v>
      </c>
      <c r="F630">
        <f>B630*(hospitalityq!F630="")</f>
        <v>0</v>
      </c>
      <c r="G630">
        <f>B630*(hospitalityq!G630="")</f>
        <v>0</v>
      </c>
      <c r="H630">
        <f>B630*(hospitalityq!H630="")</f>
        <v>0</v>
      </c>
      <c r="I630">
        <f>B630*(hospitalityq!I630="")</f>
        <v>0</v>
      </c>
      <c r="J630">
        <f>B630*(hospitalityq!J630="")</f>
        <v>0</v>
      </c>
      <c r="K630">
        <f>B630*(hospitalityq!K630="")</f>
        <v>0</v>
      </c>
      <c r="L630">
        <f>B630*(hospitalityq!L630="")</f>
        <v>0</v>
      </c>
      <c r="M630">
        <f>B630*(hospitalityq!M630="")</f>
        <v>0</v>
      </c>
      <c r="N630">
        <f>B630*(hospitalityq!N630="")</f>
        <v>0</v>
      </c>
      <c r="O630">
        <f>B630*(hospitalityq!O630="")</f>
        <v>0</v>
      </c>
      <c r="P630">
        <f>B630*(hospitalityq!P630="")</f>
        <v>0</v>
      </c>
      <c r="Q630">
        <f>B630*(hospitalityq!Q630="")</f>
        <v>0</v>
      </c>
      <c r="R630">
        <f>B630*(hospitalityq!R630="")</f>
        <v>0</v>
      </c>
    </row>
    <row r="631" spans="1:18" x14ac:dyDescent="0.25">
      <c r="A631">
        <f t="shared" si="10"/>
        <v>0</v>
      </c>
      <c r="B631" t="b">
        <f>SUMPRODUCT(LEN(hospitalityq!C631:R631))&gt;0</f>
        <v>0</v>
      </c>
      <c r="C631">
        <f>B631*(hospitalityq!C631="")</f>
        <v>0</v>
      </c>
      <c r="E631">
        <f>B631*(hospitalityq!E631="")</f>
        <v>0</v>
      </c>
      <c r="F631">
        <f>B631*(hospitalityq!F631="")</f>
        <v>0</v>
      </c>
      <c r="G631">
        <f>B631*(hospitalityq!G631="")</f>
        <v>0</v>
      </c>
      <c r="H631">
        <f>B631*(hospitalityq!H631="")</f>
        <v>0</v>
      </c>
      <c r="I631">
        <f>B631*(hospitalityq!I631="")</f>
        <v>0</v>
      </c>
      <c r="J631">
        <f>B631*(hospitalityq!J631="")</f>
        <v>0</v>
      </c>
      <c r="K631">
        <f>B631*(hospitalityq!K631="")</f>
        <v>0</v>
      </c>
      <c r="L631">
        <f>B631*(hospitalityq!L631="")</f>
        <v>0</v>
      </c>
      <c r="M631">
        <f>B631*(hospitalityq!M631="")</f>
        <v>0</v>
      </c>
      <c r="N631">
        <f>B631*(hospitalityq!N631="")</f>
        <v>0</v>
      </c>
      <c r="O631">
        <f>B631*(hospitalityq!O631="")</f>
        <v>0</v>
      </c>
      <c r="P631">
        <f>B631*(hospitalityq!P631="")</f>
        <v>0</v>
      </c>
      <c r="Q631">
        <f>B631*(hospitalityq!Q631="")</f>
        <v>0</v>
      </c>
      <c r="R631">
        <f>B631*(hospitalityq!R631="")</f>
        <v>0</v>
      </c>
    </row>
    <row r="632" spans="1:18" x14ac:dyDescent="0.25">
      <c r="A632">
        <f t="shared" si="10"/>
        <v>0</v>
      </c>
      <c r="B632" t="b">
        <f>SUMPRODUCT(LEN(hospitalityq!C632:R632))&gt;0</f>
        <v>0</v>
      </c>
      <c r="C632">
        <f>B632*(hospitalityq!C632="")</f>
        <v>0</v>
      </c>
      <c r="E632">
        <f>B632*(hospitalityq!E632="")</f>
        <v>0</v>
      </c>
      <c r="F632">
        <f>B632*(hospitalityq!F632="")</f>
        <v>0</v>
      </c>
      <c r="G632">
        <f>B632*(hospitalityq!G632="")</f>
        <v>0</v>
      </c>
      <c r="H632">
        <f>B632*(hospitalityq!H632="")</f>
        <v>0</v>
      </c>
      <c r="I632">
        <f>B632*(hospitalityq!I632="")</f>
        <v>0</v>
      </c>
      <c r="J632">
        <f>B632*(hospitalityq!J632="")</f>
        <v>0</v>
      </c>
      <c r="K632">
        <f>B632*(hospitalityq!K632="")</f>
        <v>0</v>
      </c>
      <c r="L632">
        <f>B632*(hospitalityq!L632="")</f>
        <v>0</v>
      </c>
      <c r="M632">
        <f>B632*(hospitalityq!M632="")</f>
        <v>0</v>
      </c>
      <c r="N632">
        <f>B632*(hospitalityq!N632="")</f>
        <v>0</v>
      </c>
      <c r="O632">
        <f>B632*(hospitalityq!O632="")</f>
        <v>0</v>
      </c>
      <c r="P632">
        <f>B632*(hospitalityq!P632="")</f>
        <v>0</v>
      </c>
      <c r="Q632">
        <f>B632*(hospitalityq!Q632="")</f>
        <v>0</v>
      </c>
      <c r="R632">
        <f>B632*(hospitalityq!R632="")</f>
        <v>0</v>
      </c>
    </row>
    <row r="633" spans="1:18" x14ac:dyDescent="0.25">
      <c r="A633">
        <f t="shared" si="10"/>
        <v>0</v>
      </c>
      <c r="B633" t="b">
        <f>SUMPRODUCT(LEN(hospitalityq!C633:R633))&gt;0</f>
        <v>0</v>
      </c>
      <c r="C633">
        <f>B633*(hospitalityq!C633="")</f>
        <v>0</v>
      </c>
      <c r="E633">
        <f>B633*(hospitalityq!E633="")</f>
        <v>0</v>
      </c>
      <c r="F633">
        <f>B633*(hospitalityq!F633="")</f>
        <v>0</v>
      </c>
      <c r="G633">
        <f>B633*(hospitalityq!G633="")</f>
        <v>0</v>
      </c>
      <c r="H633">
        <f>B633*(hospitalityq!H633="")</f>
        <v>0</v>
      </c>
      <c r="I633">
        <f>B633*(hospitalityq!I633="")</f>
        <v>0</v>
      </c>
      <c r="J633">
        <f>B633*(hospitalityq!J633="")</f>
        <v>0</v>
      </c>
      <c r="K633">
        <f>B633*(hospitalityq!K633="")</f>
        <v>0</v>
      </c>
      <c r="L633">
        <f>B633*(hospitalityq!L633="")</f>
        <v>0</v>
      </c>
      <c r="M633">
        <f>B633*(hospitalityq!M633="")</f>
        <v>0</v>
      </c>
      <c r="N633">
        <f>B633*(hospitalityq!N633="")</f>
        <v>0</v>
      </c>
      <c r="O633">
        <f>B633*(hospitalityq!O633="")</f>
        <v>0</v>
      </c>
      <c r="P633">
        <f>B633*(hospitalityq!P633="")</f>
        <v>0</v>
      </c>
      <c r="Q633">
        <f>B633*(hospitalityq!Q633="")</f>
        <v>0</v>
      </c>
      <c r="R633">
        <f>B633*(hospitalityq!R633="")</f>
        <v>0</v>
      </c>
    </row>
    <row r="634" spans="1:18" x14ac:dyDescent="0.25">
      <c r="A634">
        <f t="shared" si="10"/>
        <v>0</v>
      </c>
      <c r="B634" t="b">
        <f>SUMPRODUCT(LEN(hospitalityq!C634:R634))&gt;0</f>
        <v>0</v>
      </c>
      <c r="C634">
        <f>B634*(hospitalityq!C634="")</f>
        <v>0</v>
      </c>
      <c r="E634">
        <f>B634*(hospitalityq!E634="")</f>
        <v>0</v>
      </c>
      <c r="F634">
        <f>B634*(hospitalityq!F634="")</f>
        <v>0</v>
      </c>
      <c r="G634">
        <f>B634*(hospitalityq!G634="")</f>
        <v>0</v>
      </c>
      <c r="H634">
        <f>B634*(hospitalityq!H634="")</f>
        <v>0</v>
      </c>
      <c r="I634">
        <f>B634*(hospitalityq!I634="")</f>
        <v>0</v>
      </c>
      <c r="J634">
        <f>B634*(hospitalityq!J634="")</f>
        <v>0</v>
      </c>
      <c r="K634">
        <f>B634*(hospitalityq!K634="")</f>
        <v>0</v>
      </c>
      <c r="L634">
        <f>B634*(hospitalityq!L634="")</f>
        <v>0</v>
      </c>
      <c r="M634">
        <f>B634*(hospitalityq!M634="")</f>
        <v>0</v>
      </c>
      <c r="N634">
        <f>B634*(hospitalityq!N634="")</f>
        <v>0</v>
      </c>
      <c r="O634">
        <f>B634*(hospitalityq!O634="")</f>
        <v>0</v>
      </c>
      <c r="P634">
        <f>B634*(hospitalityq!P634="")</f>
        <v>0</v>
      </c>
      <c r="Q634">
        <f>B634*(hospitalityq!Q634="")</f>
        <v>0</v>
      </c>
      <c r="R634">
        <f>B634*(hospitalityq!R634="")</f>
        <v>0</v>
      </c>
    </row>
    <row r="635" spans="1:18" x14ac:dyDescent="0.25">
      <c r="A635">
        <f t="shared" si="10"/>
        <v>0</v>
      </c>
      <c r="B635" t="b">
        <f>SUMPRODUCT(LEN(hospitalityq!C635:R635))&gt;0</f>
        <v>0</v>
      </c>
      <c r="C635">
        <f>B635*(hospitalityq!C635="")</f>
        <v>0</v>
      </c>
      <c r="E635">
        <f>B635*(hospitalityq!E635="")</f>
        <v>0</v>
      </c>
      <c r="F635">
        <f>B635*(hospitalityq!F635="")</f>
        <v>0</v>
      </c>
      <c r="G635">
        <f>B635*(hospitalityq!G635="")</f>
        <v>0</v>
      </c>
      <c r="H635">
        <f>B635*(hospitalityq!H635="")</f>
        <v>0</v>
      </c>
      <c r="I635">
        <f>B635*(hospitalityq!I635="")</f>
        <v>0</v>
      </c>
      <c r="J635">
        <f>B635*(hospitalityq!J635="")</f>
        <v>0</v>
      </c>
      <c r="K635">
        <f>B635*(hospitalityq!K635="")</f>
        <v>0</v>
      </c>
      <c r="L635">
        <f>B635*(hospitalityq!L635="")</f>
        <v>0</v>
      </c>
      <c r="M635">
        <f>B635*(hospitalityq!M635="")</f>
        <v>0</v>
      </c>
      <c r="N635">
        <f>B635*(hospitalityq!N635="")</f>
        <v>0</v>
      </c>
      <c r="O635">
        <f>B635*(hospitalityq!O635="")</f>
        <v>0</v>
      </c>
      <c r="P635">
        <f>B635*(hospitalityq!P635="")</f>
        <v>0</v>
      </c>
      <c r="Q635">
        <f>B635*(hospitalityq!Q635="")</f>
        <v>0</v>
      </c>
      <c r="R635">
        <f>B635*(hospitalityq!R635="")</f>
        <v>0</v>
      </c>
    </row>
    <row r="636" spans="1:18" x14ac:dyDescent="0.25">
      <c r="A636">
        <f t="shared" si="10"/>
        <v>0</v>
      </c>
      <c r="B636" t="b">
        <f>SUMPRODUCT(LEN(hospitalityq!C636:R636))&gt;0</f>
        <v>0</v>
      </c>
      <c r="C636">
        <f>B636*(hospitalityq!C636="")</f>
        <v>0</v>
      </c>
      <c r="E636">
        <f>B636*(hospitalityq!E636="")</f>
        <v>0</v>
      </c>
      <c r="F636">
        <f>B636*(hospitalityq!F636="")</f>
        <v>0</v>
      </c>
      <c r="G636">
        <f>B636*(hospitalityq!G636="")</f>
        <v>0</v>
      </c>
      <c r="H636">
        <f>B636*(hospitalityq!H636="")</f>
        <v>0</v>
      </c>
      <c r="I636">
        <f>B636*(hospitalityq!I636="")</f>
        <v>0</v>
      </c>
      <c r="J636">
        <f>B636*(hospitalityq!J636="")</f>
        <v>0</v>
      </c>
      <c r="K636">
        <f>B636*(hospitalityq!K636="")</f>
        <v>0</v>
      </c>
      <c r="L636">
        <f>B636*(hospitalityq!L636="")</f>
        <v>0</v>
      </c>
      <c r="M636">
        <f>B636*(hospitalityq!M636="")</f>
        <v>0</v>
      </c>
      <c r="N636">
        <f>B636*(hospitalityq!N636="")</f>
        <v>0</v>
      </c>
      <c r="O636">
        <f>B636*(hospitalityq!O636="")</f>
        <v>0</v>
      </c>
      <c r="P636">
        <f>B636*(hospitalityq!P636="")</f>
        <v>0</v>
      </c>
      <c r="Q636">
        <f>B636*(hospitalityq!Q636="")</f>
        <v>0</v>
      </c>
      <c r="R636">
        <f>B636*(hospitalityq!R636="")</f>
        <v>0</v>
      </c>
    </row>
    <row r="637" spans="1:18" x14ac:dyDescent="0.25">
      <c r="A637">
        <f t="shared" si="10"/>
        <v>0</v>
      </c>
      <c r="B637" t="b">
        <f>SUMPRODUCT(LEN(hospitalityq!C637:R637))&gt;0</f>
        <v>0</v>
      </c>
      <c r="C637">
        <f>B637*(hospitalityq!C637="")</f>
        <v>0</v>
      </c>
      <c r="E637">
        <f>B637*(hospitalityq!E637="")</f>
        <v>0</v>
      </c>
      <c r="F637">
        <f>B637*(hospitalityq!F637="")</f>
        <v>0</v>
      </c>
      <c r="G637">
        <f>B637*(hospitalityq!G637="")</f>
        <v>0</v>
      </c>
      <c r="H637">
        <f>B637*(hospitalityq!H637="")</f>
        <v>0</v>
      </c>
      <c r="I637">
        <f>B637*(hospitalityq!I637="")</f>
        <v>0</v>
      </c>
      <c r="J637">
        <f>B637*(hospitalityq!J637="")</f>
        <v>0</v>
      </c>
      <c r="K637">
        <f>B637*(hospitalityq!K637="")</f>
        <v>0</v>
      </c>
      <c r="L637">
        <f>B637*(hospitalityq!L637="")</f>
        <v>0</v>
      </c>
      <c r="M637">
        <f>B637*(hospitalityq!M637="")</f>
        <v>0</v>
      </c>
      <c r="N637">
        <f>B637*(hospitalityq!N637="")</f>
        <v>0</v>
      </c>
      <c r="O637">
        <f>B637*(hospitalityq!O637="")</f>
        <v>0</v>
      </c>
      <c r="P637">
        <f>B637*(hospitalityq!P637="")</f>
        <v>0</v>
      </c>
      <c r="Q637">
        <f>B637*(hospitalityq!Q637="")</f>
        <v>0</v>
      </c>
      <c r="R637">
        <f>B637*(hospitalityq!R637="")</f>
        <v>0</v>
      </c>
    </row>
    <row r="638" spans="1:18" x14ac:dyDescent="0.25">
      <c r="A638">
        <f t="shared" si="10"/>
        <v>0</v>
      </c>
      <c r="B638" t="b">
        <f>SUMPRODUCT(LEN(hospitalityq!C638:R638))&gt;0</f>
        <v>0</v>
      </c>
      <c r="C638">
        <f>B638*(hospitalityq!C638="")</f>
        <v>0</v>
      </c>
      <c r="E638">
        <f>B638*(hospitalityq!E638="")</f>
        <v>0</v>
      </c>
      <c r="F638">
        <f>B638*(hospitalityq!F638="")</f>
        <v>0</v>
      </c>
      <c r="G638">
        <f>B638*(hospitalityq!G638="")</f>
        <v>0</v>
      </c>
      <c r="H638">
        <f>B638*(hospitalityq!H638="")</f>
        <v>0</v>
      </c>
      <c r="I638">
        <f>B638*(hospitalityq!I638="")</f>
        <v>0</v>
      </c>
      <c r="J638">
        <f>B638*(hospitalityq!J638="")</f>
        <v>0</v>
      </c>
      <c r="K638">
        <f>B638*(hospitalityq!K638="")</f>
        <v>0</v>
      </c>
      <c r="L638">
        <f>B638*(hospitalityq!L638="")</f>
        <v>0</v>
      </c>
      <c r="M638">
        <f>B638*(hospitalityq!M638="")</f>
        <v>0</v>
      </c>
      <c r="N638">
        <f>B638*(hospitalityq!N638="")</f>
        <v>0</v>
      </c>
      <c r="O638">
        <f>B638*(hospitalityq!O638="")</f>
        <v>0</v>
      </c>
      <c r="P638">
        <f>B638*(hospitalityq!P638="")</f>
        <v>0</v>
      </c>
      <c r="Q638">
        <f>B638*(hospitalityq!Q638="")</f>
        <v>0</v>
      </c>
      <c r="R638">
        <f>B638*(hospitalityq!R638="")</f>
        <v>0</v>
      </c>
    </row>
    <row r="639" spans="1:18" x14ac:dyDescent="0.25">
      <c r="A639">
        <f t="shared" si="10"/>
        <v>0</v>
      </c>
      <c r="B639" t="b">
        <f>SUMPRODUCT(LEN(hospitalityq!C639:R639))&gt;0</f>
        <v>0</v>
      </c>
      <c r="C639">
        <f>B639*(hospitalityq!C639="")</f>
        <v>0</v>
      </c>
      <c r="E639">
        <f>B639*(hospitalityq!E639="")</f>
        <v>0</v>
      </c>
      <c r="F639">
        <f>B639*(hospitalityq!F639="")</f>
        <v>0</v>
      </c>
      <c r="G639">
        <f>B639*(hospitalityq!G639="")</f>
        <v>0</v>
      </c>
      <c r="H639">
        <f>B639*(hospitalityq!H639="")</f>
        <v>0</v>
      </c>
      <c r="I639">
        <f>B639*(hospitalityq!I639="")</f>
        <v>0</v>
      </c>
      <c r="J639">
        <f>B639*(hospitalityq!J639="")</f>
        <v>0</v>
      </c>
      <c r="K639">
        <f>B639*(hospitalityq!K639="")</f>
        <v>0</v>
      </c>
      <c r="L639">
        <f>B639*(hospitalityq!L639="")</f>
        <v>0</v>
      </c>
      <c r="M639">
        <f>B639*(hospitalityq!M639="")</f>
        <v>0</v>
      </c>
      <c r="N639">
        <f>B639*(hospitalityq!N639="")</f>
        <v>0</v>
      </c>
      <c r="O639">
        <f>B639*(hospitalityq!O639="")</f>
        <v>0</v>
      </c>
      <c r="P639">
        <f>B639*(hospitalityq!P639="")</f>
        <v>0</v>
      </c>
      <c r="Q639">
        <f>B639*(hospitalityq!Q639="")</f>
        <v>0</v>
      </c>
      <c r="R639">
        <f>B639*(hospitalityq!R639="")</f>
        <v>0</v>
      </c>
    </row>
    <row r="640" spans="1:18" x14ac:dyDescent="0.25">
      <c r="A640">
        <f t="shared" si="10"/>
        <v>0</v>
      </c>
      <c r="B640" t="b">
        <f>SUMPRODUCT(LEN(hospitalityq!C640:R640))&gt;0</f>
        <v>0</v>
      </c>
      <c r="C640">
        <f>B640*(hospitalityq!C640="")</f>
        <v>0</v>
      </c>
      <c r="E640">
        <f>B640*(hospitalityq!E640="")</f>
        <v>0</v>
      </c>
      <c r="F640">
        <f>B640*(hospitalityq!F640="")</f>
        <v>0</v>
      </c>
      <c r="G640">
        <f>B640*(hospitalityq!G640="")</f>
        <v>0</v>
      </c>
      <c r="H640">
        <f>B640*(hospitalityq!H640="")</f>
        <v>0</v>
      </c>
      <c r="I640">
        <f>B640*(hospitalityq!I640="")</f>
        <v>0</v>
      </c>
      <c r="J640">
        <f>B640*(hospitalityq!J640="")</f>
        <v>0</v>
      </c>
      <c r="K640">
        <f>B640*(hospitalityq!K640="")</f>
        <v>0</v>
      </c>
      <c r="L640">
        <f>B640*(hospitalityq!L640="")</f>
        <v>0</v>
      </c>
      <c r="M640">
        <f>B640*(hospitalityq!M640="")</f>
        <v>0</v>
      </c>
      <c r="N640">
        <f>B640*(hospitalityq!N640="")</f>
        <v>0</v>
      </c>
      <c r="O640">
        <f>B640*(hospitalityq!O640="")</f>
        <v>0</v>
      </c>
      <c r="P640">
        <f>B640*(hospitalityq!P640="")</f>
        <v>0</v>
      </c>
      <c r="Q640">
        <f>B640*(hospitalityq!Q640="")</f>
        <v>0</v>
      </c>
      <c r="R640">
        <f>B640*(hospitalityq!R640="")</f>
        <v>0</v>
      </c>
    </row>
    <row r="641" spans="1:18" x14ac:dyDescent="0.25">
      <c r="A641">
        <f t="shared" si="10"/>
        <v>0</v>
      </c>
      <c r="B641" t="b">
        <f>SUMPRODUCT(LEN(hospitalityq!C641:R641))&gt;0</f>
        <v>0</v>
      </c>
      <c r="C641">
        <f>B641*(hospitalityq!C641="")</f>
        <v>0</v>
      </c>
      <c r="E641">
        <f>B641*(hospitalityq!E641="")</f>
        <v>0</v>
      </c>
      <c r="F641">
        <f>B641*(hospitalityq!F641="")</f>
        <v>0</v>
      </c>
      <c r="G641">
        <f>B641*(hospitalityq!G641="")</f>
        <v>0</v>
      </c>
      <c r="H641">
        <f>B641*(hospitalityq!H641="")</f>
        <v>0</v>
      </c>
      <c r="I641">
        <f>B641*(hospitalityq!I641="")</f>
        <v>0</v>
      </c>
      <c r="J641">
        <f>B641*(hospitalityq!J641="")</f>
        <v>0</v>
      </c>
      <c r="K641">
        <f>B641*(hospitalityq!K641="")</f>
        <v>0</v>
      </c>
      <c r="L641">
        <f>B641*(hospitalityq!L641="")</f>
        <v>0</v>
      </c>
      <c r="M641">
        <f>B641*(hospitalityq!M641="")</f>
        <v>0</v>
      </c>
      <c r="N641">
        <f>B641*(hospitalityq!N641="")</f>
        <v>0</v>
      </c>
      <c r="O641">
        <f>B641*(hospitalityq!O641="")</f>
        <v>0</v>
      </c>
      <c r="P641">
        <f>B641*(hospitalityq!P641="")</f>
        <v>0</v>
      </c>
      <c r="Q641">
        <f>B641*(hospitalityq!Q641="")</f>
        <v>0</v>
      </c>
      <c r="R641">
        <f>B641*(hospitalityq!R641="")</f>
        <v>0</v>
      </c>
    </row>
    <row r="642" spans="1:18" x14ac:dyDescent="0.25">
      <c r="A642">
        <f t="shared" si="10"/>
        <v>0</v>
      </c>
      <c r="B642" t="b">
        <f>SUMPRODUCT(LEN(hospitalityq!C642:R642))&gt;0</f>
        <v>0</v>
      </c>
      <c r="C642">
        <f>B642*(hospitalityq!C642="")</f>
        <v>0</v>
      </c>
      <c r="E642">
        <f>B642*(hospitalityq!E642="")</f>
        <v>0</v>
      </c>
      <c r="F642">
        <f>B642*(hospitalityq!F642="")</f>
        <v>0</v>
      </c>
      <c r="G642">
        <f>B642*(hospitalityq!G642="")</f>
        <v>0</v>
      </c>
      <c r="H642">
        <f>B642*(hospitalityq!H642="")</f>
        <v>0</v>
      </c>
      <c r="I642">
        <f>B642*(hospitalityq!I642="")</f>
        <v>0</v>
      </c>
      <c r="J642">
        <f>B642*(hospitalityq!J642="")</f>
        <v>0</v>
      </c>
      <c r="K642">
        <f>B642*(hospitalityq!K642="")</f>
        <v>0</v>
      </c>
      <c r="L642">
        <f>B642*(hospitalityq!L642="")</f>
        <v>0</v>
      </c>
      <c r="M642">
        <f>B642*(hospitalityq!M642="")</f>
        <v>0</v>
      </c>
      <c r="N642">
        <f>B642*(hospitalityq!N642="")</f>
        <v>0</v>
      </c>
      <c r="O642">
        <f>B642*(hospitalityq!O642="")</f>
        <v>0</v>
      </c>
      <c r="P642">
        <f>B642*(hospitalityq!P642="")</f>
        <v>0</v>
      </c>
      <c r="Q642">
        <f>B642*(hospitalityq!Q642="")</f>
        <v>0</v>
      </c>
      <c r="R642">
        <f>B642*(hospitalityq!R642="")</f>
        <v>0</v>
      </c>
    </row>
    <row r="643" spans="1:18" x14ac:dyDescent="0.25">
      <c r="A643">
        <f t="shared" si="10"/>
        <v>0</v>
      </c>
      <c r="B643" t="b">
        <f>SUMPRODUCT(LEN(hospitalityq!C643:R643))&gt;0</f>
        <v>0</v>
      </c>
      <c r="C643">
        <f>B643*(hospitalityq!C643="")</f>
        <v>0</v>
      </c>
      <c r="E643">
        <f>B643*(hospitalityq!E643="")</f>
        <v>0</v>
      </c>
      <c r="F643">
        <f>B643*(hospitalityq!F643="")</f>
        <v>0</v>
      </c>
      <c r="G643">
        <f>B643*(hospitalityq!G643="")</f>
        <v>0</v>
      </c>
      <c r="H643">
        <f>B643*(hospitalityq!H643="")</f>
        <v>0</v>
      </c>
      <c r="I643">
        <f>B643*(hospitalityq!I643="")</f>
        <v>0</v>
      </c>
      <c r="J643">
        <f>B643*(hospitalityq!J643="")</f>
        <v>0</v>
      </c>
      <c r="K643">
        <f>B643*(hospitalityq!K643="")</f>
        <v>0</v>
      </c>
      <c r="L643">
        <f>B643*(hospitalityq!L643="")</f>
        <v>0</v>
      </c>
      <c r="M643">
        <f>B643*(hospitalityq!M643="")</f>
        <v>0</v>
      </c>
      <c r="N643">
        <f>B643*(hospitalityq!N643="")</f>
        <v>0</v>
      </c>
      <c r="O643">
        <f>B643*(hospitalityq!O643="")</f>
        <v>0</v>
      </c>
      <c r="P643">
        <f>B643*(hospitalityq!P643="")</f>
        <v>0</v>
      </c>
      <c r="Q643">
        <f>B643*(hospitalityq!Q643="")</f>
        <v>0</v>
      </c>
      <c r="R643">
        <f>B643*(hospitalityq!R643="")</f>
        <v>0</v>
      </c>
    </row>
    <row r="644" spans="1:18" x14ac:dyDescent="0.25">
      <c r="A644">
        <f t="shared" si="10"/>
        <v>0</v>
      </c>
      <c r="B644" t="b">
        <f>SUMPRODUCT(LEN(hospitalityq!C644:R644))&gt;0</f>
        <v>0</v>
      </c>
      <c r="C644">
        <f>B644*(hospitalityq!C644="")</f>
        <v>0</v>
      </c>
      <c r="E644">
        <f>B644*(hospitalityq!E644="")</f>
        <v>0</v>
      </c>
      <c r="F644">
        <f>B644*(hospitalityq!F644="")</f>
        <v>0</v>
      </c>
      <c r="G644">
        <f>B644*(hospitalityq!G644="")</f>
        <v>0</v>
      </c>
      <c r="H644">
        <f>B644*(hospitalityq!H644="")</f>
        <v>0</v>
      </c>
      <c r="I644">
        <f>B644*(hospitalityq!I644="")</f>
        <v>0</v>
      </c>
      <c r="J644">
        <f>B644*(hospitalityq!J644="")</f>
        <v>0</v>
      </c>
      <c r="K644">
        <f>B644*(hospitalityq!K644="")</f>
        <v>0</v>
      </c>
      <c r="L644">
        <f>B644*(hospitalityq!L644="")</f>
        <v>0</v>
      </c>
      <c r="M644">
        <f>B644*(hospitalityq!M644="")</f>
        <v>0</v>
      </c>
      <c r="N644">
        <f>B644*(hospitalityq!N644="")</f>
        <v>0</v>
      </c>
      <c r="O644">
        <f>B644*(hospitalityq!O644="")</f>
        <v>0</v>
      </c>
      <c r="P644">
        <f>B644*(hospitalityq!P644="")</f>
        <v>0</v>
      </c>
      <c r="Q644">
        <f>B644*(hospitalityq!Q644="")</f>
        <v>0</v>
      </c>
      <c r="R644">
        <f>B644*(hospitalityq!R644="")</f>
        <v>0</v>
      </c>
    </row>
    <row r="645" spans="1:18" x14ac:dyDescent="0.25">
      <c r="A645">
        <f t="shared" si="10"/>
        <v>0</v>
      </c>
      <c r="B645" t="b">
        <f>SUMPRODUCT(LEN(hospitalityq!C645:R645))&gt;0</f>
        <v>0</v>
      </c>
      <c r="C645">
        <f>B645*(hospitalityq!C645="")</f>
        <v>0</v>
      </c>
      <c r="E645">
        <f>B645*(hospitalityq!E645="")</f>
        <v>0</v>
      </c>
      <c r="F645">
        <f>B645*(hospitalityq!F645="")</f>
        <v>0</v>
      </c>
      <c r="G645">
        <f>B645*(hospitalityq!G645="")</f>
        <v>0</v>
      </c>
      <c r="H645">
        <f>B645*(hospitalityq!H645="")</f>
        <v>0</v>
      </c>
      <c r="I645">
        <f>B645*(hospitalityq!I645="")</f>
        <v>0</v>
      </c>
      <c r="J645">
        <f>B645*(hospitalityq!J645="")</f>
        <v>0</v>
      </c>
      <c r="K645">
        <f>B645*(hospitalityq!K645="")</f>
        <v>0</v>
      </c>
      <c r="L645">
        <f>B645*(hospitalityq!L645="")</f>
        <v>0</v>
      </c>
      <c r="M645">
        <f>B645*(hospitalityq!M645="")</f>
        <v>0</v>
      </c>
      <c r="N645">
        <f>B645*(hospitalityq!N645="")</f>
        <v>0</v>
      </c>
      <c r="O645">
        <f>B645*(hospitalityq!O645="")</f>
        <v>0</v>
      </c>
      <c r="P645">
        <f>B645*(hospitalityq!P645="")</f>
        <v>0</v>
      </c>
      <c r="Q645">
        <f>B645*(hospitalityq!Q645="")</f>
        <v>0</v>
      </c>
      <c r="R645">
        <f>B645*(hospitalityq!R645="")</f>
        <v>0</v>
      </c>
    </row>
    <row r="646" spans="1:18" x14ac:dyDescent="0.25">
      <c r="A646">
        <f t="shared" ref="A646:A709" si="11">IFERROR(MATCH(TRUE,INDEX(C646:R646&lt;&gt;0,),)+2,0)</f>
        <v>0</v>
      </c>
      <c r="B646" t="b">
        <f>SUMPRODUCT(LEN(hospitalityq!C646:R646))&gt;0</f>
        <v>0</v>
      </c>
      <c r="C646">
        <f>B646*(hospitalityq!C646="")</f>
        <v>0</v>
      </c>
      <c r="E646">
        <f>B646*(hospitalityq!E646="")</f>
        <v>0</v>
      </c>
      <c r="F646">
        <f>B646*(hospitalityq!F646="")</f>
        <v>0</v>
      </c>
      <c r="G646">
        <f>B646*(hospitalityq!G646="")</f>
        <v>0</v>
      </c>
      <c r="H646">
        <f>B646*(hospitalityq!H646="")</f>
        <v>0</v>
      </c>
      <c r="I646">
        <f>B646*(hospitalityq!I646="")</f>
        <v>0</v>
      </c>
      <c r="J646">
        <f>B646*(hospitalityq!J646="")</f>
        <v>0</v>
      </c>
      <c r="K646">
        <f>B646*(hospitalityq!K646="")</f>
        <v>0</v>
      </c>
      <c r="L646">
        <f>B646*(hospitalityq!L646="")</f>
        <v>0</v>
      </c>
      <c r="M646">
        <f>B646*(hospitalityq!M646="")</f>
        <v>0</v>
      </c>
      <c r="N646">
        <f>B646*(hospitalityq!N646="")</f>
        <v>0</v>
      </c>
      <c r="O646">
        <f>B646*(hospitalityq!O646="")</f>
        <v>0</v>
      </c>
      <c r="P646">
        <f>B646*(hospitalityq!P646="")</f>
        <v>0</v>
      </c>
      <c r="Q646">
        <f>B646*(hospitalityq!Q646="")</f>
        <v>0</v>
      </c>
      <c r="R646">
        <f>B646*(hospitalityq!R646="")</f>
        <v>0</v>
      </c>
    </row>
    <row r="647" spans="1:18" x14ac:dyDescent="0.25">
      <c r="A647">
        <f t="shared" si="11"/>
        <v>0</v>
      </c>
      <c r="B647" t="b">
        <f>SUMPRODUCT(LEN(hospitalityq!C647:R647))&gt;0</f>
        <v>0</v>
      </c>
      <c r="C647">
        <f>B647*(hospitalityq!C647="")</f>
        <v>0</v>
      </c>
      <c r="E647">
        <f>B647*(hospitalityq!E647="")</f>
        <v>0</v>
      </c>
      <c r="F647">
        <f>B647*(hospitalityq!F647="")</f>
        <v>0</v>
      </c>
      <c r="G647">
        <f>B647*(hospitalityq!G647="")</f>
        <v>0</v>
      </c>
      <c r="H647">
        <f>B647*(hospitalityq!H647="")</f>
        <v>0</v>
      </c>
      <c r="I647">
        <f>B647*(hospitalityq!I647="")</f>
        <v>0</v>
      </c>
      <c r="J647">
        <f>B647*(hospitalityq!J647="")</f>
        <v>0</v>
      </c>
      <c r="K647">
        <f>B647*(hospitalityq!K647="")</f>
        <v>0</v>
      </c>
      <c r="L647">
        <f>B647*(hospitalityq!L647="")</f>
        <v>0</v>
      </c>
      <c r="M647">
        <f>B647*(hospitalityq!M647="")</f>
        <v>0</v>
      </c>
      <c r="N647">
        <f>B647*(hospitalityq!N647="")</f>
        <v>0</v>
      </c>
      <c r="O647">
        <f>B647*(hospitalityq!O647="")</f>
        <v>0</v>
      </c>
      <c r="P647">
        <f>B647*(hospitalityq!P647="")</f>
        <v>0</v>
      </c>
      <c r="Q647">
        <f>B647*(hospitalityq!Q647="")</f>
        <v>0</v>
      </c>
      <c r="R647">
        <f>B647*(hospitalityq!R647="")</f>
        <v>0</v>
      </c>
    </row>
    <row r="648" spans="1:18" x14ac:dyDescent="0.25">
      <c r="A648">
        <f t="shared" si="11"/>
        <v>0</v>
      </c>
      <c r="B648" t="b">
        <f>SUMPRODUCT(LEN(hospitalityq!C648:R648))&gt;0</f>
        <v>0</v>
      </c>
      <c r="C648">
        <f>B648*(hospitalityq!C648="")</f>
        <v>0</v>
      </c>
      <c r="E648">
        <f>B648*(hospitalityq!E648="")</f>
        <v>0</v>
      </c>
      <c r="F648">
        <f>B648*(hospitalityq!F648="")</f>
        <v>0</v>
      </c>
      <c r="G648">
        <f>B648*(hospitalityq!G648="")</f>
        <v>0</v>
      </c>
      <c r="H648">
        <f>B648*(hospitalityq!H648="")</f>
        <v>0</v>
      </c>
      <c r="I648">
        <f>B648*(hospitalityq!I648="")</f>
        <v>0</v>
      </c>
      <c r="J648">
        <f>B648*(hospitalityq!J648="")</f>
        <v>0</v>
      </c>
      <c r="K648">
        <f>B648*(hospitalityq!K648="")</f>
        <v>0</v>
      </c>
      <c r="L648">
        <f>B648*(hospitalityq!L648="")</f>
        <v>0</v>
      </c>
      <c r="M648">
        <f>B648*(hospitalityq!M648="")</f>
        <v>0</v>
      </c>
      <c r="N648">
        <f>B648*(hospitalityq!N648="")</f>
        <v>0</v>
      </c>
      <c r="O648">
        <f>B648*(hospitalityq!O648="")</f>
        <v>0</v>
      </c>
      <c r="P648">
        <f>B648*(hospitalityq!P648="")</f>
        <v>0</v>
      </c>
      <c r="Q648">
        <f>B648*(hospitalityq!Q648="")</f>
        <v>0</v>
      </c>
      <c r="R648">
        <f>B648*(hospitalityq!R648="")</f>
        <v>0</v>
      </c>
    </row>
    <row r="649" spans="1:18" x14ac:dyDescent="0.25">
      <c r="A649">
        <f t="shared" si="11"/>
        <v>0</v>
      </c>
      <c r="B649" t="b">
        <f>SUMPRODUCT(LEN(hospitalityq!C649:R649))&gt;0</f>
        <v>0</v>
      </c>
      <c r="C649">
        <f>B649*(hospitalityq!C649="")</f>
        <v>0</v>
      </c>
      <c r="E649">
        <f>B649*(hospitalityq!E649="")</f>
        <v>0</v>
      </c>
      <c r="F649">
        <f>B649*(hospitalityq!F649="")</f>
        <v>0</v>
      </c>
      <c r="G649">
        <f>B649*(hospitalityq!G649="")</f>
        <v>0</v>
      </c>
      <c r="H649">
        <f>B649*(hospitalityq!H649="")</f>
        <v>0</v>
      </c>
      <c r="I649">
        <f>B649*(hospitalityq!I649="")</f>
        <v>0</v>
      </c>
      <c r="J649">
        <f>B649*(hospitalityq!J649="")</f>
        <v>0</v>
      </c>
      <c r="K649">
        <f>B649*(hospitalityq!K649="")</f>
        <v>0</v>
      </c>
      <c r="L649">
        <f>B649*(hospitalityq!L649="")</f>
        <v>0</v>
      </c>
      <c r="M649">
        <f>B649*(hospitalityq!M649="")</f>
        <v>0</v>
      </c>
      <c r="N649">
        <f>B649*(hospitalityq!N649="")</f>
        <v>0</v>
      </c>
      <c r="O649">
        <f>B649*(hospitalityq!O649="")</f>
        <v>0</v>
      </c>
      <c r="P649">
        <f>B649*(hospitalityq!P649="")</f>
        <v>0</v>
      </c>
      <c r="Q649">
        <f>B649*(hospitalityq!Q649="")</f>
        <v>0</v>
      </c>
      <c r="R649">
        <f>B649*(hospitalityq!R649="")</f>
        <v>0</v>
      </c>
    </row>
    <row r="650" spans="1:18" x14ac:dyDescent="0.25">
      <c r="A650">
        <f t="shared" si="11"/>
        <v>0</v>
      </c>
      <c r="B650" t="b">
        <f>SUMPRODUCT(LEN(hospitalityq!C650:R650))&gt;0</f>
        <v>0</v>
      </c>
      <c r="C650">
        <f>B650*(hospitalityq!C650="")</f>
        <v>0</v>
      </c>
      <c r="E650">
        <f>B650*(hospitalityq!E650="")</f>
        <v>0</v>
      </c>
      <c r="F650">
        <f>B650*(hospitalityq!F650="")</f>
        <v>0</v>
      </c>
      <c r="G650">
        <f>B650*(hospitalityq!G650="")</f>
        <v>0</v>
      </c>
      <c r="H650">
        <f>B650*(hospitalityq!H650="")</f>
        <v>0</v>
      </c>
      <c r="I650">
        <f>B650*(hospitalityq!I650="")</f>
        <v>0</v>
      </c>
      <c r="J650">
        <f>B650*(hospitalityq!J650="")</f>
        <v>0</v>
      </c>
      <c r="K650">
        <f>B650*(hospitalityq!K650="")</f>
        <v>0</v>
      </c>
      <c r="L650">
        <f>B650*(hospitalityq!L650="")</f>
        <v>0</v>
      </c>
      <c r="M650">
        <f>B650*(hospitalityq!M650="")</f>
        <v>0</v>
      </c>
      <c r="N650">
        <f>B650*(hospitalityq!N650="")</f>
        <v>0</v>
      </c>
      <c r="O650">
        <f>B650*(hospitalityq!O650="")</f>
        <v>0</v>
      </c>
      <c r="P650">
        <f>B650*(hospitalityq!P650="")</f>
        <v>0</v>
      </c>
      <c r="Q650">
        <f>B650*(hospitalityq!Q650="")</f>
        <v>0</v>
      </c>
      <c r="R650">
        <f>B650*(hospitalityq!R650="")</f>
        <v>0</v>
      </c>
    </row>
    <row r="651" spans="1:18" x14ac:dyDescent="0.25">
      <c r="A651">
        <f t="shared" si="11"/>
        <v>0</v>
      </c>
      <c r="B651" t="b">
        <f>SUMPRODUCT(LEN(hospitalityq!C651:R651))&gt;0</f>
        <v>0</v>
      </c>
      <c r="C651">
        <f>B651*(hospitalityq!C651="")</f>
        <v>0</v>
      </c>
      <c r="E651">
        <f>B651*(hospitalityq!E651="")</f>
        <v>0</v>
      </c>
      <c r="F651">
        <f>B651*(hospitalityq!F651="")</f>
        <v>0</v>
      </c>
      <c r="G651">
        <f>B651*(hospitalityq!G651="")</f>
        <v>0</v>
      </c>
      <c r="H651">
        <f>B651*(hospitalityq!H651="")</f>
        <v>0</v>
      </c>
      <c r="I651">
        <f>B651*(hospitalityq!I651="")</f>
        <v>0</v>
      </c>
      <c r="J651">
        <f>B651*(hospitalityq!J651="")</f>
        <v>0</v>
      </c>
      <c r="K651">
        <f>B651*(hospitalityq!K651="")</f>
        <v>0</v>
      </c>
      <c r="L651">
        <f>B651*(hospitalityq!L651="")</f>
        <v>0</v>
      </c>
      <c r="M651">
        <f>B651*(hospitalityq!M651="")</f>
        <v>0</v>
      </c>
      <c r="N651">
        <f>B651*(hospitalityq!N651="")</f>
        <v>0</v>
      </c>
      <c r="O651">
        <f>B651*(hospitalityq!O651="")</f>
        <v>0</v>
      </c>
      <c r="P651">
        <f>B651*(hospitalityq!P651="")</f>
        <v>0</v>
      </c>
      <c r="Q651">
        <f>B651*(hospitalityq!Q651="")</f>
        <v>0</v>
      </c>
      <c r="R651">
        <f>B651*(hospitalityq!R651="")</f>
        <v>0</v>
      </c>
    </row>
    <row r="652" spans="1:18" x14ac:dyDescent="0.25">
      <c r="A652">
        <f t="shared" si="11"/>
        <v>0</v>
      </c>
      <c r="B652" t="b">
        <f>SUMPRODUCT(LEN(hospitalityq!C652:R652))&gt;0</f>
        <v>0</v>
      </c>
      <c r="C652">
        <f>B652*(hospitalityq!C652="")</f>
        <v>0</v>
      </c>
      <c r="E652">
        <f>B652*(hospitalityq!E652="")</f>
        <v>0</v>
      </c>
      <c r="F652">
        <f>B652*(hospitalityq!F652="")</f>
        <v>0</v>
      </c>
      <c r="G652">
        <f>B652*(hospitalityq!G652="")</f>
        <v>0</v>
      </c>
      <c r="H652">
        <f>B652*(hospitalityq!H652="")</f>
        <v>0</v>
      </c>
      <c r="I652">
        <f>B652*(hospitalityq!I652="")</f>
        <v>0</v>
      </c>
      <c r="J652">
        <f>B652*(hospitalityq!J652="")</f>
        <v>0</v>
      </c>
      <c r="K652">
        <f>B652*(hospitalityq!K652="")</f>
        <v>0</v>
      </c>
      <c r="L652">
        <f>B652*(hospitalityq!L652="")</f>
        <v>0</v>
      </c>
      <c r="M652">
        <f>B652*(hospitalityq!M652="")</f>
        <v>0</v>
      </c>
      <c r="N652">
        <f>B652*(hospitalityq!N652="")</f>
        <v>0</v>
      </c>
      <c r="O652">
        <f>B652*(hospitalityq!O652="")</f>
        <v>0</v>
      </c>
      <c r="P652">
        <f>B652*(hospitalityq!P652="")</f>
        <v>0</v>
      </c>
      <c r="Q652">
        <f>B652*(hospitalityq!Q652="")</f>
        <v>0</v>
      </c>
      <c r="R652">
        <f>B652*(hospitalityq!R652="")</f>
        <v>0</v>
      </c>
    </row>
    <row r="653" spans="1:18" x14ac:dyDescent="0.25">
      <c r="A653">
        <f t="shared" si="11"/>
        <v>0</v>
      </c>
      <c r="B653" t="b">
        <f>SUMPRODUCT(LEN(hospitalityq!C653:R653))&gt;0</f>
        <v>0</v>
      </c>
      <c r="C653">
        <f>B653*(hospitalityq!C653="")</f>
        <v>0</v>
      </c>
      <c r="E653">
        <f>B653*(hospitalityq!E653="")</f>
        <v>0</v>
      </c>
      <c r="F653">
        <f>B653*(hospitalityq!F653="")</f>
        <v>0</v>
      </c>
      <c r="G653">
        <f>B653*(hospitalityq!G653="")</f>
        <v>0</v>
      </c>
      <c r="H653">
        <f>B653*(hospitalityq!H653="")</f>
        <v>0</v>
      </c>
      <c r="I653">
        <f>B653*(hospitalityq!I653="")</f>
        <v>0</v>
      </c>
      <c r="J653">
        <f>B653*(hospitalityq!J653="")</f>
        <v>0</v>
      </c>
      <c r="K653">
        <f>B653*(hospitalityq!K653="")</f>
        <v>0</v>
      </c>
      <c r="L653">
        <f>B653*(hospitalityq!L653="")</f>
        <v>0</v>
      </c>
      <c r="M653">
        <f>B653*(hospitalityq!M653="")</f>
        <v>0</v>
      </c>
      <c r="N653">
        <f>B653*(hospitalityq!N653="")</f>
        <v>0</v>
      </c>
      <c r="O653">
        <f>B653*(hospitalityq!O653="")</f>
        <v>0</v>
      </c>
      <c r="P653">
        <f>B653*(hospitalityq!P653="")</f>
        <v>0</v>
      </c>
      <c r="Q653">
        <f>B653*(hospitalityq!Q653="")</f>
        <v>0</v>
      </c>
      <c r="R653">
        <f>B653*(hospitalityq!R653="")</f>
        <v>0</v>
      </c>
    </row>
    <row r="654" spans="1:18" x14ac:dyDescent="0.25">
      <c r="A654">
        <f t="shared" si="11"/>
        <v>0</v>
      </c>
      <c r="B654" t="b">
        <f>SUMPRODUCT(LEN(hospitalityq!C654:R654))&gt;0</f>
        <v>0</v>
      </c>
      <c r="C654">
        <f>B654*(hospitalityq!C654="")</f>
        <v>0</v>
      </c>
      <c r="E654">
        <f>B654*(hospitalityq!E654="")</f>
        <v>0</v>
      </c>
      <c r="F654">
        <f>B654*(hospitalityq!F654="")</f>
        <v>0</v>
      </c>
      <c r="G654">
        <f>B654*(hospitalityq!G654="")</f>
        <v>0</v>
      </c>
      <c r="H654">
        <f>B654*(hospitalityq!H654="")</f>
        <v>0</v>
      </c>
      <c r="I654">
        <f>B654*(hospitalityq!I654="")</f>
        <v>0</v>
      </c>
      <c r="J654">
        <f>B654*(hospitalityq!J654="")</f>
        <v>0</v>
      </c>
      <c r="K654">
        <f>B654*(hospitalityq!K654="")</f>
        <v>0</v>
      </c>
      <c r="L654">
        <f>B654*(hospitalityq!L654="")</f>
        <v>0</v>
      </c>
      <c r="M654">
        <f>B654*(hospitalityq!M654="")</f>
        <v>0</v>
      </c>
      <c r="N654">
        <f>B654*(hospitalityq!N654="")</f>
        <v>0</v>
      </c>
      <c r="O654">
        <f>B654*(hospitalityq!O654="")</f>
        <v>0</v>
      </c>
      <c r="P654">
        <f>B654*(hospitalityq!P654="")</f>
        <v>0</v>
      </c>
      <c r="Q654">
        <f>B654*(hospitalityq!Q654="")</f>
        <v>0</v>
      </c>
      <c r="R654">
        <f>B654*(hospitalityq!R654="")</f>
        <v>0</v>
      </c>
    </row>
    <row r="655" spans="1:18" x14ac:dyDescent="0.25">
      <c r="A655">
        <f t="shared" si="11"/>
        <v>0</v>
      </c>
      <c r="B655" t="b">
        <f>SUMPRODUCT(LEN(hospitalityq!C655:R655))&gt;0</f>
        <v>0</v>
      </c>
      <c r="C655">
        <f>B655*(hospitalityq!C655="")</f>
        <v>0</v>
      </c>
      <c r="E655">
        <f>B655*(hospitalityq!E655="")</f>
        <v>0</v>
      </c>
      <c r="F655">
        <f>B655*(hospitalityq!F655="")</f>
        <v>0</v>
      </c>
      <c r="G655">
        <f>B655*(hospitalityq!G655="")</f>
        <v>0</v>
      </c>
      <c r="H655">
        <f>B655*(hospitalityq!H655="")</f>
        <v>0</v>
      </c>
      <c r="I655">
        <f>B655*(hospitalityq!I655="")</f>
        <v>0</v>
      </c>
      <c r="J655">
        <f>B655*(hospitalityq!J655="")</f>
        <v>0</v>
      </c>
      <c r="K655">
        <f>B655*(hospitalityq!K655="")</f>
        <v>0</v>
      </c>
      <c r="L655">
        <f>B655*(hospitalityq!L655="")</f>
        <v>0</v>
      </c>
      <c r="M655">
        <f>B655*(hospitalityq!M655="")</f>
        <v>0</v>
      </c>
      <c r="N655">
        <f>B655*(hospitalityq!N655="")</f>
        <v>0</v>
      </c>
      <c r="O655">
        <f>B655*(hospitalityq!O655="")</f>
        <v>0</v>
      </c>
      <c r="P655">
        <f>B655*(hospitalityq!P655="")</f>
        <v>0</v>
      </c>
      <c r="Q655">
        <f>B655*(hospitalityq!Q655="")</f>
        <v>0</v>
      </c>
      <c r="R655">
        <f>B655*(hospitalityq!R655="")</f>
        <v>0</v>
      </c>
    </row>
    <row r="656" spans="1:18" x14ac:dyDescent="0.25">
      <c r="A656">
        <f t="shared" si="11"/>
        <v>0</v>
      </c>
      <c r="B656" t="b">
        <f>SUMPRODUCT(LEN(hospitalityq!C656:R656))&gt;0</f>
        <v>0</v>
      </c>
      <c r="C656">
        <f>B656*(hospitalityq!C656="")</f>
        <v>0</v>
      </c>
      <c r="E656">
        <f>B656*(hospitalityq!E656="")</f>
        <v>0</v>
      </c>
      <c r="F656">
        <f>B656*(hospitalityq!F656="")</f>
        <v>0</v>
      </c>
      <c r="G656">
        <f>B656*(hospitalityq!G656="")</f>
        <v>0</v>
      </c>
      <c r="H656">
        <f>B656*(hospitalityq!H656="")</f>
        <v>0</v>
      </c>
      <c r="I656">
        <f>B656*(hospitalityq!I656="")</f>
        <v>0</v>
      </c>
      <c r="J656">
        <f>B656*(hospitalityq!J656="")</f>
        <v>0</v>
      </c>
      <c r="K656">
        <f>B656*(hospitalityq!K656="")</f>
        <v>0</v>
      </c>
      <c r="L656">
        <f>B656*(hospitalityq!L656="")</f>
        <v>0</v>
      </c>
      <c r="M656">
        <f>B656*(hospitalityq!M656="")</f>
        <v>0</v>
      </c>
      <c r="N656">
        <f>B656*(hospitalityq!N656="")</f>
        <v>0</v>
      </c>
      <c r="O656">
        <f>B656*(hospitalityq!O656="")</f>
        <v>0</v>
      </c>
      <c r="P656">
        <f>B656*(hospitalityq!P656="")</f>
        <v>0</v>
      </c>
      <c r="Q656">
        <f>B656*(hospitalityq!Q656="")</f>
        <v>0</v>
      </c>
      <c r="R656">
        <f>B656*(hospitalityq!R656="")</f>
        <v>0</v>
      </c>
    </row>
    <row r="657" spans="1:18" x14ac:dyDescent="0.25">
      <c r="A657">
        <f t="shared" si="11"/>
        <v>0</v>
      </c>
      <c r="B657" t="b">
        <f>SUMPRODUCT(LEN(hospitalityq!C657:R657))&gt;0</f>
        <v>0</v>
      </c>
      <c r="C657">
        <f>B657*(hospitalityq!C657="")</f>
        <v>0</v>
      </c>
      <c r="E657">
        <f>B657*(hospitalityq!E657="")</f>
        <v>0</v>
      </c>
      <c r="F657">
        <f>B657*(hospitalityq!F657="")</f>
        <v>0</v>
      </c>
      <c r="G657">
        <f>B657*(hospitalityq!G657="")</f>
        <v>0</v>
      </c>
      <c r="H657">
        <f>B657*(hospitalityq!H657="")</f>
        <v>0</v>
      </c>
      <c r="I657">
        <f>B657*(hospitalityq!I657="")</f>
        <v>0</v>
      </c>
      <c r="J657">
        <f>B657*(hospitalityq!J657="")</f>
        <v>0</v>
      </c>
      <c r="K657">
        <f>B657*(hospitalityq!K657="")</f>
        <v>0</v>
      </c>
      <c r="L657">
        <f>B657*(hospitalityq!L657="")</f>
        <v>0</v>
      </c>
      <c r="M657">
        <f>B657*(hospitalityq!M657="")</f>
        <v>0</v>
      </c>
      <c r="N657">
        <f>B657*(hospitalityq!N657="")</f>
        <v>0</v>
      </c>
      <c r="O657">
        <f>B657*(hospitalityq!O657="")</f>
        <v>0</v>
      </c>
      <c r="P657">
        <f>B657*(hospitalityq!P657="")</f>
        <v>0</v>
      </c>
      <c r="Q657">
        <f>B657*(hospitalityq!Q657="")</f>
        <v>0</v>
      </c>
      <c r="R657">
        <f>B657*(hospitalityq!R657="")</f>
        <v>0</v>
      </c>
    </row>
    <row r="658" spans="1:18" x14ac:dyDescent="0.25">
      <c r="A658">
        <f t="shared" si="11"/>
        <v>0</v>
      </c>
      <c r="B658" t="b">
        <f>SUMPRODUCT(LEN(hospitalityq!C658:R658))&gt;0</f>
        <v>0</v>
      </c>
      <c r="C658">
        <f>B658*(hospitalityq!C658="")</f>
        <v>0</v>
      </c>
      <c r="E658">
        <f>B658*(hospitalityq!E658="")</f>
        <v>0</v>
      </c>
      <c r="F658">
        <f>B658*(hospitalityq!F658="")</f>
        <v>0</v>
      </c>
      <c r="G658">
        <f>B658*(hospitalityq!G658="")</f>
        <v>0</v>
      </c>
      <c r="H658">
        <f>B658*(hospitalityq!H658="")</f>
        <v>0</v>
      </c>
      <c r="I658">
        <f>B658*(hospitalityq!I658="")</f>
        <v>0</v>
      </c>
      <c r="J658">
        <f>B658*(hospitalityq!J658="")</f>
        <v>0</v>
      </c>
      <c r="K658">
        <f>B658*(hospitalityq!K658="")</f>
        <v>0</v>
      </c>
      <c r="L658">
        <f>B658*(hospitalityq!L658="")</f>
        <v>0</v>
      </c>
      <c r="M658">
        <f>B658*(hospitalityq!M658="")</f>
        <v>0</v>
      </c>
      <c r="N658">
        <f>B658*(hospitalityq!N658="")</f>
        <v>0</v>
      </c>
      <c r="O658">
        <f>B658*(hospitalityq!O658="")</f>
        <v>0</v>
      </c>
      <c r="P658">
        <f>B658*(hospitalityq!P658="")</f>
        <v>0</v>
      </c>
      <c r="Q658">
        <f>B658*(hospitalityq!Q658="")</f>
        <v>0</v>
      </c>
      <c r="R658">
        <f>B658*(hospitalityq!R658="")</f>
        <v>0</v>
      </c>
    </row>
    <row r="659" spans="1:18" x14ac:dyDescent="0.25">
      <c r="A659">
        <f t="shared" si="11"/>
        <v>0</v>
      </c>
      <c r="B659" t="b">
        <f>SUMPRODUCT(LEN(hospitalityq!C659:R659))&gt;0</f>
        <v>0</v>
      </c>
      <c r="C659">
        <f>B659*(hospitalityq!C659="")</f>
        <v>0</v>
      </c>
      <c r="E659">
        <f>B659*(hospitalityq!E659="")</f>
        <v>0</v>
      </c>
      <c r="F659">
        <f>B659*(hospitalityq!F659="")</f>
        <v>0</v>
      </c>
      <c r="G659">
        <f>B659*(hospitalityq!G659="")</f>
        <v>0</v>
      </c>
      <c r="H659">
        <f>B659*(hospitalityq!H659="")</f>
        <v>0</v>
      </c>
      <c r="I659">
        <f>B659*(hospitalityq!I659="")</f>
        <v>0</v>
      </c>
      <c r="J659">
        <f>B659*(hospitalityq!J659="")</f>
        <v>0</v>
      </c>
      <c r="K659">
        <f>B659*(hospitalityq!K659="")</f>
        <v>0</v>
      </c>
      <c r="L659">
        <f>B659*(hospitalityq!L659="")</f>
        <v>0</v>
      </c>
      <c r="M659">
        <f>B659*(hospitalityq!M659="")</f>
        <v>0</v>
      </c>
      <c r="N659">
        <f>B659*(hospitalityq!N659="")</f>
        <v>0</v>
      </c>
      <c r="O659">
        <f>B659*(hospitalityq!O659="")</f>
        <v>0</v>
      </c>
      <c r="P659">
        <f>B659*(hospitalityq!P659="")</f>
        <v>0</v>
      </c>
      <c r="Q659">
        <f>B659*(hospitalityq!Q659="")</f>
        <v>0</v>
      </c>
      <c r="R659">
        <f>B659*(hospitalityq!R659="")</f>
        <v>0</v>
      </c>
    </row>
    <row r="660" spans="1:18" x14ac:dyDescent="0.25">
      <c r="A660">
        <f t="shared" si="11"/>
        <v>0</v>
      </c>
      <c r="B660" t="b">
        <f>SUMPRODUCT(LEN(hospitalityq!C660:R660))&gt;0</f>
        <v>0</v>
      </c>
      <c r="C660">
        <f>B660*(hospitalityq!C660="")</f>
        <v>0</v>
      </c>
      <c r="E660">
        <f>B660*(hospitalityq!E660="")</f>
        <v>0</v>
      </c>
      <c r="F660">
        <f>B660*(hospitalityq!F660="")</f>
        <v>0</v>
      </c>
      <c r="G660">
        <f>B660*(hospitalityq!G660="")</f>
        <v>0</v>
      </c>
      <c r="H660">
        <f>B660*(hospitalityq!H660="")</f>
        <v>0</v>
      </c>
      <c r="I660">
        <f>B660*(hospitalityq!I660="")</f>
        <v>0</v>
      </c>
      <c r="J660">
        <f>B660*(hospitalityq!J660="")</f>
        <v>0</v>
      </c>
      <c r="K660">
        <f>B660*(hospitalityq!K660="")</f>
        <v>0</v>
      </c>
      <c r="L660">
        <f>B660*(hospitalityq!L660="")</f>
        <v>0</v>
      </c>
      <c r="M660">
        <f>B660*(hospitalityq!M660="")</f>
        <v>0</v>
      </c>
      <c r="N660">
        <f>B660*(hospitalityq!N660="")</f>
        <v>0</v>
      </c>
      <c r="O660">
        <f>B660*(hospitalityq!O660="")</f>
        <v>0</v>
      </c>
      <c r="P660">
        <f>B660*(hospitalityq!P660="")</f>
        <v>0</v>
      </c>
      <c r="Q660">
        <f>B660*(hospitalityq!Q660="")</f>
        <v>0</v>
      </c>
      <c r="R660">
        <f>B660*(hospitalityq!R660="")</f>
        <v>0</v>
      </c>
    </row>
    <row r="661" spans="1:18" x14ac:dyDescent="0.25">
      <c r="A661">
        <f t="shared" si="11"/>
        <v>0</v>
      </c>
      <c r="B661" t="b">
        <f>SUMPRODUCT(LEN(hospitalityq!C661:R661))&gt;0</f>
        <v>0</v>
      </c>
      <c r="C661">
        <f>B661*(hospitalityq!C661="")</f>
        <v>0</v>
      </c>
      <c r="E661">
        <f>B661*(hospitalityq!E661="")</f>
        <v>0</v>
      </c>
      <c r="F661">
        <f>B661*(hospitalityq!F661="")</f>
        <v>0</v>
      </c>
      <c r="G661">
        <f>B661*(hospitalityq!G661="")</f>
        <v>0</v>
      </c>
      <c r="H661">
        <f>B661*(hospitalityq!H661="")</f>
        <v>0</v>
      </c>
      <c r="I661">
        <f>B661*(hospitalityq!I661="")</f>
        <v>0</v>
      </c>
      <c r="J661">
        <f>B661*(hospitalityq!J661="")</f>
        <v>0</v>
      </c>
      <c r="K661">
        <f>B661*(hospitalityq!K661="")</f>
        <v>0</v>
      </c>
      <c r="L661">
        <f>B661*(hospitalityq!L661="")</f>
        <v>0</v>
      </c>
      <c r="M661">
        <f>B661*(hospitalityq!M661="")</f>
        <v>0</v>
      </c>
      <c r="N661">
        <f>B661*(hospitalityq!N661="")</f>
        <v>0</v>
      </c>
      <c r="O661">
        <f>B661*(hospitalityq!O661="")</f>
        <v>0</v>
      </c>
      <c r="P661">
        <f>B661*(hospitalityq!P661="")</f>
        <v>0</v>
      </c>
      <c r="Q661">
        <f>B661*(hospitalityq!Q661="")</f>
        <v>0</v>
      </c>
      <c r="R661">
        <f>B661*(hospitalityq!R661="")</f>
        <v>0</v>
      </c>
    </row>
    <row r="662" spans="1:18" x14ac:dyDescent="0.25">
      <c r="A662">
        <f t="shared" si="11"/>
        <v>0</v>
      </c>
      <c r="B662" t="b">
        <f>SUMPRODUCT(LEN(hospitalityq!C662:R662))&gt;0</f>
        <v>0</v>
      </c>
      <c r="C662">
        <f>B662*(hospitalityq!C662="")</f>
        <v>0</v>
      </c>
      <c r="E662">
        <f>B662*(hospitalityq!E662="")</f>
        <v>0</v>
      </c>
      <c r="F662">
        <f>B662*(hospitalityq!F662="")</f>
        <v>0</v>
      </c>
      <c r="G662">
        <f>B662*(hospitalityq!G662="")</f>
        <v>0</v>
      </c>
      <c r="H662">
        <f>B662*(hospitalityq!H662="")</f>
        <v>0</v>
      </c>
      <c r="I662">
        <f>B662*(hospitalityq!I662="")</f>
        <v>0</v>
      </c>
      <c r="J662">
        <f>B662*(hospitalityq!J662="")</f>
        <v>0</v>
      </c>
      <c r="K662">
        <f>B662*(hospitalityq!K662="")</f>
        <v>0</v>
      </c>
      <c r="L662">
        <f>B662*(hospitalityq!L662="")</f>
        <v>0</v>
      </c>
      <c r="M662">
        <f>B662*(hospitalityq!M662="")</f>
        <v>0</v>
      </c>
      <c r="N662">
        <f>B662*(hospitalityq!N662="")</f>
        <v>0</v>
      </c>
      <c r="O662">
        <f>B662*(hospitalityq!O662="")</f>
        <v>0</v>
      </c>
      <c r="P662">
        <f>B662*(hospitalityq!P662="")</f>
        <v>0</v>
      </c>
      <c r="Q662">
        <f>B662*(hospitalityq!Q662="")</f>
        <v>0</v>
      </c>
      <c r="R662">
        <f>B662*(hospitalityq!R662="")</f>
        <v>0</v>
      </c>
    </row>
    <row r="663" spans="1:18" x14ac:dyDescent="0.25">
      <c r="A663">
        <f t="shared" si="11"/>
        <v>0</v>
      </c>
      <c r="B663" t="b">
        <f>SUMPRODUCT(LEN(hospitalityq!C663:R663))&gt;0</f>
        <v>0</v>
      </c>
      <c r="C663">
        <f>B663*(hospitalityq!C663="")</f>
        <v>0</v>
      </c>
      <c r="E663">
        <f>B663*(hospitalityq!E663="")</f>
        <v>0</v>
      </c>
      <c r="F663">
        <f>B663*(hospitalityq!F663="")</f>
        <v>0</v>
      </c>
      <c r="G663">
        <f>B663*(hospitalityq!G663="")</f>
        <v>0</v>
      </c>
      <c r="H663">
        <f>B663*(hospitalityq!H663="")</f>
        <v>0</v>
      </c>
      <c r="I663">
        <f>B663*(hospitalityq!I663="")</f>
        <v>0</v>
      </c>
      <c r="J663">
        <f>B663*(hospitalityq!J663="")</f>
        <v>0</v>
      </c>
      <c r="K663">
        <f>B663*(hospitalityq!K663="")</f>
        <v>0</v>
      </c>
      <c r="L663">
        <f>B663*(hospitalityq!L663="")</f>
        <v>0</v>
      </c>
      <c r="M663">
        <f>B663*(hospitalityq!M663="")</f>
        <v>0</v>
      </c>
      <c r="N663">
        <f>B663*(hospitalityq!N663="")</f>
        <v>0</v>
      </c>
      <c r="O663">
        <f>B663*(hospitalityq!O663="")</f>
        <v>0</v>
      </c>
      <c r="P663">
        <f>B663*(hospitalityq!P663="")</f>
        <v>0</v>
      </c>
      <c r="Q663">
        <f>B663*(hospitalityq!Q663="")</f>
        <v>0</v>
      </c>
      <c r="R663">
        <f>B663*(hospitalityq!R663="")</f>
        <v>0</v>
      </c>
    </row>
    <row r="664" spans="1:18" x14ac:dyDescent="0.25">
      <c r="A664">
        <f t="shared" si="11"/>
        <v>0</v>
      </c>
      <c r="B664" t="b">
        <f>SUMPRODUCT(LEN(hospitalityq!C664:R664))&gt;0</f>
        <v>0</v>
      </c>
      <c r="C664">
        <f>B664*(hospitalityq!C664="")</f>
        <v>0</v>
      </c>
      <c r="E664">
        <f>B664*(hospitalityq!E664="")</f>
        <v>0</v>
      </c>
      <c r="F664">
        <f>B664*(hospitalityq!F664="")</f>
        <v>0</v>
      </c>
      <c r="G664">
        <f>B664*(hospitalityq!G664="")</f>
        <v>0</v>
      </c>
      <c r="H664">
        <f>B664*(hospitalityq!H664="")</f>
        <v>0</v>
      </c>
      <c r="I664">
        <f>B664*(hospitalityq!I664="")</f>
        <v>0</v>
      </c>
      <c r="J664">
        <f>B664*(hospitalityq!J664="")</f>
        <v>0</v>
      </c>
      <c r="K664">
        <f>B664*(hospitalityq!K664="")</f>
        <v>0</v>
      </c>
      <c r="L664">
        <f>B664*(hospitalityq!L664="")</f>
        <v>0</v>
      </c>
      <c r="M664">
        <f>B664*(hospitalityq!M664="")</f>
        <v>0</v>
      </c>
      <c r="N664">
        <f>B664*(hospitalityq!N664="")</f>
        <v>0</v>
      </c>
      <c r="O664">
        <f>B664*(hospitalityq!O664="")</f>
        <v>0</v>
      </c>
      <c r="P664">
        <f>B664*(hospitalityq!P664="")</f>
        <v>0</v>
      </c>
      <c r="Q664">
        <f>B664*(hospitalityq!Q664="")</f>
        <v>0</v>
      </c>
      <c r="R664">
        <f>B664*(hospitalityq!R664="")</f>
        <v>0</v>
      </c>
    </row>
    <row r="665" spans="1:18" x14ac:dyDescent="0.25">
      <c r="A665">
        <f t="shared" si="11"/>
        <v>0</v>
      </c>
      <c r="B665" t="b">
        <f>SUMPRODUCT(LEN(hospitalityq!C665:R665))&gt;0</f>
        <v>0</v>
      </c>
      <c r="C665">
        <f>B665*(hospitalityq!C665="")</f>
        <v>0</v>
      </c>
      <c r="E665">
        <f>B665*(hospitalityq!E665="")</f>
        <v>0</v>
      </c>
      <c r="F665">
        <f>B665*(hospitalityq!F665="")</f>
        <v>0</v>
      </c>
      <c r="G665">
        <f>B665*(hospitalityq!G665="")</f>
        <v>0</v>
      </c>
      <c r="H665">
        <f>B665*(hospitalityq!H665="")</f>
        <v>0</v>
      </c>
      <c r="I665">
        <f>B665*(hospitalityq!I665="")</f>
        <v>0</v>
      </c>
      <c r="J665">
        <f>B665*(hospitalityq!J665="")</f>
        <v>0</v>
      </c>
      <c r="K665">
        <f>B665*(hospitalityq!K665="")</f>
        <v>0</v>
      </c>
      <c r="L665">
        <f>B665*(hospitalityq!L665="")</f>
        <v>0</v>
      </c>
      <c r="M665">
        <f>B665*(hospitalityq!M665="")</f>
        <v>0</v>
      </c>
      <c r="N665">
        <f>B665*(hospitalityq!N665="")</f>
        <v>0</v>
      </c>
      <c r="O665">
        <f>B665*(hospitalityq!O665="")</f>
        <v>0</v>
      </c>
      <c r="P665">
        <f>B665*(hospitalityq!P665="")</f>
        <v>0</v>
      </c>
      <c r="Q665">
        <f>B665*(hospitalityq!Q665="")</f>
        <v>0</v>
      </c>
      <c r="R665">
        <f>B665*(hospitalityq!R665="")</f>
        <v>0</v>
      </c>
    </row>
    <row r="666" spans="1:18" x14ac:dyDescent="0.25">
      <c r="A666">
        <f t="shared" si="11"/>
        <v>0</v>
      </c>
      <c r="B666" t="b">
        <f>SUMPRODUCT(LEN(hospitalityq!C666:R666))&gt;0</f>
        <v>0</v>
      </c>
      <c r="C666">
        <f>B666*(hospitalityq!C666="")</f>
        <v>0</v>
      </c>
      <c r="E666">
        <f>B666*(hospitalityq!E666="")</f>
        <v>0</v>
      </c>
      <c r="F666">
        <f>B666*(hospitalityq!F666="")</f>
        <v>0</v>
      </c>
      <c r="G666">
        <f>B666*(hospitalityq!G666="")</f>
        <v>0</v>
      </c>
      <c r="H666">
        <f>B666*(hospitalityq!H666="")</f>
        <v>0</v>
      </c>
      <c r="I666">
        <f>B666*(hospitalityq!I666="")</f>
        <v>0</v>
      </c>
      <c r="J666">
        <f>B666*(hospitalityq!J666="")</f>
        <v>0</v>
      </c>
      <c r="K666">
        <f>B666*(hospitalityq!K666="")</f>
        <v>0</v>
      </c>
      <c r="L666">
        <f>B666*(hospitalityq!L666="")</f>
        <v>0</v>
      </c>
      <c r="M666">
        <f>B666*(hospitalityq!M666="")</f>
        <v>0</v>
      </c>
      <c r="N666">
        <f>B666*(hospitalityq!N666="")</f>
        <v>0</v>
      </c>
      <c r="O666">
        <f>B666*(hospitalityq!O666="")</f>
        <v>0</v>
      </c>
      <c r="P666">
        <f>B666*(hospitalityq!P666="")</f>
        <v>0</v>
      </c>
      <c r="Q666">
        <f>B666*(hospitalityq!Q666="")</f>
        <v>0</v>
      </c>
      <c r="R666">
        <f>B666*(hospitalityq!R666="")</f>
        <v>0</v>
      </c>
    </row>
    <row r="667" spans="1:18" x14ac:dyDescent="0.25">
      <c r="A667">
        <f t="shared" si="11"/>
        <v>0</v>
      </c>
      <c r="B667" t="b">
        <f>SUMPRODUCT(LEN(hospitalityq!C667:R667))&gt;0</f>
        <v>0</v>
      </c>
      <c r="C667">
        <f>B667*(hospitalityq!C667="")</f>
        <v>0</v>
      </c>
      <c r="E667">
        <f>B667*(hospitalityq!E667="")</f>
        <v>0</v>
      </c>
      <c r="F667">
        <f>B667*(hospitalityq!F667="")</f>
        <v>0</v>
      </c>
      <c r="G667">
        <f>B667*(hospitalityq!G667="")</f>
        <v>0</v>
      </c>
      <c r="H667">
        <f>B667*(hospitalityq!H667="")</f>
        <v>0</v>
      </c>
      <c r="I667">
        <f>B667*(hospitalityq!I667="")</f>
        <v>0</v>
      </c>
      <c r="J667">
        <f>B667*(hospitalityq!J667="")</f>
        <v>0</v>
      </c>
      <c r="K667">
        <f>B667*(hospitalityq!K667="")</f>
        <v>0</v>
      </c>
      <c r="L667">
        <f>B667*(hospitalityq!L667="")</f>
        <v>0</v>
      </c>
      <c r="M667">
        <f>B667*(hospitalityq!M667="")</f>
        <v>0</v>
      </c>
      <c r="N667">
        <f>B667*(hospitalityq!N667="")</f>
        <v>0</v>
      </c>
      <c r="O667">
        <f>B667*(hospitalityq!O667="")</f>
        <v>0</v>
      </c>
      <c r="P667">
        <f>B667*(hospitalityq!P667="")</f>
        <v>0</v>
      </c>
      <c r="Q667">
        <f>B667*(hospitalityq!Q667="")</f>
        <v>0</v>
      </c>
      <c r="R667">
        <f>B667*(hospitalityq!R667="")</f>
        <v>0</v>
      </c>
    </row>
    <row r="668" spans="1:18" x14ac:dyDescent="0.25">
      <c r="A668">
        <f t="shared" si="11"/>
        <v>0</v>
      </c>
      <c r="B668" t="b">
        <f>SUMPRODUCT(LEN(hospitalityq!C668:R668))&gt;0</f>
        <v>0</v>
      </c>
      <c r="C668">
        <f>B668*(hospitalityq!C668="")</f>
        <v>0</v>
      </c>
      <c r="E668">
        <f>B668*(hospitalityq!E668="")</f>
        <v>0</v>
      </c>
      <c r="F668">
        <f>B668*(hospitalityq!F668="")</f>
        <v>0</v>
      </c>
      <c r="G668">
        <f>B668*(hospitalityq!G668="")</f>
        <v>0</v>
      </c>
      <c r="H668">
        <f>B668*(hospitalityq!H668="")</f>
        <v>0</v>
      </c>
      <c r="I668">
        <f>B668*(hospitalityq!I668="")</f>
        <v>0</v>
      </c>
      <c r="J668">
        <f>B668*(hospitalityq!J668="")</f>
        <v>0</v>
      </c>
      <c r="K668">
        <f>B668*(hospitalityq!K668="")</f>
        <v>0</v>
      </c>
      <c r="L668">
        <f>B668*(hospitalityq!L668="")</f>
        <v>0</v>
      </c>
      <c r="M668">
        <f>B668*(hospitalityq!M668="")</f>
        <v>0</v>
      </c>
      <c r="N668">
        <f>B668*(hospitalityq!N668="")</f>
        <v>0</v>
      </c>
      <c r="O668">
        <f>B668*(hospitalityq!O668="")</f>
        <v>0</v>
      </c>
      <c r="P668">
        <f>B668*(hospitalityq!P668="")</f>
        <v>0</v>
      </c>
      <c r="Q668">
        <f>B668*(hospitalityq!Q668="")</f>
        <v>0</v>
      </c>
      <c r="R668">
        <f>B668*(hospitalityq!R668="")</f>
        <v>0</v>
      </c>
    </row>
    <row r="669" spans="1:18" x14ac:dyDescent="0.25">
      <c r="A669">
        <f t="shared" si="11"/>
        <v>0</v>
      </c>
      <c r="B669" t="b">
        <f>SUMPRODUCT(LEN(hospitalityq!C669:R669))&gt;0</f>
        <v>0</v>
      </c>
      <c r="C669">
        <f>B669*(hospitalityq!C669="")</f>
        <v>0</v>
      </c>
      <c r="E669">
        <f>B669*(hospitalityq!E669="")</f>
        <v>0</v>
      </c>
      <c r="F669">
        <f>B669*(hospitalityq!F669="")</f>
        <v>0</v>
      </c>
      <c r="G669">
        <f>B669*(hospitalityq!G669="")</f>
        <v>0</v>
      </c>
      <c r="H669">
        <f>B669*(hospitalityq!H669="")</f>
        <v>0</v>
      </c>
      <c r="I669">
        <f>B669*(hospitalityq!I669="")</f>
        <v>0</v>
      </c>
      <c r="J669">
        <f>B669*(hospitalityq!J669="")</f>
        <v>0</v>
      </c>
      <c r="K669">
        <f>B669*(hospitalityq!K669="")</f>
        <v>0</v>
      </c>
      <c r="L669">
        <f>B669*(hospitalityq!L669="")</f>
        <v>0</v>
      </c>
      <c r="M669">
        <f>B669*(hospitalityq!M669="")</f>
        <v>0</v>
      </c>
      <c r="N669">
        <f>B669*(hospitalityq!N669="")</f>
        <v>0</v>
      </c>
      <c r="O669">
        <f>B669*(hospitalityq!O669="")</f>
        <v>0</v>
      </c>
      <c r="P669">
        <f>B669*(hospitalityq!P669="")</f>
        <v>0</v>
      </c>
      <c r="Q669">
        <f>B669*(hospitalityq!Q669="")</f>
        <v>0</v>
      </c>
      <c r="R669">
        <f>B669*(hospitalityq!R669="")</f>
        <v>0</v>
      </c>
    </row>
    <row r="670" spans="1:18" x14ac:dyDescent="0.25">
      <c r="A670">
        <f t="shared" si="11"/>
        <v>0</v>
      </c>
      <c r="B670" t="b">
        <f>SUMPRODUCT(LEN(hospitalityq!C670:R670))&gt;0</f>
        <v>0</v>
      </c>
      <c r="C670">
        <f>B670*(hospitalityq!C670="")</f>
        <v>0</v>
      </c>
      <c r="E670">
        <f>B670*(hospitalityq!E670="")</f>
        <v>0</v>
      </c>
      <c r="F670">
        <f>B670*(hospitalityq!F670="")</f>
        <v>0</v>
      </c>
      <c r="G670">
        <f>B670*(hospitalityq!G670="")</f>
        <v>0</v>
      </c>
      <c r="H670">
        <f>B670*(hospitalityq!H670="")</f>
        <v>0</v>
      </c>
      <c r="I670">
        <f>B670*(hospitalityq!I670="")</f>
        <v>0</v>
      </c>
      <c r="J670">
        <f>B670*(hospitalityq!J670="")</f>
        <v>0</v>
      </c>
      <c r="K670">
        <f>B670*(hospitalityq!K670="")</f>
        <v>0</v>
      </c>
      <c r="L670">
        <f>B670*(hospitalityq!L670="")</f>
        <v>0</v>
      </c>
      <c r="M670">
        <f>B670*(hospitalityq!M670="")</f>
        <v>0</v>
      </c>
      <c r="N670">
        <f>B670*(hospitalityq!N670="")</f>
        <v>0</v>
      </c>
      <c r="O670">
        <f>B670*(hospitalityq!O670="")</f>
        <v>0</v>
      </c>
      <c r="P670">
        <f>B670*(hospitalityq!P670="")</f>
        <v>0</v>
      </c>
      <c r="Q670">
        <f>B670*(hospitalityq!Q670="")</f>
        <v>0</v>
      </c>
      <c r="R670">
        <f>B670*(hospitalityq!R670="")</f>
        <v>0</v>
      </c>
    </row>
    <row r="671" spans="1:18" x14ac:dyDescent="0.25">
      <c r="A671">
        <f t="shared" si="11"/>
        <v>0</v>
      </c>
      <c r="B671" t="b">
        <f>SUMPRODUCT(LEN(hospitalityq!C671:R671))&gt;0</f>
        <v>0</v>
      </c>
      <c r="C671">
        <f>B671*(hospitalityq!C671="")</f>
        <v>0</v>
      </c>
      <c r="E671">
        <f>B671*(hospitalityq!E671="")</f>
        <v>0</v>
      </c>
      <c r="F671">
        <f>B671*(hospitalityq!F671="")</f>
        <v>0</v>
      </c>
      <c r="G671">
        <f>B671*(hospitalityq!G671="")</f>
        <v>0</v>
      </c>
      <c r="H671">
        <f>B671*(hospitalityq!H671="")</f>
        <v>0</v>
      </c>
      <c r="I671">
        <f>B671*(hospitalityq!I671="")</f>
        <v>0</v>
      </c>
      <c r="J671">
        <f>B671*(hospitalityq!J671="")</f>
        <v>0</v>
      </c>
      <c r="K671">
        <f>B671*(hospitalityq!K671="")</f>
        <v>0</v>
      </c>
      <c r="L671">
        <f>B671*(hospitalityq!L671="")</f>
        <v>0</v>
      </c>
      <c r="M671">
        <f>B671*(hospitalityq!M671="")</f>
        <v>0</v>
      </c>
      <c r="N671">
        <f>B671*(hospitalityq!N671="")</f>
        <v>0</v>
      </c>
      <c r="O671">
        <f>B671*(hospitalityq!O671="")</f>
        <v>0</v>
      </c>
      <c r="P671">
        <f>B671*(hospitalityq!P671="")</f>
        <v>0</v>
      </c>
      <c r="Q671">
        <f>B671*(hospitalityq!Q671="")</f>
        <v>0</v>
      </c>
      <c r="R671">
        <f>B671*(hospitalityq!R671="")</f>
        <v>0</v>
      </c>
    </row>
    <row r="672" spans="1:18" x14ac:dyDescent="0.25">
      <c r="A672">
        <f t="shared" si="11"/>
        <v>0</v>
      </c>
      <c r="B672" t="b">
        <f>SUMPRODUCT(LEN(hospitalityq!C672:R672))&gt;0</f>
        <v>0</v>
      </c>
      <c r="C672">
        <f>B672*(hospitalityq!C672="")</f>
        <v>0</v>
      </c>
      <c r="E672">
        <f>B672*(hospitalityq!E672="")</f>
        <v>0</v>
      </c>
      <c r="F672">
        <f>B672*(hospitalityq!F672="")</f>
        <v>0</v>
      </c>
      <c r="G672">
        <f>B672*(hospitalityq!G672="")</f>
        <v>0</v>
      </c>
      <c r="H672">
        <f>B672*(hospitalityq!H672="")</f>
        <v>0</v>
      </c>
      <c r="I672">
        <f>B672*(hospitalityq!I672="")</f>
        <v>0</v>
      </c>
      <c r="J672">
        <f>B672*(hospitalityq!J672="")</f>
        <v>0</v>
      </c>
      <c r="K672">
        <f>B672*(hospitalityq!K672="")</f>
        <v>0</v>
      </c>
      <c r="L672">
        <f>B672*(hospitalityq!L672="")</f>
        <v>0</v>
      </c>
      <c r="M672">
        <f>B672*(hospitalityq!M672="")</f>
        <v>0</v>
      </c>
      <c r="N672">
        <f>B672*(hospitalityq!N672="")</f>
        <v>0</v>
      </c>
      <c r="O672">
        <f>B672*(hospitalityq!O672="")</f>
        <v>0</v>
      </c>
      <c r="P672">
        <f>B672*(hospitalityq!P672="")</f>
        <v>0</v>
      </c>
      <c r="Q672">
        <f>B672*(hospitalityq!Q672="")</f>
        <v>0</v>
      </c>
      <c r="R672">
        <f>B672*(hospitalityq!R672="")</f>
        <v>0</v>
      </c>
    </row>
    <row r="673" spans="1:18" x14ac:dyDescent="0.25">
      <c r="A673">
        <f t="shared" si="11"/>
        <v>0</v>
      </c>
      <c r="B673" t="b">
        <f>SUMPRODUCT(LEN(hospitalityq!C673:R673))&gt;0</f>
        <v>0</v>
      </c>
      <c r="C673">
        <f>B673*(hospitalityq!C673="")</f>
        <v>0</v>
      </c>
      <c r="E673">
        <f>B673*(hospitalityq!E673="")</f>
        <v>0</v>
      </c>
      <c r="F673">
        <f>B673*(hospitalityq!F673="")</f>
        <v>0</v>
      </c>
      <c r="G673">
        <f>B673*(hospitalityq!G673="")</f>
        <v>0</v>
      </c>
      <c r="H673">
        <f>B673*(hospitalityq!H673="")</f>
        <v>0</v>
      </c>
      <c r="I673">
        <f>B673*(hospitalityq!I673="")</f>
        <v>0</v>
      </c>
      <c r="J673">
        <f>B673*(hospitalityq!J673="")</f>
        <v>0</v>
      </c>
      <c r="K673">
        <f>B673*(hospitalityq!K673="")</f>
        <v>0</v>
      </c>
      <c r="L673">
        <f>B673*(hospitalityq!L673="")</f>
        <v>0</v>
      </c>
      <c r="M673">
        <f>B673*(hospitalityq!M673="")</f>
        <v>0</v>
      </c>
      <c r="N673">
        <f>B673*(hospitalityq!N673="")</f>
        <v>0</v>
      </c>
      <c r="O673">
        <f>B673*(hospitalityq!O673="")</f>
        <v>0</v>
      </c>
      <c r="P673">
        <f>B673*(hospitalityq!P673="")</f>
        <v>0</v>
      </c>
      <c r="Q673">
        <f>B673*(hospitalityq!Q673="")</f>
        <v>0</v>
      </c>
      <c r="R673">
        <f>B673*(hospitalityq!R673="")</f>
        <v>0</v>
      </c>
    </row>
    <row r="674" spans="1:18" x14ac:dyDescent="0.25">
      <c r="A674">
        <f t="shared" si="11"/>
        <v>0</v>
      </c>
      <c r="B674" t="b">
        <f>SUMPRODUCT(LEN(hospitalityq!C674:R674))&gt;0</f>
        <v>0</v>
      </c>
      <c r="C674">
        <f>B674*(hospitalityq!C674="")</f>
        <v>0</v>
      </c>
      <c r="E674">
        <f>B674*(hospitalityq!E674="")</f>
        <v>0</v>
      </c>
      <c r="F674">
        <f>B674*(hospitalityq!F674="")</f>
        <v>0</v>
      </c>
      <c r="G674">
        <f>B674*(hospitalityq!G674="")</f>
        <v>0</v>
      </c>
      <c r="H674">
        <f>B674*(hospitalityq!H674="")</f>
        <v>0</v>
      </c>
      <c r="I674">
        <f>B674*(hospitalityq!I674="")</f>
        <v>0</v>
      </c>
      <c r="J674">
        <f>B674*(hospitalityq!J674="")</f>
        <v>0</v>
      </c>
      <c r="K674">
        <f>B674*(hospitalityq!K674="")</f>
        <v>0</v>
      </c>
      <c r="L674">
        <f>B674*(hospitalityq!L674="")</f>
        <v>0</v>
      </c>
      <c r="M674">
        <f>B674*(hospitalityq!M674="")</f>
        <v>0</v>
      </c>
      <c r="N674">
        <f>B674*(hospitalityq!N674="")</f>
        <v>0</v>
      </c>
      <c r="O674">
        <f>B674*(hospitalityq!O674="")</f>
        <v>0</v>
      </c>
      <c r="P674">
        <f>B674*(hospitalityq!P674="")</f>
        <v>0</v>
      </c>
      <c r="Q674">
        <f>B674*(hospitalityq!Q674="")</f>
        <v>0</v>
      </c>
      <c r="R674">
        <f>B674*(hospitalityq!R674="")</f>
        <v>0</v>
      </c>
    </row>
    <row r="675" spans="1:18" x14ac:dyDescent="0.25">
      <c r="A675">
        <f t="shared" si="11"/>
        <v>0</v>
      </c>
      <c r="B675" t="b">
        <f>SUMPRODUCT(LEN(hospitalityq!C675:R675))&gt;0</f>
        <v>0</v>
      </c>
      <c r="C675">
        <f>B675*(hospitalityq!C675="")</f>
        <v>0</v>
      </c>
      <c r="E675">
        <f>B675*(hospitalityq!E675="")</f>
        <v>0</v>
      </c>
      <c r="F675">
        <f>B675*(hospitalityq!F675="")</f>
        <v>0</v>
      </c>
      <c r="G675">
        <f>B675*(hospitalityq!G675="")</f>
        <v>0</v>
      </c>
      <c r="H675">
        <f>B675*(hospitalityq!H675="")</f>
        <v>0</v>
      </c>
      <c r="I675">
        <f>B675*(hospitalityq!I675="")</f>
        <v>0</v>
      </c>
      <c r="J675">
        <f>B675*(hospitalityq!J675="")</f>
        <v>0</v>
      </c>
      <c r="K675">
        <f>B675*(hospitalityq!K675="")</f>
        <v>0</v>
      </c>
      <c r="L675">
        <f>B675*(hospitalityq!L675="")</f>
        <v>0</v>
      </c>
      <c r="M675">
        <f>B675*(hospitalityq!M675="")</f>
        <v>0</v>
      </c>
      <c r="N675">
        <f>B675*(hospitalityq!N675="")</f>
        <v>0</v>
      </c>
      <c r="O675">
        <f>B675*(hospitalityq!O675="")</f>
        <v>0</v>
      </c>
      <c r="P675">
        <f>B675*(hospitalityq!P675="")</f>
        <v>0</v>
      </c>
      <c r="Q675">
        <f>B675*(hospitalityq!Q675="")</f>
        <v>0</v>
      </c>
      <c r="R675">
        <f>B675*(hospitalityq!R675="")</f>
        <v>0</v>
      </c>
    </row>
    <row r="676" spans="1:18" x14ac:dyDescent="0.25">
      <c r="A676">
        <f t="shared" si="11"/>
        <v>0</v>
      </c>
      <c r="B676" t="b">
        <f>SUMPRODUCT(LEN(hospitalityq!C676:R676))&gt;0</f>
        <v>0</v>
      </c>
      <c r="C676">
        <f>B676*(hospitalityq!C676="")</f>
        <v>0</v>
      </c>
      <c r="E676">
        <f>B676*(hospitalityq!E676="")</f>
        <v>0</v>
      </c>
      <c r="F676">
        <f>B676*(hospitalityq!F676="")</f>
        <v>0</v>
      </c>
      <c r="G676">
        <f>B676*(hospitalityq!G676="")</f>
        <v>0</v>
      </c>
      <c r="H676">
        <f>B676*(hospitalityq!H676="")</f>
        <v>0</v>
      </c>
      <c r="I676">
        <f>B676*(hospitalityq!I676="")</f>
        <v>0</v>
      </c>
      <c r="J676">
        <f>B676*(hospitalityq!J676="")</f>
        <v>0</v>
      </c>
      <c r="K676">
        <f>B676*(hospitalityq!K676="")</f>
        <v>0</v>
      </c>
      <c r="L676">
        <f>B676*(hospitalityq!L676="")</f>
        <v>0</v>
      </c>
      <c r="M676">
        <f>B676*(hospitalityq!M676="")</f>
        <v>0</v>
      </c>
      <c r="N676">
        <f>B676*(hospitalityq!N676="")</f>
        <v>0</v>
      </c>
      <c r="O676">
        <f>B676*(hospitalityq!O676="")</f>
        <v>0</v>
      </c>
      <c r="P676">
        <f>B676*(hospitalityq!P676="")</f>
        <v>0</v>
      </c>
      <c r="Q676">
        <f>B676*(hospitalityq!Q676="")</f>
        <v>0</v>
      </c>
      <c r="R676">
        <f>B676*(hospitalityq!R676="")</f>
        <v>0</v>
      </c>
    </row>
    <row r="677" spans="1:18" x14ac:dyDescent="0.25">
      <c r="A677">
        <f t="shared" si="11"/>
        <v>0</v>
      </c>
      <c r="B677" t="b">
        <f>SUMPRODUCT(LEN(hospitalityq!C677:R677))&gt;0</f>
        <v>0</v>
      </c>
      <c r="C677">
        <f>B677*(hospitalityq!C677="")</f>
        <v>0</v>
      </c>
      <c r="E677">
        <f>B677*(hospitalityq!E677="")</f>
        <v>0</v>
      </c>
      <c r="F677">
        <f>B677*(hospitalityq!F677="")</f>
        <v>0</v>
      </c>
      <c r="G677">
        <f>B677*(hospitalityq!G677="")</f>
        <v>0</v>
      </c>
      <c r="H677">
        <f>B677*(hospitalityq!H677="")</f>
        <v>0</v>
      </c>
      <c r="I677">
        <f>B677*(hospitalityq!I677="")</f>
        <v>0</v>
      </c>
      <c r="J677">
        <f>B677*(hospitalityq!J677="")</f>
        <v>0</v>
      </c>
      <c r="K677">
        <f>B677*(hospitalityq!K677="")</f>
        <v>0</v>
      </c>
      <c r="L677">
        <f>B677*(hospitalityq!L677="")</f>
        <v>0</v>
      </c>
      <c r="M677">
        <f>B677*(hospitalityq!M677="")</f>
        <v>0</v>
      </c>
      <c r="N677">
        <f>B677*(hospitalityq!N677="")</f>
        <v>0</v>
      </c>
      <c r="O677">
        <f>B677*(hospitalityq!O677="")</f>
        <v>0</v>
      </c>
      <c r="P677">
        <f>B677*(hospitalityq!P677="")</f>
        <v>0</v>
      </c>
      <c r="Q677">
        <f>B677*(hospitalityq!Q677="")</f>
        <v>0</v>
      </c>
      <c r="R677">
        <f>B677*(hospitalityq!R677="")</f>
        <v>0</v>
      </c>
    </row>
    <row r="678" spans="1:18" x14ac:dyDescent="0.25">
      <c r="A678">
        <f t="shared" si="11"/>
        <v>0</v>
      </c>
      <c r="B678" t="b">
        <f>SUMPRODUCT(LEN(hospitalityq!C678:R678))&gt;0</f>
        <v>0</v>
      </c>
      <c r="C678">
        <f>B678*(hospitalityq!C678="")</f>
        <v>0</v>
      </c>
      <c r="E678">
        <f>B678*(hospitalityq!E678="")</f>
        <v>0</v>
      </c>
      <c r="F678">
        <f>B678*(hospitalityq!F678="")</f>
        <v>0</v>
      </c>
      <c r="G678">
        <f>B678*(hospitalityq!G678="")</f>
        <v>0</v>
      </c>
      <c r="H678">
        <f>B678*(hospitalityq!H678="")</f>
        <v>0</v>
      </c>
      <c r="I678">
        <f>B678*(hospitalityq!I678="")</f>
        <v>0</v>
      </c>
      <c r="J678">
        <f>B678*(hospitalityq!J678="")</f>
        <v>0</v>
      </c>
      <c r="K678">
        <f>B678*(hospitalityq!K678="")</f>
        <v>0</v>
      </c>
      <c r="L678">
        <f>B678*(hospitalityq!L678="")</f>
        <v>0</v>
      </c>
      <c r="M678">
        <f>B678*(hospitalityq!M678="")</f>
        <v>0</v>
      </c>
      <c r="N678">
        <f>B678*(hospitalityq!N678="")</f>
        <v>0</v>
      </c>
      <c r="O678">
        <f>B678*(hospitalityq!O678="")</f>
        <v>0</v>
      </c>
      <c r="P678">
        <f>B678*(hospitalityq!P678="")</f>
        <v>0</v>
      </c>
      <c r="Q678">
        <f>B678*(hospitalityq!Q678="")</f>
        <v>0</v>
      </c>
      <c r="R678">
        <f>B678*(hospitalityq!R678="")</f>
        <v>0</v>
      </c>
    </row>
    <row r="679" spans="1:18" x14ac:dyDescent="0.25">
      <c r="A679">
        <f t="shared" si="11"/>
        <v>0</v>
      </c>
      <c r="B679" t="b">
        <f>SUMPRODUCT(LEN(hospitalityq!C679:R679))&gt;0</f>
        <v>0</v>
      </c>
      <c r="C679">
        <f>B679*(hospitalityq!C679="")</f>
        <v>0</v>
      </c>
      <c r="E679">
        <f>B679*(hospitalityq!E679="")</f>
        <v>0</v>
      </c>
      <c r="F679">
        <f>B679*(hospitalityq!F679="")</f>
        <v>0</v>
      </c>
      <c r="G679">
        <f>B679*(hospitalityq!G679="")</f>
        <v>0</v>
      </c>
      <c r="H679">
        <f>B679*(hospitalityq!H679="")</f>
        <v>0</v>
      </c>
      <c r="I679">
        <f>B679*(hospitalityq!I679="")</f>
        <v>0</v>
      </c>
      <c r="J679">
        <f>B679*(hospitalityq!J679="")</f>
        <v>0</v>
      </c>
      <c r="K679">
        <f>B679*(hospitalityq!K679="")</f>
        <v>0</v>
      </c>
      <c r="L679">
        <f>B679*(hospitalityq!L679="")</f>
        <v>0</v>
      </c>
      <c r="M679">
        <f>B679*(hospitalityq!M679="")</f>
        <v>0</v>
      </c>
      <c r="N679">
        <f>B679*(hospitalityq!N679="")</f>
        <v>0</v>
      </c>
      <c r="O679">
        <f>B679*(hospitalityq!O679="")</f>
        <v>0</v>
      </c>
      <c r="P679">
        <f>B679*(hospitalityq!P679="")</f>
        <v>0</v>
      </c>
      <c r="Q679">
        <f>B679*(hospitalityq!Q679="")</f>
        <v>0</v>
      </c>
      <c r="R679">
        <f>B679*(hospitalityq!R679="")</f>
        <v>0</v>
      </c>
    </row>
    <row r="680" spans="1:18" x14ac:dyDescent="0.25">
      <c r="A680">
        <f t="shared" si="11"/>
        <v>0</v>
      </c>
      <c r="B680" t="b">
        <f>SUMPRODUCT(LEN(hospitalityq!C680:R680))&gt;0</f>
        <v>0</v>
      </c>
      <c r="C680">
        <f>B680*(hospitalityq!C680="")</f>
        <v>0</v>
      </c>
      <c r="E680">
        <f>B680*(hospitalityq!E680="")</f>
        <v>0</v>
      </c>
      <c r="F680">
        <f>B680*(hospitalityq!F680="")</f>
        <v>0</v>
      </c>
      <c r="G680">
        <f>B680*(hospitalityq!G680="")</f>
        <v>0</v>
      </c>
      <c r="H680">
        <f>B680*(hospitalityq!H680="")</f>
        <v>0</v>
      </c>
      <c r="I680">
        <f>B680*(hospitalityq!I680="")</f>
        <v>0</v>
      </c>
      <c r="J680">
        <f>B680*(hospitalityq!J680="")</f>
        <v>0</v>
      </c>
      <c r="K680">
        <f>B680*(hospitalityq!K680="")</f>
        <v>0</v>
      </c>
      <c r="L680">
        <f>B680*(hospitalityq!L680="")</f>
        <v>0</v>
      </c>
      <c r="M680">
        <f>B680*(hospitalityq!M680="")</f>
        <v>0</v>
      </c>
      <c r="N680">
        <f>B680*(hospitalityq!N680="")</f>
        <v>0</v>
      </c>
      <c r="O680">
        <f>B680*(hospitalityq!O680="")</f>
        <v>0</v>
      </c>
      <c r="P680">
        <f>B680*(hospitalityq!P680="")</f>
        <v>0</v>
      </c>
      <c r="Q680">
        <f>B680*(hospitalityq!Q680="")</f>
        <v>0</v>
      </c>
      <c r="R680">
        <f>B680*(hospitalityq!R680="")</f>
        <v>0</v>
      </c>
    </row>
    <row r="681" spans="1:18" x14ac:dyDescent="0.25">
      <c r="A681">
        <f t="shared" si="11"/>
        <v>0</v>
      </c>
      <c r="B681" t="b">
        <f>SUMPRODUCT(LEN(hospitalityq!C681:R681))&gt;0</f>
        <v>0</v>
      </c>
      <c r="C681">
        <f>B681*(hospitalityq!C681="")</f>
        <v>0</v>
      </c>
      <c r="E681">
        <f>B681*(hospitalityq!E681="")</f>
        <v>0</v>
      </c>
      <c r="F681">
        <f>B681*(hospitalityq!F681="")</f>
        <v>0</v>
      </c>
      <c r="G681">
        <f>B681*(hospitalityq!G681="")</f>
        <v>0</v>
      </c>
      <c r="H681">
        <f>B681*(hospitalityq!H681="")</f>
        <v>0</v>
      </c>
      <c r="I681">
        <f>B681*(hospitalityq!I681="")</f>
        <v>0</v>
      </c>
      <c r="J681">
        <f>B681*(hospitalityq!J681="")</f>
        <v>0</v>
      </c>
      <c r="K681">
        <f>B681*(hospitalityq!K681="")</f>
        <v>0</v>
      </c>
      <c r="L681">
        <f>B681*(hospitalityq!L681="")</f>
        <v>0</v>
      </c>
      <c r="M681">
        <f>B681*(hospitalityq!M681="")</f>
        <v>0</v>
      </c>
      <c r="N681">
        <f>B681*(hospitalityq!N681="")</f>
        <v>0</v>
      </c>
      <c r="O681">
        <f>B681*(hospitalityq!O681="")</f>
        <v>0</v>
      </c>
      <c r="P681">
        <f>B681*(hospitalityq!P681="")</f>
        <v>0</v>
      </c>
      <c r="Q681">
        <f>B681*(hospitalityq!Q681="")</f>
        <v>0</v>
      </c>
      <c r="R681">
        <f>B681*(hospitalityq!R681="")</f>
        <v>0</v>
      </c>
    </row>
    <row r="682" spans="1:18" x14ac:dyDescent="0.25">
      <c r="A682">
        <f t="shared" si="11"/>
        <v>0</v>
      </c>
      <c r="B682" t="b">
        <f>SUMPRODUCT(LEN(hospitalityq!C682:R682))&gt;0</f>
        <v>0</v>
      </c>
      <c r="C682">
        <f>B682*(hospitalityq!C682="")</f>
        <v>0</v>
      </c>
      <c r="E682">
        <f>B682*(hospitalityq!E682="")</f>
        <v>0</v>
      </c>
      <c r="F682">
        <f>B682*(hospitalityq!F682="")</f>
        <v>0</v>
      </c>
      <c r="G682">
        <f>B682*(hospitalityq!G682="")</f>
        <v>0</v>
      </c>
      <c r="H682">
        <f>B682*(hospitalityq!H682="")</f>
        <v>0</v>
      </c>
      <c r="I682">
        <f>B682*(hospitalityq!I682="")</f>
        <v>0</v>
      </c>
      <c r="J682">
        <f>B682*(hospitalityq!J682="")</f>
        <v>0</v>
      </c>
      <c r="K682">
        <f>B682*(hospitalityq!K682="")</f>
        <v>0</v>
      </c>
      <c r="L682">
        <f>B682*(hospitalityq!L682="")</f>
        <v>0</v>
      </c>
      <c r="M682">
        <f>B682*(hospitalityq!M682="")</f>
        <v>0</v>
      </c>
      <c r="N682">
        <f>B682*(hospitalityq!N682="")</f>
        <v>0</v>
      </c>
      <c r="O682">
        <f>B682*(hospitalityq!O682="")</f>
        <v>0</v>
      </c>
      <c r="P682">
        <f>B682*(hospitalityq!P682="")</f>
        <v>0</v>
      </c>
      <c r="Q682">
        <f>B682*(hospitalityq!Q682="")</f>
        <v>0</v>
      </c>
      <c r="R682">
        <f>B682*(hospitalityq!R682="")</f>
        <v>0</v>
      </c>
    </row>
    <row r="683" spans="1:18" x14ac:dyDescent="0.25">
      <c r="A683">
        <f t="shared" si="11"/>
        <v>0</v>
      </c>
      <c r="B683" t="b">
        <f>SUMPRODUCT(LEN(hospitalityq!C683:R683))&gt;0</f>
        <v>0</v>
      </c>
      <c r="C683">
        <f>B683*(hospitalityq!C683="")</f>
        <v>0</v>
      </c>
      <c r="E683">
        <f>B683*(hospitalityq!E683="")</f>
        <v>0</v>
      </c>
      <c r="F683">
        <f>B683*(hospitalityq!F683="")</f>
        <v>0</v>
      </c>
      <c r="G683">
        <f>B683*(hospitalityq!G683="")</f>
        <v>0</v>
      </c>
      <c r="H683">
        <f>B683*(hospitalityq!H683="")</f>
        <v>0</v>
      </c>
      <c r="I683">
        <f>B683*(hospitalityq!I683="")</f>
        <v>0</v>
      </c>
      <c r="J683">
        <f>B683*(hospitalityq!J683="")</f>
        <v>0</v>
      </c>
      <c r="K683">
        <f>B683*(hospitalityq!K683="")</f>
        <v>0</v>
      </c>
      <c r="L683">
        <f>B683*(hospitalityq!L683="")</f>
        <v>0</v>
      </c>
      <c r="M683">
        <f>B683*(hospitalityq!M683="")</f>
        <v>0</v>
      </c>
      <c r="N683">
        <f>B683*(hospitalityq!N683="")</f>
        <v>0</v>
      </c>
      <c r="O683">
        <f>B683*(hospitalityq!O683="")</f>
        <v>0</v>
      </c>
      <c r="P683">
        <f>B683*(hospitalityq!P683="")</f>
        <v>0</v>
      </c>
      <c r="Q683">
        <f>B683*(hospitalityq!Q683="")</f>
        <v>0</v>
      </c>
      <c r="R683">
        <f>B683*(hospitalityq!R683="")</f>
        <v>0</v>
      </c>
    </row>
    <row r="684" spans="1:18" x14ac:dyDescent="0.25">
      <c r="A684">
        <f t="shared" si="11"/>
        <v>0</v>
      </c>
      <c r="B684" t="b">
        <f>SUMPRODUCT(LEN(hospitalityq!C684:R684))&gt;0</f>
        <v>0</v>
      </c>
      <c r="C684">
        <f>B684*(hospitalityq!C684="")</f>
        <v>0</v>
      </c>
      <c r="E684">
        <f>B684*(hospitalityq!E684="")</f>
        <v>0</v>
      </c>
      <c r="F684">
        <f>B684*(hospitalityq!F684="")</f>
        <v>0</v>
      </c>
      <c r="G684">
        <f>B684*(hospitalityq!G684="")</f>
        <v>0</v>
      </c>
      <c r="H684">
        <f>B684*(hospitalityq!H684="")</f>
        <v>0</v>
      </c>
      <c r="I684">
        <f>B684*(hospitalityq!I684="")</f>
        <v>0</v>
      </c>
      <c r="J684">
        <f>B684*(hospitalityq!J684="")</f>
        <v>0</v>
      </c>
      <c r="K684">
        <f>B684*(hospitalityq!K684="")</f>
        <v>0</v>
      </c>
      <c r="L684">
        <f>B684*(hospitalityq!L684="")</f>
        <v>0</v>
      </c>
      <c r="M684">
        <f>B684*(hospitalityq!M684="")</f>
        <v>0</v>
      </c>
      <c r="N684">
        <f>B684*(hospitalityq!N684="")</f>
        <v>0</v>
      </c>
      <c r="O684">
        <f>B684*(hospitalityq!O684="")</f>
        <v>0</v>
      </c>
      <c r="P684">
        <f>B684*(hospitalityq!P684="")</f>
        <v>0</v>
      </c>
      <c r="Q684">
        <f>B684*(hospitalityq!Q684="")</f>
        <v>0</v>
      </c>
      <c r="R684">
        <f>B684*(hospitalityq!R684="")</f>
        <v>0</v>
      </c>
    </row>
    <row r="685" spans="1:18" x14ac:dyDescent="0.25">
      <c r="A685">
        <f t="shared" si="11"/>
        <v>0</v>
      </c>
      <c r="B685" t="b">
        <f>SUMPRODUCT(LEN(hospitalityq!C685:R685))&gt;0</f>
        <v>0</v>
      </c>
      <c r="C685">
        <f>B685*(hospitalityq!C685="")</f>
        <v>0</v>
      </c>
      <c r="E685">
        <f>B685*(hospitalityq!E685="")</f>
        <v>0</v>
      </c>
      <c r="F685">
        <f>B685*(hospitalityq!F685="")</f>
        <v>0</v>
      </c>
      <c r="G685">
        <f>B685*(hospitalityq!G685="")</f>
        <v>0</v>
      </c>
      <c r="H685">
        <f>B685*(hospitalityq!H685="")</f>
        <v>0</v>
      </c>
      <c r="I685">
        <f>B685*(hospitalityq!I685="")</f>
        <v>0</v>
      </c>
      <c r="J685">
        <f>B685*(hospitalityq!J685="")</f>
        <v>0</v>
      </c>
      <c r="K685">
        <f>B685*(hospitalityq!K685="")</f>
        <v>0</v>
      </c>
      <c r="L685">
        <f>B685*(hospitalityq!L685="")</f>
        <v>0</v>
      </c>
      <c r="M685">
        <f>B685*(hospitalityq!M685="")</f>
        <v>0</v>
      </c>
      <c r="N685">
        <f>B685*(hospitalityq!N685="")</f>
        <v>0</v>
      </c>
      <c r="O685">
        <f>B685*(hospitalityq!O685="")</f>
        <v>0</v>
      </c>
      <c r="P685">
        <f>B685*(hospitalityq!P685="")</f>
        <v>0</v>
      </c>
      <c r="Q685">
        <f>B685*(hospitalityq!Q685="")</f>
        <v>0</v>
      </c>
      <c r="R685">
        <f>B685*(hospitalityq!R685="")</f>
        <v>0</v>
      </c>
    </row>
    <row r="686" spans="1:18" x14ac:dyDescent="0.25">
      <c r="A686">
        <f t="shared" si="11"/>
        <v>0</v>
      </c>
      <c r="B686" t="b">
        <f>SUMPRODUCT(LEN(hospitalityq!C686:R686))&gt;0</f>
        <v>0</v>
      </c>
      <c r="C686">
        <f>B686*(hospitalityq!C686="")</f>
        <v>0</v>
      </c>
      <c r="E686">
        <f>B686*(hospitalityq!E686="")</f>
        <v>0</v>
      </c>
      <c r="F686">
        <f>B686*(hospitalityq!F686="")</f>
        <v>0</v>
      </c>
      <c r="G686">
        <f>B686*(hospitalityq!G686="")</f>
        <v>0</v>
      </c>
      <c r="H686">
        <f>B686*(hospitalityq!H686="")</f>
        <v>0</v>
      </c>
      <c r="I686">
        <f>B686*(hospitalityq!I686="")</f>
        <v>0</v>
      </c>
      <c r="J686">
        <f>B686*(hospitalityq!J686="")</f>
        <v>0</v>
      </c>
      <c r="K686">
        <f>B686*(hospitalityq!K686="")</f>
        <v>0</v>
      </c>
      <c r="L686">
        <f>B686*(hospitalityq!L686="")</f>
        <v>0</v>
      </c>
      <c r="M686">
        <f>B686*(hospitalityq!M686="")</f>
        <v>0</v>
      </c>
      <c r="N686">
        <f>B686*(hospitalityq!N686="")</f>
        <v>0</v>
      </c>
      <c r="O686">
        <f>B686*(hospitalityq!O686="")</f>
        <v>0</v>
      </c>
      <c r="P686">
        <f>B686*(hospitalityq!P686="")</f>
        <v>0</v>
      </c>
      <c r="Q686">
        <f>B686*(hospitalityq!Q686="")</f>
        <v>0</v>
      </c>
      <c r="R686">
        <f>B686*(hospitalityq!R686="")</f>
        <v>0</v>
      </c>
    </row>
    <row r="687" spans="1:18" x14ac:dyDescent="0.25">
      <c r="A687">
        <f t="shared" si="11"/>
        <v>0</v>
      </c>
      <c r="B687" t="b">
        <f>SUMPRODUCT(LEN(hospitalityq!C687:R687))&gt;0</f>
        <v>0</v>
      </c>
      <c r="C687">
        <f>B687*(hospitalityq!C687="")</f>
        <v>0</v>
      </c>
      <c r="E687">
        <f>B687*(hospitalityq!E687="")</f>
        <v>0</v>
      </c>
      <c r="F687">
        <f>B687*(hospitalityq!F687="")</f>
        <v>0</v>
      </c>
      <c r="G687">
        <f>B687*(hospitalityq!G687="")</f>
        <v>0</v>
      </c>
      <c r="H687">
        <f>B687*(hospitalityq!H687="")</f>
        <v>0</v>
      </c>
      <c r="I687">
        <f>B687*(hospitalityq!I687="")</f>
        <v>0</v>
      </c>
      <c r="J687">
        <f>B687*(hospitalityq!J687="")</f>
        <v>0</v>
      </c>
      <c r="K687">
        <f>B687*(hospitalityq!K687="")</f>
        <v>0</v>
      </c>
      <c r="L687">
        <f>B687*(hospitalityq!L687="")</f>
        <v>0</v>
      </c>
      <c r="M687">
        <f>B687*(hospitalityq!M687="")</f>
        <v>0</v>
      </c>
      <c r="N687">
        <f>B687*(hospitalityq!N687="")</f>
        <v>0</v>
      </c>
      <c r="O687">
        <f>B687*(hospitalityq!O687="")</f>
        <v>0</v>
      </c>
      <c r="P687">
        <f>B687*(hospitalityq!P687="")</f>
        <v>0</v>
      </c>
      <c r="Q687">
        <f>B687*(hospitalityq!Q687="")</f>
        <v>0</v>
      </c>
      <c r="R687">
        <f>B687*(hospitalityq!R687="")</f>
        <v>0</v>
      </c>
    </row>
    <row r="688" spans="1:18" x14ac:dyDescent="0.25">
      <c r="A688">
        <f t="shared" si="11"/>
        <v>0</v>
      </c>
      <c r="B688" t="b">
        <f>SUMPRODUCT(LEN(hospitalityq!C688:R688))&gt;0</f>
        <v>0</v>
      </c>
      <c r="C688">
        <f>B688*(hospitalityq!C688="")</f>
        <v>0</v>
      </c>
      <c r="E688">
        <f>B688*(hospitalityq!E688="")</f>
        <v>0</v>
      </c>
      <c r="F688">
        <f>B688*(hospitalityq!F688="")</f>
        <v>0</v>
      </c>
      <c r="G688">
        <f>B688*(hospitalityq!G688="")</f>
        <v>0</v>
      </c>
      <c r="H688">
        <f>B688*(hospitalityq!H688="")</f>
        <v>0</v>
      </c>
      <c r="I688">
        <f>B688*(hospitalityq!I688="")</f>
        <v>0</v>
      </c>
      <c r="J688">
        <f>B688*(hospitalityq!J688="")</f>
        <v>0</v>
      </c>
      <c r="K688">
        <f>B688*(hospitalityq!K688="")</f>
        <v>0</v>
      </c>
      <c r="L688">
        <f>B688*(hospitalityq!L688="")</f>
        <v>0</v>
      </c>
      <c r="M688">
        <f>B688*(hospitalityq!M688="")</f>
        <v>0</v>
      </c>
      <c r="N688">
        <f>B688*(hospitalityq!N688="")</f>
        <v>0</v>
      </c>
      <c r="O688">
        <f>B688*(hospitalityq!O688="")</f>
        <v>0</v>
      </c>
      <c r="P688">
        <f>B688*(hospitalityq!P688="")</f>
        <v>0</v>
      </c>
      <c r="Q688">
        <f>B688*(hospitalityq!Q688="")</f>
        <v>0</v>
      </c>
      <c r="R688">
        <f>B688*(hospitalityq!R688="")</f>
        <v>0</v>
      </c>
    </row>
    <row r="689" spans="1:18" x14ac:dyDescent="0.25">
      <c r="A689">
        <f t="shared" si="11"/>
        <v>0</v>
      </c>
      <c r="B689" t="b">
        <f>SUMPRODUCT(LEN(hospitalityq!C689:R689))&gt;0</f>
        <v>0</v>
      </c>
      <c r="C689">
        <f>B689*(hospitalityq!C689="")</f>
        <v>0</v>
      </c>
      <c r="E689">
        <f>B689*(hospitalityq!E689="")</f>
        <v>0</v>
      </c>
      <c r="F689">
        <f>B689*(hospitalityq!F689="")</f>
        <v>0</v>
      </c>
      <c r="G689">
        <f>B689*(hospitalityq!G689="")</f>
        <v>0</v>
      </c>
      <c r="H689">
        <f>B689*(hospitalityq!H689="")</f>
        <v>0</v>
      </c>
      <c r="I689">
        <f>B689*(hospitalityq!I689="")</f>
        <v>0</v>
      </c>
      <c r="J689">
        <f>B689*(hospitalityq!J689="")</f>
        <v>0</v>
      </c>
      <c r="K689">
        <f>B689*(hospitalityq!K689="")</f>
        <v>0</v>
      </c>
      <c r="L689">
        <f>B689*(hospitalityq!L689="")</f>
        <v>0</v>
      </c>
      <c r="M689">
        <f>B689*(hospitalityq!M689="")</f>
        <v>0</v>
      </c>
      <c r="N689">
        <f>B689*(hospitalityq!N689="")</f>
        <v>0</v>
      </c>
      <c r="O689">
        <f>B689*(hospitalityq!O689="")</f>
        <v>0</v>
      </c>
      <c r="P689">
        <f>B689*(hospitalityq!P689="")</f>
        <v>0</v>
      </c>
      <c r="Q689">
        <f>B689*(hospitalityq!Q689="")</f>
        <v>0</v>
      </c>
      <c r="R689">
        <f>B689*(hospitalityq!R689="")</f>
        <v>0</v>
      </c>
    </row>
    <row r="690" spans="1:18" x14ac:dyDescent="0.25">
      <c r="A690">
        <f t="shared" si="11"/>
        <v>0</v>
      </c>
      <c r="B690" t="b">
        <f>SUMPRODUCT(LEN(hospitalityq!C690:R690))&gt;0</f>
        <v>0</v>
      </c>
      <c r="C690">
        <f>B690*(hospitalityq!C690="")</f>
        <v>0</v>
      </c>
      <c r="E690">
        <f>B690*(hospitalityq!E690="")</f>
        <v>0</v>
      </c>
      <c r="F690">
        <f>B690*(hospitalityq!F690="")</f>
        <v>0</v>
      </c>
      <c r="G690">
        <f>B690*(hospitalityq!G690="")</f>
        <v>0</v>
      </c>
      <c r="H690">
        <f>B690*(hospitalityq!H690="")</f>
        <v>0</v>
      </c>
      <c r="I690">
        <f>B690*(hospitalityq!I690="")</f>
        <v>0</v>
      </c>
      <c r="J690">
        <f>B690*(hospitalityq!J690="")</f>
        <v>0</v>
      </c>
      <c r="K690">
        <f>B690*(hospitalityq!K690="")</f>
        <v>0</v>
      </c>
      <c r="L690">
        <f>B690*(hospitalityq!L690="")</f>
        <v>0</v>
      </c>
      <c r="M690">
        <f>B690*(hospitalityq!M690="")</f>
        <v>0</v>
      </c>
      <c r="N690">
        <f>B690*(hospitalityq!N690="")</f>
        <v>0</v>
      </c>
      <c r="O690">
        <f>B690*(hospitalityq!O690="")</f>
        <v>0</v>
      </c>
      <c r="P690">
        <f>B690*(hospitalityq!P690="")</f>
        <v>0</v>
      </c>
      <c r="Q690">
        <f>B690*(hospitalityq!Q690="")</f>
        <v>0</v>
      </c>
      <c r="R690">
        <f>B690*(hospitalityq!R690="")</f>
        <v>0</v>
      </c>
    </row>
    <row r="691" spans="1:18" x14ac:dyDescent="0.25">
      <c r="A691">
        <f t="shared" si="11"/>
        <v>0</v>
      </c>
      <c r="B691" t="b">
        <f>SUMPRODUCT(LEN(hospitalityq!C691:R691))&gt;0</f>
        <v>0</v>
      </c>
      <c r="C691">
        <f>B691*(hospitalityq!C691="")</f>
        <v>0</v>
      </c>
      <c r="E691">
        <f>B691*(hospitalityq!E691="")</f>
        <v>0</v>
      </c>
      <c r="F691">
        <f>B691*(hospitalityq!F691="")</f>
        <v>0</v>
      </c>
      <c r="G691">
        <f>B691*(hospitalityq!G691="")</f>
        <v>0</v>
      </c>
      <c r="H691">
        <f>B691*(hospitalityq!H691="")</f>
        <v>0</v>
      </c>
      <c r="I691">
        <f>B691*(hospitalityq!I691="")</f>
        <v>0</v>
      </c>
      <c r="J691">
        <f>B691*(hospitalityq!J691="")</f>
        <v>0</v>
      </c>
      <c r="K691">
        <f>B691*(hospitalityq!K691="")</f>
        <v>0</v>
      </c>
      <c r="L691">
        <f>B691*(hospitalityq!L691="")</f>
        <v>0</v>
      </c>
      <c r="M691">
        <f>B691*(hospitalityq!M691="")</f>
        <v>0</v>
      </c>
      <c r="N691">
        <f>B691*(hospitalityq!N691="")</f>
        <v>0</v>
      </c>
      <c r="O691">
        <f>B691*(hospitalityq!O691="")</f>
        <v>0</v>
      </c>
      <c r="P691">
        <f>B691*(hospitalityq!P691="")</f>
        <v>0</v>
      </c>
      <c r="Q691">
        <f>B691*(hospitalityq!Q691="")</f>
        <v>0</v>
      </c>
      <c r="R691">
        <f>B691*(hospitalityq!R691="")</f>
        <v>0</v>
      </c>
    </row>
    <row r="692" spans="1:18" x14ac:dyDescent="0.25">
      <c r="A692">
        <f t="shared" si="11"/>
        <v>0</v>
      </c>
      <c r="B692" t="b">
        <f>SUMPRODUCT(LEN(hospitalityq!C692:R692))&gt;0</f>
        <v>0</v>
      </c>
      <c r="C692">
        <f>B692*(hospitalityq!C692="")</f>
        <v>0</v>
      </c>
      <c r="E692">
        <f>B692*(hospitalityq!E692="")</f>
        <v>0</v>
      </c>
      <c r="F692">
        <f>B692*(hospitalityq!F692="")</f>
        <v>0</v>
      </c>
      <c r="G692">
        <f>B692*(hospitalityq!G692="")</f>
        <v>0</v>
      </c>
      <c r="H692">
        <f>B692*(hospitalityq!H692="")</f>
        <v>0</v>
      </c>
      <c r="I692">
        <f>B692*(hospitalityq!I692="")</f>
        <v>0</v>
      </c>
      <c r="J692">
        <f>B692*(hospitalityq!J692="")</f>
        <v>0</v>
      </c>
      <c r="K692">
        <f>B692*(hospitalityq!K692="")</f>
        <v>0</v>
      </c>
      <c r="L692">
        <f>B692*(hospitalityq!L692="")</f>
        <v>0</v>
      </c>
      <c r="M692">
        <f>B692*(hospitalityq!M692="")</f>
        <v>0</v>
      </c>
      <c r="N692">
        <f>B692*(hospitalityq!N692="")</f>
        <v>0</v>
      </c>
      <c r="O692">
        <f>B692*(hospitalityq!O692="")</f>
        <v>0</v>
      </c>
      <c r="P692">
        <f>B692*(hospitalityq!P692="")</f>
        <v>0</v>
      </c>
      <c r="Q692">
        <f>B692*(hospitalityq!Q692="")</f>
        <v>0</v>
      </c>
      <c r="R692">
        <f>B692*(hospitalityq!R692="")</f>
        <v>0</v>
      </c>
    </row>
    <row r="693" spans="1:18" x14ac:dyDescent="0.25">
      <c r="A693">
        <f t="shared" si="11"/>
        <v>0</v>
      </c>
      <c r="B693" t="b">
        <f>SUMPRODUCT(LEN(hospitalityq!C693:R693))&gt;0</f>
        <v>0</v>
      </c>
      <c r="C693">
        <f>B693*(hospitalityq!C693="")</f>
        <v>0</v>
      </c>
      <c r="E693">
        <f>B693*(hospitalityq!E693="")</f>
        <v>0</v>
      </c>
      <c r="F693">
        <f>B693*(hospitalityq!F693="")</f>
        <v>0</v>
      </c>
      <c r="G693">
        <f>B693*(hospitalityq!G693="")</f>
        <v>0</v>
      </c>
      <c r="H693">
        <f>B693*(hospitalityq!H693="")</f>
        <v>0</v>
      </c>
      <c r="I693">
        <f>B693*(hospitalityq!I693="")</f>
        <v>0</v>
      </c>
      <c r="J693">
        <f>B693*(hospitalityq!J693="")</f>
        <v>0</v>
      </c>
      <c r="K693">
        <f>B693*(hospitalityq!K693="")</f>
        <v>0</v>
      </c>
      <c r="L693">
        <f>B693*(hospitalityq!L693="")</f>
        <v>0</v>
      </c>
      <c r="M693">
        <f>B693*(hospitalityq!M693="")</f>
        <v>0</v>
      </c>
      <c r="N693">
        <f>B693*(hospitalityq!N693="")</f>
        <v>0</v>
      </c>
      <c r="O693">
        <f>B693*(hospitalityq!O693="")</f>
        <v>0</v>
      </c>
      <c r="P693">
        <f>B693*(hospitalityq!P693="")</f>
        <v>0</v>
      </c>
      <c r="Q693">
        <f>B693*(hospitalityq!Q693="")</f>
        <v>0</v>
      </c>
      <c r="R693">
        <f>B693*(hospitalityq!R693="")</f>
        <v>0</v>
      </c>
    </row>
    <row r="694" spans="1:18" x14ac:dyDescent="0.25">
      <c r="A694">
        <f t="shared" si="11"/>
        <v>0</v>
      </c>
      <c r="B694" t="b">
        <f>SUMPRODUCT(LEN(hospitalityq!C694:R694))&gt;0</f>
        <v>0</v>
      </c>
      <c r="C694">
        <f>B694*(hospitalityq!C694="")</f>
        <v>0</v>
      </c>
      <c r="E694">
        <f>B694*(hospitalityq!E694="")</f>
        <v>0</v>
      </c>
      <c r="F694">
        <f>B694*(hospitalityq!F694="")</f>
        <v>0</v>
      </c>
      <c r="G694">
        <f>B694*(hospitalityq!G694="")</f>
        <v>0</v>
      </c>
      <c r="H694">
        <f>B694*(hospitalityq!H694="")</f>
        <v>0</v>
      </c>
      <c r="I694">
        <f>B694*(hospitalityq!I694="")</f>
        <v>0</v>
      </c>
      <c r="J694">
        <f>B694*(hospitalityq!J694="")</f>
        <v>0</v>
      </c>
      <c r="K694">
        <f>B694*(hospitalityq!K694="")</f>
        <v>0</v>
      </c>
      <c r="L694">
        <f>B694*(hospitalityq!L694="")</f>
        <v>0</v>
      </c>
      <c r="M694">
        <f>B694*(hospitalityq!M694="")</f>
        <v>0</v>
      </c>
      <c r="N694">
        <f>B694*(hospitalityq!N694="")</f>
        <v>0</v>
      </c>
      <c r="O694">
        <f>B694*(hospitalityq!O694="")</f>
        <v>0</v>
      </c>
      <c r="P694">
        <f>B694*(hospitalityq!P694="")</f>
        <v>0</v>
      </c>
      <c r="Q694">
        <f>B694*(hospitalityq!Q694="")</f>
        <v>0</v>
      </c>
      <c r="R694">
        <f>B694*(hospitalityq!R694="")</f>
        <v>0</v>
      </c>
    </row>
    <row r="695" spans="1:18" x14ac:dyDescent="0.25">
      <c r="A695">
        <f t="shared" si="11"/>
        <v>0</v>
      </c>
      <c r="B695" t="b">
        <f>SUMPRODUCT(LEN(hospitalityq!C695:R695))&gt;0</f>
        <v>0</v>
      </c>
      <c r="C695">
        <f>B695*(hospitalityq!C695="")</f>
        <v>0</v>
      </c>
      <c r="E695">
        <f>B695*(hospitalityq!E695="")</f>
        <v>0</v>
      </c>
      <c r="F695">
        <f>B695*(hospitalityq!F695="")</f>
        <v>0</v>
      </c>
      <c r="G695">
        <f>B695*(hospitalityq!G695="")</f>
        <v>0</v>
      </c>
      <c r="H695">
        <f>B695*(hospitalityq!H695="")</f>
        <v>0</v>
      </c>
      <c r="I695">
        <f>B695*(hospitalityq!I695="")</f>
        <v>0</v>
      </c>
      <c r="J695">
        <f>B695*(hospitalityq!J695="")</f>
        <v>0</v>
      </c>
      <c r="K695">
        <f>B695*(hospitalityq!K695="")</f>
        <v>0</v>
      </c>
      <c r="L695">
        <f>B695*(hospitalityq!L695="")</f>
        <v>0</v>
      </c>
      <c r="M695">
        <f>B695*(hospitalityq!M695="")</f>
        <v>0</v>
      </c>
      <c r="N695">
        <f>B695*(hospitalityq!N695="")</f>
        <v>0</v>
      </c>
      <c r="O695">
        <f>B695*(hospitalityq!O695="")</f>
        <v>0</v>
      </c>
      <c r="P695">
        <f>B695*(hospitalityq!P695="")</f>
        <v>0</v>
      </c>
      <c r="Q695">
        <f>B695*(hospitalityq!Q695="")</f>
        <v>0</v>
      </c>
      <c r="R695">
        <f>B695*(hospitalityq!R695="")</f>
        <v>0</v>
      </c>
    </row>
    <row r="696" spans="1:18" x14ac:dyDescent="0.25">
      <c r="A696">
        <f t="shared" si="11"/>
        <v>0</v>
      </c>
      <c r="B696" t="b">
        <f>SUMPRODUCT(LEN(hospitalityq!C696:R696))&gt;0</f>
        <v>0</v>
      </c>
      <c r="C696">
        <f>B696*(hospitalityq!C696="")</f>
        <v>0</v>
      </c>
      <c r="E696">
        <f>B696*(hospitalityq!E696="")</f>
        <v>0</v>
      </c>
      <c r="F696">
        <f>B696*(hospitalityq!F696="")</f>
        <v>0</v>
      </c>
      <c r="G696">
        <f>B696*(hospitalityq!G696="")</f>
        <v>0</v>
      </c>
      <c r="H696">
        <f>B696*(hospitalityq!H696="")</f>
        <v>0</v>
      </c>
      <c r="I696">
        <f>B696*(hospitalityq!I696="")</f>
        <v>0</v>
      </c>
      <c r="J696">
        <f>B696*(hospitalityq!J696="")</f>
        <v>0</v>
      </c>
      <c r="K696">
        <f>B696*(hospitalityq!K696="")</f>
        <v>0</v>
      </c>
      <c r="L696">
        <f>B696*(hospitalityq!L696="")</f>
        <v>0</v>
      </c>
      <c r="M696">
        <f>B696*(hospitalityq!M696="")</f>
        <v>0</v>
      </c>
      <c r="N696">
        <f>B696*(hospitalityq!N696="")</f>
        <v>0</v>
      </c>
      <c r="O696">
        <f>B696*(hospitalityq!O696="")</f>
        <v>0</v>
      </c>
      <c r="P696">
        <f>B696*(hospitalityq!P696="")</f>
        <v>0</v>
      </c>
      <c r="Q696">
        <f>B696*(hospitalityq!Q696="")</f>
        <v>0</v>
      </c>
      <c r="R696">
        <f>B696*(hospitalityq!R696="")</f>
        <v>0</v>
      </c>
    </row>
    <row r="697" spans="1:18" x14ac:dyDescent="0.25">
      <c r="A697">
        <f t="shared" si="11"/>
        <v>0</v>
      </c>
      <c r="B697" t="b">
        <f>SUMPRODUCT(LEN(hospitalityq!C697:R697))&gt;0</f>
        <v>0</v>
      </c>
      <c r="C697">
        <f>B697*(hospitalityq!C697="")</f>
        <v>0</v>
      </c>
      <c r="E697">
        <f>B697*(hospitalityq!E697="")</f>
        <v>0</v>
      </c>
      <c r="F697">
        <f>B697*(hospitalityq!F697="")</f>
        <v>0</v>
      </c>
      <c r="G697">
        <f>B697*(hospitalityq!G697="")</f>
        <v>0</v>
      </c>
      <c r="H697">
        <f>B697*(hospitalityq!H697="")</f>
        <v>0</v>
      </c>
      <c r="I697">
        <f>B697*(hospitalityq!I697="")</f>
        <v>0</v>
      </c>
      <c r="J697">
        <f>B697*(hospitalityq!J697="")</f>
        <v>0</v>
      </c>
      <c r="K697">
        <f>B697*(hospitalityq!K697="")</f>
        <v>0</v>
      </c>
      <c r="L697">
        <f>B697*(hospitalityq!L697="")</f>
        <v>0</v>
      </c>
      <c r="M697">
        <f>B697*(hospitalityq!M697="")</f>
        <v>0</v>
      </c>
      <c r="N697">
        <f>B697*(hospitalityq!N697="")</f>
        <v>0</v>
      </c>
      <c r="O697">
        <f>B697*(hospitalityq!O697="")</f>
        <v>0</v>
      </c>
      <c r="P697">
        <f>B697*(hospitalityq!P697="")</f>
        <v>0</v>
      </c>
      <c r="Q697">
        <f>B697*(hospitalityq!Q697="")</f>
        <v>0</v>
      </c>
      <c r="R697">
        <f>B697*(hospitalityq!R697="")</f>
        <v>0</v>
      </c>
    </row>
    <row r="698" spans="1:18" x14ac:dyDescent="0.25">
      <c r="A698">
        <f t="shared" si="11"/>
        <v>0</v>
      </c>
      <c r="B698" t="b">
        <f>SUMPRODUCT(LEN(hospitalityq!C698:R698))&gt;0</f>
        <v>0</v>
      </c>
      <c r="C698">
        <f>B698*(hospitalityq!C698="")</f>
        <v>0</v>
      </c>
      <c r="E698">
        <f>B698*(hospitalityq!E698="")</f>
        <v>0</v>
      </c>
      <c r="F698">
        <f>B698*(hospitalityq!F698="")</f>
        <v>0</v>
      </c>
      <c r="G698">
        <f>B698*(hospitalityq!G698="")</f>
        <v>0</v>
      </c>
      <c r="H698">
        <f>B698*(hospitalityq!H698="")</f>
        <v>0</v>
      </c>
      <c r="I698">
        <f>B698*(hospitalityq!I698="")</f>
        <v>0</v>
      </c>
      <c r="J698">
        <f>B698*(hospitalityq!J698="")</f>
        <v>0</v>
      </c>
      <c r="K698">
        <f>B698*(hospitalityq!K698="")</f>
        <v>0</v>
      </c>
      <c r="L698">
        <f>B698*(hospitalityq!L698="")</f>
        <v>0</v>
      </c>
      <c r="M698">
        <f>B698*(hospitalityq!M698="")</f>
        <v>0</v>
      </c>
      <c r="N698">
        <f>B698*(hospitalityq!N698="")</f>
        <v>0</v>
      </c>
      <c r="O698">
        <f>B698*(hospitalityq!O698="")</f>
        <v>0</v>
      </c>
      <c r="P698">
        <f>B698*(hospitalityq!P698="")</f>
        <v>0</v>
      </c>
      <c r="Q698">
        <f>B698*(hospitalityq!Q698="")</f>
        <v>0</v>
      </c>
      <c r="R698">
        <f>B698*(hospitalityq!R698="")</f>
        <v>0</v>
      </c>
    </row>
    <row r="699" spans="1:18" x14ac:dyDescent="0.25">
      <c r="A699">
        <f t="shared" si="11"/>
        <v>0</v>
      </c>
      <c r="B699" t="b">
        <f>SUMPRODUCT(LEN(hospitalityq!C699:R699))&gt;0</f>
        <v>0</v>
      </c>
      <c r="C699">
        <f>B699*(hospitalityq!C699="")</f>
        <v>0</v>
      </c>
      <c r="E699">
        <f>B699*(hospitalityq!E699="")</f>
        <v>0</v>
      </c>
      <c r="F699">
        <f>B699*(hospitalityq!F699="")</f>
        <v>0</v>
      </c>
      <c r="G699">
        <f>B699*(hospitalityq!G699="")</f>
        <v>0</v>
      </c>
      <c r="H699">
        <f>B699*(hospitalityq!H699="")</f>
        <v>0</v>
      </c>
      <c r="I699">
        <f>B699*(hospitalityq!I699="")</f>
        <v>0</v>
      </c>
      <c r="J699">
        <f>B699*(hospitalityq!J699="")</f>
        <v>0</v>
      </c>
      <c r="K699">
        <f>B699*(hospitalityq!K699="")</f>
        <v>0</v>
      </c>
      <c r="L699">
        <f>B699*(hospitalityq!L699="")</f>
        <v>0</v>
      </c>
      <c r="M699">
        <f>B699*(hospitalityq!M699="")</f>
        <v>0</v>
      </c>
      <c r="N699">
        <f>B699*(hospitalityq!N699="")</f>
        <v>0</v>
      </c>
      <c r="O699">
        <f>B699*(hospitalityq!O699="")</f>
        <v>0</v>
      </c>
      <c r="P699">
        <f>B699*(hospitalityq!P699="")</f>
        <v>0</v>
      </c>
      <c r="Q699">
        <f>B699*(hospitalityq!Q699="")</f>
        <v>0</v>
      </c>
      <c r="R699">
        <f>B699*(hospitalityq!R699="")</f>
        <v>0</v>
      </c>
    </row>
    <row r="700" spans="1:18" x14ac:dyDescent="0.25">
      <c r="A700">
        <f t="shared" si="11"/>
        <v>0</v>
      </c>
      <c r="B700" t="b">
        <f>SUMPRODUCT(LEN(hospitalityq!C700:R700))&gt;0</f>
        <v>0</v>
      </c>
      <c r="C700">
        <f>B700*(hospitalityq!C700="")</f>
        <v>0</v>
      </c>
      <c r="E700">
        <f>B700*(hospitalityq!E700="")</f>
        <v>0</v>
      </c>
      <c r="F700">
        <f>B700*(hospitalityq!F700="")</f>
        <v>0</v>
      </c>
      <c r="G700">
        <f>B700*(hospitalityq!G700="")</f>
        <v>0</v>
      </c>
      <c r="H700">
        <f>B700*(hospitalityq!H700="")</f>
        <v>0</v>
      </c>
      <c r="I700">
        <f>B700*(hospitalityq!I700="")</f>
        <v>0</v>
      </c>
      <c r="J700">
        <f>B700*(hospitalityq!J700="")</f>
        <v>0</v>
      </c>
      <c r="K700">
        <f>B700*(hospitalityq!K700="")</f>
        <v>0</v>
      </c>
      <c r="L700">
        <f>B700*(hospitalityq!L700="")</f>
        <v>0</v>
      </c>
      <c r="M700">
        <f>B700*(hospitalityq!M700="")</f>
        <v>0</v>
      </c>
      <c r="N700">
        <f>B700*(hospitalityq!N700="")</f>
        <v>0</v>
      </c>
      <c r="O700">
        <f>B700*(hospitalityq!O700="")</f>
        <v>0</v>
      </c>
      <c r="P700">
        <f>B700*(hospitalityq!P700="")</f>
        <v>0</v>
      </c>
      <c r="Q700">
        <f>B700*(hospitalityq!Q700="")</f>
        <v>0</v>
      </c>
      <c r="R700">
        <f>B700*(hospitalityq!R700="")</f>
        <v>0</v>
      </c>
    </row>
    <row r="701" spans="1:18" x14ac:dyDescent="0.25">
      <c r="A701">
        <f t="shared" si="11"/>
        <v>0</v>
      </c>
      <c r="B701" t="b">
        <f>SUMPRODUCT(LEN(hospitalityq!C701:R701))&gt;0</f>
        <v>0</v>
      </c>
      <c r="C701">
        <f>B701*(hospitalityq!C701="")</f>
        <v>0</v>
      </c>
      <c r="E701">
        <f>B701*(hospitalityq!E701="")</f>
        <v>0</v>
      </c>
      <c r="F701">
        <f>B701*(hospitalityq!F701="")</f>
        <v>0</v>
      </c>
      <c r="G701">
        <f>B701*(hospitalityq!G701="")</f>
        <v>0</v>
      </c>
      <c r="H701">
        <f>B701*(hospitalityq!H701="")</f>
        <v>0</v>
      </c>
      <c r="I701">
        <f>B701*(hospitalityq!I701="")</f>
        <v>0</v>
      </c>
      <c r="J701">
        <f>B701*(hospitalityq!J701="")</f>
        <v>0</v>
      </c>
      <c r="K701">
        <f>B701*(hospitalityq!K701="")</f>
        <v>0</v>
      </c>
      <c r="L701">
        <f>B701*(hospitalityq!L701="")</f>
        <v>0</v>
      </c>
      <c r="M701">
        <f>B701*(hospitalityq!M701="")</f>
        <v>0</v>
      </c>
      <c r="N701">
        <f>B701*(hospitalityq!N701="")</f>
        <v>0</v>
      </c>
      <c r="O701">
        <f>B701*(hospitalityq!O701="")</f>
        <v>0</v>
      </c>
      <c r="P701">
        <f>B701*(hospitalityq!P701="")</f>
        <v>0</v>
      </c>
      <c r="Q701">
        <f>B701*(hospitalityq!Q701="")</f>
        <v>0</v>
      </c>
      <c r="R701">
        <f>B701*(hospitalityq!R701="")</f>
        <v>0</v>
      </c>
    </row>
    <row r="702" spans="1:18" x14ac:dyDescent="0.25">
      <c r="A702">
        <f t="shared" si="11"/>
        <v>0</v>
      </c>
      <c r="B702" t="b">
        <f>SUMPRODUCT(LEN(hospitalityq!C702:R702))&gt;0</f>
        <v>0</v>
      </c>
      <c r="C702">
        <f>B702*(hospitalityq!C702="")</f>
        <v>0</v>
      </c>
      <c r="E702">
        <f>B702*(hospitalityq!E702="")</f>
        <v>0</v>
      </c>
      <c r="F702">
        <f>B702*(hospitalityq!F702="")</f>
        <v>0</v>
      </c>
      <c r="G702">
        <f>B702*(hospitalityq!G702="")</f>
        <v>0</v>
      </c>
      <c r="H702">
        <f>B702*(hospitalityq!H702="")</f>
        <v>0</v>
      </c>
      <c r="I702">
        <f>B702*(hospitalityq!I702="")</f>
        <v>0</v>
      </c>
      <c r="J702">
        <f>B702*(hospitalityq!J702="")</f>
        <v>0</v>
      </c>
      <c r="K702">
        <f>B702*(hospitalityq!K702="")</f>
        <v>0</v>
      </c>
      <c r="L702">
        <f>B702*(hospitalityq!L702="")</f>
        <v>0</v>
      </c>
      <c r="M702">
        <f>B702*(hospitalityq!M702="")</f>
        <v>0</v>
      </c>
      <c r="N702">
        <f>B702*(hospitalityq!N702="")</f>
        <v>0</v>
      </c>
      <c r="O702">
        <f>B702*(hospitalityq!O702="")</f>
        <v>0</v>
      </c>
      <c r="P702">
        <f>B702*(hospitalityq!P702="")</f>
        <v>0</v>
      </c>
      <c r="Q702">
        <f>B702*(hospitalityq!Q702="")</f>
        <v>0</v>
      </c>
      <c r="R702">
        <f>B702*(hospitalityq!R702="")</f>
        <v>0</v>
      </c>
    </row>
    <row r="703" spans="1:18" x14ac:dyDescent="0.25">
      <c r="A703">
        <f t="shared" si="11"/>
        <v>0</v>
      </c>
      <c r="B703" t="b">
        <f>SUMPRODUCT(LEN(hospitalityq!C703:R703))&gt;0</f>
        <v>0</v>
      </c>
      <c r="C703">
        <f>B703*(hospitalityq!C703="")</f>
        <v>0</v>
      </c>
      <c r="E703">
        <f>B703*(hospitalityq!E703="")</f>
        <v>0</v>
      </c>
      <c r="F703">
        <f>B703*(hospitalityq!F703="")</f>
        <v>0</v>
      </c>
      <c r="G703">
        <f>B703*(hospitalityq!G703="")</f>
        <v>0</v>
      </c>
      <c r="H703">
        <f>B703*(hospitalityq!H703="")</f>
        <v>0</v>
      </c>
      <c r="I703">
        <f>B703*(hospitalityq!I703="")</f>
        <v>0</v>
      </c>
      <c r="J703">
        <f>B703*(hospitalityq!J703="")</f>
        <v>0</v>
      </c>
      <c r="K703">
        <f>B703*(hospitalityq!K703="")</f>
        <v>0</v>
      </c>
      <c r="L703">
        <f>B703*(hospitalityq!L703="")</f>
        <v>0</v>
      </c>
      <c r="M703">
        <f>B703*(hospitalityq!M703="")</f>
        <v>0</v>
      </c>
      <c r="N703">
        <f>B703*(hospitalityq!N703="")</f>
        <v>0</v>
      </c>
      <c r="O703">
        <f>B703*(hospitalityq!O703="")</f>
        <v>0</v>
      </c>
      <c r="P703">
        <f>B703*(hospitalityq!P703="")</f>
        <v>0</v>
      </c>
      <c r="Q703">
        <f>B703*(hospitalityq!Q703="")</f>
        <v>0</v>
      </c>
      <c r="R703">
        <f>B703*(hospitalityq!R703="")</f>
        <v>0</v>
      </c>
    </row>
    <row r="704" spans="1:18" x14ac:dyDescent="0.25">
      <c r="A704">
        <f t="shared" si="11"/>
        <v>0</v>
      </c>
      <c r="B704" t="b">
        <f>SUMPRODUCT(LEN(hospitalityq!C704:R704))&gt;0</f>
        <v>0</v>
      </c>
      <c r="C704">
        <f>B704*(hospitalityq!C704="")</f>
        <v>0</v>
      </c>
      <c r="E704">
        <f>B704*(hospitalityq!E704="")</f>
        <v>0</v>
      </c>
      <c r="F704">
        <f>B704*(hospitalityq!F704="")</f>
        <v>0</v>
      </c>
      <c r="G704">
        <f>B704*(hospitalityq!G704="")</f>
        <v>0</v>
      </c>
      <c r="H704">
        <f>B704*(hospitalityq!H704="")</f>
        <v>0</v>
      </c>
      <c r="I704">
        <f>B704*(hospitalityq!I704="")</f>
        <v>0</v>
      </c>
      <c r="J704">
        <f>B704*(hospitalityq!J704="")</f>
        <v>0</v>
      </c>
      <c r="K704">
        <f>B704*(hospitalityq!K704="")</f>
        <v>0</v>
      </c>
      <c r="L704">
        <f>B704*(hospitalityq!L704="")</f>
        <v>0</v>
      </c>
      <c r="M704">
        <f>B704*(hospitalityq!M704="")</f>
        <v>0</v>
      </c>
      <c r="N704">
        <f>B704*(hospitalityq!N704="")</f>
        <v>0</v>
      </c>
      <c r="O704">
        <f>B704*(hospitalityq!O704="")</f>
        <v>0</v>
      </c>
      <c r="P704">
        <f>B704*(hospitalityq!P704="")</f>
        <v>0</v>
      </c>
      <c r="Q704">
        <f>B704*(hospitalityq!Q704="")</f>
        <v>0</v>
      </c>
      <c r="R704">
        <f>B704*(hospitalityq!R704="")</f>
        <v>0</v>
      </c>
    </row>
    <row r="705" spans="1:18" x14ac:dyDescent="0.25">
      <c r="A705">
        <f t="shared" si="11"/>
        <v>0</v>
      </c>
      <c r="B705" t="b">
        <f>SUMPRODUCT(LEN(hospitalityq!C705:R705))&gt;0</f>
        <v>0</v>
      </c>
      <c r="C705">
        <f>B705*(hospitalityq!C705="")</f>
        <v>0</v>
      </c>
      <c r="E705">
        <f>B705*(hospitalityq!E705="")</f>
        <v>0</v>
      </c>
      <c r="F705">
        <f>B705*(hospitalityq!F705="")</f>
        <v>0</v>
      </c>
      <c r="G705">
        <f>B705*(hospitalityq!G705="")</f>
        <v>0</v>
      </c>
      <c r="H705">
        <f>B705*(hospitalityq!H705="")</f>
        <v>0</v>
      </c>
      <c r="I705">
        <f>B705*(hospitalityq!I705="")</f>
        <v>0</v>
      </c>
      <c r="J705">
        <f>B705*(hospitalityq!J705="")</f>
        <v>0</v>
      </c>
      <c r="K705">
        <f>B705*(hospitalityq!K705="")</f>
        <v>0</v>
      </c>
      <c r="L705">
        <f>B705*(hospitalityq!L705="")</f>
        <v>0</v>
      </c>
      <c r="M705">
        <f>B705*(hospitalityq!M705="")</f>
        <v>0</v>
      </c>
      <c r="N705">
        <f>B705*(hospitalityq!N705="")</f>
        <v>0</v>
      </c>
      <c r="O705">
        <f>B705*(hospitalityq!O705="")</f>
        <v>0</v>
      </c>
      <c r="P705">
        <f>B705*(hospitalityq!P705="")</f>
        <v>0</v>
      </c>
      <c r="Q705">
        <f>B705*(hospitalityq!Q705="")</f>
        <v>0</v>
      </c>
      <c r="R705">
        <f>B705*(hospitalityq!R705="")</f>
        <v>0</v>
      </c>
    </row>
    <row r="706" spans="1:18" x14ac:dyDescent="0.25">
      <c r="A706">
        <f t="shared" si="11"/>
        <v>0</v>
      </c>
      <c r="B706" t="b">
        <f>SUMPRODUCT(LEN(hospitalityq!C706:R706))&gt;0</f>
        <v>0</v>
      </c>
      <c r="C706">
        <f>B706*(hospitalityq!C706="")</f>
        <v>0</v>
      </c>
      <c r="E706">
        <f>B706*(hospitalityq!E706="")</f>
        <v>0</v>
      </c>
      <c r="F706">
        <f>B706*(hospitalityq!F706="")</f>
        <v>0</v>
      </c>
      <c r="G706">
        <f>B706*(hospitalityq!G706="")</f>
        <v>0</v>
      </c>
      <c r="H706">
        <f>B706*(hospitalityq!H706="")</f>
        <v>0</v>
      </c>
      <c r="I706">
        <f>B706*(hospitalityq!I706="")</f>
        <v>0</v>
      </c>
      <c r="J706">
        <f>B706*(hospitalityq!J706="")</f>
        <v>0</v>
      </c>
      <c r="K706">
        <f>B706*(hospitalityq!K706="")</f>
        <v>0</v>
      </c>
      <c r="L706">
        <f>B706*(hospitalityq!L706="")</f>
        <v>0</v>
      </c>
      <c r="M706">
        <f>B706*(hospitalityq!M706="")</f>
        <v>0</v>
      </c>
      <c r="N706">
        <f>B706*(hospitalityq!N706="")</f>
        <v>0</v>
      </c>
      <c r="O706">
        <f>B706*(hospitalityq!O706="")</f>
        <v>0</v>
      </c>
      <c r="P706">
        <f>B706*(hospitalityq!P706="")</f>
        <v>0</v>
      </c>
      <c r="Q706">
        <f>B706*(hospitalityq!Q706="")</f>
        <v>0</v>
      </c>
      <c r="R706">
        <f>B706*(hospitalityq!R706="")</f>
        <v>0</v>
      </c>
    </row>
    <row r="707" spans="1:18" x14ac:dyDescent="0.25">
      <c r="A707">
        <f t="shared" si="11"/>
        <v>0</v>
      </c>
      <c r="B707" t="b">
        <f>SUMPRODUCT(LEN(hospitalityq!C707:R707))&gt;0</f>
        <v>0</v>
      </c>
      <c r="C707">
        <f>B707*(hospitalityq!C707="")</f>
        <v>0</v>
      </c>
      <c r="E707">
        <f>B707*(hospitalityq!E707="")</f>
        <v>0</v>
      </c>
      <c r="F707">
        <f>B707*(hospitalityq!F707="")</f>
        <v>0</v>
      </c>
      <c r="G707">
        <f>B707*(hospitalityq!G707="")</f>
        <v>0</v>
      </c>
      <c r="H707">
        <f>B707*(hospitalityq!H707="")</f>
        <v>0</v>
      </c>
      <c r="I707">
        <f>B707*(hospitalityq!I707="")</f>
        <v>0</v>
      </c>
      <c r="J707">
        <f>B707*(hospitalityq!J707="")</f>
        <v>0</v>
      </c>
      <c r="K707">
        <f>B707*(hospitalityq!K707="")</f>
        <v>0</v>
      </c>
      <c r="L707">
        <f>B707*(hospitalityq!L707="")</f>
        <v>0</v>
      </c>
      <c r="M707">
        <f>B707*(hospitalityq!M707="")</f>
        <v>0</v>
      </c>
      <c r="N707">
        <f>B707*(hospitalityq!N707="")</f>
        <v>0</v>
      </c>
      <c r="O707">
        <f>B707*(hospitalityq!O707="")</f>
        <v>0</v>
      </c>
      <c r="P707">
        <f>B707*(hospitalityq!P707="")</f>
        <v>0</v>
      </c>
      <c r="Q707">
        <f>B707*(hospitalityq!Q707="")</f>
        <v>0</v>
      </c>
      <c r="R707">
        <f>B707*(hospitalityq!R707="")</f>
        <v>0</v>
      </c>
    </row>
    <row r="708" spans="1:18" x14ac:dyDescent="0.25">
      <c r="A708">
        <f t="shared" si="11"/>
        <v>0</v>
      </c>
      <c r="B708" t="b">
        <f>SUMPRODUCT(LEN(hospitalityq!C708:R708))&gt;0</f>
        <v>0</v>
      </c>
      <c r="C708">
        <f>B708*(hospitalityq!C708="")</f>
        <v>0</v>
      </c>
      <c r="E708">
        <f>B708*(hospitalityq!E708="")</f>
        <v>0</v>
      </c>
      <c r="F708">
        <f>B708*(hospitalityq!F708="")</f>
        <v>0</v>
      </c>
      <c r="G708">
        <f>B708*(hospitalityq!G708="")</f>
        <v>0</v>
      </c>
      <c r="H708">
        <f>B708*(hospitalityq!H708="")</f>
        <v>0</v>
      </c>
      <c r="I708">
        <f>B708*(hospitalityq!I708="")</f>
        <v>0</v>
      </c>
      <c r="J708">
        <f>B708*(hospitalityq!J708="")</f>
        <v>0</v>
      </c>
      <c r="K708">
        <f>B708*(hospitalityq!K708="")</f>
        <v>0</v>
      </c>
      <c r="L708">
        <f>B708*(hospitalityq!L708="")</f>
        <v>0</v>
      </c>
      <c r="M708">
        <f>B708*(hospitalityq!M708="")</f>
        <v>0</v>
      </c>
      <c r="N708">
        <f>B708*(hospitalityq!N708="")</f>
        <v>0</v>
      </c>
      <c r="O708">
        <f>B708*(hospitalityq!O708="")</f>
        <v>0</v>
      </c>
      <c r="P708">
        <f>B708*(hospitalityq!P708="")</f>
        <v>0</v>
      </c>
      <c r="Q708">
        <f>B708*(hospitalityq!Q708="")</f>
        <v>0</v>
      </c>
      <c r="R708">
        <f>B708*(hospitalityq!R708="")</f>
        <v>0</v>
      </c>
    </row>
    <row r="709" spans="1:18" x14ac:dyDescent="0.25">
      <c r="A709">
        <f t="shared" si="11"/>
        <v>0</v>
      </c>
      <c r="B709" t="b">
        <f>SUMPRODUCT(LEN(hospitalityq!C709:R709))&gt;0</f>
        <v>0</v>
      </c>
      <c r="C709">
        <f>B709*(hospitalityq!C709="")</f>
        <v>0</v>
      </c>
      <c r="E709">
        <f>B709*(hospitalityq!E709="")</f>
        <v>0</v>
      </c>
      <c r="F709">
        <f>B709*(hospitalityq!F709="")</f>
        <v>0</v>
      </c>
      <c r="G709">
        <f>B709*(hospitalityq!G709="")</f>
        <v>0</v>
      </c>
      <c r="H709">
        <f>B709*(hospitalityq!H709="")</f>
        <v>0</v>
      </c>
      <c r="I709">
        <f>B709*(hospitalityq!I709="")</f>
        <v>0</v>
      </c>
      <c r="J709">
        <f>B709*(hospitalityq!J709="")</f>
        <v>0</v>
      </c>
      <c r="K709">
        <f>B709*(hospitalityq!K709="")</f>
        <v>0</v>
      </c>
      <c r="L709">
        <f>B709*(hospitalityq!L709="")</f>
        <v>0</v>
      </c>
      <c r="M709">
        <f>B709*(hospitalityq!M709="")</f>
        <v>0</v>
      </c>
      <c r="N709">
        <f>B709*(hospitalityq!N709="")</f>
        <v>0</v>
      </c>
      <c r="O709">
        <f>B709*(hospitalityq!O709="")</f>
        <v>0</v>
      </c>
      <c r="P709">
        <f>B709*(hospitalityq!P709="")</f>
        <v>0</v>
      </c>
      <c r="Q709">
        <f>B709*(hospitalityq!Q709="")</f>
        <v>0</v>
      </c>
      <c r="R709">
        <f>B709*(hospitalityq!R709="")</f>
        <v>0</v>
      </c>
    </row>
    <row r="710" spans="1:18" x14ac:dyDescent="0.25">
      <c r="A710">
        <f t="shared" ref="A710:A773" si="12">IFERROR(MATCH(TRUE,INDEX(C710:R710&lt;&gt;0,),)+2,0)</f>
        <v>0</v>
      </c>
      <c r="B710" t="b">
        <f>SUMPRODUCT(LEN(hospitalityq!C710:R710))&gt;0</f>
        <v>0</v>
      </c>
      <c r="C710">
        <f>B710*(hospitalityq!C710="")</f>
        <v>0</v>
      </c>
      <c r="E710">
        <f>B710*(hospitalityq!E710="")</f>
        <v>0</v>
      </c>
      <c r="F710">
        <f>B710*(hospitalityq!F710="")</f>
        <v>0</v>
      </c>
      <c r="G710">
        <f>B710*(hospitalityq!G710="")</f>
        <v>0</v>
      </c>
      <c r="H710">
        <f>B710*(hospitalityq!H710="")</f>
        <v>0</v>
      </c>
      <c r="I710">
        <f>B710*(hospitalityq!I710="")</f>
        <v>0</v>
      </c>
      <c r="J710">
        <f>B710*(hospitalityq!J710="")</f>
        <v>0</v>
      </c>
      <c r="K710">
        <f>B710*(hospitalityq!K710="")</f>
        <v>0</v>
      </c>
      <c r="L710">
        <f>B710*(hospitalityq!L710="")</f>
        <v>0</v>
      </c>
      <c r="M710">
        <f>B710*(hospitalityq!M710="")</f>
        <v>0</v>
      </c>
      <c r="N710">
        <f>B710*(hospitalityq!N710="")</f>
        <v>0</v>
      </c>
      <c r="O710">
        <f>B710*(hospitalityq!O710="")</f>
        <v>0</v>
      </c>
      <c r="P710">
        <f>B710*(hospitalityq!P710="")</f>
        <v>0</v>
      </c>
      <c r="Q710">
        <f>B710*(hospitalityq!Q710="")</f>
        <v>0</v>
      </c>
      <c r="R710">
        <f>B710*(hospitalityq!R710="")</f>
        <v>0</v>
      </c>
    </row>
    <row r="711" spans="1:18" x14ac:dyDescent="0.25">
      <c r="A711">
        <f t="shared" si="12"/>
        <v>0</v>
      </c>
      <c r="B711" t="b">
        <f>SUMPRODUCT(LEN(hospitalityq!C711:R711))&gt;0</f>
        <v>0</v>
      </c>
      <c r="C711">
        <f>B711*(hospitalityq!C711="")</f>
        <v>0</v>
      </c>
      <c r="E711">
        <f>B711*(hospitalityq!E711="")</f>
        <v>0</v>
      </c>
      <c r="F711">
        <f>B711*(hospitalityq!F711="")</f>
        <v>0</v>
      </c>
      <c r="G711">
        <f>B711*(hospitalityq!G711="")</f>
        <v>0</v>
      </c>
      <c r="H711">
        <f>B711*(hospitalityq!H711="")</f>
        <v>0</v>
      </c>
      <c r="I711">
        <f>B711*(hospitalityq!I711="")</f>
        <v>0</v>
      </c>
      <c r="J711">
        <f>B711*(hospitalityq!J711="")</f>
        <v>0</v>
      </c>
      <c r="K711">
        <f>B711*(hospitalityq!K711="")</f>
        <v>0</v>
      </c>
      <c r="L711">
        <f>B711*(hospitalityq!L711="")</f>
        <v>0</v>
      </c>
      <c r="M711">
        <f>B711*(hospitalityq!M711="")</f>
        <v>0</v>
      </c>
      <c r="N711">
        <f>B711*(hospitalityq!N711="")</f>
        <v>0</v>
      </c>
      <c r="O711">
        <f>B711*(hospitalityq!O711="")</f>
        <v>0</v>
      </c>
      <c r="P711">
        <f>B711*(hospitalityq!P711="")</f>
        <v>0</v>
      </c>
      <c r="Q711">
        <f>B711*(hospitalityq!Q711="")</f>
        <v>0</v>
      </c>
      <c r="R711">
        <f>B711*(hospitalityq!R711="")</f>
        <v>0</v>
      </c>
    </row>
    <row r="712" spans="1:18" x14ac:dyDescent="0.25">
      <c r="A712">
        <f t="shared" si="12"/>
        <v>0</v>
      </c>
      <c r="B712" t="b">
        <f>SUMPRODUCT(LEN(hospitalityq!C712:R712))&gt;0</f>
        <v>0</v>
      </c>
      <c r="C712">
        <f>B712*(hospitalityq!C712="")</f>
        <v>0</v>
      </c>
      <c r="E712">
        <f>B712*(hospitalityq!E712="")</f>
        <v>0</v>
      </c>
      <c r="F712">
        <f>B712*(hospitalityq!F712="")</f>
        <v>0</v>
      </c>
      <c r="G712">
        <f>B712*(hospitalityq!G712="")</f>
        <v>0</v>
      </c>
      <c r="H712">
        <f>B712*(hospitalityq!H712="")</f>
        <v>0</v>
      </c>
      <c r="I712">
        <f>B712*(hospitalityq!I712="")</f>
        <v>0</v>
      </c>
      <c r="J712">
        <f>B712*(hospitalityq!J712="")</f>
        <v>0</v>
      </c>
      <c r="K712">
        <f>B712*(hospitalityq!K712="")</f>
        <v>0</v>
      </c>
      <c r="L712">
        <f>B712*(hospitalityq!L712="")</f>
        <v>0</v>
      </c>
      <c r="M712">
        <f>B712*(hospitalityq!M712="")</f>
        <v>0</v>
      </c>
      <c r="N712">
        <f>B712*(hospitalityq!N712="")</f>
        <v>0</v>
      </c>
      <c r="O712">
        <f>B712*(hospitalityq!O712="")</f>
        <v>0</v>
      </c>
      <c r="P712">
        <f>B712*(hospitalityq!P712="")</f>
        <v>0</v>
      </c>
      <c r="Q712">
        <f>B712*(hospitalityq!Q712="")</f>
        <v>0</v>
      </c>
      <c r="R712">
        <f>B712*(hospitalityq!R712="")</f>
        <v>0</v>
      </c>
    </row>
    <row r="713" spans="1:18" x14ac:dyDescent="0.25">
      <c r="A713">
        <f t="shared" si="12"/>
        <v>0</v>
      </c>
      <c r="B713" t="b">
        <f>SUMPRODUCT(LEN(hospitalityq!C713:R713))&gt;0</f>
        <v>0</v>
      </c>
      <c r="C713">
        <f>B713*(hospitalityq!C713="")</f>
        <v>0</v>
      </c>
      <c r="E713">
        <f>B713*(hospitalityq!E713="")</f>
        <v>0</v>
      </c>
      <c r="F713">
        <f>B713*(hospitalityq!F713="")</f>
        <v>0</v>
      </c>
      <c r="G713">
        <f>B713*(hospitalityq!G713="")</f>
        <v>0</v>
      </c>
      <c r="H713">
        <f>B713*(hospitalityq!H713="")</f>
        <v>0</v>
      </c>
      <c r="I713">
        <f>B713*(hospitalityq!I713="")</f>
        <v>0</v>
      </c>
      <c r="J713">
        <f>B713*(hospitalityq!J713="")</f>
        <v>0</v>
      </c>
      <c r="K713">
        <f>B713*(hospitalityq!K713="")</f>
        <v>0</v>
      </c>
      <c r="L713">
        <f>B713*(hospitalityq!L713="")</f>
        <v>0</v>
      </c>
      <c r="M713">
        <f>B713*(hospitalityq!M713="")</f>
        <v>0</v>
      </c>
      <c r="N713">
        <f>B713*(hospitalityq!N713="")</f>
        <v>0</v>
      </c>
      <c r="O713">
        <f>B713*(hospitalityq!O713="")</f>
        <v>0</v>
      </c>
      <c r="P713">
        <f>B713*(hospitalityq!P713="")</f>
        <v>0</v>
      </c>
      <c r="Q713">
        <f>B713*(hospitalityq!Q713="")</f>
        <v>0</v>
      </c>
      <c r="R713">
        <f>B713*(hospitalityq!R713="")</f>
        <v>0</v>
      </c>
    </row>
    <row r="714" spans="1:18" x14ac:dyDescent="0.25">
      <c r="A714">
        <f t="shared" si="12"/>
        <v>0</v>
      </c>
      <c r="B714" t="b">
        <f>SUMPRODUCT(LEN(hospitalityq!C714:R714))&gt;0</f>
        <v>0</v>
      </c>
      <c r="C714">
        <f>B714*(hospitalityq!C714="")</f>
        <v>0</v>
      </c>
      <c r="E714">
        <f>B714*(hospitalityq!E714="")</f>
        <v>0</v>
      </c>
      <c r="F714">
        <f>B714*(hospitalityq!F714="")</f>
        <v>0</v>
      </c>
      <c r="G714">
        <f>B714*(hospitalityq!G714="")</f>
        <v>0</v>
      </c>
      <c r="H714">
        <f>B714*(hospitalityq!H714="")</f>
        <v>0</v>
      </c>
      <c r="I714">
        <f>B714*(hospitalityq!I714="")</f>
        <v>0</v>
      </c>
      <c r="J714">
        <f>B714*(hospitalityq!J714="")</f>
        <v>0</v>
      </c>
      <c r="K714">
        <f>B714*(hospitalityq!K714="")</f>
        <v>0</v>
      </c>
      <c r="L714">
        <f>B714*(hospitalityq!L714="")</f>
        <v>0</v>
      </c>
      <c r="M714">
        <f>B714*(hospitalityq!M714="")</f>
        <v>0</v>
      </c>
      <c r="N714">
        <f>B714*(hospitalityq!N714="")</f>
        <v>0</v>
      </c>
      <c r="O714">
        <f>B714*(hospitalityq!O714="")</f>
        <v>0</v>
      </c>
      <c r="P714">
        <f>B714*(hospitalityq!P714="")</f>
        <v>0</v>
      </c>
      <c r="Q714">
        <f>B714*(hospitalityq!Q714="")</f>
        <v>0</v>
      </c>
      <c r="R714">
        <f>B714*(hospitalityq!R714="")</f>
        <v>0</v>
      </c>
    </row>
    <row r="715" spans="1:18" x14ac:dyDescent="0.25">
      <c r="A715">
        <f t="shared" si="12"/>
        <v>0</v>
      </c>
      <c r="B715" t="b">
        <f>SUMPRODUCT(LEN(hospitalityq!C715:R715))&gt;0</f>
        <v>0</v>
      </c>
      <c r="C715">
        <f>B715*(hospitalityq!C715="")</f>
        <v>0</v>
      </c>
      <c r="E715">
        <f>B715*(hospitalityq!E715="")</f>
        <v>0</v>
      </c>
      <c r="F715">
        <f>B715*(hospitalityq!F715="")</f>
        <v>0</v>
      </c>
      <c r="G715">
        <f>B715*(hospitalityq!G715="")</f>
        <v>0</v>
      </c>
      <c r="H715">
        <f>B715*(hospitalityq!H715="")</f>
        <v>0</v>
      </c>
      <c r="I715">
        <f>B715*(hospitalityq!I715="")</f>
        <v>0</v>
      </c>
      <c r="J715">
        <f>B715*(hospitalityq!J715="")</f>
        <v>0</v>
      </c>
      <c r="K715">
        <f>B715*(hospitalityq!K715="")</f>
        <v>0</v>
      </c>
      <c r="L715">
        <f>B715*(hospitalityq!L715="")</f>
        <v>0</v>
      </c>
      <c r="M715">
        <f>B715*(hospitalityq!M715="")</f>
        <v>0</v>
      </c>
      <c r="N715">
        <f>B715*(hospitalityq!N715="")</f>
        <v>0</v>
      </c>
      <c r="O715">
        <f>B715*(hospitalityq!O715="")</f>
        <v>0</v>
      </c>
      <c r="P715">
        <f>B715*(hospitalityq!P715="")</f>
        <v>0</v>
      </c>
      <c r="Q715">
        <f>B715*(hospitalityq!Q715="")</f>
        <v>0</v>
      </c>
      <c r="R715">
        <f>B715*(hospitalityq!R715="")</f>
        <v>0</v>
      </c>
    </row>
    <row r="716" spans="1:18" x14ac:dyDescent="0.25">
      <c r="A716">
        <f t="shared" si="12"/>
        <v>0</v>
      </c>
      <c r="B716" t="b">
        <f>SUMPRODUCT(LEN(hospitalityq!C716:R716))&gt;0</f>
        <v>0</v>
      </c>
      <c r="C716">
        <f>B716*(hospitalityq!C716="")</f>
        <v>0</v>
      </c>
      <c r="E716">
        <f>B716*(hospitalityq!E716="")</f>
        <v>0</v>
      </c>
      <c r="F716">
        <f>B716*(hospitalityq!F716="")</f>
        <v>0</v>
      </c>
      <c r="G716">
        <f>B716*(hospitalityq!G716="")</f>
        <v>0</v>
      </c>
      <c r="H716">
        <f>B716*(hospitalityq!H716="")</f>
        <v>0</v>
      </c>
      <c r="I716">
        <f>B716*(hospitalityq!I716="")</f>
        <v>0</v>
      </c>
      <c r="J716">
        <f>B716*(hospitalityq!J716="")</f>
        <v>0</v>
      </c>
      <c r="K716">
        <f>B716*(hospitalityq!K716="")</f>
        <v>0</v>
      </c>
      <c r="L716">
        <f>B716*(hospitalityq!L716="")</f>
        <v>0</v>
      </c>
      <c r="M716">
        <f>B716*(hospitalityq!M716="")</f>
        <v>0</v>
      </c>
      <c r="N716">
        <f>B716*(hospitalityq!N716="")</f>
        <v>0</v>
      </c>
      <c r="O716">
        <f>B716*(hospitalityq!O716="")</f>
        <v>0</v>
      </c>
      <c r="P716">
        <f>B716*(hospitalityq!P716="")</f>
        <v>0</v>
      </c>
      <c r="Q716">
        <f>B716*(hospitalityq!Q716="")</f>
        <v>0</v>
      </c>
      <c r="R716">
        <f>B716*(hospitalityq!R716="")</f>
        <v>0</v>
      </c>
    </row>
    <row r="717" spans="1:18" x14ac:dyDescent="0.25">
      <c r="A717">
        <f t="shared" si="12"/>
        <v>0</v>
      </c>
      <c r="B717" t="b">
        <f>SUMPRODUCT(LEN(hospitalityq!C717:R717))&gt;0</f>
        <v>0</v>
      </c>
      <c r="C717">
        <f>B717*(hospitalityq!C717="")</f>
        <v>0</v>
      </c>
      <c r="E717">
        <f>B717*(hospitalityq!E717="")</f>
        <v>0</v>
      </c>
      <c r="F717">
        <f>B717*(hospitalityq!F717="")</f>
        <v>0</v>
      </c>
      <c r="G717">
        <f>B717*(hospitalityq!G717="")</f>
        <v>0</v>
      </c>
      <c r="H717">
        <f>B717*(hospitalityq!H717="")</f>
        <v>0</v>
      </c>
      <c r="I717">
        <f>B717*(hospitalityq!I717="")</f>
        <v>0</v>
      </c>
      <c r="J717">
        <f>B717*(hospitalityq!J717="")</f>
        <v>0</v>
      </c>
      <c r="K717">
        <f>B717*(hospitalityq!K717="")</f>
        <v>0</v>
      </c>
      <c r="L717">
        <f>B717*(hospitalityq!L717="")</f>
        <v>0</v>
      </c>
      <c r="M717">
        <f>B717*(hospitalityq!M717="")</f>
        <v>0</v>
      </c>
      <c r="N717">
        <f>B717*(hospitalityq!N717="")</f>
        <v>0</v>
      </c>
      <c r="O717">
        <f>B717*(hospitalityq!O717="")</f>
        <v>0</v>
      </c>
      <c r="P717">
        <f>B717*(hospitalityq!P717="")</f>
        <v>0</v>
      </c>
      <c r="Q717">
        <f>B717*(hospitalityq!Q717="")</f>
        <v>0</v>
      </c>
      <c r="R717">
        <f>B717*(hospitalityq!R717="")</f>
        <v>0</v>
      </c>
    </row>
    <row r="718" spans="1:18" x14ac:dyDescent="0.25">
      <c r="A718">
        <f t="shared" si="12"/>
        <v>0</v>
      </c>
      <c r="B718" t="b">
        <f>SUMPRODUCT(LEN(hospitalityq!C718:R718))&gt;0</f>
        <v>0</v>
      </c>
      <c r="C718">
        <f>B718*(hospitalityq!C718="")</f>
        <v>0</v>
      </c>
      <c r="E718">
        <f>B718*(hospitalityq!E718="")</f>
        <v>0</v>
      </c>
      <c r="F718">
        <f>B718*(hospitalityq!F718="")</f>
        <v>0</v>
      </c>
      <c r="G718">
        <f>B718*(hospitalityq!G718="")</f>
        <v>0</v>
      </c>
      <c r="H718">
        <f>B718*(hospitalityq!H718="")</f>
        <v>0</v>
      </c>
      <c r="I718">
        <f>B718*(hospitalityq!I718="")</f>
        <v>0</v>
      </c>
      <c r="J718">
        <f>B718*(hospitalityq!J718="")</f>
        <v>0</v>
      </c>
      <c r="K718">
        <f>B718*(hospitalityq!K718="")</f>
        <v>0</v>
      </c>
      <c r="L718">
        <f>B718*(hospitalityq!L718="")</f>
        <v>0</v>
      </c>
      <c r="M718">
        <f>B718*(hospitalityq!M718="")</f>
        <v>0</v>
      </c>
      <c r="N718">
        <f>B718*(hospitalityq!N718="")</f>
        <v>0</v>
      </c>
      <c r="O718">
        <f>B718*(hospitalityq!O718="")</f>
        <v>0</v>
      </c>
      <c r="P718">
        <f>B718*(hospitalityq!P718="")</f>
        <v>0</v>
      </c>
      <c r="Q718">
        <f>B718*(hospitalityq!Q718="")</f>
        <v>0</v>
      </c>
      <c r="R718">
        <f>B718*(hospitalityq!R718="")</f>
        <v>0</v>
      </c>
    </row>
    <row r="719" spans="1:18" x14ac:dyDescent="0.25">
      <c r="A719">
        <f t="shared" si="12"/>
        <v>0</v>
      </c>
      <c r="B719" t="b">
        <f>SUMPRODUCT(LEN(hospitalityq!C719:R719))&gt;0</f>
        <v>0</v>
      </c>
      <c r="C719">
        <f>B719*(hospitalityq!C719="")</f>
        <v>0</v>
      </c>
      <c r="E719">
        <f>B719*(hospitalityq!E719="")</f>
        <v>0</v>
      </c>
      <c r="F719">
        <f>B719*(hospitalityq!F719="")</f>
        <v>0</v>
      </c>
      <c r="G719">
        <f>B719*(hospitalityq!G719="")</f>
        <v>0</v>
      </c>
      <c r="H719">
        <f>B719*(hospitalityq!H719="")</f>
        <v>0</v>
      </c>
      <c r="I719">
        <f>B719*(hospitalityq!I719="")</f>
        <v>0</v>
      </c>
      <c r="J719">
        <f>B719*(hospitalityq!J719="")</f>
        <v>0</v>
      </c>
      <c r="K719">
        <f>B719*(hospitalityq!K719="")</f>
        <v>0</v>
      </c>
      <c r="L719">
        <f>B719*(hospitalityq!L719="")</f>
        <v>0</v>
      </c>
      <c r="M719">
        <f>B719*(hospitalityq!M719="")</f>
        <v>0</v>
      </c>
      <c r="N719">
        <f>B719*(hospitalityq!N719="")</f>
        <v>0</v>
      </c>
      <c r="O719">
        <f>B719*(hospitalityq!O719="")</f>
        <v>0</v>
      </c>
      <c r="P719">
        <f>B719*(hospitalityq!P719="")</f>
        <v>0</v>
      </c>
      <c r="Q719">
        <f>B719*(hospitalityq!Q719="")</f>
        <v>0</v>
      </c>
      <c r="R719">
        <f>B719*(hospitalityq!R719="")</f>
        <v>0</v>
      </c>
    </row>
    <row r="720" spans="1:18" x14ac:dyDescent="0.25">
      <c r="A720">
        <f t="shared" si="12"/>
        <v>0</v>
      </c>
      <c r="B720" t="b">
        <f>SUMPRODUCT(LEN(hospitalityq!C720:R720))&gt;0</f>
        <v>0</v>
      </c>
      <c r="C720">
        <f>B720*(hospitalityq!C720="")</f>
        <v>0</v>
      </c>
      <c r="E720">
        <f>B720*(hospitalityq!E720="")</f>
        <v>0</v>
      </c>
      <c r="F720">
        <f>B720*(hospitalityq!F720="")</f>
        <v>0</v>
      </c>
      <c r="G720">
        <f>B720*(hospitalityq!G720="")</f>
        <v>0</v>
      </c>
      <c r="H720">
        <f>B720*(hospitalityq!H720="")</f>
        <v>0</v>
      </c>
      <c r="I720">
        <f>B720*(hospitalityq!I720="")</f>
        <v>0</v>
      </c>
      <c r="J720">
        <f>B720*(hospitalityq!J720="")</f>
        <v>0</v>
      </c>
      <c r="K720">
        <f>B720*(hospitalityq!K720="")</f>
        <v>0</v>
      </c>
      <c r="L720">
        <f>B720*(hospitalityq!L720="")</f>
        <v>0</v>
      </c>
      <c r="M720">
        <f>B720*(hospitalityq!M720="")</f>
        <v>0</v>
      </c>
      <c r="N720">
        <f>B720*(hospitalityq!N720="")</f>
        <v>0</v>
      </c>
      <c r="O720">
        <f>B720*(hospitalityq!O720="")</f>
        <v>0</v>
      </c>
      <c r="P720">
        <f>B720*(hospitalityq!P720="")</f>
        <v>0</v>
      </c>
      <c r="Q720">
        <f>B720*(hospitalityq!Q720="")</f>
        <v>0</v>
      </c>
      <c r="R720">
        <f>B720*(hospitalityq!R720="")</f>
        <v>0</v>
      </c>
    </row>
    <row r="721" spans="1:18" x14ac:dyDescent="0.25">
      <c r="A721">
        <f t="shared" si="12"/>
        <v>0</v>
      </c>
      <c r="B721" t="b">
        <f>SUMPRODUCT(LEN(hospitalityq!C721:R721))&gt;0</f>
        <v>0</v>
      </c>
      <c r="C721">
        <f>B721*(hospitalityq!C721="")</f>
        <v>0</v>
      </c>
      <c r="E721">
        <f>B721*(hospitalityq!E721="")</f>
        <v>0</v>
      </c>
      <c r="F721">
        <f>B721*(hospitalityq!F721="")</f>
        <v>0</v>
      </c>
      <c r="G721">
        <f>B721*(hospitalityq!G721="")</f>
        <v>0</v>
      </c>
      <c r="H721">
        <f>B721*(hospitalityq!H721="")</f>
        <v>0</v>
      </c>
      <c r="I721">
        <f>B721*(hospitalityq!I721="")</f>
        <v>0</v>
      </c>
      <c r="J721">
        <f>B721*(hospitalityq!J721="")</f>
        <v>0</v>
      </c>
      <c r="K721">
        <f>B721*(hospitalityq!K721="")</f>
        <v>0</v>
      </c>
      <c r="L721">
        <f>B721*(hospitalityq!L721="")</f>
        <v>0</v>
      </c>
      <c r="M721">
        <f>B721*(hospitalityq!M721="")</f>
        <v>0</v>
      </c>
      <c r="N721">
        <f>B721*(hospitalityq!N721="")</f>
        <v>0</v>
      </c>
      <c r="O721">
        <f>B721*(hospitalityq!O721="")</f>
        <v>0</v>
      </c>
      <c r="P721">
        <f>B721*(hospitalityq!P721="")</f>
        <v>0</v>
      </c>
      <c r="Q721">
        <f>B721*(hospitalityq!Q721="")</f>
        <v>0</v>
      </c>
      <c r="R721">
        <f>B721*(hospitalityq!R721="")</f>
        <v>0</v>
      </c>
    </row>
    <row r="722" spans="1:18" x14ac:dyDescent="0.25">
      <c r="A722">
        <f t="shared" si="12"/>
        <v>0</v>
      </c>
      <c r="B722" t="b">
        <f>SUMPRODUCT(LEN(hospitalityq!C722:R722))&gt;0</f>
        <v>0</v>
      </c>
      <c r="C722">
        <f>B722*(hospitalityq!C722="")</f>
        <v>0</v>
      </c>
      <c r="E722">
        <f>B722*(hospitalityq!E722="")</f>
        <v>0</v>
      </c>
      <c r="F722">
        <f>B722*(hospitalityq!F722="")</f>
        <v>0</v>
      </c>
      <c r="G722">
        <f>B722*(hospitalityq!G722="")</f>
        <v>0</v>
      </c>
      <c r="H722">
        <f>B722*(hospitalityq!H722="")</f>
        <v>0</v>
      </c>
      <c r="I722">
        <f>B722*(hospitalityq!I722="")</f>
        <v>0</v>
      </c>
      <c r="J722">
        <f>B722*(hospitalityq!J722="")</f>
        <v>0</v>
      </c>
      <c r="K722">
        <f>B722*(hospitalityq!K722="")</f>
        <v>0</v>
      </c>
      <c r="L722">
        <f>B722*(hospitalityq!L722="")</f>
        <v>0</v>
      </c>
      <c r="M722">
        <f>B722*(hospitalityq!M722="")</f>
        <v>0</v>
      </c>
      <c r="N722">
        <f>B722*(hospitalityq!N722="")</f>
        <v>0</v>
      </c>
      <c r="O722">
        <f>B722*(hospitalityq!O722="")</f>
        <v>0</v>
      </c>
      <c r="P722">
        <f>B722*(hospitalityq!P722="")</f>
        <v>0</v>
      </c>
      <c r="Q722">
        <f>B722*(hospitalityq!Q722="")</f>
        <v>0</v>
      </c>
      <c r="R722">
        <f>B722*(hospitalityq!R722="")</f>
        <v>0</v>
      </c>
    </row>
    <row r="723" spans="1:18" x14ac:dyDescent="0.25">
      <c r="A723">
        <f t="shared" si="12"/>
        <v>0</v>
      </c>
      <c r="B723" t="b">
        <f>SUMPRODUCT(LEN(hospitalityq!C723:R723))&gt;0</f>
        <v>0</v>
      </c>
      <c r="C723">
        <f>B723*(hospitalityq!C723="")</f>
        <v>0</v>
      </c>
      <c r="E723">
        <f>B723*(hospitalityq!E723="")</f>
        <v>0</v>
      </c>
      <c r="F723">
        <f>B723*(hospitalityq!F723="")</f>
        <v>0</v>
      </c>
      <c r="G723">
        <f>B723*(hospitalityq!G723="")</f>
        <v>0</v>
      </c>
      <c r="H723">
        <f>B723*(hospitalityq!H723="")</f>
        <v>0</v>
      </c>
      <c r="I723">
        <f>B723*(hospitalityq!I723="")</f>
        <v>0</v>
      </c>
      <c r="J723">
        <f>B723*(hospitalityq!J723="")</f>
        <v>0</v>
      </c>
      <c r="K723">
        <f>B723*(hospitalityq!K723="")</f>
        <v>0</v>
      </c>
      <c r="L723">
        <f>B723*(hospitalityq!L723="")</f>
        <v>0</v>
      </c>
      <c r="M723">
        <f>B723*(hospitalityq!M723="")</f>
        <v>0</v>
      </c>
      <c r="N723">
        <f>B723*(hospitalityq!N723="")</f>
        <v>0</v>
      </c>
      <c r="O723">
        <f>B723*(hospitalityq!O723="")</f>
        <v>0</v>
      </c>
      <c r="P723">
        <f>B723*(hospitalityq!P723="")</f>
        <v>0</v>
      </c>
      <c r="Q723">
        <f>B723*(hospitalityq!Q723="")</f>
        <v>0</v>
      </c>
      <c r="R723">
        <f>B723*(hospitalityq!R723="")</f>
        <v>0</v>
      </c>
    </row>
    <row r="724" spans="1:18" x14ac:dyDescent="0.25">
      <c r="A724">
        <f t="shared" si="12"/>
        <v>0</v>
      </c>
      <c r="B724" t="b">
        <f>SUMPRODUCT(LEN(hospitalityq!C724:R724))&gt;0</f>
        <v>0</v>
      </c>
      <c r="C724">
        <f>B724*(hospitalityq!C724="")</f>
        <v>0</v>
      </c>
      <c r="E724">
        <f>B724*(hospitalityq!E724="")</f>
        <v>0</v>
      </c>
      <c r="F724">
        <f>B724*(hospitalityq!F724="")</f>
        <v>0</v>
      </c>
      <c r="G724">
        <f>B724*(hospitalityq!G724="")</f>
        <v>0</v>
      </c>
      <c r="H724">
        <f>B724*(hospitalityq!H724="")</f>
        <v>0</v>
      </c>
      <c r="I724">
        <f>B724*(hospitalityq!I724="")</f>
        <v>0</v>
      </c>
      <c r="J724">
        <f>B724*(hospitalityq!J724="")</f>
        <v>0</v>
      </c>
      <c r="K724">
        <f>B724*(hospitalityq!K724="")</f>
        <v>0</v>
      </c>
      <c r="L724">
        <f>B724*(hospitalityq!L724="")</f>
        <v>0</v>
      </c>
      <c r="M724">
        <f>B724*(hospitalityq!M724="")</f>
        <v>0</v>
      </c>
      <c r="N724">
        <f>B724*(hospitalityq!N724="")</f>
        <v>0</v>
      </c>
      <c r="O724">
        <f>B724*(hospitalityq!O724="")</f>
        <v>0</v>
      </c>
      <c r="P724">
        <f>B724*(hospitalityq!P724="")</f>
        <v>0</v>
      </c>
      <c r="Q724">
        <f>B724*(hospitalityq!Q724="")</f>
        <v>0</v>
      </c>
      <c r="R724">
        <f>B724*(hospitalityq!R724="")</f>
        <v>0</v>
      </c>
    </row>
    <row r="725" spans="1:18" x14ac:dyDescent="0.25">
      <c r="A725">
        <f t="shared" si="12"/>
        <v>0</v>
      </c>
      <c r="B725" t="b">
        <f>SUMPRODUCT(LEN(hospitalityq!C725:R725))&gt;0</f>
        <v>0</v>
      </c>
      <c r="C725">
        <f>B725*(hospitalityq!C725="")</f>
        <v>0</v>
      </c>
      <c r="E725">
        <f>B725*(hospitalityq!E725="")</f>
        <v>0</v>
      </c>
      <c r="F725">
        <f>B725*(hospitalityq!F725="")</f>
        <v>0</v>
      </c>
      <c r="G725">
        <f>B725*(hospitalityq!G725="")</f>
        <v>0</v>
      </c>
      <c r="H725">
        <f>B725*(hospitalityq!H725="")</f>
        <v>0</v>
      </c>
      <c r="I725">
        <f>B725*(hospitalityq!I725="")</f>
        <v>0</v>
      </c>
      <c r="J725">
        <f>B725*(hospitalityq!J725="")</f>
        <v>0</v>
      </c>
      <c r="K725">
        <f>B725*(hospitalityq!K725="")</f>
        <v>0</v>
      </c>
      <c r="L725">
        <f>B725*(hospitalityq!L725="")</f>
        <v>0</v>
      </c>
      <c r="M725">
        <f>B725*(hospitalityq!M725="")</f>
        <v>0</v>
      </c>
      <c r="N725">
        <f>B725*(hospitalityq!N725="")</f>
        <v>0</v>
      </c>
      <c r="O725">
        <f>B725*(hospitalityq!O725="")</f>
        <v>0</v>
      </c>
      <c r="P725">
        <f>B725*(hospitalityq!P725="")</f>
        <v>0</v>
      </c>
      <c r="Q725">
        <f>B725*(hospitalityq!Q725="")</f>
        <v>0</v>
      </c>
      <c r="R725">
        <f>B725*(hospitalityq!R725="")</f>
        <v>0</v>
      </c>
    </row>
    <row r="726" spans="1:18" x14ac:dyDescent="0.25">
      <c r="A726">
        <f t="shared" si="12"/>
        <v>0</v>
      </c>
      <c r="B726" t="b">
        <f>SUMPRODUCT(LEN(hospitalityq!C726:R726))&gt;0</f>
        <v>0</v>
      </c>
      <c r="C726">
        <f>B726*(hospitalityq!C726="")</f>
        <v>0</v>
      </c>
      <c r="E726">
        <f>B726*(hospitalityq!E726="")</f>
        <v>0</v>
      </c>
      <c r="F726">
        <f>B726*(hospitalityq!F726="")</f>
        <v>0</v>
      </c>
      <c r="G726">
        <f>B726*(hospitalityq!G726="")</f>
        <v>0</v>
      </c>
      <c r="H726">
        <f>B726*(hospitalityq!H726="")</f>
        <v>0</v>
      </c>
      <c r="I726">
        <f>B726*(hospitalityq!I726="")</f>
        <v>0</v>
      </c>
      <c r="J726">
        <f>B726*(hospitalityq!J726="")</f>
        <v>0</v>
      </c>
      <c r="K726">
        <f>B726*(hospitalityq!K726="")</f>
        <v>0</v>
      </c>
      <c r="L726">
        <f>B726*(hospitalityq!L726="")</f>
        <v>0</v>
      </c>
      <c r="M726">
        <f>B726*(hospitalityq!M726="")</f>
        <v>0</v>
      </c>
      <c r="N726">
        <f>B726*(hospitalityq!N726="")</f>
        <v>0</v>
      </c>
      <c r="O726">
        <f>B726*(hospitalityq!O726="")</f>
        <v>0</v>
      </c>
      <c r="P726">
        <f>B726*(hospitalityq!P726="")</f>
        <v>0</v>
      </c>
      <c r="Q726">
        <f>B726*(hospitalityq!Q726="")</f>
        <v>0</v>
      </c>
      <c r="R726">
        <f>B726*(hospitalityq!R726="")</f>
        <v>0</v>
      </c>
    </row>
    <row r="727" spans="1:18" x14ac:dyDescent="0.25">
      <c r="A727">
        <f t="shared" si="12"/>
        <v>0</v>
      </c>
      <c r="B727" t="b">
        <f>SUMPRODUCT(LEN(hospitalityq!C727:R727))&gt;0</f>
        <v>0</v>
      </c>
      <c r="C727">
        <f>B727*(hospitalityq!C727="")</f>
        <v>0</v>
      </c>
      <c r="E727">
        <f>B727*(hospitalityq!E727="")</f>
        <v>0</v>
      </c>
      <c r="F727">
        <f>B727*(hospitalityq!F727="")</f>
        <v>0</v>
      </c>
      <c r="G727">
        <f>B727*(hospitalityq!G727="")</f>
        <v>0</v>
      </c>
      <c r="H727">
        <f>B727*(hospitalityq!H727="")</f>
        <v>0</v>
      </c>
      <c r="I727">
        <f>B727*(hospitalityq!I727="")</f>
        <v>0</v>
      </c>
      <c r="J727">
        <f>B727*(hospitalityq!J727="")</f>
        <v>0</v>
      </c>
      <c r="K727">
        <f>B727*(hospitalityq!K727="")</f>
        <v>0</v>
      </c>
      <c r="L727">
        <f>B727*(hospitalityq!L727="")</f>
        <v>0</v>
      </c>
      <c r="M727">
        <f>B727*(hospitalityq!M727="")</f>
        <v>0</v>
      </c>
      <c r="N727">
        <f>B727*(hospitalityq!N727="")</f>
        <v>0</v>
      </c>
      <c r="O727">
        <f>B727*(hospitalityq!O727="")</f>
        <v>0</v>
      </c>
      <c r="P727">
        <f>B727*(hospitalityq!P727="")</f>
        <v>0</v>
      </c>
      <c r="Q727">
        <f>B727*(hospitalityq!Q727="")</f>
        <v>0</v>
      </c>
      <c r="R727">
        <f>B727*(hospitalityq!R727="")</f>
        <v>0</v>
      </c>
    </row>
    <row r="728" spans="1:18" x14ac:dyDescent="0.25">
      <c r="A728">
        <f t="shared" si="12"/>
        <v>0</v>
      </c>
      <c r="B728" t="b">
        <f>SUMPRODUCT(LEN(hospitalityq!C728:R728))&gt;0</f>
        <v>0</v>
      </c>
      <c r="C728">
        <f>B728*(hospitalityq!C728="")</f>
        <v>0</v>
      </c>
      <c r="E728">
        <f>B728*(hospitalityq!E728="")</f>
        <v>0</v>
      </c>
      <c r="F728">
        <f>B728*(hospitalityq!F728="")</f>
        <v>0</v>
      </c>
      <c r="G728">
        <f>B728*(hospitalityq!G728="")</f>
        <v>0</v>
      </c>
      <c r="H728">
        <f>B728*(hospitalityq!H728="")</f>
        <v>0</v>
      </c>
      <c r="I728">
        <f>B728*(hospitalityq!I728="")</f>
        <v>0</v>
      </c>
      <c r="J728">
        <f>B728*(hospitalityq!J728="")</f>
        <v>0</v>
      </c>
      <c r="K728">
        <f>B728*(hospitalityq!K728="")</f>
        <v>0</v>
      </c>
      <c r="L728">
        <f>B728*(hospitalityq!L728="")</f>
        <v>0</v>
      </c>
      <c r="M728">
        <f>B728*(hospitalityq!M728="")</f>
        <v>0</v>
      </c>
      <c r="N728">
        <f>B728*(hospitalityq!N728="")</f>
        <v>0</v>
      </c>
      <c r="O728">
        <f>B728*(hospitalityq!O728="")</f>
        <v>0</v>
      </c>
      <c r="P728">
        <f>B728*(hospitalityq!P728="")</f>
        <v>0</v>
      </c>
      <c r="Q728">
        <f>B728*(hospitalityq!Q728="")</f>
        <v>0</v>
      </c>
      <c r="R728">
        <f>B728*(hospitalityq!R728="")</f>
        <v>0</v>
      </c>
    </row>
    <row r="729" spans="1:18" x14ac:dyDescent="0.25">
      <c r="A729">
        <f t="shared" si="12"/>
        <v>0</v>
      </c>
      <c r="B729" t="b">
        <f>SUMPRODUCT(LEN(hospitalityq!C729:R729))&gt;0</f>
        <v>0</v>
      </c>
      <c r="C729">
        <f>B729*(hospitalityq!C729="")</f>
        <v>0</v>
      </c>
      <c r="E729">
        <f>B729*(hospitalityq!E729="")</f>
        <v>0</v>
      </c>
      <c r="F729">
        <f>B729*(hospitalityq!F729="")</f>
        <v>0</v>
      </c>
      <c r="G729">
        <f>B729*(hospitalityq!G729="")</f>
        <v>0</v>
      </c>
      <c r="H729">
        <f>B729*(hospitalityq!H729="")</f>
        <v>0</v>
      </c>
      <c r="I729">
        <f>B729*(hospitalityq!I729="")</f>
        <v>0</v>
      </c>
      <c r="J729">
        <f>B729*(hospitalityq!J729="")</f>
        <v>0</v>
      </c>
      <c r="K729">
        <f>B729*(hospitalityq!K729="")</f>
        <v>0</v>
      </c>
      <c r="L729">
        <f>B729*(hospitalityq!L729="")</f>
        <v>0</v>
      </c>
      <c r="M729">
        <f>B729*(hospitalityq!M729="")</f>
        <v>0</v>
      </c>
      <c r="N729">
        <f>B729*(hospitalityq!N729="")</f>
        <v>0</v>
      </c>
      <c r="O729">
        <f>B729*(hospitalityq!O729="")</f>
        <v>0</v>
      </c>
      <c r="P729">
        <f>B729*(hospitalityq!P729="")</f>
        <v>0</v>
      </c>
      <c r="Q729">
        <f>B729*(hospitalityq!Q729="")</f>
        <v>0</v>
      </c>
      <c r="R729">
        <f>B729*(hospitalityq!R729="")</f>
        <v>0</v>
      </c>
    </row>
    <row r="730" spans="1:18" x14ac:dyDescent="0.25">
      <c r="A730">
        <f t="shared" si="12"/>
        <v>0</v>
      </c>
      <c r="B730" t="b">
        <f>SUMPRODUCT(LEN(hospitalityq!C730:R730))&gt;0</f>
        <v>0</v>
      </c>
      <c r="C730">
        <f>B730*(hospitalityq!C730="")</f>
        <v>0</v>
      </c>
      <c r="E730">
        <f>B730*(hospitalityq!E730="")</f>
        <v>0</v>
      </c>
      <c r="F730">
        <f>B730*(hospitalityq!F730="")</f>
        <v>0</v>
      </c>
      <c r="G730">
        <f>B730*(hospitalityq!G730="")</f>
        <v>0</v>
      </c>
      <c r="H730">
        <f>B730*(hospitalityq!H730="")</f>
        <v>0</v>
      </c>
      <c r="I730">
        <f>B730*(hospitalityq!I730="")</f>
        <v>0</v>
      </c>
      <c r="J730">
        <f>B730*(hospitalityq!J730="")</f>
        <v>0</v>
      </c>
      <c r="K730">
        <f>B730*(hospitalityq!K730="")</f>
        <v>0</v>
      </c>
      <c r="L730">
        <f>B730*(hospitalityq!L730="")</f>
        <v>0</v>
      </c>
      <c r="M730">
        <f>B730*(hospitalityq!M730="")</f>
        <v>0</v>
      </c>
      <c r="N730">
        <f>B730*(hospitalityq!N730="")</f>
        <v>0</v>
      </c>
      <c r="O730">
        <f>B730*(hospitalityq!O730="")</f>
        <v>0</v>
      </c>
      <c r="P730">
        <f>B730*(hospitalityq!P730="")</f>
        <v>0</v>
      </c>
      <c r="Q730">
        <f>B730*(hospitalityq!Q730="")</f>
        <v>0</v>
      </c>
      <c r="R730">
        <f>B730*(hospitalityq!R730="")</f>
        <v>0</v>
      </c>
    </row>
    <row r="731" spans="1:18" x14ac:dyDescent="0.25">
      <c r="A731">
        <f t="shared" si="12"/>
        <v>0</v>
      </c>
      <c r="B731" t="b">
        <f>SUMPRODUCT(LEN(hospitalityq!C731:R731))&gt;0</f>
        <v>0</v>
      </c>
      <c r="C731">
        <f>B731*(hospitalityq!C731="")</f>
        <v>0</v>
      </c>
      <c r="E731">
        <f>B731*(hospitalityq!E731="")</f>
        <v>0</v>
      </c>
      <c r="F731">
        <f>B731*(hospitalityq!F731="")</f>
        <v>0</v>
      </c>
      <c r="G731">
        <f>B731*(hospitalityq!G731="")</f>
        <v>0</v>
      </c>
      <c r="H731">
        <f>B731*(hospitalityq!H731="")</f>
        <v>0</v>
      </c>
      <c r="I731">
        <f>B731*(hospitalityq!I731="")</f>
        <v>0</v>
      </c>
      <c r="J731">
        <f>B731*(hospitalityq!J731="")</f>
        <v>0</v>
      </c>
      <c r="K731">
        <f>B731*(hospitalityq!K731="")</f>
        <v>0</v>
      </c>
      <c r="L731">
        <f>B731*(hospitalityq!L731="")</f>
        <v>0</v>
      </c>
      <c r="M731">
        <f>B731*(hospitalityq!M731="")</f>
        <v>0</v>
      </c>
      <c r="N731">
        <f>B731*(hospitalityq!N731="")</f>
        <v>0</v>
      </c>
      <c r="O731">
        <f>B731*(hospitalityq!O731="")</f>
        <v>0</v>
      </c>
      <c r="P731">
        <f>B731*(hospitalityq!P731="")</f>
        <v>0</v>
      </c>
      <c r="Q731">
        <f>B731*(hospitalityq!Q731="")</f>
        <v>0</v>
      </c>
      <c r="R731">
        <f>B731*(hospitalityq!R731="")</f>
        <v>0</v>
      </c>
    </row>
    <row r="732" spans="1:18" x14ac:dyDescent="0.25">
      <c r="A732">
        <f t="shared" si="12"/>
        <v>0</v>
      </c>
      <c r="B732" t="b">
        <f>SUMPRODUCT(LEN(hospitalityq!C732:R732))&gt;0</f>
        <v>0</v>
      </c>
      <c r="C732">
        <f>B732*(hospitalityq!C732="")</f>
        <v>0</v>
      </c>
      <c r="E732">
        <f>B732*(hospitalityq!E732="")</f>
        <v>0</v>
      </c>
      <c r="F732">
        <f>B732*(hospitalityq!F732="")</f>
        <v>0</v>
      </c>
      <c r="G732">
        <f>B732*(hospitalityq!G732="")</f>
        <v>0</v>
      </c>
      <c r="H732">
        <f>B732*(hospitalityq!H732="")</f>
        <v>0</v>
      </c>
      <c r="I732">
        <f>B732*(hospitalityq!I732="")</f>
        <v>0</v>
      </c>
      <c r="J732">
        <f>B732*(hospitalityq!J732="")</f>
        <v>0</v>
      </c>
      <c r="K732">
        <f>B732*(hospitalityq!K732="")</f>
        <v>0</v>
      </c>
      <c r="L732">
        <f>B732*(hospitalityq!L732="")</f>
        <v>0</v>
      </c>
      <c r="M732">
        <f>B732*(hospitalityq!M732="")</f>
        <v>0</v>
      </c>
      <c r="N732">
        <f>B732*(hospitalityq!N732="")</f>
        <v>0</v>
      </c>
      <c r="O732">
        <f>B732*(hospitalityq!O732="")</f>
        <v>0</v>
      </c>
      <c r="P732">
        <f>B732*(hospitalityq!P732="")</f>
        <v>0</v>
      </c>
      <c r="Q732">
        <f>B732*(hospitalityq!Q732="")</f>
        <v>0</v>
      </c>
      <c r="R732">
        <f>B732*(hospitalityq!R732="")</f>
        <v>0</v>
      </c>
    </row>
    <row r="733" spans="1:18" x14ac:dyDescent="0.25">
      <c r="A733">
        <f t="shared" si="12"/>
        <v>0</v>
      </c>
      <c r="B733" t="b">
        <f>SUMPRODUCT(LEN(hospitalityq!C733:R733))&gt;0</f>
        <v>0</v>
      </c>
      <c r="C733">
        <f>B733*(hospitalityq!C733="")</f>
        <v>0</v>
      </c>
      <c r="E733">
        <f>B733*(hospitalityq!E733="")</f>
        <v>0</v>
      </c>
      <c r="F733">
        <f>B733*(hospitalityq!F733="")</f>
        <v>0</v>
      </c>
      <c r="G733">
        <f>B733*(hospitalityq!G733="")</f>
        <v>0</v>
      </c>
      <c r="H733">
        <f>B733*(hospitalityq!H733="")</f>
        <v>0</v>
      </c>
      <c r="I733">
        <f>B733*(hospitalityq!I733="")</f>
        <v>0</v>
      </c>
      <c r="J733">
        <f>B733*(hospitalityq!J733="")</f>
        <v>0</v>
      </c>
      <c r="K733">
        <f>B733*(hospitalityq!K733="")</f>
        <v>0</v>
      </c>
      <c r="L733">
        <f>B733*(hospitalityq!L733="")</f>
        <v>0</v>
      </c>
      <c r="M733">
        <f>B733*(hospitalityq!M733="")</f>
        <v>0</v>
      </c>
      <c r="N733">
        <f>B733*(hospitalityq!N733="")</f>
        <v>0</v>
      </c>
      <c r="O733">
        <f>B733*(hospitalityq!O733="")</f>
        <v>0</v>
      </c>
      <c r="P733">
        <f>B733*(hospitalityq!P733="")</f>
        <v>0</v>
      </c>
      <c r="Q733">
        <f>B733*(hospitalityq!Q733="")</f>
        <v>0</v>
      </c>
      <c r="R733">
        <f>B733*(hospitalityq!R733="")</f>
        <v>0</v>
      </c>
    </row>
    <row r="734" spans="1:18" x14ac:dyDescent="0.25">
      <c r="A734">
        <f t="shared" si="12"/>
        <v>0</v>
      </c>
      <c r="B734" t="b">
        <f>SUMPRODUCT(LEN(hospitalityq!C734:R734))&gt;0</f>
        <v>0</v>
      </c>
      <c r="C734">
        <f>B734*(hospitalityq!C734="")</f>
        <v>0</v>
      </c>
      <c r="E734">
        <f>B734*(hospitalityq!E734="")</f>
        <v>0</v>
      </c>
      <c r="F734">
        <f>B734*(hospitalityq!F734="")</f>
        <v>0</v>
      </c>
      <c r="G734">
        <f>B734*(hospitalityq!G734="")</f>
        <v>0</v>
      </c>
      <c r="H734">
        <f>B734*(hospitalityq!H734="")</f>
        <v>0</v>
      </c>
      <c r="I734">
        <f>B734*(hospitalityq!I734="")</f>
        <v>0</v>
      </c>
      <c r="J734">
        <f>B734*(hospitalityq!J734="")</f>
        <v>0</v>
      </c>
      <c r="K734">
        <f>B734*(hospitalityq!K734="")</f>
        <v>0</v>
      </c>
      <c r="L734">
        <f>B734*(hospitalityq!L734="")</f>
        <v>0</v>
      </c>
      <c r="M734">
        <f>B734*(hospitalityq!M734="")</f>
        <v>0</v>
      </c>
      <c r="N734">
        <f>B734*(hospitalityq!N734="")</f>
        <v>0</v>
      </c>
      <c r="O734">
        <f>B734*(hospitalityq!O734="")</f>
        <v>0</v>
      </c>
      <c r="P734">
        <f>B734*(hospitalityq!P734="")</f>
        <v>0</v>
      </c>
      <c r="Q734">
        <f>B734*(hospitalityq!Q734="")</f>
        <v>0</v>
      </c>
      <c r="R734">
        <f>B734*(hospitalityq!R734="")</f>
        <v>0</v>
      </c>
    </row>
    <row r="735" spans="1:18" x14ac:dyDescent="0.25">
      <c r="A735">
        <f t="shared" si="12"/>
        <v>0</v>
      </c>
      <c r="B735" t="b">
        <f>SUMPRODUCT(LEN(hospitalityq!C735:R735))&gt;0</f>
        <v>0</v>
      </c>
      <c r="C735">
        <f>B735*(hospitalityq!C735="")</f>
        <v>0</v>
      </c>
      <c r="E735">
        <f>B735*(hospitalityq!E735="")</f>
        <v>0</v>
      </c>
      <c r="F735">
        <f>B735*(hospitalityq!F735="")</f>
        <v>0</v>
      </c>
      <c r="G735">
        <f>B735*(hospitalityq!G735="")</f>
        <v>0</v>
      </c>
      <c r="H735">
        <f>B735*(hospitalityq!H735="")</f>
        <v>0</v>
      </c>
      <c r="I735">
        <f>B735*(hospitalityq!I735="")</f>
        <v>0</v>
      </c>
      <c r="J735">
        <f>B735*(hospitalityq!J735="")</f>
        <v>0</v>
      </c>
      <c r="K735">
        <f>B735*(hospitalityq!K735="")</f>
        <v>0</v>
      </c>
      <c r="L735">
        <f>B735*(hospitalityq!L735="")</f>
        <v>0</v>
      </c>
      <c r="M735">
        <f>B735*(hospitalityq!M735="")</f>
        <v>0</v>
      </c>
      <c r="N735">
        <f>B735*(hospitalityq!N735="")</f>
        <v>0</v>
      </c>
      <c r="O735">
        <f>B735*(hospitalityq!O735="")</f>
        <v>0</v>
      </c>
      <c r="P735">
        <f>B735*(hospitalityq!P735="")</f>
        <v>0</v>
      </c>
      <c r="Q735">
        <f>B735*(hospitalityq!Q735="")</f>
        <v>0</v>
      </c>
      <c r="R735">
        <f>B735*(hospitalityq!R735="")</f>
        <v>0</v>
      </c>
    </row>
    <row r="736" spans="1:18" x14ac:dyDescent="0.25">
      <c r="A736">
        <f t="shared" si="12"/>
        <v>0</v>
      </c>
      <c r="B736" t="b">
        <f>SUMPRODUCT(LEN(hospitalityq!C736:R736))&gt;0</f>
        <v>0</v>
      </c>
      <c r="C736">
        <f>B736*(hospitalityq!C736="")</f>
        <v>0</v>
      </c>
      <c r="E736">
        <f>B736*(hospitalityq!E736="")</f>
        <v>0</v>
      </c>
      <c r="F736">
        <f>B736*(hospitalityq!F736="")</f>
        <v>0</v>
      </c>
      <c r="G736">
        <f>B736*(hospitalityq!G736="")</f>
        <v>0</v>
      </c>
      <c r="H736">
        <f>B736*(hospitalityq!H736="")</f>
        <v>0</v>
      </c>
      <c r="I736">
        <f>B736*(hospitalityq!I736="")</f>
        <v>0</v>
      </c>
      <c r="J736">
        <f>B736*(hospitalityq!J736="")</f>
        <v>0</v>
      </c>
      <c r="K736">
        <f>B736*(hospitalityq!K736="")</f>
        <v>0</v>
      </c>
      <c r="L736">
        <f>B736*(hospitalityq!L736="")</f>
        <v>0</v>
      </c>
      <c r="M736">
        <f>B736*(hospitalityq!M736="")</f>
        <v>0</v>
      </c>
      <c r="N736">
        <f>B736*(hospitalityq!N736="")</f>
        <v>0</v>
      </c>
      <c r="O736">
        <f>B736*(hospitalityq!O736="")</f>
        <v>0</v>
      </c>
      <c r="P736">
        <f>B736*(hospitalityq!P736="")</f>
        <v>0</v>
      </c>
      <c r="Q736">
        <f>B736*(hospitalityq!Q736="")</f>
        <v>0</v>
      </c>
      <c r="R736">
        <f>B736*(hospitalityq!R736="")</f>
        <v>0</v>
      </c>
    </row>
    <row r="737" spans="1:18" x14ac:dyDescent="0.25">
      <c r="A737">
        <f t="shared" si="12"/>
        <v>0</v>
      </c>
      <c r="B737" t="b">
        <f>SUMPRODUCT(LEN(hospitalityq!C737:R737))&gt;0</f>
        <v>0</v>
      </c>
      <c r="C737">
        <f>B737*(hospitalityq!C737="")</f>
        <v>0</v>
      </c>
      <c r="E737">
        <f>B737*(hospitalityq!E737="")</f>
        <v>0</v>
      </c>
      <c r="F737">
        <f>B737*(hospitalityq!F737="")</f>
        <v>0</v>
      </c>
      <c r="G737">
        <f>B737*(hospitalityq!G737="")</f>
        <v>0</v>
      </c>
      <c r="H737">
        <f>B737*(hospitalityq!H737="")</f>
        <v>0</v>
      </c>
      <c r="I737">
        <f>B737*(hospitalityq!I737="")</f>
        <v>0</v>
      </c>
      <c r="J737">
        <f>B737*(hospitalityq!J737="")</f>
        <v>0</v>
      </c>
      <c r="K737">
        <f>B737*(hospitalityq!K737="")</f>
        <v>0</v>
      </c>
      <c r="L737">
        <f>B737*(hospitalityq!L737="")</f>
        <v>0</v>
      </c>
      <c r="M737">
        <f>B737*(hospitalityq!M737="")</f>
        <v>0</v>
      </c>
      <c r="N737">
        <f>B737*(hospitalityq!N737="")</f>
        <v>0</v>
      </c>
      <c r="O737">
        <f>B737*(hospitalityq!O737="")</f>
        <v>0</v>
      </c>
      <c r="P737">
        <f>B737*(hospitalityq!P737="")</f>
        <v>0</v>
      </c>
      <c r="Q737">
        <f>B737*(hospitalityq!Q737="")</f>
        <v>0</v>
      </c>
      <c r="R737">
        <f>B737*(hospitalityq!R737="")</f>
        <v>0</v>
      </c>
    </row>
    <row r="738" spans="1:18" x14ac:dyDescent="0.25">
      <c r="A738">
        <f t="shared" si="12"/>
        <v>0</v>
      </c>
      <c r="B738" t="b">
        <f>SUMPRODUCT(LEN(hospitalityq!C738:R738))&gt;0</f>
        <v>0</v>
      </c>
      <c r="C738">
        <f>B738*(hospitalityq!C738="")</f>
        <v>0</v>
      </c>
      <c r="E738">
        <f>B738*(hospitalityq!E738="")</f>
        <v>0</v>
      </c>
      <c r="F738">
        <f>B738*(hospitalityq!F738="")</f>
        <v>0</v>
      </c>
      <c r="G738">
        <f>B738*(hospitalityq!G738="")</f>
        <v>0</v>
      </c>
      <c r="H738">
        <f>B738*(hospitalityq!H738="")</f>
        <v>0</v>
      </c>
      <c r="I738">
        <f>B738*(hospitalityq!I738="")</f>
        <v>0</v>
      </c>
      <c r="J738">
        <f>B738*(hospitalityq!J738="")</f>
        <v>0</v>
      </c>
      <c r="K738">
        <f>B738*(hospitalityq!K738="")</f>
        <v>0</v>
      </c>
      <c r="L738">
        <f>B738*(hospitalityq!L738="")</f>
        <v>0</v>
      </c>
      <c r="M738">
        <f>B738*(hospitalityq!M738="")</f>
        <v>0</v>
      </c>
      <c r="N738">
        <f>B738*(hospitalityq!N738="")</f>
        <v>0</v>
      </c>
      <c r="O738">
        <f>B738*(hospitalityq!O738="")</f>
        <v>0</v>
      </c>
      <c r="P738">
        <f>B738*(hospitalityq!P738="")</f>
        <v>0</v>
      </c>
      <c r="Q738">
        <f>B738*(hospitalityq!Q738="")</f>
        <v>0</v>
      </c>
      <c r="R738">
        <f>B738*(hospitalityq!R738="")</f>
        <v>0</v>
      </c>
    </row>
    <row r="739" spans="1:18" x14ac:dyDescent="0.25">
      <c r="A739">
        <f t="shared" si="12"/>
        <v>0</v>
      </c>
      <c r="B739" t="b">
        <f>SUMPRODUCT(LEN(hospitalityq!C739:R739))&gt;0</f>
        <v>0</v>
      </c>
      <c r="C739">
        <f>B739*(hospitalityq!C739="")</f>
        <v>0</v>
      </c>
      <c r="E739">
        <f>B739*(hospitalityq!E739="")</f>
        <v>0</v>
      </c>
      <c r="F739">
        <f>B739*(hospitalityq!F739="")</f>
        <v>0</v>
      </c>
      <c r="G739">
        <f>B739*(hospitalityq!G739="")</f>
        <v>0</v>
      </c>
      <c r="H739">
        <f>B739*(hospitalityq!H739="")</f>
        <v>0</v>
      </c>
      <c r="I739">
        <f>B739*(hospitalityq!I739="")</f>
        <v>0</v>
      </c>
      <c r="J739">
        <f>B739*(hospitalityq!J739="")</f>
        <v>0</v>
      </c>
      <c r="K739">
        <f>B739*(hospitalityq!K739="")</f>
        <v>0</v>
      </c>
      <c r="L739">
        <f>B739*(hospitalityq!L739="")</f>
        <v>0</v>
      </c>
      <c r="M739">
        <f>B739*(hospitalityq!M739="")</f>
        <v>0</v>
      </c>
      <c r="N739">
        <f>B739*(hospitalityq!N739="")</f>
        <v>0</v>
      </c>
      <c r="O739">
        <f>B739*(hospitalityq!O739="")</f>
        <v>0</v>
      </c>
      <c r="P739">
        <f>B739*(hospitalityq!P739="")</f>
        <v>0</v>
      </c>
      <c r="Q739">
        <f>B739*(hospitalityq!Q739="")</f>
        <v>0</v>
      </c>
      <c r="R739">
        <f>B739*(hospitalityq!R739="")</f>
        <v>0</v>
      </c>
    </row>
    <row r="740" spans="1:18" x14ac:dyDescent="0.25">
      <c r="A740">
        <f t="shared" si="12"/>
        <v>0</v>
      </c>
      <c r="B740" t="b">
        <f>SUMPRODUCT(LEN(hospitalityq!C740:R740))&gt;0</f>
        <v>0</v>
      </c>
      <c r="C740">
        <f>B740*(hospitalityq!C740="")</f>
        <v>0</v>
      </c>
      <c r="E740">
        <f>B740*(hospitalityq!E740="")</f>
        <v>0</v>
      </c>
      <c r="F740">
        <f>B740*(hospitalityq!F740="")</f>
        <v>0</v>
      </c>
      <c r="G740">
        <f>B740*(hospitalityq!G740="")</f>
        <v>0</v>
      </c>
      <c r="H740">
        <f>B740*(hospitalityq!H740="")</f>
        <v>0</v>
      </c>
      <c r="I740">
        <f>B740*(hospitalityq!I740="")</f>
        <v>0</v>
      </c>
      <c r="J740">
        <f>B740*(hospitalityq!J740="")</f>
        <v>0</v>
      </c>
      <c r="K740">
        <f>B740*(hospitalityq!K740="")</f>
        <v>0</v>
      </c>
      <c r="L740">
        <f>B740*(hospitalityq!L740="")</f>
        <v>0</v>
      </c>
      <c r="M740">
        <f>B740*(hospitalityq!M740="")</f>
        <v>0</v>
      </c>
      <c r="N740">
        <f>B740*(hospitalityq!N740="")</f>
        <v>0</v>
      </c>
      <c r="O740">
        <f>B740*(hospitalityq!O740="")</f>
        <v>0</v>
      </c>
      <c r="P740">
        <f>B740*(hospitalityq!P740="")</f>
        <v>0</v>
      </c>
      <c r="Q740">
        <f>B740*(hospitalityq!Q740="")</f>
        <v>0</v>
      </c>
      <c r="R740">
        <f>B740*(hospitalityq!R740="")</f>
        <v>0</v>
      </c>
    </row>
    <row r="741" spans="1:18" x14ac:dyDescent="0.25">
      <c r="A741">
        <f t="shared" si="12"/>
        <v>0</v>
      </c>
      <c r="B741" t="b">
        <f>SUMPRODUCT(LEN(hospitalityq!C741:R741))&gt;0</f>
        <v>0</v>
      </c>
      <c r="C741">
        <f>B741*(hospitalityq!C741="")</f>
        <v>0</v>
      </c>
      <c r="E741">
        <f>B741*(hospitalityq!E741="")</f>
        <v>0</v>
      </c>
      <c r="F741">
        <f>B741*(hospitalityq!F741="")</f>
        <v>0</v>
      </c>
      <c r="G741">
        <f>B741*(hospitalityq!G741="")</f>
        <v>0</v>
      </c>
      <c r="H741">
        <f>B741*(hospitalityq!H741="")</f>
        <v>0</v>
      </c>
      <c r="I741">
        <f>B741*(hospitalityq!I741="")</f>
        <v>0</v>
      </c>
      <c r="J741">
        <f>B741*(hospitalityq!J741="")</f>
        <v>0</v>
      </c>
      <c r="K741">
        <f>B741*(hospitalityq!K741="")</f>
        <v>0</v>
      </c>
      <c r="L741">
        <f>B741*(hospitalityq!L741="")</f>
        <v>0</v>
      </c>
      <c r="M741">
        <f>B741*(hospitalityq!M741="")</f>
        <v>0</v>
      </c>
      <c r="N741">
        <f>B741*(hospitalityq!N741="")</f>
        <v>0</v>
      </c>
      <c r="O741">
        <f>B741*(hospitalityq!O741="")</f>
        <v>0</v>
      </c>
      <c r="P741">
        <f>B741*(hospitalityq!P741="")</f>
        <v>0</v>
      </c>
      <c r="Q741">
        <f>B741*(hospitalityq!Q741="")</f>
        <v>0</v>
      </c>
      <c r="R741">
        <f>B741*(hospitalityq!R741="")</f>
        <v>0</v>
      </c>
    </row>
    <row r="742" spans="1:18" x14ac:dyDescent="0.25">
      <c r="A742">
        <f t="shared" si="12"/>
        <v>0</v>
      </c>
      <c r="B742" t="b">
        <f>SUMPRODUCT(LEN(hospitalityq!C742:R742))&gt;0</f>
        <v>0</v>
      </c>
      <c r="C742">
        <f>B742*(hospitalityq!C742="")</f>
        <v>0</v>
      </c>
      <c r="E742">
        <f>B742*(hospitalityq!E742="")</f>
        <v>0</v>
      </c>
      <c r="F742">
        <f>B742*(hospitalityq!F742="")</f>
        <v>0</v>
      </c>
      <c r="G742">
        <f>B742*(hospitalityq!G742="")</f>
        <v>0</v>
      </c>
      <c r="H742">
        <f>B742*(hospitalityq!H742="")</f>
        <v>0</v>
      </c>
      <c r="I742">
        <f>B742*(hospitalityq!I742="")</f>
        <v>0</v>
      </c>
      <c r="J742">
        <f>B742*(hospitalityq!J742="")</f>
        <v>0</v>
      </c>
      <c r="K742">
        <f>B742*(hospitalityq!K742="")</f>
        <v>0</v>
      </c>
      <c r="L742">
        <f>B742*(hospitalityq!L742="")</f>
        <v>0</v>
      </c>
      <c r="M742">
        <f>B742*(hospitalityq!M742="")</f>
        <v>0</v>
      </c>
      <c r="N742">
        <f>B742*(hospitalityq!N742="")</f>
        <v>0</v>
      </c>
      <c r="O742">
        <f>B742*(hospitalityq!O742="")</f>
        <v>0</v>
      </c>
      <c r="P742">
        <f>B742*(hospitalityq!P742="")</f>
        <v>0</v>
      </c>
      <c r="Q742">
        <f>B742*(hospitalityq!Q742="")</f>
        <v>0</v>
      </c>
      <c r="R742">
        <f>B742*(hospitalityq!R742="")</f>
        <v>0</v>
      </c>
    </row>
    <row r="743" spans="1:18" x14ac:dyDescent="0.25">
      <c r="A743">
        <f t="shared" si="12"/>
        <v>0</v>
      </c>
      <c r="B743" t="b">
        <f>SUMPRODUCT(LEN(hospitalityq!C743:R743))&gt;0</f>
        <v>0</v>
      </c>
      <c r="C743">
        <f>B743*(hospitalityq!C743="")</f>
        <v>0</v>
      </c>
      <c r="E743">
        <f>B743*(hospitalityq!E743="")</f>
        <v>0</v>
      </c>
      <c r="F743">
        <f>B743*(hospitalityq!F743="")</f>
        <v>0</v>
      </c>
      <c r="G743">
        <f>B743*(hospitalityq!G743="")</f>
        <v>0</v>
      </c>
      <c r="H743">
        <f>B743*(hospitalityq!H743="")</f>
        <v>0</v>
      </c>
      <c r="I743">
        <f>B743*(hospitalityq!I743="")</f>
        <v>0</v>
      </c>
      <c r="J743">
        <f>B743*(hospitalityq!J743="")</f>
        <v>0</v>
      </c>
      <c r="K743">
        <f>B743*(hospitalityq!K743="")</f>
        <v>0</v>
      </c>
      <c r="L743">
        <f>B743*(hospitalityq!L743="")</f>
        <v>0</v>
      </c>
      <c r="M743">
        <f>B743*(hospitalityq!M743="")</f>
        <v>0</v>
      </c>
      <c r="N743">
        <f>B743*(hospitalityq!N743="")</f>
        <v>0</v>
      </c>
      <c r="O743">
        <f>B743*(hospitalityq!O743="")</f>
        <v>0</v>
      </c>
      <c r="P743">
        <f>B743*(hospitalityq!P743="")</f>
        <v>0</v>
      </c>
      <c r="Q743">
        <f>B743*(hospitalityq!Q743="")</f>
        <v>0</v>
      </c>
      <c r="R743">
        <f>B743*(hospitalityq!R743="")</f>
        <v>0</v>
      </c>
    </row>
    <row r="744" spans="1:18" x14ac:dyDescent="0.25">
      <c r="A744">
        <f t="shared" si="12"/>
        <v>0</v>
      </c>
      <c r="B744" t="b">
        <f>SUMPRODUCT(LEN(hospitalityq!C744:R744))&gt;0</f>
        <v>0</v>
      </c>
      <c r="C744">
        <f>B744*(hospitalityq!C744="")</f>
        <v>0</v>
      </c>
      <c r="E744">
        <f>B744*(hospitalityq!E744="")</f>
        <v>0</v>
      </c>
      <c r="F744">
        <f>B744*(hospitalityq!F744="")</f>
        <v>0</v>
      </c>
      <c r="G744">
        <f>B744*(hospitalityq!G744="")</f>
        <v>0</v>
      </c>
      <c r="H744">
        <f>B744*(hospitalityq!H744="")</f>
        <v>0</v>
      </c>
      <c r="I744">
        <f>B744*(hospitalityq!I744="")</f>
        <v>0</v>
      </c>
      <c r="J744">
        <f>B744*(hospitalityq!J744="")</f>
        <v>0</v>
      </c>
      <c r="K744">
        <f>B744*(hospitalityq!K744="")</f>
        <v>0</v>
      </c>
      <c r="L744">
        <f>B744*(hospitalityq!L744="")</f>
        <v>0</v>
      </c>
      <c r="M744">
        <f>B744*(hospitalityq!M744="")</f>
        <v>0</v>
      </c>
      <c r="N744">
        <f>B744*(hospitalityq!N744="")</f>
        <v>0</v>
      </c>
      <c r="O744">
        <f>B744*(hospitalityq!O744="")</f>
        <v>0</v>
      </c>
      <c r="P744">
        <f>B744*(hospitalityq!P744="")</f>
        <v>0</v>
      </c>
      <c r="Q744">
        <f>B744*(hospitalityq!Q744="")</f>
        <v>0</v>
      </c>
      <c r="R744">
        <f>B744*(hospitalityq!R744="")</f>
        <v>0</v>
      </c>
    </row>
    <row r="745" spans="1:18" x14ac:dyDescent="0.25">
      <c r="A745">
        <f t="shared" si="12"/>
        <v>0</v>
      </c>
      <c r="B745" t="b">
        <f>SUMPRODUCT(LEN(hospitalityq!C745:R745))&gt;0</f>
        <v>0</v>
      </c>
      <c r="C745">
        <f>B745*(hospitalityq!C745="")</f>
        <v>0</v>
      </c>
      <c r="E745">
        <f>B745*(hospitalityq!E745="")</f>
        <v>0</v>
      </c>
      <c r="F745">
        <f>B745*(hospitalityq!F745="")</f>
        <v>0</v>
      </c>
      <c r="G745">
        <f>B745*(hospitalityq!G745="")</f>
        <v>0</v>
      </c>
      <c r="H745">
        <f>B745*(hospitalityq!H745="")</f>
        <v>0</v>
      </c>
      <c r="I745">
        <f>B745*(hospitalityq!I745="")</f>
        <v>0</v>
      </c>
      <c r="J745">
        <f>B745*(hospitalityq!J745="")</f>
        <v>0</v>
      </c>
      <c r="K745">
        <f>B745*(hospitalityq!K745="")</f>
        <v>0</v>
      </c>
      <c r="L745">
        <f>B745*(hospitalityq!L745="")</f>
        <v>0</v>
      </c>
      <c r="M745">
        <f>B745*(hospitalityq!M745="")</f>
        <v>0</v>
      </c>
      <c r="N745">
        <f>B745*(hospitalityq!N745="")</f>
        <v>0</v>
      </c>
      <c r="O745">
        <f>B745*(hospitalityq!O745="")</f>
        <v>0</v>
      </c>
      <c r="P745">
        <f>B745*(hospitalityq!P745="")</f>
        <v>0</v>
      </c>
      <c r="Q745">
        <f>B745*(hospitalityq!Q745="")</f>
        <v>0</v>
      </c>
      <c r="R745">
        <f>B745*(hospitalityq!R745="")</f>
        <v>0</v>
      </c>
    </row>
    <row r="746" spans="1:18" x14ac:dyDescent="0.25">
      <c r="A746">
        <f t="shared" si="12"/>
        <v>0</v>
      </c>
      <c r="B746" t="b">
        <f>SUMPRODUCT(LEN(hospitalityq!C746:R746))&gt;0</f>
        <v>0</v>
      </c>
      <c r="C746">
        <f>B746*(hospitalityq!C746="")</f>
        <v>0</v>
      </c>
      <c r="E746">
        <f>B746*(hospitalityq!E746="")</f>
        <v>0</v>
      </c>
      <c r="F746">
        <f>B746*(hospitalityq!F746="")</f>
        <v>0</v>
      </c>
      <c r="G746">
        <f>B746*(hospitalityq!G746="")</f>
        <v>0</v>
      </c>
      <c r="H746">
        <f>B746*(hospitalityq!H746="")</f>
        <v>0</v>
      </c>
      <c r="I746">
        <f>B746*(hospitalityq!I746="")</f>
        <v>0</v>
      </c>
      <c r="J746">
        <f>B746*(hospitalityq!J746="")</f>
        <v>0</v>
      </c>
      <c r="K746">
        <f>B746*(hospitalityq!K746="")</f>
        <v>0</v>
      </c>
      <c r="L746">
        <f>B746*(hospitalityq!L746="")</f>
        <v>0</v>
      </c>
      <c r="M746">
        <f>B746*(hospitalityq!M746="")</f>
        <v>0</v>
      </c>
      <c r="N746">
        <f>B746*(hospitalityq!N746="")</f>
        <v>0</v>
      </c>
      <c r="O746">
        <f>B746*(hospitalityq!O746="")</f>
        <v>0</v>
      </c>
      <c r="P746">
        <f>B746*(hospitalityq!P746="")</f>
        <v>0</v>
      </c>
      <c r="Q746">
        <f>B746*(hospitalityq!Q746="")</f>
        <v>0</v>
      </c>
      <c r="R746">
        <f>B746*(hospitalityq!R746="")</f>
        <v>0</v>
      </c>
    </row>
    <row r="747" spans="1:18" x14ac:dyDescent="0.25">
      <c r="A747">
        <f t="shared" si="12"/>
        <v>0</v>
      </c>
      <c r="B747" t="b">
        <f>SUMPRODUCT(LEN(hospitalityq!C747:R747))&gt;0</f>
        <v>0</v>
      </c>
      <c r="C747">
        <f>B747*(hospitalityq!C747="")</f>
        <v>0</v>
      </c>
      <c r="E747">
        <f>B747*(hospitalityq!E747="")</f>
        <v>0</v>
      </c>
      <c r="F747">
        <f>B747*(hospitalityq!F747="")</f>
        <v>0</v>
      </c>
      <c r="G747">
        <f>B747*(hospitalityq!G747="")</f>
        <v>0</v>
      </c>
      <c r="H747">
        <f>B747*(hospitalityq!H747="")</f>
        <v>0</v>
      </c>
      <c r="I747">
        <f>B747*(hospitalityq!I747="")</f>
        <v>0</v>
      </c>
      <c r="J747">
        <f>B747*(hospitalityq!J747="")</f>
        <v>0</v>
      </c>
      <c r="K747">
        <f>B747*(hospitalityq!K747="")</f>
        <v>0</v>
      </c>
      <c r="L747">
        <f>B747*(hospitalityq!L747="")</f>
        <v>0</v>
      </c>
      <c r="M747">
        <f>B747*(hospitalityq!M747="")</f>
        <v>0</v>
      </c>
      <c r="N747">
        <f>B747*(hospitalityq!N747="")</f>
        <v>0</v>
      </c>
      <c r="O747">
        <f>B747*(hospitalityq!O747="")</f>
        <v>0</v>
      </c>
      <c r="P747">
        <f>B747*(hospitalityq!P747="")</f>
        <v>0</v>
      </c>
      <c r="Q747">
        <f>B747*(hospitalityq!Q747="")</f>
        <v>0</v>
      </c>
      <c r="R747">
        <f>B747*(hospitalityq!R747="")</f>
        <v>0</v>
      </c>
    </row>
    <row r="748" spans="1:18" x14ac:dyDescent="0.25">
      <c r="A748">
        <f t="shared" si="12"/>
        <v>0</v>
      </c>
      <c r="B748" t="b">
        <f>SUMPRODUCT(LEN(hospitalityq!C748:R748))&gt;0</f>
        <v>0</v>
      </c>
      <c r="C748">
        <f>B748*(hospitalityq!C748="")</f>
        <v>0</v>
      </c>
      <c r="E748">
        <f>B748*(hospitalityq!E748="")</f>
        <v>0</v>
      </c>
      <c r="F748">
        <f>B748*(hospitalityq!F748="")</f>
        <v>0</v>
      </c>
      <c r="G748">
        <f>B748*(hospitalityq!G748="")</f>
        <v>0</v>
      </c>
      <c r="H748">
        <f>B748*(hospitalityq!H748="")</f>
        <v>0</v>
      </c>
      <c r="I748">
        <f>B748*(hospitalityq!I748="")</f>
        <v>0</v>
      </c>
      <c r="J748">
        <f>B748*(hospitalityq!J748="")</f>
        <v>0</v>
      </c>
      <c r="K748">
        <f>B748*(hospitalityq!K748="")</f>
        <v>0</v>
      </c>
      <c r="L748">
        <f>B748*(hospitalityq!L748="")</f>
        <v>0</v>
      </c>
      <c r="M748">
        <f>B748*(hospitalityq!M748="")</f>
        <v>0</v>
      </c>
      <c r="N748">
        <f>B748*(hospitalityq!N748="")</f>
        <v>0</v>
      </c>
      <c r="O748">
        <f>B748*(hospitalityq!O748="")</f>
        <v>0</v>
      </c>
      <c r="P748">
        <f>B748*(hospitalityq!P748="")</f>
        <v>0</v>
      </c>
      <c r="Q748">
        <f>B748*(hospitalityq!Q748="")</f>
        <v>0</v>
      </c>
      <c r="R748">
        <f>B748*(hospitalityq!R748="")</f>
        <v>0</v>
      </c>
    </row>
    <row r="749" spans="1:18" x14ac:dyDescent="0.25">
      <c r="A749">
        <f t="shared" si="12"/>
        <v>0</v>
      </c>
      <c r="B749" t="b">
        <f>SUMPRODUCT(LEN(hospitalityq!C749:R749))&gt;0</f>
        <v>0</v>
      </c>
      <c r="C749">
        <f>B749*(hospitalityq!C749="")</f>
        <v>0</v>
      </c>
      <c r="E749">
        <f>B749*(hospitalityq!E749="")</f>
        <v>0</v>
      </c>
      <c r="F749">
        <f>B749*(hospitalityq!F749="")</f>
        <v>0</v>
      </c>
      <c r="G749">
        <f>B749*(hospitalityq!G749="")</f>
        <v>0</v>
      </c>
      <c r="H749">
        <f>B749*(hospitalityq!H749="")</f>
        <v>0</v>
      </c>
      <c r="I749">
        <f>B749*(hospitalityq!I749="")</f>
        <v>0</v>
      </c>
      <c r="J749">
        <f>B749*(hospitalityq!J749="")</f>
        <v>0</v>
      </c>
      <c r="K749">
        <f>B749*(hospitalityq!K749="")</f>
        <v>0</v>
      </c>
      <c r="L749">
        <f>B749*(hospitalityq!L749="")</f>
        <v>0</v>
      </c>
      <c r="M749">
        <f>B749*(hospitalityq!M749="")</f>
        <v>0</v>
      </c>
      <c r="N749">
        <f>B749*(hospitalityq!N749="")</f>
        <v>0</v>
      </c>
      <c r="O749">
        <f>B749*(hospitalityq!O749="")</f>
        <v>0</v>
      </c>
      <c r="P749">
        <f>B749*(hospitalityq!P749="")</f>
        <v>0</v>
      </c>
      <c r="Q749">
        <f>B749*(hospitalityq!Q749="")</f>
        <v>0</v>
      </c>
      <c r="R749">
        <f>B749*(hospitalityq!R749="")</f>
        <v>0</v>
      </c>
    </row>
    <row r="750" spans="1:18" x14ac:dyDescent="0.25">
      <c r="A750">
        <f t="shared" si="12"/>
        <v>0</v>
      </c>
      <c r="B750" t="b">
        <f>SUMPRODUCT(LEN(hospitalityq!C750:R750))&gt;0</f>
        <v>0</v>
      </c>
      <c r="C750">
        <f>B750*(hospitalityq!C750="")</f>
        <v>0</v>
      </c>
      <c r="E750">
        <f>B750*(hospitalityq!E750="")</f>
        <v>0</v>
      </c>
      <c r="F750">
        <f>B750*(hospitalityq!F750="")</f>
        <v>0</v>
      </c>
      <c r="G750">
        <f>B750*(hospitalityq!G750="")</f>
        <v>0</v>
      </c>
      <c r="H750">
        <f>B750*(hospitalityq!H750="")</f>
        <v>0</v>
      </c>
      <c r="I750">
        <f>B750*(hospitalityq!I750="")</f>
        <v>0</v>
      </c>
      <c r="J750">
        <f>B750*(hospitalityq!J750="")</f>
        <v>0</v>
      </c>
      <c r="K750">
        <f>B750*(hospitalityq!K750="")</f>
        <v>0</v>
      </c>
      <c r="L750">
        <f>B750*(hospitalityq!L750="")</f>
        <v>0</v>
      </c>
      <c r="M750">
        <f>B750*(hospitalityq!M750="")</f>
        <v>0</v>
      </c>
      <c r="N750">
        <f>B750*(hospitalityq!N750="")</f>
        <v>0</v>
      </c>
      <c r="O750">
        <f>B750*(hospitalityq!O750="")</f>
        <v>0</v>
      </c>
      <c r="P750">
        <f>B750*(hospitalityq!P750="")</f>
        <v>0</v>
      </c>
      <c r="Q750">
        <f>B750*(hospitalityq!Q750="")</f>
        <v>0</v>
      </c>
      <c r="R750">
        <f>B750*(hospitalityq!R750="")</f>
        <v>0</v>
      </c>
    </row>
    <row r="751" spans="1:18" x14ac:dyDescent="0.25">
      <c r="A751">
        <f t="shared" si="12"/>
        <v>0</v>
      </c>
      <c r="B751" t="b">
        <f>SUMPRODUCT(LEN(hospitalityq!C751:R751))&gt;0</f>
        <v>0</v>
      </c>
      <c r="C751">
        <f>B751*(hospitalityq!C751="")</f>
        <v>0</v>
      </c>
      <c r="E751">
        <f>B751*(hospitalityq!E751="")</f>
        <v>0</v>
      </c>
      <c r="F751">
        <f>B751*(hospitalityq!F751="")</f>
        <v>0</v>
      </c>
      <c r="G751">
        <f>B751*(hospitalityq!G751="")</f>
        <v>0</v>
      </c>
      <c r="H751">
        <f>B751*(hospitalityq!H751="")</f>
        <v>0</v>
      </c>
      <c r="I751">
        <f>B751*(hospitalityq!I751="")</f>
        <v>0</v>
      </c>
      <c r="J751">
        <f>B751*(hospitalityq!J751="")</f>
        <v>0</v>
      </c>
      <c r="K751">
        <f>B751*(hospitalityq!K751="")</f>
        <v>0</v>
      </c>
      <c r="L751">
        <f>B751*(hospitalityq!L751="")</f>
        <v>0</v>
      </c>
      <c r="M751">
        <f>B751*(hospitalityq!M751="")</f>
        <v>0</v>
      </c>
      <c r="N751">
        <f>B751*(hospitalityq!N751="")</f>
        <v>0</v>
      </c>
      <c r="O751">
        <f>B751*(hospitalityq!O751="")</f>
        <v>0</v>
      </c>
      <c r="P751">
        <f>B751*(hospitalityq!P751="")</f>
        <v>0</v>
      </c>
      <c r="Q751">
        <f>B751*(hospitalityq!Q751="")</f>
        <v>0</v>
      </c>
      <c r="R751">
        <f>B751*(hospitalityq!R751="")</f>
        <v>0</v>
      </c>
    </row>
    <row r="752" spans="1:18" x14ac:dyDescent="0.25">
      <c r="A752">
        <f t="shared" si="12"/>
        <v>0</v>
      </c>
      <c r="B752" t="b">
        <f>SUMPRODUCT(LEN(hospitalityq!C752:R752))&gt;0</f>
        <v>0</v>
      </c>
      <c r="C752">
        <f>B752*(hospitalityq!C752="")</f>
        <v>0</v>
      </c>
      <c r="E752">
        <f>B752*(hospitalityq!E752="")</f>
        <v>0</v>
      </c>
      <c r="F752">
        <f>B752*(hospitalityq!F752="")</f>
        <v>0</v>
      </c>
      <c r="G752">
        <f>B752*(hospitalityq!G752="")</f>
        <v>0</v>
      </c>
      <c r="H752">
        <f>B752*(hospitalityq!H752="")</f>
        <v>0</v>
      </c>
      <c r="I752">
        <f>B752*(hospitalityq!I752="")</f>
        <v>0</v>
      </c>
      <c r="J752">
        <f>B752*(hospitalityq!J752="")</f>
        <v>0</v>
      </c>
      <c r="K752">
        <f>B752*(hospitalityq!K752="")</f>
        <v>0</v>
      </c>
      <c r="L752">
        <f>B752*(hospitalityq!L752="")</f>
        <v>0</v>
      </c>
      <c r="M752">
        <f>B752*(hospitalityq!M752="")</f>
        <v>0</v>
      </c>
      <c r="N752">
        <f>B752*(hospitalityq!N752="")</f>
        <v>0</v>
      </c>
      <c r="O752">
        <f>B752*(hospitalityq!O752="")</f>
        <v>0</v>
      </c>
      <c r="P752">
        <f>B752*(hospitalityq!P752="")</f>
        <v>0</v>
      </c>
      <c r="Q752">
        <f>B752*(hospitalityq!Q752="")</f>
        <v>0</v>
      </c>
      <c r="R752">
        <f>B752*(hospitalityq!R752="")</f>
        <v>0</v>
      </c>
    </row>
    <row r="753" spans="1:18" x14ac:dyDescent="0.25">
      <c r="A753">
        <f t="shared" si="12"/>
        <v>0</v>
      </c>
      <c r="B753" t="b">
        <f>SUMPRODUCT(LEN(hospitalityq!C753:R753))&gt;0</f>
        <v>0</v>
      </c>
      <c r="C753">
        <f>B753*(hospitalityq!C753="")</f>
        <v>0</v>
      </c>
      <c r="E753">
        <f>B753*(hospitalityq!E753="")</f>
        <v>0</v>
      </c>
      <c r="F753">
        <f>B753*(hospitalityq!F753="")</f>
        <v>0</v>
      </c>
      <c r="G753">
        <f>B753*(hospitalityq!G753="")</f>
        <v>0</v>
      </c>
      <c r="H753">
        <f>B753*(hospitalityq!H753="")</f>
        <v>0</v>
      </c>
      <c r="I753">
        <f>B753*(hospitalityq!I753="")</f>
        <v>0</v>
      </c>
      <c r="J753">
        <f>B753*(hospitalityq!J753="")</f>
        <v>0</v>
      </c>
      <c r="K753">
        <f>B753*(hospitalityq!K753="")</f>
        <v>0</v>
      </c>
      <c r="L753">
        <f>B753*(hospitalityq!L753="")</f>
        <v>0</v>
      </c>
      <c r="M753">
        <f>B753*(hospitalityq!M753="")</f>
        <v>0</v>
      </c>
      <c r="N753">
        <f>B753*(hospitalityq!N753="")</f>
        <v>0</v>
      </c>
      <c r="O753">
        <f>B753*(hospitalityq!O753="")</f>
        <v>0</v>
      </c>
      <c r="P753">
        <f>B753*(hospitalityq!P753="")</f>
        <v>0</v>
      </c>
      <c r="Q753">
        <f>B753*(hospitalityq!Q753="")</f>
        <v>0</v>
      </c>
      <c r="R753">
        <f>B753*(hospitalityq!R753="")</f>
        <v>0</v>
      </c>
    </row>
    <row r="754" spans="1:18" x14ac:dyDescent="0.25">
      <c r="A754">
        <f t="shared" si="12"/>
        <v>0</v>
      </c>
      <c r="B754" t="b">
        <f>SUMPRODUCT(LEN(hospitalityq!C754:R754))&gt;0</f>
        <v>0</v>
      </c>
      <c r="C754">
        <f>B754*(hospitalityq!C754="")</f>
        <v>0</v>
      </c>
      <c r="E754">
        <f>B754*(hospitalityq!E754="")</f>
        <v>0</v>
      </c>
      <c r="F754">
        <f>B754*(hospitalityq!F754="")</f>
        <v>0</v>
      </c>
      <c r="G754">
        <f>B754*(hospitalityq!G754="")</f>
        <v>0</v>
      </c>
      <c r="H754">
        <f>B754*(hospitalityq!H754="")</f>
        <v>0</v>
      </c>
      <c r="I754">
        <f>B754*(hospitalityq!I754="")</f>
        <v>0</v>
      </c>
      <c r="J754">
        <f>B754*(hospitalityq!J754="")</f>
        <v>0</v>
      </c>
      <c r="K754">
        <f>B754*(hospitalityq!K754="")</f>
        <v>0</v>
      </c>
      <c r="L754">
        <f>B754*(hospitalityq!L754="")</f>
        <v>0</v>
      </c>
      <c r="M754">
        <f>B754*(hospitalityq!M754="")</f>
        <v>0</v>
      </c>
      <c r="N754">
        <f>B754*(hospitalityq!N754="")</f>
        <v>0</v>
      </c>
      <c r="O754">
        <f>B754*(hospitalityq!O754="")</f>
        <v>0</v>
      </c>
      <c r="P754">
        <f>B754*(hospitalityq!P754="")</f>
        <v>0</v>
      </c>
      <c r="Q754">
        <f>B754*(hospitalityq!Q754="")</f>
        <v>0</v>
      </c>
      <c r="R754">
        <f>B754*(hospitalityq!R754="")</f>
        <v>0</v>
      </c>
    </row>
    <row r="755" spans="1:18" x14ac:dyDescent="0.25">
      <c r="A755">
        <f t="shared" si="12"/>
        <v>0</v>
      </c>
      <c r="B755" t="b">
        <f>SUMPRODUCT(LEN(hospitalityq!C755:R755))&gt;0</f>
        <v>0</v>
      </c>
      <c r="C755">
        <f>B755*(hospitalityq!C755="")</f>
        <v>0</v>
      </c>
      <c r="E755">
        <f>B755*(hospitalityq!E755="")</f>
        <v>0</v>
      </c>
      <c r="F755">
        <f>B755*(hospitalityq!F755="")</f>
        <v>0</v>
      </c>
      <c r="G755">
        <f>B755*(hospitalityq!G755="")</f>
        <v>0</v>
      </c>
      <c r="H755">
        <f>B755*(hospitalityq!H755="")</f>
        <v>0</v>
      </c>
      <c r="I755">
        <f>B755*(hospitalityq!I755="")</f>
        <v>0</v>
      </c>
      <c r="J755">
        <f>B755*(hospitalityq!J755="")</f>
        <v>0</v>
      </c>
      <c r="K755">
        <f>B755*(hospitalityq!K755="")</f>
        <v>0</v>
      </c>
      <c r="L755">
        <f>B755*(hospitalityq!L755="")</f>
        <v>0</v>
      </c>
      <c r="M755">
        <f>B755*(hospitalityq!M755="")</f>
        <v>0</v>
      </c>
      <c r="N755">
        <f>B755*(hospitalityq!N755="")</f>
        <v>0</v>
      </c>
      <c r="O755">
        <f>B755*(hospitalityq!O755="")</f>
        <v>0</v>
      </c>
      <c r="P755">
        <f>B755*(hospitalityq!P755="")</f>
        <v>0</v>
      </c>
      <c r="Q755">
        <f>B755*(hospitalityq!Q755="")</f>
        <v>0</v>
      </c>
      <c r="R755">
        <f>B755*(hospitalityq!R755="")</f>
        <v>0</v>
      </c>
    </row>
    <row r="756" spans="1:18" x14ac:dyDescent="0.25">
      <c r="A756">
        <f t="shared" si="12"/>
        <v>0</v>
      </c>
      <c r="B756" t="b">
        <f>SUMPRODUCT(LEN(hospitalityq!C756:R756))&gt;0</f>
        <v>0</v>
      </c>
      <c r="C756">
        <f>B756*(hospitalityq!C756="")</f>
        <v>0</v>
      </c>
      <c r="E756">
        <f>B756*(hospitalityq!E756="")</f>
        <v>0</v>
      </c>
      <c r="F756">
        <f>B756*(hospitalityq!F756="")</f>
        <v>0</v>
      </c>
      <c r="G756">
        <f>B756*(hospitalityq!G756="")</f>
        <v>0</v>
      </c>
      <c r="H756">
        <f>B756*(hospitalityq!H756="")</f>
        <v>0</v>
      </c>
      <c r="I756">
        <f>B756*(hospitalityq!I756="")</f>
        <v>0</v>
      </c>
      <c r="J756">
        <f>B756*(hospitalityq!J756="")</f>
        <v>0</v>
      </c>
      <c r="K756">
        <f>B756*(hospitalityq!K756="")</f>
        <v>0</v>
      </c>
      <c r="L756">
        <f>B756*(hospitalityq!L756="")</f>
        <v>0</v>
      </c>
      <c r="M756">
        <f>B756*(hospitalityq!M756="")</f>
        <v>0</v>
      </c>
      <c r="N756">
        <f>B756*(hospitalityq!N756="")</f>
        <v>0</v>
      </c>
      <c r="O756">
        <f>B756*(hospitalityq!O756="")</f>
        <v>0</v>
      </c>
      <c r="P756">
        <f>B756*(hospitalityq!P756="")</f>
        <v>0</v>
      </c>
      <c r="Q756">
        <f>B756*(hospitalityq!Q756="")</f>
        <v>0</v>
      </c>
      <c r="R756">
        <f>B756*(hospitalityq!R756="")</f>
        <v>0</v>
      </c>
    </row>
    <row r="757" spans="1:18" x14ac:dyDescent="0.25">
      <c r="A757">
        <f t="shared" si="12"/>
        <v>0</v>
      </c>
      <c r="B757" t="b">
        <f>SUMPRODUCT(LEN(hospitalityq!C757:R757))&gt;0</f>
        <v>0</v>
      </c>
      <c r="C757">
        <f>B757*(hospitalityq!C757="")</f>
        <v>0</v>
      </c>
      <c r="E757">
        <f>B757*(hospitalityq!E757="")</f>
        <v>0</v>
      </c>
      <c r="F757">
        <f>B757*(hospitalityq!F757="")</f>
        <v>0</v>
      </c>
      <c r="G757">
        <f>B757*(hospitalityq!G757="")</f>
        <v>0</v>
      </c>
      <c r="H757">
        <f>B757*(hospitalityq!H757="")</f>
        <v>0</v>
      </c>
      <c r="I757">
        <f>B757*(hospitalityq!I757="")</f>
        <v>0</v>
      </c>
      <c r="J757">
        <f>B757*(hospitalityq!J757="")</f>
        <v>0</v>
      </c>
      <c r="K757">
        <f>B757*(hospitalityq!K757="")</f>
        <v>0</v>
      </c>
      <c r="L757">
        <f>B757*(hospitalityq!L757="")</f>
        <v>0</v>
      </c>
      <c r="M757">
        <f>B757*(hospitalityq!M757="")</f>
        <v>0</v>
      </c>
      <c r="N757">
        <f>B757*(hospitalityq!N757="")</f>
        <v>0</v>
      </c>
      <c r="O757">
        <f>B757*(hospitalityq!O757="")</f>
        <v>0</v>
      </c>
      <c r="P757">
        <f>B757*(hospitalityq!P757="")</f>
        <v>0</v>
      </c>
      <c r="Q757">
        <f>B757*(hospitalityq!Q757="")</f>
        <v>0</v>
      </c>
      <c r="R757">
        <f>B757*(hospitalityq!R757="")</f>
        <v>0</v>
      </c>
    </row>
    <row r="758" spans="1:18" x14ac:dyDescent="0.25">
      <c r="A758">
        <f t="shared" si="12"/>
        <v>0</v>
      </c>
      <c r="B758" t="b">
        <f>SUMPRODUCT(LEN(hospitalityq!C758:R758))&gt;0</f>
        <v>0</v>
      </c>
      <c r="C758">
        <f>B758*(hospitalityq!C758="")</f>
        <v>0</v>
      </c>
      <c r="E758">
        <f>B758*(hospitalityq!E758="")</f>
        <v>0</v>
      </c>
      <c r="F758">
        <f>B758*(hospitalityq!F758="")</f>
        <v>0</v>
      </c>
      <c r="G758">
        <f>B758*(hospitalityq!G758="")</f>
        <v>0</v>
      </c>
      <c r="H758">
        <f>B758*(hospitalityq!H758="")</f>
        <v>0</v>
      </c>
      <c r="I758">
        <f>B758*(hospitalityq!I758="")</f>
        <v>0</v>
      </c>
      <c r="J758">
        <f>B758*(hospitalityq!J758="")</f>
        <v>0</v>
      </c>
      <c r="K758">
        <f>B758*(hospitalityq!K758="")</f>
        <v>0</v>
      </c>
      <c r="L758">
        <f>B758*(hospitalityq!L758="")</f>
        <v>0</v>
      </c>
      <c r="M758">
        <f>B758*(hospitalityq!M758="")</f>
        <v>0</v>
      </c>
      <c r="N758">
        <f>B758*(hospitalityq!N758="")</f>
        <v>0</v>
      </c>
      <c r="O758">
        <f>B758*(hospitalityq!O758="")</f>
        <v>0</v>
      </c>
      <c r="P758">
        <f>B758*(hospitalityq!P758="")</f>
        <v>0</v>
      </c>
      <c r="Q758">
        <f>B758*(hospitalityq!Q758="")</f>
        <v>0</v>
      </c>
      <c r="R758">
        <f>B758*(hospitalityq!R758="")</f>
        <v>0</v>
      </c>
    </row>
    <row r="759" spans="1:18" x14ac:dyDescent="0.25">
      <c r="A759">
        <f t="shared" si="12"/>
        <v>0</v>
      </c>
      <c r="B759" t="b">
        <f>SUMPRODUCT(LEN(hospitalityq!C759:R759))&gt;0</f>
        <v>0</v>
      </c>
      <c r="C759">
        <f>B759*(hospitalityq!C759="")</f>
        <v>0</v>
      </c>
      <c r="E759">
        <f>B759*(hospitalityq!E759="")</f>
        <v>0</v>
      </c>
      <c r="F759">
        <f>B759*(hospitalityq!F759="")</f>
        <v>0</v>
      </c>
      <c r="G759">
        <f>B759*(hospitalityq!G759="")</f>
        <v>0</v>
      </c>
      <c r="H759">
        <f>B759*(hospitalityq!H759="")</f>
        <v>0</v>
      </c>
      <c r="I759">
        <f>B759*(hospitalityq!I759="")</f>
        <v>0</v>
      </c>
      <c r="J759">
        <f>B759*(hospitalityq!J759="")</f>
        <v>0</v>
      </c>
      <c r="K759">
        <f>B759*(hospitalityq!K759="")</f>
        <v>0</v>
      </c>
      <c r="L759">
        <f>B759*(hospitalityq!L759="")</f>
        <v>0</v>
      </c>
      <c r="M759">
        <f>B759*(hospitalityq!M759="")</f>
        <v>0</v>
      </c>
      <c r="N759">
        <f>B759*(hospitalityq!N759="")</f>
        <v>0</v>
      </c>
      <c r="O759">
        <f>B759*(hospitalityq!O759="")</f>
        <v>0</v>
      </c>
      <c r="P759">
        <f>B759*(hospitalityq!P759="")</f>
        <v>0</v>
      </c>
      <c r="Q759">
        <f>B759*(hospitalityq!Q759="")</f>
        <v>0</v>
      </c>
      <c r="R759">
        <f>B759*(hospitalityq!R759="")</f>
        <v>0</v>
      </c>
    </row>
    <row r="760" spans="1:18" x14ac:dyDescent="0.25">
      <c r="A760">
        <f t="shared" si="12"/>
        <v>0</v>
      </c>
      <c r="B760" t="b">
        <f>SUMPRODUCT(LEN(hospitalityq!C760:R760))&gt;0</f>
        <v>0</v>
      </c>
      <c r="C760">
        <f>B760*(hospitalityq!C760="")</f>
        <v>0</v>
      </c>
      <c r="E760">
        <f>B760*(hospitalityq!E760="")</f>
        <v>0</v>
      </c>
      <c r="F760">
        <f>B760*(hospitalityq!F760="")</f>
        <v>0</v>
      </c>
      <c r="G760">
        <f>B760*(hospitalityq!G760="")</f>
        <v>0</v>
      </c>
      <c r="H760">
        <f>B760*(hospitalityq!H760="")</f>
        <v>0</v>
      </c>
      <c r="I760">
        <f>B760*(hospitalityq!I760="")</f>
        <v>0</v>
      </c>
      <c r="J760">
        <f>B760*(hospitalityq!J760="")</f>
        <v>0</v>
      </c>
      <c r="K760">
        <f>B760*(hospitalityq!K760="")</f>
        <v>0</v>
      </c>
      <c r="L760">
        <f>B760*(hospitalityq!L760="")</f>
        <v>0</v>
      </c>
      <c r="M760">
        <f>B760*(hospitalityq!M760="")</f>
        <v>0</v>
      </c>
      <c r="N760">
        <f>B760*(hospitalityq!N760="")</f>
        <v>0</v>
      </c>
      <c r="O760">
        <f>B760*(hospitalityq!O760="")</f>
        <v>0</v>
      </c>
      <c r="P760">
        <f>B760*(hospitalityq!P760="")</f>
        <v>0</v>
      </c>
      <c r="Q760">
        <f>B760*(hospitalityq!Q760="")</f>
        <v>0</v>
      </c>
      <c r="R760">
        <f>B760*(hospitalityq!R760="")</f>
        <v>0</v>
      </c>
    </row>
    <row r="761" spans="1:18" x14ac:dyDescent="0.25">
      <c r="A761">
        <f t="shared" si="12"/>
        <v>0</v>
      </c>
      <c r="B761" t="b">
        <f>SUMPRODUCT(LEN(hospitalityq!C761:R761))&gt;0</f>
        <v>0</v>
      </c>
      <c r="C761">
        <f>B761*(hospitalityq!C761="")</f>
        <v>0</v>
      </c>
      <c r="E761">
        <f>B761*(hospitalityq!E761="")</f>
        <v>0</v>
      </c>
      <c r="F761">
        <f>B761*(hospitalityq!F761="")</f>
        <v>0</v>
      </c>
      <c r="G761">
        <f>B761*(hospitalityq!G761="")</f>
        <v>0</v>
      </c>
      <c r="H761">
        <f>B761*(hospitalityq!H761="")</f>
        <v>0</v>
      </c>
      <c r="I761">
        <f>B761*(hospitalityq!I761="")</f>
        <v>0</v>
      </c>
      <c r="J761">
        <f>B761*(hospitalityq!J761="")</f>
        <v>0</v>
      </c>
      <c r="K761">
        <f>B761*(hospitalityq!K761="")</f>
        <v>0</v>
      </c>
      <c r="L761">
        <f>B761*(hospitalityq!L761="")</f>
        <v>0</v>
      </c>
      <c r="M761">
        <f>B761*(hospitalityq!M761="")</f>
        <v>0</v>
      </c>
      <c r="N761">
        <f>B761*(hospitalityq!N761="")</f>
        <v>0</v>
      </c>
      <c r="O761">
        <f>B761*(hospitalityq!O761="")</f>
        <v>0</v>
      </c>
      <c r="P761">
        <f>B761*(hospitalityq!P761="")</f>
        <v>0</v>
      </c>
      <c r="Q761">
        <f>B761*(hospitalityq!Q761="")</f>
        <v>0</v>
      </c>
      <c r="R761">
        <f>B761*(hospitalityq!R761="")</f>
        <v>0</v>
      </c>
    </row>
    <row r="762" spans="1:18" x14ac:dyDescent="0.25">
      <c r="A762">
        <f t="shared" si="12"/>
        <v>0</v>
      </c>
      <c r="B762" t="b">
        <f>SUMPRODUCT(LEN(hospitalityq!C762:R762))&gt;0</f>
        <v>0</v>
      </c>
      <c r="C762">
        <f>B762*(hospitalityq!C762="")</f>
        <v>0</v>
      </c>
      <c r="E762">
        <f>B762*(hospitalityq!E762="")</f>
        <v>0</v>
      </c>
      <c r="F762">
        <f>B762*(hospitalityq!F762="")</f>
        <v>0</v>
      </c>
      <c r="G762">
        <f>B762*(hospitalityq!G762="")</f>
        <v>0</v>
      </c>
      <c r="H762">
        <f>B762*(hospitalityq!H762="")</f>
        <v>0</v>
      </c>
      <c r="I762">
        <f>B762*(hospitalityq!I762="")</f>
        <v>0</v>
      </c>
      <c r="J762">
        <f>B762*(hospitalityq!J762="")</f>
        <v>0</v>
      </c>
      <c r="K762">
        <f>B762*(hospitalityq!K762="")</f>
        <v>0</v>
      </c>
      <c r="L762">
        <f>B762*(hospitalityq!L762="")</f>
        <v>0</v>
      </c>
      <c r="M762">
        <f>B762*(hospitalityq!M762="")</f>
        <v>0</v>
      </c>
      <c r="N762">
        <f>B762*(hospitalityq!N762="")</f>
        <v>0</v>
      </c>
      <c r="O762">
        <f>B762*(hospitalityq!O762="")</f>
        <v>0</v>
      </c>
      <c r="P762">
        <f>B762*(hospitalityq!P762="")</f>
        <v>0</v>
      </c>
      <c r="Q762">
        <f>B762*(hospitalityq!Q762="")</f>
        <v>0</v>
      </c>
      <c r="R762">
        <f>B762*(hospitalityq!R762="")</f>
        <v>0</v>
      </c>
    </row>
    <row r="763" spans="1:18" x14ac:dyDescent="0.25">
      <c r="A763">
        <f t="shared" si="12"/>
        <v>0</v>
      </c>
      <c r="B763" t="b">
        <f>SUMPRODUCT(LEN(hospitalityq!C763:R763))&gt;0</f>
        <v>0</v>
      </c>
      <c r="C763">
        <f>B763*(hospitalityq!C763="")</f>
        <v>0</v>
      </c>
      <c r="E763">
        <f>B763*(hospitalityq!E763="")</f>
        <v>0</v>
      </c>
      <c r="F763">
        <f>B763*(hospitalityq!F763="")</f>
        <v>0</v>
      </c>
      <c r="G763">
        <f>B763*(hospitalityq!G763="")</f>
        <v>0</v>
      </c>
      <c r="H763">
        <f>B763*(hospitalityq!H763="")</f>
        <v>0</v>
      </c>
      <c r="I763">
        <f>B763*(hospitalityq!I763="")</f>
        <v>0</v>
      </c>
      <c r="J763">
        <f>B763*(hospitalityq!J763="")</f>
        <v>0</v>
      </c>
      <c r="K763">
        <f>B763*(hospitalityq!K763="")</f>
        <v>0</v>
      </c>
      <c r="L763">
        <f>B763*(hospitalityq!L763="")</f>
        <v>0</v>
      </c>
      <c r="M763">
        <f>B763*(hospitalityq!M763="")</f>
        <v>0</v>
      </c>
      <c r="N763">
        <f>B763*(hospitalityq!N763="")</f>
        <v>0</v>
      </c>
      <c r="O763">
        <f>B763*(hospitalityq!O763="")</f>
        <v>0</v>
      </c>
      <c r="P763">
        <f>B763*(hospitalityq!P763="")</f>
        <v>0</v>
      </c>
      <c r="Q763">
        <f>B763*(hospitalityq!Q763="")</f>
        <v>0</v>
      </c>
      <c r="R763">
        <f>B763*(hospitalityq!R763="")</f>
        <v>0</v>
      </c>
    </row>
    <row r="764" spans="1:18" x14ac:dyDescent="0.25">
      <c r="A764">
        <f t="shared" si="12"/>
        <v>0</v>
      </c>
      <c r="B764" t="b">
        <f>SUMPRODUCT(LEN(hospitalityq!C764:R764))&gt;0</f>
        <v>0</v>
      </c>
      <c r="C764">
        <f>B764*(hospitalityq!C764="")</f>
        <v>0</v>
      </c>
      <c r="E764">
        <f>B764*(hospitalityq!E764="")</f>
        <v>0</v>
      </c>
      <c r="F764">
        <f>B764*(hospitalityq!F764="")</f>
        <v>0</v>
      </c>
      <c r="G764">
        <f>B764*(hospitalityq!G764="")</f>
        <v>0</v>
      </c>
      <c r="H764">
        <f>B764*(hospitalityq!H764="")</f>
        <v>0</v>
      </c>
      <c r="I764">
        <f>B764*(hospitalityq!I764="")</f>
        <v>0</v>
      </c>
      <c r="J764">
        <f>B764*(hospitalityq!J764="")</f>
        <v>0</v>
      </c>
      <c r="K764">
        <f>B764*(hospitalityq!K764="")</f>
        <v>0</v>
      </c>
      <c r="L764">
        <f>B764*(hospitalityq!L764="")</f>
        <v>0</v>
      </c>
      <c r="M764">
        <f>B764*(hospitalityq!M764="")</f>
        <v>0</v>
      </c>
      <c r="N764">
        <f>B764*(hospitalityq!N764="")</f>
        <v>0</v>
      </c>
      <c r="O764">
        <f>B764*(hospitalityq!O764="")</f>
        <v>0</v>
      </c>
      <c r="P764">
        <f>B764*(hospitalityq!P764="")</f>
        <v>0</v>
      </c>
      <c r="Q764">
        <f>B764*(hospitalityq!Q764="")</f>
        <v>0</v>
      </c>
      <c r="R764">
        <f>B764*(hospitalityq!R764="")</f>
        <v>0</v>
      </c>
    </row>
    <row r="765" spans="1:18" x14ac:dyDescent="0.25">
      <c r="A765">
        <f t="shared" si="12"/>
        <v>0</v>
      </c>
      <c r="B765" t="b">
        <f>SUMPRODUCT(LEN(hospitalityq!C765:R765))&gt;0</f>
        <v>0</v>
      </c>
      <c r="C765">
        <f>B765*(hospitalityq!C765="")</f>
        <v>0</v>
      </c>
      <c r="E765">
        <f>B765*(hospitalityq!E765="")</f>
        <v>0</v>
      </c>
      <c r="F765">
        <f>B765*(hospitalityq!F765="")</f>
        <v>0</v>
      </c>
      <c r="G765">
        <f>B765*(hospitalityq!G765="")</f>
        <v>0</v>
      </c>
      <c r="H765">
        <f>B765*(hospitalityq!H765="")</f>
        <v>0</v>
      </c>
      <c r="I765">
        <f>B765*(hospitalityq!I765="")</f>
        <v>0</v>
      </c>
      <c r="J765">
        <f>B765*(hospitalityq!J765="")</f>
        <v>0</v>
      </c>
      <c r="K765">
        <f>B765*(hospitalityq!K765="")</f>
        <v>0</v>
      </c>
      <c r="L765">
        <f>B765*(hospitalityq!L765="")</f>
        <v>0</v>
      </c>
      <c r="M765">
        <f>B765*(hospitalityq!M765="")</f>
        <v>0</v>
      </c>
      <c r="N765">
        <f>B765*(hospitalityq!N765="")</f>
        <v>0</v>
      </c>
      <c r="O765">
        <f>B765*(hospitalityq!O765="")</f>
        <v>0</v>
      </c>
      <c r="P765">
        <f>B765*(hospitalityq!P765="")</f>
        <v>0</v>
      </c>
      <c r="Q765">
        <f>B765*(hospitalityq!Q765="")</f>
        <v>0</v>
      </c>
      <c r="R765">
        <f>B765*(hospitalityq!R765="")</f>
        <v>0</v>
      </c>
    </row>
    <row r="766" spans="1:18" x14ac:dyDescent="0.25">
      <c r="A766">
        <f t="shared" si="12"/>
        <v>0</v>
      </c>
      <c r="B766" t="b">
        <f>SUMPRODUCT(LEN(hospitalityq!C766:R766))&gt;0</f>
        <v>0</v>
      </c>
      <c r="C766">
        <f>B766*(hospitalityq!C766="")</f>
        <v>0</v>
      </c>
      <c r="E766">
        <f>B766*(hospitalityq!E766="")</f>
        <v>0</v>
      </c>
      <c r="F766">
        <f>B766*(hospitalityq!F766="")</f>
        <v>0</v>
      </c>
      <c r="G766">
        <f>B766*(hospitalityq!G766="")</f>
        <v>0</v>
      </c>
      <c r="H766">
        <f>B766*(hospitalityq!H766="")</f>
        <v>0</v>
      </c>
      <c r="I766">
        <f>B766*(hospitalityq!I766="")</f>
        <v>0</v>
      </c>
      <c r="J766">
        <f>B766*(hospitalityq!J766="")</f>
        <v>0</v>
      </c>
      <c r="K766">
        <f>B766*(hospitalityq!K766="")</f>
        <v>0</v>
      </c>
      <c r="L766">
        <f>B766*(hospitalityq!L766="")</f>
        <v>0</v>
      </c>
      <c r="M766">
        <f>B766*(hospitalityq!M766="")</f>
        <v>0</v>
      </c>
      <c r="N766">
        <f>B766*(hospitalityq!N766="")</f>
        <v>0</v>
      </c>
      <c r="O766">
        <f>B766*(hospitalityq!O766="")</f>
        <v>0</v>
      </c>
      <c r="P766">
        <f>B766*(hospitalityq!P766="")</f>
        <v>0</v>
      </c>
      <c r="Q766">
        <f>B766*(hospitalityq!Q766="")</f>
        <v>0</v>
      </c>
      <c r="R766">
        <f>B766*(hospitalityq!R766="")</f>
        <v>0</v>
      </c>
    </row>
    <row r="767" spans="1:18" x14ac:dyDescent="0.25">
      <c r="A767">
        <f t="shared" si="12"/>
        <v>0</v>
      </c>
      <c r="B767" t="b">
        <f>SUMPRODUCT(LEN(hospitalityq!C767:R767))&gt;0</f>
        <v>0</v>
      </c>
      <c r="C767">
        <f>B767*(hospitalityq!C767="")</f>
        <v>0</v>
      </c>
      <c r="E767">
        <f>B767*(hospitalityq!E767="")</f>
        <v>0</v>
      </c>
      <c r="F767">
        <f>B767*(hospitalityq!F767="")</f>
        <v>0</v>
      </c>
      <c r="G767">
        <f>B767*(hospitalityq!G767="")</f>
        <v>0</v>
      </c>
      <c r="H767">
        <f>B767*(hospitalityq!H767="")</f>
        <v>0</v>
      </c>
      <c r="I767">
        <f>B767*(hospitalityq!I767="")</f>
        <v>0</v>
      </c>
      <c r="J767">
        <f>B767*(hospitalityq!J767="")</f>
        <v>0</v>
      </c>
      <c r="K767">
        <f>B767*(hospitalityq!K767="")</f>
        <v>0</v>
      </c>
      <c r="L767">
        <f>B767*(hospitalityq!L767="")</f>
        <v>0</v>
      </c>
      <c r="M767">
        <f>B767*(hospitalityq!M767="")</f>
        <v>0</v>
      </c>
      <c r="N767">
        <f>B767*(hospitalityq!N767="")</f>
        <v>0</v>
      </c>
      <c r="O767">
        <f>B767*(hospitalityq!O767="")</f>
        <v>0</v>
      </c>
      <c r="P767">
        <f>B767*(hospitalityq!P767="")</f>
        <v>0</v>
      </c>
      <c r="Q767">
        <f>B767*(hospitalityq!Q767="")</f>
        <v>0</v>
      </c>
      <c r="R767">
        <f>B767*(hospitalityq!R767="")</f>
        <v>0</v>
      </c>
    </row>
    <row r="768" spans="1:18" x14ac:dyDescent="0.25">
      <c r="A768">
        <f t="shared" si="12"/>
        <v>0</v>
      </c>
      <c r="B768" t="b">
        <f>SUMPRODUCT(LEN(hospitalityq!C768:R768))&gt;0</f>
        <v>0</v>
      </c>
      <c r="C768">
        <f>B768*(hospitalityq!C768="")</f>
        <v>0</v>
      </c>
      <c r="E768">
        <f>B768*(hospitalityq!E768="")</f>
        <v>0</v>
      </c>
      <c r="F768">
        <f>B768*(hospitalityq!F768="")</f>
        <v>0</v>
      </c>
      <c r="G768">
        <f>B768*(hospitalityq!G768="")</f>
        <v>0</v>
      </c>
      <c r="H768">
        <f>B768*(hospitalityq!H768="")</f>
        <v>0</v>
      </c>
      <c r="I768">
        <f>B768*(hospitalityq!I768="")</f>
        <v>0</v>
      </c>
      <c r="J768">
        <f>B768*(hospitalityq!J768="")</f>
        <v>0</v>
      </c>
      <c r="K768">
        <f>B768*(hospitalityq!K768="")</f>
        <v>0</v>
      </c>
      <c r="L768">
        <f>B768*(hospitalityq!L768="")</f>
        <v>0</v>
      </c>
      <c r="M768">
        <f>B768*(hospitalityq!M768="")</f>
        <v>0</v>
      </c>
      <c r="N768">
        <f>B768*(hospitalityq!N768="")</f>
        <v>0</v>
      </c>
      <c r="O768">
        <f>B768*(hospitalityq!O768="")</f>
        <v>0</v>
      </c>
      <c r="P768">
        <f>B768*(hospitalityq!P768="")</f>
        <v>0</v>
      </c>
      <c r="Q768">
        <f>B768*(hospitalityq!Q768="")</f>
        <v>0</v>
      </c>
      <c r="R768">
        <f>B768*(hospitalityq!R768="")</f>
        <v>0</v>
      </c>
    </row>
    <row r="769" spans="1:18" x14ac:dyDescent="0.25">
      <c r="A769">
        <f t="shared" si="12"/>
        <v>0</v>
      </c>
      <c r="B769" t="b">
        <f>SUMPRODUCT(LEN(hospitalityq!C769:R769))&gt;0</f>
        <v>0</v>
      </c>
      <c r="C769">
        <f>B769*(hospitalityq!C769="")</f>
        <v>0</v>
      </c>
      <c r="E769">
        <f>B769*(hospitalityq!E769="")</f>
        <v>0</v>
      </c>
      <c r="F769">
        <f>B769*(hospitalityq!F769="")</f>
        <v>0</v>
      </c>
      <c r="G769">
        <f>B769*(hospitalityq!G769="")</f>
        <v>0</v>
      </c>
      <c r="H769">
        <f>B769*(hospitalityq!H769="")</f>
        <v>0</v>
      </c>
      <c r="I769">
        <f>B769*(hospitalityq!I769="")</f>
        <v>0</v>
      </c>
      <c r="J769">
        <f>B769*(hospitalityq!J769="")</f>
        <v>0</v>
      </c>
      <c r="K769">
        <f>B769*(hospitalityq!K769="")</f>
        <v>0</v>
      </c>
      <c r="L769">
        <f>B769*(hospitalityq!L769="")</f>
        <v>0</v>
      </c>
      <c r="M769">
        <f>B769*(hospitalityq!M769="")</f>
        <v>0</v>
      </c>
      <c r="N769">
        <f>B769*(hospitalityq!N769="")</f>
        <v>0</v>
      </c>
      <c r="O769">
        <f>B769*(hospitalityq!O769="")</f>
        <v>0</v>
      </c>
      <c r="P769">
        <f>B769*(hospitalityq!P769="")</f>
        <v>0</v>
      </c>
      <c r="Q769">
        <f>B769*(hospitalityq!Q769="")</f>
        <v>0</v>
      </c>
      <c r="R769">
        <f>B769*(hospitalityq!R769="")</f>
        <v>0</v>
      </c>
    </row>
    <row r="770" spans="1:18" x14ac:dyDescent="0.25">
      <c r="A770">
        <f t="shared" si="12"/>
        <v>0</v>
      </c>
      <c r="B770" t="b">
        <f>SUMPRODUCT(LEN(hospitalityq!C770:R770))&gt;0</f>
        <v>0</v>
      </c>
      <c r="C770">
        <f>B770*(hospitalityq!C770="")</f>
        <v>0</v>
      </c>
      <c r="E770">
        <f>B770*(hospitalityq!E770="")</f>
        <v>0</v>
      </c>
      <c r="F770">
        <f>B770*(hospitalityq!F770="")</f>
        <v>0</v>
      </c>
      <c r="G770">
        <f>B770*(hospitalityq!G770="")</f>
        <v>0</v>
      </c>
      <c r="H770">
        <f>B770*(hospitalityq!H770="")</f>
        <v>0</v>
      </c>
      <c r="I770">
        <f>B770*(hospitalityq!I770="")</f>
        <v>0</v>
      </c>
      <c r="J770">
        <f>B770*(hospitalityq!J770="")</f>
        <v>0</v>
      </c>
      <c r="K770">
        <f>B770*(hospitalityq!K770="")</f>
        <v>0</v>
      </c>
      <c r="L770">
        <f>B770*(hospitalityq!L770="")</f>
        <v>0</v>
      </c>
      <c r="M770">
        <f>B770*(hospitalityq!M770="")</f>
        <v>0</v>
      </c>
      <c r="N770">
        <f>B770*(hospitalityq!N770="")</f>
        <v>0</v>
      </c>
      <c r="O770">
        <f>B770*(hospitalityq!O770="")</f>
        <v>0</v>
      </c>
      <c r="P770">
        <f>B770*(hospitalityq!P770="")</f>
        <v>0</v>
      </c>
      <c r="Q770">
        <f>B770*(hospitalityq!Q770="")</f>
        <v>0</v>
      </c>
      <c r="R770">
        <f>B770*(hospitalityq!R770="")</f>
        <v>0</v>
      </c>
    </row>
    <row r="771" spans="1:18" x14ac:dyDescent="0.25">
      <c r="A771">
        <f t="shared" si="12"/>
        <v>0</v>
      </c>
      <c r="B771" t="b">
        <f>SUMPRODUCT(LEN(hospitalityq!C771:R771))&gt;0</f>
        <v>0</v>
      </c>
      <c r="C771">
        <f>B771*(hospitalityq!C771="")</f>
        <v>0</v>
      </c>
      <c r="E771">
        <f>B771*(hospitalityq!E771="")</f>
        <v>0</v>
      </c>
      <c r="F771">
        <f>B771*(hospitalityq!F771="")</f>
        <v>0</v>
      </c>
      <c r="G771">
        <f>B771*(hospitalityq!G771="")</f>
        <v>0</v>
      </c>
      <c r="H771">
        <f>B771*(hospitalityq!H771="")</f>
        <v>0</v>
      </c>
      <c r="I771">
        <f>B771*(hospitalityq!I771="")</f>
        <v>0</v>
      </c>
      <c r="J771">
        <f>B771*(hospitalityq!J771="")</f>
        <v>0</v>
      </c>
      <c r="K771">
        <f>B771*(hospitalityq!K771="")</f>
        <v>0</v>
      </c>
      <c r="L771">
        <f>B771*(hospitalityq!L771="")</f>
        <v>0</v>
      </c>
      <c r="M771">
        <f>B771*(hospitalityq!M771="")</f>
        <v>0</v>
      </c>
      <c r="N771">
        <f>B771*(hospitalityq!N771="")</f>
        <v>0</v>
      </c>
      <c r="O771">
        <f>B771*(hospitalityq!O771="")</f>
        <v>0</v>
      </c>
      <c r="P771">
        <f>B771*(hospitalityq!P771="")</f>
        <v>0</v>
      </c>
      <c r="Q771">
        <f>B771*(hospitalityq!Q771="")</f>
        <v>0</v>
      </c>
      <c r="R771">
        <f>B771*(hospitalityq!R771="")</f>
        <v>0</v>
      </c>
    </row>
    <row r="772" spans="1:18" x14ac:dyDescent="0.25">
      <c r="A772">
        <f t="shared" si="12"/>
        <v>0</v>
      </c>
      <c r="B772" t="b">
        <f>SUMPRODUCT(LEN(hospitalityq!C772:R772))&gt;0</f>
        <v>0</v>
      </c>
      <c r="C772">
        <f>B772*(hospitalityq!C772="")</f>
        <v>0</v>
      </c>
      <c r="E772">
        <f>B772*(hospitalityq!E772="")</f>
        <v>0</v>
      </c>
      <c r="F772">
        <f>B772*(hospitalityq!F772="")</f>
        <v>0</v>
      </c>
      <c r="G772">
        <f>B772*(hospitalityq!G772="")</f>
        <v>0</v>
      </c>
      <c r="H772">
        <f>B772*(hospitalityq!H772="")</f>
        <v>0</v>
      </c>
      <c r="I772">
        <f>B772*(hospitalityq!I772="")</f>
        <v>0</v>
      </c>
      <c r="J772">
        <f>B772*(hospitalityq!J772="")</f>
        <v>0</v>
      </c>
      <c r="K772">
        <f>B772*(hospitalityq!K772="")</f>
        <v>0</v>
      </c>
      <c r="L772">
        <f>B772*(hospitalityq!L772="")</f>
        <v>0</v>
      </c>
      <c r="M772">
        <f>B772*(hospitalityq!M772="")</f>
        <v>0</v>
      </c>
      <c r="N772">
        <f>B772*(hospitalityq!N772="")</f>
        <v>0</v>
      </c>
      <c r="O772">
        <f>B772*(hospitalityq!O772="")</f>
        <v>0</v>
      </c>
      <c r="P772">
        <f>B772*(hospitalityq!P772="")</f>
        <v>0</v>
      </c>
      <c r="Q772">
        <f>B772*(hospitalityq!Q772="")</f>
        <v>0</v>
      </c>
      <c r="R772">
        <f>B772*(hospitalityq!R772="")</f>
        <v>0</v>
      </c>
    </row>
    <row r="773" spans="1:18" x14ac:dyDescent="0.25">
      <c r="A773">
        <f t="shared" si="12"/>
        <v>0</v>
      </c>
      <c r="B773" t="b">
        <f>SUMPRODUCT(LEN(hospitalityq!C773:R773))&gt;0</f>
        <v>0</v>
      </c>
      <c r="C773">
        <f>B773*(hospitalityq!C773="")</f>
        <v>0</v>
      </c>
      <c r="E773">
        <f>B773*(hospitalityq!E773="")</f>
        <v>0</v>
      </c>
      <c r="F773">
        <f>B773*(hospitalityq!F773="")</f>
        <v>0</v>
      </c>
      <c r="G773">
        <f>B773*(hospitalityq!G773="")</f>
        <v>0</v>
      </c>
      <c r="H773">
        <f>B773*(hospitalityq!H773="")</f>
        <v>0</v>
      </c>
      <c r="I773">
        <f>B773*(hospitalityq!I773="")</f>
        <v>0</v>
      </c>
      <c r="J773">
        <f>B773*(hospitalityq!J773="")</f>
        <v>0</v>
      </c>
      <c r="K773">
        <f>B773*(hospitalityq!K773="")</f>
        <v>0</v>
      </c>
      <c r="L773">
        <f>B773*(hospitalityq!L773="")</f>
        <v>0</v>
      </c>
      <c r="M773">
        <f>B773*(hospitalityq!M773="")</f>
        <v>0</v>
      </c>
      <c r="N773">
        <f>B773*(hospitalityq!N773="")</f>
        <v>0</v>
      </c>
      <c r="O773">
        <f>B773*(hospitalityq!O773="")</f>
        <v>0</v>
      </c>
      <c r="P773">
        <f>B773*(hospitalityq!P773="")</f>
        <v>0</v>
      </c>
      <c r="Q773">
        <f>B773*(hospitalityq!Q773="")</f>
        <v>0</v>
      </c>
      <c r="R773">
        <f>B773*(hospitalityq!R773="")</f>
        <v>0</v>
      </c>
    </row>
    <row r="774" spans="1:18" x14ac:dyDescent="0.25">
      <c r="A774">
        <f t="shared" ref="A774:A837" si="13">IFERROR(MATCH(TRUE,INDEX(C774:R774&lt;&gt;0,),)+2,0)</f>
        <v>0</v>
      </c>
      <c r="B774" t="b">
        <f>SUMPRODUCT(LEN(hospitalityq!C774:R774))&gt;0</f>
        <v>0</v>
      </c>
      <c r="C774">
        <f>B774*(hospitalityq!C774="")</f>
        <v>0</v>
      </c>
      <c r="E774">
        <f>B774*(hospitalityq!E774="")</f>
        <v>0</v>
      </c>
      <c r="F774">
        <f>B774*(hospitalityq!F774="")</f>
        <v>0</v>
      </c>
      <c r="G774">
        <f>B774*(hospitalityq!G774="")</f>
        <v>0</v>
      </c>
      <c r="H774">
        <f>B774*(hospitalityq!H774="")</f>
        <v>0</v>
      </c>
      <c r="I774">
        <f>B774*(hospitalityq!I774="")</f>
        <v>0</v>
      </c>
      <c r="J774">
        <f>B774*(hospitalityq!J774="")</f>
        <v>0</v>
      </c>
      <c r="K774">
        <f>B774*(hospitalityq!K774="")</f>
        <v>0</v>
      </c>
      <c r="L774">
        <f>B774*(hospitalityq!L774="")</f>
        <v>0</v>
      </c>
      <c r="M774">
        <f>B774*(hospitalityq!M774="")</f>
        <v>0</v>
      </c>
      <c r="N774">
        <f>B774*(hospitalityq!N774="")</f>
        <v>0</v>
      </c>
      <c r="O774">
        <f>B774*(hospitalityq!O774="")</f>
        <v>0</v>
      </c>
      <c r="P774">
        <f>B774*(hospitalityq!P774="")</f>
        <v>0</v>
      </c>
      <c r="Q774">
        <f>B774*(hospitalityq!Q774="")</f>
        <v>0</v>
      </c>
      <c r="R774">
        <f>B774*(hospitalityq!R774="")</f>
        <v>0</v>
      </c>
    </row>
    <row r="775" spans="1:18" x14ac:dyDescent="0.25">
      <c r="A775">
        <f t="shared" si="13"/>
        <v>0</v>
      </c>
      <c r="B775" t="b">
        <f>SUMPRODUCT(LEN(hospitalityq!C775:R775))&gt;0</f>
        <v>0</v>
      </c>
      <c r="C775">
        <f>B775*(hospitalityq!C775="")</f>
        <v>0</v>
      </c>
      <c r="E775">
        <f>B775*(hospitalityq!E775="")</f>
        <v>0</v>
      </c>
      <c r="F775">
        <f>B775*(hospitalityq!F775="")</f>
        <v>0</v>
      </c>
      <c r="G775">
        <f>B775*(hospitalityq!G775="")</f>
        <v>0</v>
      </c>
      <c r="H775">
        <f>B775*(hospitalityq!H775="")</f>
        <v>0</v>
      </c>
      <c r="I775">
        <f>B775*(hospitalityq!I775="")</f>
        <v>0</v>
      </c>
      <c r="J775">
        <f>B775*(hospitalityq!J775="")</f>
        <v>0</v>
      </c>
      <c r="K775">
        <f>B775*(hospitalityq!K775="")</f>
        <v>0</v>
      </c>
      <c r="L775">
        <f>B775*(hospitalityq!L775="")</f>
        <v>0</v>
      </c>
      <c r="M775">
        <f>B775*(hospitalityq!M775="")</f>
        <v>0</v>
      </c>
      <c r="N775">
        <f>B775*(hospitalityq!N775="")</f>
        <v>0</v>
      </c>
      <c r="O775">
        <f>B775*(hospitalityq!O775="")</f>
        <v>0</v>
      </c>
      <c r="P775">
        <f>B775*(hospitalityq!P775="")</f>
        <v>0</v>
      </c>
      <c r="Q775">
        <f>B775*(hospitalityq!Q775="")</f>
        <v>0</v>
      </c>
      <c r="R775">
        <f>B775*(hospitalityq!R775="")</f>
        <v>0</v>
      </c>
    </row>
    <row r="776" spans="1:18" x14ac:dyDescent="0.25">
      <c r="A776">
        <f t="shared" si="13"/>
        <v>0</v>
      </c>
      <c r="B776" t="b">
        <f>SUMPRODUCT(LEN(hospitalityq!C776:R776))&gt;0</f>
        <v>0</v>
      </c>
      <c r="C776">
        <f>B776*(hospitalityq!C776="")</f>
        <v>0</v>
      </c>
      <c r="E776">
        <f>B776*(hospitalityq!E776="")</f>
        <v>0</v>
      </c>
      <c r="F776">
        <f>B776*(hospitalityq!F776="")</f>
        <v>0</v>
      </c>
      <c r="G776">
        <f>B776*(hospitalityq!G776="")</f>
        <v>0</v>
      </c>
      <c r="H776">
        <f>B776*(hospitalityq!H776="")</f>
        <v>0</v>
      </c>
      <c r="I776">
        <f>B776*(hospitalityq!I776="")</f>
        <v>0</v>
      </c>
      <c r="J776">
        <f>B776*(hospitalityq!J776="")</f>
        <v>0</v>
      </c>
      <c r="K776">
        <f>B776*(hospitalityq!K776="")</f>
        <v>0</v>
      </c>
      <c r="L776">
        <f>B776*(hospitalityq!L776="")</f>
        <v>0</v>
      </c>
      <c r="M776">
        <f>B776*(hospitalityq!M776="")</f>
        <v>0</v>
      </c>
      <c r="N776">
        <f>B776*(hospitalityq!N776="")</f>
        <v>0</v>
      </c>
      <c r="O776">
        <f>B776*(hospitalityq!O776="")</f>
        <v>0</v>
      </c>
      <c r="P776">
        <f>B776*(hospitalityq!P776="")</f>
        <v>0</v>
      </c>
      <c r="Q776">
        <f>B776*(hospitalityq!Q776="")</f>
        <v>0</v>
      </c>
      <c r="R776">
        <f>B776*(hospitalityq!R776="")</f>
        <v>0</v>
      </c>
    </row>
    <row r="777" spans="1:18" x14ac:dyDescent="0.25">
      <c r="A777">
        <f t="shared" si="13"/>
        <v>0</v>
      </c>
      <c r="B777" t="b">
        <f>SUMPRODUCT(LEN(hospitalityq!C777:R777))&gt;0</f>
        <v>0</v>
      </c>
      <c r="C777">
        <f>B777*(hospitalityq!C777="")</f>
        <v>0</v>
      </c>
      <c r="E777">
        <f>B777*(hospitalityq!E777="")</f>
        <v>0</v>
      </c>
      <c r="F777">
        <f>B777*(hospitalityq!F777="")</f>
        <v>0</v>
      </c>
      <c r="G777">
        <f>B777*(hospitalityq!G777="")</f>
        <v>0</v>
      </c>
      <c r="H777">
        <f>B777*(hospitalityq!H777="")</f>
        <v>0</v>
      </c>
      <c r="I777">
        <f>B777*(hospitalityq!I777="")</f>
        <v>0</v>
      </c>
      <c r="J777">
        <f>B777*(hospitalityq!J777="")</f>
        <v>0</v>
      </c>
      <c r="K777">
        <f>B777*(hospitalityq!K777="")</f>
        <v>0</v>
      </c>
      <c r="L777">
        <f>B777*(hospitalityq!L777="")</f>
        <v>0</v>
      </c>
      <c r="M777">
        <f>B777*(hospitalityq!M777="")</f>
        <v>0</v>
      </c>
      <c r="N777">
        <f>B777*(hospitalityq!N777="")</f>
        <v>0</v>
      </c>
      <c r="O777">
        <f>B777*(hospitalityq!O777="")</f>
        <v>0</v>
      </c>
      <c r="P777">
        <f>B777*(hospitalityq!P777="")</f>
        <v>0</v>
      </c>
      <c r="Q777">
        <f>B777*(hospitalityq!Q777="")</f>
        <v>0</v>
      </c>
      <c r="R777">
        <f>B777*(hospitalityq!R777="")</f>
        <v>0</v>
      </c>
    </row>
    <row r="778" spans="1:18" x14ac:dyDescent="0.25">
      <c r="A778">
        <f t="shared" si="13"/>
        <v>0</v>
      </c>
      <c r="B778" t="b">
        <f>SUMPRODUCT(LEN(hospitalityq!C778:R778))&gt;0</f>
        <v>0</v>
      </c>
      <c r="C778">
        <f>B778*(hospitalityq!C778="")</f>
        <v>0</v>
      </c>
      <c r="E778">
        <f>B778*(hospitalityq!E778="")</f>
        <v>0</v>
      </c>
      <c r="F778">
        <f>B778*(hospitalityq!F778="")</f>
        <v>0</v>
      </c>
      <c r="G778">
        <f>B778*(hospitalityq!G778="")</f>
        <v>0</v>
      </c>
      <c r="H778">
        <f>B778*(hospitalityq!H778="")</f>
        <v>0</v>
      </c>
      <c r="I778">
        <f>B778*(hospitalityq!I778="")</f>
        <v>0</v>
      </c>
      <c r="J778">
        <f>B778*(hospitalityq!J778="")</f>
        <v>0</v>
      </c>
      <c r="K778">
        <f>B778*(hospitalityq!K778="")</f>
        <v>0</v>
      </c>
      <c r="L778">
        <f>B778*(hospitalityq!L778="")</f>
        <v>0</v>
      </c>
      <c r="M778">
        <f>B778*(hospitalityq!M778="")</f>
        <v>0</v>
      </c>
      <c r="N778">
        <f>B778*(hospitalityq!N778="")</f>
        <v>0</v>
      </c>
      <c r="O778">
        <f>B778*(hospitalityq!O778="")</f>
        <v>0</v>
      </c>
      <c r="P778">
        <f>B778*(hospitalityq!P778="")</f>
        <v>0</v>
      </c>
      <c r="Q778">
        <f>B778*(hospitalityq!Q778="")</f>
        <v>0</v>
      </c>
      <c r="R778">
        <f>B778*(hospitalityq!R778="")</f>
        <v>0</v>
      </c>
    </row>
    <row r="779" spans="1:18" x14ac:dyDescent="0.25">
      <c r="A779">
        <f t="shared" si="13"/>
        <v>0</v>
      </c>
      <c r="B779" t="b">
        <f>SUMPRODUCT(LEN(hospitalityq!C779:R779))&gt;0</f>
        <v>0</v>
      </c>
      <c r="C779">
        <f>B779*(hospitalityq!C779="")</f>
        <v>0</v>
      </c>
      <c r="E779">
        <f>B779*(hospitalityq!E779="")</f>
        <v>0</v>
      </c>
      <c r="F779">
        <f>B779*(hospitalityq!F779="")</f>
        <v>0</v>
      </c>
      <c r="G779">
        <f>B779*(hospitalityq!G779="")</f>
        <v>0</v>
      </c>
      <c r="H779">
        <f>B779*(hospitalityq!H779="")</f>
        <v>0</v>
      </c>
      <c r="I779">
        <f>B779*(hospitalityq!I779="")</f>
        <v>0</v>
      </c>
      <c r="J779">
        <f>B779*(hospitalityq!J779="")</f>
        <v>0</v>
      </c>
      <c r="K779">
        <f>B779*(hospitalityq!K779="")</f>
        <v>0</v>
      </c>
      <c r="L779">
        <f>B779*(hospitalityq!L779="")</f>
        <v>0</v>
      </c>
      <c r="M779">
        <f>B779*(hospitalityq!M779="")</f>
        <v>0</v>
      </c>
      <c r="N779">
        <f>B779*(hospitalityq!N779="")</f>
        <v>0</v>
      </c>
      <c r="O779">
        <f>B779*(hospitalityq!O779="")</f>
        <v>0</v>
      </c>
      <c r="P779">
        <f>B779*(hospitalityq!P779="")</f>
        <v>0</v>
      </c>
      <c r="Q779">
        <f>B779*(hospitalityq!Q779="")</f>
        <v>0</v>
      </c>
      <c r="R779">
        <f>B779*(hospitalityq!R779="")</f>
        <v>0</v>
      </c>
    </row>
    <row r="780" spans="1:18" x14ac:dyDescent="0.25">
      <c r="A780">
        <f t="shared" si="13"/>
        <v>0</v>
      </c>
      <c r="B780" t="b">
        <f>SUMPRODUCT(LEN(hospitalityq!C780:R780))&gt;0</f>
        <v>0</v>
      </c>
      <c r="C780">
        <f>B780*(hospitalityq!C780="")</f>
        <v>0</v>
      </c>
      <c r="E780">
        <f>B780*(hospitalityq!E780="")</f>
        <v>0</v>
      </c>
      <c r="F780">
        <f>B780*(hospitalityq!F780="")</f>
        <v>0</v>
      </c>
      <c r="G780">
        <f>B780*(hospitalityq!G780="")</f>
        <v>0</v>
      </c>
      <c r="H780">
        <f>B780*(hospitalityq!H780="")</f>
        <v>0</v>
      </c>
      <c r="I780">
        <f>B780*(hospitalityq!I780="")</f>
        <v>0</v>
      </c>
      <c r="J780">
        <f>B780*(hospitalityq!J780="")</f>
        <v>0</v>
      </c>
      <c r="K780">
        <f>B780*(hospitalityq!K780="")</f>
        <v>0</v>
      </c>
      <c r="L780">
        <f>B780*(hospitalityq!L780="")</f>
        <v>0</v>
      </c>
      <c r="M780">
        <f>B780*(hospitalityq!M780="")</f>
        <v>0</v>
      </c>
      <c r="N780">
        <f>B780*(hospitalityq!N780="")</f>
        <v>0</v>
      </c>
      <c r="O780">
        <f>B780*(hospitalityq!O780="")</f>
        <v>0</v>
      </c>
      <c r="P780">
        <f>B780*(hospitalityq!P780="")</f>
        <v>0</v>
      </c>
      <c r="Q780">
        <f>B780*(hospitalityq!Q780="")</f>
        <v>0</v>
      </c>
      <c r="R780">
        <f>B780*(hospitalityq!R780="")</f>
        <v>0</v>
      </c>
    </row>
    <row r="781" spans="1:18" x14ac:dyDescent="0.25">
      <c r="A781">
        <f t="shared" si="13"/>
        <v>0</v>
      </c>
      <c r="B781" t="b">
        <f>SUMPRODUCT(LEN(hospitalityq!C781:R781))&gt;0</f>
        <v>0</v>
      </c>
      <c r="C781">
        <f>B781*(hospitalityq!C781="")</f>
        <v>0</v>
      </c>
      <c r="E781">
        <f>B781*(hospitalityq!E781="")</f>
        <v>0</v>
      </c>
      <c r="F781">
        <f>B781*(hospitalityq!F781="")</f>
        <v>0</v>
      </c>
      <c r="G781">
        <f>B781*(hospitalityq!G781="")</f>
        <v>0</v>
      </c>
      <c r="H781">
        <f>B781*(hospitalityq!H781="")</f>
        <v>0</v>
      </c>
      <c r="I781">
        <f>B781*(hospitalityq!I781="")</f>
        <v>0</v>
      </c>
      <c r="J781">
        <f>B781*(hospitalityq!J781="")</f>
        <v>0</v>
      </c>
      <c r="K781">
        <f>B781*(hospitalityq!K781="")</f>
        <v>0</v>
      </c>
      <c r="L781">
        <f>B781*(hospitalityq!L781="")</f>
        <v>0</v>
      </c>
      <c r="M781">
        <f>B781*(hospitalityq!M781="")</f>
        <v>0</v>
      </c>
      <c r="N781">
        <f>B781*(hospitalityq!N781="")</f>
        <v>0</v>
      </c>
      <c r="O781">
        <f>B781*(hospitalityq!O781="")</f>
        <v>0</v>
      </c>
      <c r="P781">
        <f>B781*(hospitalityq!P781="")</f>
        <v>0</v>
      </c>
      <c r="Q781">
        <f>B781*(hospitalityq!Q781="")</f>
        <v>0</v>
      </c>
      <c r="R781">
        <f>B781*(hospitalityq!R781="")</f>
        <v>0</v>
      </c>
    </row>
    <row r="782" spans="1:18" x14ac:dyDescent="0.25">
      <c r="A782">
        <f t="shared" si="13"/>
        <v>0</v>
      </c>
      <c r="B782" t="b">
        <f>SUMPRODUCT(LEN(hospitalityq!C782:R782))&gt;0</f>
        <v>0</v>
      </c>
      <c r="C782">
        <f>B782*(hospitalityq!C782="")</f>
        <v>0</v>
      </c>
      <c r="E782">
        <f>B782*(hospitalityq!E782="")</f>
        <v>0</v>
      </c>
      <c r="F782">
        <f>B782*(hospitalityq!F782="")</f>
        <v>0</v>
      </c>
      <c r="G782">
        <f>B782*(hospitalityq!G782="")</f>
        <v>0</v>
      </c>
      <c r="H782">
        <f>B782*(hospitalityq!H782="")</f>
        <v>0</v>
      </c>
      <c r="I782">
        <f>B782*(hospitalityq!I782="")</f>
        <v>0</v>
      </c>
      <c r="J782">
        <f>B782*(hospitalityq!J782="")</f>
        <v>0</v>
      </c>
      <c r="K782">
        <f>B782*(hospitalityq!K782="")</f>
        <v>0</v>
      </c>
      <c r="L782">
        <f>B782*(hospitalityq!L782="")</f>
        <v>0</v>
      </c>
      <c r="M782">
        <f>B782*(hospitalityq!M782="")</f>
        <v>0</v>
      </c>
      <c r="N782">
        <f>B782*(hospitalityq!N782="")</f>
        <v>0</v>
      </c>
      <c r="O782">
        <f>B782*(hospitalityq!O782="")</f>
        <v>0</v>
      </c>
      <c r="P782">
        <f>B782*(hospitalityq!P782="")</f>
        <v>0</v>
      </c>
      <c r="Q782">
        <f>B782*(hospitalityq!Q782="")</f>
        <v>0</v>
      </c>
      <c r="R782">
        <f>B782*(hospitalityq!R782="")</f>
        <v>0</v>
      </c>
    </row>
    <row r="783" spans="1:18" x14ac:dyDescent="0.25">
      <c r="A783">
        <f t="shared" si="13"/>
        <v>0</v>
      </c>
      <c r="B783" t="b">
        <f>SUMPRODUCT(LEN(hospitalityq!C783:R783))&gt;0</f>
        <v>0</v>
      </c>
      <c r="C783">
        <f>B783*(hospitalityq!C783="")</f>
        <v>0</v>
      </c>
      <c r="E783">
        <f>B783*(hospitalityq!E783="")</f>
        <v>0</v>
      </c>
      <c r="F783">
        <f>B783*(hospitalityq!F783="")</f>
        <v>0</v>
      </c>
      <c r="G783">
        <f>B783*(hospitalityq!G783="")</f>
        <v>0</v>
      </c>
      <c r="H783">
        <f>B783*(hospitalityq!H783="")</f>
        <v>0</v>
      </c>
      <c r="I783">
        <f>B783*(hospitalityq!I783="")</f>
        <v>0</v>
      </c>
      <c r="J783">
        <f>B783*(hospitalityq!J783="")</f>
        <v>0</v>
      </c>
      <c r="K783">
        <f>B783*(hospitalityq!K783="")</f>
        <v>0</v>
      </c>
      <c r="L783">
        <f>B783*(hospitalityq!L783="")</f>
        <v>0</v>
      </c>
      <c r="M783">
        <f>B783*(hospitalityq!M783="")</f>
        <v>0</v>
      </c>
      <c r="N783">
        <f>B783*(hospitalityq!N783="")</f>
        <v>0</v>
      </c>
      <c r="O783">
        <f>B783*(hospitalityq!O783="")</f>
        <v>0</v>
      </c>
      <c r="P783">
        <f>B783*(hospitalityq!P783="")</f>
        <v>0</v>
      </c>
      <c r="Q783">
        <f>B783*(hospitalityq!Q783="")</f>
        <v>0</v>
      </c>
      <c r="R783">
        <f>B783*(hospitalityq!R783="")</f>
        <v>0</v>
      </c>
    </row>
    <row r="784" spans="1:18" x14ac:dyDescent="0.25">
      <c r="A784">
        <f t="shared" si="13"/>
        <v>0</v>
      </c>
      <c r="B784" t="b">
        <f>SUMPRODUCT(LEN(hospitalityq!C784:R784))&gt;0</f>
        <v>0</v>
      </c>
      <c r="C784">
        <f>B784*(hospitalityq!C784="")</f>
        <v>0</v>
      </c>
      <c r="E784">
        <f>B784*(hospitalityq!E784="")</f>
        <v>0</v>
      </c>
      <c r="F784">
        <f>B784*(hospitalityq!F784="")</f>
        <v>0</v>
      </c>
      <c r="G784">
        <f>B784*(hospitalityq!G784="")</f>
        <v>0</v>
      </c>
      <c r="H784">
        <f>B784*(hospitalityq!H784="")</f>
        <v>0</v>
      </c>
      <c r="I784">
        <f>B784*(hospitalityq!I784="")</f>
        <v>0</v>
      </c>
      <c r="J784">
        <f>B784*(hospitalityq!J784="")</f>
        <v>0</v>
      </c>
      <c r="K784">
        <f>B784*(hospitalityq!K784="")</f>
        <v>0</v>
      </c>
      <c r="L784">
        <f>B784*(hospitalityq!L784="")</f>
        <v>0</v>
      </c>
      <c r="M784">
        <f>B784*(hospitalityq!M784="")</f>
        <v>0</v>
      </c>
      <c r="N784">
        <f>B784*(hospitalityq!N784="")</f>
        <v>0</v>
      </c>
      <c r="O784">
        <f>B784*(hospitalityq!O784="")</f>
        <v>0</v>
      </c>
      <c r="P784">
        <f>B784*(hospitalityq!P784="")</f>
        <v>0</v>
      </c>
      <c r="Q784">
        <f>B784*(hospitalityq!Q784="")</f>
        <v>0</v>
      </c>
      <c r="R784">
        <f>B784*(hospitalityq!R784="")</f>
        <v>0</v>
      </c>
    </row>
    <row r="785" spans="1:18" x14ac:dyDescent="0.25">
      <c r="A785">
        <f t="shared" si="13"/>
        <v>0</v>
      </c>
      <c r="B785" t="b">
        <f>SUMPRODUCT(LEN(hospitalityq!C785:R785))&gt;0</f>
        <v>0</v>
      </c>
      <c r="C785">
        <f>B785*(hospitalityq!C785="")</f>
        <v>0</v>
      </c>
      <c r="E785">
        <f>B785*(hospitalityq!E785="")</f>
        <v>0</v>
      </c>
      <c r="F785">
        <f>B785*(hospitalityq!F785="")</f>
        <v>0</v>
      </c>
      <c r="G785">
        <f>B785*(hospitalityq!G785="")</f>
        <v>0</v>
      </c>
      <c r="H785">
        <f>B785*(hospitalityq!H785="")</f>
        <v>0</v>
      </c>
      <c r="I785">
        <f>B785*(hospitalityq!I785="")</f>
        <v>0</v>
      </c>
      <c r="J785">
        <f>B785*(hospitalityq!J785="")</f>
        <v>0</v>
      </c>
      <c r="K785">
        <f>B785*(hospitalityq!K785="")</f>
        <v>0</v>
      </c>
      <c r="L785">
        <f>B785*(hospitalityq!L785="")</f>
        <v>0</v>
      </c>
      <c r="M785">
        <f>B785*(hospitalityq!M785="")</f>
        <v>0</v>
      </c>
      <c r="N785">
        <f>B785*(hospitalityq!N785="")</f>
        <v>0</v>
      </c>
      <c r="O785">
        <f>B785*(hospitalityq!O785="")</f>
        <v>0</v>
      </c>
      <c r="P785">
        <f>B785*(hospitalityq!P785="")</f>
        <v>0</v>
      </c>
      <c r="Q785">
        <f>B785*(hospitalityq!Q785="")</f>
        <v>0</v>
      </c>
      <c r="R785">
        <f>B785*(hospitalityq!R785="")</f>
        <v>0</v>
      </c>
    </row>
    <row r="786" spans="1:18" x14ac:dyDescent="0.25">
      <c r="A786">
        <f t="shared" si="13"/>
        <v>0</v>
      </c>
      <c r="B786" t="b">
        <f>SUMPRODUCT(LEN(hospitalityq!C786:R786))&gt;0</f>
        <v>0</v>
      </c>
      <c r="C786">
        <f>B786*(hospitalityq!C786="")</f>
        <v>0</v>
      </c>
      <c r="E786">
        <f>B786*(hospitalityq!E786="")</f>
        <v>0</v>
      </c>
      <c r="F786">
        <f>B786*(hospitalityq!F786="")</f>
        <v>0</v>
      </c>
      <c r="G786">
        <f>B786*(hospitalityq!G786="")</f>
        <v>0</v>
      </c>
      <c r="H786">
        <f>B786*(hospitalityq!H786="")</f>
        <v>0</v>
      </c>
      <c r="I786">
        <f>B786*(hospitalityq!I786="")</f>
        <v>0</v>
      </c>
      <c r="J786">
        <f>B786*(hospitalityq!J786="")</f>
        <v>0</v>
      </c>
      <c r="K786">
        <f>B786*(hospitalityq!K786="")</f>
        <v>0</v>
      </c>
      <c r="L786">
        <f>B786*(hospitalityq!L786="")</f>
        <v>0</v>
      </c>
      <c r="M786">
        <f>B786*(hospitalityq!M786="")</f>
        <v>0</v>
      </c>
      <c r="N786">
        <f>B786*(hospitalityq!N786="")</f>
        <v>0</v>
      </c>
      <c r="O786">
        <f>B786*(hospitalityq!O786="")</f>
        <v>0</v>
      </c>
      <c r="P786">
        <f>B786*(hospitalityq!P786="")</f>
        <v>0</v>
      </c>
      <c r="Q786">
        <f>B786*(hospitalityq!Q786="")</f>
        <v>0</v>
      </c>
      <c r="R786">
        <f>B786*(hospitalityq!R786="")</f>
        <v>0</v>
      </c>
    </row>
    <row r="787" spans="1:18" x14ac:dyDescent="0.25">
      <c r="A787">
        <f t="shared" si="13"/>
        <v>0</v>
      </c>
      <c r="B787" t="b">
        <f>SUMPRODUCT(LEN(hospitalityq!C787:R787))&gt;0</f>
        <v>0</v>
      </c>
      <c r="C787">
        <f>B787*(hospitalityq!C787="")</f>
        <v>0</v>
      </c>
      <c r="E787">
        <f>B787*(hospitalityq!E787="")</f>
        <v>0</v>
      </c>
      <c r="F787">
        <f>B787*(hospitalityq!F787="")</f>
        <v>0</v>
      </c>
      <c r="G787">
        <f>B787*(hospitalityq!G787="")</f>
        <v>0</v>
      </c>
      <c r="H787">
        <f>B787*(hospitalityq!H787="")</f>
        <v>0</v>
      </c>
      <c r="I787">
        <f>B787*(hospitalityq!I787="")</f>
        <v>0</v>
      </c>
      <c r="J787">
        <f>B787*(hospitalityq!J787="")</f>
        <v>0</v>
      </c>
      <c r="K787">
        <f>B787*(hospitalityq!K787="")</f>
        <v>0</v>
      </c>
      <c r="L787">
        <f>B787*(hospitalityq!L787="")</f>
        <v>0</v>
      </c>
      <c r="M787">
        <f>B787*(hospitalityq!M787="")</f>
        <v>0</v>
      </c>
      <c r="N787">
        <f>B787*(hospitalityq!N787="")</f>
        <v>0</v>
      </c>
      <c r="O787">
        <f>B787*(hospitalityq!O787="")</f>
        <v>0</v>
      </c>
      <c r="P787">
        <f>B787*(hospitalityq!P787="")</f>
        <v>0</v>
      </c>
      <c r="Q787">
        <f>B787*(hospitalityq!Q787="")</f>
        <v>0</v>
      </c>
      <c r="R787">
        <f>B787*(hospitalityq!R787="")</f>
        <v>0</v>
      </c>
    </row>
    <row r="788" spans="1:18" x14ac:dyDescent="0.25">
      <c r="A788">
        <f t="shared" si="13"/>
        <v>0</v>
      </c>
      <c r="B788" t="b">
        <f>SUMPRODUCT(LEN(hospitalityq!C788:R788))&gt;0</f>
        <v>0</v>
      </c>
      <c r="C788">
        <f>B788*(hospitalityq!C788="")</f>
        <v>0</v>
      </c>
      <c r="E788">
        <f>B788*(hospitalityq!E788="")</f>
        <v>0</v>
      </c>
      <c r="F788">
        <f>B788*(hospitalityq!F788="")</f>
        <v>0</v>
      </c>
      <c r="G788">
        <f>B788*(hospitalityq!G788="")</f>
        <v>0</v>
      </c>
      <c r="H788">
        <f>B788*(hospitalityq!H788="")</f>
        <v>0</v>
      </c>
      <c r="I788">
        <f>B788*(hospitalityq!I788="")</f>
        <v>0</v>
      </c>
      <c r="J788">
        <f>B788*(hospitalityq!J788="")</f>
        <v>0</v>
      </c>
      <c r="K788">
        <f>B788*(hospitalityq!K788="")</f>
        <v>0</v>
      </c>
      <c r="L788">
        <f>B788*(hospitalityq!L788="")</f>
        <v>0</v>
      </c>
      <c r="M788">
        <f>B788*(hospitalityq!M788="")</f>
        <v>0</v>
      </c>
      <c r="N788">
        <f>B788*(hospitalityq!N788="")</f>
        <v>0</v>
      </c>
      <c r="O788">
        <f>B788*(hospitalityq!O788="")</f>
        <v>0</v>
      </c>
      <c r="P788">
        <f>B788*(hospitalityq!P788="")</f>
        <v>0</v>
      </c>
      <c r="Q788">
        <f>B788*(hospitalityq!Q788="")</f>
        <v>0</v>
      </c>
      <c r="R788">
        <f>B788*(hospitalityq!R788="")</f>
        <v>0</v>
      </c>
    </row>
    <row r="789" spans="1:18" x14ac:dyDescent="0.25">
      <c r="A789">
        <f t="shared" si="13"/>
        <v>0</v>
      </c>
      <c r="B789" t="b">
        <f>SUMPRODUCT(LEN(hospitalityq!C789:R789))&gt;0</f>
        <v>0</v>
      </c>
      <c r="C789">
        <f>B789*(hospitalityq!C789="")</f>
        <v>0</v>
      </c>
      <c r="E789">
        <f>B789*(hospitalityq!E789="")</f>
        <v>0</v>
      </c>
      <c r="F789">
        <f>B789*(hospitalityq!F789="")</f>
        <v>0</v>
      </c>
      <c r="G789">
        <f>B789*(hospitalityq!G789="")</f>
        <v>0</v>
      </c>
      <c r="H789">
        <f>B789*(hospitalityq!H789="")</f>
        <v>0</v>
      </c>
      <c r="I789">
        <f>B789*(hospitalityq!I789="")</f>
        <v>0</v>
      </c>
      <c r="J789">
        <f>B789*(hospitalityq!J789="")</f>
        <v>0</v>
      </c>
      <c r="K789">
        <f>B789*(hospitalityq!K789="")</f>
        <v>0</v>
      </c>
      <c r="L789">
        <f>B789*(hospitalityq!L789="")</f>
        <v>0</v>
      </c>
      <c r="M789">
        <f>B789*(hospitalityq!M789="")</f>
        <v>0</v>
      </c>
      <c r="N789">
        <f>B789*(hospitalityq!N789="")</f>
        <v>0</v>
      </c>
      <c r="O789">
        <f>B789*(hospitalityq!O789="")</f>
        <v>0</v>
      </c>
      <c r="P789">
        <f>B789*(hospitalityq!P789="")</f>
        <v>0</v>
      </c>
      <c r="Q789">
        <f>B789*(hospitalityq!Q789="")</f>
        <v>0</v>
      </c>
      <c r="R789">
        <f>B789*(hospitalityq!R789="")</f>
        <v>0</v>
      </c>
    </row>
    <row r="790" spans="1:18" x14ac:dyDescent="0.25">
      <c r="A790">
        <f t="shared" si="13"/>
        <v>0</v>
      </c>
      <c r="B790" t="b">
        <f>SUMPRODUCT(LEN(hospitalityq!C790:R790))&gt;0</f>
        <v>0</v>
      </c>
      <c r="C790">
        <f>B790*(hospitalityq!C790="")</f>
        <v>0</v>
      </c>
      <c r="E790">
        <f>B790*(hospitalityq!E790="")</f>
        <v>0</v>
      </c>
      <c r="F790">
        <f>B790*(hospitalityq!F790="")</f>
        <v>0</v>
      </c>
      <c r="G790">
        <f>B790*(hospitalityq!G790="")</f>
        <v>0</v>
      </c>
      <c r="H790">
        <f>B790*(hospitalityq!H790="")</f>
        <v>0</v>
      </c>
      <c r="I790">
        <f>B790*(hospitalityq!I790="")</f>
        <v>0</v>
      </c>
      <c r="J790">
        <f>B790*(hospitalityq!J790="")</f>
        <v>0</v>
      </c>
      <c r="K790">
        <f>B790*(hospitalityq!K790="")</f>
        <v>0</v>
      </c>
      <c r="L790">
        <f>B790*(hospitalityq!L790="")</f>
        <v>0</v>
      </c>
      <c r="M790">
        <f>B790*(hospitalityq!M790="")</f>
        <v>0</v>
      </c>
      <c r="N790">
        <f>B790*(hospitalityq!N790="")</f>
        <v>0</v>
      </c>
      <c r="O790">
        <f>B790*(hospitalityq!O790="")</f>
        <v>0</v>
      </c>
      <c r="P790">
        <f>B790*(hospitalityq!P790="")</f>
        <v>0</v>
      </c>
      <c r="Q790">
        <f>B790*(hospitalityq!Q790="")</f>
        <v>0</v>
      </c>
      <c r="R790">
        <f>B790*(hospitalityq!R790="")</f>
        <v>0</v>
      </c>
    </row>
    <row r="791" spans="1:18" x14ac:dyDescent="0.25">
      <c r="A791">
        <f t="shared" si="13"/>
        <v>0</v>
      </c>
      <c r="B791" t="b">
        <f>SUMPRODUCT(LEN(hospitalityq!C791:R791))&gt;0</f>
        <v>0</v>
      </c>
      <c r="C791">
        <f>B791*(hospitalityq!C791="")</f>
        <v>0</v>
      </c>
      <c r="E791">
        <f>B791*(hospitalityq!E791="")</f>
        <v>0</v>
      </c>
      <c r="F791">
        <f>B791*(hospitalityq!F791="")</f>
        <v>0</v>
      </c>
      <c r="G791">
        <f>B791*(hospitalityq!G791="")</f>
        <v>0</v>
      </c>
      <c r="H791">
        <f>B791*(hospitalityq!H791="")</f>
        <v>0</v>
      </c>
      <c r="I791">
        <f>B791*(hospitalityq!I791="")</f>
        <v>0</v>
      </c>
      <c r="J791">
        <f>B791*(hospitalityq!J791="")</f>
        <v>0</v>
      </c>
      <c r="K791">
        <f>B791*(hospitalityq!K791="")</f>
        <v>0</v>
      </c>
      <c r="L791">
        <f>B791*(hospitalityq!L791="")</f>
        <v>0</v>
      </c>
      <c r="M791">
        <f>B791*(hospitalityq!M791="")</f>
        <v>0</v>
      </c>
      <c r="N791">
        <f>B791*(hospitalityq!N791="")</f>
        <v>0</v>
      </c>
      <c r="O791">
        <f>B791*(hospitalityq!O791="")</f>
        <v>0</v>
      </c>
      <c r="P791">
        <f>B791*(hospitalityq!P791="")</f>
        <v>0</v>
      </c>
      <c r="Q791">
        <f>B791*(hospitalityq!Q791="")</f>
        <v>0</v>
      </c>
      <c r="R791">
        <f>B791*(hospitalityq!R791="")</f>
        <v>0</v>
      </c>
    </row>
    <row r="792" spans="1:18" x14ac:dyDescent="0.25">
      <c r="A792">
        <f t="shared" si="13"/>
        <v>0</v>
      </c>
      <c r="B792" t="b">
        <f>SUMPRODUCT(LEN(hospitalityq!C792:R792))&gt;0</f>
        <v>0</v>
      </c>
      <c r="C792">
        <f>B792*(hospitalityq!C792="")</f>
        <v>0</v>
      </c>
      <c r="E792">
        <f>B792*(hospitalityq!E792="")</f>
        <v>0</v>
      </c>
      <c r="F792">
        <f>B792*(hospitalityq!F792="")</f>
        <v>0</v>
      </c>
      <c r="G792">
        <f>B792*(hospitalityq!G792="")</f>
        <v>0</v>
      </c>
      <c r="H792">
        <f>B792*(hospitalityq!H792="")</f>
        <v>0</v>
      </c>
      <c r="I792">
        <f>B792*(hospitalityq!I792="")</f>
        <v>0</v>
      </c>
      <c r="J792">
        <f>B792*(hospitalityq!J792="")</f>
        <v>0</v>
      </c>
      <c r="K792">
        <f>B792*(hospitalityq!K792="")</f>
        <v>0</v>
      </c>
      <c r="L792">
        <f>B792*(hospitalityq!L792="")</f>
        <v>0</v>
      </c>
      <c r="M792">
        <f>B792*(hospitalityq!M792="")</f>
        <v>0</v>
      </c>
      <c r="N792">
        <f>B792*(hospitalityq!N792="")</f>
        <v>0</v>
      </c>
      <c r="O792">
        <f>B792*(hospitalityq!O792="")</f>
        <v>0</v>
      </c>
      <c r="P792">
        <f>B792*(hospitalityq!P792="")</f>
        <v>0</v>
      </c>
      <c r="Q792">
        <f>B792*(hospitalityq!Q792="")</f>
        <v>0</v>
      </c>
      <c r="R792">
        <f>B792*(hospitalityq!R792="")</f>
        <v>0</v>
      </c>
    </row>
    <row r="793" spans="1:18" x14ac:dyDescent="0.25">
      <c r="A793">
        <f t="shared" si="13"/>
        <v>0</v>
      </c>
      <c r="B793" t="b">
        <f>SUMPRODUCT(LEN(hospitalityq!C793:R793))&gt;0</f>
        <v>0</v>
      </c>
      <c r="C793">
        <f>B793*(hospitalityq!C793="")</f>
        <v>0</v>
      </c>
      <c r="E793">
        <f>B793*(hospitalityq!E793="")</f>
        <v>0</v>
      </c>
      <c r="F793">
        <f>B793*(hospitalityq!F793="")</f>
        <v>0</v>
      </c>
      <c r="G793">
        <f>B793*(hospitalityq!G793="")</f>
        <v>0</v>
      </c>
      <c r="H793">
        <f>B793*(hospitalityq!H793="")</f>
        <v>0</v>
      </c>
      <c r="I793">
        <f>B793*(hospitalityq!I793="")</f>
        <v>0</v>
      </c>
      <c r="J793">
        <f>B793*(hospitalityq!J793="")</f>
        <v>0</v>
      </c>
      <c r="K793">
        <f>B793*(hospitalityq!K793="")</f>
        <v>0</v>
      </c>
      <c r="L793">
        <f>B793*(hospitalityq!L793="")</f>
        <v>0</v>
      </c>
      <c r="M793">
        <f>B793*(hospitalityq!M793="")</f>
        <v>0</v>
      </c>
      <c r="N793">
        <f>B793*(hospitalityq!N793="")</f>
        <v>0</v>
      </c>
      <c r="O793">
        <f>B793*(hospitalityq!O793="")</f>
        <v>0</v>
      </c>
      <c r="P793">
        <f>B793*(hospitalityq!P793="")</f>
        <v>0</v>
      </c>
      <c r="Q793">
        <f>B793*(hospitalityq!Q793="")</f>
        <v>0</v>
      </c>
      <c r="R793">
        <f>B793*(hospitalityq!R793="")</f>
        <v>0</v>
      </c>
    </row>
    <row r="794" spans="1:18" x14ac:dyDescent="0.25">
      <c r="A794">
        <f t="shared" si="13"/>
        <v>0</v>
      </c>
      <c r="B794" t="b">
        <f>SUMPRODUCT(LEN(hospitalityq!C794:R794))&gt;0</f>
        <v>0</v>
      </c>
      <c r="C794">
        <f>B794*(hospitalityq!C794="")</f>
        <v>0</v>
      </c>
      <c r="E794">
        <f>B794*(hospitalityq!E794="")</f>
        <v>0</v>
      </c>
      <c r="F794">
        <f>B794*(hospitalityq!F794="")</f>
        <v>0</v>
      </c>
      <c r="G794">
        <f>B794*(hospitalityq!G794="")</f>
        <v>0</v>
      </c>
      <c r="H794">
        <f>B794*(hospitalityq!H794="")</f>
        <v>0</v>
      </c>
      <c r="I794">
        <f>B794*(hospitalityq!I794="")</f>
        <v>0</v>
      </c>
      <c r="J794">
        <f>B794*(hospitalityq!J794="")</f>
        <v>0</v>
      </c>
      <c r="K794">
        <f>B794*(hospitalityq!K794="")</f>
        <v>0</v>
      </c>
      <c r="L794">
        <f>B794*(hospitalityq!L794="")</f>
        <v>0</v>
      </c>
      <c r="M794">
        <f>B794*(hospitalityq!M794="")</f>
        <v>0</v>
      </c>
      <c r="N794">
        <f>B794*(hospitalityq!N794="")</f>
        <v>0</v>
      </c>
      <c r="O794">
        <f>B794*(hospitalityq!O794="")</f>
        <v>0</v>
      </c>
      <c r="P794">
        <f>B794*(hospitalityq!P794="")</f>
        <v>0</v>
      </c>
      <c r="Q794">
        <f>B794*(hospitalityq!Q794="")</f>
        <v>0</v>
      </c>
      <c r="R794">
        <f>B794*(hospitalityq!R794="")</f>
        <v>0</v>
      </c>
    </row>
    <row r="795" spans="1:18" x14ac:dyDescent="0.25">
      <c r="A795">
        <f t="shared" si="13"/>
        <v>0</v>
      </c>
      <c r="B795" t="b">
        <f>SUMPRODUCT(LEN(hospitalityq!C795:R795))&gt;0</f>
        <v>0</v>
      </c>
      <c r="C795">
        <f>B795*(hospitalityq!C795="")</f>
        <v>0</v>
      </c>
      <c r="E795">
        <f>B795*(hospitalityq!E795="")</f>
        <v>0</v>
      </c>
      <c r="F795">
        <f>B795*(hospitalityq!F795="")</f>
        <v>0</v>
      </c>
      <c r="G795">
        <f>B795*(hospitalityq!G795="")</f>
        <v>0</v>
      </c>
      <c r="H795">
        <f>B795*(hospitalityq!H795="")</f>
        <v>0</v>
      </c>
      <c r="I795">
        <f>B795*(hospitalityq!I795="")</f>
        <v>0</v>
      </c>
      <c r="J795">
        <f>B795*(hospitalityq!J795="")</f>
        <v>0</v>
      </c>
      <c r="K795">
        <f>B795*(hospitalityq!K795="")</f>
        <v>0</v>
      </c>
      <c r="L795">
        <f>B795*(hospitalityq!L795="")</f>
        <v>0</v>
      </c>
      <c r="M795">
        <f>B795*(hospitalityq!M795="")</f>
        <v>0</v>
      </c>
      <c r="N795">
        <f>B795*(hospitalityq!N795="")</f>
        <v>0</v>
      </c>
      <c r="O795">
        <f>B795*(hospitalityq!O795="")</f>
        <v>0</v>
      </c>
      <c r="P795">
        <f>B795*(hospitalityq!P795="")</f>
        <v>0</v>
      </c>
      <c r="Q795">
        <f>B795*(hospitalityq!Q795="")</f>
        <v>0</v>
      </c>
      <c r="R795">
        <f>B795*(hospitalityq!R795="")</f>
        <v>0</v>
      </c>
    </row>
    <row r="796" spans="1:18" x14ac:dyDescent="0.25">
      <c r="A796">
        <f t="shared" si="13"/>
        <v>0</v>
      </c>
      <c r="B796" t="b">
        <f>SUMPRODUCT(LEN(hospitalityq!C796:R796))&gt;0</f>
        <v>0</v>
      </c>
      <c r="C796">
        <f>B796*(hospitalityq!C796="")</f>
        <v>0</v>
      </c>
      <c r="E796">
        <f>B796*(hospitalityq!E796="")</f>
        <v>0</v>
      </c>
      <c r="F796">
        <f>B796*(hospitalityq!F796="")</f>
        <v>0</v>
      </c>
      <c r="G796">
        <f>B796*(hospitalityq!G796="")</f>
        <v>0</v>
      </c>
      <c r="H796">
        <f>B796*(hospitalityq!H796="")</f>
        <v>0</v>
      </c>
      <c r="I796">
        <f>B796*(hospitalityq!I796="")</f>
        <v>0</v>
      </c>
      <c r="J796">
        <f>B796*(hospitalityq!J796="")</f>
        <v>0</v>
      </c>
      <c r="K796">
        <f>B796*(hospitalityq!K796="")</f>
        <v>0</v>
      </c>
      <c r="L796">
        <f>B796*(hospitalityq!L796="")</f>
        <v>0</v>
      </c>
      <c r="M796">
        <f>B796*(hospitalityq!M796="")</f>
        <v>0</v>
      </c>
      <c r="N796">
        <f>B796*(hospitalityq!N796="")</f>
        <v>0</v>
      </c>
      <c r="O796">
        <f>B796*(hospitalityq!O796="")</f>
        <v>0</v>
      </c>
      <c r="P796">
        <f>B796*(hospitalityq!P796="")</f>
        <v>0</v>
      </c>
      <c r="Q796">
        <f>B796*(hospitalityq!Q796="")</f>
        <v>0</v>
      </c>
      <c r="R796">
        <f>B796*(hospitalityq!R796="")</f>
        <v>0</v>
      </c>
    </row>
    <row r="797" spans="1:18" x14ac:dyDescent="0.25">
      <c r="A797">
        <f t="shared" si="13"/>
        <v>0</v>
      </c>
      <c r="B797" t="b">
        <f>SUMPRODUCT(LEN(hospitalityq!C797:R797))&gt;0</f>
        <v>0</v>
      </c>
      <c r="C797">
        <f>B797*(hospitalityq!C797="")</f>
        <v>0</v>
      </c>
      <c r="E797">
        <f>B797*(hospitalityq!E797="")</f>
        <v>0</v>
      </c>
      <c r="F797">
        <f>B797*(hospitalityq!F797="")</f>
        <v>0</v>
      </c>
      <c r="G797">
        <f>B797*(hospitalityq!G797="")</f>
        <v>0</v>
      </c>
      <c r="H797">
        <f>B797*(hospitalityq!H797="")</f>
        <v>0</v>
      </c>
      <c r="I797">
        <f>B797*(hospitalityq!I797="")</f>
        <v>0</v>
      </c>
      <c r="J797">
        <f>B797*(hospitalityq!J797="")</f>
        <v>0</v>
      </c>
      <c r="K797">
        <f>B797*(hospitalityq!K797="")</f>
        <v>0</v>
      </c>
      <c r="L797">
        <f>B797*(hospitalityq!L797="")</f>
        <v>0</v>
      </c>
      <c r="M797">
        <f>B797*(hospitalityq!M797="")</f>
        <v>0</v>
      </c>
      <c r="N797">
        <f>B797*(hospitalityq!N797="")</f>
        <v>0</v>
      </c>
      <c r="O797">
        <f>B797*(hospitalityq!O797="")</f>
        <v>0</v>
      </c>
      <c r="P797">
        <f>B797*(hospitalityq!P797="")</f>
        <v>0</v>
      </c>
      <c r="Q797">
        <f>B797*(hospitalityq!Q797="")</f>
        <v>0</v>
      </c>
      <c r="R797">
        <f>B797*(hospitalityq!R797="")</f>
        <v>0</v>
      </c>
    </row>
    <row r="798" spans="1:18" x14ac:dyDescent="0.25">
      <c r="A798">
        <f t="shared" si="13"/>
        <v>0</v>
      </c>
      <c r="B798" t="b">
        <f>SUMPRODUCT(LEN(hospitalityq!C798:R798))&gt;0</f>
        <v>0</v>
      </c>
      <c r="C798">
        <f>B798*(hospitalityq!C798="")</f>
        <v>0</v>
      </c>
      <c r="E798">
        <f>B798*(hospitalityq!E798="")</f>
        <v>0</v>
      </c>
      <c r="F798">
        <f>B798*(hospitalityq!F798="")</f>
        <v>0</v>
      </c>
      <c r="G798">
        <f>B798*(hospitalityq!G798="")</f>
        <v>0</v>
      </c>
      <c r="H798">
        <f>B798*(hospitalityq!H798="")</f>
        <v>0</v>
      </c>
      <c r="I798">
        <f>B798*(hospitalityq!I798="")</f>
        <v>0</v>
      </c>
      <c r="J798">
        <f>B798*(hospitalityq!J798="")</f>
        <v>0</v>
      </c>
      <c r="K798">
        <f>B798*(hospitalityq!K798="")</f>
        <v>0</v>
      </c>
      <c r="L798">
        <f>B798*(hospitalityq!L798="")</f>
        <v>0</v>
      </c>
      <c r="M798">
        <f>B798*(hospitalityq!M798="")</f>
        <v>0</v>
      </c>
      <c r="N798">
        <f>B798*(hospitalityq!N798="")</f>
        <v>0</v>
      </c>
      <c r="O798">
        <f>B798*(hospitalityq!O798="")</f>
        <v>0</v>
      </c>
      <c r="P798">
        <f>B798*(hospitalityq!P798="")</f>
        <v>0</v>
      </c>
      <c r="Q798">
        <f>B798*(hospitalityq!Q798="")</f>
        <v>0</v>
      </c>
      <c r="R798">
        <f>B798*(hospitalityq!R798="")</f>
        <v>0</v>
      </c>
    </row>
    <row r="799" spans="1:18" x14ac:dyDescent="0.25">
      <c r="A799">
        <f t="shared" si="13"/>
        <v>0</v>
      </c>
      <c r="B799" t="b">
        <f>SUMPRODUCT(LEN(hospitalityq!C799:R799))&gt;0</f>
        <v>0</v>
      </c>
      <c r="C799">
        <f>B799*(hospitalityq!C799="")</f>
        <v>0</v>
      </c>
      <c r="E799">
        <f>B799*(hospitalityq!E799="")</f>
        <v>0</v>
      </c>
      <c r="F799">
        <f>B799*(hospitalityq!F799="")</f>
        <v>0</v>
      </c>
      <c r="G799">
        <f>B799*(hospitalityq!G799="")</f>
        <v>0</v>
      </c>
      <c r="H799">
        <f>B799*(hospitalityq!H799="")</f>
        <v>0</v>
      </c>
      <c r="I799">
        <f>B799*(hospitalityq!I799="")</f>
        <v>0</v>
      </c>
      <c r="J799">
        <f>B799*(hospitalityq!J799="")</f>
        <v>0</v>
      </c>
      <c r="K799">
        <f>B799*(hospitalityq!K799="")</f>
        <v>0</v>
      </c>
      <c r="L799">
        <f>B799*(hospitalityq!L799="")</f>
        <v>0</v>
      </c>
      <c r="M799">
        <f>B799*(hospitalityq!M799="")</f>
        <v>0</v>
      </c>
      <c r="N799">
        <f>B799*(hospitalityq!N799="")</f>
        <v>0</v>
      </c>
      <c r="O799">
        <f>B799*(hospitalityq!O799="")</f>
        <v>0</v>
      </c>
      <c r="P799">
        <f>B799*(hospitalityq!P799="")</f>
        <v>0</v>
      </c>
      <c r="Q799">
        <f>B799*(hospitalityq!Q799="")</f>
        <v>0</v>
      </c>
      <c r="R799">
        <f>B799*(hospitalityq!R799="")</f>
        <v>0</v>
      </c>
    </row>
    <row r="800" spans="1:18" x14ac:dyDescent="0.25">
      <c r="A800">
        <f t="shared" si="13"/>
        <v>0</v>
      </c>
      <c r="B800" t="b">
        <f>SUMPRODUCT(LEN(hospitalityq!C800:R800))&gt;0</f>
        <v>0</v>
      </c>
      <c r="C800">
        <f>B800*(hospitalityq!C800="")</f>
        <v>0</v>
      </c>
      <c r="E800">
        <f>B800*(hospitalityq!E800="")</f>
        <v>0</v>
      </c>
      <c r="F800">
        <f>B800*(hospitalityq!F800="")</f>
        <v>0</v>
      </c>
      <c r="G800">
        <f>B800*(hospitalityq!G800="")</f>
        <v>0</v>
      </c>
      <c r="H800">
        <f>B800*(hospitalityq!H800="")</f>
        <v>0</v>
      </c>
      <c r="I800">
        <f>B800*(hospitalityq!I800="")</f>
        <v>0</v>
      </c>
      <c r="J800">
        <f>B800*(hospitalityq!J800="")</f>
        <v>0</v>
      </c>
      <c r="K800">
        <f>B800*(hospitalityq!K800="")</f>
        <v>0</v>
      </c>
      <c r="L800">
        <f>B800*(hospitalityq!L800="")</f>
        <v>0</v>
      </c>
      <c r="M800">
        <f>B800*(hospitalityq!M800="")</f>
        <v>0</v>
      </c>
      <c r="N800">
        <f>B800*(hospitalityq!N800="")</f>
        <v>0</v>
      </c>
      <c r="O800">
        <f>B800*(hospitalityq!O800="")</f>
        <v>0</v>
      </c>
      <c r="P800">
        <f>B800*(hospitalityq!P800="")</f>
        <v>0</v>
      </c>
      <c r="Q800">
        <f>B800*(hospitalityq!Q800="")</f>
        <v>0</v>
      </c>
      <c r="R800">
        <f>B800*(hospitalityq!R800="")</f>
        <v>0</v>
      </c>
    </row>
    <row r="801" spans="1:18" x14ac:dyDescent="0.25">
      <c r="A801">
        <f t="shared" si="13"/>
        <v>0</v>
      </c>
      <c r="B801" t="b">
        <f>SUMPRODUCT(LEN(hospitalityq!C801:R801))&gt;0</f>
        <v>0</v>
      </c>
      <c r="C801">
        <f>B801*(hospitalityq!C801="")</f>
        <v>0</v>
      </c>
      <c r="E801">
        <f>B801*(hospitalityq!E801="")</f>
        <v>0</v>
      </c>
      <c r="F801">
        <f>B801*(hospitalityq!F801="")</f>
        <v>0</v>
      </c>
      <c r="G801">
        <f>B801*(hospitalityq!G801="")</f>
        <v>0</v>
      </c>
      <c r="H801">
        <f>B801*(hospitalityq!H801="")</f>
        <v>0</v>
      </c>
      <c r="I801">
        <f>B801*(hospitalityq!I801="")</f>
        <v>0</v>
      </c>
      <c r="J801">
        <f>B801*(hospitalityq!J801="")</f>
        <v>0</v>
      </c>
      <c r="K801">
        <f>B801*(hospitalityq!K801="")</f>
        <v>0</v>
      </c>
      <c r="L801">
        <f>B801*(hospitalityq!L801="")</f>
        <v>0</v>
      </c>
      <c r="M801">
        <f>B801*(hospitalityq!M801="")</f>
        <v>0</v>
      </c>
      <c r="N801">
        <f>B801*(hospitalityq!N801="")</f>
        <v>0</v>
      </c>
      <c r="O801">
        <f>B801*(hospitalityq!O801="")</f>
        <v>0</v>
      </c>
      <c r="P801">
        <f>B801*(hospitalityq!P801="")</f>
        <v>0</v>
      </c>
      <c r="Q801">
        <f>B801*(hospitalityq!Q801="")</f>
        <v>0</v>
      </c>
      <c r="R801">
        <f>B801*(hospitalityq!R801="")</f>
        <v>0</v>
      </c>
    </row>
    <row r="802" spans="1:18" x14ac:dyDescent="0.25">
      <c r="A802">
        <f t="shared" si="13"/>
        <v>0</v>
      </c>
      <c r="B802" t="b">
        <f>SUMPRODUCT(LEN(hospitalityq!C802:R802))&gt;0</f>
        <v>0</v>
      </c>
      <c r="C802">
        <f>B802*(hospitalityq!C802="")</f>
        <v>0</v>
      </c>
      <c r="E802">
        <f>B802*(hospitalityq!E802="")</f>
        <v>0</v>
      </c>
      <c r="F802">
        <f>B802*(hospitalityq!F802="")</f>
        <v>0</v>
      </c>
      <c r="G802">
        <f>B802*(hospitalityq!G802="")</f>
        <v>0</v>
      </c>
      <c r="H802">
        <f>B802*(hospitalityq!H802="")</f>
        <v>0</v>
      </c>
      <c r="I802">
        <f>B802*(hospitalityq!I802="")</f>
        <v>0</v>
      </c>
      <c r="J802">
        <f>B802*(hospitalityq!J802="")</f>
        <v>0</v>
      </c>
      <c r="K802">
        <f>B802*(hospitalityq!K802="")</f>
        <v>0</v>
      </c>
      <c r="L802">
        <f>B802*(hospitalityq!L802="")</f>
        <v>0</v>
      </c>
      <c r="M802">
        <f>B802*(hospitalityq!M802="")</f>
        <v>0</v>
      </c>
      <c r="N802">
        <f>B802*(hospitalityq!N802="")</f>
        <v>0</v>
      </c>
      <c r="O802">
        <f>B802*(hospitalityq!O802="")</f>
        <v>0</v>
      </c>
      <c r="P802">
        <f>B802*(hospitalityq!P802="")</f>
        <v>0</v>
      </c>
      <c r="Q802">
        <f>B802*(hospitalityq!Q802="")</f>
        <v>0</v>
      </c>
      <c r="R802">
        <f>B802*(hospitalityq!R802="")</f>
        <v>0</v>
      </c>
    </row>
    <row r="803" spans="1:18" x14ac:dyDescent="0.25">
      <c r="A803">
        <f t="shared" si="13"/>
        <v>0</v>
      </c>
      <c r="B803" t="b">
        <f>SUMPRODUCT(LEN(hospitalityq!C803:R803))&gt;0</f>
        <v>0</v>
      </c>
      <c r="C803">
        <f>B803*(hospitalityq!C803="")</f>
        <v>0</v>
      </c>
      <c r="E803">
        <f>B803*(hospitalityq!E803="")</f>
        <v>0</v>
      </c>
      <c r="F803">
        <f>B803*(hospitalityq!F803="")</f>
        <v>0</v>
      </c>
      <c r="G803">
        <f>B803*(hospitalityq!G803="")</f>
        <v>0</v>
      </c>
      <c r="H803">
        <f>B803*(hospitalityq!H803="")</f>
        <v>0</v>
      </c>
      <c r="I803">
        <f>B803*(hospitalityq!I803="")</f>
        <v>0</v>
      </c>
      <c r="J803">
        <f>B803*(hospitalityq!J803="")</f>
        <v>0</v>
      </c>
      <c r="K803">
        <f>B803*(hospitalityq!K803="")</f>
        <v>0</v>
      </c>
      <c r="L803">
        <f>B803*(hospitalityq!L803="")</f>
        <v>0</v>
      </c>
      <c r="M803">
        <f>B803*(hospitalityq!M803="")</f>
        <v>0</v>
      </c>
      <c r="N803">
        <f>B803*(hospitalityq!N803="")</f>
        <v>0</v>
      </c>
      <c r="O803">
        <f>B803*(hospitalityq!O803="")</f>
        <v>0</v>
      </c>
      <c r="P803">
        <f>B803*(hospitalityq!P803="")</f>
        <v>0</v>
      </c>
      <c r="Q803">
        <f>B803*(hospitalityq!Q803="")</f>
        <v>0</v>
      </c>
      <c r="R803">
        <f>B803*(hospitalityq!R803="")</f>
        <v>0</v>
      </c>
    </row>
    <row r="804" spans="1:18" x14ac:dyDescent="0.25">
      <c r="A804">
        <f t="shared" si="13"/>
        <v>0</v>
      </c>
      <c r="B804" t="b">
        <f>SUMPRODUCT(LEN(hospitalityq!C804:R804))&gt;0</f>
        <v>0</v>
      </c>
      <c r="C804">
        <f>B804*(hospitalityq!C804="")</f>
        <v>0</v>
      </c>
      <c r="E804">
        <f>B804*(hospitalityq!E804="")</f>
        <v>0</v>
      </c>
      <c r="F804">
        <f>B804*(hospitalityq!F804="")</f>
        <v>0</v>
      </c>
      <c r="G804">
        <f>B804*(hospitalityq!G804="")</f>
        <v>0</v>
      </c>
      <c r="H804">
        <f>B804*(hospitalityq!H804="")</f>
        <v>0</v>
      </c>
      <c r="I804">
        <f>B804*(hospitalityq!I804="")</f>
        <v>0</v>
      </c>
      <c r="J804">
        <f>B804*(hospitalityq!J804="")</f>
        <v>0</v>
      </c>
      <c r="K804">
        <f>B804*(hospitalityq!K804="")</f>
        <v>0</v>
      </c>
      <c r="L804">
        <f>B804*(hospitalityq!L804="")</f>
        <v>0</v>
      </c>
      <c r="M804">
        <f>B804*(hospitalityq!M804="")</f>
        <v>0</v>
      </c>
      <c r="N804">
        <f>B804*(hospitalityq!N804="")</f>
        <v>0</v>
      </c>
      <c r="O804">
        <f>B804*(hospitalityq!O804="")</f>
        <v>0</v>
      </c>
      <c r="P804">
        <f>B804*(hospitalityq!P804="")</f>
        <v>0</v>
      </c>
      <c r="Q804">
        <f>B804*(hospitalityq!Q804="")</f>
        <v>0</v>
      </c>
      <c r="R804">
        <f>B804*(hospitalityq!R804="")</f>
        <v>0</v>
      </c>
    </row>
    <row r="805" spans="1:18" x14ac:dyDescent="0.25">
      <c r="A805">
        <f t="shared" si="13"/>
        <v>0</v>
      </c>
      <c r="B805" t="b">
        <f>SUMPRODUCT(LEN(hospitalityq!C805:R805))&gt;0</f>
        <v>0</v>
      </c>
      <c r="C805">
        <f>B805*(hospitalityq!C805="")</f>
        <v>0</v>
      </c>
      <c r="E805">
        <f>B805*(hospitalityq!E805="")</f>
        <v>0</v>
      </c>
      <c r="F805">
        <f>B805*(hospitalityq!F805="")</f>
        <v>0</v>
      </c>
      <c r="G805">
        <f>B805*(hospitalityq!G805="")</f>
        <v>0</v>
      </c>
      <c r="H805">
        <f>B805*(hospitalityq!H805="")</f>
        <v>0</v>
      </c>
      <c r="I805">
        <f>B805*(hospitalityq!I805="")</f>
        <v>0</v>
      </c>
      <c r="J805">
        <f>B805*(hospitalityq!J805="")</f>
        <v>0</v>
      </c>
      <c r="K805">
        <f>B805*(hospitalityq!K805="")</f>
        <v>0</v>
      </c>
      <c r="L805">
        <f>B805*(hospitalityq!L805="")</f>
        <v>0</v>
      </c>
      <c r="M805">
        <f>B805*(hospitalityq!M805="")</f>
        <v>0</v>
      </c>
      <c r="N805">
        <f>B805*(hospitalityq!N805="")</f>
        <v>0</v>
      </c>
      <c r="O805">
        <f>B805*(hospitalityq!O805="")</f>
        <v>0</v>
      </c>
      <c r="P805">
        <f>B805*(hospitalityq!P805="")</f>
        <v>0</v>
      </c>
      <c r="Q805">
        <f>B805*(hospitalityq!Q805="")</f>
        <v>0</v>
      </c>
      <c r="R805">
        <f>B805*(hospitalityq!R805="")</f>
        <v>0</v>
      </c>
    </row>
    <row r="806" spans="1:18" x14ac:dyDescent="0.25">
      <c r="A806">
        <f t="shared" si="13"/>
        <v>0</v>
      </c>
      <c r="B806" t="b">
        <f>SUMPRODUCT(LEN(hospitalityq!C806:R806))&gt;0</f>
        <v>0</v>
      </c>
      <c r="C806">
        <f>B806*(hospitalityq!C806="")</f>
        <v>0</v>
      </c>
      <c r="E806">
        <f>B806*(hospitalityq!E806="")</f>
        <v>0</v>
      </c>
      <c r="F806">
        <f>B806*(hospitalityq!F806="")</f>
        <v>0</v>
      </c>
      <c r="G806">
        <f>B806*(hospitalityq!G806="")</f>
        <v>0</v>
      </c>
      <c r="H806">
        <f>B806*(hospitalityq!H806="")</f>
        <v>0</v>
      </c>
      <c r="I806">
        <f>B806*(hospitalityq!I806="")</f>
        <v>0</v>
      </c>
      <c r="J806">
        <f>B806*(hospitalityq!J806="")</f>
        <v>0</v>
      </c>
      <c r="K806">
        <f>B806*(hospitalityq!K806="")</f>
        <v>0</v>
      </c>
      <c r="L806">
        <f>B806*(hospitalityq!L806="")</f>
        <v>0</v>
      </c>
      <c r="M806">
        <f>B806*(hospitalityq!M806="")</f>
        <v>0</v>
      </c>
      <c r="N806">
        <f>B806*(hospitalityq!N806="")</f>
        <v>0</v>
      </c>
      <c r="O806">
        <f>B806*(hospitalityq!O806="")</f>
        <v>0</v>
      </c>
      <c r="P806">
        <f>B806*(hospitalityq!P806="")</f>
        <v>0</v>
      </c>
      <c r="Q806">
        <f>B806*(hospitalityq!Q806="")</f>
        <v>0</v>
      </c>
      <c r="R806">
        <f>B806*(hospitalityq!R806="")</f>
        <v>0</v>
      </c>
    </row>
    <row r="807" spans="1:18" x14ac:dyDescent="0.25">
      <c r="A807">
        <f t="shared" si="13"/>
        <v>0</v>
      </c>
      <c r="B807" t="b">
        <f>SUMPRODUCT(LEN(hospitalityq!C807:R807))&gt;0</f>
        <v>0</v>
      </c>
      <c r="C807">
        <f>B807*(hospitalityq!C807="")</f>
        <v>0</v>
      </c>
      <c r="E807">
        <f>B807*(hospitalityq!E807="")</f>
        <v>0</v>
      </c>
      <c r="F807">
        <f>B807*(hospitalityq!F807="")</f>
        <v>0</v>
      </c>
      <c r="G807">
        <f>B807*(hospitalityq!G807="")</f>
        <v>0</v>
      </c>
      <c r="H807">
        <f>B807*(hospitalityq!H807="")</f>
        <v>0</v>
      </c>
      <c r="I807">
        <f>B807*(hospitalityq!I807="")</f>
        <v>0</v>
      </c>
      <c r="J807">
        <f>B807*(hospitalityq!J807="")</f>
        <v>0</v>
      </c>
      <c r="K807">
        <f>B807*(hospitalityq!K807="")</f>
        <v>0</v>
      </c>
      <c r="L807">
        <f>B807*(hospitalityq!L807="")</f>
        <v>0</v>
      </c>
      <c r="M807">
        <f>B807*(hospitalityq!M807="")</f>
        <v>0</v>
      </c>
      <c r="N807">
        <f>B807*(hospitalityq!N807="")</f>
        <v>0</v>
      </c>
      <c r="O807">
        <f>B807*(hospitalityq!O807="")</f>
        <v>0</v>
      </c>
      <c r="P807">
        <f>B807*(hospitalityq!P807="")</f>
        <v>0</v>
      </c>
      <c r="Q807">
        <f>B807*(hospitalityq!Q807="")</f>
        <v>0</v>
      </c>
      <c r="R807">
        <f>B807*(hospitalityq!R807="")</f>
        <v>0</v>
      </c>
    </row>
    <row r="808" spans="1:18" x14ac:dyDescent="0.25">
      <c r="A808">
        <f t="shared" si="13"/>
        <v>0</v>
      </c>
      <c r="B808" t="b">
        <f>SUMPRODUCT(LEN(hospitalityq!C808:R808))&gt;0</f>
        <v>0</v>
      </c>
      <c r="C808">
        <f>B808*(hospitalityq!C808="")</f>
        <v>0</v>
      </c>
      <c r="E808">
        <f>B808*(hospitalityq!E808="")</f>
        <v>0</v>
      </c>
      <c r="F808">
        <f>B808*(hospitalityq!F808="")</f>
        <v>0</v>
      </c>
      <c r="G808">
        <f>B808*(hospitalityq!G808="")</f>
        <v>0</v>
      </c>
      <c r="H808">
        <f>B808*(hospitalityq!H808="")</f>
        <v>0</v>
      </c>
      <c r="I808">
        <f>B808*(hospitalityq!I808="")</f>
        <v>0</v>
      </c>
      <c r="J808">
        <f>B808*(hospitalityq!J808="")</f>
        <v>0</v>
      </c>
      <c r="K808">
        <f>B808*(hospitalityq!K808="")</f>
        <v>0</v>
      </c>
      <c r="L808">
        <f>B808*(hospitalityq!L808="")</f>
        <v>0</v>
      </c>
      <c r="M808">
        <f>B808*(hospitalityq!M808="")</f>
        <v>0</v>
      </c>
      <c r="N808">
        <f>B808*(hospitalityq!N808="")</f>
        <v>0</v>
      </c>
      <c r="O808">
        <f>B808*(hospitalityq!O808="")</f>
        <v>0</v>
      </c>
      <c r="P808">
        <f>B808*(hospitalityq!P808="")</f>
        <v>0</v>
      </c>
      <c r="Q808">
        <f>B808*(hospitalityq!Q808="")</f>
        <v>0</v>
      </c>
      <c r="R808">
        <f>B808*(hospitalityq!R808="")</f>
        <v>0</v>
      </c>
    </row>
    <row r="809" spans="1:18" x14ac:dyDescent="0.25">
      <c r="A809">
        <f t="shared" si="13"/>
        <v>0</v>
      </c>
      <c r="B809" t="b">
        <f>SUMPRODUCT(LEN(hospitalityq!C809:R809))&gt;0</f>
        <v>0</v>
      </c>
      <c r="C809">
        <f>B809*(hospitalityq!C809="")</f>
        <v>0</v>
      </c>
      <c r="E809">
        <f>B809*(hospitalityq!E809="")</f>
        <v>0</v>
      </c>
      <c r="F809">
        <f>B809*(hospitalityq!F809="")</f>
        <v>0</v>
      </c>
      <c r="G809">
        <f>B809*(hospitalityq!G809="")</f>
        <v>0</v>
      </c>
      <c r="H809">
        <f>B809*(hospitalityq!H809="")</f>
        <v>0</v>
      </c>
      <c r="I809">
        <f>B809*(hospitalityq!I809="")</f>
        <v>0</v>
      </c>
      <c r="J809">
        <f>B809*(hospitalityq!J809="")</f>
        <v>0</v>
      </c>
      <c r="K809">
        <f>B809*(hospitalityq!K809="")</f>
        <v>0</v>
      </c>
      <c r="L809">
        <f>B809*(hospitalityq!L809="")</f>
        <v>0</v>
      </c>
      <c r="M809">
        <f>B809*(hospitalityq!M809="")</f>
        <v>0</v>
      </c>
      <c r="N809">
        <f>B809*(hospitalityq!N809="")</f>
        <v>0</v>
      </c>
      <c r="O809">
        <f>B809*(hospitalityq!O809="")</f>
        <v>0</v>
      </c>
      <c r="P809">
        <f>B809*(hospitalityq!P809="")</f>
        <v>0</v>
      </c>
      <c r="Q809">
        <f>B809*(hospitalityq!Q809="")</f>
        <v>0</v>
      </c>
      <c r="R809">
        <f>B809*(hospitalityq!R809="")</f>
        <v>0</v>
      </c>
    </row>
    <row r="810" spans="1:18" x14ac:dyDescent="0.25">
      <c r="A810">
        <f t="shared" si="13"/>
        <v>0</v>
      </c>
      <c r="B810" t="b">
        <f>SUMPRODUCT(LEN(hospitalityq!C810:R810))&gt;0</f>
        <v>0</v>
      </c>
      <c r="C810">
        <f>B810*(hospitalityq!C810="")</f>
        <v>0</v>
      </c>
      <c r="E810">
        <f>B810*(hospitalityq!E810="")</f>
        <v>0</v>
      </c>
      <c r="F810">
        <f>B810*(hospitalityq!F810="")</f>
        <v>0</v>
      </c>
      <c r="G810">
        <f>B810*(hospitalityq!G810="")</f>
        <v>0</v>
      </c>
      <c r="H810">
        <f>B810*(hospitalityq!H810="")</f>
        <v>0</v>
      </c>
      <c r="I810">
        <f>B810*(hospitalityq!I810="")</f>
        <v>0</v>
      </c>
      <c r="J810">
        <f>B810*(hospitalityq!J810="")</f>
        <v>0</v>
      </c>
      <c r="K810">
        <f>B810*(hospitalityq!K810="")</f>
        <v>0</v>
      </c>
      <c r="L810">
        <f>B810*(hospitalityq!L810="")</f>
        <v>0</v>
      </c>
      <c r="M810">
        <f>B810*(hospitalityq!M810="")</f>
        <v>0</v>
      </c>
      <c r="N810">
        <f>B810*(hospitalityq!N810="")</f>
        <v>0</v>
      </c>
      <c r="O810">
        <f>B810*(hospitalityq!O810="")</f>
        <v>0</v>
      </c>
      <c r="P810">
        <f>B810*(hospitalityq!P810="")</f>
        <v>0</v>
      </c>
      <c r="Q810">
        <f>B810*(hospitalityq!Q810="")</f>
        <v>0</v>
      </c>
      <c r="R810">
        <f>B810*(hospitalityq!R810="")</f>
        <v>0</v>
      </c>
    </row>
    <row r="811" spans="1:18" x14ac:dyDescent="0.25">
      <c r="A811">
        <f t="shared" si="13"/>
        <v>0</v>
      </c>
      <c r="B811" t="b">
        <f>SUMPRODUCT(LEN(hospitalityq!C811:R811))&gt;0</f>
        <v>0</v>
      </c>
      <c r="C811">
        <f>B811*(hospitalityq!C811="")</f>
        <v>0</v>
      </c>
      <c r="E811">
        <f>B811*(hospitalityq!E811="")</f>
        <v>0</v>
      </c>
      <c r="F811">
        <f>B811*(hospitalityq!F811="")</f>
        <v>0</v>
      </c>
      <c r="G811">
        <f>B811*(hospitalityq!G811="")</f>
        <v>0</v>
      </c>
      <c r="H811">
        <f>B811*(hospitalityq!H811="")</f>
        <v>0</v>
      </c>
      <c r="I811">
        <f>B811*(hospitalityq!I811="")</f>
        <v>0</v>
      </c>
      <c r="J811">
        <f>B811*(hospitalityq!J811="")</f>
        <v>0</v>
      </c>
      <c r="K811">
        <f>B811*(hospitalityq!K811="")</f>
        <v>0</v>
      </c>
      <c r="L811">
        <f>B811*(hospitalityq!L811="")</f>
        <v>0</v>
      </c>
      <c r="M811">
        <f>B811*(hospitalityq!M811="")</f>
        <v>0</v>
      </c>
      <c r="N811">
        <f>B811*(hospitalityq!N811="")</f>
        <v>0</v>
      </c>
      <c r="O811">
        <f>B811*(hospitalityq!O811="")</f>
        <v>0</v>
      </c>
      <c r="P811">
        <f>B811*(hospitalityq!P811="")</f>
        <v>0</v>
      </c>
      <c r="Q811">
        <f>B811*(hospitalityq!Q811="")</f>
        <v>0</v>
      </c>
      <c r="R811">
        <f>B811*(hospitalityq!R811="")</f>
        <v>0</v>
      </c>
    </row>
    <row r="812" spans="1:18" x14ac:dyDescent="0.25">
      <c r="A812">
        <f t="shared" si="13"/>
        <v>0</v>
      </c>
      <c r="B812" t="b">
        <f>SUMPRODUCT(LEN(hospitalityq!C812:R812))&gt;0</f>
        <v>0</v>
      </c>
      <c r="C812">
        <f>B812*(hospitalityq!C812="")</f>
        <v>0</v>
      </c>
      <c r="E812">
        <f>B812*(hospitalityq!E812="")</f>
        <v>0</v>
      </c>
      <c r="F812">
        <f>B812*(hospitalityq!F812="")</f>
        <v>0</v>
      </c>
      <c r="G812">
        <f>B812*(hospitalityq!G812="")</f>
        <v>0</v>
      </c>
      <c r="H812">
        <f>B812*(hospitalityq!H812="")</f>
        <v>0</v>
      </c>
      <c r="I812">
        <f>B812*(hospitalityq!I812="")</f>
        <v>0</v>
      </c>
      <c r="J812">
        <f>B812*(hospitalityq!J812="")</f>
        <v>0</v>
      </c>
      <c r="K812">
        <f>B812*(hospitalityq!K812="")</f>
        <v>0</v>
      </c>
      <c r="L812">
        <f>B812*(hospitalityq!L812="")</f>
        <v>0</v>
      </c>
      <c r="M812">
        <f>B812*(hospitalityq!M812="")</f>
        <v>0</v>
      </c>
      <c r="N812">
        <f>B812*(hospitalityq!N812="")</f>
        <v>0</v>
      </c>
      <c r="O812">
        <f>B812*(hospitalityq!O812="")</f>
        <v>0</v>
      </c>
      <c r="P812">
        <f>B812*(hospitalityq!P812="")</f>
        <v>0</v>
      </c>
      <c r="Q812">
        <f>B812*(hospitalityq!Q812="")</f>
        <v>0</v>
      </c>
      <c r="R812">
        <f>B812*(hospitalityq!R812="")</f>
        <v>0</v>
      </c>
    </row>
    <row r="813" spans="1:18" x14ac:dyDescent="0.25">
      <c r="A813">
        <f t="shared" si="13"/>
        <v>0</v>
      </c>
      <c r="B813" t="b">
        <f>SUMPRODUCT(LEN(hospitalityq!C813:R813))&gt;0</f>
        <v>0</v>
      </c>
      <c r="C813">
        <f>B813*(hospitalityq!C813="")</f>
        <v>0</v>
      </c>
      <c r="E813">
        <f>B813*(hospitalityq!E813="")</f>
        <v>0</v>
      </c>
      <c r="F813">
        <f>B813*(hospitalityq!F813="")</f>
        <v>0</v>
      </c>
      <c r="G813">
        <f>B813*(hospitalityq!G813="")</f>
        <v>0</v>
      </c>
      <c r="H813">
        <f>B813*(hospitalityq!H813="")</f>
        <v>0</v>
      </c>
      <c r="I813">
        <f>B813*(hospitalityq!I813="")</f>
        <v>0</v>
      </c>
      <c r="J813">
        <f>B813*(hospitalityq!J813="")</f>
        <v>0</v>
      </c>
      <c r="K813">
        <f>B813*(hospitalityq!K813="")</f>
        <v>0</v>
      </c>
      <c r="L813">
        <f>B813*(hospitalityq!L813="")</f>
        <v>0</v>
      </c>
      <c r="M813">
        <f>B813*(hospitalityq!M813="")</f>
        <v>0</v>
      </c>
      <c r="N813">
        <f>B813*(hospitalityq!N813="")</f>
        <v>0</v>
      </c>
      <c r="O813">
        <f>B813*(hospitalityq!O813="")</f>
        <v>0</v>
      </c>
      <c r="P813">
        <f>B813*(hospitalityq!P813="")</f>
        <v>0</v>
      </c>
      <c r="Q813">
        <f>B813*(hospitalityq!Q813="")</f>
        <v>0</v>
      </c>
      <c r="R813">
        <f>B813*(hospitalityq!R813="")</f>
        <v>0</v>
      </c>
    </row>
    <row r="814" spans="1:18" x14ac:dyDescent="0.25">
      <c r="A814">
        <f t="shared" si="13"/>
        <v>0</v>
      </c>
      <c r="B814" t="b">
        <f>SUMPRODUCT(LEN(hospitalityq!C814:R814))&gt;0</f>
        <v>0</v>
      </c>
      <c r="C814">
        <f>B814*(hospitalityq!C814="")</f>
        <v>0</v>
      </c>
      <c r="E814">
        <f>B814*(hospitalityq!E814="")</f>
        <v>0</v>
      </c>
      <c r="F814">
        <f>B814*(hospitalityq!F814="")</f>
        <v>0</v>
      </c>
      <c r="G814">
        <f>B814*(hospitalityq!G814="")</f>
        <v>0</v>
      </c>
      <c r="H814">
        <f>B814*(hospitalityq!H814="")</f>
        <v>0</v>
      </c>
      <c r="I814">
        <f>B814*(hospitalityq!I814="")</f>
        <v>0</v>
      </c>
      <c r="J814">
        <f>B814*(hospitalityq!J814="")</f>
        <v>0</v>
      </c>
      <c r="K814">
        <f>B814*(hospitalityq!K814="")</f>
        <v>0</v>
      </c>
      <c r="L814">
        <f>B814*(hospitalityq!L814="")</f>
        <v>0</v>
      </c>
      <c r="M814">
        <f>B814*(hospitalityq!M814="")</f>
        <v>0</v>
      </c>
      <c r="N814">
        <f>B814*(hospitalityq!N814="")</f>
        <v>0</v>
      </c>
      <c r="O814">
        <f>B814*(hospitalityq!O814="")</f>
        <v>0</v>
      </c>
      <c r="P814">
        <f>B814*(hospitalityq!P814="")</f>
        <v>0</v>
      </c>
      <c r="Q814">
        <f>B814*(hospitalityq!Q814="")</f>
        <v>0</v>
      </c>
      <c r="R814">
        <f>B814*(hospitalityq!R814="")</f>
        <v>0</v>
      </c>
    </row>
    <row r="815" spans="1:18" x14ac:dyDescent="0.25">
      <c r="A815">
        <f t="shared" si="13"/>
        <v>0</v>
      </c>
      <c r="B815" t="b">
        <f>SUMPRODUCT(LEN(hospitalityq!C815:R815))&gt;0</f>
        <v>0</v>
      </c>
      <c r="C815">
        <f>B815*(hospitalityq!C815="")</f>
        <v>0</v>
      </c>
      <c r="E815">
        <f>B815*(hospitalityq!E815="")</f>
        <v>0</v>
      </c>
      <c r="F815">
        <f>B815*(hospitalityq!F815="")</f>
        <v>0</v>
      </c>
      <c r="G815">
        <f>B815*(hospitalityq!G815="")</f>
        <v>0</v>
      </c>
      <c r="H815">
        <f>B815*(hospitalityq!H815="")</f>
        <v>0</v>
      </c>
      <c r="I815">
        <f>B815*(hospitalityq!I815="")</f>
        <v>0</v>
      </c>
      <c r="J815">
        <f>B815*(hospitalityq!J815="")</f>
        <v>0</v>
      </c>
      <c r="K815">
        <f>B815*(hospitalityq!K815="")</f>
        <v>0</v>
      </c>
      <c r="L815">
        <f>B815*(hospitalityq!L815="")</f>
        <v>0</v>
      </c>
      <c r="M815">
        <f>B815*(hospitalityq!M815="")</f>
        <v>0</v>
      </c>
      <c r="N815">
        <f>B815*(hospitalityq!N815="")</f>
        <v>0</v>
      </c>
      <c r="O815">
        <f>B815*(hospitalityq!O815="")</f>
        <v>0</v>
      </c>
      <c r="P815">
        <f>B815*(hospitalityq!P815="")</f>
        <v>0</v>
      </c>
      <c r="Q815">
        <f>B815*(hospitalityq!Q815="")</f>
        <v>0</v>
      </c>
      <c r="R815">
        <f>B815*(hospitalityq!R815="")</f>
        <v>0</v>
      </c>
    </row>
    <row r="816" spans="1:18" x14ac:dyDescent="0.25">
      <c r="A816">
        <f t="shared" si="13"/>
        <v>0</v>
      </c>
      <c r="B816" t="b">
        <f>SUMPRODUCT(LEN(hospitalityq!C816:R816))&gt;0</f>
        <v>0</v>
      </c>
      <c r="C816">
        <f>B816*(hospitalityq!C816="")</f>
        <v>0</v>
      </c>
      <c r="E816">
        <f>B816*(hospitalityq!E816="")</f>
        <v>0</v>
      </c>
      <c r="F816">
        <f>B816*(hospitalityq!F816="")</f>
        <v>0</v>
      </c>
      <c r="G816">
        <f>B816*(hospitalityq!G816="")</f>
        <v>0</v>
      </c>
      <c r="H816">
        <f>B816*(hospitalityq!H816="")</f>
        <v>0</v>
      </c>
      <c r="I816">
        <f>B816*(hospitalityq!I816="")</f>
        <v>0</v>
      </c>
      <c r="J816">
        <f>B816*(hospitalityq!J816="")</f>
        <v>0</v>
      </c>
      <c r="K816">
        <f>B816*(hospitalityq!K816="")</f>
        <v>0</v>
      </c>
      <c r="L816">
        <f>B816*(hospitalityq!L816="")</f>
        <v>0</v>
      </c>
      <c r="M816">
        <f>B816*(hospitalityq!M816="")</f>
        <v>0</v>
      </c>
      <c r="N816">
        <f>B816*(hospitalityq!N816="")</f>
        <v>0</v>
      </c>
      <c r="O816">
        <f>B816*(hospitalityq!O816="")</f>
        <v>0</v>
      </c>
      <c r="P816">
        <f>B816*(hospitalityq!P816="")</f>
        <v>0</v>
      </c>
      <c r="Q816">
        <f>B816*(hospitalityq!Q816="")</f>
        <v>0</v>
      </c>
      <c r="R816">
        <f>B816*(hospitalityq!R816="")</f>
        <v>0</v>
      </c>
    </row>
    <row r="817" spans="1:18" x14ac:dyDescent="0.25">
      <c r="A817">
        <f t="shared" si="13"/>
        <v>0</v>
      </c>
      <c r="B817" t="b">
        <f>SUMPRODUCT(LEN(hospitalityq!C817:R817))&gt;0</f>
        <v>0</v>
      </c>
      <c r="C817">
        <f>B817*(hospitalityq!C817="")</f>
        <v>0</v>
      </c>
      <c r="E817">
        <f>B817*(hospitalityq!E817="")</f>
        <v>0</v>
      </c>
      <c r="F817">
        <f>B817*(hospitalityq!F817="")</f>
        <v>0</v>
      </c>
      <c r="G817">
        <f>B817*(hospitalityq!G817="")</f>
        <v>0</v>
      </c>
      <c r="H817">
        <f>B817*(hospitalityq!H817="")</f>
        <v>0</v>
      </c>
      <c r="I817">
        <f>B817*(hospitalityq!I817="")</f>
        <v>0</v>
      </c>
      <c r="J817">
        <f>B817*(hospitalityq!J817="")</f>
        <v>0</v>
      </c>
      <c r="K817">
        <f>B817*(hospitalityq!K817="")</f>
        <v>0</v>
      </c>
      <c r="L817">
        <f>B817*(hospitalityq!L817="")</f>
        <v>0</v>
      </c>
      <c r="M817">
        <f>B817*(hospitalityq!M817="")</f>
        <v>0</v>
      </c>
      <c r="N817">
        <f>B817*(hospitalityq!N817="")</f>
        <v>0</v>
      </c>
      <c r="O817">
        <f>B817*(hospitalityq!O817="")</f>
        <v>0</v>
      </c>
      <c r="P817">
        <f>B817*(hospitalityq!P817="")</f>
        <v>0</v>
      </c>
      <c r="Q817">
        <f>B817*(hospitalityq!Q817="")</f>
        <v>0</v>
      </c>
      <c r="R817">
        <f>B817*(hospitalityq!R817="")</f>
        <v>0</v>
      </c>
    </row>
    <row r="818" spans="1:18" x14ac:dyDescent="0.25">
      <c r="A818">
        <f t="shared" si="13"/>
        <v>0</v>
      </c>
      <c r="B818" t="b">
        <f>SUMPRODUCT(LEN(hospitalityq!C818:R818))&gt;0</f>
        <v>0</v>
      </c>
      <c r="C818">
        <f>B818*(hospitalityq!C818="")</f>
        <v>0</v>
      </c>
      <c r="E818">
        <f>B818*(hospitalityq!E818="")</f>
        <v>0</v>
      </c>
      <c r="F818">
        <f>B818*(hospitalityq!F818="")</f>
        <v>0</v>
      </c>
      <c r="G818">
        <f>B818*(hospitalityq!G818="")</f>
        <v>0</v>
      </c>
      <c r="H818">
        <f>B818*(hospitalityq!H818="")</f>
        <v>0</v>
      </c>
      <c r="I818">
        <f>B818*(hospitalityq!I818="")</f>
        <v>0</v>
      </c>
      <c r="J818">
        <f>B818*(hospitalityq!J818="")</f>
        <v>0</v>
      </c>
      <c r="K818">
        <f>B818*(hospitalityq!K818="")</f>
        <v>0</v>
      </c>
      <c r="L818">
        <f>B818*(hospitalityq!L818="")</f>
        <v>0</v>
      </c>
      <c r="M818">
        <f>B818*(hospitalityq!M818="")</f>
        <v>0</v>
      </c>
      <c r="N818">
        <f>B818*(hospitalityq!N818="")</f>
        <v>0</v>
      </c>
      <c r="O818">
        <f>B818*(hospitalityq!O818="")</f>
        <v>0</v>
      </c>
      <c r="P818">
        <f>B818*(hospitalityq!P818="")</f>
        <v>0</v>
      </c>
      <c r="Q818">
        <f>B818*(hospitalityq!Q818="")</f>
        <v>0</v>
      </c>
      <c r="R818">
        <f>B818*(hospitalityq!R818="")</f>
        <v>0</v>
      </c>
    </row>
    <row r="819" spans="1:18" x14ac:dyDescent="0.25">
      <c r="A819">
        <f t="shared" si="13"/>
        <v>0</v>
      </c>
      <c r="B819" t="b">
        <f>SUMPRODUCT(LEN(hospitalityq!C819:R819))&gt;0</f>
        <v>0</v>
      </c>
      <c r="C819">
        <f>B819*(hospitalityq!C819="")</f>
        <v>0</v>
      </c>
      <c r="E819">
        <f>B819*(hospitalityq!E819="")</f>
        <v>0</v>
      </c>
      <c r="F819">
        <f>B819*(hospitalityq!F819="")</f>
        <v>0</v>
      </c>
      <c r="G819">
        <f>B819*(hospitalityq!G819="")</f>
        <v>0</v>
      </c>
      <c r="H819">
        <f>B819*(hospitalityq!H819="")</f>
        <v>0</v>
      </c>
      <c r="I819">
        <f>B819*(hospitalityq!I819="")</f>
        <v>0</v>
      </c>
      <c r="J819">
        <f>B819*(hospitalityq!J819="")</f>
        <v>0</v>
      </c>
      <c r="K819">
        <f>B819*(hospitalityq!K819="")</f>
        <v>0</v>
      </c>
      <c r="L819">
        <f>B819*(hospitalityq!L819="")</f>
        <v>0</v>
      </c>
      <c r="M819">
        <f>B819*(hospitalityq!M819="")</f>
        <v>0</v>
      </c>
      <c r="N819">
        <f>B819*(hospitalityq!N819="")</f>
        <v>0</v>
      </c>
      <c r="O819">
        <f>B819*(hospitalityq!O819="")</f>
        <v>0</v>
      </c>
      <c r="P819">
        <f>B819*(hospitalityq!P819="")</f>
        <v>0</v>
      </c>
      <c r="Q819">
        <f>B819*(hospitalityq!Q819="")</f>
        <v>0</v>
      </c>
      <c r="R819">
        <f>B819*(hospitalityq!R819="")</f>
        <v>0</v>
      </c>
    </row>
    <row r="820" spans="1:18" x14ac:dyDescent="0.25">
      <c r="A820">
        <f t="shared" si="13"/>
        <v>0</v>
      </c>
      <c r="B820" t="b">
        <f>SUMPRODUCT(LEN(hospitalityq!C820:R820))&gt;0</f>
        <v>0</v>
      </c>
      <c r="C820">
        <f>B820*(hospitalityq!C820="")</f>
        <v>0</v>
      </c>
      <c r="E820">
        <f>B820*(hospitalityq!E820="")</f>
        <v>0</v>
      </c>
      <c r="F820">
        <f>B820*(hospitalityq!F820="")</f>
        <v>0</v>
      </c>
      <c r="G820">
        <f>B820*(hospitalityq!G820="")</f>
        <v>0</v>
      </c>
      <c r="H820">
        <f>B820*(hospitalityq!H820="")</f>
        <v>0</v>
      </c>
      <c r="I820">
        <f>B820*(hospitalityq!I820="")</f>
        <v>0</v>
      </c>
      <c r="J820">
        <f>B820*(hospitalityq!J820="")</f>
        <v>0</v>
      </c>
      <c r="K820">
        <f>B820*(hospitalityq!K820="")</f>
        <v>0</v>
      </c>
      <c r="L820">
        <f>B820*(hospitalityq!L820="")</f>
        <v>0</v>
      </c>
      <c r="M820">
        <f>B820*(hospitalityq!M820="")</f>
        <v>0</v>
      </c>
      <c r="N820">
        <f>B820*(hospitalityq!N820="")</f>
        <v>0</v>
      </c>
      <c r="O820">
        <f>B820*(hospitalityq!O820="")</f>
        <v>0</v>
      </c>
      <c r="P820">
        <f>B820*(hospitalityq!P820="")</f>
        <v>0</v>
      </c>
      <c r="Q820">
        <f>B820*(hospitalityq!Q820="")</f>
        <v>0</v>
      </c>
      <c r="R820">
        <f>B820*(hospitalityq!R820="")</f>
        <v>0</v>
      </c>
    </row>
    <row r="821" spans="1:18" x14ac:dyDescent="0.25">
      <c r="A821">
        <f t="shared" si="13"/>
        <v>0</v>
      </c>
      <c r="B821" t="b">
        <f>SUMPRODUCT(LEN(hospitalityq!C821:R821))&gt;0</f>
        <v>0</v>
      </c>
      <c r="C821">
        <f>B821*(hospitalityq!C821="")</f>
        <v>0</v>
      </c>
      <c r="E821">
        <f>B821*(hospitalityq!E821="")</f>
        <v>0</v>
      </c>
      <c r="F821">
        <f>B821*(hospitalityq!F821="")</f>
        <v>0</v>
      </c>
      <c r="G821">
        <f>B821*(hospitalityq!G821="")</f>
        <v>0</v>
      </c>
      <c r="H821">
        <f>B821*(hospitalityq!H821="")</f>
        <v>0</v>
      </c>
      <c r="I821">
        <f>B821*(hospitalityq!I821="")</f>
        <v>0</v>
      </c>
      <c r="J821">
        <f>B821*(hospitalityq!J821="")</f>
        <v>0</v>
      </c>
      <c r="K821">
        <f>B821*(hospitalityq!K821="")</f>
        <v>0</v>
      </c>
      <c r="L821">
        <f>B821*(hospitalityq!L821="")</f>
        <v>0</v>
      </c>
      <c r="M821">
        <f>B821*(hospitalityq!M821="")</f>
        <v>0</v>
      </c>
      <c r="N821">
        <f>B821*(hospitalityq!N821="")</f>
        <v>0</v>
      </c>
      <c r="O821">
        <f>B821*(hospitalityq!O821="")</f>
        <v>0</v>
      </c>
      <c r="P821">
        <f>B821*(hospitalityq!P821="")</f>
        <v>0</v>
      </c>
      <c r="Q821">
        <f>B821*(hospitalityq!Q821="")</f>
        <v>0</v>
      </c>
      <c r="R821">
        <f>B821*(hospitalityq!R821="")</f>
        <v>0</v>
      </c>
    </row>
    <row r="822" spans="1:18" x14ac:dyDescent="0.25">
      <c r="A822">
        <f t="shared" si="13"/>
        <v>0</v>
      </c>
      <c r="B822" t="b">
        <f>SUMPRODUCT(LEN(hospitalityq!C822:R822))&gt;0</f>
        <v>0</v>
      </c>
      <c r="C822">
        <f>B822*(hospitalityq!C822="")</f>
        <v>0</v>
      </c>
      <c r="E822">
        <f>B822*(hospitalityq!E822="")</f>
        <v>0</v>
      </c>
      <c r="F822">
        <f>B822*(hospitalityq!F822="")</f>
        <v>0</v>
      </c>
      <c r="G822">
        <f>B822*(hospitalityq!G822="")</f>
        <v>0</v>
      </c>
      <c r="H822">
        <f>B822*(hospitalityq!H822="")</f>
        <v>0</v>
      </c>
      <c r="I822">
        <f>B822*(hospitalityq!I822="")</f>
        <v>0</v>
      </c>
      <c r="J822">
        <f>B822*(hospitalityq!J822="")</f>
        <v>0</v>
      </c>
      <c r="K822">
        <f>B822*(hospitalityq!K822="")</f>
        <v>0</v>
      </c>
      <c r="L822">
        <f>B822*(hospitalityq!L822="")</f>
        <v>0</v>
      </c>
      <c r="M822">
        <f>B822*(hospitalityq!M822="")</f>
        <v>0</v>
      </c>
      <c r="N822">
        <f>B822*(hospitalityq!N822="")</f>
        <v>0</v>
      </c>
      <c r="O822">
        <f>B822*(hospitalityq!O822="")</f>
        <v>0</v>
      </c>
      <c r="P822">
        <f>B822*(hospitalityq!P822="")</f>
        <v>0</v>
      </c>
      <c r="Q822">
        <f>B822*(hospitalityq!Q822="")</f>
        <v>0</v>
      </c>
      <c r="R822">
        <f>B822*(hospitalityq!R822="")</f>
        <v>0</v>
      </c>
    </row>
    <row r="823" spans="1:18" x14ac:dyDescent="0.25">
      <c r="A823">
        <f t="shared" si="13"/>
        <v>0</v>
      </c>
      <c r="B823" t="b">
        <f>SUMPRODUCT(LEN(hospitalityq!C823:R823))&gt;0</f>
        <v>0</v>
      </c>
      <c r="C823">
        <f>B823*(hospitalityq!C823="")</f>
        <v>0</v>
      </c>
      <c r="E823">
        <f>B823*(hospitalityq!E823="")</f>
        <v>0</v>
      </c>
      <c r="F823">
        <f>B823*(hospitalityq!F823="")</f>
        <v>0</v>
      </c>
      <c r="G823">
        <f>B823*(hospitalityq!G823="")</f>
        <v>0</v>
      </c>
      <c r="H823">
        <f>B823*(hospitalityq!H823="")</f>
        <v>0</v>
      </c>
      <c r="I823">
        <f>B823*(hospitalityq!I823="")</f>
        <v>0</v>
      </c>
      <c r="J823">
        <f>B823*(hospitalityq!J823="")</f>
        <v>0</v>
      </c>
      <c r="K823">
        <f>B823*(hospitalityq!K823="")</f>
        <v>0</v>
      </c>
      <c r="L823">
        <f>B823*(hospitalityq!L823="")</f>
        <v>0</v>
      </c>
      <c r="M823">
        <f>B823*(hospitalityq!M823="")</f>
        <v>0</v>
      </c>
      <c r="N823">
        <f>B823*(hospitalityq!N823="")</f>
        <v>0</v>
      </c>
      <c r="O823">
        <f>B823*(hospitalityq!O823="")</f>
        <v>0</v>
      </c>
      <c r="P823">
        <f>B823*(hospitalityq!P823="")</f>
        <v>0</v>
      </c>
      <c r="Q823">
        <f>B823*(hospitalityq!Q823="")</f>
        <v>0</v>
      </c>
      <c r="R823">
        <f>B823*(hospitalityq!R823="")</f>
        <v>0</v>
      </c>
    </row>
    <row r="824" spans="1:18" x14ac:dyDescent="0.25">
      <c r="A824">
        <f t="shared" si="13"/>
        <v>0</v>
      </c>
      <c r="B824" t="b">
        <f>SUMPRODUCT(LEN(hospitalityq!C824:R824))&gt;0</f>
        <v>0</v>
      </c>
      <c r="C824">
        <f>B824*(hospitalityq!C824="")</f>
        <v>0</v>
      </c>
      <c r="E824">
        <f>B824*(hospitalityq!E824="")</f>
        <v>0</v>
      </c>
      <c r="F824">
        <f>B824*(hospitalityq!F824="")</f>
        <v>0</v>
      </c>
      <c r="G824">
        <f>B824*(hospitalityq!G824="")</f>
        <v>0</v>
      </c>
      <c r="H824">
        <f>B824*(hospitalityq!H824="")</f>
        <v>0</v>
      </c>
      <c r="I824">
        <f>B824*(hospitalityq!I824="")</f>
        <v>0</v>
      </c>
      <c r="J824">
        <f>B824*(hospitalityq!J824="")</f>
        <v>0</v>
      </c>
      <c r="K824">
        <f>B824*(hospitalityq!K824="")</f>
        <v>0</v>
      </c>
      <c r="L824">
        <f>B824*(hospitalityq!L824="")</f>
        <v>0</v>
      </c>
      <c r="M824">
        <f>B824*(hospitalityq!M824="")</f>
        <v>0</v>
      </c>
      <c r="N824">
        <f>B824*(hospitalityq!N824="")</f>
        <v>0</v>
      </c>
      <c r="O824">
        <f>B824*(hospitalityq!O824="")</f>
        <v>0</v>
      </c>
      <c r="P824">
        <f>B824*(hospitalityq!P824="")</f>
        <v>0</v>
      </c>
      <c r="Q824">
        <f>B824*(hospitalityq!Q824="")</f>
        <v>0</v>
      </c>
      <c r="R824">
        <f>B824*(hospitalityq!R824="")</f>
        <v>0</v>
      </c>
    </row>
    <row r="825" spans="1:18" x14ac:dyDescent="0.25">
      <c r="A825">
        <f t="shared" si="13"/>
        <v>0</v>
      </c>
      <c r="B825" t="b">
        <f>SUMPRODUCT(LEN(hospitalityq!C825:R825))&gt;0</f>
        <v>0</v>
      </c>
      <c r="C825">
        <f>B825*(hospitalityq!C825="")</f>
        <v>0</v>
      </c>
      <c r="E825">
        <f>B825*(hospitalityq!E825="")</f>
        <v>0</v>
      </c>
      <c r="F825">
        <f>B825*(hospitalityq!F825="")</f>
        <v>0</v>
      </c>
      <c r="G825">
        <f>B825*(hospitalityq!G825="")</f>
        <v>0</v>
      </c>
      <c r="H825">
        <f>B825*(hospitalityq!H825="")</f>
        <v>0</v>
      </c>
      <c r="I825">
        <f>B825*(hospitalityq!I825="")</f>
        <v>0</v>
      </c>
      <c r="J825">
        <f>B825*(hospitalityq!J825="")</f>
        <v>0</v>
      </c>
      <c r="K825">
        <f>B825*(hospitalityq!K825="")</f>
        <v>0</v>
      </c>
      <c r="L825">
        <f>B825*(hospitalityq!L825="")</f>
        <v>0</v>
      </c>
      <c r="M825">
        <f>B825*(hospitalityq!M825="")</f>
        <v>0</v>
      </c>
      <c r="N825">
        <f>B825*(hospitalityq!N825="")</f>
        <v>0</v>
      </c>
      <c r="O825">
        <f>B825*(hospitalityq!O825="")</f>
        <v>0</v>
      </c>
      <c r="P825">
        <f>B825*(hospitalityq!P825="")</f>
        <v>0</v>
      </c>
      <c r="Q825">
        <f>B825*(hospitalityq!Q825="")</f>
        <v>0</v>
      </c>
      <c r="R825">
        <f>B825*(hospitalityq!R825="")</f>
        <v>0</v>
      </c>
    </row>
    <row r="826" spans="1:18" x14ac:dyDescent="0.25">
      <c r="A826">
        <f t="shared" si="13"/>
        <v>0</v>
      </c>
      <c r="B826" t="b">
        <f>SUMPRODUCT(LEN(hospitalityq!C826:R826))&gt;0</f>
        <v>0</v>
      </c>
      <c r="C826">
        <f>B826*(hospitalityq!C826="")</f>
        <v>0</v>
      </c>
      <c r="E826">
        <f>B826*(hospitalityq!E826="")</f>
        <v>0</v>
      </c>
      <c r="F826">
        <f>B826*(hospitalityq!F826="")</f>
        <v>0</v>
      </c>
      <c r="G826">
        <f>B826*(hospitalityq!G826="")</f>
        <v>0</v>
      </c>
      <c r="H826">
        <f>B826*(hospitalityq!H826="")</f>
        <v>0</v>
      </c>
      <c r="I826">
        <f>B826*(hospitalityq!I826="")</f>
        <v>0</v>
      </c>
      <c r="J826">
        <f>B826*(hospitalityq!J826="")</f>
        <v>0</v>
      </c>
      <c r="K826">
        <f>B826*(hospitalityq!K826="")</f>
        <v>0</v>
      </c>
      <c r="L826">
        <f>B826*(hospitalityq!L826="")</f>
        <v>0</v>
      </c>
      <c r="M826">
        <f>B826*(hospitalityq!M826="")</f>
        <v>0</v>
      </c>
      <c r="N826">
        <f>B826*(hospitalityq!N826="")</f>
        <v>0</v>
      </c>
      <c r="O826">
        <f>B826*(hospitalityq!O826="")</f>
        <v>0</v>
      </c>
      <c r="P826">
        <f>B826*(hospitalityq!P826="")</f>
        <v>0</v>
      </c>
      <c r="Q826">
        <f>B826*(hospitalityq!Q826="")</f>
        <v>0</v>
      </c>
      <c r="R826">
        <f>B826*(hospitalityq!R826="")</f>
        <v>0</v>
      </c>
    </row>
    <row r="827" spans="1:18" x14ac:dyDescent="0.25">
      <c r="A827">
        <f t="shared" si="13"/>
        <v>0</v>
      </c>
      <c r="B827" t="b">
        <f>SUMPRODUCT(LEN(hospitalityq!C827:R827))&gt;0</f>
        <v>0</v>
      </c>
      <c r="C827">
        <f>B827*(hospitalityq!C827="")</f>
        <v>0</v>
      </c>
      <c r="E827">
        <f>B827*(hospitalityq!E827="")</f>
        <v>0</v>
      </c>
      <c r="F827">
        <f>B827*(hospitalityq!F827="")</f>
        <v>0</v>
      </c>
      <c r="G827">
        <f>B827*(hospitalityq!G827="")</f>
        <v>0</v>
      </c>
      <c r="H827">
        <f>B827*(hospitalityq!H827="")</f>
        <v>0</v>
      </c>
      <c r="I827">
        <f>B827*(hospitalityq!I827="")</f>
        <v>0</v>
      </c>
      <c r="J827">
        <f>B827*(hospitalityq!J827="")</f>
        <v>0</v>
      </c>
      <c r="K827">
        <f>B827*(hospitalityq!K827="")</f>
        <v>0</v>
      </c>
      <c r="L827">
        <f>B827*(hospitalityq!L827="")</f>
        <v>0</v>
      </c>
      <c r="M827">
        <f>B827*(hospitalityq!M827="")</f>
        <v>0</v>
      </c>
      <c r="N827">
        <f>B827*(hospitalityq!N827="")</f>
        <v>0</v>
      </c>
      <c r="O827">
        <f>B827*(hospitalityq!O827="")</f>
        <v>0</v>
      </c>
      <c r="P827">
        <f>B827*(hospitalityq!P827="")</f>
        <v>0</v>
      </c>
      <c r="Q827">
        <f>B827*(hospitalityq!Q827="")</f>
        <v>0</v>
      </c>
      <c r="R827">
        <f>B827*(hospitalityq!R827="")</f>
        <v>0</v>
      </c>
    </row>
    <row r="828" spans="1:18" x14ac:dyDescent="0.25">
      <c r="A828">
        <f t="shared" si="13"/>
        <v>0</v>
      </c>
      <c r="B828" t="b">
        <f>SUMPRODUCT(LEN(hospitalityq!C828:R828))&gt;0</f>
        <v>0</v>
      </c>
      <c r="C828">
        <f>B828*(hospitalityq!C828="")</f>
        <v>0</v>
      </c>
      <c r="E828">
        <f>B828*(hospitalityq!E828="")</f>
        <v>0</v>
      </c>
      <c r="F828">
        <f>B828*(hospitalityq!F828="")</f>
        <v>0</v>
      </c>
      <c r="G828">
        <f>B828*(hospitalityq!G828="")</f>
        <v>0</v>
      </c>
      <c r="H828">
        <f>B828*(hospitalityq!H828="")</f>
        <v>0</v>
      </c>
      <c r="I828">
        <f>B828*(hospitalityq!I828="")</f>
        <v>0</v>
      </c>
      <c r="J828">
        <f>B828*(hospitalityq!J828="")</f>
        <v>0</v>
      </c>
      <c r="K828">
        <f>B828*(hospitalityq!K828="")</f>
        <v>0</v>
      </c>
      <c r="L828">
        <f>B828*(hospitalityq!L828="")</f>
        <v>0</v>
      </c>
      <c r="M828">
        <f>B828*(hospitalityq!M828="")</f>
        <v>0</v>
      </c>
      <c r="N828">
        <f>B828*(hospitalityq!N828="")</f>
        <v>0</v>
      </c>
      <c r="O828">
        <f>B828*(hospitalityq!O828="")</f>
        <v>0</v>
      </c>
      <c r="P828">
        <f>B828*(hospitalityq!P828="")</f>
        <v>0</v>
      </c>
      <c r="Q828">
        <f>B828*(hospitalityq!Q828="")</f>
        <v>0</v>
      </c>
      <c r="R828">
        <f>B828*(hospitalityq!R828="")</f>
        <v>0</v>
      </c>
    </row>
    <row r="829" spans="1:18" x14ac:dyDescent="0.25">
      <c r="A829">
        <f t="shared" si="13"/>
        <v>0</v>
      </c>
      <c r="B829" t="b">
        <f>SUMPRODUCT(LEN(hospitalityq!C829:R829))&gt;0</f>
        <v>0</v>
      </c>
      <c r="C829">
        <f>B829*(hospitalityq!C829="")</f>
        <v>0</v>
      </c>
      <c r="E829">
        <f>B829*(hospitalityq!E829="")</f>
        <v>0</v>
      </c>
      <c r="F829">
        <f>B829*(hospitalityq!F829="")</f>
        <v>0</v>
      </c>
      <c r="G829">
        <f>B829*(hospitalityq!G829="")</f>
        <v>0</v>
      </c>
      <c r="H829">
        <f>B829*(hospitalityq!H829="")</f>
        <v>0</v>
      </c>
      <c r="I829">
        <f>B829*(hospitalityq!I829="")</f>
        <v>0</v>
      </c>
      <c r="J829">
        <f>B829*(hospitalityq!J829="")</f>
        <v>0</v>
      </c>
      <c r="K829">
        <f>B829*(hospitalityq!K829="")</f>
        <v>0</v>
      </c>
      <c r="L829">
        <f>B829*(hospitalityq!L829="")</f>
        <v>0</v>
      </c>
      <c r="M829">
        <f>B829*(hospitalityq!M829="")</f>
        <v>0</v>
      </c>
      <c r="N829">
        <f>B829*(hospitalityq!N829="")</f>
        <v>0</v>
      </c>
      <c r="O829">
        <f>B829*(hospitalityq!O829="")</f>
        <v>0</v>
      </c>
      <c r="P829">
        <f>B829*(hospitalityq!P829="")</f>
        <v>0</v>
      </c>
      <c r="Q829">
        <f>B829*(hospitalityq!Q829="")</f>
        <v>0</v>
      </c>
      <c r="R829">
        <f>B829*(hospitalityq!R829="")</f>
        <v>0</v>
      </c>
    </row>
    <row r="830" spans="1:18" x14ac:dyDescent="0.25">
      <c r="A830">
        <f t="shared" si="13"/>
        <v>0</v>
      </c>
      <c r="B830" t="b">
        <f>SUMPRODUCT(LEN(hospitalityq!C830:R830))&gt;0</f>
        <v>0</v>
      </c>
      <c r="C830">
        <f>B830*(hospitalityq!C830="")</f>
        <v>0</v>
      </c>
      <c r="E830">
        <f>B830*(hospitalityq!E830="")</f>
        <v>0</v>
      </c>
      <c r="F830">
        <f>B830*(hospitalityq!F830="")</f>
        <v>0</v>
      </c>
      <c r="G830">
        <f>B830*(hospitalityq!G830="")</f>
        <v>0</v>
      </c>
      <c r="H830">
        <f>B830*(hospitalityq!H830="")</f>
        <v>0</v>
      </c>
      <c r="I830">
        <f>B830*(hospitalityq!I830="")</f>
        <v>0</v>
      </c>
      <c r="J830">
        <f>B830*(hospitalityq!J830="")</f>
        <v>0</v>
      </c>
      <c r="K830">
        <f>B830*(hospitalityq!K830="")</f>
        <v>0</v>
      </c>
      <c r="L830">
        <f>B830*(hospitalityq!L830="")</f>
        <v>0</v>
      </c>
      <c r="M830">
        <f>B830*(hospitalityq!M830="")</f>
        <v>0</v>
      </c>
      <c r="N830">
        <f>B830*(hospitalityq!N830="")</f>
        <v>0</v>
      </c>
      <c r="O830">
        <f>B830*(hospitalityq!O830="")</f>
        <v>0</v>
      </c>
      <c r="P830">
        <f>B830*(hospitalityq!P830="")</f>
        <v>0</v>
      </c>
      <c r="Q830">
        <f>B830*(hospitalityq!Q830="")</f>
        <v>0</v>
      </c>
      <c r="R830">
        <f>B830*(hospitalityq!R830="")</f>
        <v>0</v>
      </c>
    </row>
    <row r="831" spans="1:18" x14ac:dyDescent="0.25">
      <c r="A831">
        <f t="shared" si="13"/>
        <v>0</v>
      </c>
      <c r="B831" t="b">
        <f>SUMPRODUCT(LEN(hospitalityq!C831:R831))&gt;0</f>
        <v>0</v>
      </c>
      <c r="C831">
        <f>B831*(hospitalityq!C831="")</f>
        <v>0</v>
      </c>
      <c r="E831">
        <f>B831*(hospitalityq!E831="")</f>
        <v>0</v>
      </c>
      <c r="F831">
        <f>B831*(hospitalityq!F831="")</f>
        <v>0</v>
      </c>
      <c r="G831">
        <f>B831*(hospitalityq!G831="")</f>
        <v>0</v>
      </c>
      <c r="H831">
        <f>B831*(hospitalityq!H831="")</f>
        <v>0</v>
      </c>
      <c r="I831">
        <f>B831*(hospitalityq!I831="")</f>
        <v>0</v>
      </c>
      <c r="J831">
        <f>B831*(hospitalityq!J831="")</f>
        <v>0</v>
      </c>
      <c r="K831">
        <f>B831*(hospitalityq!K831="")</f>
        <v>0</v>
      </c>
      <c r="L831">
        <f>B831*(hospitalityq!L831="")</f>
        <v>0</v>
      </c>
      <c r="M831">
        <f>B831*(hospitalityq!M831="")</f>
        <v>0</v>
      </c>
      <c r="N831">
        <f>B831*(hospitalityq!N831="")</f>
        <v>0</v>
      </c>
      <c r="O831">
        <f>B831*(hospitalityq!O831="")</f>
        <v>0</v>
      </c>
      <c r="P831">
        <f>B831*(hospitalityq!P831="")</f>
        <v>0</v>
      </c>
      <c r="Q831">
        <f>B831*(hospitalityq!Q831="")</f>
        <v>0</v>
      </c>
      <c r="R831">
        <f>B831*(hospitalityq!R831="")</f>
        <v>0</v>
      </c>
    </row>
    <row r="832" spans="1:18" x14ac:dyDescent="0.25">
      <c r="A832">
        <f t="shared" si="13"/>
        <v>0</v>
      </c>
      <c r="B832" t="b">
        <f>SUMPRODUCT(LEN(hospitalityq!C832:R832))&gt;0</f>
        <v>0</v>
      </c>
      <c r="C832">
        <f>B832*(hospitalityq!C832="")</f>
        <v>0</v>
      </c>
      <c r="E832">
        <f>B832*(hospitalityq!E832="")</f>
        <v>0</v>
      </c>
      <c r="F832">
        <f>B832*(hospitalityq!F832="")</f>
        <v>0</v>
      </c>
      <c r="G832">
        <f>B832*(hospitalityq!G832="")</f>
        <v>0</v>
      </c>
      <c r="H832">
        <f>B832*(hospitalityq!H832="")</f>
        <v>0</v>
      </c>
      <c r="I832">
        <f>B832*(hospitalityq!I832="")</f>
        <v>0</v>
      </c>
      <c r="J832">
        <f>B832*(hospitalityq!J832="")</f>
        <v>0</v>
      </c>
      <c r="K832">
        <f>B832*(hospitalityq!K832="")</f>
        <v>0</v>
      </c>
      <c r="L832">
        <f>B832*(hospitalityq!L832="")</f>
        <v>0</v>
      </c>
      <c r="M832">
        <f>B832*(hospitalityq!M832="")</f>
        <v>0</v>
      </c>
      <c r="N832">
        <f>B832*(hospitalityq!N832="")</f>
        <v>0</v>
      </c>
      <c r="O832">
        <f>B832*(hospitalityq!O832="")</f>
        <v>0</v>
      </c>
      <c r="P832">
        <f>B832*(hospitalityq!P832="")</f>
        <v>0</v>
      </c>
      <c r="Q832">
        <f>B832*(hospitalityq!Q832="")</f>
        <v>0</v>
      </c>
      <c r="R832">
        <f>B832*(hospitalityq!R832="")</f>
        <v>0</v>
      </c>
    </row>
    <row r="833" spans="1:18" x14ac:dyDescent="0.25">
      <c r="A833">
        <f t="shared" si="13"/>
        <v>0</v>
      </c>
      <c r="B833" t="b">
        <f>SUMPRODUCT(LEN(hospitalityq!C833:R833))&gt;0</f>
        <v>0</v>
      </c>
      <c r="C833">
        <f>B833*(hospitalityq!C833="")</f>
        <v>0</v>
      </c>
      <c r="E833">
        <f>B833*(hospitalityq!E833="")</f>
        <v>0</v>
      </c>
      <c r="F833">
        <f>B833*(hospitalityq!F833="")</f>
        <v>0</v>
      </c>
      <c r="G833">
        <f>B833*(hospitalityq!G833="")</f>
        <v>0</v>
      </c>
      <c r="H833">
        <f>B833*(hospitalityq!H833="")</f>
        <v>0</v>
      </c>
      <c r="I833">
        <f>B833*(hospitalityq!I833="")</f>
        <v>0</v>
      </c>
      <c r="J833">
        <f>B833*(hospitalityq!J833="")</f>
        <v>0</v>
      </c>
      <c r="K833">
        <f>B833*(hospitalityq!K833="")</f>
        <v>0</v>
      </c>
      <c r="L833">
        <f>B833*(hospitalityq!L833="")</f>
        <v>0</v>
      </c>
      <c r="M833">
        <f>B833*(hospitalityq!M833="")</f>
        <v>0</v>
      </c>
      <c r="N833">
        <f>B833*(hospitalityq!N833="")</f>
        <v>0</v>
      </c>
      <c r="O833">
        <f>B833*(hospitalityq!O833="")</f>
        <v>0</v>
      </c>
      <c r="P833">
        <f>B833*(hospitalityq!P833="")</f>
        <v>0</v>
      </c>
      <c r="Q833">
        <f>B833*(hospitalityq!Q833="")</f>
        <v>0</v>
      </c>
      <c r="R833">
        <f>B833*(hospitalityq!R833="")</f>
        <v>0</v>
      </c>
    </row>
    <row r="834" spans="1:18" x14ac:dyDescent="0.25">
      <c r="A834">
        <f t="shared" si="13"/>
        <v>0</v>
      </c>
      <c r="B834" t="b">
        <f>SUMPRODUCT(LEN(hospitalityq!C834:R834))&gt;0</f>
        <v>0</v>
      </c>
      <c r="C834">
        <f>B834*(hospitalityq!C834="")</f>
        <v>0</v>
      </c>
      <c r="E834">
        <f>B834*(hospitalityq!E834="")</f>
        <v>0</v>
      </c>
      <c r="F834">
        <f>B834*(hospitalityq!F834="")</f>
        <v>0</v>
      </c>
      <c r="G834">
        <f>B834*(hospitalityq!G834="")</f>
        <v>0</v>
      </c>
      <c r="H834">
        <f>B834*(hospitalityq!H834="")</f>
        <v>0</v>
      </c>
      <c r="I834">
        <f>B834*(hospitalityq!I834="")</f>
        <v>0</v>
      </c>
      <c r="J834">
        <f>B834*(hospitalityq!J834="")</f>
        <v>0</v>
      </c>
      <c r="K834">
        <f>B834*(hospitalityq!K834="")</f>
        <v>0</v>
      </c>
      <c r="L834">
        <f>B834*(hospitalityq!L834="")</f>
        <v>0</v>
      </c>
      <c r="M834">
        <f>B834*(hospitalityq!M834="")</f>
        <v>0</v>
      </c>
      <c r="N834">
        <f>B834*(hospitalityq!N834="")</f>
        <v>0</v>
      </c>
      <c r="O834">
        <f>B834*(hospitalityq!O834="")</f>
        <v>0</v>
      </c>
      <c r="P834">
        <f>B834*(hospitalityq!P834="")</f>
        <v>0</v>
      </c>
      <c r="Q834">
        <f>B834*(hospitalityq!Q834="")</f>
        <v>0</v>
      </c>
      <c r="R834">
        <f>B834*(hospitalityq!R834="")</f>
        <v>0</v>
      </c>
    </row>
    <row r="835" spans="1:18" x14ac:dyDescent="0.25">
      <c r="A835">
        <f t="shared" si="13"/>
        <v>0</v>
      </c>
      <c r="B835" t="b">
        <f>SUMPRODUCT(LEN(hospitalityq!C835:R835))&gt;0</f>
        <v>0</v>
      </c>
      <c r="C835">
        <f>B835*(hospitalityq!C835="")</f>
        <v>0</v>
      </c>
      <c r="E835">
        <f>B835*(hospitalityq!E835="")</f>
        <v>0</v>
      </c>
      <c r="F835">
        <f>B835*(hospitalityq!F835="")</f>
        <v>0</v>
      </c>
      <c r="G835">
        <f>B835*(hospitalityq!G835="")</f>
        <v>0</v>
      </c>
      <c r="H835">
        <f>B835*(hospitalityq!H835="")</f>
        <v>0</v>
      </c>
      <c r="I835">
        <f>B835*(hospitalityq!I835="")</f>
        <v>0</v>
      </c>
      <c r="J835">
        <f>B835*(hospitalityq!J835="")</f>
        <v>0</v>
      </c>
      <c r="K835">
        <f>B835*(hospitalityq!K835="")</f>
        <v>0</v>
      </c>
      <c r="L835">
        <f>B835*(hospitalityq!L835="")</f>
        <v>0</v>
      </c>
      <c r="M835">
        <f>B835*(hospitalityq!M835="")</f>
        <v>0</v>
      </c>
      <c r="N835">
        <f>B835*(hospitalityq!N835="")</f>
        <v>0</v>
      </c>
      <c r="O835">
        <f>B835*(hospitalityq!O835="")</f>
        <v>0</v>
      </c>
      <c r="P835">
        <f>B835*(hospitalityq!P835="")</f>
        <v>0</v>
      </c>
      <c r="Q835">
        <f>B835*(hospitalityq!Q835="")</f>
        <v>0</v>
      </c>
      <c r="R835">
        <f>B835*(hospitalityq!R835="")</f>
        <v>0</v>
      </c>
    </row>
    <row r="836" spans="1:18" x14ac:dyDescent="0.25">
      <c r="A836">
        <f t="shared" si="13"/>
        <v>0</v>
      </c>
      <c r="B836" t="b">
        <f>SUMPRODUCT(LEN(hospitalityq!C836:R836))&gt;0</f>
        <v>0</v>
      </c>
      <c r="C836">
        <f>B836*(hospitalityq!C836="")</f>
        <v>0</v>
      </c>
      <c r="E836">
        <f>B836*(hospitalityq!E836="")</f>
        <v>0</v>
      </c>
      <c r="F836">
        <f>B836*(hospitalityq!F836="")</f>
        <v>0</v>
      </c>
      <c r="G836">
        <f>B836*(hospitalityq!G836="")</f>
        <v>0</v>
      </c>
      <c r="H836">
        <f>B836*(hospitalityq!H836="")</f>
        <v>0</v>
      </c>
      <c r="I836">
        <f>B836*(hospitalityq!I836="")</f>
        <v>0</v>
      </c>
      <c r="J836">
        <f>B836*(hospitalityq!J836="")</f>
        <v>0</v>
      </c>
      <c r="K836">
        <f>B836*(hospitalityq!K836="")</f>
        <v>0</v>
      </c>
      <c r="L836">
        <f>B836*(hospitalityq!L836="")</f>
        <v>0</v>
      </c>
      <c r="M836">
        <f>B836*(hospitalityq!M836="")</f>
        <v>0</v>
      </c>
      <c r="N836">
        <f>B836*(hospitalityq!N836="")</f>
        <v>0</v>
      </c>
      <c r="O836">
        <f>B836*(hospitalityq!O836="")</f>
        <v>0</v>
      </c>
      <c r="P836">
        <f>B836*(hospitalityq!P836="")</f>
        <v>0</v>
      </c>
      <c r="Q836">
        <f>B836*(hospitalityq!Q836="")</f>
        <v>0</v>
      </c>
      <c r="R836">
        <f>B836*(hospitalityq!R836="")</f>
        <v>0</v>
      </c>
    </row>
    <row r="837" spans="1:18" x14ac:dyDescent="0.25">
      <c r="A837">
        <f t="shared" si="13"/>
        <v>0</v>
      </c>
      <c r="B837" t="b">
        <f>SUMPRODUCT(LEN(hospitalityq!C837:R837))&gt;0</f>
        <v>0</v>
      </c>
      <c r="C837">
        <f>B837*(hospitalityq!C837="")</f>
        <v>0</v>
      </c>
      <c r="E837">
        <f>B837*(hospitalityq!E837="")</f>
        <v>0</v>
      </c>
      <c r="F837">
        <f>B837*(hospitalityq!F837="")</f>
        <v>0</v>
      </c>
      <c r="G837">
        <f>B837*(hospitalityq!G837="")</f>
        <v>0</v>
      </c>
      <c r="H837">
        <f>B837*(hospitalityq!H837="")</f>
        <v>0</v>
      </c>
      <c r="I837">
        <f>B837*(hospitalityq!I837="")</f>
        <v>0</v>
      </c>
      <c r="J837">
        <f>B837*(hospitalityq!J837="")</f>
        <v>0</v>
      </c>
      <c r="K837">
        <f>B837*(hospitalityq!K837="")</f>
        <v>0</v>
      </c>
      <c r="L837">
        <f>B837*(hospitalityq!L837="")</f>
        <v>0</v>
      </c>
      <c r="M837">
        <f>B837*(hospitalityq!M837="")</f>
        <v>0</v>
      </c>
      <c r="N837">
        <f>B837*(hospitalityq!N837="")</f>
        <v>0</v>
      </c>
      <c r="O837">
        <f>B837*(hospitalityq!O837="")</f>
        <v>0</v>
      </c>
      <c r="P837">
        <f>B837*(hospitalityq!P837="")</f>
        <v>0</v>
      </c>
      <c r="Q837">
        <f>B837*(hospitalityq!Q837="")</f>
        <v>0</v>
      </c>
      <c r="R837">
        <f>B837*(hospitalityq!R837="")</f>
        <v>0</v>
      </c>
    </row>
    <row r="838" spans="1:18" x14ac:dyDescent="0.25">
      <c r="A838">
        <f t="shared" ref="A838:A901" si="14">IFERROR(MATCH(TRUE,INDEX(C838:R838&lt;&gt;0,),)+2,0)</f>
        <v>0</v>
      </c>
      <c r="B838" t="b">
        <f>SUMPRODUCT(LEN(hospitalityq!C838:R838))&gt;0</f>
        <v>0</v>
      </c>
      <c r="C838">
        <f>B838*(hospitalityq!C838="")</f>
        <v>0</v>
      </c>
      <c r="E838">
        <f>B838*(hospitalityq!E838="")</f>
        <v>0</v>
      </c>
      <c r="F838">
        <f>B838*(hospitalityq!F838="")</f>
        <v>0</v>
      </c>
      <c r="G838">
        <f>B838*(hospitalityq!G838="")</f>
        <v>0</v>
      </c>
      <c r="H838">
        <f>B838*(hospitalityq!H838="")</f>
        <v>0</v>
      </c>
      <c r="I838">
        <f>B838*(hospitalityq!I838="")</f>
        <v>0</v>
      </c>
      <c r="J838">
        <f>B838*(hospitalityq!J838="")</f>
        <v>0</v>
      </c>
      <c r="K838">
        <f>B838*(hospitalityq!K838="")</f>
        <v>0</v>
      </c>
      <c r="L838">
        <f>B838*(hospitalityq!L838="")</f>
        <v>0</v>
      </c>
      <c r="M838">
        <f>B838*(hospitalityq!M838="")</f>
        <v>0</v>
      </c>
      <c r="N838">
        <f>B838*(hospitalityq!N838="")</f>
        <v>0</v>
      </c>
      <c r="O838">
        <f>B838*(hospitalityq!O838="")</f>
        <v>0</v>
      </c>
      <c r="P838">
        <f>B838*(hospitalityq!P838="")</f>
        <v>0</v>
      </c>
      <c r="Q838">
        <f>B838*(hospitalityq!Q838="")</f>
        <v>0</v>
      </c>
      <c r="R838">
        <f>B838*(hospitalityq!R838="")</f>
        <v>0</v>
      </c>
    </row>
    <row r="839" spans="1:18" x14ac:dyDescent="0.25">
      <c r="A839">
        <f t="shared" si="14"/>
        <v>0</v>
      </c>
      <c r="B839" t="b">
        <f>SUMPRODUCT(LEN(hospitalityq!C839:R839))&gt;0</f>
        <v>0</v>
      </c>
      <c r="C839">
        <f>B839*(hospitalityq!C839="")</f>
        <v>0</v>
      </c>
      <c r="E839">
        <f>B839*(hospitalityq!E839="")</f>
        <v>0</v>
      </c>
      <c r="F839">
        <f>B839*(hospitalityq!F839="")</f>
        <v>0</v>
      </c>
      <c r="G839">
        <f>B839*(hospitalityq!G839="")</f>
        <v>0</v>
      </c>
      <c r="H839">
        <f>B839*(hospitalityq!H839="")</f>
        <v>0</v>
      </c>
      <c r="I839">
        <f>B839*(hospitalityq!I839="")</f>
        <v>0</v>
      </c>
      <c r="J839">
        <f>B839*(hospitalityq!J839="")</f>
        <v>0</v>
      </c>
      <c r="K839">
        <f>B839*(hospitalityq!K839="")</f>
        <v>0</v>
      </c>
      <c r="L839">
        <f>B839*(hospitalityq!L839="")</f>
        <v>0</v>
      </c>
      <c r="M839">
        <f>B839*(hospitalityq!M839="")</f>
        <v>0</v>
      </c>
      <c r="N839">
        <f>B839*(hospitalityq!N839="")</f>
        <v>0</v>
      </c>
      <c r="O839">
        <f>B839*(hospitalityq!O839="")</f>
        <v>0</v>
      </c>
      <c r="P839">
        <f>B839*(hospitalityq!P839="")</f>
        <v>0</v>
      </c>
      <c r="Q839">
        <f>B839*(hospitalityq!Q839="")</f>
        <v>0</v>
      </c>
      <c r="R839">
        <f>B839*(hospitalityq!R839="")</f>
        <v>0</v>
      </c>
    </row>
    <row r="840" spans="1:18" x14ac:dyDescent="0.25">
      <c r="A840">
        <f t="shared" si="14"/>
        <v>0</v>
      </c>
      <c r="B840" t="b">
        <f>SUMPRODUCT(LEN(hospitalityq!C840:R840))&gt;0</f>
        <v>0</v>
      </c>
      <c r="C840">
        <f>B840*(hospitalityq!C840="")</f>
        <v>0</v>
      </c>
      <c r="E840">
        <f>B840*(hospitalityq!E840="")</f>
        <v>0</v>
      </c>
      <c r="F840">
        <f>B840*(hospitalityq!F840="")</f>
        <v>0</v>
      </c>
      <c r="G840">
        <f>B840*(hospitalityq!G840="")</f>
        <v>0</v>
      </c>
      <c r="H840">
        <f>B840*(hospitalityq!H840="")</f>
        <v>0</v>
      </c>
      <c r="I840">
        <f>B840*(hospitalityq!I840="")</f>
        <v>0</v>
      </c>
      <c r="J840">
        <f>B840*(hospitalityq!J840="")</f>
        <v>0</v>
      </c>
      <c r="K840">
        <f>B840*(hospitalityq!K840="")</f>
        <v>0</v>
      </c>
      <c r="L840">
        <f>B840*(hospitalityq!L840="")</f>
        <v>0</v>
      </c>
      <c r="M840">
        <f>B840*(hospitalityq!M840="")</f>
        <v>0</v>
      </c>
      <c r="N840">
        <f>B840*(hospitalityq!N840="")</f>
        <v>0</v>
      </c>
      <c r="O840">
        <f>B840*(hospitalityq!O840="")</f>
        <v>0</v>
      </c>
      <c r="P840">
        <f>B840*(hospitalityq!P840="")</f>
        <v>0</v>
      </c>
      <c r="Q840">
        <f>B840*(hospitalityq!Q840="")</f>
        <v>0</v>
      </c>
      <c r="R840">
        <f>B840*(hospitalityq!R840="")</f>
        <v>0</v>
      </c>
    </row>
    <row r="841" spans="1:18" x14ac:dyDescent="0.25">
      <c r="A841">
        <f t="shared" si="14"/>
        <v>0</v>
      </c>
      <c r="B841" t="b">
        <f>SUMPRODUCT(LEN(hospitalityq!C841:R841))&gt;0</f>
        <v>0</v>
      </c>
      <c r="C841">
        <f>B841*(hospitalityq!C841="")</f>
        <v>0</v>
      </c>
      <c r="E841">
        <f>B841*(hospitalityq!E841="")</f>
        <v>0</v>
      </c>
      <c r="F841">
        <f>B841*(hospitalityq!F841="")</f>
        <v>0</v>
      </c>
      <c r="G841">
        <f>B841*(hospitalityq!G841="")</f>
        <v>0</v>
      </c>
      <c r="H841">
        <f>B841*(hospitalityq!H841="")</f>
        <v>0</v>
      </c>
      <c r="I841">
        <f>B841*(hospitalityq!I841="")</f>
        <v>0</v>
      </c>
      <c r="J841">
        <f>B841*(hospitalityq!J841="")</f>
        <v>0</v>
      </c>
      <c r="K841">
        <f>B841*(hospitalityq!K841="")</f>
        <v>0</v>
      </c>
      <c r="L841">
        <f>B841*(hospitalityq!L841="")</f>
        <v>0</v>
      </c>
      <c r="M841">
        <f>B841*(hospitalityq!M841="")</f>
        <v>0</v>
      </c>
      <c r="N841">
        <f>B841*(hospitalityq!N841="")</f>
        <v>0</v>
      </c>
      <c r="O841">
        <f>B841*(hospitalityq!O841="")</f>
        <v>0</v>
      </c>
      <c r="P841">
        <f>B841*(hospitalityq!P841="")</f>
        <v>0</v>
      </c>
      <c r="Q841">
        <f>B841*(hospitalityq!Q841="")</f>
        <v>0</v>
      </c>
      <c r="R841">
        <f>B841*(hospitalityq!R841="")</f>
        <v>0</v>
      </c>
    </row>
    <row r="842" spans="1:18" x14ac:dyDescent="0.25">
      <c r="A842">
        <f t="shared" si="14"/>
        <v>0</v>
      </c>
      <c r="B842" t="b">
        <f>SUMPRODUCT(LEN(hospitalityq!C842:R842))&gt;0</f>
        <v>0</v>
      </c>
      <c r="C842">
        <f>B842*(hospitalityq!C842="")</f>
        <v>0</v>
      </c>
      <c r="E842">
        <f>B842*(hospitalityq!E842="")</f>
        <v>0</v>
      </c>
      <c r="F842">
        <f>B842*(hospitalityq!F842="")</f>
        <v>0</v>
      </c>
      <c r="G842">
        <f>B842*(hospitalityq!G842="")</f>
        <v>0</v>
      </c>
      <c r="H842">
        <f>B842*(hospitalityq!H842="")</f>
        <v>0</v>
      </c>
      <c r="I842">
        <f>B842*(hospitalityq!I842="")</f>
        <v>0</v>
      </c>
      <c r="J842">
        <f>B842*(hospitalityq!J842="")</f>
        <v>0</v>
      </c>
      <c r="K842">
        <f>B842*(hospitalityq!K842="")</f>
        <v>0</v>
      </c>
      <c r="L842">
        <f>B842*(hospitalityq!L842="")</f>
        <v>0</v>
      </c>
      <c r="M842">
        <f>B842*(hospitalityq!M842="")</f>
        <v>0</v>
      </c>
      <c r="N842">
        <f>B842*(hospitalityq!N842="")</f>
        <v>0</v>
      </c>
      <c r="O842">
        <f>B842*(hospitalityq!O842="")</f>
        <v>0</v>
      </c>
      <c r="P842">
        <f>B842*(hospitalityq!P842="")</f>
        <v>0</v>
      </c>
      <c r="Q842">
        <f>B842*(hospitalityq!Q842="")</f>
        <v>0</v>
      </c>
      <c r="R842">
        <f>B842*(hospitalityq!R842="")</f>
        <v>0</v>
      </c>
    </row>
    <row r="843" spans="1:18" x14ac:dyDescent="0.25">
      <c r="A843">
        <f t="shared" si="14"/>
        <v>0</v>
      </c>
      <c r="B843" t="b">
        <f>SUMPRODUCT(LEN(hospitalityq!C843:R843))&gt;0</f>
        <v>0</v>
      </c>
      <c r="C843">
        <f>B843*(hospitalityq!C843="")</f>
        <v>0</v>
      </c>
      <c r="E843">
        <f>B843*(hospitalityq!E843="")</f>
        <v>0</v>
      </c>
      <c r="F843">
        <f>B843*(hospitalityq!F843="")</f>
        <v>0</v>
      </c>
      <c r="G843">
        <f>B843*(hospitalityq!G843="")</f>
        <v>0</v>
      </c>
      <c r="H843">
        <f>B843*(hospitalityq!H843="")</f>
        <v>0</v>
      </c>
      <c r="I843">
        <f>B843*(hospitalityq!I843="")</f>
        <v>0</v>
      </c>
      <c r="J843">
        <f>B843*(hospitalityq!J843="")</f>
        <v>0</v>
      </c>
      <c r="K843">
        <f>B843*(hospitalityq!K843="")</f>
        <v>0</v>
      </c>
      <c r="L843">
        <f>B843*(hospitalityq!L843="")</f>
        <v>0</v>
      </c>
      <c r="M843">
        <f>B843*(hospitalityq!M843="")</f>
        <v>0</v>
      </c>
      <c r="N843">
        <f>B843*(hospitalityq!N843="")</f>
        <v>0</v>
      </c>
      <c r="O843">
        <f>B843*(hospitalityq!O843="")</f>
        <v>0</v>
      </c>
      <c r="P843">
        <f>B843*(hospitalityq!P843="")</f>
        <v>0</v>
      </c>
      <c r="Q843">
        <f>B843*(hospitalityq!Q843="")</f>
        <v>0</v>
      </c>
      <c r="R843">
        <f>B843*(hospitalityq!R843="")</f>
        <v>0</v>
      </c>
    </row>
    <row r="844" spans="1:18" x14ac:dyDescent="0.25">
      <c r="A844">
        <f t="shared" si="14"/>
        <v>0</v>
      </c>
      <c r="B844" t="b">
        <f>SUMPRODUCT(LEN(hospitalityq!C844:R844))&gt;0</f>
        <v>0</v>
      </c>
      <c r="C844">
        <f>B844*(hospitalityq!C844="")</f>
        <v>0</v>
      </c>
      <c r="E844">
        <f>B844*(hospitalityq!E844="")</f>
        <v>0</v>
      </c>
      <c r="F844">
        <f>B844*(hospitalityq!F844="")</f>
        <v>0</v>
      </c>
      <c r="G844">
        <f>B844*(hospitalityq!G844="")</f>
        <v>0</v>
      </c>
      <c r="H844">
        <f>B844*(hospitalityq!H844="")</f>
        <v>0</v>
      </c>
      <c r="I844">
        <f>B844*(hospitalityq!I844="")</f>
        <v>0</v>
      </c>
      <c r="J844">
        <f>B844*(hospitalityq!J844="")</f>
        <v>0</v>
      </c>
      <c r="K844">
        <f>B844*(hospitalityq!K844="")</f>
        <v>0</v>
      </c>
      <c r="L844">
        <f>B844*(hospitalityq!L844="")</f>
        <v>0</v>
      </c>
      <c r="M844">
        <f>B844*(hospitalityq!M844="")</f>
        <v>0</v>
      </c>
      <c r="N844">
        <f>B844*(hospitalityq!N844="")</f>
        <v>0</v>
      </c>
      <c r="O844">
        <f>B844*(hospitalityq!O844="")</f>
        <v>0</v>
      </c>
      <c r="P844">
        <f>B844*(hospitalityq!P844="")</f>
        <v>0</v>
      </c>
      <c r="Q844">
        <f>B844*(hospitalityq!Q844="")</f>
        <v>0</v>
      </c>
      <c r="R844">
        <f>B844*(hospitalityq!R844="")</f>
        <v>0</v>
      </c>
    </row>
    <row r="845" spans="1:18" x14ac:dyDescent="0.25">
      <c r="A845">
        <f t="shared" si="14"/>
        <v>0</v>
      </c>
      <c r="B845" t="b">
        <f>SUMPRODUCT(LEN(hospitalityq!C845:R845))&gt;0</f>
        <v>0</v>
      </c>
      <c r="C845">
        <f>B845*(hospitalityq!C845="")</f>
        <v>0</v>
      </c>
      <c r="E845">
        <f>B845*(hospitalityq!E845="")</f>
        <v>0</v>
      </c>
      <c r="F845">
        <f>B845*(hospitalityq!F845="")</f>
        <v>0</v>
      </c>
      <c r="G845">
        <f>B845*(hospitalityq!G845="")</f>
        <v>0</v>
      </c>
      <c r="H845">
        <f>B845*(hospitalityq!H845="")</f>
        <v>0</v>
      </c>
      <c r="I845">
        <f>B845*(hospitalityq!I845="")</f>
        <v>0</v>
      </c>
      <c r="J845">
        <f>B845*(hospitalityq!J845="")</f>
        <v>0</v>
      </c>
      <c r="K845">
        <f>B845*(hospitalityq!K845="")</f>
        <v>0</v>
      </c>
      <c r="L845">
        <f>B845*(hospitalityq!L845="")</f>
        <v>0</v>
      </c>
      <c r="M845">
        <f>B845*(hospitalityq!M845="")</f>
        <v>0</v>
      </c>
      <c r="N845">
        <f>B845*(hospitalityq!N845="")</f>
        <v>0</v>
      </c>
      <c r="O845">
        <f>B845*(hospitalityq!O845="")</f>
        <v>0</v>
      </c>
      <c r="P845">
        <f>B845*(hospitalityq!P845="")</f>
        <v>0</v>
      </c>
      <c r="Q845">
        <f>B845*(hospitalityq!Q845="")</f>
        <v>0</v>
      </c>
      <c r="R845">
        <f>B845*(hospitalityq!R845="")</f>
        <v>0</v>
      </c>
    </row>
    <row r="846" spans="1:18" x14ac:dyDescent="0.25">
      <c r="A846">
        <f t="shared" si="14"/>
        <v>0</v>
      </c>
      <c r="B846" t="b">
        <f>SUMPRODUCT(LEN(hospitalityq!C846:R846))&gt;0</f>
        <v>0</v>
      </c>
      <c r="C846">
        <f>B846*(hospitalityq!C846="")</f>
        <v>0</v>
      </c>
      <c r="E846">
        <f>B846*(hospitalityq!E846="")</f>
        <v>0</v>
      </c>
      <c r="F846">
        <f>B846*(hospitalityq!F846="")</f>
        <v>0</v>
      </c>
      <c r="G846">
        <f>B846*(hospitalityq!G846="")</f>
        <v>0</v>
      </c>
      <c r="H846">
        <f>B846*(hospitalityq!H846="")</f>
        <v>0</v>
      </c>
      <c r="I846">
        <f>B846*(hospitalityq!I846="")</f>
        <v>0</v>
      </c>
      <c r="J846">
        <f>B846*(hospitalityq!J846="")</f>
        <v>0</v>
      </c>
      <c r="K846">
        <f>B846*(hospitalityq!K846="")</f>
        <v>0</v>
      </c>
      <c r="L846">
        <f>B846*(hospitalityq!L846="")</f>
        <v>0</v>
      </c>
      <c r="M846">
        <f>B846*(hospitalityq!M846="")</f>
        <v>0</v>
      </c>
      <c r="N846">
        <f>B846*(hospitalityq!N846="")</f>
        <v>0</v>
      </c>
      <c r="O846">
        <f>B846*(hospitalityq!O846="")</f>
        <v>0</v>
      </c>
      <c r="P846">
        <f>B846*(hospitalityq!P846="")</f>
        <v>0</v>
      </c>
      <c r="Q846">
        <f>B846*(hospitalityq!Q846="")</f>
        <v>0</v>
      </c>
      <c r="R846">
        <f>B846*(hospitalityq!R846="")</f>
        <v>0</v>
      </c>
    </row>
    <row r="847" spans="1:18" x14ac:dyDescent="0.25">
      <c r="A847">
        <f t="shared" si="14"/>
        <v>0</v>
      </c>
      <c r="B847" t="b">
        <f>SUMPRODUCT(LEN(hospitalityq!C847:R847))&gt;0</f>
        <v>0</v>
      </c>
      <c r="C847">
        <f>B847*(hospitalityq!C847="")</f>
        <v>0</v>
      </c>
      <c r="E847">
        <f>B847*(hospitalityq!E847="")</f>
        <v>0</v>
      </c>
      <c r="F847">
        <f>B847*(hospitalityq!F847="")</f>
        <v>0</v>
      </c>
      <c r="G847">
        <f>B847*(hospitalityq!G847="")</f>
        <v>0</v>
      </c>
      <c r="H847">
        <f>B847*(hospitalityq!H847="")</f>
        <v>0</v>
      </c>
      <c r="I847">
        <f>B847*(hospitalityq!I847="")</f>
        <v>0</v>
      </c>
      <c r="J847">
        <f>B847*(hospitalityq!J847="")</f>
        <v>0</v>
      </c>
      <c r="K847">
        <f>B847*(hospitalityq!K847="")</f>
        <v>0</v>
      </c>
      <c r="L847">
        <f>B847*(hospitalityq!L847="")</f>
        <v>0</v>
      </c>
      <c r="M847">
        <f>B847*(hospitalityq!M847="")</f>
        <v>0</v>
      </c>
      <c r="N847">
        <f>B847*(hospitalityq!N847="")</f>
        <v>0</v>
      </c>
      <c r="O847">
        <f>B847*(hospitalityq!O847="")</f>
        <v>0</v>
      </c>
      <c r="P847">
        <f>B847*(hospitalityq!P847="")</f>
        <v>0</v>
      </c>
      <c r="Q847">
        <f>B847*(hospitalityq!Q847="")</f>
        <v>0</v>
      </c>
      <c r="R847">
        <f>B847*(hospitalityq!R847="")</f>
        <v>0</v>
      </c>
    </row>
    <row r="848" spans="1:18" x14ac:dyDescent="0.25">
      <c r="A848">
        <f t="shared" si="14"/>
        <v>0</v>
      </c>
      <c r="B848" t="b">
        <f>SUMPRODUCT(LEN(hospitalityq!C848:R848))&gt;0</f>
        <v>0</v>
      </c>
      <c r="C848">
        <f>B848*(hospitalityq!C848="")</f>
        <v>0</v>
      </c>
      <c r="E848">
        <f>B848*(hospitalityq!E848="")</f>
        <v>0</v>
      </c>
      <c r="F848">
        <f>B848*(hospitalityq!F848="")</f>
        <v>0</v>
      </c>
      <c r="G848">
        <f>B848*(hospitalityq!G848="")</f>
        <v>0</v>
      </c>
      <c r="H848">
        <f>B848*(hospitalityq!H848="")</f>
        <v>0</v>
      </c>
      <c r="I848">
        <f>B848*(hospitalityq!I848="")</f>
        <v>0</v>
      </c>
      <c r="J848">
        <f>B848*(hospitalityq!J848="")</f>
        <v>0</v>
      </c>
      <c r="K848">
        <f>B848*(hospitalityq!K848="")</f>
        <v>0</v>
      </c>
      <c r="L848">
        <f>B848*(hospitalityq!L848="")</f>
        <v>0</v>
      </c>
      <c r="M848">
        <f>B848*(hospitalityq!M848="")</f>
        <v>0</v>
      </c>
      <c r="N848">
        <f>B848*(hospitalityq!N848="")</f>
        <v>0</v>
      </c>
      <c r="O848">
        <f>B848*(hospitalityq!O848="")</f>
        <v>0</v>
      </c>
      <c r="P848">
        <f>B848*(hospitalityq!P848="")</f>
        <v>0</v>
      </c>
      <c r="Q848">
        <f>B848*(hospitalityq!Q848="")</f>
        <v>0</v>
      </c>
      <c r="R848">
        <f>B848*(hospitalityq!R848="")</f>
        <v>0</v>
      </c>
    </row>
    <row r="849" spans="1:18" x14ac:dyDescent="0.25">
      <c r="A849">
        <f t="shared" si="14"/>
        <v>0</v>
      </c>
      <c r="B849" t="b">
        <f>SUMPRODUCT(LEN(hospitalityq!C849:R849))&gt;0</f>
        <v>0</v>
      </c>
      <c r="C849">
        <f>B849*(hospitalityq!C849="")</f>
        <v>0</v>
      </c>
      <c r="E849">
        <f>B849*(hospitalityq!E849="")</f>
        <v>0</v>
      </c>
      <c r="F849">
        <f>B849*(hospitalityq!F849="")</f>
        <v>0</v>
      </c>
      <c r="G849">
        <f>B849*(hospitalityq!G849="")</f>
        <v>0</v>
      </c>
      <c r="H849">
        <f>B849*(hospitalityq!H849="")</f>
        <v>0</v>
      </c>
      <c r="I849">
        <f>B849*(hospitalityq!I849="")</f>
        <v>0</v>
      </c>
      <c r="J849">
        <f>B849*(hospitalityq!J849="")</f>
        <v>0</v>
      </c>
      <c r="K849">
        <f>B849*(hospitalityq!K849="")</f>
        <v>0</v>
      </c>
      <c r="L849">
        <f>B849*(hospitalityq!L849="")</f>
        <v>0</v>
      </c>
      <c r="M849">
        <f>B849*(hospitalityq!M849="")</f>
        <v>0</v>
      </c>
      <c r="N849">
        <f>B849*(hospitalityq!N849="")</f>
        <v>0</v>
      </c>
      <c r="O849">
        <f>B849*(hospitalityq!O849="")</f>
        <v>0</v>
      </c>
      <c r="P849">
        <f>B849*(hospitalityq!P849="")</f>
        <v>0</v>
      </c>
      <c r="Q849">
        <f>B849*(hospitalityq!Q849="")</f>
        <v>0</v>
      </c>
      <c r="R849">
        <f>B849*(hospitalityq!R849="")</f>
        <v>0</v>
      </c>
    </row>
    <row r="850" spans="1:18" x14ac:dyDescent="0.25">
      <c r="A850">
        <f t="shared" si="14"/>
        <v>0</v>
      </c>
      <c r="B850" t="b">
        <f>SUMPRODUCT(LEN(hospitalityq!C850:R850))&gt;0</f>
        <v>0</v>
      </c>
      <c r="C850">
        <f>B850*(hospitalityq!C850="")</f>
        <v>0</v>
      </c>
      <c r="E850">
        <f>B850*(hospitalityq!E850="")</f>
        <v>0</v>
      </c>
      <c r="F850">
        <f>B850*(hospitalityq!F850="")</f>
        <v>0</v>
      </c>
      <c r="G850">
        <f>B850*(hospitalityq!G850="")</f>
        <v>0</v>
      </c>
      <c r="H850">
        <f>B850*(hospitalityq!H850="")</f>
        <v>0</v>
      </c>
      <c r="I850">
        <f>B850*(hospitalityq!I850="")</f>
        <v>0</v>
      </c>
      <c r="J850">
        <f>B850*(hospitalityq!J850="")</f>
        <v>0</v>
      </c>
      <c r="K850">
        <f>B850*(hospitalityq!K850="")</f>
        <v>0</v>
      </c>
      <c r="L850">
        <f>B850*(hospitalityq!L850="")</f>
        <v>0</v>
      </c>
      <c r="M850">
        <f>B850*(hospitalityq!M850="")</f>
        <v>0</v>
      </c>
      <c r="N850">
        <f>B850*(hospitalityq!N850="")</f>
        <v>0</v>
      </c>
      <c r="O850">
        <f>B850*(hospitalityq!O850="")</f>
        <v>0</v>
      </c>
      <c r="P850">
        <f>B850*(hospitalityq!P850="")</f>
        <v>0</v>
      </c>
      <c r="Q850">
        <f>B850*(hospitalityq!Q850="")</f>
        <v>0</v>
      </c>
      <c r="R850">
        <f>B850*(hospitalityq!R850="")</f>
        <v>0</v>
      </c>
    </row>
    <row r="851" spans="1:18" x14ac:dyDescent="0.25">
      <c r="A851">
        <f t="shared" si="14"/>
        <v>0</v>
      </c>
      <c r="B851" t="b">
        <f>SUMPRODUCT(LEN(hospitalityq!C851:R851))&gt;0</f>
        <v>0</v>
      </c>
      <c r="C851">
        <f>B851*(hospitalityq!C851="")</f>
        <v>0</v>
      </c>
      <c r="E851">
        <f>B851*(hospitalityq!E851="")</f>
        <v>0</v>
      </c>
      <c r="F851">
        <f>B851*(hospitalityq!F851="")</f>
        <v>0</v>
      </c>
      <c r="G851">
        <f>B851*(hospitalityq!G851="")</f>
        <v>0</v>
      </c>
      <c r="H851">
        <f>B851*(hospitalityq!H851="")</f>
        <v>0</v>
      </c>
      <c r="I851">
        <f>B851*(hospitalityq!I851="")</f>
        <v>0</v>
      </c>
      <c r="J851">
        <f>B851*(hospitalityq!J851="")</f>
        <v>0</v>
      </c>
      <c r="K851">
        <f>B851*(hospitalityq!K851="")</f>
        <v>0</v>
      </c>
      <c r="L851">
        <f>B851*(hospitalityq!L851="")</f>
        <v>0</v>
      </c>
      <c r="M851">
        <f>B851*(hospitalityq!M851="")</f>
        <v>0</v>
      </c>
      <c r="N851">
        <f>B851*(hospitalityq!N851="")</f>
        <v>0</v>
      </c>
      <c r="O851">
        <f>B851*(hospitalityq!O851="")</f>
        <v>0</v>
      </c>
      <c r="P851">
        <f>B851*(hospitalityq!P851="")</f>
        <v>0</v>
      </c>
      <c r="Q851">
        <f>B851*(hospitalityq!Q851="")</f>
        <v>0</v>
      </c>
      <c r="R851">
        <f>B851*(hospitalityq!R851="")</f>
        <v>0</v>
      </c>
    </row>
    <row r="852" spans="1:18" x14ac:dyDescent="0.25">
      <c r="A852">
        <f t="shared" si="14"/>
        <v>0</v>
      </c>
      <c r="B852" t="b">
        <f>SUMPRODUCT(LEN(hospitalityq!C852:R852))&gt;0</f>
        <v>0</v>
      </c>
      <c r="C852">
        <f>B852*(hospitalityq!C852="")</f>
        <v>0</v>
      </c>
      <c r="E852">
        <f>B852*(hospitalityq!E852="")</f>
        <v>0</v>
      </c>
      <c r="F852">
        <f>B852*(hospitalityq!F852="")</f>
        <v>0</v>
      </c>
      <c r="G852">
        <f>B852*(hospitalityq!G852="")</f>
        <v>0</v>
      </c>
      <c r="H852">
        <f>B852*(hospitalityq!H852="")</f>
        <v>0</v>
      </c>
      <c r="I852">
        <f>B852*(hospitalityq!I852="")</f>
        <v>0</v>
      </c>
      <c r="J852">
        <f>B852*(hospitalityq!J852="")</f>
        <v>0</v>
      </c>
      <c r="K852">
        <f>B852*(hospitalityq!K852="")</f>
        <v>0</v>
      </c>
      <c r="L852">
        <f>B852*(hospitalityq!L852="")</f>
        <v>0</v>
      </c>
      <c r="M852">
        <f>B852*(hospitalityq!M852="")</f>
        <v>0</v>
      </c>
      <c r="N852">
        <f>B852*(hospitalityq!N852="")</f>
        <v>0</v>
      </c>
      <c r="O852">
        <f>B852*(hospitalityq!O852="")</f>
        <v>0</v>
      </c>
      <c r="P852">
        <f>B852*(hospitalityq!P852="")</f>
        <v>0</v>
      </c>
      <c r="Q852">
        <f>B852*(hospitalityq!Q852="")</f>
        <v>0</v>
      </c>
      <c r="R852">
        <f>B852*(hospitalityq!R852="")</f>
        <v>0</v>
      </c>
    </row>
    <row r="853" spans="1:18" x14ac:dyDescent="0.25">
      <c r="A853">
        <f t="shared" si="14"/>
        <v>0</v>
      </c>
      <c r="B853" t="b">
        <f>SUMPRODUCT(LEN(hospitalityq!C853:R853))&gt;0</f>
        <v>0</v>
      </c>
      <c r="C853">
        <f>B853*(hospitalityq!C853="")</f>
        <v>0</v>
      </c>
      <c r="E853">
        <f>B853*(hospitalityq!E853="")</f>
        <v>0</v>
      </c>
      <c r="F853">
        <f>B853*(hospitalityq!F853="")</f>
        <v>0</v>
      </c>
      <c r="G853">
        <f>B853*(hospitalityq!G853="")</f>
        <v>0</v>
      </c>
      <c r="H853">
        <f>B853*(hospitalityq!H853="")</f>
        <v>0</v>
      </c>
      <c r="I853">
        <f>B853*(hospitalityq!I853="")</f>
        <v>0</v>
      </c>
      <c r="J853">
        <f>B853*(hospitalityq!J853="")</f>
        <v>0</v>
      </c>
      <c r="K853">
        <f>B853*(hospitalityq!K853="")</f>
        <v>0</v>
      </c>
      <c r="L853">
        <f>B853*(hospitalityq!L853="")</f>
        <v>0</v>
      </c>
      <c r="M853">
        <f>B853*(hospitalityq!M853="")</f>
        <v>0</v>
      </c>
      <c r="N853">
        <f>B853*(hospitalityq!N853="")</f>
        <v>0</v>
      </c>
      <c r="O853">
        <f>B853*(hospitalityq!O853="")</f>
        <v>0</v>
      </c>
      <c r="P853">
        <f>B853*(hospitalityq!P853="")</f>
        <v>0</v>
      </c>
      <c r="Q853">
        <f>B853*(hospitalityq!Q853="")</f>
        <v>0</v>
      </c>
      <c r="R853">
        <f>B853*(hospitalityq!R853="")</f>
        <v>0</v>
      </c>
    </row>
    <row r="854" spans="1:18" x14ac:dyDescent="0.25">
      <c r="A854">
        <f t="shared" si="14"/>
        <v>0</v>
      </c>
      <c r="B854" t="b">
        <f>SUMPRODUCT(LEN(hospitalityq!C854:R854))&gt;0</f>
        <v>0</v>
      </c>
      <c r="C854">
        <f>B854*(hospitalityq!C854="")</f>
        <v>0</v>
      </c>
      <c r="E854">
        <f>B854*(hospitalityq!E854="")</f>
        <v>0</v>
      </c>
      <c r="F854">
        <f>B854*(hospitalityq!F854="")</f>
        <v>0</v>
      </c>
      <c r="G854">
        <f>B854*(hospitalityq!G854="")</f>
        <v>0</v>
      </c>
      <c r="H854">
        <f>B854*(hospitalityq!H854="")</f>
        <v>0</v>
      </c>
      <c r="I854">
        <f>B854*(hospitalityq!I854="")</f>
        <v>0</v>
      </c>
      <c r="J854">
        <f>B854*(hospitalityq!J854="")</f>
        <v>0</v>
      </c>
      <c r="K854">
        <f>B854*(hospitalityq!K854="")</f>
        <v>0</v>
      </c>
      <c r="L854">
        <f>B854*(hospitalityq!L854="")</f>
        <v>0</v>
      </c>
      <c r="M854">
        <f>B854*(hospitalityq!M854="")</f>
        <v>0</v>
      </c>
      <c r="N854">
        <f>B854*(hospitalityq!N854="")</f>
        <v>0</v>
      </c>
      <c r="O854">
        <f>B854*(hospitalityq!O854="")</f>
        <v>0</v>
      </c>
      <c r="P854">
        <f>B854*(hospitalityq!P854="")</f>
        <v>0</v>
      </c>
      <c r="Q854">
        <f>B854*(hospitalityq!Q854="")</f>
        <v>0</v>
      </c>
      <c r="R854">
        <f>B854*(hospitalityq!R854="")</f>
        <v>0</v>
      </c>
    </row>
    <row r="855" spans="1:18" x14ac:dyDescent="0.25">
      <c r="A855">
        <f t="shared" si="14"/>
        <v>0</v>
      </c>
      <c r="B855" t="b">
        <f>SUMPRODUCT(LEN(hospitalityq!C855:R855))&gt;0</f>
        <v>0</v>
      </c>
      <c r="C855">
        <f>B855*(hospitalityq!C855="")</f>
        <v>0</v>
      </c>
      <c r="E855">
        <f>B855*(hospitalityq!E855="")</f>
        <v>0</v>
      </c>
      <c r="F855">
        <f>B855*(hospitalityq!F855="")</f>
        <v>0</v>
      </c>
      <c r="G855">
        <f>B855*(hospitalityq!G855="")</f>
        <v>0</v>
      </c>
      <c r="H855">
        <f>B855*(hospitalityq!H855="")</f>
        <v>0</v>
      </c>
      <c r="I855">
        <f>B855*(hospitalityq!I855="")</f>
        <v>0</v>
      </c>
      <c r="J855">
        <f>B855*(hospitalityq!J855="")</f>
        <v>0</v>
      </c>
      <c r="K855">
        <f>B855*(hospitalityq!K855="")</f>
        <v>0</v>
      </c>
      <c r="L855">
        <f>B855*(hospitalityq!L855="")</f>
        <v>0</v>
      </c>
      <c r="M855">
        <f>B855*(hospitalityq!M855="")</f>
        <v>0</v>
      </c>
      <c r="N855">
        <f>B855*(hospitalityq!N855="")</f>
        <v>0</v>
      </c>
      <c r="O855">
        <f>B855*(hospitalityq!O855="")</f>
        <v>0</v>
      </c>
      <c r="P855">
        <f>B855*(hospitalityq!P855="")</f>
        <v>0</v>
      </c>
      <c r="Q855">
        <f>B855*(hospitalityq!Q855="")</f>
        <v>0</v>
      </c>
      <c r="R855">
        <f>B855*(hospitalityq!R855="")</f>
        <v>0</v>
      </c>
    </row>
    <row r="856" spans="1:18" x14ac:dyDescent="0.25">
      <c r="A856">
        <f t="shared" si="14"/>
        <v>0</v>
      </c>
      <c r="B856" t="b">
        <f>SUMPRODUCT(LEN(hospitalityq!C856:R856))&gt;0</f>
        <v>0</v>
      </c>
      <c r="C856">
        <f>B856*(hospitalityq!C856="")</f>
        <v>0</v>
      </c>
      <c r="E856">
        <f>B856*(hospitalityq!E856="")</f>
        <v>0</v>
      </c>
      <c r="F856">
        <f>B856*(hospitalityq!F856="")</f>
        <v>0</v>
      </c>
      <c r="G856">
        <f>B856*(hospitalityq!G856="")</f>
        <v>0</v>
      </c>
      <c r="H856">
        <f>B856*(hospitalityq!H856="")</f>
        <v>0</v>
      </c>
      <c r="I856">
        <f>B856*(hospitalityq!I856="")</f>
        <v>0</v>
      </c>
      <c r="J856">
        <f>B856*(hospitalityq!J856="")</f>
        <v>0</v>
      </c>
      <c r="K856">
        <f>B856*(hospitalityq!K856="")</f>
        <v>0</v>
      </c>
      <c r="L856">
        <f>B856*(hospitalityq!L856="")</f>
        <v>0</v>
      </c>
      <c r="M856">
        <f>B856*(hospitalityq!M856="")</f>
        <v>0</v>
      </c>
      <c r="N856">
        <f>B856*(hospitalityq!N856="")</f>
        <v>0</v>
      </c>
      <c r="O856">
        <f>B856*(hospitalityq!O856="")</f>
        <v>0</v>
      </c>
      <c r="P856">
        <f>B856*(hospitalityq!P856="")</f>
        <v>0</v>
      </c>
      <c r="Q856">
        <f>B856*(hospitalityq!Q856="")</f>
        <v>0</v>
      </c>
      <c r="R856">
        <f>B856*(hospitalityq!R856="")</f>
        <v>0</v>
      </c>
    </row>
    <row r="857" spans="1:18" x14ac:dyDescent="0.25">
      <c r="A857">
        <f t="shared" si="14"/>
        <v>0</v>
      </c>
      <c r="B857" t="b">
        <f>SUMPRODUCT(LEN(hospitalityq!C857:R857))&gt;0</f>
        <v>0</v>
      </c>
      <c r="C857">
        <f>B857*(hospitalityq!C857="")</f>
        <v>0</v>
      </c>
      <c r="E857">
        <f>B857*(hospitalityq!E857="")</f>
        <v>0</v>
      </c>
      <c r="F857">
        <f>B857*(hospitalityq!F857="")</f>
        <v>0</v>
      </c>
      <c r="G857">
        <f>B857*(hospitalityq!G857="")</f>
        <v>0</v>
      </c>
      <c r="H857">
        <f>B857*(hospitalityq!H857="")</f>
        <v>0</v>
      </c>
      <c r="I857">
        <f>B857*(hospitalityq!I857="")</f>
        <v>0</v>
      </c>
      <c r="J857">
        <f>B857*(hospitalityq!J857="")</f>
        <v>0</v>
      </c>
      <c r="K857">
        <f>B857*(hospitalityq!K857="")</f>
        <v>0</v>
      </c>
      <c r="L857">
        <f>B857*(hospitalityq!L857="")</f>
        <v>0</v>
      </c>
      <c r="M857">
        <f>B857*(hospitalityq!M857="")</f>
        <v>0</v>
      </c>
      <c r="N857">
        <f>B857*(hospitalityq!N857="")</f>
        <v>0</v>
      </c>
      <c r="O857">
        <f>B857*(hospitalityq!O857="")</f>
        <v>0</v>
      </c>
      <c r="P857">
        <f>B857*(hospitalityq!P857="")</f>
        <v>0</v>
      </c>
      <c r="Q857">
        <f>B857*(hospitalityq!Q857="")</f>
        <v>0</v>
      </c>
      <c r="R857">
        <f>B857*(hospitalityq!R857="")</f>
        <v>0</v>
      </c>
    </row>
    <row r="858" spans="1:18" x14ac:dyDescent="0.25">
      <c r="A858">
        <f t="shared" si="14"/>
        <v>0</v>
      </c>
      <c r="B858" t="b">
        <f>SUMPRODUCT(LEN(hospitalityq!C858:R858))&gt;0</f>
        <v>0</v>
      </c>
      <c r="C858">
        <f>B858*(hospitalityq!C858="")</f>
        <v>0</v>
      </c>
      <c r="E858">
        <f>B858*(hospitalityq!E858="")</f>
        <v>0</v>
      </c>
      <c r="F858">
        <f>B858*(hospitalityq!F858="")</f>
        <v>0</v>
      </c>
      <c r="G858">
        <f>B858*(hospitalityq!G858="")</f>
        <v>0</v>
      </c>
      <c r="H858">
        <f>B858*(hospitalityq!H858="")</f>
        <v>0</v>
      </c>
      <c r="I858">
        <f>B858*(hospitalityq!I858="")</f>
        <v>0</v>
      </c>
      <c r="J858">
        <f>B858*(hospitalityq!J858="")</f>
        <v>0</v>
      </c>
      <c r="K858">
        <f>B858*(hospitalityq!K858="")</f>
        <v>0</v>
      </c>
      <c r="L858">
        <f>B858*(hospitalityq!L858="")</f>
        <v>0</v>
      </c>
      <c r="M858">
        <f>B858*(hospitalityq!M858="")</f>
        <v>0</v>
      </c>
      <c r="N858">
        <f>B858*(hospitalityq!N858="")</f>
        <v>0</v>
      </c>
      <c r="O858">
        <f>B858*(hospitalityq!O858="")</f>
        <v>0</v>
      </c>
      <c r="P858">
        <f>B858*(hospitalityq!P858="")</f>
        <v>0</v>
      </c>
      <c r="Q858">
        <f>B858*(hospitalityq!Q858="")</f>
        <v>0</v>
      </c>
      <c r="R858">
        <f>B858*(hospitalityq!R858="")</f>
        <v>0</v>
      </c>
    </row>
    <row r="859" spans="1:18" x14ac:dyDescent="0.25">
      <c r="A859">
        <f t="shared" si="14"/>
        <v>0</v>
      </c>
      <c r="B859" t="b">
        <f>SUMPRODUCT(LEN(hospitalityq!C859:R859))&gt;0</f>
        <v>0</v>
      </c>
      <c r="C859">
        <f>B859*(hospitalityq!C859="")</f>
        <v>0</v>
      </c>
      <c r="E859">
        <f>B859*(hospitalityq!E859="")</f>
        <v>0</v>
      </c>
      <c r="F859">
        <f>B859*(hospitalityq!F859="")</f>
        <v>0</v>
      </c>
      <c r="G859">
        <f>B859*(hospitalityq!G859="")</f>
        <v>0</v>
      </c>
      <c r="H859">
        <f>B859*(hospitalityq!H859="")</f>
        <v>0</v>
      </c>
      <c r="I859">
        <f>B859*(hospitalityq!I859="")</f>
        <v>0</v>
      </c>
      <c r="J859">
        <f>B859*(hospitalityq!J859="")</f>
        <v>0</v>
      </c>
      <c r="K859">
        <f>B859*(hospitalityq!K859="")</f>
        <v>0</v>
      </c>
      <c r="L859">
        <f>B859*(hospitalityq!L859="")</f>
        <v>0</v>
      </c>
      <c r="M859">
        <f>B859*(hospitalityq!M859="")</f>
        <v>0</v>
      </c>
      <c r="N859">
        <f>B859*(hospitalityq!N859="")</f>
        <v>0</v>
      </c>
      <c r="O859">
        <f>B859*(hospitalityq!O859="")</f>
        <v>0</v>
      </c>
      <c r="P859">
        <f>B859*(hospitalityq!P859="")</f>
        <v>0</v>
      </c>
      <c r="Q859">
        <f>B859*(hospitalityq!Q859="")</f>
        <v>0</v>
      </c>
      <c r="R859">
        <f>B859*(hospitalityq!R859="")</f>
        <v>0</v>
      </c>
    </row>
    <row r="860" spans="1:18" x14ac:dyDescent="0.25">
      <c r="A860">
        <f t="shared" si="14"/>
        <v>0</v>
      </c>
      <c r="B860" t="b">
        <f>SUMPRODUCT(LEN(hospitalityq!C860:R860))&gt;0</f>
        <v>0</v>
      </c>
      <c r="C860">
        <f>B860*(hospitalityq!C860="")</f>
        <v>0</v>
      </c>
      <c r="E860">
        <f>B860*(hospitalityq!E860="")</f>
        <v>0</v>
      </c>
      <c r="F860">
        <f>B860*(hospitalityq!F860="")</f>
        <v>0</v>
      </c>
      <c r="G860">
        <f>B860*(hospitalityq!G860="")</f>
        <v>0</v>
      </c>
      <c r="H860">
        <f>B860*(hospitalityq!H860="")</f>
        <v>0</v>
      </c>
      <c r="I860">
        <f>B860*(hospitalityq!I860="")</f>
        <v>0</v>
      </c>
      <c r="J860">
        <f>B860*(hospitalityq!J860="")</f>
        <v>0</v>
      </c>
      <c r="K860">
        <f>B860*(hospitalityq!K860="")</f>
        <v>0</v>
      </c>
      <c r="L860">
        <f>B860*(hospitalityq!L860="")</f>
        <v>0</v>
      </c>
      <c r="M860">
        <f>B860*(hospitalityq!M860="")</f>
        <v>0</v>
      </c>
      <c r="N860">
        <f>B860*(hospitalityq!N860="")</f>
        <v>0</v>
      </c>
      <c r="O860">
        <f>B860*(hospitalityq!O860="")</f>
        <v>0</v>
      </c>
      <c r="P860">
        <f>B860*(hospitalityq!P860="")</f>
        <v>0</v>
      </c>
      <c r="Q860">
        <f>B860*(hospitalityq!Q860="")</f>
        <v>0</v>
      </c>
      <c r="R860">
        <f>B860*(hospitalityq!R860="")</f>
        <v>0</v>
      </c>
    </row>
    <row r="861" spans="1:18" x14ac:dyDescent="0.25">
      <c r="A861">
        <f t="shared" si="14"/>
        <v>0</v>
      </c>
      <c r="B861" t="b">
        <f>SUMPRODUCT(LEN(hospitalityq!C861:R861))&gt;0</f>
        <v>0</v>
      </c>
      <c r="C861">
        <f>B861*(hospitalityq!C861="")</f>
        <v>0</v>
      </c>
      <c r="E861">
        <f>B861*(hospitalityq!E861="")</f>
        <v>0</v>
      </c>
      <c r="F861">
        <f>B861*(hospitalityq!F861="")</f>
        <v>0</v>
      </c>
      <c r="G861">
        <f>B861*(hospitalityq!G861="")</f>
        <v>0</v>
      </c>
      <c r="H861">
        <f>B861*(hospitalityq!H861="")</f>
        <v>0</v>
      </c>
      <c r="I861">
        <f>B861*(hospitalityq!I861="")</f>
        <v>0</v>
      </c>
      <c r="J861">
        <f>B861*(hospitalityq!J861="")</f>
        <v>0</v>
      </c>
      <c r="K861">
        <f>B861*(hospitalityq!K861="")</f>
        <v>0</v>
      </c>
      <c r="L861">
        <f>B861*(hospitalityq!L861="")</f>
        <v>0</v>
      </c>
      <c r="M861">
        <f>B861*(hospitalityq!M861="")</f>
        <v>0</v>
      </c>
      <c r="N861">
        <f>B861*(hospitalityq!N861="")</f>
        <v>0</v>
      </c>
      <c r="O861">
        <f>B861*(hospitalityq!O861="")</f>
        <v>0</v>
      </c>
      <c r="P861">
        <f>B861*(hospitalityq!P861="")</f>
        <v>0</v>
      </c>
      <c r="Q861">
        <f>B861*(hospitalityq!Q861="")</f>
        <v>0</v>
      </c>
      <c r="R861">
        <f>B861*(hospitalityq!R861="")</f>
        <v>0</v>
      </c>
    </row>
    <row r="862" spans="1:18" x14ac:dyDescent="0.25">
      <c r="A862">
        <f t="shared" si="14"/>
        <v>0</v>
      </c>
      <c r="B862" t="b">
        <f>SUMPRODUCT(LEN(hospitalityq!C862:R862))&gt;0</f>
        <v>0</v>
      </c>
      <c r="C862">
        <f>B862*(hospitalityq!C862="")</f>
        <v>0</v>
      </c>
      <c r="E862">
        <f>B862*(hospitalityq!E862="")</f>
        <v>0</v>
      </c>
      <c r="F862">
        <f>B862*(hospitalityq!F862="")</f>
        <v>0</v>
      </c>
      <c r="G862">
        <f>B862*(hospitalityq!G862="")</f>
        <v>0</v>
      </c>
      <c r="H862">
        <f>B862*(hospitalityq!H862="")</f>
        <v>0</v>
      </c>
      <c r="I862">
        <f>B862*(hospitalityq!I862="")</f>
        <v>0</v>
      </c>
      <c r="J862">
        <f>B862*(hospitalityq!J862="")</f>
        <v>0</v>
      </c>
      <c r="K862">
        <f>B862*(hospitalityq!K862="")</f>
        <v>0</v>
      </c>
      <c r="L862">
        <f>B862*(hospitalityq!L862="")</f>
        <v>0</v>
      </c>
      <c r="M862">
        <f>B862*(hospitalityq!M862="")</f>
        <v>0</v>
      </c>
      <c r="N862">
        <f>B862*(hospitalityq!N862="")</f>
        <v>0</v>
      </c>
      <c r="O862">
        <f>B862*(hospitalityq!O862="")</f>
        <v>0</v>
      </c>
      <c r="P862">
        <f>B862*(hospitalityq!P862="")</f>
        <v>0</v>
      </c>
      <c r="Q862">
        <f>B862*(hospitalityq!Q862="")</f>
        <v>0</v>
      </c>
      <c r="R862">
        <f>B862*(hospitalityq!R862="")</f>
        <v>0</v>
      </c>
    </row>
    <row r="863" spans="1:18" x14ac:dyDescent="0.25">
      <c r="A863">
        <f t="shared" si="14"/>
        <v>0</v>
      </c>
      <c r="B863" t="b">
        <f>SUMPRODUCT(LEN(hospitalityq!C863:R863))&gt;0</f>
        <v>0</v>
      </c>
      <c r="C863">
        <f>B863*(hospitalityq!C863="")</f>
        <v>0</v>
      </c>
      <c r="E863">
        <f>B863*(hospitalityq!E863="")</f>
        <v>0</v>
      </c>
      <c r="F863">
        <f>B863*(hospitalityq!F863="")</f>
        <v>0</v>
      </c>
      <c r="G863">
        <f>B863*(hospitalityq!G863="")</f>
        <v>0</v>
      </c>
      <c r="H863">
        <f>B863*(hospitalityq!H863="")</f>
        <v>0</v>
      </c>
      <c r="I863">
        <f>B863*(hospitalityq!I863="")</f>
        <v>0</v>
      </c>
      <c r="J863">
        <f>B863*(hospitalityq!J863="")</f>
        <v>0</v>
      </c>
      <c r="K863">
        <f>B863*(hospitalityq!K863="")</f>
        <v>0</v>
      </c>
      <c r="L863">
        <f>B863*(hospitalityq!L863="")</f>
        <v>0</v>
      </c>
      <c r="M863">
        <f>B863*(hospitalityq!M863="")</f>
        <v>0</v>
      </c>
      <c r="N863">
        <f>B863*(hospitalityq!N863="")</f>
        <v>0</v>
      </c>
      <c r="O863">
        <f>B863*(hospitalityq!O863="")</f>
        <v>0</v>
      </c>
      <c r="P863">
        <f>B863*(hospitalityq!P863="")</f>
        <v>0</v>
      </c>
      <c r="Q863">
        <f>B863*(hospitalityq!Q863="")</f>
        <v>0</v>
      </c>
      <c r="R863">
        <f>B863*(hospitalityq!R863="")</f>
        <v>0</v>
      </c>
    </row>
    <row r="864" spans="1:18" x14ac:dyDescent="0.25">
      <c r="A864">
        <f t="shared" si="14"/>
        <v>0</v>
      </c>
      <c r="B864" t="b">
        <f>SUMPRODUCT(LEN(hospitalityq!C864:R864))&gt;0</f>
        <v>0</v>
      </c>
      <c r="C864">
        <f>B864*(hospitalityq!C864="")</f>
        <v>0</v>
      </c>
      <c r="E864">
        <f>B864*(hospitalityq!E864="")</f>
        <v>0</v>
      </c>
      <c r="F864">
        <f>B864*(hospitalityq!F864="")</f>
        <v>0</v>
      </c>
      <c r="G864">
        <f>B864*(hospitalityq!G864="")</f>
        <v>0</v>
      </c>
      <c r="H864">
        <f>B864*(hospitalityq!H864="")</f>
        <v>0</v>
      </c>
      <c r="I864">
        <f>B864*(hospitalityq!I864="")</f>
        <v>0</v>
      </c>
      <c r="J864">
        <f>B864*(hospitalityq!J864="")</f>
        <v>0</v>
      </c>
      <c r="K864">
        <f>B864*(hospitalityq!K864="")</f>
        <v>0</v>
      </c>
      <c r="L864">
        <f>B864*(hospitalityq!L864="")</f>
        <v>0</v>
      </c>
      <c r="M864">
        <f>B864*(hospitalityq!M864="")</f>
        <v>0</v>
      </c>
      <c r="N864">
        <f>B864*(hospitalityq!N864="")</f>
        <v>0</v>
      </c>
      <c r="O864">
        <f>B864*(hospitalityq!O864="")</f>
        <v>0</v>
      </c>
      <c r="P864">
        <f>B864*(hospitalityq!P864="")</f>
        <v>0</v>
      </c>
      <c r="Q864">
        <f>B864*(hospitalityq!Q864="")</f>
        <v>0</v>
      </c>
      <c r="R864">
        <f>B864*(hospitalityq!R864="")</f>
        <v>0</v>
      </c>
    </row>
    <row r="865" spans="1:18" x14ac:dyDescent="0.25">
      <c r="A865">
        <f t="shared" si="14"/>
        <v>0</v>
      </c>
      <c r="B865" t="b">
        <f>SUMPRODUCT(LEN(hospitalityq!C865:R865))&gt;0</f>
        <v>0</v>
      </c>
      <c r="C865">
        <f>B865*(hospitalityq!C865="")</f>
        <v>0</v>
      </c>
      <c r="E865">
        <f>B865*(hospitalityq!E865="")</f>
        <v>0</v>
      </c>
      <c r="F865">
        <f>B865*(hospitalityq!F865="")</f>
        <v>0</v>
      </c>
      <c r="G865">
        <f>B865*(hospitalityq!G865="")</f>
        <v>0</v>
      </c>
      <c r="H865">
        <f>B865*(hospitalityq!H865="")</f>
        <v>0</v>
      </c>
      <c r="I865">
        <f>B865*(hospitalityq!I865="")</f>
        <v>0</v>
      </c>
      <c r="J865">
        <f>B865*(hospitalityq!J865="")</f>
        <v>0</v>
      </c>
      <c r="K865">
        <f>B865*(hospitalityq!K865="")</f>
        <v>0</v>
      </c>
      <c r="L865">
        <f>B865*(hospitalityq!L865="")</f>
        <v>0</v>
      </c>
      <c r="M865">
        <f>B865*(hospitalityq!M865="")</f>
        <v>0</v>
      </c>
      <c r="N865">
        <f>B865*(hospitalityq!N865="")</f>
        <v>0</v>
      </c>
      <c r="O865">
        <f>B865*(hospitalityq!O865="")</f>
        <v>0</v>
      </c>
      <c r="P865">
        <f>B865*(hospitalityq!P865="")</f>
        <v>0</v>
      </c>
      <c r="Q865">
        <f>B865*(hospitalityq!Q865="")</f>
        <v>0</v>
      </c>
      <c r="R865">
        <f>B865*(hospitalityq!R865="")</f>
        <v>0</v>
      </c>
    </row>
    <row r="866" spans="1:18" x14ac:dyDescent="0.25">
      <c r="A866">
        <f t="shared" si="14"/>
        <v>0</v>
      </c>
      <c r="B866" t="b">
        <f>SUMPRODUCT(LEN(hospitalityq!C866:R866))&gt;0</f>
        <v>0</v>
      </c>
      <c r="C866">
        <f>B866*(hospitalityq!C866="")</f>
        <v>0</v>
      </c>
      <c r="E866">
        <f>B866*(hospitalityq!E866="")</f>
        <v>0</v>
      </c>
      <c r="F866">
        <f>B866*(hospitalityq!F866="")</f>
        <v>0</v>
      </c>
      <c r="G866">
        <f>B866*(hospitalityq!G866="")</f>
        <v>0</v>
      </c>
      <c r="H866">
        <f>B866*(hospitalityq!H866="")</f>
        <v>0</v>
      </c>
      <c r="I866">
        <f>B866*(hospitalityq!I866="")</f>
        <v>0</v>
      </c>
      <c r="J866">
        <f>B866*(hospitalityq!J866="")</f>
        <v>0</v>
      </c>
      <c r="K866">
        <f>B866*(hospitalityq!K866="")</f>
        <v>0</v>
      </c>
      <c r="L866">
        <f>B866*(hospitalityq!L866="")</f>
        <v>0</v>
      </c>
      <c r="M866">
        <f>B866*(hospitalityq!M866="")</f>
        <v>0</v>
      </c>
      <c r="N866">
        <f>B866*(hospitalityq!N866="")</f>
        <v>0</v>
      </c>
      <c r="O866">
        <f>B866*(hospitalityq!O866="")</f>
        <v>0</v>
      </c>
      <c r="P866">
        <f>B866*(hospitalityq!P866="")</f>
        <v>0</v>
      </c>
      <c r="Q866">
        <f>B866*(hospitalityq!Q866="")</f>
        <v>0</v>
      </c>
      <c r="R866">
        <f>B866*(hospitalityq!R866="")</f>
        <v>0</v>
      </c>
    </row>
    <row r="867" spans="1:18" x14ac:dyDescent="0.25">
      <c r="A867">
        <f t="shared" si="14"/>
        <v>0</v>
      </c>
      <c r="B867" t="b">
        <f>SUMPRODUCT(LEN(hospitalityq!C867:R867))&gt;0</f>
        <v>0</v>
      </c>
      <c r="C867">
        <f>B867*(hospitalityq!C867="")</f>
        <v>0</v>
      </c>
      <c r="E867">
        <f>B867*(hospitalityq!E867="")</f>
        <v>0</v>
      </c>
      <c r="F867">
        <f>B867*(hospitalityq!F867="")</f>
        <v>0</v>
      </c>
      <c r="G867">
        <f>B867*(hospitalityq!G867="")</f>
        <v>0</v>
      </c>
      <c r="H867">
        <f>B867*(hospitalityq!H867="")</f>
        <v>0</v>
      </c>
      <c r="I867">
        <f>B867*(hospitalityq!I867="")</f>
        <v>0</v>
      </c>
      <c r="J867">
        <f>B867*(hospitalityq!J867="")</f>
        <v>0</v>
      </c>
      <c r="K867">
        <f>B867*(hospitalityq!K867="")</f>
        <v>0</v>
      </c>
      <c r="L867">
        <f>B867*(hospitalityq!L867="")</f>
        <v>0</v>
      </c>
      <c r="M867">
        <f>B867*(hospitalityq!M867="")</f>
        <v>0</v>
      </c>
      <c r="N867">
        <f>B867*(hospitalityq!N867="")</f>
        <v>0</v>
      </c>
      <c r="O867">
        <f>B867*(hospitalityq!O867="")</f>
        <v>0</v>
      </c>
      <c r="P867">
        <f>B867*(hospitalityq!P867="")</f>
        <v>0</v>
      </c>
      <c r="Q867">
        <f>B867*(hospitalityq!Q867="")</f>
        <v>0</v>
      </c>
      <c r="R867">
        <f>B867*(hospitalityq!R867="")</f>
        <v>0</v>
      </c>
    </row>
    <row r="868" spans="1:18" x14ac:dyDescent="0.25">
      <c r="A868">
        <f t="shared" si="14"/>
        <v>0</v>
      </c>
      <c r="B868" t="b">
        <f>SUMPRODUCT(LEN(hospitalityq!C868:R868))&gt;0</f>
        <v>0</v>
      </c>
      <c r="C868">
        <f>B868*(hospitalityq!C868="")</f>
        <v>0</v>
      </c>
      <c r="E868">
        <f>B868*(hospitalityq!E868="")</f>
        <v>0</v>
      </c>
      <c r="F868">
        <f>B868*(hospitalityq!F868="")</f>
        <v>0</v>
      </c>
      <c r="G868">
        <f>B868*(hospitalityq!G868="")</f>
        <v>0</v>
      </c>
      <c r="H868">
        <f>B868*(hospitalityq!H868="")</f>
        <v>0</v>
      </c>
      <c r="I868">
        <f>B868*(hospitalityq!I868="")</f>
        <v>0</v>
      </c>
      <c r="J868">
        <f>B868*(hospitalityq!J868="")</f>
        <v>0</v>
      </c>
      <c r="K868">
        <f>B868*(hospitalityq!K868="")</f>
        <v>0</v>
      </c>
      <c r="L868">
        <f>B868*(hospitalityq!L868="")</f>
        <v>0</v>
      </c>
      <c r="M868">
        <f>B868*(hospitalityq!M868="")</f>
        <v>0</v>
      </c>
      <c r="N868">
        <f>B868*(hospitalityq!N868="")</f>
        <v>0</v>
      </c>
      <c r="O868">
        <f>B868*(hospitalityq!O868="")</f>
        <v>0</v>
      </c>
      <c r="P868">
        <f>B868*(hospitalityq!P868="")</f>
        <v>0</v>
      </c>
      <c r="Q868">
        <f>B868*(hospitalityq!Q868="")</f>
        <v>0</v>
      </c>
      <c r="R868">
        <f>B868*(hospitalityq!R868="")</f>
        <v>0</v>
      </c>
    </row>
    <row r="869" spans="1:18" x14ac:dyDescent="0.25">
      <c r="A869">
        <f t="shared" si="14"/>
        <v>0</v>
      </c>
      <c r="B869" t="b">
        <f>SUMPRODUCT(LEN(hospitalityq!C869:R869))&gt;0</f>
        <v>0</v>
      </c>
      <c r="C869">
        <f>B869*(hospitalityq!C869="")</f>
        <v>0</v>
      </c>
      <c r="E869">
        <f>B869*(hospitalityq!E869="")</f>
        <v>0</v>
      </c>
      <c r="F869">
        <f>B869*(hospitalityq!F869="")</f>
        <v>0</v>
      </c>
      <c r="G869">
        <f>B869*(hospitalityq!G869="")</f>
        <v>0</v>
      </c>
      <c r="H869">
        <f>B869*(hospitalityq!H869="")</f>
        <v>0</v>
      </c>
      <c r="I869">
        <f>B869*(hospitalityq!I869="")</f>
        <v>0</v>
      </c>
      <c r="J869">
        <f>B869*(hospitalityq!J869="")</f>
        <v>0</v>
      </c>
      <c r="K869">
        <f>B869*(hospitalityq!K869="")</f>
        <v>0</v>
      </c>
      <c r="L869">
        <f>B869*(hospitalityq!L869="")</f>
        <v>0</v>
      </c>
      <c r="M869">
        <f>B869*(hospitalityq!M869="")</f>
        <v>0</v>
      </c>
      <c r="N869">
        <f>B869*(hospitalityq!N869="")</f>
        <v>0</v>
      </c>
      <c r="O869">
        <f>B869*(hospitalityq!O869="")</f>
        <v>0</v>
      </c>
      <c r="P869">
        <f>B869*(hospitalityq!P869="")</f>
        <v>0</v>
      </c>
      <c r="Q869">
        <f>B869*(hospitalityq!Q869="")</f>
        <v>0</v>
      </c>
      <c r="R869">
        <f>B869*(hospitalityq!R869="")</f>
        <v>0</v>
      </c>
    </row>
    <row r="870" spans="1:18" x14ac:dyDescent="0.25">
      <c r="A870">
        <f t="shared" si="14"/>
        <v>0</v>
      </c>
      <c r="B870" t="b">
        <f>SUMPRODUCT(LEN(hospitalityq!C870:R870))&gt;0</f>
        <v>0</v>
      </c>
      <c r="C870">
        <f>B870*(hospitalityq!C870="")</f>
        <v>0</v>
      </c>
      <c r="E870">
        <f>B870*(hospitalityq!E870="")</f>
        <v>0</v>
      </c>
      <c r="F870">
        <f>B870*(hospitalityq!F870="")</f>
        <v>0</v>
      </c>
      <c r="G870">
        <f>B870*(hospitalityq!G870="")</f>
        <v>0</v>
      </c>
      <c r="H870">
        <f>B870*(hospitalityq!H870="")</f>
        <v>0</v>
      </c>
      <c r="I870">
        <f>B870*(hospitalityq!I870="")</f>
        <v>0</v>
      </c>
      <c r="J870">
        <f>B870*(hospitalityq!J870="")</f>
        <v>0</v>
      </c>
      <c r="K870">
        <f>B870*(hospitalityq!K870="")</f>
        <v>0</v>
      </c>
      <c r="L870">
        <f>B870*(hospitalityq!L870="")</f>
        <v>0</v>
      </c>
      <c r="M870">
        <f>B870*(hospitalityq!M870="")</f>
        <v>0</v>
      </c>
      <c r="N870">
        <f>B870*(hospitalityq!N870="")</f>
        <v>0</v>
      </c>
      <c r="O870">
        <f>B870*(hospitalityq!O870="")</f>
        <v>0</v>
      </c>
      <c r="P870">
        <f>B870*(hospitalityq!P870="")</f>
        <v>0</v>
      </c>
      <c r="Q870">
        <f>B870*(hospitalityq!Q870="")</f>
        <v>0</v>
      </c>
      <c r="R870">
        <f>B870*(hospitalityq!R870="")</f>
        <v>0</v>
      </c>
    </row>
    <row r="871" spans="1:18" x14ac:dyDescent="0.25">
      <c r="A871">
        <f t="shared" si="14"/>
        <v>0</v>
      </c>
      <c r="B871" t="b">
        <f>SUMPRODUCT(LEN(hospitalityq!C871:R871))&gt;0</f>
        <v>0</v>
      </c>
      <c r="C871">
        <f>B871*(hospitalityq!C871="")</f>
        <v>0</v>
      </c>
      <c r="E871">
        <f>B871*(hospitalityq!E871="")</f>
        <v>0</v>
      </c>
      <c r="F871">
        <f>B871*(hospitalityq!F871="")</f>
        <v>0</v>
      </c>
      <c r="G871">
        <f>B871*(hospitalityq!G871="")</f>
        <v>0</v>
      </c>
      <c r="H871">
        <f>B871*(hospitalityq!H871="")</f>
        <v>0</v>
      </c>
      <c r="I871">
        <f>B871*(hospitalityq!I871="")</f>
        <v>0</v>
      </c>
      <c r="J871">
        <f>B871*(hospitalityq!J871="")</f>
        <v>0</v>
      </c>
      <c r="K871">
        <f>B871*(hospitalityq!K871="")</f>
        <v>0</v>
      </c>
      <c r="L871">
        <f>B871*(hospitalityq!L871="")</f>
        <v>0</v>
      </c>
      <c r="M871">
        <f>B871*(hospitalityq!M871="")</f>
        <v>0</v>
      </c>
      <c r="N871">
        <f>B871*(hospitalityq!N871="")</f>
        <v>0</v>
      </c>
      <c r="O871">
        <f>B871*(hospitalityq!O871="")</f>
        <v>0</v>
      </c>
      <c r="P871">
        <f>B871*(hospitalityq!P871="")</f>
        <v>0</v>
      </c>
      <c r="Q871">
        <f>B871*(hospitalityq!Q871="")</f>
        <v>0</v>
      </c>
      <c r="R871">
        <f>B871*(hospitalityq!R871="")</f>
        <v>0</v>
      </c>
    </row>
    <row r="872" spans="1:18" x14ac:dyDescent="0.25">
      <c r="A872">
        <f t="shared" si="14"/>
        <v>0</v>
      </c>
      <c r="B872" t="b">
        <f>SUMPRODUCT(LEN(hospitalityq!C872:R872))&gt;0</f>
        <v>0</v>
      </c>
      <c r="C872">
        <f>B872*(hospitalityq!C872="")</f>
        <v>0</v>
      </c>
      <c r="E872">
        <f>B872*(hospitalityq!E872="")</f>
        <v>0</v>
      </c>
      <c r="F872">
        <f>B872*(hospitalityq!F872="")</f>
        <v>0</v>
      </c>
      <c r="G872">
        <f>B872*(hospitalityq!G872="")</f>
        <v>0</v>
      </c>
      <c r="H872">
        <f>B872*(hospitalityq!H872="")</f>
        <v>0</v>
      </c>
      <c r="I872">
        <f>B872*(hospitalityq!I872="")</f>
        <v>0</v>
      </c>
      <c r="J872">
        <f>B872*(hospitalityq!J872="")</f>
        <v>0</v>
      </c>
      <c r="K872">
        <f>B872*(hospitalityq!K872="")</f>
        <v>0</v>
      </c>
      <c r="L872">
        <f>B872*(hospitalityq!L872="")</f>
        <v>0</v>
      </c>
      <c r="M872">
        <f>B872*(hospitalityq!M872="")</f>
        <v>0</v>
      </c>
      <c r="N872">
        <f>B872*(hospitalityq!N872="")</f>
        <v>0</v>
      </c>
      <c r="O872">
        <f>B872*(hospitalityq!O872="")</f>
        <v>0</v>
      </c>
      <c r="P872">
        <f>B872*(hospitalityq!P872="")</f>
        <v>0</v>
      </c>
      <c r="Q872">
        <f>B872*(hospitalityq!Q872="")</f>
        <v>0</v>
      </c>
      <c r="R872">
        <f>B872*(hospitalityq!R872="")</f>
        <v>0</v>
      </c>
    </row>
    <row r="873" spans="1:18" x14ac:dyDescent="0.25">
      <c r="A873">
        <f t="shared" si="14"/>
        <v>0</v>
      </c>
      <c r="B873" t="b">
        <f>SUMPRODUCT(LEN(hospitalityq!C873:R873))&gt;0</f>
        <v>0</v>
      </c>
      <c r="C873">
        <f>B873*(hospitalityq!C873="")</f>
        <v>0</v>
      </c>
      <c r="E873">
        <f>B873*(hospitalityq!E873="")</f>
        <v>0</v>
      </c>
      <c r="F873">
        <f>B873*(hospitalityq!F873="")</f>
        <v>0</v>
      </c>
      <c r="G873">
        <f>B873*(hospitalityq!G873="")</f>
        <v>0</v>
      </c>
      <c r="H873">
        <f>B873*(hospitalityq!H873="")</f>
        <v>0</v>
      </c>
      <c r="I873">
        <f>B873*(hospitalityq!I873="")</f>
        <v>0</v>
      </c>
      <c r="J873">
        <f>B873*(hospitalityq!J873="")</f>
        <v>0</v>
      </c>
      <c r="K873">
        <f>B873*(hospitalityq!K873="")</f>
        <v>0</v>
      </c>
      <c r="L873">
        <f>B873*(hospitalityq!L873="")</f>
        <v>0</v>
      </c>
      <c r="M873">
        <f>B873*(hospitalityq!M873="")</f>
        <v>0</v>
      </c>
      <c r="N873">
        <f>B873*(hospitalityq!N873="")</f>
        <v>0</v>
      </c>
      <c r="O873">
        <f>B873*(hospitalityq!O873="")</f>
        <v>0</v>
      </c>
      <c r="P873">
        <f>B873*(hospitalityq!P873="")</f>
        <v>0</v>
      </c>
      <c r="Q873">
        <f>B873*(hospitalityq!Q873="")</f>
        <v>0</v>
      </c>
      <c r="R873">
        <f>B873*(hospitalityq!R873="")</f>
        <v>0</v>
      </c>
    </row>
    <row r="874" spans="1:18" x14ac:dyDescent="0.25">
      <c r="A874">
        <f t="shared" si="14"/>
        <v>0</v>
      </c>
      <c r="B874" t="b">
        <f>SUMPRODUCT(LEN(hospitalityq!C874:R874))&gt;0</f>
        <v>0</v>
      </c>
      <c r="C874">
        <f>B874*(hospitalityq!C874="")</f>
        <v>0</v>
      </c>
      <c r="E874">
        <f>B874*(hospitalityq!E874="")</f>
        <v>0</v>
      </c>
      <c r="F874">
        <f>B874*(hospitalityq!F874="")</f>
        <v>0</v>
      </c>
      <c r="G874">
        <f>B874*(hospitalityq!G874="")</f>
        <v>0</v>
      </c>
      <c r="H874">
        <f>B874*(hospitalityq!H874="")</f>
        <v>0</v>
      </c>
      <c r="I874">
        <f>B874*(hospitalityq!I874="")</f>
        <v>0</v>
      </c>
      <c r="J874">
        <f>B874*(hospitalityq!J874="")</f>
        <v>0</v>
      </c>
      <c r="K874">
        <f>B874*(hospitalityq!K874="")</f>
        <v>0</v>
      </c>
      <c r="L874">
        <f>B874*(hospitalityq!L874="")</f>
        <v>0</v>
      </c>
      <c r="M874">
        <f>B874*(hospitalityq!M874="")</f>
        <v>0</v>
      </c>
      <c r="N874">
        <f>B874*(hospitalityq!N874="")</f>
        <v>0</v>
      </c>
      <c r="O874">
        <f>B874*(hospitalityq!O874="")</f>
        <v>0</v>
      </c>
      <c r="P874">
        <f>B874*(hospitalityq!P874="")</f>
        <v>0</v>
      </c>
      <c r="Q874">
        <f>B874*(hospitalityq!Q874="")</f>
        <v>0</v>
      </c>
      <c r="R874">
        <f>B874*(hospitalityq!R874="")</f>
        <v>0</v>
      </c>
    </row>
    <row r="875" spans="1:18" x14ac:dyDescent="0.25">
      <c r="A875">
        <f t="shared" si="14"/>
        <v>0</v>
      </c>
      <c r="B875" t="b">
        <f>SUMPRODUCT(LEN(hospitalityq!C875:R875))&gt;0</f>
        <v>0</v>
      </c>
      <c r="C875">
        <f>B875*(hospitalityq!C875="")</f>
        <v>0</v>
      </c>
      <c r="E875">
        <f>B875*(hospitalityq!E875="")</f>
        <v>0</v>
      </c>
      <c r="F875">
        <f>B875*(hospitalityq!F875="")</f>
        <v>0</v>
      </c>
      <c r="G875">
        <f>B875*(hospitalityq!G875="")</f>
        <v>0</v>
      </c>
      <c r="H875">
        <f>B875*(hospitalityq!H875="")</f>
        <v>0</v>
      </c>
      <c r="I875">
        <f>B875*(hospitalityq!I875="")</f>
        <v>0</v>
      </c>
      <c r="J875">
        <f>B875*(hospitalityq!J875="")</f>
        <v>0</v>
      </c>
      <c r="K875">
        <f>B875*(hospitalityq!K875="")</f>
        <v>0</v>
      </c>
      <c r="L875">
        <f>B875*(hospitalityq!L875="")</f>
        <v>0</v>
      </c>
      <c r="M875">
        <f>B875*(hospitalityq!M875="")</f>
        <v>0</v>
      </c>
      <c r="N875">
        <f>B875*(hospitalityq!N875="")</f>
        <v>0</v>
      </c>
      <c r="O875">
        <f>B875*(hospitalityq!O875="")</f>
        <v>0</v>
      </c>
      <c r="P875">
        <f>B875*(hospitalityq!P875="")</f>
        <v>0</v>
      </c>
      <c r="Q875">
        <f>B875*(hospitalityq!Q875="")</f>
        <v>0</v>
      </c>
      <c r="R875">
        <f>B875*(hospitalityq!R875="")</f>
        <v>0</v>
      </c>
    </row>
    <row r="876" spans="1:18" x14ac:dyDescent="0.25">
      <c r="A876">
        <f t="shared" si="14"/>
        <v>0</v>
      </c>
      <c r="B876" t="b">
        <f>SUMPRODUCT(LEN(hospitalityq!C876:R876))&gt;0</f>
        <v>0</v>
      </c>
      <c r="C876">
        <f>B876*(hospitalityq!C876="")</f>
        <v>0</v>
      </c>
      <c r="E876">
        <f>B876*(hospitalityq!E876="")</f>
        <v>0</v>
      </c>
      <c r="F876">
        <f>B876*(hospitalityq!F876="")</f>
        <v>0</v>
      </c>
      <c r="G876">
        <f>B876*(hospitalityq!G876="")</f>
        <v>0</v>
      </c>
      <c r="H876">
        <f>B876*(hospitalityq!H876="")</f>
        <v>0</v>
      </c>
      <c r="I876">
        <f>B876*(hospitalityq!I876="")</f>
        <v>0</v>
      </c>
      <c r="J876">
        <f>B876*(hospitalityq!J876="")</f>
        <v>0</v>
      </c>
      <c r="K876">
        <f>B876*(hospitalityq!K876="")</f>
        <v>0</v>
      </c>
      <c r="L876">
        <f>B876*(hospitalityq!L876="")</f>
        <v>0</v>
      </c>
      <c r="M876">
        <f>B876*(hospitalityq!M876="")</f>
        <v>0</v>
      </c>
      <c r="N876">
        <f>B876*(hospitalityq!N876="")</f>
        <v>0</v>
      </c>
      <c r="O876">
        <f>B876*(hospitalityq!O876="")</f>
        <v>0</v>
      </c>
      <c r="P876">
        <f>B876*(hospitalityq!P876="")</f>
        <v>0</v>
      </c>
      <c r="Q876">
        <f>B876*(hospitalityq!Q876="")</f>
        <v>0</v>
      </c>
      <c r="R876">
        <f>B876*(hospitalityq!R876="")</f>
        <v>0</v>
      </c>
    </row>
    <row r="877" spans="1:18" x14ac:dyDescent="0.25">
      <c r="A877">
        <f t="shared" si="14"/>
        <v>0</v>
      </c>
      <c r="B877" t="b">
        <f>SUMPRODUCT(LEN(hospitalityq!C877:R877))&gt;0</f>
        <v>0</v>
      </c>
      <c r="C877">
        <f>B877*(hospitalityq!C877="")</f>
        <v>0</v>
      </c>
      <c r="E877">
        <f>B877*(hospitalityq!E877="")</f>
        <v>0</v>
      </c>
      <c r="F877">
        <f>B877*(hospitalityq!F877="")</f>
        <v>0</v>
      </c>
      <c r="G877">
        <f>B877*(hospitalityq!G877="")</f>
        <v>0</v>
      </c>
      <c r="H877">
        <f>B877*(hospitalityq!H877="")</f>
        <v>0</v>
      </c>
      <c r="I877">
        <f>B877*(hospitalityq!I877="")</f>
        <v>0</v>
      </c>
      <c r="J877">
        <f>B877*(hospitalityq!J877="")</f>
        <v>0</v>
      </c>
      <c r="K877">
        <f>B877*(hospitalityq!K877="")</f>
        <v>0</v>
      </c>
      <c r="L877">
        <f>B877*(hospitalityq!L877="")</f>
        <v>0</v>
      </c>
      <c r="M877">
        <f>B877*(hospitalityq!M877="")</f>
        <v>0</v>
      </c>
      <c r="N877">
        <f>B877*(hospitalityq!N877="")</f>
        <v>0</v>
      </c>
      <c r="O877">
        <f>B877*(hospitalityq!O877="")</f>
        <v>0</v>
      </c>
      <c r="P877">
        <f>B877*(hospitalityq!P877="")</f>
        <v>0</v>
      </c>
      <c r="Q877">
        <f>B877*(hospitalityq!Q877="")</f>
        <v>0</v>
      </c>
      <c r="R877">
        <f>B877*(hospitalityq!R877="")</f>
        <v>0</v>
      </c>
    </row>
    <row r="878" spans="1:18" x14ac:dyDescent="0.25">
      <c r="A878">
        <f t="shared" si="14"/>
        <v>0</v>
      </c>
      <c r="B878" t="b">
        <f>SUMPRODUCT(LEN(hospitalityq!C878:R878))&gt;0</f>
        <v>0</v>
      </c>
      <c r="C878">
        <f>B878*(hospitalityq!C878="")</f>
        <v>0</v>
      </c>
      <c r="E878">
        <f>B878*(hospitalityq!E878="")</f>
        <v>0</v>
      </c>
      <c r="F878">
        <f>B878*(hospitalityq!F878="")</f>
        <v>0</v>
      </c>
      <c r="G878">
        <f>B878*(hospitalityq!G878="")</f>
        <v>0</v>
      </c>
      <c r="H878">
        <f>B878*(hospitalityq!H878="")</f>
        <v>0</v>
      </c>
      <c r="I878">
        <f>B878*(hospitalityq!I878="")</f>
        <v>0</v>
      </c>
      <c r="J878">
        <f>B878*(hospitalityq!J878="")</f>
        <v>0</v>
      </c>
      <c r="K878">
        <f>B878*(hospitalityq!K878="")</f>
        <v>0</v>
      </c>
      <c r="L878">
        <f>B878*(hospitalityq!L878="")</f>
        <v>0</v>
      </c>
      <c r="M878">
        <f>B878*(hospitalityq!M878="")</f>
        <v>0</v>
      </c>
      <c r="N878">
        <f>B878*(hospitalityq!N878="")</f>
        <v>0</v>
      </c>
      <c r="O878">
        <f>B878*(hospitalityq!O878="")</f>
        <v>0</v>
      </c>
      <c r="P878">
        <f>B878*(hospitalityq!P878="")</f>
        <v>0</v>
      </c>
      <c r="Q878">
        <f>B878*(hospitalityq!Q878="")</f>
        <v>0</v>
      </c>
      <c r="R878">
        <f>B878*(hospitalityq!R878="")</f>
        <v>0</v>
      </c>
    </row>
    <row r="879" spans="1:18" x14ac:dyDescent="0.25">
      <c r="A879">
        <f t="shared" si="14"/>
        <v>0</v>
      </c>
      <c r="B879" t="b">
        <f>SUMPRODUCT(LEN(hospitalityq!C879:R879))&gt;0</f>
        <v>0</v>
      </c>
      <c r="C879">
        <f>B879*(hospitalityq!C879="")</f>
        <v>0</v>
      </c>
      <c r="E879">
        <f>B879*(hospitalityq!E879="")</f>
        <v>0</v>
      </c>
      <c r="F879">
        <f>B879*(hospitalityq!F879="")</f>
        <v>0</v>
      </c>
      <c r="G879">
        <f>B879*(hospitalityq!G879="")</f>
        <v>0</v>
      </c>
      <c r="H879">
        <f>B879*(hospitalityq!H879="")</f>
        <v>0</v>
      </c>
      <c r="I879">
        <f>B879*(hospitalityq!I879="")</f>
        <v>0</v>
      </c>
      <c r="J879">
        <f>B879*(hospitalityq!J879="")</f>
        <v>0</v>
      </c>
      <c r="K879">
        <f>B879*(hospitalityq!K879="")</f>
        <v>0</v>
      </c>
      <c r="L879">
        <f>B879*(hospitalityq!L879="")</f>
        <v>0</v>
      </c>
      <c r="M879">
        <f>B879*(hospitalityq!M879="")</f>
        <v>0</v>
      </c>
      <c r="N879">
        <f>B879*(hospitalityq!N879="")</f>
        <v>0</v>
      </c>
      <c r="O879">
        <f>B879*(hospitalityq!O879="")</f>
        <v>0</v>
      </c>
      <c r="P879">
        <f>B879*(hospitalityq!P879="")</f>
        <v>0</v>
      </c>
      <c r="Q879">
        <f>B879*(hospitalityq!Q879="")</f>
        <v>0</v>
      </c>
      <c r="R879">
        <f>B879*(hospitalityq!R879="")</f>
        <v>0</v>
      </c>
    </row>
    <row r="880" spans="1:18" x14ac:dyDescent="0.25">
      <c r="A880">
        <f t="shared" si="14"/>
        <v>0</v>
      </c>
      <c r="B880" t="b">
        <f>SUMPRODUCT(LEN(hospitalityq!C880:R880))&gt;0</f>
        <v>0</v>
      </c>
      <c r="C880">
        <f>B880*(hospitalityq!C880="")</f>
        <v>0</v>
      </c>
      <c r="E880">
        <f>B880*(hospitalityq!E880="")</f>
        <v>0</v>
      </c>
      <c r="F880">
        <f>B880*(hospitalityq!F880="")</f>
        <v>0</v>
      </c>
      <c r="G880">
        <f>B880*(hospitalityq!G880="")</f>
        <v>0</v>
      </c>
      <c r="H880">
        <f>B880*(hospitalityq!H880="")</f>
        <v>0</v>
      </c>
      <c r="I880">
        <f>B880*(hospitalityq!I880="")</f>
        <v>0</v>
      </c>
      <c r="J880">
        <f>B880*(hospitalityq!J880="")</f>
        <v>0</v>
      </c>
      <c r="K880">
        <f>B880*(hospitalityq!K880="")</f>
        <v>0</v>
      </c>
      <c r="L880">
        <f>B880*(hospitalityq!L880="")</f>
        <v>0</v>
      </c>
      <c r="M880">
        <f>B880*(hospitalityq!M880="")</f>
        <v>0</v>
      </c>
      <c r="N880">
        <f>B880*(hospitalityq!N880="")</f>
        <v>0</v>
      </c>
      <c r="O880">
        <f>B880*(hospitalityq!O880="")</f>
        <v>0</v>
      </c>
      <c r="P880">
        <f>B880*(hospitalityq!P880="")</f>
        <v>0</v>
      </c>
      <c r="Q880">
        <f>B880*(hospitalityq!Q880="")</f>
        <v>0</v>
      </c>
      <c r="R880">
        <f>B880*(hospitalityq!R880="")</f>
        <v>0</v>
      </c>
    </row>
    <row r="881" spans="1:18" x14ac:dyDescent="0.25">
      <c r="A881">
        <f t="shared" si="14"/>
        <v>0</v>
      </c>
      <c r="B881" t="b">
        <f>SUMPRODUCT(LEN(hospitalityq!C881:R881))&gt;0</f>
        <v>0</v>
      </c>
      <c r="C881">
        <f>B881*(hospitalityq!C881="")</f>
        <v>0</v>
      </c>
      <c r="E881">
        <f>B881*(hospitalityq!E881="")</f>
        <v>0</v>
      </c>
      <c r="F881">
        <f>B881*(hospitalityq!F881="")</f>
        <v>0</v>
      </c>
      <c r="G881">
        <f>B881*(hospitalityq!G881="")</f>
        <v>0</v>
      </c>
      <c r="H881">
        <f>B881*(hospitalityq!H881="")</f>
        <v>0</v>
      </c>
      <c r="I881">
        <f>B881*(hospitalityq!I881="")</f>
        <v>0</v>
      </c>
      <c r="J881">
        <f>B881*(hospitalityq!J881="")</f>
        <v>0</v>
      </c>
      <c r="K881">
        <f>B881*(hospitalityq!K881="")</f>
        <v>0</v>
      </c>
      <c r="L881">
        <f>B881*(hospitalityq!L881="")</f>
        <v>0</v>
      </c>
      <c r="M881">
        <f>B881*(hospitalityq!M881="")</f>
        <v>0</v>
      </c>
      <c r="N881">
        <f>B881*(hospitalityq!N881="")</f>
        <v>0</v>
      </c>
      <c r="O881">
        <f>B881*(hospitalityq!O881="")</f>
        <v>0</v>
      </c>
      <c r="P881">
        <f>B881*(hospitalityq!P881="")</f>
        <v>0</v>
      </c>
      <c r="Q881">
        <f>B881*(hospitalityq!Q881="")</f>
        <v>0</v>
      </c>
      <c r="R881">
        <f>B881*(hospitalityq!R881="")</f>
        <v>0</v>
      </c>
    </row>
    <row r="882" spans="1:18" x14ac:dyDescent="0.25">
      <c r="A882">
        <f t="shared" si="14"/>
        <v>0</v>
      </c>
      <c r="B882" t="b">
        <f>SUMPRODUCT(LEN(hospitalityq!C882:R882))&gt;0</f>
        <v>0</v>
      </c>
      <c r="C882">
        <f>B882*(hospitalityq!C882="")</f>
        <v>0</v>
      </c>
      <c r="E882">
        <f>B882*(hospitalityq!E882="")</f>
        <v>0</v>
      </c>
      <c r="F882">
        <f>B882*(hospitalityq!F882="")</f>
        <v>0</v>
      </c>
      <c r="G882">
        <f>B882*(hospitalityq!G882="")</f>
        <v>0</v>
      </c>
      <c r="H882">
        <f>B882*(hospitalityq!H882="")</f>
        <v>0</v>
      </c>
      <c r="I882">
        <f>B882*(hospitalityq!I882="")</f>
        <v>0</v>
      </c>
      <c r="J882">
        <f>B882*(hospitalityq!J882="")</f>
        <v>0</v>
      </c>
      <c r="K882">
        <f>B882*(hospitalityq!K882="")</f>
        <v>0</v>
      </c>
      <c r="L882">
        <f>B882*(hospitalityq!L882="")</f>
        <v>0</v>
      </c>
      <c r="M882">
        <f>B882*(hospitalityq!M882="")</f>
        <v>0</v>
      </c>
      <c r="N882">
        <f>B882*(hospitalityq!N882="")</f>
        <v>0</v>
      </c>
      <c r="O882">
        <f>B882*(hospitalityq!O882="")</f>
        <v>0</v>
      </c>
      <c r="P882">
        <f>B882*(hospitalityq!P882="")</f>
        <v>0</v>
      </c>
      <c r="Q882">
        <f>B882*(hospitalityq!Q882="")</f>
        <v>0</v>
      </c>
      <c r="R882">
        <f>B882*(hospitalityq!R882="")</f>
        <v>0</v>
      </c>
    </row>
    <row r="883" spans="1:18" x14ac:dyDescent="0.25">
      <c r="A883">
        <f t="shared" si="14"/>
        <v>0</v>
      </c>
      <c r="B883" t="b">
        <f>SUMPRODUCT(LEN(hospitalityq!C883:R883))&gt;0</f>
        <v>0</v>
      </c>
      <c r="C883">
        <f>B883*(hospitalityq!C883="")</f>
        <v>0</v>
      </c>
      <c r="E883">
        <f>B883*(hospitalityq!E883="")</f>
        <v>0</v>
      </c>
      <c r="F883">
        <f>B883*(hospitalityq!F883="")</f>
        <v>0</v>
      </c>
      <c r="G883">
        <f>B883*(hospitalityq!G883="")</f>
        <v>0</v>
      </c>
      <c r="H883">
        <f>B883*(hospitalityq!H883="")</f>
        <v>0</v>
      </c>
      <c r="I883">
        <f>B883*(hospitalityq!I883="")</f>
        <v>0</v>
      </c>
      <c r="J883">
        <f>B883*(hospitalityq!J883="")</f>
        <v>0</v>
      </c>
      <c r="K883">
        <f>B883*(hospitalityq!K883="")</f>
        <v>0</v>
      </c>
      <c r="L883">
        <f>B883*(hospitalityq!L883="")</f>
        <v>0</v>
      </c>
      <c r="M883">
        <f>B883*(hospitalityq!M883="")</f>
        <v>0</v>
      </c>
      <c r="N883">
        <f>B883*(hospitalityq!N883="")</f>
        <v>0</v>
      </c>
      <c r="O883">
        <f>B883*(hospitalityq!O883="")</f>
        <v>0</v>
      </c>
      <c r="P883">
        <f>B883*(hospitalityq!P883="")</f>
        <v>0</v>
      </c>
      <c r="Q883">
        <f>B883*(hospitalityq!Q883="")</f>
        <v>0</v>
      </c>
      <c r="R883">
        <f>B883*(hospitalityq!R883="")</f>
        <v>0</v>
      </c>
    </row>
    <row r="884" spans="1:18" x14ac:dyDescent="0.25">
      <c r="A884">
        <f t="shared" si="14"/>
        <v>0</v>
      </c>
      <c r="B884" t="b">
        <f>SUMPRODUCT(LEN(hospitalityq!C884:R884))&gt;0</f>
        <v>0</v>
      </c>
      <c r="C884">
        <f>B884*(hospitalityq!C884="")</f>
        <v>0</v>
      </c>
      <c r="E884">
        <f>B884*(hospitalityq!E884="")</f>
        <v>0</v>
      </c>
      <c r="F884">
        <f>B884*(hospitalityq!F884="")</f>
        <v>0</v>
      </c>
      <c r="G884">
        <f>B884*(hospitalityq!G884="")</f>
        <v>0</v>
      </c>
      <c r="H884">
        <f>B884*(hospitalityq!H884="")</f>
        <v>0</v>
      </c>
      <c r="I884">
        <f>B884*(hospitalityq!I884="")</f>
        <v>0</v>
      </c>
      <c r="J884">
        <f>B884*(hospitalityq!J884="")</f>
        <v>0</v>
      </c>
      <c r="K884">
        <f>B884*(hospitalityq!K884="")</f>
        <v>0</v>
      </c>
      <c r="L884">
        <f>B884*(hospitalityq!L884="")</f>
        <v>0</v>
      </c>
      <c r="M884">
        <f>B884*(hospitalityq!M884="")</f>
        <v>0</v>
      </c>
      <c r="N884">
        <f>B884*(hospitalityq!N884="")</f>
        <v>0</v>
      </c>
      <c r="O884">
        <f>B884*(hospitalityq!O884="")</f>
        <v>0</v>
      </c>
      <c r="P884">
        <f>B884*(hospitalityq!P884="")</f>
        <v>0</v>
      </c>
      <c r="Q884">
        <f>B884*(hospitalityq!Q884="")</f>
        <v>0</v>
      </c>
      <c r="R884">
        <f>B884*(hospitalityq!R884="")</f>
        <v>0</v>
      </c>
    </row>
    <row r="885" spans="1:18" x14ac:dyDescent="0.25">
      <c r="A885">
        <f t="shared" si="14"/>
        <v>0</v>
      </c>
      <c r="B885" t="b">
        <f>SUMPRODUCT(LEN(hospitalityq!C885:R885))&gt;0</f>
        <v>0</v>
      </c>
      <c r="C885">
        <f>B885*(hospitalityq!C885="")</f>
        <v>0</v>
      </c>
      <c r="E885">
        <f>B885*(hospitalityq!E885="")</f>
        <v>0</v>
      </c>
      <c r="F885">
        <f>B885*(hospitalityq!F885="")</f>
        <v>0</v>
      </c>
      <c r="G885">
        <f>B885*(hospitalityq!G885="")</f>
        <v>0</v>
      </c>
      <c r="H885">
        <f>B885*(hospitalityq!H885="")</f>
        <v>0</v>
      </c>
      <c r="I885">
        <f>B885*(hospitalityq!I885="")</f>
        <v>0</v>
      </c>
      <c r="J885">
        <f>B885*(hospitalityq!J885="")</f>
        <v>0</v>
      </c>
      <c r="K885">
        <f>B885*(hospitalityq!K885="")</f>
        <v>0</v>
      </c>
      <c r="L885">
        <f>B885*(hospitalityq!L885="")</f>
        <v>0</v>
      </c>
      <c r="M885">
        <f>B885*(hospitalityq!M885="")</f>
        <v>0</v>
      </c>
      <c r="N885">
        <f>B885*(hospitalityq!N885="")</f>
        <v>0</v>
      </c>
      <c r="O885">
        <f>B885*(hospitalityq!O885="")</f>
        <v>0</v>
      </c>
      <c r="P885">
        <f>B885*(hospitalityq!P885="")</f>
        <v>0</v>
      </c>
      <c r="Q885">
        <f>B885*(hospitalityq!Q885="")</f>
        <v>0</v>
      </c>
      <c r="R885">
        <f>B885*(hospitalityq!R885="")</f>
        <v>0</v>
      </c>
    </row>
    <row r="886" spans="1:18" x14ac:dyDescent="0.25">
      <c r="A886">
        <f t="shared" si="14"/>
        <v>0</v>
      </c>
      <c r="B886" t="b">
        <f>SUMPRODUCT(LEN(hospitalityq!C886:R886))&gt;0</f>
        <v>0</v>
      </c>
      <c r="C886">
        <f>B886*(hospitalityq!C886="")</f>
        <v>0</v>
      </c>
      <c r="E886">
        <f>B886*(hospitalityq!E886="")</f>
        <v>0</v>
      </c>
      <c r="F886">
        <f>B886*(hospitalityq!F886="")</f>
        <v>0</v>
      </c>
      <c r="G886">
        <f>B886*(hospitalityq!G886="")</f>
        <v>0</v>
      </c>
      <c r="H886">
        <f>B886*(hospitalityq!H886="")</f>
        <v>0</v>
      </c>
      <c r="I886">
        <f>B886*(hospitalityq!I886="")</f>
        <v>0</v>
      </c>
      <c r="J886">
        <f>B886*(hospitalityq!J886="")</f>
        <v>0</v>
      </c>
      <c r="K886">
        <f>B886*(hospitalityq!K886="")</f>
        <v>0</v>
      </c>
      <c r="L886">
        <f>B886*(hospitalityq!L886="")</f>
        <v>0</v>
      </c>
      <c r="M886">
        <f>B886*(hospitalityq!M886="")</f>
        <v>0</v>
      </c>
      <c r="N886">
        <f>B886*(hospitalityq!N886="")</f>
        <v>0</v>
      </c>
      <c r="O886">
        <f>B886*(hospitalityq!O886="")</f>
        <v>0</v>
      </c>
      <c r="P886">
        <f>B886*(hospitalityq!P886="")</f>
        <v>0</v>
      </c>
      <c r="Q886">
        <f>B886*(hospitalityq!Q886="")</f>
        <v>0</v>
      </c>
      <c r="R886">
        <f>B886*(hospitalityq!R886="")</f>
        <v>0</v>
      </c>
    </row>
    <row r="887" spans="1:18" x14ac:dyDescent="0.25">
      <c r="A887">
        <f t="shared" si="14"/>
        <v>0</v>
      </c>
      <c r="B887" t="b">
        <f>SUMPRODUCT(LEN(hospitalityq!C887:R887))&gt;0</f>
        <v>0</v>
      </c>
      <c r="C887">
        <f>B887*(hospitalityq!C887="")</f>
        <v>0</v>
      </c>
      <c r="E887">
        <f>B887*(hospitalityq!E887="")</f>
        <v>0</v>
      </c>
      <c r="F887">
        <f>B887*(hospitalityq!F887="")</f>
        <v>0</v>
      </c>
      <c r="G887">
        <f>B887*(hospitalityq!G887="")</f>
        <v>0</v>
      </c>
      <c r="H887">
        <f>B887*(hospitalityq!H887="")</f>
        <v>0</v>
      </c>
      <c r="I887">
        <f>B887*(hospitalityq!I887="")</f>
        <v>0</v>
      </c>
      <c r="J887">
        <f>B887*(hospitalityq!J887="")</f>
        <v>0</v>
      </c>
      <c r="K887">
        <f>B887*(hospitalityq!K887="")</f>
        <v>0</v>
      </c>
      <c r="L887">
        <f>B887*(hospitalityq!L887="")</f>
        <v>0</v>
      </c>
      <c r="M887">
        <f>B887*(hospitalityq!M887="")</f>
        <v>0</v>
      </c>
      <c r="N887">
        <f>B887*(hospitalityq!N887="")</f>
        <v>0</v>
      </c>
      <c r="O887">
        <f>B887*(hospitalityq!O887="")</f>
        <v>0</v>
      </c>
      <c r="P887">
        <f>B887*(hospitalityq!P887="")</f>
        <v>0</v>
      </c>
      <c r="Q887">
        <f>B887*(hospitalityq!Q887="")</f>
        <v>0</v>
      </c>
      <c r="R887">
        <f>B887*(hospitalityq!R887="")</f>
        <v>0</v>
      </c>
    </row>
    <row r="888" spans="1:18" x14ac:dyDescent="0.25">
      <c r="A888">
        <f t="shared" si="14"/>
        <v>0</v>
      </c>
      <c r="B888" t="b">
        <f>SUMPRODUCT(LEN(hospitalityq!C888:R888))&gt;0</f>
        <v>0</v>
      </c>
      <c r="C888">
        <f>B888*(hospitalityq!C888="")</f>
        <v>0</v>
      </c>
      <c r="E888">
        <f>B888*(hospitalityq!E888="")</f>
        <v>0</v>
      </c>
      <c r="F888">
        <f>B888*(hospitalityq!F888="")</f>
        <v>0</v>
      </c>
      <c r="G888">
        <f>B888*(hospitalityq!G888="")</f>
        <v>0</v>
      </c>
      <c r="H888">
        <f>B888*(hospitalityq!H888="")</f>
        <v>0</v>
      </c>
      <c r="I888">
        <f>B888*(hospitalityq!I888="")</f>
        <v>0</v>
      </c>
      <c r="J888">
        <f>B888*(hospitalityq!J888="")</f>
        <v>0</v>
      </c>
      <c r="K888">
        <f>B888*(hospitalityq!K888="")</f>
        <v>0</v>
      </c>
      <c r="L888">
        <f>B888*(hospitalityq!L888="")</f>
        <v>0</v>
      </c>
      <c r="M888">
        <f>B888*(hospitalityq!M888="")</f>
        <v>0</v>
      </c>
      <c r="N888">
        <f>B888*(hospitalityq!N888="")</f>
        <v>0</v>
      </c>
      <c r="O888">
        <f>B888*(hospitalityq!O888="")</f>
        <v>0</v>
      </c>
      <c r="P888">
        <f>B888*(hospitalityq!P888="")</f>
        <v>0</v>
      </c>
      <c r="Q888">
        <f>B888*(hospitalityq!Q888="")</f>
        <v>0</v>
      </c>
      <c r="R888">
        <f>B888*(hospitalityq!R888="")</f>
        <v>0</v>
      </c>
    </row>
    <row r="889" spans="1:18" x14ac:dyDescent="0.25">
      <c r="A889">
        <f t="shared" si="14"/>
        <v>0</v>
      </c>
      <c r="B889" t="b">
        <f>SUMPRODUCT(LEN(hospitalityq!C889:R889))&gt;0</f>
        <v>0</v>
      </c>
      <c r="C889">
        <f>B889*(hospitalityq!C889="")</f>
        <v>0</v>
      </c>
      <c r="E889">
        <f>B889*(hospitalityq!E889="")</f>
        <v>0</v>
      </c>
      <c r="F889">
        <f>B889*(hospitalityq!F889="")</f>
        <v>0</v>
      </c>
      <c r="G889">
        <f>B889*(hospitalityq!G889="")</f>
        <v>0</v>
      </c>
      <c r="H889">
        <f>B889*(hospitalityq!H889="")</f>
        <v>0</v>
      </c>
      <c r="I889">
        <f>B889*(hospitalityq!I889="")</f>
        <v>0</v>
      </c>
      <c r="J889">
        <f>B889*(hospitalityq!J889="")</f>
        <v>0</v>
      </c>
      <c r="K889">
        <f>B889*(hospitalityq!K889="")</f>
        <v>0</v>
      </c>
      <c r="L889">
        <f>B889*(hospitalityq!L889="")</f>
        <v>0</v>
      </c>
      <c r="M889">
        <f>B889*(hospitalityq!M889="")</f>
        <v>0</v>
      </c>
      <c r="N889">
        <f>B889*(hospitalityq!N889="")</f>
        <v>0</v>
      </c>
      <c r="O889">
        <f>B889*(hospitalityq!O889="")</f>
        <v>0</v>
      </c>
      <c r="P889">
        <f>B889*(hospitalityq!P889="")</f>
        <v>0</v>
      </c>
      <c r="Q889">
        <f>B889*(hospitalityq!Q889="")</f>
        <v>0</v>
      </c>
      <c r="R889">
        <f>B889*(hospitalityq!R889="")</f>
        <v>0</v>
      </c>
    </row>
    <row r="890" spans="1:18" x14ac:dyDescent="0.25">
      <c r="A890">
        <f t="shared" si="14"/>
        <v>0</v>
      </c>
      <c r="B890" t="b">
        <f>SUMPRODUCT(LEN(hospitalityq!C890:R890))&gt;0</f>
        <v>0</v>
      </c>
      <c r="C890">
        <f>B890*(hospitalityq!C890="")</f>
        <v>0</v>
      </c>
      <c r="E890">
        <f>B890*(hospitalityq!E890="")</f>
        <v>0</v>
      </c>
      <c r="F890">
        <f>B890*(hospitalityq!F890="")</f>
        <v>0</v>
      </c>
      <c r="G890">
        <f>B890*(hospitalityq!G890="")</f>
        <v>0</v>
      </c>
      <c r="H890">
        <f>B890*(hospitalityq!H890="")</f>
        <v>0</v>
      </c>
      <c r="I890">
        <f>B890*(hospitalityq!I890="")</f>
        <v>0</v>
      </c>
      <c r="J890">
        <f>B890*(hospitalityq!J890="")</f>
        <v>0</v>
      </c>
      <c r="K890">
        <f>B890*(hospitalityq!K890="")</f>
        <v>0</v>
      </c>
      <c r="L890">
        <f>B890*(hospitalityq!L890="")</f>
        <v>0</v>
      </c>
      <c r="M890">
        <f>B890*(hospitalityq!M890="")</f>
        <v>0</v>
      </c>
      <c r="N890">
        <f>B890*(hospitalityq!N890="")</f>
        <v>0</v>
      </c>
      <c r="O890">
        <f>B890*(hospitalityq!O890="")</f>
        <v>0</v>
      </c>
      <c r="P890">
        <f>B890*(hospitalityq!P890="")</f>
        <v>0</v>
      </c>
      <c r="Q890">
        <f>B890*(hospitalityq!Q890="")</f>
        <v>0</v>
      </c>
      <c r="R890">
        <f>B890*(hospitalityq!R890="")</f>
        <v>0</v>
      </c>
    </row>
    <row r="891" spans="1:18" x14ac:dyDescent="0.25">
      <c r="A891">
        <f t="shared" si="14"/>
        <v>0</v>
      </c>
      <c r="B891" t="b">
        <f>SUMPRODUCT(LEN(hospitalityq!C891:R891))&gt;0</f>
        <v>0</v>
      </c>
      <c r="C891">
        <f>B891*(hospitalityq!C891="")</f>
        <v>0</v>
      </c>
      <c r="E891">
        <f>B891*(hospitalityq!E891="")</f>
        <v>0</v>
      </c>
      <c r="F891">
        <f>B891*(hospitalityq!F891="")</f>
        <v>0</v>
      </c>
      <c r="G891">
        <f>B891*(hospitalityq!G891="")</f>
        <v>0</v>
      </c>
      <c r="H891">
        <f>B891*(hospitalityq!H891="")</f>
        <v>0</v>
      </c>
      <c r="I891">
        <f>B891*(hospitalityq!I891="")</f>
        <v>0</v>
      </c>
      <c r="J891">
        <f>B891*(hospitalityq!J891="")</f>
        <v>0</v>
      </c>
      <c r="K891">
        <f>B891*(hospitalityq!K891="")</f>
        <v>0</v>
      </c>
      <c r="L891">
        <f>B891*(hospitalityq!L891="")</f>
        <v>0</v>
      </c>
      <c r="M891">
        <f>B891*(hospitalityq!M891="")</f>
        <v>0</v>
      </c>
      <c r="N891">
        <f>B891*(hospitalityq!N891="")</f>
        <v>0</v>
      </c>
      <c r="O891">
        <f>B891*(hospitalityq!O891="")</f>
        <v>0</v>
      </c>
      <c r="P891">
        <f>B891*(hospitalityq!P891="")</f>
        <v>0</v>
      </c>
      <c r="Q891">
        <f>B891*(hospitalityq!Q891="")</f>
        <v>0</v>
      </c>
      <c r="R891">
        <f>B891*(hospitalityq!R891="")</f>
        <v>0</v>
      </c>
    </row>
    <row r="892" spans="1:18" x14ac:dyDescent="0.25">
      <c r="A892">
        <f t="shared" si="14"/>
        <v>0</v>
      </c>
      <c r="B892" t="b">
        <f>SUMPRODUCT(LEN(hospitalityq!C892:R892))&gt;0</f>
        <v>0</v>
      </c>
      <c r="C892">
        <f>B892*(hospitalityq!C892="")</f>
        <v>0</v>
      </c>
      <c r="E892">
        <f>B892*(hospitalityq!E892="")</f>
        <v>0</v>
      </c>
      <c r="F892">
        <f>B892*(hospitalityq!F892="")</f>
        <v>0</v>
      </c>
      <c r="G892">
        <f>B892*(hospitalityq!G892="")</f>
        <v>0</v>
      </c>
      <c r="H892">
        <f>B892*(hospitalityq!H892="")</f>
        <v>0</v>
      </c>
      <c r="I892">
        <f>B892*(hospitalityq!I892="")</f>
        <v>0</v>
      </c>
      <c r="J892">
        <f>B892*(hospitalityq!J892="")</f>
        <v>0</v>
      </c>
      <c r="K892">
        <f>B892*(hospitalityq!K892="")</f>
        <v>0</v>
      </c>
      <c r="L892">
        <f>B892*(hospitalityq!L892="")</f>
        <v>0</v>
      </c>
      <c r="M892">
        <f>B892*(hospitalityq!M892="")</f>
        <v>0</v>
      </c>
      <c r="N892">
        <f>B892*(hospitalityq!N892="")</f>
        <v>0</v>
      </c>
      <c r="O892">
        <f>B892*(hospitalityq!O892="")</f>
        <v>0</v>
      </c>
      <c r="P892">
        <f>B892*(hospitalityq!P892="")</f>
        <v>0</v>
      </c>
      <c r="Q892">
        <f>B892*(hospitalityq!Q892="")</f>
        <v>0</v>
      </c>
      <c r="R892">
        <f>B892*(hospitalityq!R892="")</f>
        <v>0</v>
      </c>
    </row>
    <row r="893" spans="1:18" x14ac:dyDescent="0.25">
      <c r="A893">
        <f t="shared" si="14"/>
        <v>0</v>
      </c>
      <c r="B893" t="b">
        <f>SUMPRODUCT(LEN(hospitalityq!C893:R893))&gt;0</f>
        <v>0</v>
      </c>
      <c r="C893">
        <f>B893*(hospitalityq!C893="")</f>
        <v>0</v>
      </c>
      <c r="E893">
        <f>B893*(hospitalityq!E893="")</f>
        <v>0</v>
      </c>
      <c r="F893">
        <f>B893*(hospitalityq!F893="")</f>
        <v>0</v>
      </c>
      <c r="G893">
        <f>B893*(hospitalityq!G893="")</f>
        <v>0</v>
      </c>
      <c r="H893">
        <f>B893*(hospitalityq!H893="")</f>
        <v>0</v>
      </c>
      <c r="I893">
        <f>B893*(hospitalityq!I893="")</f>
        <v>0</v>
      </c>
      <c r="J893">
        <f>B893*(hospitalityq!J893="")</f>
        <v>0</v>
      </c>
      <c r="K893">
        <f>B893*(hospitalityq!K893="")</f>
        <v>0</v>
      </c>
      <c r="L893">
        <f>B893*(hospitalityq!L893="")</f>
        <v>0</v>
      </c>
      <c r="M893">
        <f>B893*(hospitalityq!M893="")</f>
        <v>0</v>
      </c>
      <c r="N893">
        <f>B893*(hospitalityq!N893="")</f>
        <v>0</v>
      </c>
      <c r="O893">
        <f>B893*(hospitalityq!O893="")</f>
        <v>0</v>
      </c>
      <c r="P893">
        <f>B893*(hospitalityq!P893="")</f>
        <v>0</v>
      </c>
      <c r="Q893">
        <f>B893*(hospitalityq!Q893="")</f>
        <v>0</v>
      </c>
      <c r="R893">
        <f>B893*(hospitalityq!R893="")</f>
        <v>0</v>
      </c>
    </row>
    <row r="894" spans="1:18" x14ac:dyDescent="0.25">
      <c r="A894">
        <f t="shared" si="14"/>
        <v>0</v>
      </c>
      <c r="B894" t="b">
        <f>SUMPRODUCT(LEN(hospitalityq!C894:R894))&gt;0</f>
        <v>0</v>
      </c>
      <c r="C894">
        <f>B894*(hospitalityq!C894="")</f>
        <v>0</v>
      </c>
      <c r="E894">
        <f>B894*(hospitalityq!E894="")</f>
        <v>0</v>
      </c>
      <c r="F894">
        <f>B894*(hospitalityq!F894="")</f>
        <v>0</v>
      </c>
      <c r="G894">
        <f>B894*(hospitalityq!G894="")</f>
        <v>0</v>
      </c>
      <c r="H894">
        <f>B894*(hospitalityq!H894="")</f>
        <v>0</v>
      </c>
      <c r="I894">
        <f>B894*(hospitalityq!I894="")</f>
        <v>0</v>
      </c>
      <c r="J894">
        <f>B894*(hospitalityq!J894="")</f>
        <v>0</v>
      </c>
      <c r="K894">
        <f>B894*(hospitalityq!K894="")</f>
        <v>0</v>
      </c>
      <c r="L894">
        <f>B894*(hospitalityq!L894="")</f>
        <v>0</v>
      </c>
      <c r="M894">
        <f>B894*(hospitalityq!M894="")</f>
        <v>0</v>
      </c>
      <c r="N894">
        <f>B894*(hospitalityq!N894="")</f>
        <v>0</v>
      </c>
      <c r="O894">
        <f>B894*(hospitalityq!O894="")</f>
        <v>0</v>
      </c>
      <c r="P894">
        <f>B894*(hospitalityq!P894="")</f>
        <v>0</v>
      </c>
      <c r="Q894">
        <f>B894*(hospitalityq!Q894="")</f>
        <v>0</v>
      </c>
      <c r="R894">
        <f>B894*(hospitalityq!R894="")</f>
        <v>0</v>
      </c>
    </row>
    <row r="895" spans="1:18" x14ac:dyDescent="0.25">
      <c r="A895">
        <f t="shared" si="14"/>
        <v>0</v>
      </c>
      <c r="B895" t="b">
        <f>SUMPRODUCT(LEN(hospitalityq!C895:R895))&gt;0</f>
        <v>0</v>
      </c>
      <c r="C895">
        <f>B895*(hospitalityq!C895="")</f>
        <v>0</v>
      </c>
      <c r="E895">
        <f>B895*(hospitalityq!E895="")</f>
        <v>0</v>
      </c>
      <c r="F895">
        <f>B895*(hospitalityq!F895="")</f>
        <v>0</v>
      </c>
      <c r="G895">
        <f>B895*(hospitalityq!G895="")</f>
        <v>0</v>
      </c>
      <c r="H895">
        <f>B895*(hospitalityq!H895="")</f>
        <v>0</v>
      </c>
      <c r="I895">
        <f>B895*(hospitalityq!I895="")</f>
        <v>0</v>
      </c>
      <c r="J895">
        <f>B895*(hospitalityq!J895="")</f>
        <v>0</v>
      </c>
      <c r="K895">
        <f>B895*(hospitalityq!K895="")</f>
        <v>0</v>
      </c>
      <c r="L895">
        <f>B895*(hospitalityq!L895="")</f>
        <v>0</v>
      </c>
      <c r="M895">
        <f>B895*(hospitalityq!M895="")</f>
        <v>0</v>
      </c>
      <c r="N895">
        <f>B895*(hospitalityq!N895="")</f>
        <v>0</v>
      </c>
      <c r="O895">
        <f>B895*(hospitalityq!O895="")</f>
        <v>0</v>
      </c>
      <c r="P895">
        <f>B895*(hospitalityq!P895="")</f>
        <v>0</v>
      </c>
      <c r="Q895">
        <f>B895*(hospitalityq!Q895="")</f>
        <v>0</v>
      </c>
      <c r="R895">
        <f>B895*(hospitalityq!R895="")</f>
        <v>0</v>
      </c>
    </row>
    <row r="896" spans="1:18" x14ac:dyDescent="0.25">
      <c r="A896">
        <f t="shared" si="14"/>
        <v>0</v>
      </c>
      <c r="B896" t="b">
        <f>SUMPRODUCT(LEN(hospitalityq!C896:R896))&gt;0</f>
        <v>0</v>
      </c>
      <c r="C896">
        <f>B896*(hospitalityq!C896="")</f>
        <v>0</v>
      </c>
      <c r="E896">
        <f>B896*(hospitalityq!E896="")</f>
        <v>0</v>
      </c>
      <c r="F896">
        <f>B896*(hospitalityq!F896="")</f>
        <v>0</v>
      </c>
      <c r="G896">
        <f>B896*(hospitalityq!G896="")</f>
        <v>0</v>
      </c>
      <c r="H896">
        <f>B896*(hospitalityq!H896="")</f>
        <v>0</v>
      </c>
      <c r="I896">
        <f>B896*(hospitalityq!I896="")</f>
        <v>0</v>
      </c>
      <c r="J896">
        <f>B896*(hospitalityq!J896="")</f>
        <v>0</v>
      </c>
      <c r="K896">
        <f>B896*(hospitalityq!K896="")</f>
        <v>0</v>
      </c>
      <c r="L896">
        <f>B896*(hospitalityq!L896="")</f>
        <v>0</v>
      </c>
      <c r="M896">
        <f>B896*(hospitalityq!M896="")</f>
        <v>0</v>
      </c>
      <c r="N896">
        <f>B896*(hospitalityq!N896="")</f>
        <v>0</v>
      </c>
      <c r="O896">
        <f>B896*(hospitalityq!O896="")</f>
        <v>0</v>
      </c>
      <c r="P896">
        <f>B896*(hospitalityq!P896="")</f>
        <v>0</v>
      </c>
      <c r="Q896">
        <f>B896*(hospitalityq!Q896="")</f>
        <v>0</v>
      </c>
      <c r="R896">
        <f>B896*(hospitalityq!R896="")</f>
        <v>0</v>
      </c>
    </row>
    <row r="897" spans="1:18" x14ac:dyDescent="0.25">
      <c r="A897">
        <f t="shared" si="14"/>
        <v>0</v>
      </c>
      <c r="B897" t="b">
        <f>SUMPRODUCT(LEN(hospitalityq!C897:R897))&gt;0</f>
        <v>0</v>
      </c>
      <c r="C897">
        <f>B897*(hospitalityq!C897="")</f>
        <v>0</v>
      </c>
      <c r="E897">
        <f>B897*(hospitalityq!E897="")</f>
        <v>0</v>
      </c>
      <c r="F897">
        <f>B897*(hospitalityq!F897="")</f>
        <v>0</v>
      </c>
      <c r="G897">
        <f>B897*(hospitalityq!G897="")</f>
        <v>0</v>
      </c>
      <c r="H897">
        <f>B897*(hospitalityq!H897="")</f>
        <v>0</v>
      </c>
      <c r="I897">
        <f>B897*(hospitalityq!I897="")</f>
        <v>0</v>
      </c>
      <c r="J897">
        <f>B897*(hospitalityq!J897="")</f>
        <v>0</v>
      </c>
      <c r="K897">
        <f>B897*(hospitalityq!K897="")</f>
        <v>0</v>
      </c>
      <c r="L897">
        <f>B897*(hospitalityq!L897="")</f>
        <v>0</v>
      </c>
      <c r="M897">
        <f>B897*(hospitalityq!M897="")</f>
        <v>0</v>
      </c>
      <c r="N897">
        <f>B897*(hospitalityq!N897="")</f>
        <v>0</v>
      </c>
      <c r="O897">
        <f>B897*(hospitalityq!O897="")</f>
        <v>0</v>
      </c>
      <c r="P897">
        <f>B897*(hospitalityq!P897="")</f>
        <v>0</v>
      </c>
      <c r="Q897">
        <f>B897*(hospitalityq!Q897="")</f>
        <v>0</v>
      </c>
      <c r="R897">
        <f>B897*(hospitalityq!R897="")</f>
        <v>0</v>
      </c>
    </row>
    <row r="898" spans="1:18" x14ac:dyDescent="0.25">
      <c r="A898">
        <f t="shared" si="14"/>
        <v>0</v>
      </c>
      <c r="B898" t="b">
        <f>SUMPRODUCT(LEN(hospitalityq!C898:R898))&gt;0</f>
        <v>0</v>
      </c>
      <c r="C898">
        <f>B898*(hospitalityq!C898="")</f>
        <v>0</v>
      </c>
      <c r="E898">
        <f>B898*(hospitalityq!E898="")</f>
        <v>0</v>
      </c>
      <c r="F898">
        <f>B898*(hospitalityq!F898="")</f>
        <v>0</v>
      </c>
      <c r="G898">
        <f>B898*(hospitalityq!G898="")</f>
        <v>0</v>
      </c>
      <c r="H898">
        <f>B898*(hospitalityq!H898="")</f>
        <v>0</v>
      </c>
      <c r="I898">
        <f>B898*(hospitalityq!I898="")</f>
        <v>0</v>
      </c>
      <c r="J898">
        <f>B898*(hospitalityq!J898="")</f>
        <v>0</v>
      </c>
      <c r="K898">
        <f>B898*(hospitalityq!K898="")</f>
        <v>0</v>
      </c>
      <c r="L898">
        <f>B898*(hospitalityq!L898="")</f>
        <v>0</v>
      </c>
      <c r="M898">
        <f>B898*(hospitalityq!M898="")</f>
        <v>0</v>
      </c>
      <c r="N898">
        <f>B898*(hospitalityq!N898="")</f>
        <v>0</v>
      </c>
      <c r="O898">
        <f>B898*(hospitalityq!O898="")</f>
        <v>0</v>
      </c>
      <c r="P898">
        <f>B898*(hospitalityq!P898="")</f>
        <v>0</v>
      </c>
      <c r="Q898">
        <f>B898*(hospitalityq!Q898="")</f>
        <v>0</v>
      </c>
      <c r="R898">
        <f>B898*(hospitalityq!R898="")</f>
        <v>0</v>
      </c>
    </row>
    <row r="899" spans="1:18" x14ac:dyDescent="0.25">
      <c r="A899">
        <f t="shared" si="14"/>
        <v>0</v>
      </c>
      <c r="B899" t="b">
        <f>SUMPRODUCT(LEN(hospitalityq!C899:R899))&gt;0</f>
        <v>0</v>
      </c>
      <c r="C899">
        <f>B899*(hospitalityq!C899="")</f>
        <v>0</v>
      </c>
      <c r="E899">
        <f>B899*(hospitalityq!E899="")</f>
        <v>0</v>
      </c>
      <c r="F899">
        <f>B899*(hospitalityq!F899="")</f>
        <v>0</v>
      </c>
      <c r="G899">
        <f>B899*(hospitalityq!G899="")</f>
        <v>0</v>
      </c>
      <c r="H899">
        <f>B899*(hospitalityq!H899="")</f>
        <v>0</v>
      </c>
      <c r="I899">
        <f>B899*(hospitalityq!I899="")</f>
        <v>0</v>
      </c>
      <c r="J899">
        <f>B899*(hospitalityq!J899="")</f>
        <v>0</v>
      </c>
      <c r="K899">
        <f>B899*(hospitalityq!K899="")</f>
        <v>0</v>
      </c>
      <c r="L899">
        <f>B899*(hospitalityq!L899="")</f>
        <v>0</v>
      </c>
      <c r="M899">
        <f>B899*(hospitalityq!M899="")</f>
        <v>0</v>
      </c>
      <c r="N899">
        <f>B899*(hospitalityq!N899="")</f>
        <v>0</v>
      </c>
      <c r="O899">
        <f>B899*(hospitalityq!O899="")</f>
        <v>0</v>
      </c>
      <c r="P899">
        <f>B899*(hospitalityq!P899="")</f>
        <v>0</v>
      </c>
      <c r="Q899">
        <f>B899*(hospitalityq!Q899="")</f>
        <v>0</v>
      </c>
      <c r="R899">
        <f>B899*(hospitalityq!R899="")</f>
        <v>0</v>
      </c>
    </row>
    <row r="900" spans="1:18" x14ac:dyDescent="0.25">
      <c r="A900">
        <f t="shared" si="14"/>
        <v>0</v>
      </c>
      <c r="B900" t="b">
        <f>SUMPRODUCT(LEN(hospitalityq!C900:R900))&gt;0</f>
        <v>0</v>
      </c>
      <c r="C900">
        <f>B900*(hospitalityq!C900="")</f>
        <v>0</v>
      </c>
      <c r="E900">
        <f>B900*(hospitalityq!E900="")</f>
        <v>0</v>
      </c>
      <c r="F900">
        <f>B900*(hospitalityq!F900="")</f>
        <v>0</v>
      </c>
      <c r="G900">
        <f>B900*(hospitalityq!G900="")</f>
        <v>0</v>
      </c>
      <c r="H900">
        <f>B900*(hospitalityq!H900="")</f>
        <v>0</v>
      </c>
      <c r="I900">
        <f>B900*(hospitalityq!I900="")</f>
        <v>0</v>
      </c>
      <c r="J900">
        <f>B900*(hospitalityq!J900="")</f>
        <v>0</v>
      </c>
      <c r="K900">
        <f>B900*(hospitalityq!K900="")</f>
        <v>0</v>
      </c>
      <c r="L900">
        <f>B900*(hospitalityq!L900="")</f>
        <v>0</v>
      </c>
      <c r="M900">
        <f>B900*(hospitalityq!M900="")</f>
        <v>0</v>
      </c>
      <c r="N900">
        <f>B900*(hospitalityq!N900="")</f>
        <v>0</v>
      </c>
      <c r="O900">
        <f>B900*(hospitalityq!O900="")</f>
        <v>0</v>
      </c>
      <c r="P900">
        <f>B900*(hospitalityq!P900="")</f>
        <v>0</v>
      </c>
      <c r="Q900">
        <f>B900*(hospitalityq!Q900="")</f>
        <v>0</v>
      </c>
      <c r="R900">
        <f>B900*(hospitalityq!R900="")</f>
        <v>0</v>
      </c>
    </row>
    <row r="901" spans="1:18" x14ac:dyDescent="0.25">
      <c r="A901">
        <f t="shared" si="14"/>
        <v>0</v>
      </c>
      <c r="B901" t="b">
        <f>SUMPRODUCT(LEN(hospitalityq!C901:R901))&gt;0</f>
        <v>0</v>
      </c>
      <c r="C901">
        <f>B901*(hospitalityq!C901="")</f>
        <v>0</v>
      </c>
      <c r="E901">
        <f>B901*(hospitalityq!E901="")</f>
        <v>0</v>
      </c>
      <c r="F901">
        <f>B901*(hospitalityq!F901="")</f>
        <v>0</v>
      </c>
      <c r="G901">
        <f>B901*(hospitalityq!G901="")</f>
        <v>0</v>
      </c>
      <c r="H901">
        <f>B901*(hospitalityq!H901="")</f>
        <v>0</v>
      </c>
      <c r="I901">
        <f>B901*(hospitalityq!I901="")</f>
        <v>0</v>
      </c>
      <c r="J901">
        <f>B901*(hospitalityq!J901="")</f>
        <v>0</v>
      </c>
      <c r="K901">
        <f>B901*(hospitalityq!K901="")</f>
        <v>0</v>
      </c>
      <c r="L901">
        <f>B901*(hospitalityq!L901="")</f>
        <v>0</v>
      </c>
      <c r="M901">
        <f>B901*(hospitalityq!M901="")</f>
        <v>0</v>
      </c>
      <c r="N901">
        <f>B901*(hospitalityq!N901="")</f>
        <v>0</v>
      </c>
      <c r="O901">
        <f>B901*(hospitalityq!O901="")</f>
        <v>0</v>
      </c>
      <c r="P901">
        <f>B901*(hospitalityq!P901="")</f>
        <v>0</v>
      </c>
      <c r="Q901">
        <f>B901*(hospitalityq!Q901="")</f>
        <v>0</v>
      </c>
      <c r="R901">
        <f>B901*(hospitalityq!R901="")</f>
        <v>0</v>
      </c>
    </row>
    <row r="902" spans="1:18" x14ac:dyDescent="0.25">
      <c r="A902">
        <f t="shared" ref="A902:A965" si="15">IFERROR(MATCH(TRUE,INDEX(C902:R902&lt;&gt;0,),)+2,0)</f>
        <v>0</v>
      </c>
      <c r="B902" t="b">
        <f>SUMPRODUCT(LEN(hospitalityq!C902:R902))&gt;0</f>
        <v>0</v>
      </c>
      <c r="C902">
        <f>B902*(hospitalityq!C902="")</f>
        <v>0</v>
      </c>
      <c r="E902">
        <f>B902*(hospitalityq!E902="")</f>
        <v>0</v>
      </c>
      <c r="F902">
        <f>B902*(hospitalityq!F902="")</f>
        <v>0</v>
      </c>
      <c r="G902">
        <f>B902*(hospitalityq!G902="")</f>
        <v>0</v>
      </c>
      <c r="H902">
        <f>B902*(hospitalityq!H902="")</f>
        <v>0</v>
      </c>
      <c r="I902">
        <f>B902*(hospitalityq!I902="")</f>
        <v>0</v>
      </c>
      <c r="J902">
        <f>B902*(hospitalityq!J902="")</f>
        <v>0</v>
      </c>
      <c r="K902">
        <f>B902*(hospitalityq!K902="")</f>
        <v>0</v>
      </c>
      <c r="L902">
        <f>B902*(hospitalityq!L902="")</f>
        <v>0</v>
      </c>
      <c r="M902">
        <f>B902*(hospitalityq!M902="")</f>
        <v>0</v>
      </c>
      <c r="N902">
        <f>B902*(hospitalityq!N902="")</f>
        <v>0</v>
      </c>
      <c r="O902">
        <f>B902*(hospitalityq!O902="")</f>
        <v>0</v>
      </c>
      <c r="P902">
        <f>B902*(hospitalityq!P902="")</f>
        <v>0</v>
      </c>
      <c r="Q902">
        <f>B902*(hospitalityq!Q902="")</f>
        <v>0</v>
      </c>
      <c r="R902">
        <f>B902*(hospitalityq!R902="")</f>
        <v>0</v>
      </c>
    </row>
    <row r="903" spans="1:18" x14ac:dyDescent="0.25">
      <c r="A903">
        <f t="shared" si="15"/>
        <v>0</v>
      </c>
      <c r="B903" t="b">
        <f>SUMPRODUCT(LEN(hospitalityq!C903:R903))&gt;0</f>
        <v>0</v>
      </c>
      <c r="C903">
        <f>B903*(hospitalityq!C903="")</f>
        <v>0</v>
      </c>
      <c r="E903">
        <f>B903*(hospitalityq!E903="")</f>
        <v>0</v>
      </c>
      <c r="F903">
        <f>B903*(hospitalityq!F903="")</f>
        <v>0</v>
      </c>
      <c r="G903">
        <f>B903*(hospitalityq!G903="")</f>
        <v>0</v>
      </c>
      <c r="H903">
        <f>B903*(hospitalityq!H903="")</f>
        <v>0</v>
      </c>
      <c r="I903">
        <f>B903*(hospitalityq!I903="")</f>
        <v>0</v>
      </c>
      <c r="J903">
        <f>B903*(hospitalityq!J903="")</f>
        <v>0</v>
      </c>
      <c r="K903">
        <f>B903*(hospitalityq!K903="")</f>
        <v>0</v>
      </c>
      <c r="L903">
        <f>B903*(hospitalityq!L903="")</f>
        <v>0</v>
      </c>
      <c r="M903">
        <f>B903*(hospitalityq!M903="")</f>
        <v>0</v>
      </c>
      <c r="N903">
        <f>B903*(hospitalityq!N903="")</f>
        <v>0</v>
      </c>
      <c r="O903">
        <f>B903*(hospitalityq!O903="")</f>
        <v>0</v>
      </c>
      <c r="P903">
        <f>B903*(hospitalityq!P903="")</f>
        <v>0</v>
      </c>
      <c r="Q903">
        <f>B903*(hospitalityq!Q903="")</f>
        <v>0</v>
      </c>
      <c r="R903">
        <f>B903*(hospitalityq!R903="")</f>
        <v>0</v>
      </c>
    </row>
    <row r="904" spans="1:18" x14ac:dyDescent="0.25">
      <c r="A904">
        <f t="shared" si="15"/>
        <v>0</v>
      </c>
      <c r="B904" t="b">
        <f>SUMPRODUCT(LEN(hospitalityq!C904:R904))&gt;0</f>
        <v>0</v>
      </c>
      <c r="C904">
        <f>B904*(hospitalityq!C904="")</f>
        <v>0</v>
      </c>
      <c r="E904">
        <f>B904*(hospitalityq!E904="")</f>
        <v>0</v>
      </c>
      <c r="F904">
        <f>B904*(hospitalityq!F904="")</f>
        <v>0</v>
      </c>
      <c r="G904">
        <f>B904*(hospitalityq!G904="")</f>
        <v>0</v>
      </c>
      <c r="H904">
        <f>B904*(hospitalityq!H904="")</f>
        <v>0</v>
      </c>
      <c r="I904">
        <f>B904*(hospitalityq!I904="")</f>
        <v>0</v>
      </c>
      <c r="J904">
        <f>B904*(hospitalityq!J904="")</f>
        <v>0</v>
      </c>
      <c r="K904">
        <f>B904*(hospitalityq!K904="")</f>
        <v>0</v>
      </c>
      <c r="L904">
        <f>B904*(hospitalityq!L904="")</f>
        <v>0</v>
      </c>
      <c r="M904">
        <f>B904*(hospitalityq!M904="")</f>
        <v>0</v>
      </c>
      <c r="N904">
        <f>B904*(hospitalityq!N904="")</f>
        <v>0</v>
      </c>
      <c r="O904">
        <f>B904*(hospitalityq!O904="")</f>
        <v>0</v>
      </c>
      <c r="P904">
        <f>B904*(hospitalityq!P904="")</f>
        <v>0</v>
      </c>
      <c r="Q904">
        <f>B904*(hospitalityq!Q904="")</f>
        <v>0</v>
      </c>
      <c r="R904">
        <f>B904*(hospitalityq!R904="")</f>
        <v>0</v>
      </c>
    </row>
    <row r="905" spans="1:18" x14ac:dyDescent="0.25">
      <c r="A905">
        <f t="shared" si="15"/>
        <v>0</v>
      </c>
      <c r="B905" t="b">
        <f>SUMPRODUCT(LEN(hospitalityq!C905:R905))&gt;0</f>
        <v>0</v>
      </c>
      <c r="C905">
        <f>B905*(hospitalityq!C905="")</f>
        <v>0</v>
      </c>
      <c r="E905">
        <f>B905*(hospitalityq!E905="")</f>
        <v>0</v>
      </c>
      <c r="F905">
        <f>B905*(hospitalityq!F905="")</f>
        <v>0</v>
      </c>
      <c r="G905">
        <f>B905*(hospitalityq!G905="")</f>
        <v>0</v>
      </c>
      <c r="H905">
        <f>B905*(hospitalityq!H905="")</f>
        <v>0</v>
      </c>
      <c r="I905">
        <f>B905*(hospitalityq!I905="")</f>
        <v>0</v>
      </c>
      <c r="J905">
        <f>B905*(hospitalityq!J905="")</f>
        <v>0</v>
      </c>
      <c r="K905">
        <f>B905*(hospitalityq!K905="")</f>
        <v>0</v>
      </c>
      <c r="L905">
        <f>B905*(hospitalityq!L905="")</f>
        <v>0</v>
      </c>
      <c r="M905">
        <f>B905*(hospitalityq!M905="")</f>
        <v>0</v>
      </c>
      <c r="N905">
        <f>B905*(hospitalityq!N905="")</f>
        <v>0</v>
      </c>
      <c r="O905">
        <f>B905*(hospitalityq!O905="")</f>
        <v>0</v>
      </c>
      <c r="P905">
        <f>B905*(hospitalityq!P905="")</f>
        <v>0</v>
      </c>
      <c r="Q905">
        <f>B905*(hospitalityq!Q905="")</f>
        <v>0</v>
      </c>
      <c r="R905">
        <f>B905*(hospitalityq!R905="")</f>
        <v>0</v>
      </c>
    </row>
    <row r="906" spans="1:18" x14ac:dyDescent="0.25">
      <c r="A906">
        <f t="shared" si="15"/>
        <v>0</v>
      </c>
      <c r="B906" t="b">
        <f>SUMPRODUCT(LEN(hospitalityq!C906:R906))&gt;0</f>
        <v>0</v>
      </c>
      <c r="C906">
        <f>B906*(hospitalityq!C906="")</f>
        <v>0</v>
      </c>
      <c r="E906">
        <f>B906*(hospitalityq!E906="")</f>
        <v>0</v>
      </c>
      <c r="F906">
        <f>B906*(hospitalityq!F906="")</f>
        <v>0</v>
      </c>
      <c r="G906">
        <f>B906*(hospitalityq!G906="")</f>
        <v>0</v>
      </c>
      <c r="H906">
        <f>B906*(hospitalityq!H906="")</f>
        <v>0</v>
      </c>
      <c r="I906">
        <f>B906*(hospitalityq!I906="")</f>
        <v>0</v>
      </c>
      <c r="J906">
        <f>B906*(hospitalityq!J906="")</f>
        <v>0</v>
      </c>
      <c r="K906">
        <f>B906*(hospitalityq!K906="")</f>
        <v>0</v>
      </c>
      <c r="L906">
        <f>B906*(hospitalityq!L906="")</f>
        <v>0</v>
      </c>
      <c r="M906">
        <f>B906*(hospitalityq!M906="")</f>
        <v>0</v>
      </c>
      <c r="N906">
        <f>B906*(hospitalityq!N906="")</f>
        <v>0</v>
      </c>
      <c r="O906">
        <f>B906*(hospitalityq!O906="")</f>
        <v>0</v>
      </c>
      <c r="P906">
        <f>B906*(hospitalityq!P906="")</f>
        <v>0</v>
      </c>
      <c r="Q906">
        <f>B906*(hospitalityq!Q906="")</f>
        <v>0</v>
      </c>
      <c r="R906">
        <f>B906*(hospitalityq!R906="")</f>
        <v>0</v>
      </c>
    </row>
    <row r="907" spans="1:18" x14ac:dyDescent="0.25">
      <c r="A907">
        <f t="shared" si="15"/>
        <v>0</v>
      </c>
      <c r="B907" t="b">
        <f>SUMPRODUCT(LEN(hospitalityq!C907:R907))&gt;0</f>
        <v>0</v>
      </c>
      <c r="C907">
        <f>B907*(hospitalityq!C907="")</f>
        <v>0</v>
      </c>
      <c r="E907">
        <f>B907*(hospitalityq!E907="")</f>
        <v>0</v>
      </c>
      <c r="F907">
        <f>B907*(hospitalityq!F907="")</f>
        <v>0</v>
      </c>
      <c r="G907">
        <f>B907*(hospitalityq!G907="")</f>
        <v>0</v>
      </c>
      <c r="H907">
        <f>B907*(hospitalityq!H907="")</f>
        <v>0</v>
      </c>
      <c r="I907">
        <f>B907*(hospitalityq!I907="")</f>
        <v>0</v>
      </c>
      <c r="J907">
        <f>B907*(hospitalityq!J907="")</f>
        <v>0</v>
      </c>
      <c r="K907">
        <f>B907*(hospitalityq!K907="")</f>
        <v>0</v>
      </c>
      <c r="L907">
        <f>B907*(hospitalityq!L907="")</f>
        <v>0</v>
      </c>
      <c r="M907">
        <f>B907*(hospitalityq!M907="")</f>
        <v>0</v>
      </c>
      <c r="N907">
        <f>B907*(hospitalityq!N907="")</f>
        <v>0</v>
      </c>
      <c r="O907">
        <f>B907*(hospitalityq!O907="")</f>
        <v>0</v>
      </c>
      <c r="P907">
        <f>B907*(hospitalityq!P907="")</f>
        <v>0</v>
      </c>
      <c r="Q907">
        <f>B907*(hospitalityq!Q907="")</f>
        <v>0</v>
      </c>
      <c r="R907">
        <f>B907*(hospitalityq!R907="")</f>
        <v>0</v>
      </c>
    </row>
    <row r="908" spans="1:18" x14ac:dyDescent="0.25">
      <c r="A908">
        <f t="shared" si="15"/>
        <v>0</v>
      </c>
      <c r="B908" t="b">
        <f>SUMPRODUCT(LEN(hospitalityq!C908:R908))&gt;0</f>
        <v>0</v>
      </c>
      <c r="C908">
        <f>B908*(hospitalityq!C908="")</f>
        <v>0</v>
      </c>
      <c r="E908">
        <f>B908*(hospitalityq!E908="")</f>
        <v>0</v>
      </c>
      <c r="F908">
        <f>B908*(hospitalityq!F908="")</f>
        <v>0</v>
      </c>
      <c r="G908">
        <f>B908*(hospitalityq!G908="")</f>
        <v>0</v>
      </c>
      <c r="H908">
        <f>B908*(hospitalityq!H908="")</f>
        <v>0</v>
      </c>
      <c r="I908">
        <f>B908*(hospitalityq!I908="")</f>
        <v>0</v>
      </c>
      <c r="J908">
        <f>B908*(hospitalityq!J908="")</f>
        <v>0</v>
      </c>
      <c r="K908">
        <f>B908*(hospitalityq!K908="")</f>
        <v>0</v>
      </c>
      <c r="L908">
        <f>B908*(hospitalityq!L908="")</f>
        <v>0</v>
      </c>
      <c r="M908">
        <f>B908*(hospitalityq!M908="")</f>
        <v>0</v>
      </c>
      <c r="N908">
        <f>B908*(hospitalityq!N908="")</f>
        <v>0</v>
      </c>
      <c r="O908">
        <f>B908*(hospitalityq!O908="")</f>
        <v>0</v>
      </c>
      <c r="P908">
        <f>B908*(hospitalityq!P908="")</f>
        <v>0</v>
      </c>
      <c r="Q908">
        <f>B908*(hospitalityq!Q908="")</f>
        <v>0</v>
      </c>
      <c r="R908">
        <f>B908*(hospitalityq!R908="")</f>
        <v>0</v>
      </c>
    </row>
    <row r="909" spans="1:18" x14ac:dyDescent="0.25">
      <c r="A909">
        <f t="shared" si="15"/>
        <v>0</v>
      </c>
      <c r="B909" t="b">
        <f>SUMPRODUCT(LEN(hospitalityq!C909:R909))&gt;0</f>
        <v>0</v>
      </c>
      <c r="C909">
        <f>B909*(hospitalityq!C909="")</f>
        <v>0</v>
      </c>
      <c r="E909">
        <f>B909*(hospitalityq!E909="")</f>
        <v>0</v>
      </c>
      <c r="F909">
        <f>B909*(hospitalityq!F909="")</f>
        <v>0</v>
      </c>
      <c r="G909">
        <f>B909*(hospitalityq!G909="")</f>
        <v>0</v>
      </c>
      <c r="H909">
        <f>B909*(hospitalityq!H909="")</f>
        <v>0</v>
      </c>
      <c r="I909">
        <f>B909*(hospitalityq!I909="")</f>
        <v>0</v>
      </c>
      <c r="J909">
        <f>B909*(hospitalityq!J909="")</f>
        <v>0</v>
      </c>
      <c r="K909">
        <f>B909*(hospitalityq!K909="")</f>
        <v>0</v>
      </c>
      <c r="L909">
        <f>B909*(hospitalityq!L909="")</f>
        <v>0</v>
      </c>
      <c r="M909">
        <f>B909*(hospitalityq!M909="")</f>
        <v>0</v>
      </c>
      <c r="N909">
        <f>B909*(hospitalityq!N909="")</f>
        <v>0</v>
      </c>
      <c r="O909">
        <f>B909*(hospitalityq!O909="")</f>
        <v>0</v>
      </c>
      <c r="P909">
        <f>B909*(hospitalityq!P909="")</f>
        <v>0</v>
      </c>
      <c r="Q909">
        <f>B909*(hospitalityq!Q909="")</f>
        <v>0</v>
      </c>
      <c r="R909">
        <f>B909*(hospitalityq!R909="")</f>
        <v>0</v>
      </c>
    </row>
    <row r="910" spans="1:18" x14ac:dyDescent="0.25">
      <c r="A910">
        <f t="shared" si="15"/>
        <v>0</v>
      </c>
      <c r="B910" t="b">
        <f>SUMPRODUCT(LEN(hospitalityq!C910:R910))&gt;0</f>
        <v>0</v>
      </c>
      <c r="C910">
        <f>B910*(hospitalityq!C910="")</f>
        <v>0</v>
      </c>
      <c r="E910">
        <f>B910*(hospitalityq!E910="")</f>
        <v>0</v>
      </c>
      <c r="F910">
        <f>B910*(hospitalityq!F910="")</f>
        <v>0</v>
      </c>
      <c r="G910">
        <f>B910*(hospitalityq!G910="")</f>
        <v>0</v>
      </c>
      <c r="H910">
        <f>B910*(hospitalityq!H910="")</f>
        <v>0</v>
      </c>
      <c r="I910">
        <f>B910*(hospitalityq!I910="")</f>
        <v>0</v>
      </c>
      <c r="J910">
        <f>B910*(hospitalityq!J910="")</f>
        <v>0</v>
      </c>
      <c r="K910">
        <f>B910*(hospitalityq!K910="")</f>
        <v>0</v>
      </c>
      <c r="L910">
        <f>B910*(hospitalityq!L910="")</f>
        <v>0</v>
      </c>
      <c r="M910">
        <f>B910*(hospitalityq!M910="")</f>
        <v>0</v>
      </c>
      <c r="N910">
        <f>B910*(hospitalityq!N910="")</f>
        <v>0</v>
      </c>
      <c r="O910">
        <f>B910*(hospitalityq!O910="")</f>
        <v>0</v>
      </c>
      <c r="P910">
        <f>B910*(hospitalityq!P910="")</f>
        <v>0</v>
      </c>
      <c r="Q910">
        <f>B910*(hospitalityq!Q910="")</f>
        <v>0</v>
      </c>
      <c r="R910">
        <f>B910*(hospitalityq!R910="")</f>
        <v>0</v>
      </c>
    </row>
    <row r="911" spans="1:18" x14ac:dyDescent="0.25">
      <c r="A911">
        <f t="shared" si="15"/>
        <v>0</v>
      </c>
      <c r="B911" t="b">
        <f>SUMPRODUCT(LEN(hospitalityq!C911:R911))&gt;0</f>
        <v>0</v>
      </c>
      <c r="C911">
        <f>B911*(hospitalityq!C911="")</f>
        <v>0</v>
      </c>
      <c r="E911">
        <f>B911*(hospitalityq!E911="")</f>
        <v>0</v>
      </c>
      <c r="F911">
        <f>B911*(hospitalityq!F911="")</f>
        <v>0</v>
      </c>
      <c r="G911">
        <f>B911*(hospitalityq!G911="")</f>
        <v>0</v>
      </c>
      <c r="H911">
        <f>B911*(hospitalityq!H911="")</f>
        <v>0</v>
      </c>
      <c r="I911">
        <f>B911*(hospitalityq!I911="")</f>
        <v>0</v>
      </c>
      <c r="J911">
        <f>B911*(hospitalityq!J911="")</f>
        <v>0</v>
      </c>
      <c r="K911">
        <f>B911*(hospitalityq!K911="")</f>
        <v>0</v>
      </c>
      <c r="L911">
        <f>B911*(hospitalityq!L911="")</f>
        <v>0</v>
      </c>
      <c r="M911">
        <f>B911*(hospitalityq!M911="")</f>
        <v>0</v>
      </c>
      <c r="N911">
        <f>B911*(hospitalityq!N911="")</f>
        <v>0</v>
      </c>
      <c r="O911">
        <f>B911*(hospitalityq!O911="")</f>
        <v>0</v>
      </c>
      <c r="P911">
        <f>B911*(hospitalityq!P911="")</f>
        <v>0</v>
      </c>
      <c r="Q911">
        <f>B911*(hospitalityq!Q911="")</f>
        <v>0</v>
      </c>
      <c r="R911">
        <f>B911*(hospitalityq!R911="")</f>
        <v>0</v>
      </c>
    </row>
    <row r="912" spans="1:18" x14ac:dyDescent="0.25">
      <c r="A912">
        <f t="shared" si="15"/>
        <v>0</v>
      </c>
      <c r="B912" t="b">
        <f>SUMPRODUCT(LEN(hospitalityq!C912:R912))&gt;0</f>
        <v>0</v>
      </c>
      <c r="C912">
        <f>B912*(hospitalityq!C912="")</f>
        <v>0</v>
      </c>
      <c r="E912">
        <f>B912*(hospitalityq!E912="")</f>
        <v>0</v>
      </c>
      <c r="F912">
        <f>B912*(hospitalityq!F912="")</f>
        <v>0</v>
      </c>
      <c r="G912">
        <f>B912*(hospitalityq!G912="")</f>
        <v>0</v>
      </c>
      <c r="H912">
        <f>B912*(hospitalityq!H912="")</f>
        <v>0</v>
      </c>
      <c r="I912">
        <f>B912*(hospitalityq!I912="")</f>
        <v>0</v>
      </c>
      <c r="J912">
        <f>B912*(hospitalityq!J912="")</f>
        <v>0</v>
      </c>
      <c r="K912">
        <f>B912*(hospitalityq!K912="")</f>
        <v>0</v>
      </c>
      <c r="L912">
        <f>B912*(hospitalityq!L912="")</f>
        <v>0</v>
      </c>
      <c r="M912">
        <f>B912*(hospitalityq!M912="")</f>
        <v>0</v>
      </c>
      <c r="N912">
        <f>B912*(hospitalityq!N912="")</f>
        <v>0</v>
      </c>
      <c r="O912">
        <f>B912*(hospitalityq!O912="")</f>
        <v>0</v>
      </c>
      <c r="P912">
        <f>B912*(hospitalityq!P912="")</f>
        <v>0</v>
      </c>
      <c r="Q912">
        <f>B912*(hospitalityq!Q912="")</f>
        <v>0</v>
      </c>
      <c r="R912">
        <f>B912*(hospitalityq!R912="")</f>
        <v>0</v>
      </c>
    </row>
    <row r="913" spans="1:18" x14ac:dyDescent="0.25">
      <c r="A913">
        <f t="shared" si="15"/>
        <v>0</v>
      </c>
      <c r="B913" t="b">
        <f>SUMPRODUCT(LEN(hospitalityq!C913:R913))&gt;0</f>
        <v>0</v>
      </c>
      <c r="C913">
        <f>B913*(hospitalityq!C913="")</f>
        <v>0</v>
      </c>
      <c r="E913">
        <f>B913*(hospitalityq!E913="")</f>
        <v>0</v>
      </c>
      <c r="F913">
        <f>B913*(hospitalityq!F913="")</f>
        <v>0</v>
      </c>
      <c r="G913">
        <f>B913*(hospitalityq!G913="")</f>
        <v>0</v>
      </c>
      <c r="H913">
        <f>B913*(hospitalityq!H913="")</f>
        <v>0</v>
      </c>
      <c r="I913">
        <f>B913*(hospitalityq!I913="")</f>
        <v>0</v>
      </c>
      <c r="J913">
        <f>B913*(hospitalityq!J913="")</f>
        <v>0</v>
      </c>
      <c r="K913">
        <f>B913*(hospitalityq!K913="")</f>
        <v>0</v>
      </c>
      <c r="L913">
        <f>B913*(hospitalityq!L913="")</f>
        <v>0</v>
      </c>
      <c r="M913">
        <f>B913*(hospitalityq!M913="")</f>
        <v>0</v>
      </c>
      <c r="N913">
        <f>B913*(hospitalityq!N913="")</f>
        <v>0</v>
      </c>
      <c r="O913">
        <f>B913*(hospitalityq!O913="")</f>
        <v>0</v>
      </c>
      <c r="P913">
        <f>B913*(hospitalityq!P913="")</f>
        <v>0</v>
      </c>
      <c r="Q913">
        <f>B913*(hospitalityq!Q913="")</f>
        <v>0</v>
      </c>
      <c r="R913">
        <f>B913*(hospitalityq!R913="")</f>
        <v>0</v>
      </c>
    </row>
    <row r="914" spans="1:18" x14ac:dyDescent="0.25">
      <c r="A914">
        <f t="shared" si="15"/>
        <v>0</v>
      </c>
      <c r="B914" t="b">
        <f>SUMPRODUCT(LEN(hospitalityq!C914:R914))&gt;0</f>
        <v>0</v>
      </c>
      <c r="C914">
        <f>B914*(hospitalityq!C914="")</f>
        <v>0</v>
      </c>
      <c r="E914">
        <f>B914*(hospitalityq!E914="")</f>
        <v>0</v>
      </c>
      <c r="F914">
        <f>B914*(hospitalityq!F914="")</f>
        <v>0</v>
      </c>
      <c r="G914">
        <f>B914*(hospitalityq!G914="")</f>
        <v>0</v>
      </c>
      <c r="H914">
        <f>B914*(hospitalityq!H914="")</f>
        <v>0</v>
      </c>
      <c r="I914">
        <f>B914*(hospitalityq!I914="")</f>
        <v>0</v>
      </c>
      <c r="J914">
        <f>B914*(hospitalityq!J914="")</f>
        <v>0</v>
      </c>
      <c r="K914">
        <f>B914*(hospitalityq!K914="")</f>
        <v>0</v>
      </c>
      <c r="L914">
        <f>B914*(hospitalityq!L914="")</f>
        <v>0</v>
      </c>
      <c r="M914">
        <f>B914*(hospitalityq!M914="")</f>
        <v>0</v>
      </c>
      <c r="N914">
        <f>B914*(hospitalityq!N914="")</f>
        <v>0</v>
      </c>
      <c r="O914">
        <f>B914*(hospitalityq!O914="")</f>
        <v>0</v>
      </c>
      <c r="P914">
        <f>B914*(hospitalityq!P914="")</f>
        <v>0</v>
      </c>
      <c r="Q914">
        <f>B914*(hospitalityq!Q914="")</f>
        <v>0</v>
      </c>
      <c r="R914">
        <f>B914*(hospitalityq!R914="")</f>
        <v>0</v>
      </c>
    </row>
    <row r="915" spans="1:18" x14ac:dyDescent="0.25">
      <c r="A915">
        <f t="shared" si="15"/>
        <v>0</v>
      </c>
      <c r="B915" t="b">
        <f>SUMPRODUCT(LEN(hospitalityq!C915:R915))&gt;0</f>
        <v>0</v>
      </c>
      <c r="C915">
        <f>B915*(hospitalityq!C915="")</f>
        <v>0</v>
      </c>
      <c r="E915">
        <f>B915*(hospitalityq!E915="")</f>
        <v>0</v>
      </c>
      <c r="F915">
        <f>B915*(hospitalityq!F915="")</f>
        <v>0</v>
      </c>
      <c r="G915">
        <f>B915*(hospitalityq!G915="")</f>
        <v>0</v>
      </c>
      <c r="H915">
        <f>B915*(hospitalityq!H915="")</f>
        <v>0</v>
      </c>
      <c r="I915">
        <f>B915*(hospitalityq!I915="")</f>
        <v>0</v>
      </c>
      <c r="J915">
        <f>B915*(hospitalityq!J915="")</f>
        <v>0</v>
      </c>
      <c r="K915">
        <f>B915*(hospitalityq!K915="")</f>
        <v>0</v>
      </c>
      <c r="L915">
        <f>B915*(hospitalityq!L915="")</f>
        <v>0</v>
      </c>
      <c r="M915">
        <f>B915*(hospitalityq!M915="")</f>
        <v>0</v>
      </c>
      <c r="N915">
        <f>B915*(hospitalityq!N915="")</f>
        <v>0</v>
      </c>
      <c r="O915">
        <f>B915*(hospitalityq!O915="")</f>
        <v>0</v>
      </c>
      <c r="P915">
        <f>B915*(hospitalityq!P915="")</f>
        <v>0</v>
      </c>
      <c r="Q915">
        <f>B915*(hospitalityq!Q915="")</f>
        <v>0</v>
      </c>
      <c r="R915">
        <f>B915*(hospitalityq!R915="")</f>
        <v>0</v>
      </c>
    </row>
    <row r="916" spans="1:18" x14ac:dyDescent="0.25">
      <c r="A916">
        <f t="shared" si="15"/>
        <v>0</v>
      </c>
      <c r="B916" t="b">
        <f>SUMPRODUCT(LEN(hospitalityq!C916:R916))&gt;0</f>
        <v>0</v>
      </c>
      <c r="C916">
        <f>B916*(hospitalityq!C916="")</f>
        <v>0</v>
      </c>
      <c r="E916">
        <f>B916*(hospitalityq!E916="")</f>
        <v>0</v>
      </c>
      <c r="F916">
        <f>B916*(hospitalityq!F916="")</f>
        <v>0</v>
      </c>
      <c r="G916">
        <f>B916*(hospitalityq!G916="")</f>
        <v>0</v>
      </c>
      <c r="H916">
        <f>B916*(hospitalityq!H916="")</f>
        <v>0</v>
      </c>
      <c r="I916">
        <f>B916*(hospitalityq!I916="")</f>
        <v>0</v>
      </c>
      <c r="J916">
        <f>B916*(hospitalityq!J916="")</f>
        <v>0</v>
      </c>
      <c r="K916">
        <f>B916*(hospitalityq!K916="")</f>
        <v>0</v>
      </c>
      <c r="L916">
        <f>B916*(hospitalityq!L916="")</f>
        <v>0</v>
      </c>
      <c r="M916">
        <f>B916*(hospitalityq!M916="")</f>
        <v>0</v>
      </c>
      <c r="N916">
        <f>B916*(hospitalityq!N916="")</f>
        <v>0</v>
      </c>
      <c r="O916">
        <f>B916*(hospitalityq!O916="")</f>
        <v>0</v>
      </c>
      <c r="P916">
        <f>B916*(hospitalityq!P916="")</f>
        <v>0</v>
      </c>
      <c r="Q916">
        <f>B916*(hospitalityq!Q916="")</f>
        <v>0</v>
      </c>
      <c r="R916">
        <f>B916*(hospitalityq!R916="")</f>
        <v>0</v>
      </c>
    </row>
    <row r="917" spans="1:18" x14ac:dyDescent="0.25">
      <c r="A917">
        <f t="shared" si="15"/>
        <v>0</v>
      </c>
      <c r="B917" t="b">
        <f>SUMPRODUCT(LEN(hospitalityq!C917:R917))&gt;0</f>
        <v>0</v>
      </c>
      <c r="C917">
        <f>B917*(hospitalityq!C917="")</f>
        <v>0</v>
      </c>
      <c r="E917">
        <f>B917*(hospitalityq!E917="")</f>
        <v>0</v>
      </c>
      <c r="F917">
        <f>B917*(hospitalityq!F917="")</f>
        <v>0</v>
      </c>
      <c r="G917">
        <f>B917*(hospitalityq!G917="")</f>
        <v>0</v>
      </c>
      <c r="H917">
        <f>B917*(hospitalityq!H917="")</f>
        <v>0</v>
      </c>
      <c r="I917">
        <f>B917*(hospitalityq!I917="")</f>
        <v>0</v>
      </c>
      <c r="J917">
        <f>B917*(hospitalityq!J917="")</f>
        <v>0</v>
      </c>
      <c r="K917">
        <f>B917*(hospitalityq!K917="")</f>
        <v>0</v>
      </c>
      <c r="L917">
        <f>B917*(hospitalityq!L917="")</f>
        <v>0</v>
      </c>
      <c r="M917">
        <f>B917*(hospitalityq!M917="")</f>
        <v>0</v>
      </c>
      <c r="N917">
        <f>B917*(hospitalityq!N917="")</f>
        <v>0</v>
      </c>
      <c r="O917">
        <f>B917*(hospitalityq!O917="")</f>
        <v>0</v>
      </c>
      <c r="P917">
        <f>B917*(hospitalityq!P917="")</f>
        <v>0</v>
      </c>
      <c r="Q917">
        <f>B917*(hospitalityq!Q917="")</f>
        <v>0</v>
      </c>
      <c r="R917">
        <f>B917*(hospitalityq!R917="")</f>
        <v>0</v>
      </c>
    </row>
    <row r="918" spans="1:18" x14ac:dyDescent="0.25">
      <c r="A918">
        <f t="shared" si="15"/>
        <v>0</v>
      </c>
      <c r="B918" t="b">
        <f>SUMPRODUCT(LEN(hospitalityq!C918:R918))&gt;0</f>
        <v>0</v>
      </c>
      <c r="C918">
        <f>B918*(hospitalityq!C918="")</f>
        <v>0</v>
      </c>
      <c r="E918">
        <f>B918*(hospitalityq!E918="")</f>
        <v>0</v>
      </c>
      <c r="F918">
        <f>B918*(hospitalityq!F918="")</f>
        <v>0</v>
      </c>
      <c r="G918">
        <f>B918*(hospitalityq!G918="")</f>
        <v>0</v>
      </c>
      <c r="H918">
        <f>B918*(hospitalityq!H918="")</f>
        <v>0</v>
      </c>
      <c r="I918">
        <f>B918*(hospitalityq!I918="")</f>
        <v>0</v>
      </c>
      <c r="J918">
        <f>B918*(hospitalityq!J918="")</f>
        <v>0</v>
      </c>
      <c r="K918">
        <f>B918*(hospitalityq!K918="")</f>
        <v>0</v>
      </c>
      <c r="L918">
        <f>B918*(hospitalityq!L918="")</f>
        <v>0</v>
      </c>
      <c r="M918">
        <f>B918*(hospitalityq!M918="")</f>
        <v>0</v>
      </c>
      <c r="N918">
        <f>B918*(hospitalityq!N918="")</f>
        <v>0</v>
      </c>
      <c r="O918">
        <f>B918*(hospitalityq!O918="")</f>
        <v>0</v>
      </c>
      <c r="P918">
        <f>B918*(hospitalityq!P918="")</f>
        <v>0</v>
      </c>
      <c r="Q918">
        <f>B918*(hospitalityq!Q918="")</f>
        <v>0</v>
      </c>
      <c r="R918">
        <f>B918*(hospitalityq!R918="")</f>
        <v>0</v>
      </c>
    </row>
    <row r="919" spans="1:18" x14ac:dyDescent="0.25">
      <c r="A919">
        <f t="shared" si="15"/>
        <v>0</v>
      </c>
      <c r="B919" t="b">
        <f>SUMPRODUCT(LEN(hospitalityq!C919:R919))&gt;0</f>
        <v>0</v>
      </c>
      <c r="C919">
        <f>B919*(hospitalityq!C919="")</f>
        <v>0</v>
      </c>
      <c r="E919">
        <f>B919*(hospitalityq!E919="")</f>
        <v>0</v>
      </c>
      <c r="F919">
        <f>B919*(hospitalityq!F919="")</f>
        <v>0</v>
      </c>
      <c r="G919">
        <f>B919*(hospitalityq!G919="")</f>
        <v>0</v>
      </c>
      <c r="H919">
        <f>B919*(hospitalityq!H919="")</f>
        <v>0</v>
      </c>
      <c r="I919">
        <f>B919*(hospitalityq!I919="")</f>
        <v>0</v>
      </c>
      <c r="J919">
        <f>B919*(hospitalityq!J919="")</f>
        <v>0</v>
      </c>
      <c r="K919">
        <f>B919*(hospitalityq!K919="")</f>
        <v>0</v>
      </c>
      <c r="L919">
        <f>B919*(hospitalityq!L919="")</f>
        <v>0</v>
      </c>
      <c r="M919">
        <f>B919*(hospitalityq!M919="")</f>
        <v>0</v>
      </c>
      <c r="N919">
        <f>B919*(hospitalityq!N919="")</f>
        <v>0</v>
      </c>
      <c r="O919">
        <f>B919*(hospitalityq!O919="")</f>
        <v>0</v>
      </c>
      <c r="P919">
        <f>B919*(hospitalityq!P919="")</f>
        <v>0</v>
      </c>
      <c r="Q919">
        <f>B919*(hospitalityq!Q919="")</f>
        <v>0</v>
      </c>
      <c r="R919">
        <f>B919*(hospitalityq!R919="")</f>
        <v>0</v>
      </c>
    </row>
    <row r="920" spans="1:18" x14ac:dyDescent="0.25">
      <c r="A920">
        <f t="shared" si="15"/>
        <v>0</v>
      </c>
      <c r="B920" t="b">
        <f>SUMPRODUCT(LEN(hospitalityq!C920:R920))&gt;0</f>
        <v>0</v>
      </c>
      <c r="C920">
        <f>B920*(hospitalityq!C920="")</f>
        <v>0</v>
      </c>
      <c r="E920">
        <f>B920*(hospitalityq!E920="")</f>
        <v>0</v>
      </c>
      <c r="F920">
        <f>B920*(hospitalityq!F920="")</f>
        <v>0</v>
      </c>
      <c r="G920">
        <f>B920*(hospitalityq!G920="")</f>
        <v>0</v>
      </c>
      <c r="H920">
        <f>B920*(hospitalityq!H920="")</f>
        <v>0</v>
      </c>
      <c r="I920">
        <f>B920*(hospitalityq!I920="")</f>
        <v>0</v>
      </c>
      <c r="J920">
        <f>B920*(hospitalityq!J920="")</f>
        <v>0</v>
      </c>
      <c r="K920">
        <f>B920*(hospitalityq!K920="")</f>
        <v>0</v>
      </c>
      <c r="L920">
        <f>B920*(hospitalityq!L920="")</f>
        <v>0</v>
      </c>
      <c r="M920">
        <f>B920*(hospitalityq!M920="")</f>
        <v>0</v>
      </c>
      <c r="N920">
        <f>B920*(hospitalityq!N920="")</f>
        <v>0</v>
      </c>
      <c r="O920">
        <f>B920*(hospitalityq!O920="")</f>
        <v>0</v>
      </c>
      <c r="P920">
        <f>B920*(hospitalityq!P920="")</f>
        <v>0</v>
      </c>
      <c r="Q920">
        <f>B920*(hospitalityq!Q920="")</f>
        <v>0</v>
      </c>
      <c r="R920">
        <f>B920*(hospitalityq!R920="")</f>
        <v>0</v>
      </c>
    </row>
    <row r="921" spans="1:18" x14ac:dyDescent="0.25">
      <c r="A921">
        <f t="shared" si="15"/>
        <v>0</v>
      </c>
      <c r="B921" t="b">
        <f>SUMPRODUCT(LEN(hospitalityq!C921:R921))&gt;0</f>
        <v>0</v>
      </c>
      <c r="C921">
        <f>B921*(hospitalityq!C921="")</f>
        <v>0</v>
      </c>
      <c r="E921">
        <f>B921*(hospitalityq!E921="")</f>
        <v>0</v>
      </c>
      <c r="F921">
        <f>B921*(hospitalityq!F921="")</f>
        <v>0</v>
      </c>
      <c r="G921">
        <f>B921*(hospitalityq!G921="")</f>
        <v>0</v>
      </c>
      <c r="H921">
        <f>B921*(hospitalityq!H921="")</f>
        <v>0</v>
      </c>
      <c r="I921">
        <f>B921*(hospitalityq!I921="")</f>
        <v>0</v>
      </c>
      <c r="J921">
        <f>B921*(hospitalityq!J921="")</f>
        <v>0</v>
      </c>
      <c r="K921">
        <f>B921*(hospitalityq!K921="")</f>
        <v>0</v>
      </c>
      <c r="L921">
        <f>B921*(hospitalityq!L921="")</f>
        <v>0</v>
      </c>
      <c r="M921">
        <f>B921*(hospitalityq!M921="")</f>
        <v>0</v>
      </c>
      <c r="N921">
        <f>B921*(hospitalityq!N921="")</f>
        <v>0</v>
      </c>
      <c r="O921">
        <f>B921*(hospitalityq!O921="")</f>
        <v>0</v>
      </c>
      <c r="P921">
        <f>B921*(hospitalityq!P921="")</f>
        <v>0</v>
      </c>
      <c r="Q921">
        <f>B921*(hospitalityq!Q921="")</f>
        <v>0</v>
      </c>
      <c r="R921">
        <f>B921*(hospitalityq!R921="")</f>
        <v>0</v>
      </c>
    </row>
    <row r="922" spans="1:18" x14ac:dyDescent="0.25">
      <c r="A922">
        <f t="shared" si="15"/>
        <v>0</v>
      </c>
      <c r="B922" t="b">
        <f>SUMPRODUCT(LEN(hospitalityq!C922:R922))&gt;0</f>
        <v>0</v>
      </c>
      <c r="C922">
        <f>B922*(hospitalityq!C922="")</f>
        <v>0</v>
      </c>
      <c r="E922">
        <f>B922*(hospitalityq!E922="")</f>
        <v>0</v>
      </c>
      <c r="F922">
        <f>B922*(hospitalityq!F922="")</f>
        <v>0</v>
      </c>
      <c r="G922">
        <f>B922*(hospitalityq!G922="")</f>
        <v>0</v>
      </c>
      <c r="H922">
        <f>B922*(hospitalityq!H922="")</f>
        <v>0</v>
      </c>
      <c r="I922">
        <f>B922*(hospitalityq!I922="")</f>
        <v>0</v>
      </c>
      <c r="J922">
        <f>B922*(hospitalityq!J922="")</f>
        <v>0</v>
      </c>
      <c r="K922">
        <f>B922*(hospitalityq!K922="")</f>
        <v>0</v>
      </c>
      <c r="L922">
        <f>B922*(hospitalityq!L922="")</f>
        <v>0</v>
      </c>
      <c r="M922">
        <f>B922*(hospitalityq!M922="")</f>
        <v>0</v>
      </c>
      <c r="N922">
        <f>B922*(hospitalityq!N922="")</f>
        <v>0</v>
      </c>
      <c r="O922">
        <f>B922*(hospitalityq!O922="")</f>
        <v>0</v>
      </c>
      <c r="P922">
        <f>B922*(hospitalityq!P922="")</f>
        <v>0</v>
      </c>
      <c r="Q922">
        <f>B922*(hospitalityq!Q922="")</f>
        <v>0</v>
      </c>
      <c r="R922">
        <f>B922*(hospitalityq!R922="")</f>
        <v>0</v>
      </c>
    </row>
    <row r="923" spans="1:18" x14ac:dyDescent="0.25">
      <c r="A923">
        <f t="shared" si="15"/>
        <v>0</v>
      </c>
      <c r="B923" t="b">
        <f>SUMPRODUCT(LEN(hospitalityq!C923:R923))&gt;0</f>
        <v>0</v>
      </c>
      <c r="C923">
        <f>B923*(hospitalityq!C923="")</f>
        <v>0</v>
      </c>
      <c r="E923">
        <f>B923*(hospitalityq!E923="")</f>
        <v>0</v>
      </c>
      <c r="F923">
        <f>B923*(hospitalityq!F923="")</f>
        <v>0</v>
      </c>
      <c r="G923">
        <f>B923*(hospitalityq!G923="")</f>
        <v>0</v>
      </c>
      <c r="H923">
        <f>B923*(hospitalityq!H923="")</f>
        <v>0</v>
      </c>
      <c r="I923">
        <f>B923*(hospitalityq!I923="")</f>
        <v>0</v>
      </c>
      <c r="J923">
        <f>B923*(hospitalityq!J923="")</f>
        <v>0</v>
      </c>
      <c r="K923">
        <f>B923*(hospitalityq!K923="")</f>
        <v>0</v>
      </c>
      <c r="L923">
        <f>B923*(hospitalityq!L923="")</f>
        <v>0</v>
      </c>
      <c r="M923">
        <f>B923*(hospitalityq!M923="")</f>
        <v>0</v>
      </c>
      <c r="N923">
        <f>B923*(hospitalityq!N923="")</f>
        <v>0</v>
      </c>
      <c r="O923">
        <f>B923*(hospitalityq!O923="")</f>
        <v>0</v>
      </c>
      <c r="P923">
        <f>B923*(hospitalityq!P923="")</f>
        <v>0</v>
      </c>
      <c r="Q923">
        <f>B923*(hospitalityq!Q923="")</f>
        <v>0</v>
      </c>
      <c r="R923">
        <f>B923*(hospitalityq!R923="")</f>
        <v>0</v>
      </c>
    </row>
    <row r="924" spans="1:18" x14ac:dyDescent="0.25">
      <c r="A924">
        <f t="shared" si="15"/>
        <v>0</v>
      </c>
      <c r="B924" t="b">
        <f>SUMPRODUCT(LEN(hospitalityq!C924:R924))&gt;0</f>
        <v>0</v>
      </c>
      <c r="C924">
        <f>B924*(hospitalityq!C924="")</f>
        <v>0</v>
      </c>
      <c r="E924">
        <f>B924*(hospitalityq!E924="")</f>
        <v>0</v>
      </c>
      <c r="F924">
        <f>B924*(hospitalityq!F924="")</f>
        <v>0</v>
      </c>
      <c r="G924">
        <f>B924*(hospitalityq!G924="")</f>
        <v>0</v>
      </c>
      <c r="H924">
        <f>B924*(hospitalityq!H924="")</f>
        <v>0</v>
      </c>
      <c r="I924">
        <f>B924*(hospitalityq!I924="")</f>
        <v>0</v>
      </c>
      <c r="J924">
        <f>B924*(hospitalityq!J924="")</f>
        <v>0</v>
      </c>
      <c r="K924">
        <f>B924*(hospitalityq!K924="")</f>
        <v>0</v>
      </c>
      <c r="L924">
        <f>B924*(hospitalityq!L924="")</f>
        <v>0</v>
      </c>
      <c r="M924">
        <f>B924*(hospitalityq!M924="")</f>
        <v>0</v>
      </c>
      <c r="N924">
        <f>B924*(hospitalityq!N924="")</f>
        <v>0</v>
      </c>
      <c r="O924">
        <f>B924*(hospitalityq!O924="")</f>
        <v>0</v>
      </c>
      <c r="P924">
        <f>B924*(hospitalityq!P924="")</f>
        <v>0</v>
      </c>
      <c r="Q924">
        <f>B924*(hospitalityq!Q924="")</f>
        <v>0</v>
      </c>
      <c r="R924">
        <f>B924*(hospitalityq!R924="")</f>
        <v>0</v>
      </c>
    </row>
    <row r="925" spans="1:18" x14ac:dyDescent="0.25">
      <c r="A925">
        <f t="shared" si="15"/>
        <v>0</v>
      </c>
      <c r="B925" t="b">
        <f>SUMPRODUCT(LEN(hospitalityq!C925:R925))&gt;0</f>
        <v>0</v>
      </c>
      <c r="C925">
        <f>B925*(hospitalityq!C925="")</f>
        <v>0</v>
      </c>
      <c r="E925">
        <f>B925*(hospitalityq!E925="")</f>
        <v>0</v>
      </c>
      <c r="F925">
        <f>B925*(hospitalityq!F925="")</f>
        <v>0</v>
      </c>
      <c r="G925">
        <f>B925*(hospitalityq!G925="")</f>
        <v>0</v>
      </c>
      <c r="H925">
        <f>B925*(hospitalityq!H925="")</f>
        <v>0</v>
      </c>
      <c r="I925">
        <f>B925*(hospitalityq!I925="")</f>
        <v>0</v>
      </c>
      <c r="J925">
        <f>B925*(hospitalityq!J925="")</f>
        <v>0</v>
      </c>
      <c r="K925">
        <f>B925*(hospitalityq!K925="")</f>
        <v>0</v>
      </c>
      <c r="L925">
        <f>B925*(hospitalityq!L925="")</f>
        <v>0</v>
      </c>
      <c r="M925">
        <f>B925*(hospitalityq!M925="")</f>
        <v>0</v>
      </c>
      <c r="N925">
        <f>B925*(hospitalityq!N925="")</f>
        <v>0</v>
      </c>
      <c r="O925">
        <f>B925*(hospitalityq!O925="")</f>
        <v>0</v>
      </c>
      <c r="P925">
        <f>B925*(hospitalityq!P925="")</f>
        <v>0</v>
      </c>
      <c r="Q925">
        <f>B925*(hospitalityq!Q925="")</f>
        <v>0</v>
      </c>
      <c r="R925">
        <f>B925*(hospitalityq!R925="")</f>
        <v>0</v>
      </c>
    </row>
    <row r="926" spans="1:18" x14ac:dyDescent="0.25">
      <c r="A926">
        <f t="shared" si="15"/>
        <v>0</v>
      </c>
      <c r="B926" t="b">
        <f>SUMPRODUCT(LEN(hospitalityq!C926:R926))&gt;0</f>
        <v>0</v>
      </c>
      <c r="C926">
        <f>B926*(hospitalityq!C926="")</f>
        <v>0</v>
      </c>
      <c r="E926">
        <f>B926*(hospitalityq!E926="")</f>
        <v>0</v>
      </c>
      <c r="F926">
        <f>B926*(hospitalityq!F926="")</f>
        <v>0</v>
      </c>
      <c r="G926">
        <f>B926*(hospitalityq!G926="")</f>
        <v>0</v>
      </c>
      <c r="H926">
        <f>B926*(hospitalityq!H926="")</f>
        <v>0</v>
      </c>
      <c r="I926">
        <f>B926*(hospitalityq!I926="")</f>
        <v>0</v>
      </c>
      <c r="J926">
        <f>B926*(hospitalityq!J926="")</f>
        <v>0</v>
      </c>
      <c r="K926">
        <f>B926*(hospitalityq!K926="")</f>
        <v>0</v>
      </c>
      <c r="L926">
        <f>B926*(hospitalityq!L926="")</f>
        <v>0</v>
      </c>
      <c r="M926">
        <f>B926*(hospitalityq!M926="")</f>
        <v>0</v>
      </c>
      <c r="N926">
        <f>B926*(hospitalityq!N926="")</f>
        <v>0</v>
      </c>
      <c r="O926">
        <f>B926*(hospitalityq!O926="")</f>
        <v>0</v>
      </c>
      <c r="P926">
        <f>B926*(hospitalityq!P926="")</f>
        <v>0</v>
      </c>
      <c r="Q926">
        <f>B926*(hospitalityq!Q926="")</f>
        <v>0</v>
      </c>
      <c r="R926">
        <f>B926*(hospitalityq!R926="")</f>
        <v>0</v>
      </c>
    </row>
    <row r="927" spans="1:18" x14ac:dyDescent="0.25">
      <c r="A927">
        <f t="shared" si="15"/>
        <v>0</v>
      </c>
      <c r="B927" t="b">
        <f>SUMPRODUCT(LEN(hospitalityq!C927:R927))&gt;0</f>
        <v>0</v>
      </c>
      <c r="C927">
        <f>B927*(hospitalityq!C927="")</f>
        <v>0</v>
      </c>
      <c r="E927">
        <f>B927*(hospitalityq!E927="")</f>
        <v>0</v>
      </c>
      <c r="F927">
        <f>B927*(hospitalityq!F927="")</f>
        <v>0</v>
      </c>
      <c r="G927">
        <f>B927*(hospitalityq!G927="")</f>
        <v>0</v>
      </c>
      <c r="H927">
        <f>B927*(hospitalityq!H927="")</f>
        <v>0</v>
      </c>
      <c r="I927">
        <f>B927*(hospitalityq!I927="")</f>
        <v>0</v>
      </c>
      <c r="J927">
        <f>B927*(hospitalityq!J927="")</f>
        <v>0</v>
      </c>
      <c r="K927">
        <f>B927*(hospitalityq!K927="")</f>
        <v>0</v>
      </c>
      <c r="L927">
        <f>B927*(hospitalityq!L927="")</f>
        <v>0</v>
      </c>
      <c r="M927">
        <f>B927*(hospitalityq!M927="")</f>
        <v>0</v>
      </c>
      <c r="N927">
        <f>B927*(hospitalityq!N927="")</f>
        <v>0</v>
      </c>
      <c r="O927">
        <f>B927*(hospitalityq!O927="")</f>
        <v>0</v>
      </c>
      <c r="P927">
        <f>B927*(hospitalityq!P927="")</f>
        <v>0</v>
      </c>
      <c r="Q927">
        <f>B927*(hospitalityq!Q927="")</f>
        <v>0</v>
      </c>
      <c r="R927">
        <f>B927*(hospitalityq!R927="")</f>
        <v>0</v>
      </c>
    </row>
    <row r="928" spans="1:18" x14ac:dyDescent="0.25">
      <c r="A928">
        <f t="shared" si="15"/>
        <v>0</v>
      </c>
      <c r="B928" t="b">
        <f>SUMPRODUCT(LEN(hospitalityq!C928:R928))&gt;0</f>
        <v>0</v>
      </c>
      <c r="C928">
        <f>B928*(hospitalityq!C928="")</f>
        <v>0</v>
      </c>
      <c r="E928">
        <f>B928*(hospitalityq!E928="")</f>
        <v>0</v>
      </c>
      <c r="F928">
        <f>B928*(hospitalityq!F928="")</f>
        <v>0</v>
      </c>
      <c r="G928">
        <f>B928*(hospitalityq!G928="")</f>
        <v>0</v>
      </c>
      <c r="H928">
        <f>B928*(hospitalityq!H928="")</f>
        <v>0</v>
      </c>
      <c r="I928">
        <f>B928*(hospitalityq!I928="")</f>
        <v>0</v>
      </c>
      <c r="J928">
        <f>B928*(hospitalityq!J928="")</f>
        <v>0</v>
      </c>
      <c r="K928">
        <f>B928*(hospitalityq!K928="")</f>
        <v>0</v>
      </c>
      <c r="L928">
        <f>B928*(hospitalityq!L928="")</f>
        <v>0</v>
      </c>
      <c r="M928">
        <f>B928*(hospitalityq!M928="")</f>
        <v>0</v>
      </c>
      <c r="N928">
        <f>B928*(hospitalityq!N928="")</f>
        <v>0</v>
      </c>
      <c r="O928">
        <f>B928*(hospitalityq!O928="")</f>
        <v>0</v>
      </c>
      <c r="P928">
        <f>B928*(hospitalityq!P928="")</f>
        <v>0</v>
      </c>
      <c r="Q928">
        <f>B928*(hospitalityq!Q928="")</f>
        <v>0</v>
      </c>
      <c r="R928">
        <f>B928*(hospitalityq!R928="")</f>
        <v>0</v>
      </c>
    </row>
    <row r="929" spans="1:18" x14ac:dyDescent="0.25">
      <c r="A929">
        <f t="shared" si="15"/>
        <v>0</v>
      </c>
      <c r="B929" t="b">
        <f>SUMPRODUCT(LEN(hospitalityq!C929:R929))&gt;0</f>
        <v>0</v>
      </c>
      <c r="C929">
        <f>B929*(hospitalityq!C929="")</f>
        <v>0</v>
      </c>
      <c r="E929">
        <f>B929*(hospitalityq!E929="")</f>
        <v>0</v>
      </c>
      <c r="F929">
        <f>B929*(hospitalityq!F929="")</f>
        <v>0</v>
      </c>
      <c r="G929">
        <f>B929*(hospitalityq!G929="")</f>
        <v>0</v>
      </c>
      <c r="H929">
        <f>B929*(hospitalityq!H929="")</f>
        <v>0</v>
      </c>
      <c r="I929">
        <f>B929*(hospitalityq!I929="")</f>
        <v>0</v>
      </c>
      <c r="J929">
        <f>B929*(hospitalityq!J929="")</f>
        <v>0</v>
      </c>
      <c r="K929">
        <f>B929*(hospitalityq!K929="")</f>
        <v>0</v>
      </c>
      <c r="L929">
        <f>B929*(hospitalityq!L929="")</f>
        <v>0</v>
      </c>
      <c r="M929">
        <f>B929*(hospitalityq!M929="")</f>
        <v>0</v>
      </c>
      <c r="N929">
        <f>B929*(hospitalityq!N929="")</f>
        <v>0</v>
      </c>
      <c r="O929">
        <f>B929*(hospitalityq!O929="")</f>
        <v>0</v>
      </c>
      <c r="P929">
        <f>B929*(hospitalityq!P929="")</f>
        <v>0</v>
      </c>
      <c r="Q929">
        <f>B929*(hospitalityq!Q929="")</f>
        <v>0</v>
      </c>
      <c r="R929">
        <f>B929*(hospitalityq!R929="")</f>
        <v>0</v>
      </c>
    </row>
    <row r="930" spans="1:18" x14ac:dyDescent="0.25">
      <c r="A930">
        <f t="shared" si="15"/>
        <v>0</v>
      </c>
      <c r="B930" t="b">
        <f>SUMPRODUCT(LEN(hospitalityq!C930:R930))&gt;0</f>
        <v>0</v>
      </c>
      <c r="C930">
        <f>B930*(hospitalityq!C930="")</f>
        <v>0</v>
      </c>
      <c r="E930">
        <f>B930*(hospitalityq!E930="")</f>
        <v>0</v>
      </c>
      <c r="F930">
        <f>B930*(hospitalityq!F930="")</f>
        <v>0</v>
      </c>
      <c r="G930">
        <f>B930*(hospitalityq!G930="")</f>
        <v>0</v>
      </c>
      <c r="H930">
        <f>B930*(hospitalityq!H930="")</f>
        <v>0</v>
      </c>
      <c r="I930">
        <f>B930*(hospitalityq!I930="")</f>
        <v>0</v>
      </c>
      <c r="J930">
        <f>B930*(hospitalityq!J930="")</f>
        <v>0</v>
      </c>
      <c r="K930">
        <f>B930*(hospitalityq!K930="")</f>
        <v>0</v>
      </c>
      <c r="L930">
        <f>B930*(hospitalityq!L930="")</f>
        <v>0</v>
      </c>
      <c r="M930">
        <f>B930*(hospitalityq!M930="")</f>
        <v>0</v>
      </c>
      <c r="N930">
        <f>B930*(hospitalityq!N930="")</f>
        <v>0</v>
      </c>
      <c r="O930">
        <f>B930*(hospitalityq!O930="")</f>
        <v>0</v>
      </c>
      <c r="P930">
        <f>B930*(hospitalityq!P930="")</f>
        <v>0</v>
      </c>
      <c r="Q930">
        <f>B930*(hospitalityq!Q930="")</f>
        <v>0</v>
      </c>
      <c r="R930">
        <f>B930*(hospitalityq!R930="")</f>
        <v>0</v>
      </c>
    </row>
    <row r="931" spans="1:18" x14ac:dyDescent="0.25">
      <c r="A931">
        <f t="shared" si="15"/>
        <v>0</v>
      </c>
      <c r="B931" t="b">
        <f>SUMPRODUCT(LEN(hospitalityq!C931:R931))&gt;0</f>
        <v>0</v>
      </c>
      <c r="C931">
        <f>B931*(hospitalityq!C931="")</f>
        <v>0</v>
      </c>
      <c r="E931">
        <f>B931*(hospitalityq!E931="")</f>
        <v>0</v>
      </c>
      <c r="F931">
        <f>B931*(hospitalityq!F931="")</f>
        <v>0</v>
      </c>
      <c r="G931">
        <f>B931*(hospitalityq!G931="")</f>
        <v>0</v>
      </c>
      <c r="H931">
        <f>B931*(hospitalityq!H931="")</f>
        <v>0</v>
      </c>
      <c r="I931">
        <f>B931*(hospitalityq!I931="")</f>
        <v>0</v>
      </c>
      <c r="J931">
        <f>B931*(hospitalityq!J931="")</f>
        <v>0</v>
      </c>
      <c r="K931">
        <f>B931*(hospitalityq!K931="")</f>
        <v>0</v>
      </c>
      <c r="L931">
        <f>B931*(hospitalityq!L931="")</f>
        <v>0</v>
      </c>
      <c r="M931">
        <f>B931*(hospitalityq!M931="")</f>
        <v>0</v>
      </c>
      <c r="N931">
        <f>B931*(hospitalityq!N931="")</f>
        <v>0</v>
      </c>
      <c r="O931">
        <f>B931*(hospitalityq!O931="")</f>
        <v>0</v>
      </c>
      <c r="P931">
        <f>B931*(hospitalityq!P931="")</f>
        <v>0</v>
      </c>
      <c r="Q931">
        <f>B931*(hospitalityq!Q931="")</f>
        <v>0</v>
      </c>
      <c r="R931">
        <f>B931*(hospitalityq!R931="")</f>
        <v>0</v>
      </c>
    </row>
    <row r="932" spans="1:18" x14ac:dyDescent="0.25">
      <c r="A932">
        <f t="shared" si="15"/>
        <v>0</v>
      </c>
      <c r="B932" t="b">
        <f>SUMPRODUCT(LEN(hospitalityq!C932:R932))&gt;0</f>
        <v>0</v>
      </c>
      <c r="C932">
        <f>B932*(hospitalityq!C932="")</f>
        <v>0</v>
      </c>
      <c r="E932">
        <f>B932*(hospitalityq!E932="")</f>
        <v>0</v>
      </c>
      <c r="F932">
        <f>B932*(hospitalityq!F932="")</f>
        <v>0</v>
      </c>
      <c r="G932">
        <f>B932*(hospitalityq!G932="")</f>
        <v>0</v>
      </c>
      <c r="H932">
        <f>B932*(hospitalityq!H932="")</f>
        <v>0</v>
      </c>
      <c r="I932">
        <f>B932*(hospitalityq!I932="")</f>
        <v>0</v>
      </c>
      <c r="J932">
        <f>B932*(hospitalityq!J932="")</f>
        <v>0</v>
      </c>
      <c r="K932">
        <f>B932*(hospitalityq!K932="")</f>
        <v>0</v>
      </c>
      <c r="L932">
        <f>B932*(hospitalityq!L932="")</f>
        <v>0</v>
      </c>
      <c r="M932">
        <f>B932*(hospitalityq!M932="")</f>
        <v>0</v>
      </c>
      <c r="N932">
        <f>B932*(hospitalityq!N932="")</f>
        <v>0</v>
      </c>
      <c r="O932">
        <f>B932*(hospitalityq!O932="")</f>
        <v>0</v>
      </c>
      <c r="P932">
        <f>B932*(hospitalityq!P932="")</f>
        <v>0</v>
      </c>
      <c r="Q932">
        <f>B932*(hospitalityq!Q932="")</f>
        <v>0</v>
      </c>
      <c r="R932">
        <f>B932*(hospitalityq!R932="")</f>
        <v>0</v>
      </c>
    </row>
    <row r="933" spans="1:18" x14ac:dyDescent="0.25">
      <c r="A933">
        <f t="shared" si="15"/>
        <v>0</v>
      </c>
      <c r="B933" t="b">
        <f>SUMPRODUCT(LEN(hospitalityq!C933:R933))&gt;0</f>
        <v>0</v>
      </c>
      <c r="C933">
        <f>B933*(hospitalityq!C933="")</f>
        <v>0</v>
      </c>
      <c r="E933">
        <f>B933*(hospitalityq!E933="")</f>
        <v>0</v>
      </c>
      <c r="F933">
        <f>B933*(hospitalityq!F933="")</f>
        <v>0</v>
      </c>
      <c r="G933">
        <f>B933*(hospitalityq!G933="")</f>
        <v>0</v>
      </c>
      <c r="H933">
        <f>B933*(hospitalityq!H933="")</f>
        <v>0</v>
      </c>
      <c r="I933">
        <f>B933*(hospitalityq!I933="")</f>
        <v>0</v>
      </c>
      <c r="J933">
        <f>B933*(hospitalityq!J933="")</f>
        <v>0</v>
      </c>
      <c r="K933">
        <f>B933*(hospitalityq!K933="")</f>
        <v>0</v>
      </c>
      <c r="L933">
        <f>B933*(hospitalityq!L933="")</f>
        <v>0</v>
      </c>
      <c r="M933">
        <f>B933*(hospitalityq!M933="")</f>
        <v>0</v>
      </c>
      <c r="N933">
        <f>B933*(hospitalityq!N933="")</f>
        <v>0</v>
      </c>
      <c r="O933">
        <f>B933*(hospitalityq!O933="")</f>
        <v>0</v>
      </c>
      <c r="P933">
        <f>B933*(hospitalityq!P933="")</f>
        <v>0</v>
      </c>
      <c r="Q933">
        <f>B933*(hospitalityq!Q933="")</f>
        <v>0</v>
      </c>
      <c r="R933">
        <f>B933*(hospitalityq!R933="")</f>
        <v>0</v>
      </c>
    </row>
    <row r="934" spans="1:18" x14ac:dyDescent="0.25">
      <c r="A934">
        <f t="shared" si="15"/>
        <v>0</v>
      </c>
      <c r="B934" t="b">
        <f>SUMPRODUCT(LEN(hospitalityq!C934:R934))&gt;0</f>
        <v>0</v>
      </c>
      <c r="C934">
        <f>B934*(hospitalityq!C934="")</f>
        <v>0</v>
      </c>
      <c r="E934">
        <f>B934*(hospitalityq!E934="")</f>
        <v>0</v>
      </c>
      <c r="F934">
        <f>B934*(hospitalityq!F934="")</f>
        <v>0</v>
      </c>
      <c r="G934">
        <f>B934*(hospitalityq!G934="")</f>
        <v>0</v>
      </c>
      <c r="H934">
        <f>B934*(hospitalityq!H934="")</f>
        <v>0</v>
      </c>
      <c r="I934">
        <f>B934*(hospitalityq!I934="")</f>
        <v>0</v>
      </c>
      <c r="J934">
        <f>B934*(hospitalityq!J934="")</f>
        <v>0</v>
      </c>
      <c r="K934">
        <f>B934*(hospitalityq!K934="")</f>
        <v>0</v>
      </c>
      <c r="L934">
        <f>B934*(hospitalityq!L934="")</f>
        <v>0</v>
      </c>
      <c r="M934">
        <f>B934*(hospitalityq!M934="")</f>
        <v>0</v>
      </c>
      <c r="N934">
        <f>B934*(hospitalityq!N934="")</f>
        <v>0</v>
      </c>
      <c r="O934">
        <f>B934*(hospitalityq!O934="")</f>
        <v>0</v>
      </c>
      <c r="P934">
        <f>B934*(hospitalityq!P934="")</f>
        <v>0</v>
      </c>
      <c r="Q934">
        <f>B934*(hospitalityq!Q934="")</f>
        <v>0</v>
      </c>
      <c r="R934">
        <f>B934*(hospitalityq!R934="")</f>
        <v>0</v>
      </c>
    </row>
    <row r="935" spans="1:18" x14ac:dyDescent="0.25">
      <c r="A935">
        <f t="shared" si="15"/>
        <v>0</v>
      </c>
      <c r="B935" t="b">
        <f>SUMPRODUCT(LEN(hospitalityq!C935:R935))&gt;0</f>
        <v>0</v>
      </c>
      <c r="C935">
        <f>B935*(hospitalityq!C935="")</f>
        <v>0</v>
      </c>
      <c r="E935">
        <f>B935*(hospitalityq!E935="")</f>
        <v>0</v>
      </c>
      <c r="F935">
        <f>B935*(hospitalityq!F935="")</f>
        <v>0</v>
      </c>
      <c r="G935">
        <f>B935*(hospitalityq!G935="")</f>
        <v>0</v>
      </c>
      <c r="H935">
        <f>B935*(hospitalityq!H935="")</f>
        <v>0</v>
      </c>
      <c r="I935">
        <f>B935*(hospitalityq!I935="")</f>
        <v>0</v>
      </c>
      <c r="J935">
        <f>B935*(hospitalityq!J935="")</f>
        <v>0</v>
      </c>
      <c r="K935">
        <f>B935*(hospitalityq!K935="")</f>
        <v>0</v>
      </c>
      <c r="L935">
        <f>B935*(hospitalityq!L935="")</f>
        <v>0</v>
      </c>
      <c r="M935">
        <f>B935*(hospitalityq!M935="")</f>
        <v>0</v>
      </c>
      <c r="N935">
        <f>B935*(hospitalityq!N935="")</f>
        <v>0</v>
      </c>
      <c r="O935">
        <f>B935*(hospitalityq!O935="")</f>
        <v>0</v>
      </c>
      <c r="P935">
        <f>B935*(hospitalityq!P935="")</f>
        <v>0</v>
      </c>
      <c r="Q935">
        <f>B935*(hospitalityq!Q935="")</f>
        <v>0</v>
      </c>
      <c r="R935">
        <f>B935*(hospitalityq!R935="")</f>
        <v>0</v>
      </c>
    </row>
    <row r="936" spans="1:18" x14ac:dyDescent="0.25">
      <c r="A936">
        <f t="shared" si="15"/>
        <v>0</v>
      </c>
      <c r="B936" t="b">
        <f>SUMPRODUCT(LEN(hospitalityq!C936:R936))&gt;0</f>
        <v>0</v>
      </c>
      <c r="C936">
        <f>B936*(hospitalityq!C936="")</f>
        <v>0</v>
      </c>
      <c r="E936">
        <f>B936*(hospitalityq!E936="")</f>
        <v>0</v>
      </c>
      <c r="F936">
        <f>B936*(hospitalityq!F936="")</f>
        <v>0</v>
      </c>
      <c r="G936">
        <f>B936*(hospitalityq!G936="")</f>
        <v>0</v>
      </c>
      <c r="H936">
        <f>B936*(hospitalityq!H936="")</f>
        <v>0</v>
      </c>
      <c r="I936">
        <f>B936*(hospitalityq!I936="")</f>
        <v>0</v>
      </c>
      <c r="J936">
        <f>B936*(hospitalityq!J936="")</f>
        <v>0</v>
      </c>
      <c r="K936">
        <f>B936*(hospitalityq!K936="")</f>
        <v>0</v>
      </c>
      <c r="L936">
        <f>B936*(hospitalityq!L936="")</f>
        <v>0</v>
      </c>
      <c r="M936">
        <f>B936*(hospitalityq!M936="")</f>
        <v>0</v>
      </c>
      <c r="N936">
        <f>B936*(hospitalityq!N936="")</f>
        <v>0</v>
      </c>
      <c r="O936">
        <f>B936*(hospitalityq!O936="")</f>
        <v>0</v>
      </c>
      <c r="P936">
        <f>B936*(hospitalityq!P936="")</f>
        <v>0</v>
      </c>
      <c r="Q936">
        <f>B936*(hospitalityq!Q936="")</f>
        <v>0</v>
      </c>
      <c r="R936">
        <f>B936*(hospitalityq!R936="")</f>
        <v>0</v>
      </c>
    </row>
    <row r="937" spans="1:18" x14ac:dyDescent="0.25">
      <c r="A937">
        <f t="shared" si="15"/>
        <v>0</v>
      </c>
      <c r="B937" t="b">
        <f>SUMPRODUCT(LEN(hospitalityq!C937:R937))&gt;0</f>
        <v>0</v>
      </c>
      <c r="C937">
        <f>B937*(hospitalityq!C937="")</f>
        <v>0</v>
      </c>
      <c r="E937">
        <f>B937*(hospitalityq!E937="")</f>
        <v>0</v>
      </c>
      <c r="F937">
        <f>B937*(hospitalityq!F937="")</f>
        <v>0</v>
      </c>
      <c r="G937">
        <f>B937*(hospitalityq!G937="")</f>
        <v>0</v>
      </c>
      <c r="H937">
        <f>B937*(hospitalityq!H937="")</f>
        <v>0</v>
      </c>
      <c r="I937">
        <f>B937*(hospitalityq!I937="")</f>
        <v>0</v>
      </c>
      <c r="J937">
        <f>B937*(hospitalityq!J937="")</f>
        <v>0</v>
      </c>
      <c r="K937">
        <f>B937*(hospitalityq!K937="")</f>
        <v>0</v>
      </c>
      <c r="L937">
        <f>B937*(hospitalityq!L937="")</f>
        <v>0</v>
      </c>
      <c r="M937">
        <f>B937*(hospitalityq!M937="")</f>
        <v>0</v>
      </c>
      <c r="N937">
        <f>B937*(hospitalityq!N937="")</f>
        <v>0</v>
      </c>
      <c r="O937">
        <f>B937*(hospitalityq!O937="")</f>
        <v>0</v>
      </c>
      <c r="P937">
        <f>B937*(hospitalityq!P937="")</f>
        <v>0</v>
      </c>
      <c r="Q937">
        <f>B937*(hospitalityq!Q937="")</f>
        <v>0</v>
      </c>
      <c r="R937">
        <f>B937*(hospitalityq!R937="")</f>
        <v>0</v>
      </c>
    </row>
    <row r="938" spans="1:18" x14ac:dyDescent="0.25">
      <c r="A938">
        <f t="shared" si="15"/>
        <v>0</v>
      </c>
      <c r="B938" t="b">
        <f>SUMPRODUCT(LEN(hospitalityq!C938:R938))&gt;0</f>
        <v>0</v>
      </c>
      <c r="C938">
        <f>B938*(hospitalityq!C938="")</f>
        <v>0</v>
      </c>
      <c r="E938">
        <f>B938*(hospitalityq!E938="")</f>
        <v>0</v>
      </c>
      <c r="F938">
        <f>B938*(hospitalityq!F938="")</f>
        <v>0</v>
      </c>
      <c r="G938">
        <f>B938*(hospitalityq!G938="")</f>
        <v>0</v>
      </c>
      <c r="H938">
        <f>B938*(hospitalityq!H938="")</f>
        <v>0</v>
      </c>
      <c r="I938">
        <f>B938*(hospitalityq!I938="")</f>
        <v>0</v>
      </c>
      <c r="J938">
        <f>B938*(hospitalityq!J938="")</f>
        <v>0</v>
      </c>
      <c r="K938">
        <f>B938*(hospitalityq!K938="")</f>
        <v>0</v>
      </c>
      <c r="L938">
        <f>B938*(hospitalityq!L938="")</f>
        <v>0</v>
      </c>
      <c r="M938">
        <f>B938*(hospitalityq!M938="")</f>
        <v>0</v>
      </c>
      <c r="N938">
        <f>B938*(hospitalityq!N938="")</f>
        <v>0</v>
      </c>
      <c r="O938">
        <f>B938*(hospitalityq!O938="")</f>
        <v>0</v>
      </c>
      <c r="P938">
        <f>B938*(hospitalityq!P938="")</f>
        <v>0</v>
      </c>
      <c r="Q938">
        <f>B938*(hospitalityq!Q938="")</f>
        <v>0</v>
      </c>
      <c r="R938">
        <f>B938*(hospitalityq!R938="")</f>
        <v>0</v>
      </c>
    </row>
    <row r="939" spans="1:18" x14ac:dyDescent="0.25">
      <c r="A939">
        <f t="shared" si="15"/>
        <v>0</v>
      </c>
      <c r="B939" t="b">
        <f>SUMPRODUCT(LEN(hospitalityq!C939:R939))&gt;0</f>
        <v>0</v>
      </c>
      <c r="C939">
        <f>B939*(hospitalityq!C939="")</f>
        <v>0</v>
      </c>
      <c r="E939">
        <f>B939*(hospitalityq!E939="")</f>
        <v>0</v>
      </c>
      <c r="F939">
        <f>B939*(hospitalityq!F939="")</f>
        <v>0</v>
      </c>
      <c r="G939">
        <f>B939*(hospitalityq!G939="")</f>
        <v>0</v>
      </c>
      <c r="H939">
        <f>B939*(hospitalityq!H939="")</f>
        <v>0</v>
      </c>
      <c r="I939">
        <f>B939*(hospitalityq!I939="")</f>
        <v>0</v>
      </c>
      <c r="J939">
        <f>B939*(hospitalityq!J939="")</f>
        <v>0</v>
      </c>
      <c r="K939">
        <f>B939*(hospitalityq!K939="")</f>
        <v>0</v>
      </c>
      <c r="L939">
        <f>B939*(hospitalityq!L939="")</f>
        <v>0</v>
      </c>
      <c r="M939">
        <f>B939*(hospitalityq!M939="")</f>
        <v>0</v>
      </c>
      <c r="N939">
        <f>B939*(hospitalityq!N939="")</f>
        <v>0</v>
      </c>
      <c r="O939">
        <f>B939*(hospitalityq!O939="")</f>
        <v>0</v>
      </c>
      <c r="P939">
        <f>B939*(hospitalityq!P939="")</f>
        <v>0</v>
      </c>
      <c r="Q939">
        <f>B939*(hospitalityq!Q939="")</f>
        <v>0</v>
      </c>
      <c r="R939">
        <f>B939*(hospitalityq!R939="")</f>
        <v>0</v>
      </c>
    </row>
    <row r="940" spans="1:18" x14ac:dyDescent="0.25">
      <c r="A940">
        <f t="shared" si="15"/>
        <v>0</v>
      </c>
      <c r="B940" t="b">
        <f>SUMPRODUCT(LEN(hospitalityq!C940:R940))&gt;0</f>
        <v>0</v>
      </c>
      <c r="C940">
        <f>B940*(hospitalityq!C940="")</f>
        <v>0</v>
      </c>
      <c r="E940">
        <f>B940*(hospitalityq!E940="")</f>
        <v>0</v>
      </c>
      <c r="F940">
        <f>B940*(hospitalityq!F940="")</f>
        <v>0</v>
      </c>
      <c r="G940">
        <f>B940*(hospitalityq!G940="")</f>
        <v>0</v>
      </c>
      <c r="H940">
        <f>B940*(hospitalityq!H940="")</f>
        <v>0</v>
      </c>
      <c r="I940">
        <f>B940*(hospitalityq!I940="")</f>
        <v>0</v>
      </c>
      <c r="J940">
        <f>B940*(hospitalityq!J940="")</f>
        <v>0</v>
      </c>
      <c r="K940">
        <f>B940*(hospitalityq!K940="")</f>
        <v>0</v>
      </c>
      <c r="L940">
        <f>B940*(hospitalityq!L940="")</f>
        <v>0</v>
      </c>
      <c r="M940">
        <f>B940*(hospitalityq!M940="")</f>
        <v>0</v>
      </c>
      <c r="N940">
        <f>B940*(hospitalityq!N940="")</f>
        <v>0</v>
      </c>
      <c r="O940">
        <f>B940*(hospitalityq!O940="")</f>
        <v>0</v>
      </c>
      <c r="P940">
        <f>B940*(hospitalityq!P940="")</f>
        <v>0</v>
      </c>
      <c r="Q940">
        <f>B940*(hospitalityq!Q940="")</f>
        <v>0</v>
      </c>
      <c r="R940">
        <f>B940*(hospitalityq!R940="")</f>
        <v>0</v>
      </c>
    </row>
    <row r="941" spans="1:18" x14ac:dyDescent="0.25">
      <c r="A941">
        <f t="shared" si="15"/>
        <v>0</v>
      </c>
      <c r="B941" t="b">
        <f>SUMPRODUCT(LEN(hospitalityq!C941:R941))&gt;0</f>
        <v>0</v>
      </c>
      <c r="C941">
        <f>B941*(hospitalityq!C941="")</f>
        <v>0</v>
      </c>
      <c r="E941">
        <f>B941*(hospitalityq!E941="")</f>
        <v>0</v>
      </c>
      <c r="F941">
        <f>B941*(hospitalityq!F941="")</f>
        <v>0</v>
      </c>
      <c r="G941">
        <f>B941*(hospitalityq!G941="")</f>
        <v>0</v>
      </c>
      <c r="H941">
        <f>B941*(hospitalityq!H941="")</f>
        <v>0</v>
      </c>
      <c r="I941">
        <f>B941*(hospitalityq!I941="")</f>
        <v>0</v>
      </c>
      <c r="J941">
        <f>B941*(hospitalityq!J941="")</f>
        <v>0</v>
      </c>
      <c r="K941">
        <f>B941*(hospitalityq!K941="")</f>
        <v>0</v>
      </c>
      <c r="L941">
        <f>B941*(hospitalityq!L941="")</f>
        <v>0</v>
      </c>
      <c r="M941">
        <f>B941*(hospitalityq!M941="")</f>
        <v>0</v>
      </c>
      <c r="N941">
        <f>B941*(hospitalityq!N941="")</f>
        <v>0</v>
      </c>
      <c r="O941">
        <f>B941*(hospitalityq!O941="")</f>
        <v>0</v>
      </c>
      <c r="P941">
        <f>B941*(hospitalityq!P941="")</f>
        <v>0</v>
      </c>
      <c r="Q941">
        <f>B941*(hospitalityq!Q941="")</f>
        <v>0</v>
      </c>
      <c r="R941">
        <f>B941*(hospitalityq!R941="")</f>
        <v>0</v>
      </c>
    </row>
    <row r="942" spans="1:18" x14ac:dyDescent="0.25">
      <c r="A942">
        <f t="shared" si="15"/>
        <v>0</v>
      </c>
      <c r="B942" t="b">
        <f>SUMPRODUCT(LEN(hospitalityq!C942:R942))&gt;0</f>
        <v>0</v>
      </c>
      <c r="C942">
        <f>B942*(hospitalityq!C942="")</f>
        <v>0</v>
      </c>
      <c r="E942">
        <f>B942*(hospitalityq!E942="")</f>
        <v>0</v>
      </c>
      <c r="F942">
        <f>B942*(hospitalityq!F942="")</f>
        <v>0</v>
      </c>
      <c r="G942">
        <f>B942*(hospitalityq!G942="")</f>
        <v>0</v>
      </c>
      <c r="H942">
        <f>B942*(hospitalityq!H942="")</f>
        <v>0</v>
      </c>
      <c r="I942">
        <f>B942*(hospitalityq!I942="")</f>
        <v>0</v>
      </c>
      <c r="J942">
        <f>B942*(hospitalityq!J942="")</f>
        <v>0</v>
      </c>
      <c r="K942">
        <f>B942*(hospitalityq!K942="")</f>
        <v>0</v>
      </c>
      <c r="L942">
        <f>B942*(hospitalityq!L942="")</f>
        <v>0</v>
      </c>
      <c r="M942">
        <f>B942*(hospitalityq!M942="")</f>
        <v>0</v>
      </c>
      <c r="N942">
        <f>B942*(hospitalityq!N942="")</f>
        <v>0</v>
      </c>
      <c r="O942">
        <f>B942*(hospitalityq!O942="")</f>
        <v>0</v>
      </c>
      <c r="P942">
        <f>B942*(hospitalityq!P942="")</f>
        <v>0</v>
      </c>
      <c r="Q942">
        <f>B942*(hospitalityq!Q942="")</f>
        <v>0</v>
      </c>
      <c r="R942">
        <f>B942*(hospitalityq!R942="")</f>
        <v>0</v>
      </c>
    </row>
    <row r="943" spans="1:18" x14ac:dyDescent="0.25">
      <c r="A943">
        <f t="shared" si="15"/>
        <v>0</v>
      </c>
      <c r="B943" t="b">
        <f>SUMPRODUCT(LEN(hospitalityq!C943:R943))&gt;0</f>
        <v>0</v>
      </c>
      <c r="C943">
        <f>B943*(hospitalityq!C943="")</f>
        <v>0</v>
      </c>
      <c r="E943">
        <f>B943*(hospitalityq!E943="")</f>
        <v>0</v>
      </c>
      <c r="F943">
        <f>B943*(hospitalityq!F943="")</f>
        <v>0</v>
      </c>
      <c r="G943">
        <f>B943*(hospitalityq!G943="")</f>
        <v>0</v>
      </c>
      <c r="H943">
        <f>B943*(hospitalityq!H943="")</f>
        <v>0</v>
      </c>
      <c r="I943">
        <f>B943*(hospitalityq!I943="")</f>
        <v>0</v>
      </c>
      <c r="J943">
        <f>B943*(hospitalityq!J943="")</f>
        <v>0</v>
      </c>
      <c r="K943">
        <f>B943*(hospitalityq!K943="")</f>
        <v>0</v>
      </c>
      <c r="L943">
        <f>B943*(hospitalityq!L943="")</f>
        <v>0</v>
      </c>
      <c r="M943">
        <f>B943*(hospitalityq!M943="")</f>
        <v>0</v>
      </c>
      <c r="N943">
        <f>B943*(hospitalityq!N943="")</f>
        <v>0</v>
      </c>
      <c r="O943">
        <f>B943*(hospitalityq!O943="")</f>
        <v>0</v>
      </c>
      <c r="P943">
        <f>B943*(hospitalityq!P943="")</f>
        <v>0</v>
      </c>
      <c r="Q943">
        <f>B943*(hospitalityq!Q943="")</f>
        <v>0</v>
      </c>
      <c r="R943">
        <f>B943*(hospitalityq!R943="")</f>
        <v>0</v>
      </c>
    </row>
    <row r="944" spans="1:18" x14ac:dyDescent="0.25">
      <c r="A944">
        <f t="shared" si="15"/>
        <v>0</v>
      </c>
      <c r="B944" t="b">
        <f>SUMPRODUCT(LEN(hospitalityq!C944:R944))&gt;0</f>
        <v>0</v>
      </c>
      <c r="C944">
        <f>B944*(hospitalityq!C944="")</f>
        <v>0</v>
      </c>
      <c r="E944">
        <f>B944*(hospitalityq!E944="")</f>
        <v>0</v>
      </c>
      <c r="F944">
        <f>B944*(hospitalityq!F944="")</f>
        <v>0</v>
      </c>
      <c r="G944">
        <f>B944*(hospitalityq!G944="")</f>
        <v>0</v>
      </c>
      <c r="H944">
        <f>B944*(hospitalityq!H944="")</f>
        <v>0</v>
      </c>
      <c r="I944">
        <f>B944*(hospitalityq!I944="")</f>
        <v>0</v>
      </c>
      <c r="J944">
        <f>B944*(hospitalityq!J944="")</f>
        <v>0</v>
      </c>
      <c r="K944">
        <f>B944*(hospitalityq!K944="")</f>
        <v>0</v>
      </c>
      <c r="L944">
        <f>B944*(hospitalityq!L944="")</f>
        <v>0</v>
      </c>
      <c r="M944">
        <f>B944*(hospitalityq!M944="")</f>
        <v>0</v>
      </c>
      <c r="N944">
        <f>B944*(hospitalityq!N944="")</f>
        <v>0</v>
      </c>
      <c r="O944">
        <f>B944*(hospitalityq!O944="")</f>
        <v>0</v>
      </c>
      <c r="P944">
        <f>B944*(hospitalityq!P944="")</f>
        <v>0</v>
      </c>
      <c r="Q944">
        <f>B944*(hospitalityq!Q944="")</f>
        <v>0</v>
      </c>
      <c r="R944">
        <f>B944*(hospitalityq!R944="")</f>
        <v>0</v>
      </c>
    </row>
    <row r="945" spans="1:18" x14ac:dyDescent="0.25">
      <c r="A945">
        <f t="shared" si="15"/>
        <v>0</v>
      </c>
      <c r="B945" t="b">
        <f>SUMPRODUCT(LEN(hospitalityq!C945:R945))&gt;0</f>
        <v>0</v>
      </c>
      <c r="C945">
        <f>B945*(hospitalityq!C945="")</f>
        <v>0</v>
      </c>
      <c r="E945">
        <f>B945*(hospitalityq!E945="")</f>
        <v>0</v>
      </c>
      <c r="F945">
        <f>B945*(hospitalityq!F945="")</f>
        <v>0</v>
      </c>
      <c r="G945">
        <f>B945*(hospitalityq!G945="")</f>
        <v>0</v>
      </c>
      <c r="H945">
        <f>B945*(hospitalityq!H945="")</f>
        <v>0</v>
      </c>
      <c r="I945">
        <f>B945*(hospitalityq!I945="")</f>
        <v>0</v>
      </c>
      <c r="J945">
        <f>B945*(hospitalityq!J945="")</f>
        <v>0</v>
      </c>
      <c r="K945">
        <f>B945*(hospitalityq!K945="")</f>
        <v>0</v>
      </c>
      <c r="L945">
        <f>B945*(hospitalityq!L945="")</f>
        <v>0</v>
      </c>
      <c r="M945">
        <f>B945*(hospitalityq!M945="")</f>
        <v>0</v>
      </c>
      <c r="N945">
        <f>B945*(hospitalityq!N945="")</f>
        <v>0</v>
      </c>
      <c r="O945">
        <f>B945*(hospitalityq!O945="")</f>
        <v>0</v>
      </c>
      <c r="P945">
        <f>B945*(hospitalityq!P945="")</f>
        <v>0</v>
      </c>
      <c r="Q945">
        <f>B945*(hospitalityq!Q945="")</f>
        <v>0</v>
      </c>
      <c r="R945">
        <f>B945*(hospitalityq!R945="")</f>
        <v>0</v>
      </c>
    </row>
    <row r="946" spans="1:18" x14ac:dyDescent="0.25">
      <c r="A946">
        <f t="shared" si="15"/>
        <v>0</v>
      </c>
      <c r="B946" t="b">
        <f>SUMPRODUCT(LEN(hospitalityq!C946:R946))&gt;0</f>
        <v>0</v>
      </c>
      <c r="C946">
        <f>B946*(hospitalityq!C946="")</f>
        <v>0</v>
      </c>
      <c r="E946">
        <f>B946*(hospitalityq!E946="")</f>
        <v>0</v>
      </c>
      <c r="F946">
        <f>B946*(hospitalityq!F946="")</f>
        <v>0</v>
      </c>
      <c r="G946">
        <f>B946*(hospitalityq!G946="")</f>
        <v>0</v>
      </c>
      <c r="H946">
        <f>B946*(hospitalityq!H946="")</f>
        <v>0</v>
      </c>
      <c r="I946">
        <f>B946*(hospitalityq!I946="")</f>
        <v>0</v>
      </c>
      <c r="J946">
        <f>B946*(hospitalityq!J946="")</f>
        <v>0</v>
      </c>
      <c r="K946">
        <f>B946*(hospitalityq!K946="")</f>
        <v>0</v>
      </c>
      <c r="L946">
        <f>B946*(hospitalityq!L946="")</f>
        <v>0</v>
      </c>
      <c r="M946">
        <f>B946*(hospitalityq!M946="")</f>
        <v>0</v>
      </c>
      <c r="N946">
        <f>B946*(hospitalityq!N946="")</f>
        <v>0</v>
      </c>
      <c r="O946">
        <f>B946*(hospitalityq!O946="")</f>
        <v>0</v>
      </c>
      <c r="P946">
        <f>B946*(hospitalityq!P946="")</f>
        <v>0</v>
      </c>
      <c r="Q946">
        <f>B946*(hospitalityq!Q946="")</f>
        <v>0</v>
      </c>
      <c r="R946">
        <f>B946*(hospitalityq!R946="")</f>
        <v>0</v>
      </c>
    </row>
    <row r="947" spans="1:18" x14ac:dyDescent="0.25">
      <c r="A947">
        <f t="shared" si="15"/>
        <v>0</v>
      </c>
      <c r="B947" t="b">
        <f>SUMPRODUCT(LEN(hospitalityq!C947:R947))&gt;0</f>
        <v>0</v>
      </c>
      <c r="C947">
        <f>B947*(hospitalityq!C947="")</f>
        <v>0</v>
      </c>
      <c r="E947">
        <f>B947*(hospitalityq!E947="")</f>
        <v>0</v>
      </c>
      <c r="F947">
        <f>B947*(hospitalityq!F947="")</f>
        <v>0</v>
      </c>
      <c r="G947">
        <f>B947*(hospitalityq!G947="")</f>
        <v>0</v>
      </c>
      <c r="H947">
        <f>B947*(hospitalityq!H947="")</f>
        <v>0</v>
      </c>
      <c r="I947">
        <f>B947*(hospitalityq!I947="")</f>
        <v>0</v>
      </c>
      <c r="J947">
        <f>B947*(hospitalityq!J947="")</f>
        <v>0</v>
      </c>
      <c r="K947">
        <f>B947*(hospitalityq!K947="")</f>
        <v>0</v>
      </c>
      <c r="L947">
        <f>B947*(hospitalityq!L947="")</f>
        <v>0</v>
      </c>
      <c r="M947">
        <f>B947*(hospitalityq!M947="")</f>
        <v>0</v>
      </c>
      <c r="N947">
        <f>B947*(hospitalityq!N947="")</f>
        <v>0</v>
      </c>
      <c r="O947">
        <f>B947*(hospitalityq!O947="")</f>
        <v>0</v>
      </c>
      <c r="P947">
        <f>B947*(hospitalityq!P947="")</f>
        <v>0</v>
      </c>
      <c r="Q947">
        <f>B947*(hospitalityq!Q947="")</f>
        <v>0</v>
      </c>
      <c r="R947">
        <f>B947*(hospitalityq!R947="")</f>
        <v>0</v>
      </c>
    </row>
    <row r="948" spans="1:18" x14ac:dyDescent="0.25">
      <c r="A948">
        <f t="shared" si="15"/>
        <v>0</v>
      </c>
      <c r="B948" t="b">
        <f>SUMPRODUCT(LEN(hospitalityq!C948:R948))&gt;0</f>
        <v>0</v>
      </c>
      <c r="C948">
        <f>B948*(hospitalityq!C948="")</f>
        <v>0</v>
      </c>
      <c r="E948">
        <f>B948*(hospitalityq!E948="")</f>
        <v>0</v>
      </c>
      <c r="F948">
        <f>B948*(hospitalityq!F948="")</f>
        <v>0</v>
      </c>
      <c r="G948">
        <f>B948*(hospitalityq!G948="")</f>
        <v>0</v>
      </c>
      <c r="H948">
        <f>B948*(hospitalityq!H948="")</f>
        <v>0</v>
      </c>
      <c r="I948">
        <f>B948*(hospitalityq!I948="")</f>
        <v>0</v>
      </c>
      <c r="J948">
        <f>B948*(hospitalityq!J948="")</f>
        <v>0</v>
      </c>
      <c r="K948">
        <f>B948*(hospitalityq!K948="")</f>
        <v>0</v>
      </c>
      <c r="L948">
        <f>B948*(hospitalityq!L948="")</f>
        <v>0</v>
      </c>
      <c r="M948">
        <f>B948*(hospitalityq!M948="")</f>
        <v>0</v>
      </c>
      <c r="N948">
        <f>B948*(hospitalityq!N948="")</f>
        <v>0</v>
      </c>
      <c r="O948">
        <f>B948*(hospitalityq!O948="")</f>
        <v>0</v>
      </c>
      <c r="P948">
        <f>B948*(hospitalityq!P948="")</f>
        <v>0</v>
      </c>
      <c r="Q948">
        <f>B948*(hospitalityq!Q948="")</f>
        <v>0</v>
      </c>
      <c r="R948">
        <f>B948*(hospitalityq!R948="")</f>
        <v>0</v>
      </c>
    </row>
    <row r="949" spans="1:18" x14ac:dyDescent="0.25">
      <c r="A949">
        <f t="shared" si="15"/>
        <v>0</v>
      </c>
      <c r="B949" t="b">
        <f>SUMPRODUCT(LEN(hospitalityq!C949:R949))&gt;0</f>
        <v>0</v>
      </c>
      <c r="C949">
        <f>B949*(hospitalityq!C949="")</f>
        <v>0</v>
      </c>
      <c r="E949">
        <f>B949*(hospitalityq!E949="")</f>
        <v>0</v>
      </c>
      <c r="F949">
        <f>B949*(hospitalityq!F949="")</f>
        <v>0</v>
      </c>
      <c r="G949">
        <f>B949*(hospitalityq!G949="")</f>
        <v>0</v>
      </c>
      <c r="H949">
        <f>B949*(hospitalityq!H949="")</f>
        <v>0</v>
      </c>
      <c r="I949">
        <f>B949*(hospitalityq!I949="")</f>
        <v>0</v>
      </c>
      <c r="J949">
        <f>B949*(hospitalityq!J949="")</f>
        <v>0</v>
      </c>
      <c r="K949">
        <f>B949*(hospitalityq!K949="")</f>
        <v>0</v>
      </c>
      <c r="L949">
        <f>B949*(hospitalityq!L949="")</f>
        <v>0</v>
      </c>
      <c r="M949">
        <f>B949*(hospitalityq!M949="")</f>
        <v>0</v>
      </c>
      <c r="N949">
        <f>B949*(hospitalityq!N949="")</f>
        <v>0</v>
      </c>
      <c r="O949">
        <f>B949*(hospitalityq!O949="")</f>
        <v>0</v>
      </c>
      <c r="P949">
        <f>B949*(hospitalityq!P949="")</f>
        <v>0</v>
      </c>
      <c r="Q949">
        <f>B949*(hospitalityq!Q949="")</f>
        <v>0</v>
      </c>
      <c r="R949">
        <f>B949*(hospitalityq!R949="")</f>
        <v>0</v>
      </c>
    </row>
    <row r="950" spans="1:18" x14ac:dyDescent="0.25">
      <c r="A950">
        <f t="shared" si="15"/>
        <v>0</v>
      </c>
      <c r="B950" t="b">
        <f>SUMPRODUCT(LEN(hospitalityq!C950:R950))&gt;0</f>
        <v>0</v>
      </c>
      <c r="C950">
        <f>B950*(hospitalityq!C950="")</f>
        <v>0</v>
      </c>
      <c r="E950">
        <f>B950*(hospitalityq!E950="")</f>
        <v>0</v>
      </c>
      <c r="F950">
        <f>B950*(hospitalityq!F950="")</f>
        <v>0</v>
      </c>
      <c r="G950">
        <f>B950*(hospitalityq!G950="")</f>
        <v>0</v>
      </c>
      <c r="H950">
        <f>B950*(hospitalityq!H950="")</f>
        <v>0</v>
      </c>
      <c r="I950">
        <f>B950*(hospitalityq!I950="")</f>
        <v>0</v>
      </c>
      <c r="J950">
        <f>B950*(hospitalityq!J950="")</f>
        <v>0</v>
      </c>
      <c r="K950">
        <f>B950*(hospitalityq!K950="")</f>
        <v>0</v>
      </c>
      <c r="L950">
        <f>B950*(hospitalityq!L950="")</f>
        <v>0</v>
      </c>
      <c r="M950">
        <f>B950*(hospitalityq!M950="")</f>
        <v>0</v>
      </c>
      <c r="N950">
        <f>B950*(hospitalityq!N950="")</f>
        <v>0</v>
      </c>
      <c r="O950">
        <f>B950*(hospitalityq!O950="")</f>
        <v>0</v>
      </c>
      <c r="P950">
        <f>B950*(hospitalityq!P950="")</f>
        <v>0</v>
      </c>
      <c r="Q950">
        <f>B950*(hospitalityq!Q950="")</f>
        <v>0</v>
      </c>
      <c r="R950">
        <f>B950*(hospitalityq!R950="")</f>
        <v>0</v>
      </c>
    </row>
    <row r="951" spans="1:18" x14ac:dyDescent="0.25">
      <c r="A951">
        <f t="shared" si="15"/>
        <v>0</v>
      </c>
      <c r="B951" t="b">
        <f>SUMPRODUCT(LEN(hospitalityq!C951:R951))&gt;0</f>
        <v>0</v>
      </c>
      <c r="C951">
        <f>B951*(hospitalityq!C951="")</f>
        <v>0</v>
      </c>
      <c r="E951">
        <f>B951*(hospitalityq!E951="")</f>
        <v>0</v>
      </c>
      <c r="F951">
        <f>B951*(hospitalityq!F951="")</f>
        <v>0</v>
      </c>
      <c r="G951">
        <f>B951*(hospitalityq!G951="")</f>
        <v>0</v>
      </c>
      <c r="H951">
        <f>B951*(hospitalityq!H951="")</f>
        <v>0</v>
      </c>
      <c r="I951">
        <f>B951*(hospitalityq!I951="")</f>
        <v>0</v>
      </c>
      <c r="J951">
        <f>B951*(hospitalityq!J951="")</f>
        <v>0</v>
      </c>
      <c r="K951">
        <f>B951*(hospitalityq!K951="")</f>
        <v>0</v>
      </c>
      <c r="L951">
        <f>B951*(hospitalityq!L951="")</f>
        <v>0</v>
      </c>
      <c r="M951">
        <f>B951*(hospitalityq!M951="")</f>
        <v>0</v>
      </c>
      <c r="N951">
        <f>B951*(hospitalityq!N951="")</f>
        <v>0</v>
      </c>
      <c r="O951">
        <f>B951*(hospitalityq!O951="")</f>
        <v>0</v>
      </c>
      <c r="P951">
        <f>B951*(hospitalityq!P951="")</f>
        <v>0</v>
      </c>
      <c r="Q951">
        <f>B951*(hospitalityq!Q951="")</f>
        <v>0</v>
      </c>
      <c r="R951">
        <f>B951*(hospitalityq!R951="")</f>
        <v>0</v>
      </c>
    </row>
    <row r="952" spans="1:18" x14ac:dyDescent="0.25">
      <c r="A952">
        <f t="shared" si="15"/>
        <v>0</v>
      </c>
      <c r="B952" t="b">
        <f>SUMPRODUCT(LEN(hospitalityq!C952:R952))&gt;0</f>
        <v>0</v>
      </c>
      <c r="C952">
        <f>B952*(hospitalityq!C952="")</f>
        <v>0</v>
      </c>
      <c r="E952">
        <f>B952*(hospitalityq!E952="")</f>
        <v>0</v>
      </c>
      <c r="F952">
        <f>B952*(hospitalityq!F952="")</f>
        <v>0</v>
      </c>
      <c r="G952">
        <f>B952*(hospitalityq!G952="")</f>
        <v>0</v>
      </c>
      <c r="H952">
        <f>B952*(hospitalityq!H952="")</f>
        <v>0</v>
      </c>
      <c r="I952">
        <f>B952*(hospitalityq!I952="")</f>
        <v>0</v>
      </c>
      <c r="J952">
        <f>B952*(hospitalityq!J952="")</f>
        <v>0</v>
      </c>
      <c r="K952">
        <f>B952*(hospitalityq!K952="")</f>
        <v>0</v>
      </c>
      <c r="L952">
        <f>B952*(hospitalityq!L952="")</f>
        <v>0</v>
      </c>
      <c r="M952">
        <f>B952*(hospitalityq!M952="")</f>
        <v>0</v>
      </c>
      <c r="N952">
        <f>B952*(hospitalityq!N952="")</f>
        <v>0</v>
      </c>
      <c r="O952">
        <f>B952*(hospitalityq!O952="")</f>
        <v>0</v>
      </c>
      <c r="P952">
        <f>B952*(hospitalityq!P952="")</f>
        <v>0</v>
      </c>
      <c r="Q952">
        <f>B952*(hospitalityq!Q952="")</f>
        <v>0</v>
      </c>
      <c r="R952">
        <f>B952*(hospitalityq!R952="")</f>
        <v>0</v>
      </c>
    </row>
    <row r="953" spans="1:18" x14ac:dyDescent="0.25">
      <c r="A953">
        <f t="shared" si="15"/>
        <v>0</v>
      </c>
      <c r="B953" t="b">
        <f>SUMPRODUCT(LEN(hospitalityq!C953:R953))&gt;0</f>
        <v>0</v>
      </c>
      <c r="C953">
        <f>B953*(hospitalityq!C953="")</f>
        <v>0</v>
      </c>
      <c r="E953">
        <f>B953*(hospitalityq!E953="")</f>
        <v>0</v>
      </c>
      <c r="F953">
        <f>B953*(hospitalityq!F953="")</f>
        <v>0</v>
      </c>
      <c r="G953">
        <f>B953*(hospitalityq!G953="")</f>
        <v>0</v>
      </c>
      <c r="H953">
        <f>B953*(hospitalityq!H953="")</f>
        <v>0</v>
      </c>
      <c r="I953">
        <f>B953*(hospitalityq!I953="")</f>
        <v>0</v>
      </c>
      <c r="J953">
        <f>B953*(hospitalityq!J953="")</f>
        <v>0</v>
      </c>
      <c r="K953">
        <f>B953*(hospitalityq!K953="")</f>
        <v>0</v>
      </c>
      <c r="L953">
        <f>B953*(hospitalityq!L953="")</f>
        <v>0</v>
      </c>
      <c r="M953">
        <f>B953*(hospitalityq!M953="")</f>
        <v>0</v>
      </c>
      <c r="N953">
        <f>B953*(hospitalityq!N953="")</f>
        <v>0</v>
      </c>
      <c r="O953">
        <f>B953*(hospitalityq!O953="")</f>
        <v>0</v>
      </c>
      <c r="P953">
        <f>B953*(hospitalityq!P953="")</f>
        <v>0</v>
      </c>
      <c r="Q953">
        <f>B953*(hospitalityq!Q953="")</f>
        <v>0</v>
      </c>
      <c r="R953">
        <f>B953*(hospitalityq!R953="")</f>
        <v>0</v>
      </c>
    </row>
    <row r="954" spans="1:18" x14ac:dyDescent="0.25">
      <c r="A954">
        <f t="shared" si="15"/>
        <v>0</v>
      </c>
      <c r="B954" t="b">
        <f>SUMPRODUCT(LEN(hospitalityq!C954:R954))&gt;0</f>
        <v>0</v>
      </c>
      <c r="C954">
        <f>B954*(hospitalityq!C954="")</f>
        <v>0</v>
      </c>
      <c r="E954">
        <f>B954*(hospitalityq!E954="")</f>
        <v>0</v>
      </c>
      <c r="F954">
        <f>B954*(hospitalityq!F954="")</f>
        <v>0</v>
      </c>
      <c r="G954">
        <f>B954*(hospitalityq!G954="")</f>
        <v>0</v>
      </c>
      <c r="H954">
        <f>B954*(hospitalityq!H954="")</f>
        <v>0</v>
      </c>
      <c r="I954">
        <f>B954*(hospitalityq!I954="")</f>
        <v>0</v>
      </c>
      <c r="J954">
        <f>B954*(hospitalityq!J954="")</f>
        <v>0</v>
      </c>
      <c r="K954">
        <f>B954*(hospitalityq!K954="")</f>
        <v>0</v>
      </c>
      <c r="L954">
        <f>B954*(hospitalityq!L954="")</f>
        <v>0</v>
      </c>
      <c r="M954">
        <f>B954*(hospitalityq!M954="")</f>
        <v>0</v>
      </c>
      <c r="N954">
        <f>B954*(hospitalityq!N954="")</f>
        <v>0</v>
      </c>
      <c r="O954">
        <f>B954*(hospitalityq!O954="")</f>
        <v>0</v>
      </c>
      <c r="P954">
        <f>B954*(hospitalityq!P954="")</f>
        <v>0</v>
      </c>
      <c r="Q954">
        <f>B954*(hospitalityq!Q954="")</f>
        <v>0</v>
      </c>
      <c r="R954">
        <f>B954*(hospitalityq!R954="")</f>
        <v>0</v>
      </c>
    </row>
    <row r="955" spans="1:18" x14ac:dyDescent="0.25">
      <c r="A955">
        <f t="shared" si="15"/>
        <v>0</v>
      </c>
      <c r="B955" t="b">
        <f>SUMPRODUCT(LEN(hospitalityq!C955:R955))&gt;0</f>
        <v>0</v>
      </c>
      <c r="C955">
        <f>B955*(hospitalityq!C955="")</f>
        <v>0</v>
      </c>
      <c r="E955">
        <f>B955*(hospitalityq!E955="")</f>
        <v>0</v>
      </c>
      <c r="F955">
        <f>B955*(hospitalityq!F955="")</f>
        <v>0</v>
      </c>
      <c r="G955">
        <f>B955*(hospitalityq!G955="")</f>
        <v>0</v>
      </c>
      <c r="H955">
        <f>B955*(hospitalityq!H955="")</f>
        <v>0</v>
      </c>
      <c r="I955">
        <f>B955*(hospitalityq!I955="")</f>
        <v>0</v>
      </c>
      <c r="J955">
        <f>B955*(hospitalityq!J955="")</f>
        <v>0</v>
      </c>
      <c r="K955">
        <f>B955*(hospitalityq!K955="")</f>
        <v>0</v>
      </c>
      <c r="L955">
        <f>B955*(hospitalityq!L955="")</f>
        <v>0</v>
      </c>
      <c r="M955">
        <f>B955*(hospitalityq!M955="")</f>
        <v>0</v>
      </c>
      <c r="N955">
        <f>B955*(hospitalityq!N955="")</f>
        <v>0</v>
      </c>
      <c r="O955">
        <f>B955*(hospitalityq!O955="")</f>
        <v>0</v>
      </c>
      <c r="P955">
        <f>B955*(hospitalityq!P955="")</f>
        <v>0</v>
      </c>
      <c r="Q955">
        <f>B955*(hospitalityq!Q955="")</f>
        <v>0</v>
      </c>
      <c r="R955">
        <f>B955*(hospitalityq!R955="")</f>
        <v>0</v>
      </c>
    </row>
    <row r="956" spans="1:18" x14ac:dyDescent="0.25">
      <c r="A956">
        <f t="shared" si="15"/>
        <v>0</v>
      </c>
      <c r="B956" t="b">
        <f>SUMPRODUCT(LEN(hospitalityq!C956:R956))&gt;0</f>
        <v>0</v>
      </c>
      <c r="C956">
        <f>B956*(hospitalityq!C956="")</f>
        <v>0</v>
      </c>
      <c r="E956">
        <f>B956*(hospitalityq!E956="")</f>
        <v>0</v>
      </c>
      <c r="F956">
        <f>B956*(hospitalityq!F956="")</f>
        <v>0</v>
      </c>
      <c r="G956">
        <f>B956*(hospitalityq!G956="")</f>
        <v>0</v>
      </c>
      <c r="H956">
        <f>B956*(hospitalityq!H956="")</f>
        <v>0</v>
      </c>
      <c r="I956">
        <f>B956*(hospitalityq!I956="")</f>
        <v>0</v>
      </c>
      <c r="J956">
        <f>B956*(hospitalityq!J956="")</f>
        <v>0</v>
      </c>
      <c r="K956">
        <f>B956*(hospitalityq!K956="")</f>
        <v>0</v>
      </c>
      <c r="L956">
        <f>B956*(hospitalityq!L956="")</f>
        <v>0</v>
      </c>
      <c r="M956">
        <f>B956*(hospitalityq!M956="")</f>
        <v>0</v>
      </c>
      <c r="N956">
        <f>B956*(hospitalityq!N956="")</f>
        <v>0</v>
      </c>
      <c r="O956">
        <f>B956*(hospitalityq!O956="")</f>
        <v>0</v>
      </c>
      <c r="P956">
        <f>B956*(hospitalityq!P956="")</f>
        <v>0</v>
      </c>
      <c r="Q956">
        <f>B956*(hospitalityq!Q956="")</f>
        <v>0</v>
      </c>
      <c r="R956">
        <f>B956*(hospitalityq!R956="")</f>
        <v>0</v>
      </c>
    </row>
    <row r="957" spans="1:18" x14ac:dyDescent="0.25">
      <c r="A957">
        <f t="shared" si="15"/>
        <v>0</v>
      </c>
      <c r="B957" t="b">
        <f>SUMPRODUCT(LEN(hospitalityq!C957:R957))&gt;0</f>
        <v>0</v>
      </c>
      <c r="C957">
        <f>B957*(hospitalityq!C957="")</f>
        <v>0</v>
      </c>
      <c r="E957">
        <f>B957*(hospitalityq!E957="")</f>
        <v>0</v>
      </c>
      <c r="F957">
        <f>B957*(hospitalityq!F957="")</f>
        <v>0</v>
      </c>
      <c r="G957">
        <f>B957*(hospitalityq!G957="")</f>
        <v>0</v>
      </c>
      <c r="H957">
        <f>B957*(hospitalityq!H957="")</f>
        <v>0</v>
      </c>
      <c r="I957">
        <f>B957*(hospitalityq!I957="")</f>
        <v>0</v>
      </c>
      <c r="J957">
        <f>B957*(hospitalityq!J957="")</f>
        <v>0</v>
      </c>
      <c r="K957">
        <f>B957*(hospitalityq!K957="")</f>
        <v>0</v>
      </c>
      <c r="L957">
        <f>B957*(hospitalityq!L957="")</f>
        <v>0</v>
      </c>
      <c r="M957">
        <f>B957*(hospitalityq!M957="")</f>
        <v>0</v>
      </c>
      <c r="N957">
        <f>B957*(hospitalityq!N957="")</f>
        <v>0</v>
      </c>
      <c r="O957">
        <f>B957*(hospitalityq!O957="")</f>
        <v>0</v>
      </c>
      <c r="P957">
        <f>B957*(hospitalityq!P957="")</f>
        <v>0</v>
      </c>
      <c r="Q957">
        <f>B957*(hospitalityq!Q957="")</f>
        <v>0</v>
      </c>
      <c r="R957">
        <f>B957*(hospitalityq!R957="")</f>
        <v>0</v>
      </c>
    </row>
    <row r="958" spans="1:18" x14ac:dyDescent="0.25">
      <c r="A958">
        <f t="shared" si="15"/>
        <v>0</v>
      </c>
      <c r="B958" t="b">
        <f>SUMPRODUCT(LEN(hospitalityq!C958:R958))&gt;0</f>
        <v>0</v>
      </c>
      <c r="C958">
        <f>B958*(hospitalityq!C958="")</f>
        <v>0</v>
      </c>
      <c r="E958">
        <f>B958*(hospitalityq!E958="")</f>
        <v>0</v>
      </c>
      <c r="F958">
        <f>B958*(hospitalityq!F958="")</f>
        <v>0</v>
      </c>
      <c r="G958">
        <f>B958*(hospitalityq!G958="")</f>
        <v>0</v>
      </c>
      <c r="H958">
        <f>B958*(hospitalityq!H958="")</f>
        <v>0</v>
      </c>
      <c r="I958">
        <f>B958*(hospitalityq!I958="")</f>
        <v>0</v>
      </c>
      <c r="J958">
        <f>B958*(hospitalityq!J958="")</f>
        <v>0</v>
      </c>
      <c r="K958">
        <f>B958*(hospitalityq!K958="")</f>
        <v>0</v>
      </c>
      <c r="L958">
        <f>B958*(hospitalityq!L958="")</f>
        <v>0</v>
      </c>
      <c r="M958">
        <f>B958*(hospitalityq!M958="")</f>
        <v>0</v>
      </c>
      <c r="N958">
        <f>B958*(hospitalityq!N958="")</f>
        <v>0</v>
      </c>
      <c r="O958">
        <f>B958*(hospitalityq!O958="")</f>
        <v>0</v>
      </c>
      <c r="P958">
        <f>B958*(hospitalityq!P958="")</f>
        <v>0</v>
      </c>
      <c r="Q958">
        <f>B958*(hospitalityq!Q958="")</f>
        <v>0</v>
      </c>
      <c r="R958">
        <f>B958*(hospitalityq!R958="")</f>
        <v>0</v>
      </c>
    </row>
    <row r="959" spans="1:18" x14ac:dyDescent="0.25">
      <c r="A959">
        <f t="shared" si="15"/>
        <v>0</v>
      </c>
      <c r="B959" t="b">
        <f>SUMPRODUCT(LEN(hospitalityq!C959:R959))&gt;0</f>
        <v>0</v>
      </c>
      <c r="C959">
        <f>B959*(hospitalityq!C959="")</f>
        <v>0</v>
      </c>
      <c r="E959">
        <f>B959*(hospitalityq!E959="")</f>
        <v>0</v>
      </c>
      <c r="F959">
        <f>B959*(hospitalityq!F959="")</f>
        <v>0</v>
      </c>
      <c r="G959">
        <f>B959*(hospitalityq!G959="")</f>
        <v>0</v>
      </c>
      <c r="H959">
        <f>B959*(hospitalityq!H959="")</f>
        <v>0</v>
      </c>
      <c r="I959">
        <f>B959*(hospitalityq!I959="")</f>
        <v>0</v>
      </c>
      <c r="J959">
        <f>B959*(hospitalityq!J959="")</f>
        <v>0</v>
      </c>
      <c r="K959">
        <f>B959*(hospitalityq!K959="")</f>
        <v>0</v>
      </c>
      <c r="L959">
        <f>B959*(hospitalityq!L959="")</f>
        <v>0</v>
      </c>
      <c r="M959">
        <f>B959*(hospitalityq!M959="")</f>
        <v>0</v>
      </c>
      <c r="N959">
        <f>B959*(hospitalityq!N959="")</f>
        <v>0</v>
      </c>
      <c r="O959">
        <f>B959*(hospitalityq!O959="")</f>
        <v>0</v>
      </c>
      <c r="P959">
        <f>B959*(hospitalityq!P959="")</f>
        <v>0</v>
      </c>
      <c r="Q959">
        <f>B959*(hospitalityq!Q959="")</f>
        <v>0</v>
      </c>
      <c r="R959">
        <f>B959*(hospitalityq!R959="")</f>
        <v>0</v>
      </c>
    </row>
    <row r="960" spans="1:18" x14ac:dyDescent="0.25">
      <c r="A960">
        <f t="shared" si="15"/>
        <v>0</v>
      </c>
      <c r="B960" t="b">
        <f>SUMPRODUCT(LEN(hospitalityq!C960:R960))&gt;0</f>
        <v>0</v>
      </c>
      <c r="C960">
        <f>B960*(hospitalityq!C960="")</f>
        <v>0</v>
      </c>
      <c r="E960">
        <f>B960*(hospitalityq!E960="")</f>
        <v>0</v>
      </c>
      <c r="F960">
        <f>B960*(hospitalityq!F960="")</f>
        <v>0</v>
      </c>
      <c r="G960">
        <f>B960*(hospitalityq!G960="")</f>
        <v>0</v>
      </c>
      <c r="H960">
        <f>B960*(hospitalityq!H960="")</f>
        <v>0</v>
      </c>
      <c r="I960">
        <f>B960*(hospitalityq!I960="")</f>
        <v>0</v>
      </c>
      <c r="J960">
        <f>B960*(hospitalityq!J960="")</f>
        <v>0</v>
      </c>
      <c r="K960">
        <f>B960*(hospitalityq!K960="")</f>
        <v>0</v>
      </c>
      <c r="L960">
        <f>B960*(hospitalityq!L960="")</f>
        <v>0</v>
      </c>
      <c r="M960">
        <f>B960*(hospitalityq!M960="")</f>
        <v>0</v>
      </c>
      <c r="N960">
        <f>B960*(hospitalityq!N960="")</f>
        <v>0</v>
      </c>
      <c r="O960">
        <f>B960*(hospitalityq!O960="")</f>
        <v>0</v>
      </c>
      <c r="P960">
        <f>B960*(hospitalityq!P960="")</f>
        <v>0</v>
      </c>
      <c r="Q960">
        <f>B960*(hospitalityq!Q960="")</f>
        <v>0</v>
      </c>
      <c r="R960">
        <f>B960*(hospitalityq!R960="")</f>
        <v>0</v>
      </c>
    </row>
    <row r="961" spans="1:18" x14ac:dyDescent="0.25">
      <c r="A961">
        <f t="shared" si="15"/>
        <v>0</v>
      </c>
      <c r="B961" t="b">
        <f>SUMPRODUCT(LEN(hospitalityq!C961:R961))&gt;0</f>
        <v>0</v>
      </c>
      <c r="C961">
        <f>B961*(hospitalityq!C961="")</f>
        <v>0</v>
      </c>
      <c r="E961">
        <f>B961*(hospitalityq!E961="")</f>
        <v>0</v>
      </c>
      <c r="F961">
        <f>B961*(hospitalityq!F961="")</f>
        <v>0</v>
      </c>
      <c r="G961">
        <f>B961*(hospitalityq!G961="")</f>
        <v>0</v>
      </c>
      <c r="H961">
        <f>B961*(hospitalityq!H961="")</f>
        <v>0</v>
      </c>
      <c r="I961">
        <f>B961*(hospitalityq!I961="")</f>
        <v>0</v>
      </c>
      <c r="J961">
        <f>B961*(hospitalityq!J961="")</f>
        <v>0</v>
      </c>
      <c r="K961">
        <f>B961*(hospitalityq!K961="")</f>
        <v>0</v>
      </c>
      <c r="L961">
        <f>B961*(hospitalityq!L961="")</f>
        <v>0</v>
      </c>
      <c r="M961">
        <f>B961*(hospitalityq!M961="")</f>
        <v>0</v>
      </c>
      <c r="N961">
        <f>B961*(hospitalityq!N961="")</f>
        <v>0</v>
      </c>
      <c r="O961">
        <f>B961*(hospitalityq!O961="")</f>
        <v>0</v>
      </c>
      <c r="P961">
        <f>B961*(hospitalityq!P961="")</f>
        <v>0</v>
      </c>
      <c r="Q961">
        <f>B961*(hospitalityq!Q961="")</f>
        <v>0</v>
      </c>
      <c r="R961">
        <f>B961*(hospitalityq!R961="")</f>
        <v>0</v>
      </c>
    </row>
    <row r="962" spans="1:18" x14ac:dyDescent="0.25">
      <c r="A962">
        <f t="shared" si="15"/>
        <v>0</v>
      </c>
      <c r="B962" t="b">
        <f>SUMPRODUCT(LEN(hospitalityq!C962:R962))&gt;0</f>
        <v>0</v>
      </c>
      <c r="C962">
        <f>B962*(hospitalityq!C962="")</f>
        <v>0</v>
      </c>
      <c r="E962">
        <f>B962*(hospitalityq!E962="")</f>
        <v>0</v>
      </c>
      <c r="F962">
        <f>B962*(hospitalityq!F962="")</f>
        <v>0</v>
      </c>
      <c r="G962">
        <f>B962*(hospitalityq!G962="")</f>
        <v>0</v>
      </c>
      <c r="H962">
        <f>B962*(hospitalityq!H962="")</f>
        <v>0</v>
      </c>
      <c r="I962">
        <f>B962*(hospitalityq!I962="")</f>
        <v>0</v>
      </c>
      <c r="J962">
        <f>B962*(hospitalityq!J962="")</f>
        <v>0</v>
      </c>
      <c r="K962">
        <f>B962*(hospitalityq!K962="")</f>
        <v>0</v>
      </c>
      <c r="L962">
        <f>B962*(hospitalityq!L962="")</f>
        <v>0</v>
      </c>
      <c r="M962">
        <f>B962*(hospitalityq!M962="")</f>
        <v>0</v>
      </c>
      <c r="N962">
        <f>B962*(hospitalityq!N962="")</f>
        <v>0</v>
      </c>
      <c r="O962">
        <f>B962*(hospitalityq!O962="")</f>
        <v>0</v>
      </c>
      <c r="P962">
        <f>B962*(hospitalityq!P962="")</f>
        <v>0</v>
      </c>
      <c r="Q962">
        <f>B962*(hospitalityq!Q962="")</f>
        <v>0</v>
      </c>
      <c r="R962">
        <f>B962*(hospitalityq!R962="")</f>
        <v>0</v>
      </c>
    </row>
    <row r="963" spans="1:18" x14ac:dyDescent="0.25">
      <c r="A963">
        <f t="shared" si="15"/>
        <v>0</v>
      </c>
      <c r="B963" t="b">
        <f>SUMPRODUCT(LEN(hospitalityq!C963:R963))&gt;0</f>
        <v>0</v>
      </c>
      <c r="C963">
        <f>B963*(hospitalityq!C963="")</f>
        <v>0</v>
      </c>
      <c r="E963">
        <f>B963*(hospitalityq!E963="")</f>
        <v>0</v>
      </c>
      <c r="F963">
        <f>B963*(hospitalityq!F963="")</f>
        <v>0</v>
      </c>
      <c r="G963">
        <f>B963*(hospitalityq!G963="")</f>
        <v>0</v>
      </c>
      <c r="H963">
        <f>B963*(hospitalityq!H963="")</f>
        <v>0</v>
      </c>
      <c r="I963">
        <f>B963*(hospitalityq!I963="")</f>
        <v>0</v>
      </c>
      <c r="J963">
        <f>B963*(hospitalityq!J963="")</f>
        <v>0</v>
      </c>
      <c r="K963">
        <f>B963*(hospitalityq!K963="")</f>
        <v>0</v>
      </c>
      <c r="L963">
        <f>B963*(hospitalityq!L963="")</f>
        <v>0</v>
      </c>
      <c r="M963">
        <f>B963*(hospitalityq!M963="")</f>
        <v>0</v>
      </c>
      <c r="N963">
        <f>B963*(hospitalityq!N963="")</f>
        <v>0</v>
      </c>
      <c r="O963">
        <f>B963*(hospitalityq!O963="")</f>
        <v>0</v>
      </c>
      <c r="P963">
        <f>B963*(hospitalityq!P963="")</f>
        <v>0</v>
      </c>
      <c r="Q963">
        <f>B963*(hospitalityq!Q963="")</f>
        <v>0</v>
      </c>
      <c r="R963">
        <f>B963*(hospitalityq!R963="")</f>
        <v>0</v>
      </c>
    </row>
    <row r="964" spans="1:18" x14ac:dyDescent="0.25">
      <c r="A964">
        <f t="shared" si="15"/>
        <v>0</v>
      </c>
      <c r="B964" t="b">
        <f>SUMPRODUCT(LEN(hospitalityq!C964:R964))&gt;0</f>
        <v>0</v>
      </c>
      <c r="C964">
        <f>B964*(hospitalityq!C964="")</f>
        <v>0</v>
      </c>
      <c r="E964">
        <f>B964*(hospitalityq!E964="")</f>
        <v>0</v>
      </c>
      <c r="F964">
        <f>B964*(hospitalityq!F964="")</f>
        <v>0</v>
      </c>
      <c r="G964">
        <f>B964*(hospitalityq!G964="")</f>
        <v>0</v>
      </c>
      <c r="H964">
        <f>B964*(hospitalityq!H964="")</f>
        <v>0</v>
      </c>
      <c r="I964">
        <f>B964*(hospitalityq!I964="")</f>
        <v>0</v>
      </c>
      <c r="J964">
        <f>B964*(hospitalityq!J964="")</f>
        <v>0</v>
      </c>
      <c r="K964">
        <f>B964*(hospitalityq!K964="")</f>
        <v>0</v>
      </c>
      <c r="L964">
        <f>B964*(hospitalityq!L964="")</f>
        <v>0</v>
      </c>
      <c r="M964">
        <f>B964*(hospitalityq!M964="")</f>
        <v>0</v>
      </c>
      <c r="N964">
        <f>B964*(hospitalityq!N964="")</f>
        <v>0</v>
      </c>
      <c r="O964">
        <f>B964*(hospitalityq!O964="")</f>
        <v>0</v>
      </c>
      <c r="P964">
        <f>B964*(hospitalityq!P964="")</f>
        <v>0</v>
      </c>
      <c r="Q964">
        <f>B964*(hospitalityq!Q964="")</f>
        <v>0</v>
      </c>
      <c r="R964">
        <f>B964*(hospitalityq!R964="")</f>
        <v>0</v>
      </c>
    </row>
    <row r="965" spans="1:18" x14ac:dyDescent="0.25">
      <c r="A965">
        <f t="shared" si="15"/>
        <v>0</v>
      </c>
      <c r="B965" t="b">
        <f>SUMPRODUCT(LEN(hospitalityq!C965:R965))&gt;0</f>
        <v>0</v>
      </c>
      <c r="C965">
        <f>B965*(hospitalityq!C965="")</f>
        <v>0</v>
      </c>
      <c r="E965">
        <f>B965*(hospitalityq!E965="")</f>
        <v>0</v>
      </c>
      <c r="F965">
        <f>B965*(hospitalityq!F965="")</f>
        <v>0</v>
      </c>
      <c r="G965">
        <f>B965*(hospitalityq!G965="")</f>
        <v>0</v>
      </c>
      <c r="H965">
        <f>B965*(hospitalityq!H965="")</f>
        <v>0</v>
      </c>
      <c r="I965">
        <f>B965*(hospitalityq!I965="")</f>
        <v>0</v>
      </c>
      <c r="J965">
        <f>B965*(hospitalityq!J965="")</f>
        <v>0</v>
      </c>
      <c r="K965">
        <f>B965*(hospitalityq!K965="")</f>
        <v>0</v>
      </c>
      <c r="L965">
        <f>B965*(hospitalityq!L965="")</f>
        <v>0</v>
      </c>
      <c r="M965">
        <f>B965*(hospitalityq!M965="")</f>
        <v>0</v>
      </c>
      <c r="N965">
        <f>B965*(hospitalityq!N965="")</f>
        <v>0</v>
      </c>
      <c r="O965">
        <f>B965*(hospitalityq!O965="")</f>
        <v>0</v>
      </c>
      <c r="P965">
        <f>B965*(hospitalityq!P965="")</f>
        <v>0</v>
      </c>
      <c r="Q965">
        <f>B965*(hospitalityq!Q965="")</f>
        <v>0</v>
      </c>
      <c r="R965">
        <f>B965*(hospitalityq!R965="")</f>
        <v>0</v>
      </c>
    </row>
    <row r="966" spans="1:18" x14ac:dyDescent="0.25">
      <c r="A966">
        <f t="shared" ref="A966:A1029" si="16">IFERROR(MATCH(TRUE,INDEX(C966:R966&lt;&gt;0,),)+2,0)</f>
        <v>0</v>
      </c>
      <c r="B966" t="b">
        <f>SUMPRODUCT(LEN(hospitalityq!C966:R966))&gt;0</f>
        <v>0</v>
      </c>
      <c r="C966">
        <f>B966*(hospitalityq!C966="")</f>
        <v>0</v>
      </c>
      <c r="E966">
        <f>B966*(hospitalityq!E966="")</f>
        <v>0</v>
      </c>
      <c r="F966">
        <f>B966*(hospitalityq!F966="")</f>
        <v>0</v>
      </c>
      <c r="G966">
        <f>B966*(hospitalityq!G966="")</f>
        <v>0</v>
      </c>
      <c r="H966">
        <f>B966*(hospitalityq!H966="")</f>
        <v>0</v>
      </c>
      <c r="I966">
        <f>B966*(hospitalityq!I966="")</f>
        <v>0</v>
      </c>
      <c r="J966">
        <f>B966*(hospitalityq!J966="")</f>
        <v>0</v>
      </c>
      <c r="K966">
        <f>B966*(hospitalityq!K966="")</f>
        <v>0</v>
      </c>
      <c r="L966">
        <f>B966*(hospitalityq!L966="")</f>
        <v>0</v>
      </c>
      <c r="M966">
        <f>B966*(hospitalityq!M966="")</f>
        <v>0</v>
      </c>
      <c r="N966">
        <f>B966*(hospitalityq!N966="")</f>
        <v>0</v>
      </c>
      <c r="O966">
        <f>B966*(hospitalityq!O966="")</f>
        <v>0</v>
      </c>
      <c r="P966">
        <f>B966*(hospitalityq!P966="")</f>
        <v>0</v>
      </c>
      <c r="Q966">
        <f>B966*(hospitalityq!Q966="")</f>
        <v>0</v>
      </c>
      <c r="R966">
        <f>B966*(hospitalityq!R966="")</f>
        <v>0</v>
      </c>
    </row>
    <row r="967" spans="1:18" x14ac:dyDescent="0.25">
      <c r="A967">
        <f t="shared" si="16"/>
        <v>0</v>
      </c>
      <c r="B967" t="b">
        <f>SUMPRODUCT(LEN(hospitalityq!C967:R967))&gt;0</f>
        <v>0</v>
      </c>
      <c r="C967">
        <f>B967*(hospitalityq!C967="")</f>
        <v>0</v>
      </c>
      <c r="E967">
        <f>B967*(hospitalityq!E967="")</f>
        <v>0</v>
      </c>
      <c r="F967">
        <f>B967*(hospitalityq!F967="")</f>
        <v>0</v>
      </c>
      <c r="G967">
        <f>B967*(hospitalityq!G967="")</f>
        <v>0</v>
      </c>
      <c r="H967">
        <f>B967*(hospitalityq!H967="")</f>
        <v>0</v>
      </c>
      <c r="I967">
        <f>B967*(hospitalityq!I967="")</f>
        <v>0</v>
      </c>
      <c r="J967">
        <f>B967*(hospitalityq!J967="")</f>
        <v>0</v>
      </c>
      <c r="K967">
        <f>B967*(hospitalityq!K967="")</f>
        <v>0</v>
      </c>
      <c r="L967">
        <f>B967*(hospitalityq!L967="")</f>
        <v>0</v>
      </c>
      <c r="M967">
        <f>B967*(hospitalityq!M967="")</f>
        <v>0</v>
      </c>
      <c r="N967">
        <f>B967*(hospitalityq!N967="")</f>
        <v>0</v>
      </c>
      <c r="O967">
        <f>B967*(hospitalityq!O967="")</f>
        <v>0</v>
      </c>
      <c r="P967">
        <f>B967*(hospitalityq!P967="")</f>
        <v>0</v>
      </c>
      <c r="Q967">
        <f>B967*(hospitalityq!Q967="")</f>
        <v>0</v>
      </c>
      <c r="R967">
        <f>B967*(hospitalityq!R967="")</f>
        <v>0</v>
      </c>
    </row>
    <row r="968" spans="1:18" x14ac:dyDescent="0.25">
      <c r="A968">
        <f t="shared" si="16"/>
        <v>0</v>
      </c>
      <c r="B968" t="b">
        <f>SUMPRODUCT(LEN(hospitalityq!C968:R968))&gt;0</f>
        <v>0</v>
      </c>
      <c r="C968">
        <f>B968*(hospitalityq!C968="")</f>
        <v>0</v>
      </c>
      <c r="E968">
        <f>B968*(hospitalityq!E968="")</f>
        <v>0</v>
      </c>
      <c r="F968">
        <f>B968*(hospitalityq!F968="")</f>
        <v>0</v>
      </c>
      <c r="G968">
        <f>B968*(hospitalityq!G968="")</f>
        <v>0</v>
      </c>
      <c r="H968">
        <f>B968*(hospitalityq!H968="")</f>
        <v>0</v>
      </c>
      <c r="I968">
        <f>B968*(hospitalityq!I968="")</f>
        <v>0</v>
      </c>
      <c r="J968">
        <f>B968*(hospitalityq!J968="")</f>
        <v>0</v>
      </c>
      <c r="K968">
        <f>B968*(hospitalityq!K968="")</f>
        <v>0</v>
      </c>
      <c r="L968">
        <f>B968*(hospitalityq!L968="")</f>
        <v>0</v>
      </c>
      <c r="M968">
        <f>B968*(hospitalityq!M968="")</f>
        <v>0</v>
      </c>
      <c r="N968">
        <f>B968*(hospitalityq!N968="")</f>
        <v>0</v>
      </c>
      <c r="O968">
        <f>B968*(hospitalityq!O968="")</f>
        <v>0</v>
      </c>
      <c r="P968">
        <f>B968*(hospitalityq!P968="")</f>
        <v>0</v>
      </c>
      <c r="Q968">
        <f>B968*(hospitalityq!Q968="")</f>
        <v>0</v>
      </c>
      <c r="R968">
        <f>B968*(hospitalityq!R968="")</f>
        <v>0</v>
      </c>
    </row>
    <row r="969" spans="1:18" x14ac:dyDescent="0.25">
      <c r="A969">
        <f t="shared" si="16"/>
        <v>0</v>
      </c>
      <c r="B969" t="b">
        <f>SUMPRODUCT(LEN(hospitalityq!C969:R969))&gt;0</f>
        <v>0</v>
      </c>
      <c r="C969">
        <f>B969*(hospitalityq!C969="")</f>
        <v>0</v>
      </c>
      <c r="E969">
        <f>B969*(hospitalityq!E969="")</f>
        <v>0</v>
      </c>
      <c r="F969">
        <f>B969*(hospitalityq!F969="")</f>
        <v>0</v>
      </c>
      <c r="G969">
        <f>B969*(hospitalityq!G969="")</f>
        <v>0</v>
      </c>
      <c r="H969">
        <f>B969*(hospitalityq!H969="")</f>
        <v>0</v>
      </c>
      <c r="I969">
        <f>B969*(hospitalityq!I969="")</f>
        <v>0</v>
      </c>
      <c r="J969">
        <f>B969*(hospitalityq!J969="")</f>
        <v>0</v>
      </c>
      <c r="K969">
        <f>B969*(hospitalityq!K969="")</f>
        <v>0</v>
      </c>
      <c r="L969">
        <f>B969*(hospitalityq!L969="")</f>
        <v>0</v>
      </c>
      <c r="M969">
        <f>B969*(hospitalityq!M969="")</f>
        <v>0</v>
      </c>
      <c r="N969">
        <f>B969*(hospitalityq!N969="")</f>
        <v>0</v>
      </c>
      <c r="O969">
        <f>B969*(hospitalityq!O969="")</f>
        <v>0</v>
      </c>
      <c r="P969">
        <f>B969*(hospitalityq!P969="")</f>
        <v>0</v>
      </c>
      <c r="Q969">
        <f>B969*(hospitalityq!Q969="")</f>
        <v>0</v>
      </c>
      <c r="R969">
        <f>B969*(hospitalityq!R969="")</f>
        <v>0</v>
      </c>
    </row>
    <row r="970" spans="1:18" x14ac:dyDescent="0.25">
      <c r="A970">
        <f t="shared" si="16"/>
        <v>0</v>
      </c>
      <c r="B970" t="b">
        <f>SUMPRODUCT(LEN(hospitalityq!C970:R970))&gt;0</f>
        <v>0</v>
      </c>
      <c r="C970">
        <f>B970*(hospitalityq!C970="")</f>
        <v>0</v>
      </c>
      <c r="E970">
        <f>B970*(hospitalityq!E970="")</f>
        <v>0</v>
      </c>
      <c r="F970">
        <f>B970*(hospitalityq!F970="")</f>
        <v>0</v>
      </c>
      <c r="G970">
        <f>B970*(hospitalityq!G970="")</f>
        <v>0</v>
      </c>
      <c r="H970">
        <f>B970*(hospitalityq!H970="")</f>
        <v>0</v>
      </c>
      <c r="I970">
        <f>B970*(hospitalityq!I970="")</f>
        <v>0</v>
      </c>
      <c r="J970">
        <f>B970*(hospitalityq!J970="")</f>
        <v>0</v>
      </c>
      <c r="K970">
        <f>B970*(hospitalityq!K970="")</f>
        <v>0</v>
      </c>
      <c r="L970">
        <f>B970*(hospitalityq!L970="")</f>
        <v>0</v>
      </c>
      <c r="M970">
        <f>B970*(hospitalityq!M970="")</f>
        <v>0</v>
      </c>
      <c r="N970">
        <f>B970*(hospitalityq!N970="")</f>
        <v>0</v>
      </c>
      <c r="O970">
        <f>B970*(hospitalityq!O970="")</f>
        <v>0</v>
      </c>
      <c r="P970">
        <f>B970*(hospitalityq!P970="")</f>
        <v>0</v>
      </c>
      <c r="Q970">
        <f>B970*(hospitalityq!Q970="")</f>
        <v>0</v>
      </c>
      <c r="R970">
        <f>B970*(hospitalityq!R970="")</f>
        <v>0</v>
      </c>
    </row>
    <row r="971" spans="1:18" x14ac:dyDescent="0.25">
      <c r="A971">
        <f t="shared" si="16"/>
        <v>0</v>
      </c>
      <c r="B971" t="b">
        <f>SUMPRODUCT(LEN(hospitalityq!C971:R971))&gt;0</f>
        <v>0</v>
      </c>
      <c r="C971">
        <f>B971*(hospitalityq!C971="")</f>
        <v>0</v>
      </c>
      <c r="E971">
        <f>B971*(hospitalityq!E971="")</f>
        <v>0</v>
      </c>
      <c r="F971">
        <f>B971*(hospitalityq!F971="")</f>
        <v>0</v>
      </c>
      <c r="G971">
        <f>B971*(hospitalityq!G971="")</f>
        <v>0</v>
      </c>
      <c r="H971">
        <f>B971*(hospitalityq!H971="")</f>
        <v>0</v>
      </c>
      <c r="I971">
        <f>B971*(hospitalityq!I971="")</f>
        <v>0</v>
      </c>
      <c r="J971">
        <f>B971*(hospitalityq!J971="")</f>
        <v>0</v>
      </c>
      <c r="K971">
        <f>B971*(hospitalityq!K971="")</f>
        <v>0</v>
      </c>
      <c r="L971">
        <f>B971*(hospitalityq!L971="")</f>
        <v>0</v>
      </c>
      <c r="M971">
        <f>B971*(hospitalityq!M971="")</f>
        <v>0</v>
      </c>
      <c r="N971">
        <f>B971*(hospitalityq!N971="")</f>
        <v>0</v>
      </c>
      <c r="O971">
        <f>B971*(hospitalityq!O971="")</f>
        <v>0</v>
      </c>
      <c r="P971">
        <f>B971*(hospitalityq!P971="")</f>
        <v>0</v>
      </c>
      <c r="Q971">
        <f>B971*(hospitalityq!Q971="")</f>
        <v>0</v>
      </c>
      <c r="R971">
        <f>B971*(hospitalityq!R971="")</f>
        <v>0</v>
      </c>
    </row>
    <row r="972" spans="1:18" x14ac:dyDescent="0.25">
      <c r="A972">
        <f t="shared" si="16"/>
        <v>0</v>
      </c>
      <c r="B972" t="b">
        <f>SUMPRODUCT(LEN(hospitalityq!C972:R972))&gt;0</f>
        <v>0</v>
      </c>
      <c r="C972">
        <f>B972*(hospitalityq!C972="")</f>
        <v>0</v>
      </c>
      <c r="E972">
        <f>B972*(hospitalityq!E972="")</f>
        <v>0</v>
      </c>
      <c r="F972">
        <f>B972*(hospitalityq!F972="")</f>
        <v>0</v>
      </c>
      <c r="G972">
        <f>B972*(hospitalityq!G972="")</f>
        <v>0</v>
      </c>
      <c r="H972">
        <f>B972*(hospitalityq!H972="")</f>
        <v>0</v>
      </c>
      <c r="I972">
        <f>B972*(hospitalityq!I972="")</f>
        <v>0</v>
      </c>
      <c r="J972">
        <f>B972*(hospitalityq!J972="")</f>
        <v>0</v>
      </c>
      <c r="K972">
        <f>B972*(hospitalityq!K972="")</f>
        <v>0</v>
      </c>
      <c r="L972">
        <f>B972*(hospitalityq!L972="")</f>
        <v>0</v>
      </c>
      <c r="M972">
        <f>B972*(hospitalityq!M972="")</f>
        <v>0</v>
      </c>
      <c r="N972">
        <f>B972*(hospitalityq!N972="")</f>
        <v>0</v>
      </c>
      <c r="O972">
        <f>B972*(hospitalityq!O972="")</f>
        <v>0</v>
      </c>
      <c r="P972">
        <f>B972*(hospitalityq!P972="")</f>
        <v>0</v>
      </c>
      <c r="Q972">
        <f>B972*(hospitalityq!Q972="")</f>
        <v>0</v>
      </c>
      <c r="R972">
        <f>B972*(hospitalityq!R972="")</f>
        <v>0</v>
      </c>
    </row>
    <row r="973" spans="1:18" x14ac:dyDescent="0.25">
      <c r="A973">
        <f t="shared" si="16"/>
        <v>0</v>
      </c>
      <c r="B973" t="b">
        <f>SUMPRODUCT(LEN(hospitalityq!C973:R973))&gt;0</f>
        <v>0</v>
      </c>
      <c r="C973">
        <f>B973*(hospitalityq!C973="")</f>
        <v>0</v>
      </c>
      <c r="E973">
        <f>B973*(hospitalityq!E973="")</f>
        <v>0</v>
      </c>
      <c r="F973">
        <f>B973*(hospitalityq!F973="")</f>
        <v>0</v>
      </c>
      <c r="G973">
        <f>B973*(hospitalityq!G973="")</f>
        <v>0</v>
      </c>
      <c r="H973">
        <f>B973*(hospitalityq!H973="")</f>
        <v>0</v>
      </c>
      <c r="I973">
        <f>B973*(hospitalityq!I973="")</f>
        <v>0</v>
      </c>
      <c r="J973">
        <f>B973*(hospitalityq!J973="")</f>
        <v>0</v>
      </c>
      <c r="K973">
        <f>B973*(hospitalityq!K973="")</f>
        <v>0</v>
      </c>
      <c r="L973">
        <f>B973*(hospitalityq!L973="")</f>
        <v>0</v>
      </c>
      <c r="M973">
        <f>B973*(hospitalityq!M973="")</f>
        <v>0</v>
      </c>
      <c r="N973">
        <f>B973*(hospitalityq!N973="")</f>
        <v>0</v>
      </c>
      <c r="O973">
        <f>B973*(hospitalityq!O973="")</f>
        <v>0</v>
      </c>
      <c r="P973">
        <f>B973*(hospitalityq!P973="")</f>
        <v>0</v>
      </c>
      <c r="Q973">
        <f>B973*(hospitalityq!Q973="")</f>
        <v>0</v>
      </c>
      <c r="R973">
        <f>B973*(hospitalityq!R973="")</f>
        <v>0</v>
      </c>
    </row>
    <row r="974" spans="1:18" x14ac:dyDescent="0.25">
      <c r="A974">
        <f t="shared" si="16"/>
        <v>0</v>
      </c>
      <c r="B974" t="b">
        <f>SUMPRODUCT(LEN(hospitalityq!C974:R974))&gt;0</f>
        <v>0</v>
      </c>
      <c r="C974">
        <f>B974*(hospitalityq!C974="")</f>
        <v>0</v>
      </c>
      <c r="E974">
        <f>B974*(hospitalityq!E974="")</f>
        <v>0</v>
      </c>
      <c r="F974">
        <f>B974*(hospitalityq!F974="")</f>
        <v>0</v>
      </c>
      <c r="G974">
        <f>B974*(hospitalityq!G974="")</f>
        <v>0</v>
      </c>
      <c r="H974">
        <f>B974*(hospitalityq!H974="")</f>
        <v>0</v>
      </c>
      <c r="I974">
        <f>B974*(hospitalityq!I974="")</f>
        <v>0</v>
      </c>
      <c r="J974">
        <f>B974*(hospitalityq!J974="")</f>
        <v>0</v>
      </c>
      <c r="K974">
        <f>B974*(hospitalityq!K974="")</f>
        <v>0</v>
      </c>
      <c r="L974">
        <f>B974*(hospitalityq!L974="")</f>
        <v>0</v>
      </c>
      <c r="M974">
        <f>B974*(hospitalityq!M974="")</f>
        <v>0</v>
      </c>
      <c r="N974">
        <f>B974*(hospitalityq!N974="")</f>
        <v>0</v>
      </c>
      <c r="O974">
        <f>B974*(hospitalityq!O974="")</f>
        <v>0</v>
      </c>
      <c r="P974">
        <f>B974*(hospitalityq!P974="")</f>
        <v>0</v>
      </c>
      <c r="Q974">
        <f>B974*(hospitalityq!Q974="")</f>
        <v>0</v>
      </c>
      <c r="R974">
        <f>B974*(hospitalityq!R974="")</f>
        <v>0</v>
      </c>
    </row>
    <row r="975" spans="1:18" x14ac:dyDescent="0.25">
      <c r="A975">
        <f t="shared" si="16"/>
        <v>0</v>
      </c>
      <c r="B975" t="b">
        <f>SUMPRODUCT(LEN(hospitalityq!C975:R975))&gt;0</f>
        <v>0</v>
      </c>
      <c r="C975">
        <f>B975*(hospitalityq!C975="")</f>
        <v>0</v>
      </c>
      <c r="E975">
        <f>B975*(hospitalityq!E975="")</f>
        <v>0</v>
      </c>
      <c r="F975">
        <f>B975*(hospitalityq!F975="")</f>
        <v>0</v>
      </c>
      <c r="G975">
        <f>B975*(hospitalityq!G975="")</f>
        <v>0</v>
      </c>
      <c r="H975">
        <f>B975*(hospitalityq!H975="")</f>
        <v>0</v>
      </c>
      <c r="I975">
        <f>B975*(hospitalityq!I975="")</f>
        <v>0</v>
      </c>
      <c r="J975">
        <f>B975*(hospitalityq!J975="")</f>
        <v>0</v>
      </c>
      <c r="K975">
        <f>B975*(hospitalityq!K975="")</f>
        <v>0</v>
      </c>
      <c r="L975">
        <f>B975*(hospitalityq!L975="")</f>
        <v>0</v>
      </c>
      <c r="M975">
        <f>B975*(hospitalityq!M975="")</f>
        <v>0</v>
      </c>
      <c r="N975">
        <f>B975*(hospitalityq!N975="")</f>
        <v>0</v>
      </c>
      <c r="O975">
        <f>B975*(hospitalityq!O975="")</f>
        <v>0</v>
      </c>
      <c r="P975">
        <f>B975*(hospitalityq!P975="")</f>
        <v>0</v>
      </c>
      <c r="Q975">
        <f>B975*(hospitalityq!Q975="")</f>
        <v>0</v>
      </c>
      <c r="R975">
        <f>B975*(hospitalityq!R975="")</f>
        <v>0</v>
      </c>
    </row>
    <row r="976" spans="1:18" x14ac:dyDescent="0.25">
      <c r="A976">
        <f t="shared" si="16"/>
        <v>0</v>
      </c>
      <c r="B976" t="b">
        <f>SUMPRODUCT(LEN(hospitalityq!C976:R976))&gt;0</f>
        <v>0</v>
      </c>
      <c r="C976">
        <f>B976*(hospitalityq!C976="")</f>
        <v>0</v>
      </c>
      <c r="E976">
        <f>B976*(hospitalityq!E976="")</f>
        <v>0</v>
      </c>
      <c r="F976">
        <f>B976*(hospitalityq!F976="")</f>
        <v>0</v>
      </c>
      <c r="G976">
        <f>B976*(hospitalityq!G976="")</f>
        <v>0</v>
      </c>
      <c r="H976">
        <f>B976*(hospitalityq!H976="")</f>
        <v>0</v>
      </c>
      <c r="I976">
        <f>B976*(hospitalityq!I976="")</f>
        <v>0</v>
      </c>
      <c r="J976">
        <f>B976*(hospitalityq!J976="")</f>
        <v>0</v>
      </c>
      <c r="K976">
        <f>B976*(hospitalityq!K976="")</f>
        <v>0</v>
      </c>
      <c r="L976">
        <f>B976*(hospitalityq!L976="")</f>
        <v>0</v>
      </c>
      <c r="M976">
        <f>B976*(hospitalityq!M976="")</f>
        <v>0</v>
      </c>
      <c r="N976">
        <f>B976*(hospitalityq!N976="")</f>
        <v>0</v>
      </c>
      <c r="O976">
        <f>B976*(hospitalityq!O976="")</f>
        <v>0</v>
      </c>
      <c r="P976">
        <f>B976*(hospitalityq!P976="")</f>
        <v>0</v>
      </c>
      <c r="Q976">
        <f>B976*(hospitalityq!Q976="")</f>
        <v>0</v>
      </c>
      <c r="R976">
        <f>B976*(hospitalityq!R976="")</f>
        <v>0</v>
      </c>
    </row>
    <row r="977" spans="1:18" x14ac:dyDescent="0.25">
      <c r="A977">
        <f t="shared" si="16"/>
        <v>0</v>
      </c>
      <c r="B977" t="b">
        <f>SUMPRODUCT(LEN(hospitalityq!C977:R977))&gt;0</f>
        <v>0</v>
      </c>
      <c r="C977">
        <f>B977*(hospitalityq!C977="")</f>
        <v>0</v>
      </c>
      <c r="E977">
        <f>B977*(hospitalityq!E977="")</f>
        <v>0</v>
      </c>
      <c r="F977">
        <f>B977*(hospitalityq!F977="")</f>
        <v>0</v>
      </c>
      <c r="G977">
        <f>B977*(hospitalityq!G977="")</f>
        <v>0</v>
      </c>
      <c r="H977">
        <f>B977*(hospitalityq!H977="")</f>
        <v>0</v>
      </c>
      <c r="I977">
        <f>B977*(hospitalityq!I977="")</f>
        <v>0</v>
      </c>
      <c r="J977">
        <f>B977*(hospitalityq!J977="")</f>
        <v>0</v>
      </c>
      <c r="K977">
        <f>B977*(hospitalityq!K977="")</f>
        <v>0</v>
      </c>
      <c r="L977">
        <f>B977*(hospitalityq!L977="")</f>
        <v>0</v>
      </c>
      <c r="M977">
        <f>B977*(hospitalityq!M977="")</f>
        <v>0</v>
      </c>
      <c r="N977">
        <f>B977*(hospitalityq!N977="")</f>
        <v>0</v>
      </c>
      <c r="O977">
        <f>B977*(hospitalityq!O977="")</f>
        <v>0</v>
      </c>
      <c r="P977">
        <f>B977*(hospitalityq!P977="")</f>
        <v>0</v>
      </c>
      <c r="Q977">
        <f>B977*(hospitalityq!Q977="")</f>
        <v>0</v>
      </c>
      <c r="R977">
        <f>B977*(hospitalityq!R977="")</f>
        <v>0</v>
      </c>
    </row>
    <row r="978" spans="1:18" x14ac:dyDescent="0.25">
      <c r="A978">
        <f t="shared" si="16"/>
        <v>0</v>
      </c>
      <c r="B978" t="b">
        <f>SUMPRODUCT(LEN(hospitalityq!C978:R978))&gt;0</f>
        <v>0</v>
      </c>
      <c r="C978">
        <f>B978*(hospitalityq!C978="")</f>
        <v>0</v>
      </c>
      <c r="E978">
        <f>B978*(hospitalityq!E978="")</f>
        <v>0</v>
      </c>
      <c r="F978">
        <f>B978*(hospitalityq!F978="")</f>
        <v>0</v>
      </c>
      <c r="G978">
        <f>B978*(hospitalityq!G978="")</f>
        <v>0</v>
      </c>
      <c r="H978">
        <f>B978*(hospitalityq!H978="")</f>
        <v>0</v>
      </c>
      <c r="I978">
        <f>B978*(hospitalityq!I978="")</f>
        <v>0</v>
      </c>
      <c r="J978">
        <f>B978*(hospitalityq!J978="")</f>
        <v>0</v>
      </c>
      <c r="K978">
        <f>B978*(hospitalityq!K978="")</f>
        <v>0</v>
      </c>
      <c r="L978">
        <f>B978*(hospitalityq!L978="")</f>
        <v>0</v>
      </c>
      <c r="M978">
        <f>B978*(hospitalityq!M978="")</f>
        <v>0</v>
      </c>
      <c r="N978">
        <f>B978*(hospitalityq!N978="")</f>
        <v>0</v>
      </c>
      <c r="O978">
        <f>B978*(hospitalityq!O978="")</f>
        <v>0</v>
      </c>
      <c r="P978">
        <f>B978*(hospitalityq!P978="")</f>
        <v>0</v>
      </c>
      <c r="Q978">
        <f>B978*(hospitalityq!Q978="")</f>
        <v>0</v>
      </c>
      <c r="R978">
        <f>B978*(hospitalityq!R978="")</f>
        <v>0</v>
      </c>
    </row>
    <row r="979" spans="1:18" x14ac:dyDescent="0.25">
      <c r="A979">
        <f t="shared" si="16"/>
        <v>0</v>
      </c>
      <c r="B979" t="b">
        <f>SUMPRODUCT(LEN(hospitalityq!C979:R979))&gt;0</f>
        <v>0</v>
      </c>
      <c r="C979">
        <f>B979*(hospitalityq!C979="")</f>
        <v>0</v>
      </c>
      <c r="E979">
        <f>B979*(hospitalityq!E979="")</f>
        <v>0</v>
      </c>
      <c r="F979">
        <f>B979*(hospitalityq!F979="")</f>
        <v>0</v>
      </c>
      <c r="G979">
        <f>B979*(hospitalityq!G979="")</f>
        <v>0</v>
      </c>
      <c r="H979">
        <f>B979*(hospitalityq!H979="")</f>
        <v>0</v>
      </c>
      <c r="I979">
        <f>B979*(hospitalityq!I979="")</f>
        <v>0</v>
      </c>
      <c r="J979">
        <f>B979*(hospitalityq!J979="")</f>
        <v>0</v>
      </c>
      <c r="K979">
        <f>B979*(hospitalityq!K979="")</f>
        <v>0</v>
      </c>
      <c r="L979">
        <f>B979*(hospitalityq!L979="")</f>
        <v>0</v>
      </c>
      <c r="M979">
        <f>B979*(hospitalityq!M979="")</f>
        <v>0</v>
      </c>
      <c r="N979">
        <f>B979*(hospitalityq!N979="")</f>
        <v>0</v>
      </c>
      <c r="O979">
        <f>B979*(hospitalityq!O979="")</f>
        <v>0</v>
      </c>
      <c r="P979">
        <f>B979*(hospitalityq!P979="")</f>
        <v>0</v>
      </c>
      <c r="Q979">
        <f>B979*(hospitalityq!Q979="")</f>
        <v>0</v>
      </c>
      <c r="R979">
        <f>B979*(hospitalityq!R979="")</f>
        <v>0</v>
      </c>
    </row>
    <row r="980" spans="1:18" x14ac:dyDescent="0.25">
      <c r="A980">
        <f t="shared" si="16"/>
        <v>0</v>
      </c>
      <c r="B980" t="b">
        <f>SUMPRODUCT(LEN(hospitalityq!C980:R980))&gt;0</f>
        <v>0</v>
      </c>
      <c r="C980">
        <f>B980*(hospitalityq!C980="")</f>
        <v>0</v>
      </c>
      <c r="E980">
        <f>B980*(hospitalityq!E980="")</f>
        <v>0</v>
      </c>
      <c r="F980">
        <f>B980*(hospitalityq!F980="")</f>
        <v>0</v>
      </c>
      <c r="G980">
        <f>B980*(hospitalityq!G980="")</f>
        <v>0</v>
      </c>
      <c r="H980">
        <f>B980*(hospitalityq!H980="")</f>
        <v>0</v>
      </c>
      <c r="I980">
        <f>B980*(hospitalityq!I980="")</f>
        <v>0</v>
      </c>
      <c r="J980">
        <f>B980*(hospitalityq!J980="")</f>
        <v>0</v>
      </c>
      <c r="K980">
        <f>B980*(hospitalityq!K980="")</f>
        <v>0</v>
      </c>
      <c r="L980">
        <f>B980*(hospitalityq!L980="")</f>
        <v>0</v>
      </c>
      <c r="M980">
        <f>B980*(hospitalityq!M980="")</f>
        <v>0</v>
      </c>
      <c r="N980">
        <f>B980*(hospitalityq!N980="")</f>
        <v>0</v>
      </c>
      <c r="O980">
        <f>B980*(hospitalityq!O980="")</f>
        <v>0</v>
      </c>
      <c r="P980">
        <f>B980*(hospitalityq!P980="")</f>
        <v>0</v>
      </c>
      <c r="Q980">
        <f>B980*(hospitalityq!Q980="")</f>
        <v>0</v>
      </c>
      <c r="R980">
        <f>B980*(hospitalityq!R980="")</f>
        <v>0</v>
      </c>
    </row>
    <row r="981" spans="1:18" x14ac:dyDescent="0.25">
      <c r="A981">
        <f t="shared" si="16"/>
        <v>0</v>
      </c>
      <c r="B981" t="b">
        <f>SUMPRODUCT(LEN(hospitalityq!C981:R981))&gt;0</f>
        <v>0</v>
      </c>
      <c r="C981">
        <f>B981*(hospitalityq!C981="")</f>
        <v>0</v>
      </c>
      <c r="E981">
        <f>B981*(hospitalityq!E981="")</f>
        <v>0</v>
      </c>
      <c r="F981">
        <f>B981*(hospitalityq!F981="")</f>
        <v>0</v>
      </c>
      <c r="G981">
        <f>B981*(hospitalityq!G981="")</f>
        <v>0</v>
      </c>
      <c r="H981">
        <f>B981*(hospitalityq!H981="")</f>
        <v>0</v>
      </c>
      <c r="I981">
        <f>B981*(hospitalityq!I981="")</f>
        <v>0</v>
      </c>
      <c r="J981">
        <f>B981*(hospitalityq!J981="")</f>
        <v>0</v>
      </c>
      <c r="K981">
        <f>B981*(hospitalityq!K981="")</f>
        <v>0</v>
      </c>
      <c r="L981">
        <f>B981*(hospitalityq!L981="")</f>
        <v>0</v>
      </c>
      <c r="M981">
        <f>B981*(hospitalityq!M981="")</f>
        <v>0</v>
      </c>
      <c r="N981">
        <f>B981*(hospitalityq!N981="")</f>
        <v>0</v>
      </c>
      <c r="O981">
        <f>B981*(hospitalityq!O981="")</f>
        <v>0</v>
      </c>
      <c r="P981">
        <f>B981*(hospitalityq!P981="")</f>
        <v>0</v>
      </c>
      <c r="Q981">
        <f>B981*(hospitalityq!Q981="")</f>
        <v>0</v>
      </c>
      <c r="R981">
        <f>B981*(hospitalityq!R981="")</f>
        <v>0</v>
      </c>
    </row>
    <row r="982" spans="1:18" x14ac:dyDescent="0.25">
      <c r="A982">
        <f t="shared" si="16"/>
        <v>0</v>
      </c>
      <c r="B982" t="b">
        <f>SUMPRODUCT(LEN(hospitalityq!C982:R982))&gt;0</f>
        <v>0</v>
      </c>
      <c r="C982">
        <f>B982*(hospitalityq!C982="")</f>
        <v>0</v>
      </c>
      <c r="E982">
        <f>B982*(hospitalityq!E982="")</f>
        <v>0</v>
      </c>
      <c r="F982">
        <f>B982*(hospitalityq!F982="")</f>
        <v>0</v>
      </c>
      <c r="G982">
        <f>B982*(hospitalityq!G982="")</f>
        <v>0</v>
      </c>
      <c r="H982">
        <f>B982*(hospitalityq!H982="")</f>
        <v>0</v>
      </c>
      <c r="I982">
        <f>B982*(hospitalityq!I982="")</f>
        <v>0</v>
      </c>
      <c r="J982">
        <f>B982*(hospitalityq!J982="")</f>
        <v>0</v>
      </c>
      <c r="K982">
        <f>B982*(hospitalityq!K982="")</f>
        <v>0</v>
      </c>
      <c r="L982">
        <f>B982*(hospitalityq!L982="")</f>
        <v>0</v>
      </c>
      <c r="M982">
        <f>B982*(hospitalityq!M982="")</f>
        <v>0</v>
      </c>
      <c r="N982">
        <f>B982*(hospitalityq!N982="")</f>
        <v>0</v>
      </c>
      <c r="O982">
        <f>B982*(hospitalityq!O982="")</f>
        <v>0</v>
      </c>
      <c r="P982">
        <f>B982*(hospitalityq!P982="")</f>
        <v>0</v>
      </c>
      <c r="Q982">
        <f>B982*(hospitalityq!Q982="")</f>
        <v>0</v>
      </c>
      <c r="R982">
        <f>B982*(hospitalityq!R982="")</f>
        <v>0</v>
      </c>
    </row>
    <row r="983" spans="1:18" x14ac:dyDescent="0.25">
      <c r="A983">
        <f t="shared" si="16"/>
        <v>0</v>
      </c>
      <c r="B983" t="b">
        <f>SUMPRODUCT(LEN(hospitalityq!C983:R983))&gt;0</f>
        <v>0</v>
      </c>
      <c r="C983">
        <f>B983*(hospitalityq!C983="")</f>
        <v>0</v>
      </c>
      <c r="E983">
        <f>B983*(hospitalityq!E983="")</f>
        <v>0</v>
      </c>
      <c r="F983">
        <f>B983*(hospitalityq!F983="")</f>
        <v>0</v>
      </c>
      <c r="G983">
        <f>B983*(hospitalityq!G983="")</f>
        <v>0</v>
      </c>
      <c r="H983">
        <f>B983*(hospitalityq!H983="")</f>
        <v>0</v>
      </c>
      <c r="I983">
        <f>B983*(hospitalityq!I983="")</f>
        <v>0</v>
      </c>
      <c r="J983">
        <f>B983*(hospitalityq!J983="")</f>
        <v>0</v>
      </c>
      <c r="K983">
        <f>B983*(hospitalityq!K983="")</f>
        <v>0</v>
      </c>
      <c r="L983">
        <f>B983*(hospitalityq!L983="")</f>
        <v>0</v>
      </c>
      <c r="M983">
        <f>B983*(hospitalityq!M983="")</f>
        <v>0</v>
      </c>
      <c r="N983">
        <f>B983*(hospitalityq!N983="")</f>
        <v>0</v>
      </c>
      <c r="O983">
        <f>B983*(hospitalityq!O983="")</f>
        <v>0</v>
      </c>
      <c r="P983">
        <f>B983*(hospitalityq!P983="")</f>
        <v>0</v>
      </c>
      <c r="Q983">
        <f>B983*(hospitalityq!Q983="")</f>
        <v>0</v>
      </c>
      <c r="R983">
        <f>B983*(hospitalityq!R983="")</f>
        <v>0</v>
      </c>
    </row>
    <row r="984" spans="1:18" x14ac:dyDescent="0.25">
      <c r="A984">
        <f t="shared" si="16"/>
        <v>0</v>
      </c>
      <c r="B984" t="b">
        <f>SUMPRODUCT(LEN(hospitalityq!C984:R984))&gt;0</f>
        <v>0</v>
      </c>
      <c r="C984">
        <f>B984*(hospitalityq!C984="")</f>
        <v>0</v>
      </c>
      <c r="E984">
        <f>B984*(hospitalityq!E984="")</f>
        <v>0</v>
      </c>
      <c r="F984">
        <f>B984*(hospitalityq!F984="")</f>
        <v>0</v>
      </c>
      <c r="G984">
        <f>B984*(hospitalityq!G984="")</f>
        <v>0</v>
      </c>
      <c r="H984">
        <f>B984*(hospitalityq!H984="")</f>
        <v>0</v>
      </c>
      <c r="I984">
        <f>B984*(hospitalityq!I984="")</f>
        <v>0</v>
      </c>
      <c r="J984">
        <f>B984*(hospitalityq!J984="")</f>
        <v>0</v>
      </c>
      <c r="K984">
        <f>B984*(hospitalityq!K984="")</f>
        <v>0</v>
      </c>
      <c r="L984">
        <f>B984*(hospitalityq!L984="")</f>
        <v>0</v>
      </c>
      <c r="M984">
        <f>B984*(hospitalityq!M984="")</f>
        <v>0</v>
      </c>
      <c r="N984">
        <f>B984*(hospitalityq!N984="")</f>
        <v>0</v>
      </c>
      <c r="O984">
        <f>B984*(hospitalityq!O984="")</f>
        <v>0</v>
      </c>
      <c r="P984">
        <f>B984*(hospitalityq!P984="")</f>
        <v>0</v>
      </c>
      <c r="Q984">
        <f>B984*(hospitalityq!Q984="")</f>
        <v>0</v>
      </c>
      <c r="R984">
        <f>B984*(hospitalityq!R984="")</f>
        <v>0</v>
      </c>
    </row>
    <row r="985" spans="1:18" x14ac:dyDescent="0.25">
      <c r="A985">
        <f t="shared" si="16"/>
        <v>0</v>
      </c>
      <c r="B985" t="b">
        <f>SUMPRODUCT(LEN(hospitalityq!C985:R985))&gt;0</f>
        <v>0</v>
      </c>
      <c r="C985">
        <f>B985*(hospitalityq!C985="")</f>
        <v>0</v>
      </c>
      <c r="E985">
        <f>B985*(hospitalityq!E985="")</f>
        <v>0</v>
      </c>
      <c r="F985">
        <f>B985*(hospitalityq!F985="")</f>
        <v>0</v>
      </c>
      <c r="G985">
        <f>B985*(hospitalityq!G985="")</f>
        <v>0</v>
      </c>
      <c r="H985">
        <f>B985*(hospitalityq!H985="")</f>
        <v>0</v>
      </c>
      <c r="I985">
        <f>B985*(hospitalityq!I985="")</f>
        <v>0</v>
      </c>
      <c r="J985">
        <f>B985*(hospitalityq!J985="")</f>
        <v>0</v>
      </c>
      <c r="K985">
        <f>B985*(hospitalityq!K985="")</f>
        <v>0</v>
      </c>
      <c r="L985">
        <f>B985*(hospitalityq!L985="")</f>
        <v>0</v>
      </c>
      <c r="M985">
        <f>B985*(hospitalityq!M985="")</f>
        <v>0</v>
      </c>
      <c r="N985">
        <f>B985*(hospitalityq!N985="")</f>
        <v>0</v>
      </c>
      <c r="O985">
        <f>B985*(hospitalityq!O985="")</f>
        <v>0</v>
      </c>
      <c r="P985">
        <f>B985*(hospitalityq!P985="")</f>
        <v>0</v>
      </c>
      <c r="Q985">
        <f>B985*(hospitalityq!Q985="")</f>
        <v>0</v>
      </c>
      <c r="R985">
        <f>B985*(hospitalityq!R985="")</f>
        <v>0</v>
      </c>
    </row>
    <row r="986" spans="1:18" x14ac:dyDescent="0.25">
      <c r="A986">
        <f t="shared" si="16"/>
        <v>0</v>
      </c>
      <c r="B986" t="b">
        <f>SUMPRODUCT(LEN(hospitalityq!C986:R986))&gt;0</f>
        <v>0</v>
      </c>
      <c r="C986">
        <f>B986*(hospitalityq!C986="")</f>
        <v>0</v>
      </c>
      <c r="E986">
        <f>B986*(hospitalityq!E986="")</f>
        <v>0</v>
      </c>
      <c r="F986">
        <f>B986*(hospitalityq!F986="")</f>
        <v>0</v>
      </c>
      <c r="G986">
        <f>B986*(hospitalityq!G986="")</f>
        <v>0</v>
      </c>
      <c r="H986">
        <f>B986*(hospitalityq!H986="")</f>
        <v>0</v>
      </c>
      <c r="I986">
        <f>B986*(hospitalityq!I986="")</f>
        <v>0</v>
      </c>
      <c r="J986">
        <f>B986*(hospitalityq!J986="")</f>
        <v>0</v>
      </c>
      <c r="K986">
        <f>B986*(hospitalityq!K986="")</f>
        <v>0</v>
      </c>
      <c r="L986">
        <f>B986*(hospitalityq!L986="")</f>
        <v>0</v>
      </c>
      <c r="M986">
        <f>B986*(hospitalityq!M986="")</f>
        <v>0</v>
      </c>
      <c r="N986">
        <f>B986*(hospitalityq!N986="")</f>
        <v>0</v>
      </c>
      <c r="O986">
        <f>B986*(hospitalityq!O986="")</f>
        <v>0</v>
      </c>
      <c r="P986">
        <f>B986*(hospitalityq!P986="")</f>
        <v>0</v>
      </c>
      <c r="Q986">
        <f>B986*(hospitalityq!Q986="")</f>
        <v>0</v>
      </c>
      <c r="R986">
        <f>B986*(hospitalityq!R986="")</f>
        <v>0</v>
      </c>
    </row>
    <row r="987" spans="1:18" x14ac:dyDescent="0.25">
      <c r="A987">
        <f t="shared" si="16"/>
        <v>0</v>
      </c>
      <c r="B987" t="b">
        <f>SUMPRODUCT(LEN(hospitalityq!C987:R987))&gt;0</f>
        <v>0</v>
      </c>
      <c r="C987">
        <f>B987*(hospitalityq!C987="")</f>
        <v>0</v>
      </c>
      <c r="E987">
        <f>B987*(hospitalityq!E987="")</f>
        <v>0</v>
      </c>
      <c r="F987">
        <f>B987*(hospitalityq!F987="")</f>
        <v>0</v>
      </c>
      <c r="G987">
        <f>B987*(hospitalityq!G987="")</f>
        <v>0</v>
      </c>
      <c r="H987">
        <f>B987*(hospitalityq!H987="")</f>
        <v>0</v>
      </c>
      <c r="I987">
        <f>B987*(hospitalityq!I987="")</f>
        <v>0</v>
      </c>
      <c r="J987">
        <f>B987*(hospitalityq!J987="")</f>
        <v>0</v>
      </c>
      <c r="K987">
        <f>B987*(hospitalityq!K987="")</f>
        <v>0</v>
      </c>
      <c r="L987">
        <f>B987*(hospitalityq!L987="")</f>
        <v>0</v>
      </c>
      <c r="M987">
        <f>B987*(hospitalityq!M987="")</f>
        <v>0</v>
      </c>
      <c r="N987">
        <f>B987*(hospitalityq!N987="")</f>
        <v>0</v>
      </c>
      <c r="O987">
        <f>B987*(hospitalityq!O987="")</f>
        <v>0</v>
      </c>
      <c r="P987">
        <f>B987*(hospitalityq!P987="")</f>
        <v>0</v>
      </c>
      <c r="Q987">
        <f>B987*(hospitalityq!Q987="")</f>
        <v>0</v>
      </c>
      <c r="R987">
        <f>B987*(hospitalityq!R987="")</f>
        <v>0</v>
      </c>
    </row>
    <row r="988" spans="1:18" x14ac:dyDescent="0.25">
      <c r="A988">
        <f t="shared" si="16"/>
        <v>0</v>
      </c>
      <c r="B988" t="b">
        <f>SUMPRODUCT(LEN(hospitalityq!C988:R988))&gt;0</f>
        <v>0</v>
      </c>
      <c r="C988">
        <f>B988*(hospitalityq!C988="")</f>
        <v>0</v>
      </c>
      <c r="E988">
        <f>B988*(hospitalityq!E988="")</f>
        <v>0</v>
      </c>
      <c r="F988">
        <f>B988*(hospitalityq!F988="")</f>
        <v>0</v>
      </c>
      <c r="G988">
        <f>B988*(hospitalityq!G988="")</f>
        <v>0</v>
      </c>
      <c r="H988">
        <f>B988*(hospitalityq!H988="")</f>
        <v>0</v>
      </c>
      <c r="I988">
        <f>B988*(hospitalityq!I988="")</f>
        <v>0</v>
      </c>
      <c r="J988">
        <f>B988*(hospitalityq!J988="")</f>
        <v>0</v>
      </c>
      <c r="K988">
        <f>B988*(hospitalityq!K988="")</f>
        <v>0</v>
      </c>
      <c r="L988">
        <f>B988*(hospitalityq!L988="")</f>
        <v>0</v>
      </c>
      <c r="M988">
        <f>B988*(hospitalityq!M988="")</f>
        <v>0</v>
      </c>
      <c r="N988">
        <f>B988*(hospitalityq!N988="")</f>
        <v>0</v>
      </c>
      <c r="O988">
        <f>B988*(hospitalityq!O988="")</f>
        <v>0</v>
      </c>
      <c r="P988">
        <f>B988*(hospitalityq!P988="")</f>
        <v>0</v>
      </c>
      <c r="Q988">
        <f>B988*(hospitalityq!Q988="")</f>
        <v>0</v>
      </c>
      <c r="R988">
        <f>B988*(hospitalityq!R988="")</f>
        <v>0</v>
      </c>
    </row>
    <row r="989" spans="1:18" x14ac:dyDescent="0.25">
      <c r="A989">
        <f t="shared" si="16"/>
        <v>0</v>
      </c>
      <c r="B989" t="b">
        <f>SUMPRODUCT(LEN(hospitalityq!C989:R989))&gt;0</f>
        <v>0</v>
      </c>
      <c r="C989">
        <f>B989*(hospitalityq!C989="")</f>
        <v>0</v>
      </c>
      <c r="E989">
        <f>B989*(hospitalityq!E989="")</f>
        <v>0</v>
      </c>
      <c r="F989">
        <f>B989*(hospitalityq!F989="")</f>
        <v>0</v>
      </c>
      <c r="G989">
        <f>B989*(hospitalityq!G989="")</f>
        <v>0</v>
      </c>
      <c r="H989">
        <f>B989*(hospitalityq!H989="")</f>
        <v>0</v>
      </c>
      <c r="I989">
        <f>B989*(hospitalityq!I989="")</f>
        <v>0</v>
      </c>
      <c r="J989">
        <f>B989*(hospitalityq!J989="")</f>
        <v>0</v>
      </c>
      <c r="K989">
        <f>B989*(hospitalityq!K989="")</f>
        <v>0</v>
      </c>
      <c r="L989">
        <f>B989*(hospitalityq!L989="")</f>
        <v>0</v>
      </c>
      <c r="M989">
        <f>B989*(hospitalityq!M989="")</f>
        <v>0</v>
      </c>
      <c r="N989">
        <f>B989*(hospitalityq!N989="")</f>
        <v>0</v>
      </c>
      <c r="O989">
        <f>B989*(hospitalityq!O989="")</f>
        <v>0</v>
      </c>
      <c r="P989">
        <f>B989*(hospitalityq!P989="")</f>
        <v>0</v>
      </c>
      <c r="Q989">
        <f>B989*(hospitalityq!Q989="")</f>
        <v>0</v>
      </c>
      <c r="R989">
        <f>B989*(hospitalityq!R989="")</f>
        <v>0</v>
      </c>
    </row>
    <row r="990" spans="1:18" x14ac:dyDescent="0.25">
      <c r="A990">
        <f t="shared" si="16"/>
        <v>0</v>
      </c>
      <c r="B990" t="b">
        <f>SUMPRODUCT(LEN(hospitalityq!C990:R990))&gt;0</f>
        <v>0</v>
      </c>
      <c r="C990">
        <f>B990*(hospitalityq!C990="")</f>
        <v>0</v>
      </c>
      <c r="E990">
        <f>B990*(hospitalityq!E990="")</f>
        <v>0</v>
      </c>
      <c r="F990">
        <f>B990*(hospitalityq!F990="")</f>
        <v>0</v>
      </c>
      <c r="G990">
        <f>B990*(hospitalityq!G990="")</f>
        <v>0</v>
      </c>
      <c r="H990">
        <f>B990*(hospitalityq!H990="")</f>
        <v>0</v>
      </c>
      <c r="I990">
        <f>B990*(hospitalityq!I990="")</f>
        <v>0</v>
      </c>
      <c r="J990">
        <f>B990*(hospitalityq!J990="")</f>
        <v>0</v>
      </c>
      <c r="K990">
        <f>B990*(hospitalityq!K990="")</f>
        <v>0</v>
      </c>
      <c r="L990">
        <f>B990*(hospitalityq!L990="")</f>
        <v>0</v>
      </c>
      <c r="M990">
        <f>B990*(hospitalityq!M990="")</f>
        <v>0</v>
      </c>
      <c r="N990">
        <f>B990*(hospitalityq!N990="")</f>
        <v>0</v>
      </c>
      <c r="O990">
        <f>B990*(hospitalityq!O990="")</f>
        <v>0</v>
      </c>
      <c r="P990">
        <f>B990*(hospitalityq!P990="")</f>
        <v>0</v>
      </c>
      <c r="Q990">
        <f>B990*(hospitalityq!Q990="")</f>
        <v>0</v>
      </c>
      <c r="R990">
        <f>B990*(hospitalityq!R990="")</f>
        <v>0</v>
      </c>
    </row>
    <row r="991" spans="1:18" x14ac:dyDescent="0.25">
      <c r="A991">
        <f t="shared" si="16"/>
        <v>0</v>
      </c>
      <c r="B991" t="b">
        <f>SUMPRODUCT(LEN(hospitalityq!C991:R991))&gt;0</f>
        <v>0</v>
      </c>
      <c r="C991">
        <f>B991*(hospitalityq!C991="")</f>
        <v>0</v>
      </c>
      <c r="E991">
        <f>B991*(hospitalityq!E991="")</f>
        <v>0</v>
      </c>
      <c r="F991">
        <f>B991*(hospitalityq!F991="")</f>
        <v>0</v>
      </c>
      <c r="G991">
        <f>B991*(hospitalityq!G991="")</f>
        <v>0</v>
      </c>
      <c r="H991">
        <f>B991*(hospitalityq!H991="")</f>
        <v>0</v>
      </c>
      <c r="I991">
        <f>B991*(hospitalityq!I991="")</f>
        <v>0</v>
      </c>
      <c r="J991">
        <f>B991*(hospitalityq!J991="")</f>
        <v>0</v>
      </c>
      <c r="K991">
        <f>B991*(hospitalityq!K991="")</f>
        <v>0</v>
      </c>
      <c r="L991">
        <f>B991*(hospitalityq!L991="")</f>
        <v>0</v>
      </c>
      <c r="M991">
        <f>B991*(hospitalityq!M991="")</f>
        <v>0</v>
      </c>
      <c r="N991">
        <f>B991*(hospitalityq!N991="")</f>
        <v>0</v>
      </c>
      <c r="O991">
        <f>B991*(hospitalityq!O991="")</f>
        <v>0</v>
      </c>
      <c r="P991">
        <f>B991*(hospitalityq!P991="")</f>
        <v>0</v>
      </c>
      <c r="Q991">
        <f>B991*(hospitalityq!Q991="")</f>
        <v>0</v>
      </c>
      <c r="R991">
        <f>B991*(hospitalityq!R991="")</f>
        <v>0</v>
      </c>
    </row>
    <row r="992" spans="1:18" x14ac:dyDescent="0.25">
      <c r="A992">
        <f t="shared" si="16"/>
        <v>0</v>
      </c>
      <c r="B992" t="b">
        <f>SUMPRODUCT(LEN(hospitalityq!C992:R992))&gt;0</f>
        <v>0</v>
      </c>
      <c r="C992">
        <f>B992*(hospitalityq!C992="")</f>
        <v>0</v>
      </c>
      <c r="E992">
        <f>B992*(hospitalityq!E992="")</f>
        <v>0</v>
      </c>
      <c r="F992">
        <f>B992*(hospitalityq!F992="")</f>
        <v>0</v>
      </c>
      <c r="G992">
        <f>B992*(hospitalityq!G992="")</f>
        <v>0</v>
      </c>
      <c r="H992">
        <f>B992*(hospitalityq!H992="")</f>
        <v>0</v>
      </c>
      <c r="I992">
        <f>B992*(hospitalityq!I992="")</f>
        <v>0</v>
      </c>
      <c r="J992">
        <f>B992*(hospitalityq!J992="")</f>
        <v>0</v>
      </c>
      <c r="K992">
        <f>B992*(hospitalityq!K992="")</f>
        <v>0</v>
      </c>
      <c r="L992">
        <f>B992*(hospitalityq!L992="")</f>
        <v>0</v>
      </c>
      <c r="M992">
        <f>B992*(hospitalityq!M992="")</f>
        <v>0</v>
      </c>
      <c r="N992">
        <f>B992*(hospitalityq!N992="")</f>
        <v>0</v>
      </c>
      <c r="O992">
        <f>B992*(hospitalityq!O992="")</f>
        <v>0</v>
      </c>
      <c r="P992">
        <f>B992*(hospitalityq!P992="")</f>
        <v>0</v>
      </c>
      <c r="Q992">
        <f>B992*(hospitalityq!Q992="")</f>
        <v>0</v>
      </c>
      <c r="R992">
        <f>B992*(hospitalityq!R992="")</f>
        <v>0</v>
      </c>
    </row>
    <row r="993" spans="1:18" x14ac:dyDescent="0.25">
      <c r="A993">
        <f t="shared" si="16"/>
        <v>0</v>
      </c>
      <c r="B993" t="b">
        <f>SUMPRODUCT(LEN(hospitalityq!C993:R993))&gt;0</f>
        <v>0</v>
      </c>
      <c r="C993">
        <f>B993*(hospitalityq!C993="")</f>
        <v>0</v>
      </c>
      <c r="E993">
        <f>B993*(hospitalityq!E993="")</f>
        <v>0</v>
      </c>
      <c r="F993">
        <f>B993*(hospitalityq!F993="")</f>
        <v>0</v>
      </c>
      <c r="G993">
        <f>B993*(hospitalityq!G993="")</f>
        <v>0</v>
      </c>
      <c r="H993">
        <f>B993*(hospitalityq!H993="")</f>
        <v>0</v>
      </c>
      <c r="I993">
        <f>B993*(hospitalityq!I993="")</f>
        <v>0</v>
      </c>
      <c r="J993">
        <f>B993*(hospitalityq!J993="")</f>
        <v>0</v>
      </c>
      <c r="K993">
        <f>B993*(hospitalityq!K993="")</f>
        <v>0</v>
      </c>
      <c r="L993">
        <f>B993*(hospitalityq!L993="")</f>
        <v>0</v>
      </c>
      <c r="M993">
        <f>B993*(hospitalityq!M993="")</f>
        <v>0</v>
      </c>
      <c r="N993">
        <f>B993*(hospitalityq!N993="")</f>
        <v>0</v>
      </c>
      <c r="O993">
        <f>B993*(hospitalityq!O993="")</f>
        <v>0</v>
      </c>
      <c r="P993">
        <f>B993*(hospitalityq!P993="")</f>
        <v>0</v>
      </c>
      <c r="Q993">
        <f>B993*(hospitalityq!Q993="")</f>
        <v>0</v>
      </c>
      <c r="R993">
        <f>B993*(hospitalityq!R993="")</f>
        <v>0</v>
      </c>
    </row>
    <row r="994" spans="1:18" x14ac:dyDescent="0.25">
      <c r="A994">
        <f t="shared" si="16"/>
        <v>0</v>
      </c>
      <c r="B994" t="b">
        <f>SUMPRODUCT(LEN(hospitalityq!C994:R994))&gt;0</f>
        <v>0</v>
      </c>
      <c r="C994">
        <f>B994*(hospitalityq!C994="")</f>
        <v>0</v>
      </c>
      <c r="E994">
        <f>B994*(hospitalityq!E994="")</f>
        <v>0</v>
      </c>
      <c r="F994">
        <f>B994*(hospitalityq!F994="")</f>
        <v>0</v>
      </c>
      <c r="G994">
        <f>B994*(hospitalityq!G994="")</f>
        <v>0</v>
      </c>
      <c r="H994">
        <f>B994*(hospitalityq!H994="")</f>
        <v>0</v>
      </c>
      <c r="I994">
        <f>B994*(hospitalityq!I994="")</f>
        <v>0</v>
      </c>
      <c r="J994">
        <f>B994*(hospitalityq!J994="")</f>
        <v>0</v>
      </c>
      <c r="K994">
        <f>B994*(hospitalityq!K994="")</f>
        <v>0</v>
      </c>
      <c r="L994">
        <f>B994*(hospitalityq!L994="")</f>
        <v>0</v>
      </c>
      <c r="M994">
        <f>B994*(hospitalityq!M994="")</f>
        <v>0</v>
      </c>
      <c r="N994">
        <f>B994*(hospitalityq!N994="")</f>
        <v>0</v>
      </c>
      <c r="O994">
        <f>B994*(hospitalityq!O994="")</f>
        <v>0</v>
      </c>
      <c r="P994">
        <f>B994*(hospitalityq!P994="")</f>
        <v>0</v>
      </c>
      <c r="Q994">
        <f>B994*(hospitalityq!Q994="")</f>
        <v>0</v>
      </c>
      <c r="R994">
        <f>B994*(hospitalityq!R994="")</f>
        <v>0</v>
      </c>
    </row>
    <row r="995" spans="1:18" x14ac:dyDescent="0.25">
      <c r="A995">
        <f t="shared" si="16"/>
        <v>0</v>
      </c>
      <c r="B995" t="b">
        <f>SUMPRODUCT(LEN(hospitalityq!C995:R995))&gt;0</f>
        <v>0</v>
      </c>
      <c r="C995">
        <f>B995*(hospitalityq!C995="")</f>
        <v>0</v>
      </c>
      <c r="E995">
        <f>B995*(hospitalityq!E995="")</f>
        <v>0</v>
      </c>
      <c r="F995">
        <f>B995*(hospitalityq!F995="")</f>
        <v>0</v>
      </c>
      <c r="G995">
        <f>B995*(hospitalityq!G995="")</f>
        <v>0</v>
      </c>
      <c r="H995">
        <f>B995*(hospitalityq!H995="")</f>
        <v>0</v>
      </c>
      <c r="I995">
        <f>B995*(hospitalityq!I995="")</f>
        <v>0</v>
      </c>
      <c r="J995">
        <f>B995*(hospitalityq!J995="")</f>
        <v>0</v>
      </c>
      <c r="K995">
        <f>B995*(hospitalityq!K995="")</f>
        <v>0</v>
      </c>
      <c r="L995">
        <f>B995*(hospitalityq!L995="")</f>
        <v>0</v>
      </c>
      <c r="M995">
        <f>B995*(hospitalityq!M995="")</f>
        <v>0</v>
      </c>
      <c r="N995">
        <f>B995*(hospitalityq!N995="")</f>
        <v>0</v>
      </c>
      <c r="O995">
        <f>B995*(hospitalityq!O995="")</f>
        <v>0</v>
      </c>
      <c r="P995">
        <f>B995*(hospitalityq!P995="")</f>
        <v>0</v>
      </c>
      <c r="Q995">
        <f>B995*(hospitalityq!Q995="")</f>
        <v>0</v>
      </c>
      <c r="R995">
        <f>B995*(hospitalityq!R995="")</f>
        <v>0</v>
      </c>
    </row>
    <row r="996" spans="1:18" x14ac:dyDescent="0.25">
      <c r="A996">
        <f t="shared" si="16"/>
        <v>0</v>
      </c>
      <c r="B996" t="b">
        <f>SUMPRODUCT(LEN(hospitalityq!C996:R996))&gt;0</f>
        <v>0</v>
      </c>
      <c r="C996">
        <f>B996*(hospitalityq!C996="")</f>
        <v>0</v>
      </c>
      <c r="E996">
        <f>B996*(hospitalityq!E996="")</f>
        <v>0</v>
      </c>
      <c r="F996">
        <f>B996*(hospitalityq!F996="")</f>
        <v>0</v>
      </c>
      <c r="G996">
        <f>B996*(hospitalityq!G996="")</f>
        <v>0</v>
      </c>
      <c r="H996">
        <f>B996*(hospitalityq!H996="")</f>
        <v>0</v>
      </c>
      <c r="I996">
        <f>B996*(hospitalityq!I996="")</f>
        <v>0</v>
      </c>
      <c r="J996">
        <f>B996*(hospitalityq!J996="")</f>
        <v>0</v>
      </c>
      <c r="K996">
        <f>B996*(hospitalityq!K996="")</f>
        <v>0</v>
      </c>
      <c r="L996">
        <f>B996*(hospitalityq!L996="")</f>
        <v>0</v>
      </c>
      <c r="M996">
        <f>B996*(hospitalityq!M996="")</f>
        <v>0</v>
      </c>
      <c r="N996">
        <f>B996*(hospitalityq!N996="")</f>
        <v>0</v>
      </c>
      <c r="O996">
        <f>B996*(hospitalityq!O996="")</f>
        <v>0</v>
      </c>
      <c r="P996">
        <f>B996*(hospitalityq!P996="")</f>
        <v>0</v>
      </c>
      <c r="Q996">
        <f>B996*(hospitalityq!Q996="")</f>
        <v>0</v>
      </c>
      <c r="R996">
        <f>B996*(hospitalityq!R996="")</f>
        <v>0</v>
      </c>
    </row>
    <row r="997" spans="1:18" x14ac:dyDescent="0.25">
      <c r="A997">
        <f t="shared" si="16"/>
        <v>0</v>
      </c>
      <c r="B997" t="b">
        <f>SUMPRODUCT(LEN(hospitalityq!C997:R997))&gt;0</f>
        <v>0</v>
      </c>
      <c r="C997">
        <f>B997*(hospitalityq!C997="")</f>
        <v>0</v>
      </c>
      <c r="E997">
        <f>B997*(hospitalityq!E997="")</f>
        <v>0</v>
      </c>
      <c r="F997">
        <f>B997*(hospitalityq!F997="")</f>
        <v>0</v>
      </c>
      <c r="G997">
        <f>B997*(hospitalityq!G997="")</f>
        <v>0</v>
      </c>
      <c r="H997">
        <f>B997*(hospitalityq!H997="")</f>
        <v>0</v>
      </c>
      <c r="I997">
        <f>B997*(hospitalityq!I997="")</f>
        <v>0</v>
      </c>
      <c r="J997">
        <f>B997*(hospitalityq!J997="")</f>
        <v>0</v>
      </c>
      <c r="K997">
        <f>B997*(hospitalityq!K997="")</f>
        <v>0</v>
      </c>
      <c r="L997">
        <f>B997*(hospitalityq!L997="")</f>
        <v>0</v>
      </c>
      <c r="M997">
        <f>B997*(hospitalityq!M997="")</f>
        <v>0</v>
      </c>
      <c r="N997">
        <f>B997*(hospitalityq!N997="")</f>
        <v>0</v>
      </c>
      <c r="O997">
        <f>B997*(hospitalityq!O997="")</f>
        <v>0</v>
      </c>
      <c r="P997">
        <f>B997*(hospitalityq!P997="")</f>
        <v>0</v>
      </c>
      <c r="Q997">
        <f>B997*(hospitalityq!Q997="")</f>
        <v>0</v>
      </c>
      <c r="R997">
        <f>B997*(hospitalityq!R997="")</f>
        <v>0</v>
      </c>
    </row>
    <row r="998" spans="1:18" x14ac:dyDescent="0.25">
      <c r="A998">
        <f t="shared" si="16"/>
        <v>0</v>
      </c>
      <c r="B998" t="b">
        <f>SUMPRODUCT(LEN(hospitalityq!C998:R998))&gt;0</f>
        <v>0</v>
      </c>
      <c r="C998">
        <f>B998*(hospitalityq!C998="")</f>
        <v>0</v>
      </c>
      <c r="E998">
        <f>B998*(hospitalityq!E998="")</f>
        <v>0</v>
      </c>
      <c r="F998">
        <f>B998*(hospitalityq!F998="")</f>
        <v>0</v>
      </c>
      <c r="G998">
        <f>B998*(hospitalityq!G998="")</f>
        <v>0</v>
      </c>
      <c r="H998">
        <f>B998*(hospitalityq!H998="")</f>
        <v>0</v>
      </c>
      <c r="I998">
        <f>B998*(hospitalityq!I998="")</f>
        <v>0</v>
      </c>
      <c r="J998">
        <f>B998*(hospitalityq!J998="")</f>
        <v>0</v>
      </c>
      <c r="K998">
        <f>B998*(hospitalityq!K998="")</f>
        <v>0</v>
      </c>
      <c r="L998">
        <f>B998*(hospitalityq!L998="")</f>
        <v>0</v>
      </c>
      <c r="M998">
        <f>B998*(hospitalityq!M998="")</f>
        <v>0</v>
      </c>
      <c r="N998">
        <f>B998*(hospitalityq!N998="")</f>
        <v>0</v>
      </c>
      <c r="O998">
        <f>B998*(hospitalityq!O998="")</f>
        <v>0</v>
      </c>
      <c r="P998">
        <f>B998*(hospitalityq!P998="")</f>
        <v>0</v>
      </c>
      <c r="Q998">
        <f>B998*(hospitalityq!Q998="")</f>
        <v>0</v>
      </c>
      <c r="R998">
        <f>B998*(hospitalityq!R998="")</f>
        <v>0</v>
      </c>
    </row>
    <row r="999" spans="1:18" x14ac:dyDescent="0.25">
      <c r="A999">
        <f t="shared" si="16"/>
        <v>0</v>
      </c>
      <c r="B999" t="b">
        <f>SUMPRODUCT(LEN(hospitalityq!C999:R999))&gt;0</f>
        <v>0</v>
      </c>
      <c r="C999">
        <f>B999*(hospitalityq!C999="")</f>
        <v>0</v>
      </c>
      <c r="E999">
        <f>B999*(hospitalityq!E999="")</f>
        <v>0</v>
      </c>
      <c r="F999">
        <f>B999*(hospitalityq!F999="")</f>
        <v>0</v>
      </c>
      <c r="G999">
        <f>B999*(hospitalityq!G999="")</f>
        <v>0</v>
      </c>
      <c r="H999">
        <f>B999*(hospitalityq!H999="")</f>
        <v>0</v>
      </c>
      <c r="I999">
        <f>B999*(hospitalityq!I999="")</f>
        <v>0</v>
      </c>
      <c r="J999">
        <f>B999*(hospitalityq!J999="")</f>
        <v>0</v>
      </c>
      <c r="K999">
        <f>B999*(hospitalityq!K999="")</f>
        <v>0</v>
      </c>
      <c r="L999">
        <f>B999*(hospitalityq!L999="")</f>
        <v>0</v>
      </c>
      <c r="M999">
        <f>B999*(hospitalityq!M999="")</f>
        <v>0</v>
      </c>
      <c r="N999">
        <f>B999*(hospitalityq!N999="")</f>
        <v>0</v>
      </c>
      <c r="O999">
        <f>B999*(hospitalityq!O999="")</f>
        <v>0</v>
      </c>
      <c r="P999">
        <f>B999*(hospitalityq!P999="")</f>
        <v>0</v>
      </c>
      <c r="Q999">
        <f>B999*(hospitalityq!Q999="")</f>
        <v>0</v>
      </c>
      <c r="R999">
        <f>B999*(hospitalityq!R999="")</f>
        <v>0</v>
      </c>
    </row>
    <row r="1000" spans="1:18" x14ac:dyDescent="0.25">
      <c r="A1000">
        <f t="shared" si="16"/>
        <v>0</v>
      </c>
      <c r="B1000" t="b">
        <f>SUMPRODUCT(LEN(hospitalityq!C1000:R1000))&gt;0</f>
        <v>0</v>
      </c>
      <c r="C1000">
        <f>B1000*(hospitalityq!C1000="")</f>
        <v>0</v>
      </c>
      <c r="E1000">
        <f>B1000*(hospitalityq!E1000="")</f>
        <v>0</v>
      </c>
      <c r="F1000">
        <f>B1000*(hospitalityq!F1000="")</f>
        <v>0</v>
      </c>
      <c r="G1000">
        <f>B1000*(hospitalityq!G1000="")</f>
        <v>0</v>
      </c>
      <c r="H1000">
        <f>B1000*(hospitalityq!H1000="")</f>
        <v>0</v>
      </c>
      <c r="I1000">
        <f>B1000*(hospitalityq!I1000="")</f>
        <v>0</v>
      </c>
      <c r="J1000">
        <f>B1000*(hospitalityq!J1000="")</f>
        <v>0</v>
      </c>
      <c r="K1000">
        <f>B1000*(hospitalityq!K1000="")</f>
        <v>0</v>
      </c>
      <c r="L1000">
        <f>B1000*(hospitalityq!L1000="")</f>
        <v>0</v>
      </c>
      <c r="M1000">
        <f>B1000*(hospitalityq!M1000="")</f>
        <v>0</v>
      </c>
      <c r="N1000">
        <f>B1000*(hospitalityq!N1000="")</f>
        <v>0</v>
      </c>
      <c r="O1000">
        <f>B1000*(hospitalityq!O1000="")</f>
        <v>0</v>
      </c>
      <c r="P1000">
        <f>B1000*(hospitalityq!P1000="")</f>
        <v>0</v>
      </c>
      <c r="Q1000">
        <f>B1000*(hospitalityq!Q1000="")</f>
        <v>0</v>
      </c>
      <c r="R1000">
        <f>B1000*(hospitalityq!R1000="")</f>
        <v>0</v>
      </c>
    </row>
    <row r="1001" spans="1:18" x14ac:dyDescent="0.25">
      <c r="A1001">
        <f t="shared" si="16"/>
        <v>0</v>
      </c>
      <c r="B1001" t="b">
        <f>SUMPRODUCT(LEN(hospitalityq!C1001:R1001))&gt;0</f>
        <v>0</v>
      </c>
      <c r="C1001">
        <f>B1001*(hospitalityq!C1001="")</f>
        <v>0</v>
      </c>
      <c r="E1001">
        <f>B1001*(hospitalityq!E1001="")</f>
        <v>0</v>
      </c>
      <c r="F1001">
        <f>B1001*(hospitalityq!F1001="")</f>
        <v>0</v>
      </c>
      <c r="G1001">
        <f>B1001*(hospitalityq!G1001="")</f>
        <v>0</v>
      </c>
      <c r="H1001">
        <f>B1001*(hospitalityq!H1001="")</f>
        <v>0</v>
      </c>
      <c r="I1001">
        <f>B1001*(hospitalityq!I1001="")</f>
        <v>0</v>
      </c>
      <c r="J1001">
        <f>B1001*(hospitalityq!J1001="")</f>
        <v>0</v>
      </c>
      <c r="K1001">
        <f>B1001*(hospitalityq!K1001="")</f>
        <v>0</v>
      </c>
      <c r="L1001">
        <f>B1001*(hospitalityq!L1001="")</f>
        <v>0</v>
      </c>
      <c r="M1001">
        <f>B1001*(hospitalityq!M1001="")</f>
        <v>0</v>
      </c>
      <c r="N1001">
        <f>B1001*(hospitalityq!N1001="")</f>
        <v>0</v>
      </c>
      <c r="O1001">
        <f>B1001*(hospitalityq!O1001="")</f>
        <v>0</v>
      </c>
      <c r="P1001">
        <f>B1001*(hospitalityq!P1001="")</f>
        <v>0</v>
      </c>
      <c r="Q1001">
        <f>B1001*(hospitalityq!Q1001="")</f>
        <v>0</v>
      </c>
      <c r="R1001">
        <f>B1001*(hospitalityq!R1001="")</f>
        <v>0</v>
      </c>
    </row>
    <row r="1002" spans="1:18" x14ac:dyDescent="0.25">
      <c r="A1002">
        <f t="shared" si="16"/>
        <v>0</v>
      </c>
      <c r="B1002" t="b">
        <f>SUMPRODUCT(LEN(hospitalityq!C1002:R1002))&gt;0</f>
        <v>0</v>
      </c>
      <c r="C1002">
        <f>B1002*(hospitalityq!C1002="")</f>
        <v>0</v>
      </c>
      <c r="E1002">
        <f>B1002*(hospitalityq!E1002="")</f>
        <v>0</v>
      </c>
      <c r="F1002">
        <f>B1002*(hospitalityq!F1002="")</f>
        <v>0</v>
      </c>
      <c r="G1002">
        <f>B1002*(hospitalityq!G1002="")</f>
        <v>0</v>
      </c>
      <c r="H1002">
        <f>B1002*(hospitalityq!H1002="")</f>
        <v>0</v>
      </c>
      <c r="I1002">
        <f>B1002*(hospitalityq!I1002="")</f>
        <v>0</v>
      </c>
      <c r="J1002">
        <f>B1002*(hospitalityq!J1002="")</f>
        <v>0</v>
      </c>
      <c r="K1002">
        <f>B1002*(hospitalityq!K1002="")</f>
        <v>0</v>
      </c>
      <c r="L1002">
        <f>B1002*(hospitalityq!L1002="")</f>
        <v>0</v>
      </c>
      <c r="M1002">
        <f>B1002*(hospitalityq!M1002="")</f>
        <v>0</v>
      </c>
      <c r="N1002">
        <f>B1002*(hospitalityq!N1002="")</f>
        <v>0</v>
      </c>
      <c r="O1002">
        <f>B1002*(hospitalityq!O1002="")</f>
        <v>0</v>
      </c>
      <c r="P1002">
        <f>B1002*(hospitalityq!P1002="")</f>
        <v>0</v>
      </c>
      <c r="Q1002">
        <f>B1002*(hospitalityq!Q1002="")</f>
        <v>0</v>
      </c>
      <c r="R1002">
        <f>B1002*(hospitalityq!R1002="")</f>
        <v>0</v>
      </c>
    </row>
    <row r="1003" spans="1:18" x14ac:dyDescent="0.25">
      <c r="A1003">
        <f t="shared" si="16"/>
        <v>0</v>
      </c>
      <c r="B1003" t="b">
        <f>SUMPRODUCT(LEN(hospitalityq!C1003:R1003))&gt;0</f>
        <v>0</v>
      </c>
      <c r="C1003">
        <f>B1003*(hospitalityq!C1003="")</f>
        <v>0</v>
      </c>
      <c r="E1003">
        <f>B1003*(hospitalityq!E1003="")</f>
        <v>0</v>
      </c>
      <c r="F1003">
        <f>B1003*(hospitalityq!F1003="")</f>
        <v>0</v>
      </c>
      <c r="G1003">
        <f>B1003*(hospitalityq!G1003="")</f>
        <v>0</v>
      </c>
      <c r="H1003">
        <f>B1003*(hospitalityq!H1003="")</f>
        <v>0</v>
      </c>
      <c r="I1003">
        <f>B1003*(hospitalityq!I1003="")</f>
        <v>0</v>
      </c>
      <c r="J1003">
        <f>B1003*(hospitalityq!J1003="")</f>
        <v>0</v>
      </c>
      <c r="K1003">
        <f>B1003*(hospitalityq!K1003="")</f>
        <v>0</v>
      </c>
      <c r="L1003">
        <f>B1003*(hospitalityq!L1003="")</f>
        <v>0</v>
      </c>
      <c r="M1003">
        <f>B1003*(hospitalityq!M1003="")</f>
        <v>0</v>
      </c>
      <c r="N1003">
        <f>B1003*(hospitalityq!N1003="")</f>
        <v>0</v>
      </c>
      <c r="O1003">
        <f>B1003*(hospitalityq!O1003="")</f>
        <v>0</v>
      </c>
      <c r="P1003">
        <f>B1003*(hospitalityq!P1003="")</f>
        <v>0</v>
      </c>
      <c r="Q1003">
        <f>B1003*(hospitalityq!Q1003="")</f>
        <v>0</v>
      </c>
      <c r="R1003">
        <f>B1003*(hospitalityq!R1003="")</f>
        <v>0</v>
      </c>
    </row>
    <row r="1004" spans="1:18" x14ac:dyDescent="0.25">
      <c r="A1004">
        <f t="shared" si="16"/>
        <v>0</v>
      </c>
      <c r="B1004" t="b">
        <f>SUMPRODUCT(LEN(hospitalityq!C1004:R1004))&gt;0</f>
        <v>0</v>
      </c>
      <c r="C1004">
        <f>B1004*(hospitalityq!C1004="")</f>
        <v>0</v>
      </c>
      <c r="E1004">
        <f>B1004*(hospitalityq!E1004="")</f>
        <v>0</v>
      </c>
      <c r="F1004">
        <f>B1004*(hospitalityq!F1004="")</f>
        <v>0</v>
      </c>
      <c r="G1004">
        <f>B1004*(hospitalityq!G1004="")</f>
        <v>0</v>
      </c>
      <c r="H1004">
        <f>B1004*(hospitalityq!H1004="")</f>
        <v>0</v>
      </c>
      <c r="I1004">
        <f>B1004*(hospitalityq!I1004="")</f>
        <v>0</v>
      </c>
      <c r="J1004">
        <f>B1004*(hospitalityq!J1004="")</f>
        <v>0</v>
      </c>
      <c r="K1004">
        <f>B1004*(hospitalityq!K1004="")</f>
        <v>0</v>
      </c>
      <c r="L1004">
        <f>B1004*(hospitalityq!L1004="")</f>
        <v>0</v>
      </c>
      <c r="M1004">
        <f>B1004*(hospitalityq!M1004="")</f>
        <v>0</v>
      </c>
      <c r="N1004">
        <f>B1004*(hospitalityq!N1004="")</f>
        <v>0</v>
      </c>
      <c r="O1004">
        <f>B1004*(hospitalityq!O1004="")</f>
        <v>0</v>
      </c>
      <c r="P1004">
        <f>B1004*(hospitalityq!P1004="")</f>
        <v>0</v>
      </c>
      <c r="Q1004">
        <f>B1004*(hospitalityq!Q1004="")</f>
        <v>0</v>
      </c>
      <c r="R1004">
        <f>B1004*(hospitalityq!R1004="")</f>
        <v>0</v>
      </c>
    </row>
    <row r="1005" spans="1:18" x14ac:dyDescent="0.25">
      <c r="A1005">
        <f t="shared" si="16"/>
        <v>0</v>
      </c>
      <c r="B1005" t="b">
        <f>SUMPRODUCT(LEN(hospitalityq!C1005:R1005))&gt;0</f>
        <v>0</v>
      </c>
      <c r="C1005">
        <f>B1005*(hospitalityq!C1005="")</f>
        <v>0</v>
      </c>
      <c r="E1005">
        <f>B1005*(hospitalityq!E1005="")</f>
        <v>0</v>
      </c>
      <c r="F1005">
        <f>B1005*(hospitalityq!F1005="")</f>
        <v>0</v>
      </c>
      <c r="G1005">
        <f>B1005*(hospitalityq!G1005="")</f>
        <v>0</v>
      </c>
      <c r="H1005">
        <f>B1005*(hospitalityq!H1005="")</f>
        <v>0</v>
      </c>
      <c r="I1005">
        <f>B1005*(hospitalityq!I1005="")</f>
        <v>0</v>
      </c>
      <c r="J1005">
        <f>B1005*(hospitalityq!J1005="")</f>
        <v>0</v>
      </c>
      <c r="K1005">
        <f>B1005*(hospitalityq!K1005="")</f>
        <v>0</v>
      </c>
      <c r="L1005">
        <f>B1005*(hospitalityq!L1005="")</f>
        <v>0</v>
      </c>
      <c r="M1005">
        <f>B1005*(hospitalityq!M1005="")</f>
        <v>0</v>
      </c>
      <c r="N1005">
        <f>B1005*(hospitalityq!N1005="")</f>
        <v>0</v>
      </c>
      <c r="O1005">
        <f>B1005*(hospitalityq!O1005="")</f>
        <v>0</v>
      </c>
      <c r="P1005">
        <f>B1005*(hospitalityq!P1005="")</f>
        <v>0</v>
      </c>
      <c r="Q1005">
        <f>B1005*(hospitalityq!Q1005="")</f>
        <v>0</v>
      </c>
      <c r="R1005">
        <f>B1005*(hospitalityq!R1005="")</f>
        <v>0</v>
      </c>
    </row>
    <row r="1006" spans="1:18" x14ac:dyDescent="0.25">
      <c r="A1006">
        <f t="shared" si="16"/>
        <v>0</v>
      </c>
      <c r="B1006" t="b">
        <f>SUMPRODUCT(LEN(hospitalityq!C1006:R1006))&gt;0</f>
        <v>0</v>
      </c>
      <c r="C1006">
        <f>B1006*(hospitalityq!C1006="")</f>
        <v>0</v>
      </c>
      <c r="E1006">
        <f>B1006*(hospitalityq!E1006="")</f>
        <v>0</v>
      </c>
      <c r="F1006">
        <f>B1006*(hospitalityq!F1006="")</f>
        <v>0</v>
      </c>
      <c r="G1006">
        <f>B1006*(hospitalityq!G1006="")</f>
        <v>0</v>
      </c>
      <c r="H1006">
        <f>B1006*(hospitalityq!H1006="")</f>
        <v>0</v>
      </c>
      <c r="I1006">
        <f>B1006*(hospitalityq!I1006="")</f>
        <v>0</v>
      </c>
      <c r="J1006">
        <f>B1006*(hospitalityq!J1006="")</f>
        <v>0</v>
      </c>
      <c r="K1006">
        <f>B1006*(hospitalityq!K1006="")</f>
        <v>0</v>
      </c>
      <c r="L1006">
        <f>B1006*(hospitalityq!L1006="")</f>
        <v>0</v>
      </c>
      <c r="M1006">
        <f>B1006*(hospitalityq!M1006="")</f>
        <v>0</v>
      </c>
      <c r="N1006">
        <f>B1006*(hospitalityq!N1006="")</f>
        <v>0</v>
      </c>
      <c r="O1006">
        <f>B1006*(hospitalityq!O1006="")</f>
        <v>0</v>
      </c>
      <c r="P1006">
        <f>B1006*(hospitalityq!P1006="")</f>
        <v>0</v>
      </c>
      <c r="Q1006">
        <f>B1006*(hospitalityq!Q1006="")</f>
        <v>0</v>
      </c>
      <c r="R1006">
        <f>B1006*(hospitalityq!R1006="")</f>
        <v>0</v>
      </c>
    </row>
    <row r="1007" spans="1:18" x14ac:dyDescent="0.25">
      <c r="A1007">
        <f t="shared" si="16"/>
        <v>0</v>
      </c>
      <c r="B1007" t="b">
        <f>SUMPRODUCT(LEN(hospitalityq!C1007:R1007))&gt;0</f>
        <v>0</v>
      </c>
      <c r="C1007">
        <f>B1007*(hospitalityq!C1007="")</f>
        <v>0</v>
      </c>
      <c r="E1007">
        <f>B1007*(hospitalityq!E1007="")</f>
        <v>0</v>
      </c>
      <c r="F1007">
        <f>B1007*(hospitalityq!F1007="")</f>
        <v>0</v>
      </c>
      <c r="G1007">
        <f>B1007*(hospitalityq!G1007="")</f>
        <v>0</v>
      </c>
      <c r="H1007">
        <f>B1007*(hospitalityq!H1007="")</f>
        <v>0</v>
      </c>
      <c r="I1007">
        <f>B1007*(hospitalityq!I1007="")</f>
        <v>0</v>
      </c>
      <c r="J1007">
        <f>B1007*(hospitalityq!J1007="")</f>
        <v>0</v>
      </c>
      <c r="K1007">
        <f>B1007*(hospitalityq!K1007="")</f>
        <v>0</v>
      </c>
      <c r="L1007">
        <f>B1007*(hospitalityq!L1007="")</f>
        <v>0</v>
      </c>
      <c r="M1007">
        <f>B1007*(hospitalityq!M1007="")</f>
        <v>0</v>
      </c>
      <c r="N1007">
        <f>B1007*(hospitalityq!N1007="")</f>
        <v>0</v>
      </c>
      <c r="O1007">
        <f>B1007*(hospitalityq!O1007="")</f>
        <v>0</v>
      </c>
      <c r="P1007">
        <f>B1007*(hospitalityq!P1007="")</f>
        <v>0</v>
      </c>
      <c r="Q1007">
        <f>B1007*(hospitalityq!Q1007="")</f>
        <v>0</v>
      </c>
      <c r="R1007">
        <f>B1007*(hospitalityq!R1007="")</f>
        <v>0</v>
      </c>
    </row>
    <row r="1008" spans="1:18" x14ac:dyDescent="0.25">
      <c r="A1008">
        <f t="shared" si="16"/>
        <v>0</v>
      </c>
      <c r="B1008" t="b">
        <f>SUMPRODUCT(LEN(hospitalityq!C1008:R1008))&gt;0</f>
        <v>0</v>
      </c>
      <c r="C1008">
        <f>B1008*(hospitalityq!C1008="")</f>
        <v>0</v>
      </c>
      <c r="E1008">
        <f>B1008*(hospitalityq!E1008="")</f>
        <v>0</v>
      </c>
      <c r="F1008">
        <f>B1008*(hospitalityq!F1008="")</f>
        <v>0</v>
      </c>
      <c r="G1008">
        <f>B1008*(hospitalityq!G1008="")</f>
        <v>0</v>
      </c>
      <c r="H1008">
        <f>B1008*(hospitalityq!H1008="")</f>
        <v>0</v>
      </c>
      <c r="I1008">
        <f>B1008*(hospitalityq!I1008="")</f>
        <v>0</v>
      </c>
      <c r="J1008">
        <f>B1008*(hospitalityq!J1008="")</f>
        <v>0</v>
      </c>
      <c r="K1008">
        <f>B1008*(hospitalityq!K1008="")</f>
        <v>0</v>
      </c>
      <c r="L1008">
        <f>B1008*(hospitalityq!L1008="")</f>
        <v>0</v>
      </c>
      <c r="M1008">
        <f>B1008*(hospitalityq!M1008="")</f>
        <v>0</v>
      </c>
      <c r="N1008">
        <f>B1008*(hospitalityq!N1008="")</f>
        <v>0</v>
      </c>
      <c r="O1008">
        <f>B1008*(hospitalityq!O1008="")</f>
        <v>0</v>
      </c>
      <c r="P1008">
        <f>B1008*(hospitalityq!P1008="")</f>
        <v>0</v>
      </c>
      <c r="Q1008">
        <f>B1008*(hospitalityq!Q1008="")</f>
        <v>0</v>
      </c>
      <c r="R1008">
        <f>B1008*(hospitalityq!R1008="")</f>
        <v>0</v>
      </c>
    </row>
    <row r="1009" spans="1:18" x14ac:dyDescent="0.25">
      <c r="A1009">
        <f t="shared" si="16"/>
        <v>0</v>
      </c>
      <c r="B1009" t="b">
        <f>SUMPRODUCT(LEN(hospitalityq!C1009:R1009))&gt;0</f>
        <v>0</v>
      </c>
      <c r="C1009">
        <f>B1009*(hospitalityq!C1009="")</f>
        <v>0</v>
      </c>
      <c r="E1009">
        <f>B1009*(hospitalityq!E1009="")</f>
        <v>0</v>
      </c>
      <c r="F1009">
        <f>B1009*(hospitalityq!F1009="")</f>
        <v>0</v>
      </c>
      <c r="G1009">
        <f>B1009*(hospitalityq!G1009="")</f>
        <v>0</v>
      </c>
      <c r="H1009">
        <f>B1009*(hospitalityq!H1009="")</f>
        <v>0</v>
      </c>
      <c r="I1009">
        <f>B1009*(hospitalityq!I1009="")</f>
        <v>0</v>
      </c>
      <c r="J1009">
        <f>B1009*(hospitalityq!J1009="")</f>
        <v>0</v>
      </c>
      <c r="K1009">
        <f>B1009*(hospitalityq!K1009="")</f>
        <v>0</v>
      </c>
      <c r="L1009">
        <f>B1009*(hospitalityq!L1009="")</f>
        <v>0</v>
      </c>
      <c r="M1009">
        <f>B1009*(hospitalityq!M1009="")</f>
        <v>0</v>
      </c>
      <c r="N1009">
        <f>B1009*(hospitalityq!N1009="")</f>
        <v>0</v>
      </c>
      <c r="O1009">
        <f>B1009*(hospitalityq!O1009="")</f>
        <v>0</v>
      </c>
      <c r="P1009">
        <f>B1009*(hospitalityq!P1009="")</f>
        <v>0</v>
      </c>
      <c r="Q1009">
        <f>B1009*(hospitalityq!Q1009="")</f>
        <v>0</v>
      </c>
      <c r="R1009">
        <f>B1009*(hospitalityq!R1009="")</f>
        <v>0</v>
      </c>
    </row>
    <row r="1010" spans="1:18" x14ac:dyDescent="0.25">
      <c r="A1010">
        <f t="shared" si="16"/>
        <v>0</v>
      </c>
      <c r="B1010" t="b">
        <f>SUMPRODUCT(LEN(hospitalityq!C1010:R1010))&gt;0</f>
        <v>0</v>
      </c>
      <c r="C1010">
        <f>B1010*(hospitalityq!C1010="")</f>
        <v>0</v>
      </c>
      <c r="E1010">
        <f>B1010*(hospitalityq!E1010="")</f>
        <v>0</v>
      </c>
      <c r="F1010">
        <f>B1010*(hospitalityq!F1010="")</f>
        <v>0</v>
      </c>
      <c r="G1010">
        <f>B1010*(hospitalityq!G1010="")</f>
        <v>0</v>
      </c>
      <c r="H1010">
        <f>B1010*(hospitalityq!H1010="")</f>
        <v>0</v>
      </c>
      <c r="I1010">
        <f>B1010*(hospitalityq!I1010="")</f>
        <v>0</v>
      </c>
      <c r="J1010">
        <f>B1010*(hospitalityq!J1010="")</f>
        <v>0</v>
      </c>
      <c r="K1010">
        <f>B1010*(hospitalityq!K1010="")</f>
        <v>0</v>
      </c>
      <c r="L1010">
        <f>B1010*(hospitalityq!L1010="")</f>
        <v>0</v>
      </c>
      <c r="M1010">
        <f>B1010*(hospitalityq!M1010="")</f>
        <v>0</v>
      </c>
      <c r="N1010">
        <f>B1010*(hospitalityq!N1010="")</f>
        <v>0</v>
      </c>
      <c r="O1010">
        <f>B1010*(hospitalityq!O1010="")</f>
        <v>0</v>
      </c>
      <c r="P1010">
        <f>B1010*(hospitalityq!P1010="")</f>
        <v>0</v>
      </c>
      <c r="Q1010">
        <f>B1010*(hospitalityq!Q1010="")</f>
        <v>0</v>
      </c>
      <c r="R1010">
        <f>B1010*(hospitalityq!R1010="")</f>
        <v>0</v>
      </c>
    </row>
    <row r="1011" spans="1:18" x14ac:dyDescent="0.25">
      <c r="A1011">
        <f t="shared" si="16"/>
        <v>0</v>
      </c>
      <c r="B1011" t="b">
        <f>SUMPRODUCT(LEN(hospitalityq!C1011:R1011))&gt;0</f>
        <v>0</v>
      </c>
      <c r="C1011">
        <f>B1011*(hospitalityq!C1011="")</f>
        <v>0</v>
      </c>
      <c r="E1011">
        <f>B1011*(hospitalityq!E1011="")</f>
        <v>0</v>
      </c>
      <c r="F1011">
        <f>B1011*(hospitalityq!F1011="")</f>
        <v>0</v>
      </c>
      <c r="G1011">
        <f>B1011*(hospitalityq!G1011="")</f>
        <v>0</v>
      </c>
      <c r="H1011">
        <f>B1011*(hospitalityq!H1011="")</f>
        <v>0</v>
      </c>
      <c r="I1011">
        <f>B1011*(hospitalityq!I1011="")</f>
        <v>0</v>
      </c>
      <c r="J1011">
        <f>B1011*(hospitalityq!J1011="")</f>
        <v>0</v>
      </c>
      <c r="K1011">
        <f>B1011*(hospitalityq!K1011="")</f>
        <v>0</v>
      </c>
      <c r="L1011">
        <f>B1011*(hospitalityq!L1011="")</f>
        <v>0</v>
      </c>
      <c r="M1011">
        <f>B1011*(hospitalityq!M1011="")</f>
        <v>0</v>
      </c>
      <c r="N1011">
        <f>B1011*(hospitalityq!N1011="")</f>
        <v>0</v>
      </c>
      <c r="O1011">
        <f>B1011*(hospitalityq!O1011="")</f>
        <v>0</v>
      </c>
      <c r="P1011">
        <f>B1011*(hospitalityq!P1011="")</f>
        <v>0</v>
      </c>
      <c r="Q1011">
        <f>B1011*(hospitalityq!Q1011="")</f>
        <v>0</v>
      </c>
      <c r="R1011">
        <f>B1011*(hospitalityq!R1011="")</f>
        <v>0</v>
      </c>
    </row>
    <row r="1012" spans="1:18" x14ac:dyDescent="0.25">
      <c r="A1012">
        <f t="shared" si="16"/>
        <v>0</v>
      </c>
      <c r="B1012" t="b">
        <f>SUMPRODUCT(LEN(hospitalityq!C1012:R1012))&gt;0</f>
        <v>0</v>
      </c>
      <c r="C1012">
        <f>B1012*(hospitalityq!C1012="")</f>
        <v>0</v>
      </c>
      <c r="E1012">
        <f>B1012*(hospitalityq!E1012="")</f>
        <v>0</v>
      </c>
      <c r="F1012">
        <f>B1012*(hospitalityq!F1012="")</f>
        <v>0</v>
      </c>
      <c r="G1012">
        <f>B1012*(hospitalityq!G1012="")</f>
        <v>0</v>
      </c>
      <c r="H1012">
        <f>B1012*(hospitalityq!H1012="")</f>
        <v>0</v>
      </c>
      <c r="I1012">
        <f>B1012*(hospitalityq!I1012="")</f>
        <v>0</v>
      </c>
      <c r="J1012">
        <f>B1012*(hospitalityq!J1012="")</f>
        <v>0</v>
      </c>
      <c r="K1012">
        <f>B1012*(hospitalityq!K1012="")</f>
        <v>0</v>
      </c>
      <c r="L1012">
        <f>B1012*(hospitalityq!L1012="")</f>
        <v>0</v>
      </c>
      <c r="M1012">
        <f>B1012*(hospitalityq!M1012="")</f>
        <v>0</v>
      </c>
      <c r="N1012">
        <f>B1012*(hospitalityq!N1012="")</f>
        <v>0</v>
      </c>
      <c r="O1012">
        <f>B1012*(hospitalityq!O1012="")</f>
        <v>0</v>
      </c>
      <c r="P1012">
        <f>B1012*(hospitalityq!P1012="")</f>
        <v>0</v>
      </c>
      <c r="Q1012">
        <f>B1012*(hospitalityq!Q1012="")</f>
        <v>0</v>
      </c>
      <c r="R1012">
        <f>B1012*(hospitalityq!R1012="")</f>
        <v>0</v>
      </c>
    </row>
    <row r="1013" spans="1:18" x14ac:dyDescent="0.25">
      <c r="A1013">
        <f t="shared" si="16"/>
        <v>0</v>
      </c>
      <c r="B1013" t="b">
        <f>SUMPRODUCT(LEN(hospitalityq!C1013:R1013))&gt;0</f>
        <v>0</v>
      </c>
      <c r="C1013">
        <f>B1013*(hospitalityq!C1013="")</f>
        <v>0</v>
      </c>
      <c r="E1013">
        <f>B1013*(hospitalityq!E1013="")</f>
        <v>0</v>
      </c>
      <c r="F1013">
        <f>B1013*(hospitalityq!F1013="")</f>
        <v>0</v>
      </c>
      <c r="G1013">
        <f>B1013*(hospitalityq!G1013="")</f>
        <v>0</v>
      </c>
      <c r="H1013">
        <f>B1013*(hospitalityq!H1013="")</f>
        <v>0</v>
      </c>
      <c r="I1013">
        <f>B1013*(hospitalityq!I1013="")</f>
        <v>0</v>
      </c>
      <c r="J1013">
        <f>B1013*(hospitalityq!J1013="")</f>
        <v>0</v>
      </c>
      <c r="K1013">
        <f>B1013*(hospitalityq!K1013="")</f>
        <v>0</v>
      </c>
      <c r="L1013">
        <f>B1013*(hospitalityq!L1013="")</f>
        <v>0</v>
      </c>
      <c r="M1013">
        <f>B1013*(hospitalityq!M1013="")</f>
        <v>0</v>
      </c>
      <c r="N1013">
        <f>B1013*(hospitalityq!N1013="")</f>
        <v>0</v>
      </c>
      <c r="O1013">
        <f>B1013*(hospitalityq!O1013="")</f>
        <v>0</v>
      </c>
      <c r="P1013">
        <f>B1013*(hospitalityq!P1013="")</f>
        <v>0</v>
      </c>
      <c r="Q1013">
        <f>B1013*(hospitalityq!Q1013="")</f>
        <v>0</v>
      </c>
      <c r="R1013">
        <f>B1013*(hospitalityq!R1013="")</f>
        <v>0</v>
      </c>
    </row>
    <row r="1014" spans="1:18" x14ac:dyDescent="0.25">
      <c r="A1014">
        <f t="shared" si="16"/>
        <v>0</v>
      </c>
      <c r="B1014" t="b">
        <f>SUMPRODUCT(LEN(hospitalityq!C1014:R1014))&gt;0</f>
        <v>0</v>
      </c>
      <c r="C1014">
        <f>B1014*(hospitalityq!C1014="")</f>
        <v>0</v>
      </c>
      <c r="E1014">
        <f>B1014*(hospitalityq!E1014="")</f>
        <v>0</v>
      </c>
      <c r="F1014">
        <f>B1014*(hospitalityq!F1014="")</f>
        <v>0</v>
      </c>
      <c r="G1014">
        <f>B1014*(hospitalityq!G1014="")</f>
        <v>0</v>
      </c>
      <c r="H1014">
        <f>B1014*(hospitalityq!H1014="")</f>
        <v>0</v>
      </c>
      <c r="I1014">
        <f>B1014*(hospitalityq!I1014="")</f>
        <v>0</v>
      </c>
      <c r="J1014">
        <f>B1014*(hospitalityq!J1014="")</f>
        <v>0</v>
      </c>
      <c r="K1014">
        <f>B1014*(hospitalityq!K1014="")</f>
        <v>0</v>
      </c>
      <c r="L1014">
        <f>B1014*(hospitalityq!L1014="")</f>
        <v>0</v>
      </c>
      <c r="M1014">
        <f>B1014*(hospitalityq!M1014="")</f>
        <v>0</v>
      </c>
      <c r="N1014">
        <f>B1014*(hospitalityq!N1014="")</f>
        <v>0</v>
      </c>
      <c r="O1014">
        <f>B1014*(hospitalityq!O1014="")</f>
        <v>0</v>
      </c>
      <c r="P1014">
        <f>B1014*(hospitalityq!P1014="")</f>
        <v>0</v>
      </c>
      <c r="Q1014">
        <f>B1014*(hospitalityq!Q1014="")</f>
        <v>0</v>
      </c>
      <c r="R1014">
        <f>B1014*(hospitalityq!R1014="")</f>
        <v>0</v>
      </c>
    </row>
    <row r="1015" spans="1:18" x14ac:dyDescent="0.25">
      <c r="A1015">
        <f t="shared" si="16"/>
        <v>0</v>
      </c>
      <c r="B1015" t="b">
        <f>SUMPRODUCT(LEN(hospitalityq!C1015:R1015))&gt;0</f>
        <v>0</v>
      </c>
      <c r="C1015">
        <f>B1015*(hospitalityq!C1015="")</f>
        <v>0</v>
      </c>
      <c r="E1015">
        <f>B1015*(hospitalityq!E1015="")</f>
        <v>0</v>
      </c>
      <c r="F1015">
        <f>B1015*(hospitalityq!F1015="")</f>
        <v>0</v>
      </c>
      <c r="G1015">
        <f>B1015*(hospitalityq!G1015="")</f>
        <v>0</v>
      </c>
      <c r="H1015">
        <f>B1015*(hospitalityq!H1015="")</f>
        <v>0</v>
      </c>
      <c r="I1015">
        <f>B1015*(hospitalityq!I1015="")</f>
        <v>0</v>
      </c>
      <c r="J1015">
        <f>B1015*(hospitalityq!J1015="")</f>
        <v>0</v>
      </c>
      <c r="K1015">
        <f>B1015*(hospitalityq!K1015="")</f>
        <v>0</v>
      </c>
      <c r="L1015">
        <f>B1015*(hospitalityq!L1015="")</f>
        <v>0</v>
      </c>
      <c r="M1015">
        <f>B1015*(hospitalityq!M1015="")</f>
        <v>0</v>
      </c>
      <c r="N1015">
        <f>B1015*(hospitalityq!N1015="")</f>
        <v>0</v>
      </c>
      <c r="O1015">
        <f>B1015*(hospitalityq!O1015="")</f>
        <v>0</v>
      </c>
      <c r="P1015">
        <f>B1015*(hospitalityq!P1015="")</f>
        <v>0</v>
      </c>
      <c r="Q1015">
        <f>B1015*(hospitalityq!Q1015="")</f>
        <v>0</v>
      </c>
      <c r="R1015">
        <f>B1015*(hospitalityq!R1015="")</f>
        <v>0</v>
      </c>
    </row>
    <row r="1016" spans="1:18" x14ac:dyDescent="0.25">
      <c r="A1016">
        <f t="shared" si="16"/>
        <v>0</v>
      </c>
      <c r="B1016" t="b">
        <f>SUMPRODUCT(LEN(hospitalityq!C1016:R1016))&gt;0</f>
        <v>0</v>
      </c>
      <c r="C1016">
        <f>B1016*(hospitalityq!C1016="")</f>
        <v>0</v>
      </c>
      <c r="E1016">
        <f>B1016*(hospitalityq!E1016="")</f>
        <v>0</v>
      </c>
      <c r="F1016">
        <f>B1016*(hospitalityq!F1016="")</f>
        <v>0</v>
      </c>
      <c r="G1016">
        <f>B1016*(hospitalityq!G1016="")</f>
        <v>0</v>
      </c>
      <c r="H1016">
        <f>B1016*(hospitalityq!H1016="")</f>
        <v>0</v>
      </c>
      <c r="I1016">
        <f>B1016*(hospitalityq!I1016="")</f>
        <v>0</v>
      </c>
      <c r="J1016">
        <f>B1016*(hospitalityq!J1016="")</f>
        <v>0</v>
      </c>
      <c r="K1016">
        <f>B1016*(hospitalityq!K1016="")</f>
        <v>0</v>
      </c>
      <c r="L1016">
        <f>B1016*(hospitalityq!L1016="")</f>
        <v>0</v>
      </c>
      <c r="M1016">
        <f>B1016*(hospitalityq!M1016="")</f>
        <v>0</v>
      </c>
      <c r="N1016">
        <f>B1016*(hospitalityq!N1016="")</f>
        <v>0</v>
      </c>
      <c r="O1016">
        <f>B1016*(hospitalityq!O1016="")</f>
        <v>0</v>
      </c>
      <c r="P1016">
        <f>B1016*(hospitalityq!P1016="")</f>
        <v>0</v>
      </c>
      <c r="Q1016">
        <f>B1016*(hospitalityq!Q1016="")</f>
        <v>0</v>
      </c>
      <c r="R1016">
        <f>B1016*(hospitalityq!R1016="")</f>
        <v>0</v>
      </c>
    </row>
    <row r="1017" spans="1:18" x14ac:dyDescent="0.25">
      <c r="A1017">
        <f t="shared" si="16"/>
        <v>0</v>
      </c>
      <c r="B1017" t="b">
        <f>SUMPRODUCT(LEN(hospitalityq!C1017:R1017))&gt;0</f>
        <v>0</v>
      </c>
      <c r="C1017">
        <f>B1017*(hospitalityq!C1017="")</f>
        <v>0</v>
      </c>
      <c r="E1017">
        <f>B1017*(hospitalityq!E1017="")</f>
        <v>0</v>
      </c>
      <c r="F1017">
        <f>B1017*(hospitalityq!F1017="")</f>
        <v>0</v>
      </c>
      <c r="G1017">
        <f>B1017*(hospitalityq!G1017="")</f>
        <v>0</v>
      </c>
      <c r="H1017">
        <f>B1017*(hospitalityq!H1017="")</f>
        <v>0</v>
      </c>
      <c r="I1017">
        <f>B1017*(hospitalityq!I1017="")</f>
        <v>0</v>
      </c>
      <c r="J1017">
        <f>B1017*(hospitalityq!J1017="")</f>
        <v>0</v>
      </c>
      <c r="K1017">
        <f>B1017*(hospitalityq!K1017="")</f>
        <v>0</v>
      </c>
      <c r="L1017">
        <f>B1017*(hospitalityq!L1017="")</f>
        <v>0</v>
      </c>
      <c r="M1017">
        <f>B1017*(hospitalityq!M1017="")</f>
        <v>0</v>
      </c>
      <c r="N1017">
        <f>B1017*(hospitalityq!N1017="")</f>
        <v>0</v>
      </c>
      <c r="O1017">
        <f>B1017*(hospitalityq!O1017="")</f>
        <v>0</v>
      </c>
      <c r="P1017">
        <f>B1017*(hospitalityq!P1017="")</f>
        <v>0</v>
      </c>
      <c r="Q1017">
        <f>B1017*(hospitalityq!Q1017="")</f>
        <v>0</v>
      </c>
      <c r="R1017">
        <f>B1017*(hospitalityq!R1017="")</f>
        <v>0</v>
      </c>
    </row>
    <row r="1018" spans="1:18" x14ac:dyDescent="0.25">
      <c r="A1018">
        <f t="shared" si="16"/>
        <v>0</v>
      </c>
      <c r="B1018" t="b">
        <f>SUMPRODUCT(LEN(hospitalityq!C1018:R1018))&gt;0</f>
        <v>0</v>
      </c>
      <c r="C1018">
        <f>B1018*(hospitalityq!C1018="")</f>
        <v>0</v>
      </c>
      <c r="E1018">
        <f>B1018*(hospitalityq!E1018="")</f>
        <v>0</v>
      </c>
      <c r="F1018">
        <f>B1018*(hospitalityq!F1018="")</f>
        <v>0</v>
      </c>
      <c r="G1018">
        <f>B1018*(hospitalityq!G1018="")</f>
        <v>0</v>
      </c>
      <c r="H1018">
        <f>B1018*(hospitalityq!H1018="")</f>
        <v>0</v>
      </c>
      <c r="I1018">
        <f>B1018*(hospitalityq!I1018="")</f>
        <v>0</v>
      </c>
      <c r="J1018">
        <f>B1018*(hospitalityq!J1018="")</f>
        <v>0</v>
      </c>
      <c r="K1018">
        <f>B1018*(hospitalityq!K1018="")</f>
        <v>0</v>
      </c>
      <c r="L1018">
        <f>B1018*(hospitalityq!L1018="")</f>
        <v>0</v>
      </c>
      <c r="M1018">
        <f>B1018*(hospitalityq!M1018="")</f>
        <v>0</v>
      </c>
      <c r="N1018">
        <f>B1018*(hospitalityq!N1018="")</f>
        <v>0</v>
      </c>
      <c r="O1018">
        <f>B1018*(hospitalityq!O1018="")</f>
        <v>0</v>
      </c>
      <c r="P1018">
        <f>B1018*(hospitalityq!P1018="")</f>
        <v>0</v>
      </c>
      <c r="Q1018">
        <f>B1018*(hospitalityq!Q1018="")</f>
        <v>0</v>
      </c>
      <c r="R1018">
        <f>B1018*(hospitalityq!R1018="")</f>
        <v>0</v>
      </c>
    </row>
    <row r="1019" spans="1:18" x14ac:dyDescent="0.25">
      <c r="A1019">
        <f t="shared" si="16"/>
        <v>0</v>
      </c>
      <c r="B1019" t="b">
        <f>SUMPRODUCT(LEN(hospitalityq!C1019:R1019))&gt;0</f>
        <v>0</v>
      </c>
      <c r="C1019">
        <f>B1019*(hospitalityq!C1019="")</f>
        <v>0</v>
      </c>
      <c r="E1019">
        <f>B1019*(hospitalityq!E1019="")</f>
        <v>0</v>
      </c>
      <c r="F1019">
        <f>B1019*(hospitalityq!F1019="")</f>
        <v>0</v>
      </c>
      <c r="G1019">
        <f>B1019*(hospitalityq!G1019="")</f>
        <v>0</v>
      </c>
      <c r="H1019">
        <f>B1019*(hospitalityq!H1019="")</f>
        <v>0</v>
      </c>
      <c r="I1019">
        <f>B1019*(hospitalityq!I1019="")</f>
        <v>0</v>
      </c>
      <c r="J1019">
        <f>B1019*(hospitalityq!J1019="")</f>
        <v>0</v>
      </c>
      <c r="K1019">
        <f>B1019*(hospitalityq!K1019="")</f>
        <v>0</v>
      </c>
      <c r="L1019">
        <f>B1019*(hospitalityq!L1019="")</f>
        <v>0</v>
      </c>
      <c r="M1019">
        <f>B1019*(hospitalityq!M1019="")</f>
        <v>0</v>
      </c>
      <c r="N1019">
        <f>B1019*(hospitalityq!N1019="")</f>
        <v>0</v>
      </c>
      <c r="O1019">
        <f>B1019*(hospitalityq!O1019="")</f>
        <v>0</v>
      </c>
      <c r="P1019">
        <f>B1019*(hospitalityq!P1019="")</f>
        <v>0</v>
      </c>
      <c r="Q1019">
        <f>B1019*(hospitalityq!Q1019="")</f>
        <v>0</v>
      </c>
      <c r="R1019">
        <f>B1019*(hospitalityq!R1019="")</f>
        <v>0</v>
      </c>
    </row>
    <row r="1020" spans="1:18" x14ac:dyDescent="0.25">
      <c r="A1020">
        <f t="shared" si="16"/>
        <v>0</v>
      </c>
      <c r="B1020" t="b">
        <f>SUMPRODUCT(LEN(hospitalityq!C1020:R1020))&gt;0</f>
        <v>0</v>
      </c>
      <c r="C1020">
        <f>B1020*(hospitalityq!C1020="")</f>
        <v>0</v>
      </c>
      <c r="E1020">
        <f>B1020*(hospitalityq!E1020="")</f>
        <v>0</v>
      </c>
      <c r="F1020">
        <f>B1020*(hospitalityq!F1020="")</f>
        <v>0</v>
      </c>
      <c r="G1020">
        <f>B1020*(hospitalityq!G1020="")</f>
        <v>0</v>
      </c>
      <c r="H1020">
        <f>B1020*(hospitalityq!H1020="")</f>
        <v>0</v>
      </c>
      <c r="I1020">
        <f>B1020*(hospitalityq!I1020="")</f>
        <v>0</v>
      </c>
      <c r="J1020">
        <f>B1020*(hospitalityq!J1020="")</f>
        <v>0</v>
      </c>
      <c r="K1020">
        <f>B1020*(hospitalityq!K1020="")</f>
        <v>0</v>
      </c>
      <c r="L1020">
        <f>B1020*(hospitalityq!L1020="")</f>
        <v>0</v>
      </c>
      <c r="M1020">
        <f>B1020*(hospitalityq!M1020="")</f>
        <v>0</v>
      </c>
      <c r="N1020">
        <f>B1020*(hospitalityq!N1020="")</f>
        <v>0</v>
      </c>
      <c r="O1020">
        <f>B1020*(hospitalityq!O1020="")</f>
        <v>0</v>
      </c>
      <c r="P1020">
        <f>B1020*(hospitalityq!P1020="")</f>
        <v>0</v>
      </c>
      <c r="Q1020">
        <f>B1020*(hospitalityq!Q1020="")</f>
        <v>0</v>
      </c>
      <c r="R1020">
        <f>B1020*(hospitalityq!R1020="")</f>
        <v>0</v>
      </c>
    </row>
    <row r="1021" spans="1:18" x14ac:dyDescent="0.25">
      <c r="A1021">
        <f t="shared" si="16"/>
        <v>0</v>
      </c>
      <c r="B1021" t="b">
        <f>SUMPRODUCT(LEN(hospitalityq!C1021:R1021))&gt;0</f>
        <v>0</v>
      </c>
      <c r="C1021">
        <f>B1021*(hospitalityq!C1021="")</f>
        <v>0</v>
      </c>
      <c r="E1021">
        <f>B1021*(hospitalityq!E1021="")</f>
        <v>0</v>
      </c>
      <c r="F1021">
        <f>B1021*(hospitalityq!F1021="")</f>
        <v>0</v>
      </c>
      <c r="G1021">
        <f>B1021*(hospitalityq!G1021="")</f>
        <v>0</v>
      </c>
      <c r="H1021">
        <f>B1021*(hospitalityq!H1021="")</f>
        <v>0</v>
      </c>
      <c r="I1021">
        <f>B1021*(hospitalityq!I1021="")</f>
        <v>0</v>
      </c>
      <c r="J1021">
        <f>B1021*(hospitalityq!J1021="")</f>
        <v>0</v>
      </c>
      <c r="K1021">
        <f>B1021*(hospitalityq!K1021="")</f>
        <v>0</v>
      </c>
      <c r="L1021">
        <f>B1021*(hospitalityq!L1021="")</f>
        <v>0</v>
      </c>
      <c r="M1021">
        <f>B1021*(hospitalityq!M1021="")</f>
        <v>0</v>
      </c>
      <c r="N1021">
        <f>B1021*(hospitalityq!N1021="")</f>
        <v>0</v>
      </c>
      <c r="O1021">
        <f>B1021*(hospitalityq!O1021="")</f>
        <v>0</v>
      </c>
      <c r="P1021">
        <f>B1021*(hospitalityq!P1021="")</f>
        <v>0</v>
      </c>
      <c r="Q1021">
        <f>B1021*(hospitalityq!Q1021="")</f>
        <v>0</v>
      </c>
      <c r="R1021">
        <f>B1021*(hospitalityq!R1021="")</f>
        <v>0</v>
      </c>
    </row>
    <row r="1022" spans="1:18" x14ac:dyDescent="0.25">
      <c r="A1022">
        <f t="shared" si="16"/>
        <v>0</v>
      </c>
      <c r="B1022" t="b">
        <f>SUMPRODUCT(LEN(hospitalityq!C1022:R1022))&gt;0</f>
        <v>0</v>
      </c>
      <c r="C1022">
        <f>B1022*(hospitalityq!C1022="")</f>
        <v>0</v>
      </c>
      <c r="E1022">
        <f>B1022*(hospitalityq!E1022="")</f>
        <v>0</v>
      </c>
      <c r="F1022">
        <f>B1022*(hospitalityq!F1022="")</f>
        <v>0</v>
      </c>
      <c r="G1022">
        <f>B1022*(hospitalityq!G1022="")</f>
        <v>0</v>
      </c>
      <c r="H1022">
        <f>B1022*(hospitalityq!H1022="")</f>
        <v>0</v>
      </c>
      <c r="I1022">
        <f>B1022*(hospitalityq!I1022="")</f>
        <v>0</v>
      </c>
      <c r="J1022">
        <f>B1022*(hospitalityq!J1022="")</f>
        <v>0</v>
      </c>
      <c r="K1022">
        <f>B1022*(hospitalityq!K1022="")</f>
        <v>0</v>
      </c>
      <c r="L1022">
        <f>B1022*(hospitalityq!L1022="")</f>
        <v>0</v>
      </c>
      <c r="M1022">
        <f>B1022*(hospitalityq!M1022="")</f>
        <v>0</v>
      </c>
      <c r="N1022">
        <f>B1022*(hospitalityq!N1022="")</f>
        <v>0</v>
      </c>
      <c r="O1022">
        <f>B1022*(hospitalityq!O1022="")</f>
        <v>0</v>
      </c>
      <c r="P1022">
        <f>B1022*(hospitalityq!P1022="")</f>
        <v>0</v>
      </c>
      <c r="Q1022">
        <f>B1022*(hospitalityq!Q1022="")</f>
        <v>0</v>
      </c>
      <c r="R1022">
        <f>B1022*(hospitalityq!R1022="")</f>
        <v>0</v>
      </c>
    </row>
    <row r="1023" spans="1:18" x14ac:dyDescent="0.25">
      <c r="A1023">
        <f t="shared" si="16"/>
        <v>0</v>
      </c>
      <c r="B1023" t="b">
        <f>SUMPRODUCT(LEN(hospitalityq!C1023:R1023))&gt;0</f>
        <v>0</v>
      </c>
      <c r="C1023">
        <f>B1023*(hospitalityq!C1023="")</f>
        <v>0</v>
      </c>
      <c r="E1023">
        <f>B1023*(hospitalityq!E1023="")</f>
        <v>0</v>
      </c>
      <c r="F1023">
        <f>B1023*(hospitalityq!F1023="")</f>
        <v>0</v>
      </c>
      <c r="G1023">
        <f>B1023*(hospitalityq!G1023="")</f>
        <v>0</v>
      </c>
      <c r="H1023">
        <f>B1023*(hospitalityq!H1023="")</f>
        <v>0</v>
      </c>
      <c r="I1023">
        <f>B1023*(hospitalityq!I1023="")</f>
        <v>0</v>
      </c>
      <c r="J1023">
        <f>B1023*(hospitalityq!J1023="")</f>
        <v>0</v>
      </c>
      <c r="K1023">
        <f>B1023*(hospitalityq!K1023="")</f>
        <v>0</v>
      </c>
      <c r="L1023">
        <f>B1023*(hospitalityq!L1023="")</f>
        <v>0</v>
      </c>
      <c r="M1023">
        <f>B1023*(hospitalityq!M1023="")</f>
        <v>0</v>
      </c>
      <c r="N1023">
        <f>B1023*(hospitalityq!N1023="")</f>
        <v>0</v>
      </c>
      <c r="O1023">
        <f>B1023*(hospitalityq!O1023="")</f>
        <v>0</v>
      </c>
      <c r="P1023">
        <f>B1023*(hospitalityq!P1023="")</f>
        <v>0</v>
      </c>
      <c r="Q1023">
        <f>B1023*(hospitalityq!Q1023="")</f>
        <v>0</v>
      </c>
      <c r="R1023">
        <f>B1023*(hospitalityq!R1023="")</f>
        <v>0</v>
      </c>
    </row>
    <row r="1024" spans="1:18" x14ac:dyDescent="0.25">
      <c r="A1024">
        <f t="shared" si="16"/>
        <v>0</v>
      </c>
      <c r="B1024" t="b">
        <f>SUMPRODUCT(LEN(hospitalityq!C1024:R1024))&gt;0</f>
        <v>0</v>
      </c>
      <c r="C1024">
        <f>B1024*(hospitalityq!C1024="")</f>
        <v>0</v>
      </c>
      <c r="E1024">
        <f>B1024*(hospitalityq!E1024="")</f>
        <v>0</v>
      </c>
      <c r="F1024">
        <f>B1024*(hospitalityq!F1024="")</f>
        <v>0</v>
      </c>
      <c r="G1024">
        <f>B1024*(hospitalityq!G1024="")</f>
        <v>0</v>
      </c>
      <c r="H1024">
        <f>B1024*(hospitalityq!H1024="")</f>
        <v>0</v>
      </c>
      <c r="I1024">
        <f>B1024*(hospitalityq!I1024="")</f>
        <v>0</v>
      </c>
      <c r="J1024">
        <f>B1024*(hospitalityq!J1024="")</f>
        <v>0</v>
      </c>
      <c r="K1024">
        <f>B1024*(hospitalityq!K1024="")</f>
        <v>0</v>
      </c>
      <c r="L1024">
        <f>B1024*(hospitalityq!L1024="")</f>
        <v>0</v>
      </c>
      <c r="M1024">
        <f>B1024*(hospitalityq!M1024="")</f>
        <v>0</v>
      </c>
      <c r="N1024">
        <f>B1024*(hospitalityq!N1024="")</f>
        <v>0</v>
      </c>
      <c r="O1024">
        <f>B1024*(hospitalityq!O1024="")</f>
        <v>0</v>
      </c>
      <c r="P1024">
        <f>B1024*(hospitalityq!P1024="")</f>
        <v>0</v>
      </c>
      <c r="Q1024">
        <f>B1024*(hospitalityq!Q1024="")</f>
        <v>0</v>
      </c>
      <c r="R1024">
        <f>B1024*(hospitalityq!R1024="")</f>
        <v>0</v>
      </c>
    </row>
    <row r="1025" spans="1:18" x14ac:dyDescent="0.25">
      <c r="A1025">
        <f t="shared" si="16"/>
        <v>0</v>
      </c>
      <c r="B1025" t="b">
        <f>SUMPRODUCT(LEN(hospitalityq!C1025:R1025))&gt;0</f>
        <v>0</v>
      </c>
      <c r="C1025">
        <f>B1025*(hospitalityq!C1025="")</f>
        <v>0</v>
      </c>
      <c r="E1025">
        <f>B1025*(hospitalityq!E1025="")</f>
        <v>0</v>
      </c>
      <c r="F1025">
        <f>B1025*(hospitalityq!F1025="")</f>
        <v>0</v>
      </c>
      <c r="G1025">
        <f>B1025*(hospitalityq!G1025="")</f>
        <v>0</v>
      </c>
      <c r="H1025">
        <f>B1025*(hospitalityq!H1025="")</f>
        <v>0</v>
      </c>
      <c r="I1025">
        <f>B1025*(hospitalityq!I1025="")</f>
        <v>0</v>
      </c>
      <c r="J1025">
        <f>B1025*(hospitalityq!J1025="")</f>
        <v>0</v>
      </c>
      <c r="K1025">
        <f>B1025*(hospitalityq!K1025="")</f>
        <v>0</v>
      </c>
      <c r="L1025">
        <f>B1025*(hospitalityq!L1025="")</f>
        <v>0</v>
      </c>
      <c r="M1025">
        <f>B1025*(hospitalityq!M1025="")</f>
        <v>0</v>
      </c>
      <c r="N1025">
        <f>B1025*(hospitalityq!N1025="")</f>
        <v>0</v>
      </c>
      <c r="O1025">
        <f>B1025*(hospitalityq!O1025="")</f>
        <v>0</v>
      </c>
      <c r="P1025">
        <f>B1025*(hospitalityq!P1025="")</f>
        <v>0</v>
      </c>
      <c r="Q1025">
        <f>B1025*(hospitalityq!Q1025="")</f>
        <v>0</v>
      </c>
      <c r="R1025">
        <f>B1025*(hospitalityq!R1025="")</f>
        <v>0</v>
      </c>
    </row>
    <row r="1026" spans="1:18" x14ac:dyDescent="0.25">
      <c r="A1026">
        <f t="shared" si="16"/>
        <v>0</v>
      </c>
      <c r="B1026" t="b">
        <f>SUMPRODUCT(LEN(hospitalityq!C1026:R1026))&gt;0</f>
        <v>0</v>
      </c>
      <c r="C1026">
        <f>B1026*(hospitalityq!C1026="")</f>
        <v>0</v>
      </c>
      <c r="E1026">
        <f>B1026*(hospitalityq!E1026="")</f>
        <v>0</v>
      </c>
      <c r="F1026">
        <f>B1026*(hospitalityq!F1026="")</f>
        <v>0</v>
      </c>
      <c r="G1026">
        <f>B1026*(hospitalityq!G1026="")</f>
        <v>0</v>
      </c>
      <c r="H1026">
        <f>B1026*(hospitalityq!H1026="")</f>
        <v>0</v>
      </c>
      <c r="I1026">
        <f>B1026*(hospitalityq!I1026="")</f>
        <v>0</v>
      </c>
      <c r="J1026">
        <f>B1026*(hospitalityq!J1026="")</f>
        <v>0</v>
      </c>
      <c r="K1026">
        <f>B1026*(hospitalityq!K1026="")</f>
        <v>0</v>
      </c>
      <c r="L1026">
        <f>B1026*(hospitalityq!L1026="")</f>
        <v>0</v>
      </c>
      <c r="M1026">
        <f>B1026*(hospitalityq!M1026="")</f>
        <v>0</v>
      </c>
      <c r="N1026">
        <f>B1026*(hospitalityq!N1026="")</f>
        <v>0</v>
      </c>
      <c r="O1026">
        <f>B1026*(hospitalityq!O1026="")</f>
        <v>0</v>
      </c>
      <c r="P1026">
        <f>B1026*(hospitalityq!P1026="")</f>
        <v>0</v>
      </c>
      <c r="Q1026">
        <f>B1026*(hospitalityq!Q1026="")</f>
        <v>0</v>
      </c>
      <c r="R1026">
        <f>B1026*(hospitalityq!R1026="")</f>
        <v>0</v>
      </c>
    </row>
    <row r="1027" spans="1:18" x14ac:dyDescent="0.25">
      <c r="A1027">
        <f t="shared" si="16"/>
        <v>0</v>
      </c>
      <c r="B1027" t="b">
        <f>SUMPRODUCT(LEN(hospitalityq!C1027:R1027))&gt;0</f>
        <v>0</v>
      </c>
      <c r="C1027">
        <f>B1027*(hospitalityq!C1027="")</f>
        <v>0</v>
      </c>
      <c r="E1027">
        <f>B1027*(hospitalityq!E1027="")</f>
        <v>0</v>
      </c>
      <c r="F1027">
        <f>B1027*(hospitalityq!F1027="")</f>
        <v>0</v>
      </c>
      <c r="G1027">
        <f>B1027*(hospitalityq!G1027="")</f>
        <v>0</v>
      </c>
      <c r="H1027">
        <f>B1027*(hospitalityq!H1027="")</f>
        <v>0</v>
      </c>
      <c r="I1027">
        <f>B1027*(hospitalityq!I1027="")</f>
        <v>0</v>
      </c>
      <c r="J1027">
        <f>B1027*(hospitalityq!J1027="")</f>
        <v>0</v>
      </c>
      <c r="K1027">
        <f>B1027*(hospitalityq!K1027="")</f>
        <v>0</v>
      </c>
      <c r="L1027">
        <f>B1027*(hospitalityq!L1027="")</f>
        <v>0</v>
      </c>
      <c r="M1027">
        <f>B1027*(hospitalityq!M1027="")</f>
        <v>0</v>
      </c>
      <c r="N1027">
        <f>B1027*(hospitalityq!N1027="")</f>
        <v>0</v>
      </c>
      <c r="O1027">
        <f>B1027*(hospitalityq!O1027="")</f>
        <v>0</v>
      </c>
      <c r="P1027">
        <f>B1027*(hospitalityq!P1027="")</f>
        <v>0</v>
      </c>
      <c r="Q1027">
        <f>B1027*(hospitalityq!Q1027="")</f>
        <v>0</v>
      </c>
      <c r="R1027">
        <f>B1027*(hospitalityq!R1027="")</f>
        <v>0</v>
      </c>
    </row>
    <row r="1028" spans="1:18" x14ac:dyDescent="0.25">
      <c r="A1028">
        <f t="shared" si="16"/>
        <v>0</v>
      </c>
      <c r="B1028" t="b">
        <f>SUMPRODUCT(LEN(hospitalityq!C1028:R1028))&gt;0</f>
        <v>0</v>
      </c>
      <c r="C1028">
        <f>B1028*(hospitalityq!C1028="")</f>
        <v>0</v>
      </c>
      <c r="E1028">
        <f>B1028*(hospitalityq!E1028="")</f>
        <v>0</v>
      </c>
      <c r="F1028">
        <f>B1028*(hospitalityq!F1028="")</f>
        <v>0</v>
      </c>
      <c r="G1028">
        <f>B1028*(hospitalityq!G1028="")</f>
        <v>0</v>
      </c>
      <c r="H1028">
        <f>B1028*(hospitalityq!H1028="")</f>
        <v>0</v>
      </c>
      <c r="I1028">
        <f>B1028*(hospitalityq!I1028="")</f>
        <v>0</v>
      </c>
      <c r="J1028">
        <f>B1028*(hospitalityq!J1028="")</f>
        <v>0</v>
      </c>
      <c r="K1028">
        <f>B1028*(hospitalityq!K1028="")</f>
        <v>0</v>
      </c>
      <c r="L1028">
        <f>B1028*(hospitalityq!L1028="")</f>
        <v>0</v>
      </c>
      <c r="M1028">
        <f>B1028*(hospitalityq!M1028="")</f>
        <v>0</v>
      </c>
      <c r="N1028">
        <f>B1028*(hospitalityq!N1028="")</f>
        <v>0</v>
      </c>
      <c r="O1028">
        <f>B1028*(hospitalityq!O1028="")</f>
        <v>0</v>
      </c>
      <c r="P1028">
        <f>B1028*(hospitalityq!P1028="")</f>
        <v>0</v>
      </c>
      <c r="Q1028">
        <f>B1028*(hospitalityq!Q1028="")</f>
        <v>0</v>
      </c>
      <c r="R1028">
        <f>B1028*(hospitalityq!R1028="")</f>
        <v>0</v>
      </c>
    </row>
    <row r="1029" spans="1:18" x14ac:dyDescent="0.25">
      <c r="A1029">
        <f t="shared" si="16"/>
        <v>0</v>
      </c>
      <c r="B1029" t="b">
        <f>SUMPRODUCT(LEN(hospitalityq!C1029:R1029))&gt;0</f>
        <v>0</v>
      </c>
      <c r="C1029">
        <f>B1029*(hospitalityq!C1029="")</f>
        <v>0</v>
      </c>
      <c r="E1029">
        <f>B1029*(hospitalityq!E1029="")</f>
        <v>0</v>
      </c>
      <c r="F1029">
        <f>B1029*(hospitalityq!F1029="")</f>
        <v>0</v>
      </c>
      <c r="G1029">
        <f>B1029*(hospitalityq!G1029="")</f>
        <v>0</v>
      </c>
      <c r="H1029">
        <f>B1029*(hospitalityq!H1029="")</f>
        <v>0</v>
      </c>
      <c r="I1029">
        <f>B1029*(hospitalityq!I1029="")</f>
        <v>0</v>
      </c>
      <c r="J1029">
        <f>B1029*(hospitalityq!J1029="")</f>
        <v>0</v>
      </c>
      <c r="K1029">
        <f>B1029*(hospitalityq!K1029="")</f>
        <v>0</v>
      </c>
      <c r="L1029">
        <f>B1029*(hospitalityq!L1029="")</f>
        <v>0</v>
      </c>
      <c r="M1029">
        <f>B1029*(hospitalityq!M1029="")</f>
        <v>0</v>
      </c>
      <c r="N1029">
        <f>B1029*(hospitalityq!N1029="")</f>
        <v>0</v>
      </c>
      <c r="O1029">
        <f>B1029*(hospitalityq!O1029="")</f>
        <v>0</v>
      </c>
      <c r="P1029">
        <f>B1029*(hospitalityq!P1029="")</f>
        <v>0</v>
      </c>
      <c r="Q1029">
        <f>B1029*(hospitalityq!Q1029="")</f>
        <v>0</v>
      </c>
      <c r="R1029">
        <f>B1029*(hospitalityq!R1029="")</f>
        <v>0</v>
      </c>
    </row>
    <row r="1030" spans="1:18" x14ac:dyDescent="0.25">
      <c r="A1030">
        <f t="shared" ref="A1030:A1093" si="17">IFERROR(MATCH(TRUE,INDEX(C1030:R1030&lt;&gt;0,),)+2,0)</f>
        <v>0</v>
      </c>
      <c r="B1030" t="b">
        <f>SUMPRODUCT(LEN(hospitalityq!C1030:R1030))&gt;0</f>
        <v>0</v>
      </c>
      <c r="C1030">
        <f>B1030*(hospitalityq!C1030="")</f>
        <v>0</v>
      </c>
      <c r="E1030">
        <f>B1030*(hospitalityq!E1030="")</f>
        <v>0</v>
      </c>
      <c r="F1030">
        <f>B1030*(hospitalityq!F1030="")</f>
        <v>0</v>
      </c>
      <c r="G1030">
        <f>B1030*(hospitalityq!G1030="")</f>
        <v>0</v>
      </c>
      <c r="H1030">
        <f>B1030*(hospitalityq!H1030="")</f>
        <v>0</v>
      </c>
      <c r="I1030">
        <f>B1030*(hospitalityq!I1030="")</f>
        <v>0</v>
      </c>
      <c r="J1030">
        <f>B1030*(hospitalityq!J1030="")</f>
        <v>0</v>
      </c>
      <c r="K1030">
        <f>B1030*(hospitalityq!K1030="")</f>
        <v>0</v>
      </c>
      <c r="L1030">
        <f>B1030*(hospitalityq!L1030="")</f>
        <v>0</v>
      </c>
      <c r="M1030">
        <f>B1030*(hospitalityq!M1030="")</f>
        <v>0</v>
      </c>
      <c r="N1030">
        <f>B1030*(hospitalityq!N1030="")</f>
        <v>0</v>
      </c>
      <c r="O1030">
        <f>B1030*(hospitalityq!O1030="")</f>
        <v>0</v>
      </c>
      <c r="P1030">
        <f>B1030*(hospitalityq!P1030="")</f>
        <v>0</v>
      </c>
      <c r="Q1030">
        <f>B1030*(hospitalityq!Q1030="")</f>
        <v>0</v>
      </c>
      <c r="R1030">
        <f>B1030*(hospitalityq!R1030="")</f>
        <v>0</v>
      </c>
    </row>
    <row r="1031" spans="1:18" x14ac:dyDescent="0.25">
      <c r="A1031">
        <f t="shared" si="17"/>
        <v>0</v>
      </c>
      <c r="B1031" t="b">
        <f>SUMPRODUCT(LEN(hospitalityq!C1031:R1031))&gt;0</f>
        <v>0</v>
      </c>
      <c r="C1031">
        <f>B1031*(hospitalityq!C1031="")</f>
        <v>0</v>
      </c>
      <c r="E1031">
        <f>B1031*(hospitalityq!E1031="")</f>
        <v>0</v>
      </c>
      <c r="F1031">
        <f>B1031*(hospitalityq!F1031="")</f>
        <v>0</v>
      </c>
      <c r="G1031">
        <f>B1031*(hospitalityq!G1031="")</f>
        <v>0</v>
      </c>
      <c r="H1031">
        <f>B1031*(hospitalityq!H1031="")</f>
        <v>0</v>
      </c>
      <c r="I1031">
        <f>B1031*(hospitalityq!I1031="")</f>
        <v>0</v>
      </c>
      <c r="J1031">
        <f>B1031*(hospitalityq!J1031="")</f>
        <v>0</v>
      </c>
      <c r="K1031">
        <f>B1031*(hospitalityq!K1031="")</f>
        <v>0</v>
      </c>
      <c r="L1031">
        <f>B1031*(hospitalityq!L1031="")</f>
        <v>0</v>
      </c>
      <c r="M1031">
        <f>B1031*(hospitalityq!M1031="")</f>
        <v>0</v>
      </c>
      <c r="N1031">
        <f>B1031*(hospitalityq!N1031="")</f>
        <v>0</v>
      </c>
      <c r="O1031">
        <f>B1031*(hospitalityq!O1031="")</f>
        <v>0</v>
      </c>
      <c r="P1031">
        <f>B1031*(hospitalityq!P1031="")</f>
        <v>0</v>
      </c>
      <c r="Q1031">
        <f>B1031*(hospitalityq!Q1031="")</f>
        <v>0</v>
      </c>
      <c r="R1031">
        <f>B1031*(hospitalityq!R1031="")</f>
        <v>0</v>
      </c>
    </row>
    <row r="1032" spans="1:18" x14ac:dyDescent="0.25">
      <c r="A1032">
        <f t="shared" si="17"/>
        <v>0</v>
      </c>
      <c r="B1032" t="b">
        <f>SUMPRODUCT(LEN(hospitalityq!C1032:R1032))&gt;0</f>
        <v>0</v>
      </c>
      <c r="C1032">
        <f>B1032*(hospitalityq!C1032="")</f>
        <v>0</v>
      </c>
      <c r="E1032">
        <f>B1032*(hospitalityq!E1032="")</f>
        <v>0</v>
      </c>
      <c r="F1032">
        <f>B1032*(hospitalityq!F1032="")</f>
        <v>0</v>
      </c>
      <c r="G1032">
        <f>B1032*(hospitalityq!G1032="")</f>
        <v>0</v>
      </c>
      <c r="H1032">
        <f>B1032*(hospitalityq!H1032="")</f>
        <v>0</v>
      </c>
      <c r="I1032">
        <f>B1032*(hospitalityq!I1032="")</f>
        <v>0</v>
      </c>
      <c r="J1032">
        <f>B1032*(hospitalityq!J1032="")</f>
        <v>0</v>
      </c>
      <c r="K1032">
        <f>B1032*(hospitalityq!K1032="")</f>
        <v>0</v>
      </c>
      <c r="L1032">
        <f>B1032*(hospitalityq!L1032="")</f>
        <v>0</v>
      </c>
      <c r="M1032">
        <f>B1032*(hospitalityq!M1032="")</f>
        <v>0</v>
      </c>
      <c r="N1032">
        <f>B1032*(hospitalityq!N1032="")</f>
        <v>0</v>
      </c>
      <c r="O1032">
        <f>B1032*(hospitalityq!O1032="")</f>
        <v>0</v>
      </c>
      <c r="P1032">
        <f>B1032*(hospitalityq!P1032="")</f>
        <v>0</v>
      </c>
      <c r="Q1032">
        <f>B1032*(hospitalityq!Q1032="")</f>
        <v>0</v>
      </c>
      <c r="R1032">
        <f>B1032*(hospitalityq!R1032="")</f>
        <v>0</v>
      </c>
    </row>
    <row r="1033" spans="1:18" x14ac:dyDescent="0.25">
      <c r="A1033">
        <f t="shared" si="17"/>
        <v>0</v>
      </c>
      <c r="B1033" t="b">
        <f>SUMPRODUCT(LEN(hospitalityq!C1033:R1033))&gt;0</f>
        <v>0</v>
      </c>
      <c r="C1033">
        <f>B1033*(hospitalityq!C1033="")</f>
        <v>0</v>
      </c>
      <c r="E1033">
        <f>B1033*(hospitalityq!E1033="")</f>
        <v>0</v>
      </c>
      <c r="F1033">
        <f>B1033*(hospitalityq!F1033="")</f>
        <v>0</v>
      </c>
      <c r="G1033">
        <f>B1033*(hospitalityq!G1033="")</f>
        <v>0</v>
      </c>
      <c r="H1033">
        <f>B1033*(hospitalityq!H1033="")</f>
        <v>0</v>
      </c>
      <c r="I1033">
        <f>B1033*(hospitalityq!I1033="")</f>
        <v>0</v>
      </c>
      <c r="J1033">
        <f>B1033*(hospitalityq!J1033="")</f>
        <v>0</v>
      </c>
      <c r="K1033">
        <f>B1033*(hospitalityq!K1033="")</f>
        <v>0</v>
      </c>
      <c r="L1033">
        <f>B1033*(hospitalityq!L1033="")</f>
        <v>0</v>
      </c>
      <c r="M1033">
        <f>B1033*(hospitalityq!M1033="")</f>
        <v>0</v>
      </c>
      <c r="N1033">
        <f>B1033*(hospitalityq!N1033="")</f>
        <v>0</v>
      </c>
      <c r="O1033">
        <f>B1033*(hospitalityq!O1033="")</f>
        <v>0</v>
      </c>
      <c r="P1033">
        <f>B1033*(hospitalityq!P1033="")</f>
        <v>0</v>
      </c>
      <c r="Q1033">
        <f>B1033*(hospitalityq!Q1033="")</f>
        <v>0</v>
      </c>
      <c r="R1033">
        <f>B1033*(hospitalityq!R1033="")</f>
        <v>0</v>
      </c>
    </row>
    <row r="1034" spans="1:18" x14ac:dyDescent="0.25">
      <c r="A1034">
        <f t="shared" si="17"/>
        <v>0</v>
      </c>
      <c r="B1034" t="b">
        <f>SUMPRODUCT(LEN(hospitalityq!C1034:R1034))&gt;0</f>
        <v>0</v>
      </c>
      <c r="C1034">
        <f>B1034*(hospitalityq!C1034="")</f>
        <v>0</v>
      </c>
      <c r="E1034">
        <f>B1034*(hospitalityq!E1034="")</f>
        <v>0</v>
      </c>
      <c r="F1034">
        <f>B1034*(hospitalityq!F1034="")</f>
        <v>0</v>
      </c>
      <c r="G1034">
        <f>B1034*(hospitalityq!G1034="")</f>
        <v>0</v>
      </c>
      <c r="H1034">
        <f>B1034*(hospitalityq!H1034="")</f>
        <v>0</v>
      </c>
      <c r="I1034">
        <f>B1034*(hospitalityq!I1034="")</f>
        <v>0</v>
      </c>
      <c r="J1034">
        <f>B1034*(hospitalityq!J1034="")</f>
        <v>0</v>
      </c>
      <c r="K1034">
        <f>B1034*(hospitalityq!K1034="")</f>
        <v>0</v>
      </c>
      <c r="L1034">
        <f>B1034*(hospitalityq!L1034="")</f>
        <v>0</v>
      </c>
      <c r="M1034">
        <f>B1034*(hospitalityq!M1034="")</f>
        <v>0</v>
      </c>
      <c r="N1034">
        <f>B1034*(hospitalityq!N1034="")</f>
        <v>0</v>
      </c>
      <c r="O1034">
        <f>B1034*(hospitalityq!O1034="")</f>
        <v>0</v>
      </c>
      <c r="P1034">
        <f>B1034*(hospitalityq!P1034="")</f>
        <v>0</v>
      </c>
      <c r="Q1034">
        <f>B1034*(hospitalityq!Q1034="")</f>
        <v>0</v>
      </c>
      <c r="R1034">
        <f>B1034*(hospitalityq!R1034="")</f>
        <v>0</v>
      </c>
    </row>
    <row r="1035" spans="1:18" x14ac:dyDescent="0.25">
      <c r="A1035">
        <f t="shared" si="17"/>
        <v>0</v>
      </c>
      <c r="B1035" t="b">
        <f>SUMPRODUCT(LEN(hospitalityq!C1035:R1035))&gt;0</f>
        <v>0</v>
      </c>
      <c r="C1035">
        <f>B1035*(hospitalityq!C1035="")</f>
        <v>0</v>
      </c>
      <c r="E1035">
        <f>B1035*(hospitalityq!E1035="")</f>
        <v>0</v>
      </c>
      <c r="F1035">
        <f>B1035*(hospitalityq!F1035="")</f>
        <v>0</v>
      </c>
      <c r="G1035">
        <f>B1035*(hospitalityq!G1035="")</f>
        <v>0</v>
      </c>
      <c r="H1035">
        <f>B1035*(hospitalityq!H1035="")</f>
        <v>0</v>
      </c>
      <c r="I1035">
        <f>B1035*(hospitalityq!I1035="")</f>
        <v>0</v>
      </c>
      <c r="J1035">
        <f>B1035*(hospitalityq!J1035="")</f>
        <v>0</v>
      </c>
      <c r="K1035">
        <f>B1035*(hospitalityq!K1035="")</f>
        <v>0</v>
      </c>
      <c r="L1035">
        <f>B1035*(hospitalityq!L1035="")</f>
        <v>0</v>
      </c>
      <c r="M1035">
        <f>B1035*(hospitalityq!M1035="")</f>
        <v>0</v>
      </c>
      <c r="N1035">
        <f>B1035*(hospitalityq!N1035="")</f>
        <v>0</v>
      </c>
      <c r="O1035">
        <f>B1035*(hospitalityq!O1035="")</f>
        <v>0</v>
      </c>
      <c r="P1035">
        <f>B1035*(hospitalityq!P1035="")</f>
        <v>0</v>
      </c>
      <c r="Q1035">
        <f>B1035*(hospitalityq!Q1035="")</f>
        <v>0</v>
      </c>
      <c r="R1035">
        <f>B1035*(hospitalityq!R1035="")</f>
        <v>0</v>
      </c>
    </row>
    <row r="1036" spans="1:18" x14ac:dyDescent="0.25">
      <c r="A1036">
        <f t="shared" si="17"/>
        <v>0</v>
      </c>
      <c r="B1036" t="b">
        <f>SUMPRODUCT(LEN(hospitalityq!C1036:R1036))&gt;0</f>
        <v>0</v>
      </c>
      <c r="C1036">
        <f>B1036*(hospitalityq!C1036="")</f>
        <v>0</v>
      </c>
      <c r="E1036">
        <f>B1036*(hospitalityq!E1036="")</f>
        <v>0</v>
      </c>
      <c r="F1036">
        <f>B1036*(hospitalityq!F1036="")</f>
        <v>0</v>
      </c>
      <c r="G1036">
        <f>B1036*(hospitalityq!G1036="")</f>
        <v>0</v>
      </c>
      <c r="H1036">
        <f>B1036*(hospitalityq!H1036="")</f>
        <v>0</v>
      </c>
      <c r="I1036">
        <f>B1036*(hospitalityq!I1036="")</f>
        <v>0</v>
      </c>
      <c r="J1036">
        <f>B1036*(hospitalityq!J1036="")</f>
        <v>0</v>
      </c>
      <c r="K1036">
        <f>B1036*(hospitalityq!K1036="")</f>
        <v>0</v>
      </c>
      <c r="L1036">
        <f>B1036*(hospitalityq!L1036="")</f>
        <v>0</v>
      </c>
      <c r="M1036">
        <f>B1036*(hospitalityq!M1036="")</f>
        <v>0</v>
      </c>
      <c r="N1036">
        <f>B1036*(hospitalityq!N1036="")</f>
        <v>0</v>
      </c>
      <c r="O1036">
        <f>B1036*(hospitalityq!O1036="")</f>
        <v>0</v>
      </c>
      <c r="P1036">
        <f>B1036*(hospitalityq!P1036="")</f>
        <v>0</v>
      </c>
      <c r="Q1036">
        <f>B1036*(hospitalityq!Q1036="")</f>
        <v>0</v>
      </c>
      <c r="R1036">
        <f>B1036*(hospitalityq!R1036="")</f>
        <v>0</v>
      </c>
    </row>
    <row r="1037" spans="1:18" x14ac:dyDescent="0.25">
      <c r="A1037">
        <f t="shared" si="17"/>
        <v>0</v>
      </c>
      <c r="B1037" t="b">
        <f>SUMPRODUCT(LEN(hospitalityq!C1037:R1037))&gt;0</f>
        <v>0</v>
      </c>
      <c r="C1037">
        <f>B1037*(hospitalityq!C1037="")</f>
        <v>0</v>
      </c>
      <c r="E1037">
        <f>B1037*(hospitalityq!E1037="")</f>
        <v>0</v>
      </c>
      <c r="F1037">
        <f>B1037*(hospitalityq!F1037="")</f>
        <v>0</v>
      </c>
      <c r="G1037">
        <f>B1037*(hospitalityq!G1037="")</f>
        <v>0</v>
      </c>
      <c r="H1037">
        <f>B1037*(hospitalityq!H1037="")</f>
        <v>0</v>
      </c>
      <c r="I1037">
        <f>B1037*(hospitalityq!I1037="")</f>
        <v>0</v>
      </c>
      <c r="J1037">
        <f>B1037*(hospitalityq!J1037="")</f>
        <v>0</v>
      </c>
      <c r="K1037">
        <f>B1037*(hospitalityq!K1037="")</f>
        <v>0</v>
      </c>
      <c r="L1037">
        <f>B1037*(hospitalityq!L1037="")</f>
        <v>0</v>
      </c>
      <c r="M1037">
        <f>B1037*(hospitalityq!M1037="")</f>
        <v>0</v>
      </c>
      <c r="N1037">
        <f>B1037*(hospitalityq!N1037="")</f>
        <v>0</v>
      </c>
      <c r="O1037">
        <f>B1037*(hospitalityq!O1037="")</f>
        <v>0</v>
      </c>
      <c r="P1037">
        <f>B1037*(hospitalityq!P1037="")</f>
        <v>0</v>
      </c>
      <c r="Q1037">
        <f>B1037*(hospitalityq!Q1037="")</f>
        <v>0</v>
      </c>
      <c r="R1037">
        <f>B1037*(hospitalityq!R1037="")</f>
        <v>0</v>
      </c>
    </row>
    <row r="1038" spans="1:18" x14ac:dyDescent="0.25">
      <c r="A1038">
        <f t="shared" si="17"/>
        <v>0</v>
      </c>
      <c r="B1038" t="b">
        <f>SUMPRODUCT(LEN(hospitalityq!C1038:R1038))&gt;0</f>
        <v>0</v>
      </c>
      <c r="C1038">
        <f>B1038*(hospitalityq!C1038="")</f>
        <v>0</v>
      </c>
      <c r="E1038">
        <f>B1038*(hospitalityq!E1038="")</f>
        <v>0</v>
      </c>
      <c r="F1038">
        <f>B1038*(hospitalityq!F1038="")</f>
        <v>0</v>
      </c>
      <c r="G1038">
        <f>B1038*(hospitalityq!G1038="")</f>
        <v>0</v>
      </c>
      <c r="H1038">
        <f>B1038*(hospitalityq!H1038="")</f>
        <v>0</v>
      </c>
      <c r="I1038">
        <f>B1038*(hospitalityq!I1038="")</f>
        <v>0</v>
      </c>
      <c r="J1038">
        <f>B1038*(hospitalityq!J1038="")</f>
        <v>0</v>
      </c>
      <c r="K1038">
        <f>B1038*(hospitalityq!K1038="")</f>
        <v>0</v>
      </c>
      <c r="L1038">
        <f>B1038*(hospitalityq!L1038="")</f>
        <v>0</v>
      </c>
      <c r="M1038">
        <f>B1038*(hospitalityq!M1038="")</f>
        <v>0</v>
      </c>
      <c r="N1038">
        <f>B1038*(hospitalityq!N1038="")</f>
        <v>0</v>
      </c>
      <c r="O1038">
        <f>B1038*(hospitalityq!O1038="")</f>
        <v>0</v>
      </c>
      <c r="P1038">
        <f>B1038*(hospitalityq!P1038="")</f>
        <v>0</v>
      </c>
      <c r="Q1038">
        <f>B1038*(hospitalityq!Q1038="")</f>
        <v>0</v>
      </c>
      <c r="R1038">
        <f>B1038*(hospitalityq!R1038="")</f>
        <v>0</v>
      </c>
    </row>
    <row r="1039" spans="1:18" x14ac:dyDescent="0.25">
      <c r="A1039">
        <f t="shared" si="17"/>
        <v>0</v>
      </c>
      <c r="B1039" t="b">
        <f>SUMPRODUCT(LEN(hospitalityq!C1039:R1039))&gt;0</f>
        <v>0</v>
      </c>
      <c r="C1039">
        <f>B1039*(hospitalityq!C1039="")</f>
        <v>0</v>
      </c>
      <c r="E1039">
        <f>B1039*(hospitalityq!E1039="")</f>
        <v>0</v>
      </c>
      <c r="F1039">
        <f>B1039*(hospitalityq!F1039="")</f>
        <v>0</v>
      </c>
      <c r="G1039">
        <f>B1039*(hospitalityq!G1039="")</f>
        <v>0</v>
      </c>
      <c r="H1039">
        <f>B1039*(hospitalityq!H1039="")</f>
        <v>0</v>
      </c>
      <c r="I1039">
        <f>B1039*(hospitalityq!I1039="")</f>
        <v>0</v>
      </c>
      <c r="J1039">
        <f>B1039*(hospitalityq!J1039="")</f>
        <v>0</v>
      </c>
      <c r="K1039">
        <f>B1039*(hospitalityq!K1039="")</f>
        <v>0</v>
      </c>
      <c r="L1039">
        <f>B1039*(hospitalityq!L1039="")</f>
        <v>0</v>
      </c>
      <c r="M1039">
        <f>B1039*(hospitalityq!M1039="")</f>
        <v>0</v>
      </c>
      <c r="N1039">
        <f>B1039*(hospitalityq!N1039="")</f>
        <v>0</v>
      </c>
      <c r="O1039">
        <f>B1039*(hospitalityq!O1039="")</f>
        <v>0</v>
      </c>
      <c r="P1039">
        <f>B1039*(hospitalityq!P1039="")</f>
        <v>0</v>
      </c>
      <c r="Q1039">
        <f>B1039*(hospitalityq!Q1039="")</f>
        <v>0</v>
      </c>
      <c r="R1039">
        <f>B1039*(hospitalityq!R1039="")</f>
        <v>0</v>
      </c>
    </row>
    <row r="1040" spans="1:18" x14ac:dyDescent="0.25">
      <c r="A1040">
        <f t="shared" si="17"/>
        <v>0</v>
      </c>
      <c r="B1040" t="b">
        <f>SUMPRODUCT(LEN(hospitalityq!C1040:R1040))&gt;0</f>
        <v>0</v>
      </c>
      <c r="C1040">
        <f>B1040*(hospitalityq!C1040="")</f>
        <v>0</v>
      </c>
      <c r="E1040">
        <f>B1040*(hospitalityq!E1040="")</f>
        <v>0</v>
      </c>
      <c r="F1040">
        <f>B1040*(hospitalityq!F1040="")</f>
        <v>0</v>
      </c>
      <c r="G1040">
        <f>B1040*(hospitalityq!G1040="")</f>
        <v>0</v>
      </c>
      <c r="H1040">
        <f>B1040*(hospitalityq!H1040="")</f>
        <v>0</v>
      </c>
      <c r="I1040">
        <f>B1040*(hospitalityq!I1040="")</f>
        <v>0</v>
      </c>
      <c r="J1040">
        <f>B1040*(hospitalityq!J1040="")</f>
        <v>0</v>
      </c>
      <c r="K1040">
        <f>B1040*(hospitalityq!K1040="")</f>
        <v>0</v>
      </c>
      <c r="L1040">
        <f>B1040*(hospitalityq!L1040="")</f>
        <v>0</v>
      </c>
      <c r="M1040">
        <f>B1040*(hospitalityq!M1040="")</f>
        <v>0</v>
      </c>
      <c r="N1040">
        <f>B1040*(hospitalityq!N1040="")</f>
        <v>0</v>
      </c>
      <c r="O1040">
        <f>B1040*(hospitalityq!O1040="")</f>
        <v>0</v>
      </c>
      <c r="P1040">
        <f>B1040*(hospitalityq!P1040="")</f>
        <v>0</v>
      </c>
      <c r="Q1040">
        <f>B1040*(hospitalityq!Q1040="")</f>
        <v>0</v>
      </c>
      <c r="R1040">
        <f>B1040*(hospitalityq!R1040="")</f>
        <v>0</v>
      </c>
    </row>
    <row r="1041" spans="1:18" x14ac:dyDescent="0.25">
      <c r="A1041">
        <f t="shared" si="17"/>
        <v>0</v>
      </c>
      <c r="B1041" t="b">
        <f>SUMPRODUCT(LEN(hospitalityq!C1041:R1041))&gt;0</f>
        <v>0</v>
      </c>
      <c r="C1041">
        <f>B1041*(hospitalityq!C1041="")</f>
        <v>0</v>
      </c>
      <c r="E1041">
        <f>B1041*(hospitalityq!E1041="")</f>
        <v>0</v>
      </c>
      <c r="F1041">
        <f>B1041*(hospitalityq!F1041="")</f>
        <v>0</v>
      </c>
      <c r="G1041">
        <f>B1041*(hospitalityq!G1041="")</f>
        <v>0</v>
      </c>
      <c r="H1041">
        <f>B1041*(hospitalityq!H1041="")</f>
        <v>0</v>
      </c>
      <c r="I1041">
        <f>B1041*(hospitalityq!I1041="")</f>
        <v>0</v>
      </c>
      <c r="J1041">
        <f>B1041*(hospitalityq!J1041="")</f>
        <v>0</v>
      </c>
      <c r="K1041">
        <f>B1041*(hospitalityq!K1041="")</f>
        <v>0</v>
      </c>
      <c r="L1041">
        <f>B1041*(hospitalityq!L1041="")</f>
        <v>0</v>
      </c>
      <c r="M1041">
        <f>B1041*(hospitalityq!M1041="")</f>
        <v>0</v>
      </c>
      <c r="N1041">
        <f>B1041*(hospitalityq!N1041="")</f>
        <v>0</v>
      </c>
      <c r="O1041">
        <f>B1041*(hospitalityq!O1041="")</f>
        <v>0</v>
      </c>
      <c r="P1041">
        <f>B1041*(hospitalityq!P1041="")</f>
        <v>0</v>
      </c>
      <c r="Q1041">
        <f>B1041*(hospitalityq!Q1041="")</f>
        <v>0</v>
      </c>
      <c r="R1041">
        <f>B1041*(hospitalityq!R1041="")</f>
        <v>0</v>
      </c>
    </row>
    <row r="1042" spans="1:18" x14ac:dyDescent="0.25">
      <c r="A1042">
        <f t="shared" si="17"/>
        <v>0</v>
      </c>
      <c r="B1042" t="b">
        <f>SUMPRODUCT(LEN(hospitalityq!C1042:R1042))&gt;0</f>
        <v>0</v>
      </c>
      <c r="C1042">
        <f>B1042*(hospitalityq!C1042="")</f>
        <v>0</v>
      </c>
      <c r="E1042">
        <f>B1042*(hospitalityq!E1042="")</f>
        <v>0</v>
      </c>
      <c r="F1042">
        <f>B1042*(hospitalityq!F1042="")</f>
        <v>0</v>
      </c>
      <c r="G1042">
        <f>B1042*(hospitalityq!G1042="")</f>
        <v>0</v>
      </c>
      <c r="H1042">
        <f>B1042*(hospitalityq!H1042="")</f>
        <v>0</v>
      </c>
      <c r="I1042">
        <f>B1042*(hospitalityq!I1042="")</f>
        <v>0</v>
      </c>
      <c r="J1042">
        <f>B1042*(hospitalityq!J1042="")</f>
        <v>0</v>
      </c>
      <c r="K1042">
        <f>B1042*(hospitalityq!K1042="")</f>
        <v>0</v>
      </c>
      <c r="L1042">
        <f>B1042*(hospitalityq!L1042="")</f>
        <v>0</v>
      </c>
      <c r="M1042">
        <f>B1042*(hospitalityq!M1042="")</f>
        <v>0</v>
      </c>
      <c r="N1042">
        <f>B1042*(hospitalityq!N1042="")</f>
        <v>0</v>
      </c>
      <c r="O1042">
        <f>B1042*(hospitalityq!O1042="")</f>
        <v>0</v>
      </c>
      <c r="P1042">
        <f>B1042*(hospitalityq!P1042="")</f>
        <v>0</v>
      </c>
      <c r="Q1042">
        <f>B1042*(hospitalityq!Q1042="")</f>
        <v>0</v>
      </c>
      <c r="R1042">
        <f>B1042*(hospitalityq!R1042="")</f>
        <v>0</v>
      </c>
    </row>
    <row r="1043" spans="1:18" x14ac:dyDescent="0.25">
      <c r="A1043">
        <f t="shared" si="17"/>
        <v>0</v>
      </c>
      <c r="B1043" t="b">
        <f>SUMPRODUCT(LEN(hospitalityq!C1043:R1043))&gt;0</f>
        <v>0</v>
      </c>
      <c r="C1043">
        <f>B1043*(hospitalityq!C1043="")</f>
        <v>0</v>
      </c>
      <c r="E1043">
        <f>B1043*(hospitalityq!E1043="")</f>
        <v>0</v>
      </c>
      <c r="F1043">
        <f>B1043*(hospitalityq!F1043="")</f>
        <v>0</v>
      </c>
      <c r="G1043">
        <f>B1043*(hospitalityq!G1043="")</f>
        <v>0</v>
      </c>
      <c r="H1043">
        <f>B1043*(hospitalityq!H1043="")</f>
        <v>0</v>
      </c>
      <c r="I1043">
        <f>B1043*(hospitalityq!I1043="")</f>
        <v>0</v>
      </c>
      <c r="J1043">
        <f>B1043*(hospitalityq!J1043="")</f>
        <v>0</v>
      </c>
      <c r="K1043">
        <f>B1043*(hospitalityq!K1043="")</f>
        <v>0</v>
      </c>
      <c r="L1043">
        <f>B1043*(hospitalityq!L1043="")</f>
        <v>0</v>
      </c>
      <c r="M1043">
        <f>B1043*(hospitalityq!M1043="")</f>
        <v>0</v>
      </c>
      <c r="N1043">
        <f>B1043*(hospitalityq!N1043="")</f>
        <v>0</v>
      </c>
      <c r="O1043">
        <f>B1043*(hospitalityq!O1043="")</f>
        <v>0</v>
      </c>
      <c r="P1043">
        <f>B1043*(hospitalityq!P1043="")</f>
        <v>0</v>
      </c>
      <c r="Q1043">
        <f>B1043*(hospitalityq!Q1043="")</f>
        <v>0</v>
      </c>
      <c r="R1043">
        <f>B1043*(hospitalityq!R1043="")</f>
        <v>0</v>
      </c>
    </row>
    <row r="1044" spans="1:18" x14ac:dyDescent="0.25">
      <c r="A1044">
        <f t="shared" si="17"/>
        <v>0</v>
      </c>
      <c r="B1044" t="b">
        <f>SUMPRODUCT(LEN(hospitalityq!C1044:R1044))&gt;0</f>
        <v>0</v>
      </c>
      <c r="C1044">
        <f>B1044*(hospitalityq!C1044="")</f>
        <v>0</v>
      </c>
      <c r="E1044">
        <f>B1044*(hospitalityq!E1044="")</f>
        <v>0</v>
      </c>
      <c r="F1044">
        <f>B1044*(hospitalityq!F1044="")</f>
        <v>0</v>
      </c>
      <c r="G1044">
        <f>B1044*(hospitalityq!G1044="")</f>
        <v>0</v>
      </c>
      <c r="H1044">
        <f>B1044*(hospitalityq!H1044="")</f>
        <v>0</v>
      </c>
      <c r="I1044">
        <f>B1044*(hospitalityq!I1044="")</f>
        <v>0</v>
      </c>
      <c r="J1044">
        <f>B1044*(hospitalityq!J1044="")</f>
        <v>0</v>
      </c>
      <c r="K1044">
        <f>B1044*(hospitalityq!K1044="")</f>
        <v>0</v>
      </c>
      <c r="L1044">
        <f>B1044*(hospitalityq!L1044="")</f>
        <v>0</v>
      </c>
      <c r="M1044">
        <f>B1044*(hospitalityq!M1044="")</f>
        <v>0</v>
      </c>
      <c r="N1044">
        <f>B1044*(hospitalityq!N1044="")</f>
        <v>0</v>
      </c>
      <c r="O1044">
        <f>B1044*(hospitalityq!O1044="")</f>
        <v>0</v>
      </c>
      <c r="P1044">
        <f>B1044*(hospitalityq!P1044="")</f>
        <v>0</v>
      </c>
      <c r="Q1044">
        <f>B1044*(hospitalityq!Q1044="")</f>
        <v>0</v>
      </c>
      <c r="R1044">
        <f>B1044*(hospitalityq!R1044="")</f>
        <v>0</v>
      </c>
    </row>
    <row r="1045" spans="1:18" x14ac:dyDescent="0.25">
      <c r="A1045">
        <f t="shared" si="17"/>
        <v>0</v>
      </c>
      <c r="B1045" t="b">
        <f>SUMPRODUCT(LEN(hospitalityq!C1045:R1045))&gt;0</f>
        <v>0</v>
      </c>
      <c r="C1045">
        <f>B1045*(hospitalityq!C1045="")</f>
        <v>0</v>
      </c>
      <c r="E1045">
        <f>B1045*(hospitalityq!E1045="")</f>
        <v>0</v>
      </c>
      <c r="F1045">
        <f>B1045*(hospitalityq!F1045="")</f>
        <v>0</v>
      </c>
      <c r="G1045">
        <f>B1045*(hospitalityq!G1045="")</f>
        <v>0</v>
      </c>
      <c r="H1045">
        <f>B1045*(hospitalityq!H1045="")</f>
        <v>0</v>
      </c>
      <c r="I1045">
        <f>B1045*(hospitalityq!I1045="")</f>
        <v>0</v>
      </c>
      <c r="J1045">
        <f>B1045*(hospitalityq!J1045="")</f>
        <v>0</v>
      </c>
      <c r="K1045">
        <f>B1045*(hospitalityq!K1045="")</f>
        <v>0</v>
      </c>
      <c r="L1045">
        <f>B1045*(hospitalityq!L1045="")</f>
        <v>0</v>
      </c>
      <c r="M1045">
        <f>B1045*(hospitalityq!M1045="")</f>
        <v>0</v>
      </c>
      <c r="N1045">
        <f>B1045*(hospitalityq!N1045="")</f>
        <v>0</v>
      </c>
      <c r="O1045">
        <f>B1045*(hospitalityq!O1045="")</f>
        <v>0</v>
      </c>
      <c r="P1045">
        <f>B1045*(hospitalityq!P1045="")</f>
        <v>0</v>
      </c>
      <c r="Q1045">
        <f>B1045*(hospitalityq!Q1045="")</f>
        <v>0</v>
      </c>
      <c r="R1045">
        <f>B1045*(hospitalityq!R1045="")</f>
        <v>0</v>
      </c>
    </row>
    <row r="1046" spans="1:18" x14ac:dyDescent="0.25">
      <c r="A1046">
        <f t="shared" si="17"/>
        <v>0</v>
      </c>
      <c r="B1046" t="b">
        <f>SUMPRODUCT(LEN(hospitalityq!C1046:R1046))&gt;0</f>
        <v>0</v>
      </c>
      <c r="C1046">
        <f>B1046*(hospitalityq!C1046="")</f>
        <v>0</v>
      </c>
      <c r="E1046">
        <f>B1046*(hospitalityq!E1046="")</f>
        <v>0</v>
      </c>
      <c r="F1046">
        <f>B1046*(hospitalityq!F1046="")</f>
        <v>0</v>
      </c>
      <c r="G1046">
        <f>B1046*(hospitalityq!G1046="")</f>
        <v>0</v>
      </c>
      <c r="H1046">
        <f>B1046*(hospitalityq!H1046="")</f>
        <v>0</v>
      </c>
      <c r="I1046">
        <f>B1046*(hospitalityq!I1046="")</f>
        <v>0</v>
      </c>
      <c r="J1046">
        <f>B1046*(hospitalityq!J1046="")</f>
        <v>0</v>
      </c>
      <c r="K1046">
        <f>B1046*(hospitalityq!K1046="")</f>
        <v>0</v>
      </c>
      <c r="L1046">
        <f>B1046*(hospitalityq!L1046="")</f>
        <v>0</v>
      </c>
      <c r="M1046">
        <f>B1046*(hospitalityq!M1046="")</f>
        <v>0</v>
      </c>
      <c r="N1046">
        <f>B1046*(hospitalityq!N1046="")</f>
        <v>0</v>
      </c>
      <c r="O1046">
        <f>B1046*(hospitalityq!O1046="")</f>
        <v>0</v>
      </c>
      <c r="P1046">
        <f>B1046*(hospitalityq!P1046="")</f>
        <v>0</v>
      </c>
      <c r="Q1046">
        <f>B1046*(hospitalityq!Q1046="")</f>
        <v>0</v>
      </c>
      <c r="R1046">
        <f>B1046*(hospitalityq!R1046="")</f>
        <v>0</v>
      </c>
    </row>
    <row r="1047" spans="1:18" x14ac:dyDescent="0.25">
      <c r="A1047">
        <f t="shared" si="17"/>
        <v>0</v>
      </c>
      <c r="B1047" t="b">
        <f>SUMPRODUCT(LEN(hospitalityq!C1047:R1047))&gt;0</f>
        <v>0</v>
      </c>
      <c r="C1047">
        <f>B1047*(hospitalityq!C1047="")</f>
        <v>0</v>
      </c>
      <c r="E1047">
        <f>B1047*(hospitalityq!E1047="")</f>
        <v>0</v>
      </c>
      <c r="F1047">
        <f>B1047*(hospitalityq!F1047="")</f>
        <v>0</v>
      </c>
      <c r="G1047">
        <f>B1047*(hospitalityq!G1047="")</f>
        <v>0</v>
      </c>
      <c r="H1047">
        <f>B1047*(hospitalityq!H1047="")</f>
        <v>0</v>
      </c>
      <c r="I1047">
        <f>B1047*(hospitalityq!I1047="")</f>
        <v>0</v>
      </c>
      <c r="J1047">
        <f>B1047*(hospitalityq!J1047="")</f>
        <v>0</v>
      </c>
      <c r="K1047">
        <f>B1047*(hospitalityq!K1047="")</f>
        <v>0</v>
      </c>
      <c r="L1047">
        <f>B1047*(hospitalityq!L1047="")</f>
        <v>0</v>
      </c>
      <c r="M1047">
        <f>B1047*(hospitalityq!M1047="")</f>
        <v>0</v>
      </c>
      <c r="N1047">
        <f>B1047*(hospitalityq!N1047="")</f>
        <v>0</v>
      </c>
      <c r="O1047">
        <f>B1047*(hospitalityq!O1047="")</f>
        <v>0</v>
      </c>
      <c r="P1047">
        <f>B1047*(hospitalityq!P1047="")</f>
        <v>0</v>
      </c>
      <c r="Q1047">
        <f>B1047*(hospitalityq!Q1047="")</f>
        <v>0</v>
      </c>
      <c r="R1047">
        <f>B1047*(hospitalityq!R1047="")</f>
        <v>0</v>
      </c>
    </row>
    <row r="1048" spans="1:18" x14ac:dyDescent="0.25">
      <c r="A1048">
        <f t="shared" si="17"/>
        <v>0</v>
      </c>
      <c r="B1048" t="b">
        <f>SUMPRODUCT(LEN(hospitalityq!C1048:R1048))&gt;0</f>
        <v>0</v>
      </c>
      <c r="C1048">
        <f>B1048*(hospitalityq!C1048="")</f>
        <v>0</v>
      </c>
      <c r="E1048">
        <f>B1048*(hospitalityq!E1048="")</f>
        <v>0</v>
      </c>
      <c r="F1048">
        <f>B1048*(hospitalityq!F1048="")</f>
        <v>0</v>
      </c>
      <c r="G1048">
        <f>B1048*(hospitalityq!G1048="")</f>
        <v>0</v>
      </c>
      <c r="H1048">
        <f>B1048*(hospitalityq!H1048="")</f>
        <v>0</v>
      </c>
      <c r="I1048">
        <f>B1048*(hospitalityq!I1048="")</f>
        <v>0</v>
      </c>
      <c r="J1048">
        <f>B1048*(hospitalityq!J1048="")</f>
        <v>0</v>
      </c>
      <c r="K1048">
        <f>B1048*(hospitalityq!K1048="")</f>
        <v>0</v>
      </c>
      <c r="L1048">
        <f>B1048*(hospitalityq!L1048="")</f>
        <v>0</v>
      </c>
      <c r="M1048">
        <f>B1048*(hospitalityq!M1048="")</f>
        <v>0</v>
      </c>
      <c r="N1048">
        <f>B1048*(hospitalityq!N1048="")</f>
        <v>0</v>
      </c>
      <c r="O1048">
        <f>B1048*(hospitalityq!O1048="")</f>
        <v>0</v>
      </c>
      <c r="P1048">
        <f>B1048*(hospitalityq!P1048="")</f>
        <v>0</v>
      </c>
      <c r="Q1048">
        <f>B1048*(hospitalityq!Q1048="")</f>
        <v>0</v>
      </c>
      <c r="R1048">
        <f>B1048*(hospitalityq!R1048="")</f>
        <v>0</v>
      </c>
    </row>
    <row r="1049" spans="1:18" x14ac:dyDescent="0.25">
      <c r="A1049">
        <f t="shared" si="17"/>
        <v>0</v>
      </c>
      <c r="B1049" t="b">
        <f>SUMPRODUCT(LEN(hospitalityq!C1049:R1049))&gt;0</f>
        <v>0</v>
      </c>
      <c r="C1049">
        <f>B1049*(hospitalityq!C1049="")</f>
        <v>0</v>
      </c>
      <c r="E1049">
        <f>B1049*(hospitalityq!E1049="")</f>
        <v>0</v>
      </c>
      <c r="F1049">
        <f>B1049*(hospitalityq!F1049="")</f>
        <v>0</v>
      </c>
      <c r="G1049">
        <f>B1049*(hospitalityq!G1049="")</f>
        <v>0</v>
      </c>
      <c r="H1049">
        <f>B1049*(hospitalityq!H1049="")</f>
        <v>0</v>
      </c>
      <c r="I1049">
        <f>B1049*(hospitalityq!I1049="")</f>
        <v>0</v>
      </c>
      <c r="J1049">
        <f>B1049*(hospitalityq!J1049="")</f>
        <v>0</v>
      </c>
      <c r="K1049">
        <f>B1049*(hospitalityq!K1049="")</f>
        <v>0</v>
      </c>
      <c r="L1049">
        <f>B1049*(hospitalityq!L1049="")</f>
        <v>0</v>
      </c>
      <c r="M1049">
        <f>B1049*(hospitalityq!M1049="")</f>
        <v>0</v>
      </c>
      <c r="N1049">
        <f>B1049*(hospitalityq!N1049="")</f>
        <v>0</v>
      </c>
      <c r="O1049">
        <f>B1049*(hospitalityq!O1049="")</f>
        <v>0</v>
      </c>
      <c r="P1049">
        <f>B1049*(hospitalityq!P1049="")</f>
        <v>0</v>
      </c>
      <c r="Q1049">
        <f>B1049*(hospitalityq!Q1049="")</f>
        <v>0</v>
      </c>
      <c r="R1049">
        <f>B1049*(hospitalityq!R1049="")</f>
        <v>0</v>
      </c>
    </row>
    <row r="1050" spans="1:18" x14ac:dyDescent="0.25">
      <c r="A1050">
        <f t="shared" si="17"/>
        <v>0</v>
      </c>
      <c r="B1050" t="b">
        <f>SUMPRODUCT(LEN(hospitalityq!C1050:R1050))&gt;0</f>
        <v>0</v>
      </c>
      <c r="C1050">
        <f>B1050*(hospitalityq!C1050="")</f>
        <v>0</v>
      </c>
      <c r="E1050">
        <f>B1050*(hospitalityq!E1050="")</f>
        <v>0</v>
      </c>
      <c r="F1050">
        <f>B1050*(hospitalityq!F1050="")</f>
        <v>0</v>
      </c>
      <c r="G1050">
        <f>B1050*(hospitalityq!G1050="")</f>
        <v>0</v>
      </c>
      <c r="H1050">
        <f>B1050*(hospitalityq!H1050="")</f>
        <v>0</v>
      </c>
      <c r="I1050">
        <f>B1050*(hospitalityq!I1050="")</f>
        <v>0</v>
      </c>
      <c r="J1050">
        <f>B1050*(hospitalityq!J1050="")</f>
        <v>0</v>
      </c>
      <c r="K1050">
        <f>B1050*(hospitalityq!K1050="")</f>
        <v>0</v>
      </c>
      <c r="L1050">
        <f>B1050*(hospitalityq!L1050="")</f>
        <v>0</v>
      </c>
      <c r="M1050">
        <f>B1050*(hospitalityq!M1050="")</f>
        <v>0</v>
      </c>
      <c r="N1050">
        <f>B1050*(hospitalityq!N1050="")</f>
        <v>0</v>
      </c>
      <c r="O1050">
        <f>B1050*(hospitalityq!O1050="")</f>
        <v>0</v>
      </c>
      <c r="P1050">
        <f>B1050*(hospitalityq!P1050="")</f>
        <v>0</v>
      </c>
      <c r="Q1050">
        <f>B1050*(hospitalityq!Q1050="")</f>
        <v>0</v>
      </c>
      <c r="R1050">
        <f>B1050*(hospitalityq!R1050="")</f>
        <v>0</v>
      </c>
    </row>
    <row r="1051" spans="1:18" x14ac:dyDescent="0.25">
      <c r="A1051">
        <f t="shared" si="17"/>
        <v>0</v>
      </c>
      <c r="B1051" t="b">
        <f>SUMPRODUCT(LEN(hospitalityq!C1051:R1051))&gt;0</f>
        <v>0</v>
      </c>
      <c r="C1051">
        <f>B1051*(hospitalityq!C1051="")</f>
        <v>0</v>
      </c>
      <c r="E1051">
        <f>B1051*(hospitalityq!E1051="")</f>
        <v>0</v>
      </c>
      <c r="F1051">
        <f>B1051*(hospitalityq!F1051="")</f>
        <v>0</v>
      </c>
      <c r="G1051">
        <f>B1051*(hospitalityq!G1051="")</f>
        <v>0</v>
      </c>
      <c r="H1051">
        <f>B1051*(hospitalityq!H1051="")</f>
        <v>0</v>
      </c>
      <c r="I1051">
        <f>B1051*(hospitalityq!I1051="")</f>
        <v>0</v>
      </c>
      <c r="J1051">
        <f>B1051*(hospitalityq!J1051="")</f>
        <v>0</v>
      </c>
      <c r="K1051">
        <f>B1051*(hospitalityq!K1051="")</f>
        <v>0</v>
      </c>
      <c r="L1051">
        <f>B1051*(hospitalityq!L1051="")</f>
        <v>0</v>
      </c>
      <c r="M1051">
        <f>B1051*(hospitalityq!M1051="")</f>
        <v>0</v>
      </c>
      <c r="N1051">
        <f>B1051*(hospitalityq!N1051="")</f>
        <v>0</v>
      </c>
      <c r="O1051">
        <f>B1051*(hospitalityq!O1051="")</f>
        <v>0</v>
      </c>
      <c r="P1051">
        <f>B1051*(hospitalityq!P1051="")</f>
        <v>0</v>
      </c>
      <c r="Q1051">
        <f>B1051*(hospitalityq!Q1051="")</f>
        <v>0</v>
      </c>
      <c r="R1051">
        <f>B1051*(hospitalityq!R1051="")</f>
        <v>0</v>
      </c>
    </row>
    <row r="1052" spans="1:18" x14ac:dyDescent="0.25">
      <c r="A1052">
        <f t="shared" si="17"/>
        <v>0</v>
      </c>
      <c r="B1052" t="b">
        <f>SUMPRODUCT(LEN(hospitalityq!C1052:R1052))&gt;0</f>
        <v>0</v>
      </c>
      <c r="C1052">
        <f>B1052*(hospitalityq!C1052="")</f>
        <v>0</v>
      </c>
      <c r="E1052">
        <f>B1052*(hospitalityq!E1052="")</f>
        <v>0</v>
      </c>
      <c r="F1052">
        <f>B1052*(hospitalityq!F1052="")</f>
        <v>0</v>
      </c>
      <c r="G1052">
        <f>B1052*(hospitalityq!G1052="")</f>
        <v>0</v>
      </c>
      <c r="H1052">
        <f>B1052*(hospitalityq!H1052="")</f>
        <v>0</v>
      </c>
      <c r="I1052">
        <f>B1052*(hospitalityq!I1052="")</f>
        <v>0</v>
      </c>
      <c r="J1052">
        <f>B1052*(hospitalityq!J1052="")</f>
        <v>0</v>
      </c>
      <c r="K1052">
        <f>B1052*(hospitalityq!K1052="")</f>
        <v>0</v>
      </c>
      <c r="L1052">
        <f>B1052*(hospitalityq!L1052="")</f>
        <v>0</v>
      </c>
      <c r="M1052">
        <f>B1052*(hospitalityq!M1052="")</f>
        <v>0</v>
      </c>
      <c r="N1052">
        <f>B1052*(hospitalityq!N1052="")</f>
        <v>0</v>
      </c>
      <c r="O1052">
        <f>B1052*(hospitalityq!O1052="")</f>
        <v>0</v>
      </c>
      <c r="P1052">
        <f>B1052*(hospitalityq!P1052="")</f>
        <v>0</v>
      </c>
      <c r="Q1052">
        <f>B1052*(hospitalityq!Q1052="")</f>
        <v>0</v>
      </c>
      <c r="R1052">
        <f>B1052*(hospitalityq!R1052="")</f>
        <v>0</v>
      </c>
    </row>
    <row r="1053" spans="1:18" x14ac:dyDescent="0.25">
      <c r="A1053">
        <f t="shared" si="17"/>
        <v>0</v>
      </c>
      <c r="B1053" t="b">
        <f>SUMPRODUCT(LEN(hospitalityq!C1053:R1053))&gt;0</f>
        <v>0</v>
      </c>
      <c r="C1053">
        <f>B1053*(hospitalityq!C1053="")</f>
        <v>0</v>
      </c>
      <c r="E1053">
        <f>B1053*(hospitalityq!E1053="")</f>
        <v>0</v>
      </c>
      <c r="F1053">
        <f>B1053*(hospitalityq!F1053="")</f>
        <v>0</v>
      </c>
      <c r="G1053">
        <f>B1053*(hospitalityq!G1053="")</f>
        <v>0</v>
      </c>
      <c r="H1053">
        <f>B1053*(hospitalityq!H1053="")</f>
        <v>0</v>
      </c>
      <c r="I1053">
        <f>B1053*(hospitalityq!I1053="")</f>
        <v>0</v>
      </c>
      <c r="J1053">
        <f>B1053*(hospitalityq!J1053="")</f>
        <v>0</v>
      </c>
      <c r="K1053">
        <f>B1053*(hospitalityq!K1053="")</f>
        <v>0</v>
      </c>
      <c r="L1053">
        <f>B1053*(hospitalityq!L1053="")</f>
        <v>0</v>
      </c>
      <c r="M1053">
        <f>B1053*(hospitalityq!M1053="")</f>
        <v>0</v>
      </c>
      <c r="N1053">
        <f>B1053*(hospitalityq!N1053="")</f>
        <v>0</v>
      </c>
      <c r="O1053">
        <f>B1053*(hospitalityq!O1053="")</f>
        <v>0</v>
      </c>
      <c r="P1053">
        <f>B1053*(hospitalityq!P1053="")</f>
        <v>0</v>
      </c>
      <c r="Q1053">
        <f>B1053*(hospitalityq!Q1053="")</f>
        <v>0</v>
      </c>
      <c r="R1053">
        <f>B1053*(hospitalityq!R1053="")</f>
        <v>0</v>
      </c>
    </row>
    <row r="1054" spans="1:18" x14ac:dyDescent="0.25">
      <c r="A1054">
        <f t="shared" si="17"/>
        <v>0</v>
      </c>
      <c r="B1054" t="b">
        <f>SUMPRODUCT(LEN(hospitalityq!C1054:R1054))&gt;0</f>
        <v>0</v>
      </c>
      <c r="C1054">
        <f>B1054*(hospitalityq!C1054="")</f>
        <v>0</v>
      </c>
      <c r="E1054">
        <f>B1054*(hospitalityq!E1054="")</f>
        <v>0</v>
      </c>
      <c r="F1054">
        <f>B1054*(hospitalityq!F1054="")</f>
        <v>0</v>
      </c>
      <c r="G1054">
        <f>B1054*(hospitalityq!G1054="")</f>
        <v>0</v>
      </c>
      <c r="H1054">
        <f>B1054*(hospitalityq!H1054="")</f>
        <v>0</v>
      </c>
      <c r="I1054">
        <f>B1054*(hospitalityq!I1054="")</f>
        <v>0</v>
      </c>
      <c r="J1054">
        <f>B1054*(hospitalityq!J1054="")</f>
        <v>0</v>
      </c>
      <c r="K1054">
        <f>B1054*(hospitalityq!K1054="")</f>
        <v>0</v>
      </c>
      <c r="L1054">
        <f>B1054*(hospitalityq!L1054="")</f>
        <v>0</v>
      </c>
      <c r="M1054">
        <f>B1054*(hospitalityq!M1054="")</f>
        <v>0</v>
      </c>
      <c r="N1054">
        <f>B1054*(hospitalityq!N1054="")</f>
        <v>0</v>
      </c>
      <c r="O1054">
        <f>B1054*(hospitalityq!O1054="")</f>
        <v>0</v>
      </c>
      <c r="P1054">
        <f>B1054*(hospitalityq!P1054="")</f>
        <v>0</v>
      </c>
      <c r="Q1054">
        <f>B1054*(hospitalityq!Q1054="")</f>
        <v>0</v>
      </c>
      <c r="R1054">
        <f>B1054*(hospitalityq!R1054="")</f>
        <v>0</v>
      </c>
    </row>
    <row r="1055" spans="1:18" x14ac:dyDescent="0.25">
      <c r="A1055">
        <f t="shared" si="17"/>
        <v>0</v>
      </c>
      <c r="B1055" t="b">
        <f>SUMPRODUCT(LEN(hospitalityq!C1055:R1055))&gt;0</f>
        <v>0</v>
      </c>
      <c r="C1055">
        <f>B1055*(hospitalityq!C1055="")</f>
        <v>0</v>
      </c>
      <c r="E1055">
        <f>B1055*(hospitalityq!E1055="")</f>
        <v>0</v>
      </c>
      <c r="F1055">
        <f>B1055*(hospitalityq!F1055="")</f>
        <v>0</v>
      </c>
      <c r="G1055">
        <f>B1055*(hospitalityq!G1055="")</f>
        <v>0</v>
      </c>
      <c r="H1055">
        <f>B1055*(hospitalityq!H1055="")</f>
        <v>0</v>
      </c>
      <c r="I1055">
        <f>B1055*(hospitalityq!I1055="")</f>
        <v>0</v>
      </c>
      <c r="J1055">
        <f>B1055*(hospitalityq!J1055="")</f>
        <v>0</v>
      </c>
      <c r="K1055">
        <f>B1055*(hospitalityq!K1055="")</f>
        <v>0</v>
      </c>
      <c r="L1055">
        <f>B1055*(hospitalityq!L1055="")</f>
        <v>0</v>
      </c>
      <c r="M1055">
        <f>B1055*(hospitalityq!M1055="")</f>
        <v>0</v>
      </c>
      <c r="N1055">
        <f>B1055*(hospitalityq!N1055="")</f>
        <v>0</v>
      </c>
      <c r="O1055">
        <f>B1055*(hospitalityq!O1055="")</f>
        <v>0</v>
      </c>
      <c r="P1055">
        <f>B1055*(hospitalityq!P1055="")</f>
        <v>0</v>
      </c>
      <c r="Q1055">
        <f>B1055*(hospitalityq!Q1055="")</f>
        <v>0</v>
      </c>
      <c r="R1055">
        <f>B1055*(hospitalityq!R1055="")</f>
        <v>0</v>
      </c>
    </row>
    <row r="1056" spans="1:18" x14ac:dyDescent="0.25">
      <c r="A1056">
        <f t="shared" si="17"/>
        <v>0</v>
      </c>
      <c r="B1056" t="b">
        <f>SUMPRODUCT(LEN(hospitalityq!C1056:R1056))&gt;0</f>
        <v>0</v>
      </c>
      <c r="C1056">
        <f>B1056*(hospitalityq!C1056="")</f>
        <v>0</v>
      </c>
      <c r="E1056">
        <f>B1056*(hospitalityq!E1056="")</f>
        <v>0</v>
      </c>
      <c r="F1056">
        <f>B1056*(hospitalityq!F1056="")</f>
        <v>0</v>
      </c>
      <c r="G1056">
        <f>B1056*(hospitalityq!G1056="")</f>
        <v>0</v>
      </c>
      <c r="H1056">
        <f>B1056*(hospitalityq!H1056="")</f>
        <v>0</v>
      </c>
      <c r="I1056">
        <f>B1056*(hospitalityq!I1056="")</f>
        <v>0</v>
      </c>
      <c r="J1056">
        <f>B1056*(hospitalityq!J1056="")</f>
        <v>0</v>
      </c>
      <c r="K1056">
        <f>B1056*(hospitalityq!K1056="")</f>
        <v>0</v>
      </c>
      <c r="L1056">
        <f>B1056*(hospitalityq!L1056="")</f>
        <v>0</v>
      </c>
      <c r="M1056">
        <f>B1056*(hospitalityq!M1056="")</f>
        <v>0</v>
      </c>
      <c r="N1056">
        <f>B1056*(hospitalityq!N1056="")</f>
        <v>0</v>
      </c>
      <c r="O1056">
        <f>B1056*(hospitalityq!O1056="")</f>
        <v>0</v>
      </c>
      <c r="P1056">
        <f>B1056*(hospitalityq!P1056="")</f>
        <v>0</v>
      </c>
      <c r="Q1056">
        <f>B1056*(hospitalityq!Q1056="")</f>
        <v>0</v>
      </c>
      <c r="R1056">
        <f>B1056*(hospitalityq!R1056="")</f>
        <v>0</v>
      </c>
    </row>
    <row r="1057" spans="1:18" x14ac:dyDescent="0.25">
      <c r="A1057">
        <f t="shared" si="17"/>
        <v>0</v>
      </c>
      <c r="B1057" t="b">
        <f>SUMPRODUCT(LEN(hospitalityq!C1057:R1057))&gt;0</f>
        <v>0</v>
      </c>
      <c r="C1057">
        <f>B1057*(hospitalityq!C1057="")</f>
        <v>0</v>
      </c>
      <c r="E1057">
        <f>B1057*(hospitalityq!E1057="")</f>
        <v>0</v>
      </c>
      <c r="F1057">
        <f>B1057*(hospitalityq!F1057="")</f>
        <v>0</v>
      </c>
      <c r="G1057">
        <f>B1057*(hospitalityq!G1057="")</f>
        <v>0</v>
      </c>
      <c r="H1057">
        <f>B1057*(hospitalityq!H1057="")</f>
        <v>0</v>
      </c>
      <c r="I1057">
        <f>B1057*(hospitalityq!I1057="")</f>
        <v>0</v>
      </c>
      <c r="J1057">
        <f>B1057*(hospitalityq!J1057="")</f>
        <v>0</v>
      </c>
      <c r="K1057">
        <f>B1057*(hospitalityq!K1057="")</f>
        <v>0</v>
      </c>
      <c r="L1057">
        <f>B1057*(hospitalityq!L1057="")</f>
        <v>0</v>
      </c>
      <c r="M1057">
        <f>B1057*(hospitalityq!M1057="")</f>
        <v>0</v>
      </c>
      <c r="N1057">
        <f>B1057*(hospitalityq!N1057="")</f>
        <v>0</v>
      </c>
      <c r="O1057">
        <f>B1057*(hospitalityq!O1057="")</f>
        <v>0</v>
      </c>
      <c r="P1057">
        <f>B1057*(hospitalityq!P1057="")</f>
        <v>0</v>
      </c>
      <c r="Q1057">
        <f>B1057*(hospitalityq!Q1057="")</f>
        <v>0</v>
      </c>
      <c r="R1057">
        <f>B1057*(hospitalityq!R1057="")</f>
        <v>0</v>
      </c>
    </row>
    <row r="1058" spans="1:18" x14ac:dyDescent="0.25">
      <c r="A1058">
        <f t="shared" si="17"/>
        <v>0</v>
      </c>
      <c r="B1058" t="b">
        <f>SUMPRODUCT(LEN(hospitalityq!C1058:R1058))&gt;0</f>
        <v>0</v>
      </c>
      <c r="C1058">
        <f>B1058*(hospitalityq!C1058="")</f>
        <v>0</v>
      </c>
      <c r="E1058">
        <f>B1058*(hospitalityq!E1058="")</f>
        <v>0</v>
      </c>
      <c r="F1058">
        <f>B1058*(hospitalityq!F1058="")</f>
        <v>0</v>
      </c>
      <c r="G1058">
        <f>B1058*(hospitalityq!G1058="")</f>
        <v>0</v>
      </c>
      <c r="H1058">
        <f>B1058*(hospitalityq!H1058="")</f>
        <v>0</v>
      </c>
      <c r="I1058">
        <f>B1058*(hospitalityq!I1058="")</f>
        <v>0</v>
      </c>
      <c r="J1058">
        <f>B1058*(hospitalityq!J1058="")</f>
        <v>0</v>
      </c>
      <c r="K1058">
        <f>B1058*(hospitalityq!K1058="")</f>
        <v>0</v>
      </c>
      <c r="L1058">
        <f>B1058*(hospitalityq!L1058="")</f>
        <v>0</v>
      </c>
      <c r="M1058">
        <f>B1058*(hospitalityq!M1058="")</f>
        <v>0</v>
      </c>
      <c r="N1058">
        <f>B1058*(hospitalityq!N1058="")</f>
        <v>0</v>
      </c>
      <c r="O1058">
        <f>B1058*(hospitalityq!O1058="")</f>
        <v>0</v>
      </c>
      <c r="P1058">
        <f>B1058*(hospitalityq!P1058="")</f>
        <v>0</v>
      </c>
      <c r="Q1058">
        <f>B1058*(hospitalityq!Q1058="")</f>
        <v>0</v>
      </c>
      <c r="R1058">
        <f>B1058*(hospitalityq!R1058="")</f>
        <v>0</v>
      </c>
    </row>
    <row r="1059" spans="1:18" x14ac:dyDescent="0.25">
      <c r="A1059">
        <f t="shared" si="17"/>
        <v>0</v>
      </c>
      <c r="B1059" t="b">
        <f>SUMPRODUCT(LEN(hospitalityq!C1059:R1059))&gt;0</f>
        <v>0</v>
      </c>
      <c r="C1059">
        <f>B1059*(hospitalityq!C1059="")</f>
        <v>0</v>
      </c>
      <c r="E1059">
        <f>B1059*(hospitalityq!E1059="")</f>
        <v>0</v>
      </c>
      <c r="F1059">
        <f>B1059*(hospitalityq!F1059="")</f>
        <v>0</v>
      </c>
      <c r="G1059">
        <f>B1059*(hospitalityq!G1059="")</f>
        <v>0</v>
      </c>
      <c r="H1059">
        <f>B1059*(hospitalityq!H1059="")</f>
        <v>0</v>
      </c>
      <c r="I1059">
        <f>B1059*(hospitalityq!I1059="")</f>
        <v>0</v>
      </c>
      <c r="J1059">
        <f>B1059*(hospitalityq!J1059="")</f>
        <v>0</v>
      </c>
      <c r="K1059">
        <f>B1059*(hospitalityq!K1059="")</f>
        <v>0</v>
      </c>
      <c r="L1059">
        <f>B1059*(hospitalityq!L1059="")</f>
        <v>0</v>
      </c>
      <c r="M1059">
        <f>B1059*(hospitalityq!M1059="")</f>
        <v>0</v>
      </c>
      <c r="N1059">
        <f>B1059*(hospitalityq!N1059="")</f>
        <v>0</v>
      </c>
      <c r="O1059">
        <f>B1059*(hospitalityq!O1059="")</f>
        <v>0</v>
      </c>
      <c r="P1059">
        <f>B1059*(hospitalityq!P1059="")</f>
        <v>0</v>
      </c>
      <c r="Q1059">
        <f>B1059*(hospitalityq!Q1059="")</f>
        <v>0</v>
      </c>
      <c r="R1059">
        <f>B1059*(hospitalityq!R1059="")</f>
        <v>0</v>
      </c>
    </row>
    <row r="1060" spans="1:18" x14ac:dyDescent="0.25">
      <c r="A1060">
        <f t="shared" si="17"/>
        <v>0</v>
      </c>
      <c r="B1060" t="b">
        <f>SUMPRODUCT(LEN(hospitalityq!C1060:R1060))&gt;0</f>
        <v>0</v>
      </c>
      <c r="C1060">
        <f>B1060*(hospitalityq!C1060="")</f>
        <v>0</v>
      </c>
      <c r="E1060">
        <f>B1060*(hospitalityq!E1060="")</f>
        <v>0</v>
      </c>
      <c r="F1060">
        <f>B1060*(hospitalityq!F1060="")</f>
        <v>0</v>
      </c>
      <c r="G1060">
        <f>B1060*(hospitalityq!G1060="")</f>
        <v>0</v>
      </c>
      <c r="H1060">
        <f>B1060*(hospitalityq!H1060="")</f>
        <v>0</v>
      </c>
      <c r="I1060">
        <f>B1060*(hospitalityq!I1060="")</f>
        <v>0</v>
      </c>
      <c r="J1060">
        <f>B1060*(hospitalityq!J1060="")</f>
        <v>0</v>
      </c>
      <c r="K1060">
        <f>B1060*(hospitalityq!K1060="")</f>
        <v>0</v>
      </c>
      <c r="L1060">
        <f>B1060*(hospitalityq!L1060="")</f>
        <v>0</v>
      </c>
      <c r="M1060">
        <f>B1060*(hospitalityq!M1060="")</f>
        <v>0</v>
      </c>
      <c r="N1060">
        <f>B1060*(hospitalityq!N1060="")</f>
        <v>0</v>
      </c>
      <c r="O1060">
        <f>B1060*(hospitalityq!O1060="")</f>
        <v>0</v>
      </c>
      <c r="P1060">
        <f>B1060*(hospitalityq!P1060="")</f>
        <v>0</v>
      </c>
      <c r="Q1060">
        <f>B1060*(hospitalityq!Q1060="")</f>
        <v>0</v>
      </c>
      <c r="R1060">
        <f>B1060*(hospitalityq!R1060="")</f>
        <v>0</v>
      </c>
    </row>
    <row r="1061" spans="1:18" x14ac:dyDescent="0.25">
      <c r="A1061">
        <f t="shared" si="17"/>
        <v>0</v>
      </c>
      <c r="B1061" t="b">
        <f>SUMPRODUCT(LEN(hospitalityq!C1061:R1061))&gt;0</f>
        <v>0</v>
      </c>
      <c r="C1061">
        <f>B1061*(hospitalityq!C1061="")</f>
        <v>0</v>
      </c>
      <c r="E1061">
        <f>B1061*(hospitalityq!E1061="")</f>
        <v>0</v>
      </c>
      <c r="F1061">
        <f>B1061*(hospitalityq!F1061="")</f>
        <v>0</v>
      </c>
      <c r="G1061">
        <f>B1061*(hospitalityq!G1061="")</f>
        <v>0</v>
      </c>
      <c r="H1061">
        <f>B1061*(hospitalityq!H1061="")</f>
        <v>0</v>
      </c>
      <c r="I1061">
        <f>B1061*(hospitalityq!I1061="")</f>
        <v>0</v>
      </c>
      <c r="J1061">
        <f>B1061*(hospitalityq!J1061="")</f>
        <v>0</v>
      </c>
      <c r="K1061">
        <f>B1061*(hospitalityq!K1061="")</f>
        <v>0</v>
      </c>
      <c r="L1061">
        <f>B1061*(hospitalityq!L1061="")</f>
        <v>0</v>
      </c>
      <c r="M1061">
        <f>B1061*(hospitalityq!M1061="")</f>
        <v>0</v>
      </c>
      <c r="N1061">
        <f>B1061*(hospitalityq!N1061="")</f>
        <v>0</v>
      </c>
      <c r="O1061">
        <f>B1061*(hospitalityq!O1061="")</f>
        <v>0</v>
      </c>
      <c r="P1061">
        <f>B1061*(hospitalityq!P1061="")</f>
        <v>0</v>
      </c>
      <c r="Q1061">
        <f>B1061*(hospitalityq!Q1061="")</f>
        <v>0</v>
      </c>
      <c r="R1061">
        <f>B1061*(hospitalityq!R1061="")</f>
        <v>0</v>
      </c>
    </row>
    <row r="1062" spans="1:18" x14ac:dyDescent="0.25">
      <c r="A1062">
        <f t="shared" si="17"/>
        <v>0</v>
      </c>
      <c r="B1062" t="b">
        <f>SUMPRODUCT(LEN(hospitalityq!C1062:R1062))&gt;0</f>
        <v>0</v>
      </c>
      <c r="C1062">
        <f>B1062*(hospitalityq!C1062="")</f>
        <v>0</v>
      </c>
      <c r="E1062">
        <f>B1062*(hospitalityq!E1062="")</f>
        <v>0</v>
      </c>
      <c r="F1062">
        <f>B1062*(hospitalityq!F1062="")</f>
        <v>0</v>
      </c>
      <c r="G1062">
        <f>B1062*(hospitalityq!G1062="")</f>
        <v>0</v>
      </c>
      <c r="H1062">
        <f>B1062*(hospitalityq!H1062="")</f>
        <v>0</v>
      </c>
      <c r="I1062">
        <f>B1062*(hospitalityq!I1062="")</f>
        <v>0</v>
      </c>
      <c r="J1062">
        <f>B1062*(hospitalityq!J1062="")</f>
        <v>0</v>
      </c>
      <c r="K1062">
        <f>B1062*(hospitalityq!K1062="")</f>
        <v>0</v>
      </c>
      <c r="L1062">
        <f>B1062*(hospitalityq!L1062="")</f>
        <v>0</v>
      </c>
      <c r="M1062">
        <f>B1062*(hospitalityq!M1062="")</f>
        <v>0</v>
      </c>
      <c r="N1062">
        <f>B1062*(hospitalityq!N1062="")</f>
        <v>0</v>
      </c>
      <c r="O1062">
        <f>B1062*(hospitalityq!O1062="")</f>
        <v>0</v>
      </c>
      <c r="P1062">
        <f>B1062*(hospitalityq!P1062="")</f>
        <v>0</v>
      </c>
      <c r="Q1062">
        <f>B1062*(hospitalityq!Q1062="")</f>
        <v>0</v>
      </c>
      <c r="R1062">
        <f>B1062*(hospitalityq!R1062="")</f>
        <v>0</v>
      </c>
    </row>
    <row r="1063" spans="1:18" x14ac:dyDescent="0.25">
      <c r="A1063">
        <f t="shared" si="17"/>
        <v>0</v>
      </c>
      <c r="B1063" t="b">
        <f>SUMPRODUCT(LEN(hospitalityq!C1063:R1063))&gt;0</f>
        <v>0</v>
      </c>
      <c r="C1063">
        <f>B1063*(hospitalityq!C1063="")</f>
        <v>0</v>
      </c>
      <c r="E1063">
        <f>B1063*(hospitalityq!E1063="")</f>
        <v>0</v>
      </c>
      <c r="F1063">
        <f>B1063*(hospitalityq!F1063="")</f>
        <v>0</v>
      </c>
      <c r="G1063">
        <f>B1063*(hospitalityq!G1063="")</f>
        <v>0</v>
      </c>
      <c r="H1063">
        <f>B1063*(hospitalityq!H1063="")</f>
        <v>0</v>
      </c>
      <c r="I1063">
        <f>B1063*(hospitalityq!I1063="")</f>
        <v>0</v>
      </c>
      <c r="J1063">
        <f>B1063*(hospitalityq!J1063="")</f>
        <v>0</v>
      </c>
      <c r="K1063">
        <f>B1063*(hospitalityq!K1063="")</f>
        <v>0</v>
      </c>
      <c r="L1063">
        <f>B1063*(hospitalityq!L1063="")</f>
        <v>0</v>
      </c>
      <c r="M1063">
        <f>B1063*(hospitalityq!M1063="")</f>
        <v>0</v>
      </c>
      <c r="N1063">
        <f>B1063*(hospitalityq!N1063="")</f>
        <v>0</v>
      </c>
      <c r="O1063">
        <f>B1063*(hospitalityq!O1063="")</f>
        <v>0</v>
      </c>
      <c r="P1063">
        <f>B1063*(hospitalityq!P1063="")</f>
        <v>0</v>
      </c>
      <c r="Q1063">
        <f>B1063*(hospitalityq!Q1063="")</f>
        <v>0</v>
      </c>
      <c r="R1063">
        <f>B1063*(hospitalityq!R1063="")</f>
        <v>0</v>
      </c>
    </row>
    <row r="1064" spans="1:18" x14ac:dyDescent="0.25">
      <c r="A1064">
        <f t="shared" si="17"/>
        <v>0</v>
      </c>
      <c r="B1064" t="b">
        <f>SUMPRODUCT(LEN(hospitalityq!C1064:R1064))&gt;0</f>
        <v>0</v>
      </c>
      <c r="C1064">
        <f>B1064*(hospitalityq!C1064="")</f>
        <v>0</v>
      </c>
      <c r="E1064">
        <f>B1064*(hospitalityq!E1064="")</f>
        <v>0</v>
      </c>
      <c r="F1064">
        <f>B1064*(hospitalityq!F1064="")</f>
        <v>0</v>
      </c>
      <c r="G1064">
        <f>B1064*(hospitalityq!G1064="")</f>
        <v>0</v>
      </c>
      <c r="H1064">
        <f>B1064*(hospitalityq!H1064="")</f>
        <v>0</v>
      </c>
      <c r="I1064">
        <f>B1064*(hospitalityq!I1064="")</f>
        <v>0</v>
      </c>
      <c r="J1064">
        <f>B1064*(hospitalityq!J1064="")</f>
        <v>0</v>
      </c>
      <c r="K1064">
        <f>B1064*(hospitalityq!K1064="")</f>
        <v>0</v>
      </c>
      <c r="L1064">
        <f>B1064*(hospitalityq!L1064="")</f>
        <v>0</v>
      </c>
      <c r="M1064">
        <f>B1064*(hospitalityq!M1064="")</f>
        <v>0</v>
      </c>
      <c r="N1064">
        <f>B1064*(hospitalityq!N1064="")</f>
        <v>0</v>
      </c>
      <c r="O1064">
        <f>B1064*(hospitalityq!O1064="")</f>
        <v>0</v>
      </c>
      <c r="P1064">
        <f>B1064*(hospitalityq!P1064="")</f>
        <v>0</v>
      </c>
      <c r="Q1064">
        <f>B1064*(hospitalityq!Q1064="")</f>
        <v>0</v>
      </c>
      <c r="R1064">
        <f>B1064*(hospitalityq!R1064="")</f>
        <v>0</v>
      </c>
    </row>
    <row r="1065" spans="1:18" x14ac:dyDescent="0.25">
      <c r="A1065">
        <f t="shared" si="17"/>
        <v>0</v>
      </c>
      <c r="B1065" t="b">
        <f>SUMPRODUCT(LEN(hospitalityq!C1065:R1065))&gt;0</f>
        <v>0</v>
      </c>
      <c r="C1065">
        <f>B1065*(hospitalityq!C1065="")</f>
        <v>0</v>
      </c>
      <c r="E1065">
        <f>B1065*(hospitalityq!E1065="")</f>
        <v>0</v>
      </c>
      <c r="F1065">
        <f>B1065*(hospitalityq!F1065="")</f>
        <v>0</v>
      </c>
      <c r="G1065">
        <f>B1065*(hospitalityq!G1065="")</f>
        <v>0</v>
      </c>
      <c r="H1065">
        <f>B1065*(hospitalityq!H1065="")</f>
        <v>0</v>
      </c>
      <c r="I1065">
        <f>B1065*(hospitalityq!I1065="")</f>
        <v>0</v>
      </c>
      <c r="J1065">
        <f>B1065*(hospitalityq!J1065="")</f>
        <v>0</v>
      </c>
      <c r="K1065">
        <f>B1065*(hospitalityq!K1065="")</f>
        <v>0</v>
      </c>
      <c r="L1065">
        <f>B1065*(hospitalityq!L1065="")</f>
        <v>0</v>
      </c>
      <c r="M1065">
        <f>B1065*(hospitalityq!M1065="")</f>
        <v>0</v>
      </c>
      <c r="N1065">
        <f>B1065*(hospitalityq!N1065="")</f>
        <v>0</v>
      </c>
      <c r="O1065">
        <f>B1065*(hospitalityq!O1065="")</f>
        <v>0</v>
      </c>
      <c r="P1065">
        <f>B1065*(hospitalityq!P1065="")</f>
        <v>0</v>
      </c>
      <c r="Q1065">
        <f>B1065*(hospitalityq!Q1065="")</f>
        <v>0</v>
      </c>
      <c r="R1065">
        <f>B1065*(hospitalityq!R1065="")</f>
        <v>0</v>
      </c>
    </row>
    <row r="1066" spans="1:18" x14ac:dyDescent="0.25">
      <c r="A1066">
        <f t="shared" si="17"/>
        <v>0</v>
      </c>
      <c r="B1066" t="b">
        <f>SUMPRODUCT(LEN(hospitalityq!C1066:R1066))&gt;0</f>
        <v>0</v>
      </c>
      <c r="C1066">
        <f>B1066*(hospitalityq!C1066="")</f>
        <v>0</v>
      </c>
      <c r="E1066">
        <f>B1066*(hospitalityq!E1066="")</f>
        <v>0</v>
      </c>
      <c r="F1066">
        <f>B1066*(hospitalityq!F1066="")</f>
        <v>0</v>
      </c>
      <c r="G1066">
        <f>B1066*(hospitalityq!G1066="")</f>
        <v>0</v>
      </c>
      <c r="H1066">
        <f>B1066*(hospitalityq!H1066="")</f>
        <v>0</v>
      </c>
      <c r="I1066">
        <f>B1066*(hospitalityq!I1066="")</f>
        <v>0</v>
      </c>
      <c r="J1066">
        <f>B1066*(hospitalityq!J1066="")</f>
        <v>0</v>
      </c>
      <c r="K1066">
        <f>B1066*(hospitalityq!K1066="")</f>
        <v>0</v>
      </c>
      <c r="L1066">
        <f>B1066*(hospitalityq!L1066="")</f>
        <v>0</v>
      </c>
      <c r="M1066">
        <f>B1066*(hospitalityq!M1066="")</f>
        <v>0</v>
      </c>
      <c r="N1066">
        <f>B1066*(hospitalityq!N1066="")</f>
        <v>0</v>
      </c>
      <c r="O1066">
        <f>B1066*(hospitalityq!O1066="")</f>
        <v>0</v>
      </c>
      <c r="P1066">
        <f>B1066*(hospitalityq!P1066="")</f>
        <v>0</v>
      </c>
      <c r="Q1066">
        <f>B1066*(hospitalityq!Q1066="")</f>
        <v>0</v>
      </c>
      <c r="R1066">
        <f>B1066*(hospitalityq!R1066="")</f>
        <v>0</v>
      </c>
    </row>
    <row r="1067" spans="1:18" x14ac:dyDescent="0.25">
      <c r="A1067">
        <f t="shared" si="17"/>
        <v>0</v>
      </c>
      <c r="B1067" t="b">
        <f>SUMPRODUCT(LEN(hospitalityq!C1067:R1067))&gt;0</f>
        <v>0</v>
      </c>
      <c r="C1067">
        <f>B1067*(hospitalityq!C1067="")</f>
        <v>0</v>
      </c>
      <c r="E1067">
        <f>B1067*(hospitalityq!E1067="")</f>
        <v>0</v>
      </c>
      <c r="F1067">
        <f>B1067*(hospitalityq!F1067="")</f>
        <v>0</v>
      </c>
      <c r="G1067">
        <f>B1067*(hospitalityq!G1067="")</f>
        <v>0</v>
      </c>
      <c r="H1067">
        <f>B1067*(hospitalityq!H1067="")</f>
        <v>0</v>
      </c>
      <c r="I1067">
        <f>B1067*(hospitalityq!I1067="")</f>
        <v>0</v>
      </c>
      <c r="J1067">
        <f>B1067*(hospitalityq!J1067="")</f>
        <v>0</v>
      </c>
      <c r="K1067">
        <f>B1067*(hospitalityq!K1067="")</f>
        <v>0</v>
      </c>
      <c r="L1067">
        <f>B1067*(hospitalityq!L1067="")</f>
        <v>0</v>
      </c>
      <c r="M1067">
        <f>B1067*(hospitalityq!M1067="")</f>
        <v>0</v>
      </c>
      <c r="N1067">
        <f>B1067*(hospitalityq!N1067="")</f>
        <v>0</v>
      </c>
      <c r="O1067">
        <f>B1067*(hospitalityq!O1067="")</f>
        <v>0</v>
      </c>
      <c r="P1067">
        <f>B1067*(hospitalityq!P1067="")</f>
        <v>0</v>
      </c>
      <c r="Q1067">
        <f>B1067*(hospitalityq!Q1067="")</f>
        <v>0</v>
      </c>
      <c r="R1067">
        <f>B1067*(hospitalityq!R1067="")</f>
        <v>0</v>
      </c>
    </row>
    <row r="1068" spans="1:18" x14ac:dyDescent="0.25">
      <c r="A1068">
        <f t="shared" si="17"/>
        <v>0</v>
      </c>
      <c r="B1068" t="b">
        <f>SUMPRODUCT(LEN(hospitalityq!C1068:R1068))&gt;0</f>
        <v>0</v>
      </c>
      <c r="C1068">
        <f>B1068*(hospitalityq!C1068="")</f>
        <v>0</v>
      </c>
      <c r="E1068">
        <f>B1068*(hospitalityq!E1068="")</f>
        <v>0</v>
      </c>
      <c r="F1068">
        <f>B1068*(hospitalityq!F1068="")</f>
        <v>0</v>
      </c>
      <c r="G1068">
        <f>B1068*(hospitalityq!G1068="")</f>
        <v>0</v>
      </c>
      <c r="H1068">
        <f>B1068*(hospitalityq!H1068="")</f>
        <v>0</v>
      </c>
      <c r="I1068">
        <f>B1068*(hospitalityq!I1068="")</f>
        <v>0</v>
      </c>
      <c r="J1068">
        <f>B1068*(hospitalityq!J1068="")</f>
        <v>0</v>
      </c>
      <c r="K1068">
        <f>B1068*(hospitalityq!K1068="")</f>
        <v>0</v>
      </c>
      <c r="L1068">
        <f>B1068*(hospitalityq!L1068="")</f>
        <v>0</v>
      </c>
      <c r="M1068">
        <f>B1068*(hospitalityq!M1068="")</f>
        <v>0</v>
      </c>
      <c r="N1068">
        <f>B1068*(hospitalityq!N1068="")</f>
        <v>0</v>
      </c>
      <c r="O1068">
        <f>B1068*(hospitalityq!O1068="")</f>
        <v>0</v>
      </c>
      <c r="P1068">
        <f>B1068*(hospitalityq!P1068="")</f>
        <v>0</v>
      </c>
      <c r="Q1068">
        <f>B1068*(hospitalityq!Q1068="")</f>
        <v>0</v>
      </c>
      <c r="R1068">
        <f>B1068*(hospitalityq!R1068="")</f>
        <v>0</v>
      </c>
    </row>
    <row r="1069" spans="1:18" x14ac:dyDescent="0.25">
      <c r="A1069">
        <f t="shared" si="17"/>
        <v>0</v>
      </c>
      <c r="B1069" t="b">
        <f>SUMPRODUCT(LEN(hospitalityq!C1069:R1069))&gt;0</f>
        <v>0</v>
      </c>
      <c r="C1069">
        <f>B1069*(hospitalityq!C1069="")</f>
        <v>0</v>
      </c>
      <c r="E1069">
        <f>B1069*(hospitalityq!E1069="")</f>
        <v>0</v>
      </c>
      <c r="F1069">
        <f>B1069*(hospitalityq!F1069="")</f>
        <v>0</v>
      </c>
      <c r="G1069">
        <f>B1069*(hospitalityq!G1069="")</f>
        <v>0</v>
      </c>
      <c r="H1069">
        <f>B1069*(hospitalityq!H1069="")</f>
        <v>0</v>
      </c>
      <c r="I1069">
        <f>B1069*(hospitalityq!I1069="")</f>
        <v>0</v>
      </c>
      <c r="J1069">
        <f>B1069*(hospitalityq!J1069="")</f>
        <v>0</v>
      </c>
      <c r="K1069">
        <f>B1069*(hospitalityq!K1069="")</f>
        <v>0</v>
      </c>
      <c r="L1069">
        <f>B1069*(hospitalityq!L1069="")</f>
        <v>0</v>
      </c>
      <c r="M1069">
        <f>B1069*(hospitalityq!M1069="")</f>
        <v>0</v>
      </c>
      <c r="N1069">
        <f>B1069*(hospitalityq!N1069="")</f>
        <v>0</v>
      </c>
      <c r="O1069">
        <f>B1069*(hospitalityq!O1069="")</f>
        <v>0</v>
      </c>
      <c r="P1069">
        <f>B1069*(hospitalityq!P1069="")</f>
        <v>0</v>
      </c>
      <c r="Q1069">
        <f>B1069*(hospitalityq!Q1069="")</f>
        <v>0</v>
      </c>
      <c r="R1069">
        <f>B1069*(hospitalityq!R1069="")</f>
        <v>0</v>
      </c>
    </row>
    <row r="1070" spans="1:18" x14ac:dyDescent="0.25">
      <c r="A1070">
        <f t="shared" si="17"/>
        <v>0</v>
      </c>
      <c r="B1070" t="b">
        <f>SUMPRODUCT(LEN(hospitalityq!C1070:R1070))&gt;0</f>
        <v>0</v>
      </c>
      <c r="C1070">
        <f>B1070*(hospitalityq!C1070="")</f>
        <v>0</v>
      </c>
      <c r="E1070">
        <f>B1070*(hospitalityq!E1070="")</f>
        <v>0</v>
      </c>
      <c r="F1070">
        <f>B1070*(hospitalityq!F1070="")</f>
        <v>0</v>
      </c>
      <c r="G1070">
        <f>B1070*(hospitalityq!G1070="")</f>
        <v>0</v>
      </c>
      <c r="H1070">
        <f>B1070*(hospitalityq!H1070="")</f>
        <v>0</v>
      </c>
      <c r="I1070">
        <f>B1070*(hospitalityq!I1070="")</f>
        <v>0</v>
      </c>
      <c r="J1070">
        <f>B1070*(hospitalityq!J1070="")</f>
        <v>0</v>
      </c>
      <c r="K1070">
        <f>B1070*(hospitalityq!K1070="")</f>
        <v>0</v>
      </c>
      <c r="L1070">
        <f>B1070*(hospitalityq!L1070="")</f>
        <v>0</v>
      </c>
      <c r="M1070">
        <f>B1070*(hospitalityq!M1070="")</f>
        <v>0</v>
      </c>
      <c r="N1070">
        <f>B1070*(hospitalityq!N1070="")</f>
        <v>0</v>
      </c>
      <c r="O1070">
        <f>B1070*(hospitalityq!O1070="")</f>
        <v>0</v>
      </c>
      <c r="P1070">
        <f>B1070*(hospitalityq!P1070="")</f>
        <v>0</v>
      </c>
      <c r="Q1070">
        <f>B1070*(hospitalityq!Q1070="")</f>
        <v>0</v>
      </c>
      <c r="R1070">
        <f>B1070*(hospitalityq!R1070="")</f>
        <v>0</v>
      </c>
    </row>
    <row r="1071" spans="1:18" x14ac:dyDescent="0.25">
      <c r="A1071">
        <f t="shared" si="17"/>
        <v>0</v>
      </c>
      <c r="B1071" t="b">
        <f>SUMPRODUCT(LEN(hospitalityq!C1071:R1071))&gt;0</f>
        <v>0</v>
      </c>
      <c r="C1071">
        <f>B1071*(hospitalityq!C1071="")</f>
        <v>0</v>
      </c>
      <c r="E1071">
        <f>B1071*(hospitalityq!E1071="")</f>
        <v>0</v>
      </c>
      <c r="F1071">
        <f>B1071*(hospitalityq!F1071="")</f>
        <v>0</v>
      </c>
      <c r="G1071">
        <f>B1071*(hospitalityq!G1071="")</f>
        <v>0</v>
      </c>
      <c r="H1071">
        <f>B1071*(hospitalityq!H1071="")</f>
        <v>0</v>
      </c>
      <c r="I1071">
        <f>B1071*(hospitalityq!I1071="")</f>
        <v>0</v>
      </c>
      <c r="J1071">
        <f>B1071*(hospitalityq!J1071="")</f>
        <v>0</v>
      </c>
      <c r="K1071">
        <f>B1071*(hospitalityq!K1071="")</f>
        <v>0</v>
      </c>
      <c r="L1071">
        <f>B1071*(hospitalityq!L1071="")</f>
        <v>0</v>
      </c>
      <c r="M1071">
        <f>B1071*(hospitalityq!M1071="")</f>
        <v>0</v>
      </c>
      <c r="N1071">
        <f>B1071*(hospitalityq!N1071="")</f>
        <v>0</v>
      </c>
      <c r="O1071">
        <f>B1071*(hospitalityq!O1071="")</f>
        <v>0</v>
      </c>
      <c r="P1071">
        <f>B1071*(hospitalityq!P1071="")</f>
        <v>0</v>
      </c>
      <c r="Q1071">
        <f>B1071*(hospitalityq!Q1071="")</f>
        <v>0</v>
      </c>
      <c r="R1071">
        <f>B1071*(hospitalityq!R1071="")</f>
        <v>0</v>
      </c>
    </row>
    <row r="1072" spans="1:18" x14ac:dyDescent="0.25">
      <c r="A1072">
        <f t="shared" si="17"/>
        <v>0</v>
      </c>
      <c r="B1072" t="b">
        <f>SUMPRODUCT(LEN(hospitalityq!C1072:R1072))&gt;0</f>
        <v>0</v>
      </c>
      <c r="C1072">
        <f>B1072*(hospitalityq!C1072="")</f>
        <v>0</v>
      </c>
      <c r="E1072">
        <f>B1072*(hospitalityq!E1072="")</f>
        <v>0</v>
      </c>
      <c r="F1072">
        <f>B1072*(hospitalityq!F1072="")</f>
        <v>0</v>
      </c>
      <c r="G1072">
        <f>B1072*(hospitalityq!G1072="")</f>
        <v>0</v>
      </c>
      <c r="H1072">
        <f>B1072*(hospitalityq!H1072="")</f>
        <v>0</v>
      </c>
      <c r="I1072">
        <f>B1072*(hospitalityq!I1072="")</f>
        <v>0</v>
      </c>
      <c r="J1072">
        <f>B1072*(hospitalityq!J1072="")</f>
        <v>0</v>
      </c>
      <c r="K1072">
        <f>B1072*(hospitalityq!K1072="")</f>
        <v>0</v>
      </c>
      <c r="L1072">
        <f>B1072*(hospitalityq!L1072="")</f>
        <v>0</v>
      </c>
      <c r="M1072">
        <f>B1072*(hospitalityq!M1072="")</f>
        <v>0</v>
      </c>
      <c r="N1072">
        <f>B1072*(hospitalityq!N1072="")</f>
        <v>0</v>
      </c>
      <c r="O1072">
        <f>B1072*(hospitalityq!O1072="")</f>
        <v>0</v>
      </c>
      <c r="P1072">
        <f>B1072*(hospitalityq!P1072="")</f>
        <v>0</v>
      </c>
      <c r="Q1072">
        <f>B1072*(hospitalityq!Q1072="")</f>
        <v>0</v>
      </c>
      <c r="R1072">
        <f>B1072*(hospitalityq!R1072="")</f>
        <v>0</v>
      </c>
    </row>
    <row r="1073" spans="1:18" x14ac:dyDescent="0.25">
      <c r="A1073">
        <f t="shared" si="17"/>
        <v>0</v>
      </c>
      <c r="B1073" t="b">
        <f>SUMPRODUCT(LEN(hospitalityq!C1073:R1073))&gt;0</f>
        <v>0</v>
      </c>
      <c r="C1073">
        <f>B1073*(hospitalityq!C1073="")</f>
        <v>0</v>
      </c>
      <c r="E1073">
        <f>B1073*(hospitalityq!E1073="")</f>
        <v>0</v>
      </c>
      <c r="F1073">
        <f>B1073*(hospitalityq!F1073="")</f>
        <v>0</v>
      </c>
      <c r="G1073">
        <f>B1073*(hospitalityq!G1073="")</f>
        <v>0</v>
      </c>
      <c r="H1073">
        <f>B1073*(hospitalityq!H1073="")</f>
        <v>0</v>
      </c>
      <c r="I1073">
        <f>B1073*(hospitalityq!I1073="")</f>
        <v>0</v>
      </c>
      <c r="J1073">
        <f>B1073*(hospitalityq!J1073="")</f>
        <v>0</v>
      </c>
      <c r="K1073">
        <f>B1073*(hospitalityq!K1073="")</f>
        <v>0</v>
      </c>
      <c r="L1073">
        <f>B1073*(hospitalityq!L1073="")</f>
        <v>0</v>
      </c>
      <c r="M1073">
        <f>B1073*(hospitalityq!M1073="")</f>
        <v>0</v>
      </c>
      <c r="N1073">
        <f>B1073*(hospitalityq!N1073="")</f>
        <v>0</v>
      </c>
      <c r="O1073">
        <f>B1073*(hospitalityq!O1073="")</f>
        <v>0</v>
      </c>
      <c r="P1073">
        <f>B1073*(hospitalityq!P1073="")</f>
        <v>0</v>
      </c>
      <c r="Q1073">
        <f>B1073*(hospitalityq!Q1073="")</f>
        <v>0</v>
      </c>
      <c r="R1073">
        <f>B1073*(hospitalityq!R1073="")</f>
        <v>0</v>
      </c>
    </row>
    <row r="1074" spans="1:18" x14ac:dyDescent="0.25">
      <c r="A1074">
        <f t="shared" si="17"/>
        <v>0</v>
      </c>
      <c r="B1074" t="b">
        <f>SUMPRODUCT(LEN(hospitalityq!C1074:R1074))&gt;0</f>
        <v>0</v>
      </c>
      <c r="C1074">
        <f>B1074*(hospitalityq!C1074="")</f>
        <v>0</v>
      </c>
      <c r="E1074">
        <f>B1074*(hospitalityq!E1074="")</f>
        <v>0</v>
      </c>
      <c r="F1074">
        <f>B1074*(hospitalityq!F1074="")</f>
        <v>0</v>
      </c>
      <c r="G1074">
        <f>B1074*(hospitalityq!G1074="")</f>
        <v>0</v>
      </c>
      <c r="H1074">
        <f>B1074*(hospitalityq!H1074="")</f>
        <v>0</v>
      </c>
      <c r="I1074">
        <f>B1074*(hospitalityq!I1074="")</f>
        <v>0</v>
      </c>
      <c r="J1074">
        <f>B1074*(hospitalityq!J1074="")</f>
        <v>0</v>
      </c>
      <c r="K1074">
        <f>B1074*(hospitalityq!K1074="")</f>
        <v>0</v>
      </c>
      <c r="L1074">
        <f>B1074*(hospitalityq!L1074="")</f>
        <v>0</v>
      </c>
      <c r="M1074">
        <f>B1074*(hospitalityq!M1074="")</f>
        <v>0</v>
      </c>
      <c r="N1074">
        <f>B1074*(hospitalityq!N1074="")</f>
        <v>0</v>
      </c>
      <c r="O1074">
        <f>B1074*(hospitalityq!O1074="")</f>
        <v>0</v>
      </c>
      <c r="P1074">
        <f>B1074*(hospitalityq!P1074="")</f>
        <v>0</v>
      </c>
      <c r="Q1074">
        <f>B1074*(hospitalityq!Q1074="")</f>
        <v>0</v>
      </c>
      <c r="R1074">
        <f>B1074*(hospitalityq!R1074="")</f>
        <v>0</v>
      </c>
    </row>
    <row r="1075" spans="1:18" x14ac:dyDescent="0.25">
      <c r="A1075">
        <f t="shared" si="17"/>
        <v>0</v>
      </c>
      <c r="B1075" t="b">
        <f>SUMPRODUCT(LEN(hospitalityq!C1075:R1075))&gt;0</f>
        <v>0</v>
      </c>
      <c r="C1075">
        <f>B1075*(hospitalityq!C1075="")</f>
        <v>0</v>
      </c>
      <c r="E1075">
        <f>B1075*(hospitalityq!E1075="")</f>
        <v>0</v>
      </c>
      <c r="F1075">
        <f>B1075*(hospitalityq!F1075="")</f>
        <v>0</v>
      </c>
      <c r="G1075">
        <f>B1075*(hospitalityq!G1075="")</f>
        <v>0</v>
      </c>
      <c r="H1075">
        <f>B1075*(hospitalityq!H1075="")</f>
        <v>0</v>
      </c>
      <c r="I1075">
        <f>B1075*(hospitalityq!I1075="")</f>
        <v>0</v>
      </c>
      <c r="J1075">
        <f>B1075*(hospitalityq!J1075="")</f>
        <v>0</v>
      </c>
      <c r="K1075">
        <f>B1075*(hospitalityq!K1075="")</f>
        <v>0</v>
      </c>
      <c r="L1075">
        <f>B1075*(hospitalityq!L1075="")</f>
        <v>0</v>
      </c>
      <c r="M1075">
        <f>B1075*(hospitalityq!M1075="")</f>
        <v>0</v>
      </c>
      <c r="N1075">
        <f>B1075*(hospitalityq!N1075="")</f>
        <v>0</v>
      </c>
      <c r="O1075">
        <f>B1075*(hospitalityq!O1075="")</f>
        <v>0</v>
      </c>
      <c r="P1075">
        <f>B1075*(hospitalityq!P1075="")</f>
        <v>0</v>
      </c>
      <c r="Q1075">
        <f>B1075*(hospitalityq!Q1075="")</f>
        <v>0</v>
      </c>
      <c r="R1075">
        <f>B1075*(hospitalityq!R1075="")</f>
        <v>0</v>
      </c>
    </row>
    <row r="1076" spans="1:18" x14ac:dyDescent="0.25">
      <c r="A1076">
        <f t="shared" si="17"/>
        <v>0</v>
      </c>
      <c r="B1076" t="b">
        <f>SUMPRODUCT(LEN(hospitalityq!C1076:R1076))&gt;0</f>
        <v>0</v>
      </c>
      <c r="C1076">
        <f>B1076*(hospitalityq!C1076="")</f>
        <v>0</v>
      </c>
      <c r="E1076">
        <f>B1076*(hospitalityq!E1076="")</f>
        <v>0</v>
      </c>
      <c r="F1076">
        <f>B1076*(hospitalityq!F1076="")</f>
        <v>0</v>
      </c>
      <c r="G1076">
        <f>B1076*(hospitalityq!G1076="")</f>
        <v>0</v>
      </c>
      <c r="H1076">
        <f>B1076*(hospitalityq!H1076="")</f>
        <v>0</v>
      </c>
      <c r="I1076">
        <f>B1076*(hospitalityq!I1076="")</f>
        <v>0</v>
      </c>
      <c r="J1076">
        <f>B1076*(hospitalityq!J1076="")</f>
        <v>0</v>
      </c>
      <c r="K1076">
        <f>B1076*(hospitalityq!K1076="")</f>
        <v>0</v>
      </c>
      <c r="L1076">
        <f>B1076*(hospitalityq!L1076="")</f>
        <v>0</v>
      </c>
      <c r="M1076">
        <f>B1076*(hospitalityq!M1076="")</f>
        <v>0</v>
      </c>
      <c r="N1076">
        <f>B1076*(hospitalityq!N1076="")</f>
        <v>0</v>
      </c>
      <c r="O1076">
        <f>B1076*(hospitalityq!O1076="")</f>
        <v>0</v>
      </c>
      <c r="P1076">
        <f>B1076*(hospitalityq!P1076="")</f>
        <v>0</v>
      </c>
      <c r="Q1076">
        <f>B1076*(hospitalityq!Q1076="")</f>
        <v>0</v>
      </c>
      <c r="R1076">
        <f>B1076*(hospitalityq!R1076="")</f>
        <v>0</v>
      </c>
    </row>
    <row r="1077" spans="1:18" x14ac:dyDescent="0.25">
      <c r="A1077">
        <f t="shared" si="17"/>
        <v>0</v>
      </c>
      <c r="B1077" t="b">
        <f>SUMPRODUCT(LEN(hospitalityq!C1077:R1077))&gt;0</f>
        <v>0</v>
      </c>
      <c r="C1077">
        <f>B1077*(hospitalityq!C1077="")</f>
        <v>0</v>
      </c>
      <c r="E1077">
        <f>B1077*(hospitalityq!E1077="")</f>
        <v>0</v>
      </c>
      <c r="F1077">
        <f>B1077*(hospitalityq!F1077="")</f>
        <v>0</v>
      </c>
      <c r="G1077">
        <f>B1077*(hospitalityq!G1077="")</f>
        <v>0</v>
      </c>
      <c r="H1077">
        <f>B1077*(hospitalityq!H1077="")</f>
        <v>0</v>
      </c>
      <c r="I1077">
        <f>B1077*(hospitalityq!I1077="")</f>
        <v>0</v>
      </c>
      <c r="J1077">
        <f>B1077*(hospitalityq!J1077="")</f>
        <v>0</v>
      </c>
      <c r="K1077">
        <f>B1077*(hospitalityq!K1077="")</f>
        <v>0</v>
      </c>
      <c r="L1077">
        <f>B1077*(hospitalityq!L1077="")</f>
        <v>0</v>
      </c>
      <c r="M1077">
        <f>B1077*(hospitalityq!M1077="")</f>
        <v>0</v>
      </c>
      <c r="N1077">
        <f>B1077*(hospitalityq!N1077="")</f>
        <v>0</v>
      </c>
      <c r="O1077">
        <f>B1077*(hospitalityq!O1077="")</f>
        <v>0</v>
      </c>
      <c r="P1077">
        <f>B1077*(hospitalityq!P1077="")</f>
        <v>0</v>
      </c>
      <c r="Q1077">
        <f>B1077*(hospitalityq!Q1077="")</f>
        <v>0</v>
      </c>
      <c r="R1077">
        <f>B1077*(hospitalityq!R1077="")</f>
        <v>0</v>
      </c>
    </row>
    <row r="1078" spans="1:18" x14ac:dyDescent="0.25">
      <c r="A1078">
        <f t="shared" si="17"/>
        <v>0</v>
      </c>
      <c r="B1078" t="b">
        <f>SUMPRODUCT(LEN(hospitalityq!C1078:R1078))&gt;0</f>
        <v>0</v>
      </c>
      <c r="C1078">
        <f>B1078*(hospitalityq!C1078="")</f>
        <v>0</v>
      </c>
      <c r="E1078">
        <f>B1078*(hospitalityq!E1078="")</f>
        <v>0</v>
      </c>
      <c r="F1078">
        <f>B1078*(hospitalityq!F1078="")</f>
        <v>0</v>
      </c>
      <c r="G1078">
        <f>B1078*(hospitalityq!G1078="")</f>
        <v>0</v>
      </c>
      <c r="H1078">
        <f>B1078*(hospitalityq!H1078="")</f>
        <v>0</v>
      </c>
      <c r="I1078">
        <f>B1078*(hospitalityq!I1078="")</f>
        <v>0</v>
      </c>
      <c r="J1078">
        <f>B1078*(hospitalityq!J1078="")</f>
        <v>0</v>
      </c>
      <c r="K1078">
        <f>B1078*(hospitalityq!K1078="")</f>
        <v>0</v>
      </c>
      <c r="L1078">
        <f>B1078*(hospitalityq!L1078="")</f>
        <v>0</v>
      </c>
      <c r="M1078">
        <f>B1078*(hospitalityq!M1078="")</f>
        <v>0</v>
      </c>
      <c r="N1078">
        <f>B1078*(hospitalityq!N1078="")</f>
        <v>0</v>
      </c>
      <c r="O1078">
        <f>B1078*(hospitalityq!O1078="")</f>
        <v>0</v>
      </c>
      <c r="P1078">
        <f>B1078*(hospitalityq!P1078="")</f>
        <v>0</v>
      </c>
      <c r="Q1078">
        <f>B1078*(hospitalityq!Q1078="")</f>
        <v>0</v>
      </c>
      <c r="R1078">
        <f>B1078*(hospitalityq!R1078="")</f>
        <v>0</v>
      </c>
    </row>
    <row r="1079" spans="1:18" x14ac:dyDescent="0.25">
      <c r="A1079">
        <f t="shared" si="17"/>
        <v>0</v>
      </c>
      <c r="B1079" t="b">
        <f>SUMPRODUCT(LEN(hospitalityq!C1079:R1079))&gt;0</f>
        <v>0</v>
      </c>
      <c r="C1079">
        <f>B1079*(hospitalityq!C1079="")</f>
        <v>0</v>
      </c>
      <c r="E1079">
        <f>B1079*(hospitalityq!E1079="")</f>
        <v>0</v>
      </c>
      <c r="F1079">
        <f>B1079*(hospitalityq!F1079="")</f>
        <v>0</v>
      </c>
      <c r="G1079">
        <f>B1079*(hospitalityq!G1079="")</f>
        <v>0</v>
      </c>
      <c r="H1079">
        <f>B1079*(hospitalityq!H1079="")</f>
        <v>0</v>
      </c>
      <c r="I1079">
        <f>B1079*(hospitalityq!I1079="")</f>
        <v>0</v>
      </c>
      <c r="J1079">
        <f>B1079*(hospitalityq!J1079="")</f>
        <v>0</v>
      </c>
      <c r="K1079">
        <f>B1079*(hospitalityq!K1079="")</f>
        <v>0</v>
      </c>
      <c r="L1079">
        <f>B1079*(hospitalityq!L1079="")</f>
        <v>0</v>
      </c>
      <c r="M1079">
        <f>B1079*(hospitalityq!M1079="")</f>
        <v>0</v>
      </c>
      <c r="N1079">
        <f>B1079*(hospitalityq!N1079="")</f>
        <v>0</v>
      </c>
      <c r="O1079">
        <f>B1079*(hospitalityq!O1079="")</f>
        <v>0</v>
      </c>
      <c r="P1079">
        <f>B1079*(hospitalityq!P1079="")</f>
        <v>0</v>
      </c>
      <c r="Q1079">
        <f>B1079*(hospitalityq!Q1079="")</f>
        <v>0</v>
      </c>
      <c r="R1079">
        <f>B1079*(hospitalityq!R1079="")</f>
        <v>0</v>
      </c>
    </row>
    <row r="1080" spans="1:18" x14ac:dyDescent="0.25">
      <c r="A1080">
        <f t="shared" si="17"/>
        <v>0</v>
      </c>
      <c r="B1080" t="b">
        <f>SUMPRODUCT(LEN(hospitalityq!C1080:R1080))&gt;0</f>
        <v>0</v>
      </c>
      <c r="C1080">
        <f>B1080*(hospitalityq!C1080="")</f>
        <v>0</v>
      </c>
      <c r="E1080">
        <f>B1080*(hospitalityq!E1080="")</f>
        <v>0</v>
      </c>
      <c r="F1080">
        <f>B1080*(hospitalityq!F1080="")</f>
        <v>0</v>
      </c>
      <c r="G1080">
        <f>B1080*(hospitalityq!G1080="")</f>
        <v>0</v>
      </c>
      <c r="H1080">
        <f>B1080*(hospitalityq!H1080="")</f>
        <v>0</v>
      </c>
      <c r="I1080">
        <f>B1080*(hospitalityq!I1080="")</f>
        <v>0</v>
      </c>
      <c r="J1080">
        <f>B1080*(hospitalityq!J1080="")</f>
        <v>0</v>
      </c>
      <c r="K1080">
        <f>B1080*(hospitalityq!K1080="")</f>
        <v>0</v>
      </c>
      <c r="L1080">
        <f>B1080*(hospitalityq!L1080="")</f>
        <v>0</v>
      </c>
      <c r="M1080">
        <f>B1080*(hospitalityq!M1080="")</f>
        <v>0</v>
      </c>
      <c r="N1080">
        <f>B1080*(hospitalityq!N1080="")</f>
        <v>0</v>
      </c>
      <c r="O1080">
        <f>B1080*(hospitalityq!O1080="")</f>
        <v>0</v>
      </c>
      <c r="P1080">
        <f>B1080*(hospitalityq!P1080="")</f>
        <v>0</v>
      </c>
      <c r="Q1080">
        <f>B1080*(hospitalityq!Q1080="")</f>
        <v>0</v>
      </c>
      <c r="R1080">
        <f>B1080*(hospitalityq!R1080="")</f>
        <v>0</v>
      </c>
    </row>
    <row r="1081" spans="1:18" x14ac:dyDescent="0.25">
      <c r="A1081">
        <f t="shared" si="17"/>
        <v>0</v>
      </c>
      <c r="B1081" t="b">
        <f>SUMPRODUCT(LEN(hospitalityq!C1081:R1081))&gt;0</f>
        <v>0</v>
      </c>
      <c r="C1081">
        <f>B1081*(hospitalityq!C1081="")</f>
        <v>0</v>
      </c>
      <c r="E1081">
        <f>B1081*(hospitalityq!E1081="")</f>
        <v>0</v>
      </c>
      <c r="F1081">
        <f>B1081*(hospitalityq!F1081="")</f>
        <v>0</v>
      </c>
      <c r="G1081">
        <f>B1081*(hospitalityq!G1081="")</f>
        <v>0</v>
      </c>
      <c r="H1081">
        <f>B1081*(hospitalityq!H1081="")</f>
        <v>0</v>
      </c>
      <c r="I1081">
        <f>B1081*(hospitalityq!I1081="")</f>
        <v>0</v>
      </c>
      <c r="J1081">
        <f>B1081*(hospitalityq!J1081="")</f>
        <v>0</v>
      </c>
      <c r="K1081">
        <f>B1081*(hospitalityq!K1081="")</f>
        <v>0</v>
      </c>
      <c r="L1081">
        <f>B1081*(hospitalityq!L1081="")</f>
        <v>0</v>
      </c>
      <c r="M1081">
        <f>B1081*(hospitalityq!M1081="")</f>
        <v>0</v>
      </c>
      <c r="N1081">
        <f>B1081*(hospitalityq!N1081="")</f>
        <v>0</v>
      </c>
      <c r="O1081">
        <f>B1081*(hospitalityq!O1081="")</f>
        <v>0</v>
      </c>
      <c r="P1081">
        <f>B1081*(hospitalityq!P1081="")</f>
        <v>0</v>
      </c>
      <c r="Q1081">
        <f>B1081*(hospitalityq!Q1081="")</f>
        <v>0</v>
      </c>
      <c r="R1081">
        <f>B1081*(hospitalityq!R1081="")</f>
        <v>0</v>
      </c>
    </row>
    <row r="1082" spans="1:18" x14ac:dyDescent="0.25">
      <c r="A1082">
        <f t="shared" si="17"/>
        <v>0</v>
      </c>
      <c r="B1082" t="b">
        <f>SUMPRODUCT(LEN(hospitalityq!C1082:R1082))&gt;0</f>
        <v>0</v>
      </c>
      <c r="C1082">
        <f>B1082*(hospitalityq!C1082="")</f>
        <v>0</v>
      </c>
      <c r="E1082">
        <f>B1082*(hospitalityq!E1082="")</f>
        <v>0</v>
      </c>
      <c r="F1082">
        <f>B1082*(hospitalityq!F1082="")</f>
        <v>0</v>
      </c>
      <c r="G1082">
        <f>B1082*(hospitalityq!G1082="")</f>
        <v>0</v>
      </c>
      <c r="H1082">
        <f>B1082*(hospitalityq!H1082="")</f>
        <v>0</v>
      </c>
      <c r="I1082">
        <f>B1082*(hospitalityq!I1082="")</f>
        <v>0</v>
      </c>
      <c r="J1082">
        <f>B1082*(hospitalityq!J1082="")</f>
        <v>0</v>
      </c>
      <c r="K1082">
        <f>B1082*(hospitalityq!K1082="")</f>
        <v>0</v>
      </c>
      <c r="L1082">
        <f>B1082*(hospitalityq!L1082="")</f>
        <v>0</v>
      </c>
      <c r="M1082">
        <f>B1082*(hospitalityq!M1082="")</f>
        <v>0</v>
      </c>
      <c r="N1082">
        <f>B1082*(hospitalityq!N1082="")</f>
        <v>0</v>
      </c>
      <c r="O1082">
        <f>B1082*(hospitalityq!O1082="")</f>
        <v>0</v>
      </c>
      <c r="P1082">
        <f>B1082*(hospitalityq!P1082="")</f>
        <v>0</v>
      </c>
      <c r="Q1082">
        <f>B1082*(hospitalityq!Q1082="")</f>
        <v>0</v>
      </c>
      <c r="R1082">
        <f>B1082*(hospitalityq!R1082="")</f>
        <v>0</v>
      </c>
    </row>
    <row r="1083" spans="1:18" x14ac:dyDescent="0.25">
      <c r="A1083">
        <f t="shared" si="17"/>
        <v>0</v>
      </c>
      <c r="B1083" t="b">
        <f>SUMPRODUCT(LEN(hospitalityq!C1083:R1083))&gt;0</f>
        <v>0</v>
      </c>
      <c r="C1083">
        <f>B1083*(hospitalityq!C1083="")</f>
        <v>0</v>
      </c>
      <c r="E1083">
        <f>B1083*(hospitalityq!E1083="")</f>
        <v>0</v>
      </c>
      <c r="F1083">
        <f>B1083*(hospitalityq!F1083="")</f>
        <v>0</v>
      </c>
      <c r="G1083">
        <f>B1083*(hospitalityq!G1083="")</f>
        <v>0</v>
      </c>
      <c r="H1083">
        <f>B1083*(hospitalityq!H1083="")</f>
        <v>0</v>
      </c>
      <c r="I1083">
        <f>B1083*(hospitalityq!I1083="")</f>
        <v>0</v>
      </c>
      <c r="J1083">
        <f>B1083*(hospitalityq!J1083="")</f>
        <v>0</v>
      </c>
      <c r="K1083">
        <f>B1083*(hospitalityq!K1083="")</f>
        <v>0</v>
      </c>
      <c r="L1083">
        <f>B1083*(hospitalityq!L1083="")</f>
        <v>0</v>
      </c>
      <c r="M1083">
        <f>B1083*(hospitalityq!M1083="")</f>
        <v>0</v>
      </c>
      <c r="N1083">
        <f>B1083*(hospitalityq!N1083="")</f>
        <v>0</v>
      </c>
      <c r="O1083">
        <f>B1083*(hospitalityq!O1083="")</f>
        <v>0</v>
      </c>
      <c r="P1083">
        <f>B1083*(hospitalityq!P1083="")</f>
        <v>0</v>
      </c>
      <c r="Q1083">
        <f>B1083*(hospitalityq!Q1083="")</f>
        <v>0</v>
      </c>
      <c r="R1083">
        <f>B1083*(hospitalityq!R1083="")</f>
        <v>0</v>
      </c>
    </row>
    <row r="1084" spans="1:18" x14ac:dyDescent="0.25">
      <c r="A1084">
        <f t="shared" si="17"/>
        <v>0</v>
      </c>
      <c r="B1084" t="b">
        <f>SUMPRODUCT(LEN(hospitalityq!C1084:R1084))&gt;0</f>
        <v>0</v>
      </c>
      <c r="C1084">
        <f>B1084*(hospitalityq!C1084="")</f>
        <v>0</v>
      </c>
      <c r="E1084">
        <f>B1084*(hospitalityq!E1084="")</f>
        <v>0</v>
      </c>
      <c r="F1084">
        <f>B1084*(hospitalityq!F1084="")</f>
        <v>0</v>
      </c>
      <c r="G1084">
        <f>B1084*(hospitalityq!G1084="")</f>
        <v>0</v>
      </c>
      <c r="H1084">
        <f>B1084*(hospitalityq!H1084="")</f>
        <v>0</v>
      </c>
      <c r="I1084">
        <f>B1084*(hospitalityq!I1084="")</f>
        <v>0</v>
      </c>
      <c r="J1084">
        <f>B1084*(hospitalityq!J1084="")</f>
        <v>0</v>
      </c>
      <c r="K1084">
        <f>B1084*(hospitalityq!K1084="")</f>
        <v>0</v>
      </c>
      <c r="L1084">
        <f>B1084*(hospitalityq!L1084="")</f>
        <v>0</v>
      </c>
      <c r="M1084">
        <f>B1084*(hospitalityq!M1084="")</f>
        <v>0</v>
      </c>
      <c r="N1084">
        <f>B1084*(hospitalityq!N1084="")</f>
        <v>0</v>
      </c>
      <c r="O1084">
        <f>B1084*(hospitalityq!O1084="")</f>
        <v>0</v>
      </c>
      <c r="P1084">
        <f>B1084*(hospitalityq!P1084="")</f>
        <v>0</v>
      </c>
      <c r="Q1084">
        <f>B1084*(hospitalityq!Q1084="")</f>
        <v>0</v>
      </c>
      <c r="R1084">
        <f>B1084*(hospitalityq!R1084="")</f>
        <v>0</v>
      </c>
    </row>
    <row r="1085" spans="1:18" x14ac:dyDescent="0.25">
      <c r="A1085">
        <f t="shared" si="17"/>
        <v>0</v>
      </c>
      <c r="B1085" t="b">
        <f>SUMPRODUCT(LEN(hospitalityq!C1085:R1085))&gt;0</f>
        <v>0</v>
      </c>
      <c r="C1085">
        <f>B1085*(hospitalityq!C1085="")</f>
        <v>0</v>
      </c>
      <c r="E1085">
        <f>B1085*(hospitalityq!E1085="")</f>
        <v>0</v>
      </c>
      <c r="F1085">
        <f>B1085*(hospitalityq!F1085="")</f>
        <v>0</v>
      </c>
      <c r="G1085">
        <f>B1085*(hospitalityq!G1085="")</f>
        <v>0</v>
      </c>
      <c r="H1085">
        <f>B1085*(hospitalityq!H1085="")</f>
        <v>0</v>
      </c>
      <c r="I1085">
        <f>B1085*(hospitalityq!I1085="")</f>
        <v>0</v>
      </c>
      <c r="J1085">
        <f>B1085*(hospitalityq!J1085="")</f>
        <v>0</v>
      </c>
      <c r="K1085">
        <f>B1085*(hospitalityq!K1085="")</f>
        <v>0</v>
      </c>
      <c r="L1085">
        <f>B1085*(hospitalityq!L1085="")</f>
        <v>0</v>
      </c>
      <c r="M1085">
        <f>B1085*(hospitalityq!M1085="")</f>
        <v>0</v>
      </c>
      <c r="N1085">
        <f>B1085*(hospitalityq!N1085="")</f>
        <v>0</v>
      </c>
      <c r="O1085">
        <f>B1085*(hospitalityq!O1085="")</f>
        <v>0</v>
      </c>
      <c r="P1085">
        <f>B1085*(hospitalityq!P1085="")</f>
        <v>0</v>
      </c>
      <c r="Q1085">
        <f>B1085*(hospitalityq!Q1085="")</f>
        <v>0</v>
      </c>
      <c r="R1085">
        <f>B1085*(hospitalityq!R1085="")</f>
        <v>0</v>
      </c>
    </row>
    <row r="1086" spans="1:18" x14ac:dyDescent="0.25">
      <c r="A1086">
        <f t="shared" si="17"/>
        <v>0</v>
      </c>
      <c r="B1086" t="b">
        <f>SUMPRODUCT(LEN(hospitalityq!C1086:R1086))&gt;0</f>
        <v>0</v>
      </c>
      <c r="C1086">
        <f>B1086*(hospitalityq!C1086="")</f>
        <v>0</v>
      </c>
      <c r="E1086">
        <f>B1086*(hospitalityq!E1086="")</f>
        <v>0</v>
      </c>
      <c r="F1086">
        <f>B1086*(hospitalityq!F1086="")</f>
        <v>0</v>
      </c>
      <c r="G1086">
        <f>B1086*(hospitalityq!G1086="")</f>
        <v>0</v>
      </c>
      <c r="H1086">
        <f>B1086*(hospitalityq!H1086="")</f>
        <v>0</v>
      </c>
      <c r="I1086">
        <f>B1086*(hospitalityq!I1086="")</f>
        <v>0</v>
      </c>
      <c r="J1086">
        <f>B1086*(hospitalityq!J1086="")</f>
        <v>0</v>
      </c>
      <c r="K1086">
        <f>B1086*(hospitalityq!K1086="")</f>
        <v>0</v>
      </c>
      <c r="L1086">
        <f>B1086*(hospitalityq!L1086="")</f>
        <v>0</v>
      </c>
      <c r="M1086">
        <f>B1086*(hospitalityq!M1086="")</f>
        <v>0</v>
      </c>
      <c r="N1086">
        <f>B1086*(hospitalityq!N1086="")</f>
        <v>0</v>
      </c>
      <c r="O1086">
        <f>B1086*(hospitalityq!O1086="")</f>
        <v>0</v>
      </c>
      <c r="P1086">
        <f>B1086*(hospitalityq!P1086="")</f>
        <v>0</v>
      </c>
      <c r="Q1086">
        <f>B1086*(hospitalityq!Q1086="")</f>
        <v>0</v>
      </c>
      <c r="R1086">
        <f>B1086*(hospitalityq!R1086="")</f>
        <v>0</v>
      </c>
    </row>
    <row r="1087" spans="1:18" x14ac:dyDescent="0.25">
      <c r="A1087">
        <f t="shared" si="17"/>
        <v>0</v>
      </c>
      <c r="B1087" t="b">
        <f>SUMPRODUCT(LEN(hospitalityq!C1087:R1087))&gt;0</f>
        <v>0</v>
      </c>
      <c r="C1087">
        <f>B1087*(hospitalityq!C1087="")</f>
        <v>0</v>
      </c>
      <c r="E1087">
        <f>B1087*(hospitalityq!E1087="")</f>
        <v>0</v>
      </c>
      <c r="F1087">
        <f>B1087*(hospitalityq!F1087="")</f>
        <v>0</v>
      </c>
      <c r="G1087">
        <f>B1087*(hospitalityq!G1087="")</f>
        <v>0</v>
      </c>
      <c r="H1087">
        <f>B1087*(hospitalityq!H1087="")</f>
        <v>0</v>
      </c>
      <c r="I1087">
        <f>B1087*(hospitalityq!I1087="")</f>
        <v>0</v>
      </c>
      <c r="J1087">
        <f>B1087*(hospitalityq!J1087="")</f>
        <v>0</v>
      </c>
      <c r="K1087">
        <f>B1087*(hospitalityq!K1087="")</f>
        <v>0</v>
      </c>
      <c r="L1087">
        <f>B1087*(hospitalityq!L1087="")</f>
        <v>0</v>
      </c>
      <c r="M1087">
        <f>B1087*(hospitalityq!M1087="")</f>
        <v>0</v>
      </c>
      <c r="N1087">
        <f>B1087*(hospitalityq!N1087="")</f>
        <v>0</v>
      </c>
      <c r="O1087">
        <f>B1087*(hospitalityq!O1087="")</f>
        <v>0</v>
      </c>
      <c r="P1087">
        <f>B1087*(hospitalityq!P1087="")</f>
        <v>0</v>
      </c>
      <c r="Q1087">
        <f>B1087*(hospitalityq!Q1087="")</f>
        <v>0</v>
      </c>
      <c r="R1087">
        <f>B1087*(hospitalityq!R1087="")</f>
        <v>0</v>
      </c>
    </row>
    <row r="1088" spans="1:18" x14ac:dyDescent="0.25">
      <c r="A1088">
        <f t="shared" si="17"/>
        <v>0</v>
      </c>
      <c r="B1088" t="b">
        <f>SUMPRODUCT(LEN(hospitalityq!C1088:R1088))&gt;0</f>
        <v>0</v>
      </c>
      <c r="C1088">
        <f>B1088*(hospitalityq!C1088="")</f>
        <v>0</v>
      </c>
      <c r="E1088">
        <f>B1088*(hospitalityq!E1088="")</f>
        <v>0</v>
      </c>
      <c r="F1088">
        <f>B1088*(hospitalityq!F1088="")</f>
        <v>0</v>
      </c>
      <c r="G1088">
        <f>B1088*(hospitalityq!G1088="")</f>
        <v>0</v>
      </c>
      <c r="H1088">
        <f>B1088*(hospitalityq!H1088="")</f>
        <v>0</v>
      </c>
      <c r="I1088">
        <f>B1088*(hospitalityq!I1088="")</f>
        <v>0</v>
      </c>
      <c r="J1088">
        <f>B1088*(hospitalityq!J1088="")</f>
        <v>0</v>
      </c>
      <c r="K1088">
        <f>B1088*(hospitalityq!K1088="")</f>
        <v>0</v>
      </c>
      <c r="L1088">
        <f>B1088*(hospitalityq!L1088="")</f>
        <v>0</v>
      </c>
      <c r="M1088">
        <f>B1088*(hospitalityq!M1088="")</f>
        <v>0</v>
      </c>
      <c r="N1088">
        <f>B1088*(hospitalityq!N1088="")</f>
        <v>0</v>
      </c>
      <c r="O1088">
        <f>B1088*(hospitalityq!O1088="")</f>
        <v>0</v>
      </c>
      <c r="P1088">
        <f>B1088*(hospitalityq!P1088="")</f>
        <v>0</v>
      </c>
      <c r="Q1088">
        <f>B1088*(hospitalityq!Q1088="")</f>
        <v>0</v>
      </c>
      <c r="R1088">
        <f>B1088*(hospitalityq!R1088="")</f>
        <v>0</v>
      </c>
    </row>
    <row r="1089" spans="1:18" x14ac:dyDescent="0.25">
      <c r="A1089">
        <f t="shared" si="17"/>
        <v>0</v>
      </c>
      <c r="B1089" t="b">
        <f>SUMPRODUCT(LEN(hospitalityq!C1089:R1089))&gt;0</f>
        <v>0</v>
      </c>
      <c r="C1089">
        <f>B1089*(hospitalityq!C1089="")</f>
        <v>0</v>
      </c>
      <c r="E1089">
        <f>B1089*(hospitalityq!E1089="")</f>
        <v>0</v>
      </c>
      <c r="F1089">
        <f>B1089*(hospitalityq!F1089="")</f>
        <v>0</v>
      </c>
      <c r="G1089">
        <f>B1089*(hospitalityq!G1089="")</f>
        <v>0</v>
      </c>
      <c r="H1089">
        <f>B1089*(hospitalityq!H1089="")</f>
        <v>0</v>
      </c>
      <c r="I1089">
        <f>B1089*(hospitalityq!I1089="")</f>
        <v>0</v>
      </c>
      <c r="J1089">
        <f>B1089*(hospitalityq!J1089="")</f>
        <v>0</v>
      </c>
      <c r="K1089">
        <f>B1089*(hospitalityq!K1089="")</f>
        <v>0</v>
      </c>
      <c r="L1089">
        <f>B1089*(hospitalityq!L1089="")</f>
        <v>0</v>
      </c>
      <c r="M1089">
        <f>B1089*(hospitalityq!M1089="")</f>
        <v>0</v>
      </c>
      <c r="N1089">
        <f>B1089*(hospitalityq!N1089="")</f>
        <v>0</v>
      </c>
      <c r="O1089">
        <f>B1089*(hospitalityq!O1089="")</f>
        <v>0</v>
      </c>
      <c r="P1089">
        <f>B1089*(hospitalityq!P1089="")</f>
        <v>0</v>
      </c>
      <c r="Q1089">
        <f>B1089*(hospitalityq!Q1089="")</f>
        <v>0</v>
      </c>
      <c r="R1089">
        <f>B1089*(hospitalityq!R1089="")</f>
        <v>0</v>
      </c>
    </row>
    <row r="1090" spans="1:18" x14ac:dyDescent="0.25">
      <c r="A1090">
        <f t="shared" si="17"/>
        <v>0</v>
      </c>
      <c r="B1090" t="b">
        <f>SUMPRODUCT(LEN(hospitalityq!C1090:R1090))&gt;0</f>
        <v>0</v>
      </c>
      <c r="C1090">
        <f>B1090*(hospitalityq!C1090="")</f>
        <v>0</v>
      </c>
      <c r="E1090">
        <f>B1090*(hospitalityq!E1090="")</f>
        <v>0</v>
      </c>
      <c r="F1090">
        <f>B1090*(hospitalityq!F1090="")</f>
        <v>0</v>
      </c>
      <c r="G1090">
        <f>B1090*(hospitalityq!G1090="")</f>
        <v>0</v>
      </c>
      <c r="H1090">
        <f>B1090*(hospitalityq!H1090="")</f>
        <v>0</v>
      </c>
      <c r="I1090">
        <f>B1090*(hospitalityq!I1090="")</f>
        <v>0</v>
      </c>
      <c r="J1090">
        <f>B1090*(hospitalityq!J1090="")</f>
        <v>0</v>
      </c>
      <c r="K1090">
        <f>B1090*(hospitalityq!K1090="")</f>
        <v>0</v>
      </c>
      <c r="L1090">
        <f>B1090*(hospitalityq!L1090="")</f>
        <v>0</v>
      </c>
      <c r="M1090">
        <f>B1090*(hospitalityq!M1090="")</f>
        <v>0</v>
      </c>
      <c r="N1090">
        <f>B1090*(hospitalityq!N1090="")</f>
        <v>0</v>
      </c>
      <c r="O1090">
        <f>B1090*(hospitalityq!O1090="")</f>
        <v>0</v>
      </c>
      <c r="P1090">
        <f>B1090*(hospitalityq!P1090="")</f>
        <v>0</v>
      </c>
      <c r="Q1090">
        <f>B1090*(hospitalityq!Q1090="")</f>
        <v>0</v>
      </c>
      <c r="R1090">
        <f>B1090*(hospitalityq!R1090="")</f>
        <v>0</v>
      </c>
    </row>
    <row r="1091" spans="1:18" x14ac:dyDescent="0.25">
      <c r="A1091">
        <f t="shared" si="17"/>
        <v>0</v>
      </c>
      <c r="B1091" t="b">
        <f>SUMPRODUCT(LEN(hospitalityq!C1091:R1091))&gt;0</f>
        <v>0</v>
      </c>
      <c r="C1091">
        <f>B1091*(hospitalityq!C1091="")</f>
        <v>0</v>
      </c>
      <c r="E1091">
        <f>B1091*(hospitalityq!E1091="")</f>
        <v>0</v>
      </c>
      <c r="F1091">
        <f>B1091*(hospitalityq!F1091="")</f>
        <v>0</v>
      </c>
      <c r="G1091">
        <f>B1091*(hospitalityq!G1091="")</f>
        <v>0</v>
      </c>
      <c r="H1091">
        <f>B1091*(hospitalityq!H1091="")</f>
        <v>0</v>
      </c>
      <c r="I1091">
        <f>B1091*(hospitalityq!I1091="")</f>
        <v>0</v>
      </c>
      <c r="J1091">
        <f>B1091*(hospitalityq!J1091="")</f>
        <v>0</v>
      </c>
      <c r="K1091">
        <f>B1091*(hospitalityq!K1091="")</f>
        <v>0</v>
      </c>
      <c r="L1091">
        <f>B1091*(hospitalityq!L1091="")</f>
        <v>0</v>
      </c>
      <c r="M1091">
        <f>B1091*(hospitalityq!M1091="")</f>
        <v>0</v>
      </c>
      <c r="N1091">
        <f>B1091*(hospitalityq!N1091="")</f>
        <v>0</v>
      </c>
      <c r="O1091">
        <f>B1091*(hospitalityq!O1091="")</f>
        <v>0</v>
      </c>
      <c r="P1091">
        <f>B1091*(hospitalityq!P1091="")</f>
        <v>0</v>
      </c>
      <c r="Q1091">
        <f>B1091*(hospitalityq!Q1091="")</f>
        <v>0</v>
      </c>
      <c r="R1091">
        <f>B1091*(hospitalityq!R1091="")</f>
        <v>0</v>
      </c>
    </row>
    <row r="1092" spans="1:18" x14ac:dyDescent="0.25">
      <c r="A1092">
        <f t="shared" si="17"/>
        <v>0</v>
      </c>
      <c r="B1092" t="b">
        <f>SUMPRODUCT(LEN(hospitalityq!C1092:R1092))&gt;0</f>
        <v>0</v>
      </c>
      <c r="C1092">
        <f>B1092*(hospitalityq!C1092="")</f>
        <v>0</v>
      </c>
      <c r="E1092">
        <f>B1092*(hospitalityq!E1092="")</f>
        <v>0</v>
      </c>
      <c r="F1092">
        <f>B1092*(hospitalityq!F1092="")</f>
        <v>0</v>
      </c>
      <c r="G1092">
        <f>B1092*(hospitalityq!G1092="")</f>
        <v>0</v>
      </c>
      <c r="H1092">
        <f>B1092*(hospitalityq!H1092="")</f>
        <v>0</v>
      </c>
      <c r="I1092">
        <f>B1092*(hospitalityq!I1092="")</f>
        <v>0</v>
      </c>
      <c r="J1092">
        <f>B1092*(hospitalityq!J1092="")</f>
        <v>0</v>
      </c>
      <c r="K1092">
        <f>B1092*(hospitalityq!K1092="")</f>
        <v>0</v>
      </c>
      <c r="L1092">
        <f>B1092*(hospitalityq!L1092="")</f>
        <v>0</v>
      </c>
      <c r="M1092">
        <f>B1092*(hospitalityq!M1092="")</f>
        <v>0</v>
      </c>
      <c r="N1092">
        <f>B1092*(hospitalityq!N1092="")</f>
        <v>0</v>
      </c>
      <c r="O1092">
        <f>B1092*(hospitalityq!O1092="")</f>
        <v>0</v>
      </c>
      <c r="P1092">
        <f>B1092*(hospitalityq!P1092="")</f>
        <v>0</v>
      </c>
      <c r="Q1092">
        <f>B1092*(hospitalityq!Q1092="")</f>
        <v>0</v>
      </c>
      <c r="R1092">
        <f>B1092*(hospitalityq!R1092="")</f>
        <v>0</v>
      </c>
    </row>
    <row r="1093" spans="1:18" x14ac:dyDescent="0.25">
      <c r="A1093">
        <f t="shared" si="17"/>
        <v>0</v>
      </c>
      <c r="B1093" t="b">
        <f>SUMPRODUCT(LEN(hospitalityq!C1093:R1093))&gt;0</f>
        <v>0</v>
      </c>
      <c r="C1093">
        <f>B1093*(hospitalityq!C1093="")</f>
        <v>0</v>
      </c>
      <c r="E1093">
        <f>B1093*(hospitalityq!E1093="")</f>
        <v>0</v>
      </c>
      <c r="F1093">
        <f>B1093*(hospitalityq!F1093="")</f>
        <v>0</v>
      </c>
      <c r="G1093">
        <f>B1093*(hospitalityq!G1093="")</f>
        <v>0</v>
      </c>
      <c r="H1093">
        <f>B1093*(hospitalityq!H1093="")</f>
        <v>0</v>
      </c>
      <c r="I1093">
        <f>B1093*(hospitalityq!I1093="")</f>
        <v>0</v>
      </c>
      <c r="J1093">
        <f>B1093*(hospitalityq!J1093="")</f>
        <v>0</v>
      </c>
      <c r="K1093">
        <f>B1093*(hospitalityq!K1093="")</f>
        <v>0</v>
      </c>
      <c r="L1093">
        <f>B1093*(hospitalityq!L1093="")</f>
        <v>0</v>
      </c>
      <c r="M1093">
        <f>B1093*(hospitalityq!M1093="")</f>
        <v>0</v>
      </c>
      <c r="N1093">
        <f>B1093*(hospitalityq!N1093="")</f>
        <v>0</v>
      </c>
      <c r="O1093">
        <f>B1093*(hospitalityq!O1093="")</f>
        <v>0</v>
      </c>
      <c r="P1093">
        <f>B1093*(hospitalityq!P1093="")</f>
        <v>0</v>
      </c>
      <c r="Q1093">
        <f>B1093*(hospitalityq!Q1093="")</f>
        <v>0</v>
      </c>
      <c r="R1093">
        <f>B1093*(hospitalityq!R1093="")</f>
        <v>0</v>
      </c>
    </row>
    <row r="1094" spans="1:18" x14ac:dyDescent="0.25">
      <c r="A1094">
        <f t="shared" ref="A1094:A1157" si="18">IFERROR(MATCH(TRUE,INDEX(C1094:R1094&lt;&gt;0,),)+2,0)</f>
        <v>0</v>
      </c>
      <c r="B1094" t="b">
        <f>SUMPRODUCT(LEN(hospitalityq!C1094:R1094))&gt;0</f>
        <v>0</v>
      </c>
      <c r="C1094">
        <f>B1094*(hospitalityq!C1094="")</f>
        <v>0</v>
      </c>
      <c r="E1094">
        <f>B1094*(hospitalityq!E1094="")</f>
        <v>0</v>
      </c>
      <c r="F1094">
        <f>B1094*(hospitalityq!F1094="")</f>
        <v>0</v>
      </c>
      <c r="G1094">
        <f>B1094*(hospitalityq!G1094="")</f>
        <v>0</v>
      </c>
      <c r="H1094">
        <f>B1094*(hospitalityq!H1094="")</f>
        <v>0</v>
      </c>
      <c r="I1094">
        <f>B1094*(hospitalityq!I1094="")</f>
        <v>0</v>
      </c>
      <c r="J1094">
        <f>B1094*(hospitalityq!J1094="")</f>
        <v>0</v>
      </c>
      <c r="K1094">
        <f>B1094*(hospitalityq!K1094="")</f>
        <v>0</v>
      </c>
      <c r="L1094">
        <f>B1094*(hospitalityq!L1094="")</f>
        <v>0</v>
      </c>
      <c r="M1094">
        <f>B1094*(hospitalityq!M1094="")</f>
        <v>0</v>
      </c>
      <c r="N1094">
        <f>B1094*(hospitalityq!N1094="")</f>
        <v>0</v>
      </c>
      <c r="O1094">
        <f>B1094*(hospitalityq!O1094="")</f>
        <v>0</v>
      </c>
      <c r="P1094">
        <f>B1094*(hospitalityq!P1094="")</f>
        <v>0</v>
      </c>
      <c r="Q1094">
        <f>B1094*(hospitalityq!Q1094="")</f>
        <v>0</v>
      </c>
      <c r="R1094">
        <f>B1094*(hospitalityq!R1094="")</f>
        <v>0</v>
      </c>
    </row>
    <row r="1095" spans="1:18" x14ac:dyDescent="0.25">
      <c r="A1095">
        <f t="shared" si="18"/>
        <v>0</v>
      </c>
      <c r="B1095" t="b">
        <f>SUMPRODUCT(LEN(hospitalityq!C1095:R1095))&gt;0</f>
        <v>0</v>
      </c>
      <c r="C1095">
        <f>B1095*(hospitalityq!C1095="")</f>
        <v>0</v>
      </c>
      <c r="E1095">
        <f>B1095*(hospitalityq!E1095="")</f>
        <v>0</v>
      </c>
      <c r="F1095">
        <f>B1095*(hospitalityq!F1095="")</f>
        <v>0</v>
      </c>
      <c r="G1095">
        <f>B1095*(hospitalityq!G1095="")</f>
        <v>0</v>
      </c>
      <c r="H1095">
        <f>B1095*(hospitalityq!H1095="")</f>
        <v>0</v>
      </c>
      <c r="I1095">
        <f>B1095*(hospitalityq!I1095="")</f>
        <v>0</v>
      </c>
      <c r="J1095">
        <f>B1095*(hospitalityq!J1095="")</f>
        <v>0</v>
      </c>
      <c r="K1095">
        <f>B1095*(hospitalityq!K1095="")</f>
        <v>0</v>
      </c>
      <c r="L1095">
        <f>B1095*(hospitalityq!L1095="")</f>
        <v>0</v>
      </c>
      <c r="M1095">
        <f>B1095*(hospitalityq!M1095="")</f>
        <v>0</v>
      </c>
      <c r="N1095">
        <f>B1095*(hospitalityq!N1095="")</f>
        <v>0</v>
      </c>
      <c r="O1095">
        <f>B1095*(hospitalityq!O1095="")</f>
        <v>0</v>
      </c>
      <c r="P1095">
        <f>B1095*(hospitalityq!P1095="")</f>
        <v>0</v>
      </c>
      <c r="Q1095">
        <f>B1095*(hospitalityq!Q1095="")</f>
        <v>0</v>
      </c>
      <c r="R1095">
        <f>B1095*(hospitalityq!R1095="")</f>
        <v>0</v>
      </c>
    </row>
    <row r="1096" spans="1:18" x14ac:dyDescent="0.25">
      <c r="A1096">
        <f t="shared" si="18"/>
        <v>0</v>
      </c>
      <c r="B1096" t="b">
        <f>SUMPRODUCT(LEN(hospitalityq!C1096:R1096))&gt;0</f>
        <v>0</v>
      </c>
      <c r="C1096">
        <f>B1096*(hospitalityq!C1096="")</f>
        <v>0</v>
      </c>
      <c r="E1096">
        <f>B1096*(hospitalityq!E1096="")</f>
        <v>0</v>
      </c>
      <c r="F1096">
        <f>B1096*(hospitalityq!F1096="")</f>
        <v>0</v>
      </c>
      <c r="G1096">
        <f>B1096*(hospitalityq!G1096="")</f>
        <v>0</v>
      </c>
      <c r="H1096">
        <f>B1096*(hospitalityq!H1096="")</f>
        <v>0</v>
      </c>
      <c r="I1096">
        <f>B1096*(hospitalityq!I1096="")</f>
        <v>0</v>
      </c>
      <c r="J1096">
        <f>B1096*(hospitalityq!J1096="")</f>
        <v>0</v>
      </c>
      <c r="K1096">
        <f>B1096*(hospitalityq!K1096="")</f>
        <v>0</v>
      </c>
      <c r="L1096">
        <f>B1096*(hospitalityq!L1096="")</f>
        <v>0</v>
      </c>
      <c r="M1096">
        <f>B1096*(hospitalityq!M1096="")</f>
        <v>0</v>
      </c>
      <c r="N1096">
        <f>B1096*(hospitalityq!N1096="")</f>
        <v>0</v>
      </c>
      <c r="O1096">
        <f>B1096*(hospitalityq!O1096="")</f>
        <v>0</v>
      </c>
      <c r="P1096">
        <f>B1096*(hospitalityq!P1096="")</f>
        <v>0</v>
      </c>
      <c r="Q1096">
        <f>B1096*(hospitalityq!Q1096="")</f>
        <v>0</v>
      </c>
      <c r="R1096">
        <f>B1096*(hospitalityq!R1096="")</f>
        <v>0</v>
      </c>
    </row>
    <row r="1097" spans="1:18" x14ac:dyDescent="0.25">
      <c r="A1097">
        <f t="shared" si="18"/>
        <v>0</v>
      </c>
      <c r="B1097" t="b">
        <f>SUMPRODUCT(LEN(hospitalityq!C1097:R1097))&gt;0</f>
        <v>0</v>
      </c>
      <c r="C1097">
        <f>B1097*(hospitalityq!C1097="")</f>
        <v>0</v>
      </c>
      <c r="E1097">
        <f>B1097*(hospitalityq!E1097="")</f>
        <v>0</v>
      </c>
      <c r="F1097">
        <f>B1097*(hospitalityq!F1097="")</f>
        <v>0</v>
      </c>
      <c r="G1097">
        <f>B1097*(hospitalityq!G1097="")</f>
        <v>0</v>
      </c>
      <c r="H1097">
        <f>B1097*(hospitalityq!H1097="")</f>
        <v>0</v>
      </c>
      <c r="I1097">
        <f>B1097*(hospitalityq!I1097="")</f>
        <v>0</v>
      </c>
      <c r="J1097">
        <f>B1097*(hospitalityq!J1097="")</f>
        <v>0</v>
      </c>
      <c r="K1097">
        <f>B1097*(hospitalityq!K1097="")</f>
        <v>0</v>
      </c>
      <c r="L1097">
        <f>B1097*(hospitalityq!L1097="")</f>
        <v>0</v>
      </c>
      <c r="M1097">
        <f>B1097*(hospitalityq!M1097="")</f>
        <v>0</v>
      </c>
      <c r="N1097">
        <f>B1097*(hospitalityq!N1097="")</f>
        <v>0</v>
      </c>
      <c r="O1097">
        <f>B1097*(hospitalityq!O1097="")</f>
        <v>0</v>
      </c>
      <c r="P1097">
        <f>B1097*(hospitalityq!P1097="")</f>
        <v>0</v>
      </c>
      <c r="Q1097">
        <f>B1097*(hospitalityq!Q1097="")</f>
        <v>0</v>
      </c>
      <c r="R1097">
        <f>B1097*(hospitalityq!R1097="")</f>
        <v>0</v>
      </c>
    </row>
    <row r="1098" spans="1:18" x14ac:dyDescent="0.25">
      <c r="A1098">
        <f t="shared" si="18"/>
        <v>0</v>
      </c>
      <c r="B1098" t="b">
        <f>SUMPRODUCT(LEN(hospitalityq!C1098:R1098))&gt;0</f>
        <v>0</v>
      </c>
      <c r="C1098">
        <f>B1098*(hospitalityq!C1098="")</f>
        <v>0</v>
      </c>
      <c r="E1098">
        <f>B1098*(hospitalityq!E1098="")</f>
        <v>0</v>
      </c>
      <c r="F1098">
        <f>B1098*(hospitalityq!F1098="")</f>
        <v>0</v>
      </c>
      <c r="G1098">
        <f>B1098*(hospitalityq!G1098="")</f>
        <v>0</v>
      </c>
      <c r="H1098">
        <f>B1098*(hospitalityq!H1098="")</f>
        <v>0</v>
      </c>
      <c r="I1098">
        <f>B1098*(hospitalityq!I1098="")</f>
        <v>0</v>
      </c>
      <c r="J1098">
        <f>B1098*(hospitalityq!J1098="")</f>
        <v>0</v>
      </c>
      <c r="K1098">
        <f>B1098*(hospitalityq!K1098="")</f>
        <v>0</v>
      </c>
      <c r="L1098">
        <f>B1098*(hospitalityq!L1098="")</f>
        <v>0</v>
      </c>
      <c r="M1098">
        <f>B1098*(hospitalityq!M1098="")</f>
        <v>0</v>
      </c>
      <c r="N1098">
        <f>B1098*(hospitalityq!N1098="")</f>
        <v>0</v>
      </c>
      <c r="O1098">
        <f>B1098*(hospitalityq!O1098="")</f>
        <v>0</v>
      </c>
      <c r="P1098">
        <f>B1098*(hospitalityq!P1098="")</f>
        <v>0</v>
      </c>
      <c r="Q1098">
        <f>B1098*(hospitalityq!Q1098="")</f>
        <v>0</v>
      </c>
      <c r="R1098">
        <f>B1098*(hospitalityq!R1098="")</f>
        <v>0</v>
      </c>
    </row>
    <row r="1099" spans="1:18" x14ac:dyDescent="0.25">
      <c r="A1099">
        <f t="shared" si="18"/>
        <v>0</v>
      </c>
      <c r="B1099" t="b">
        <f>SUMPRODUCT(LEN(hospitalityq!C1099:R1099))&gt;0</f>
        <v>0</v>
      </c>
      <c r="C1099">
        <f>B1099*(hospitalityq!C1099="")</f>
        <v>0</v>
      </c>
      <c r="E1099">
        <f>B1099*(hospitalityq!E1099="")</f>
        <v>0</v>
      </c>
      <c r="F1099">
        <f>B1099*(hospitalityq!F1099="")</f>
        <v>0</v>
      </c>
      <c r="G1099">
        <f>B1099*(hospitalityq!G1099="")</f>
        <v>0</v>
      </c>
      <c r="H1099">
        <f>B1099*(hospitalityq!H1099="")</f>
        <v>0</v>
      </c>
      <c r="I1099">
        <f>B1099*(hospitalityq!I1099="")</f>
        <v>0</v>
      </c>
      <c r="J1099">
        <f>B1099*(hospitalityq!J1099="")</f>
        <v>0</v>
      </c>
      <c r="K1099">
        <f>B1099*(hospitalityq!K1099="")</f>
        <v>0</v>
      </c>
      <c r="L1099">
        <f>B1099*(hospitalityq!L1099="")</f>
        <v>0</v>
      </c>
      <c r="M1099">
        <f>B1099*(hospitalityq!M1099="")</f>
        <v>0</v>
      </c>
      <c r="N1099">
        <f>B1099*(hospitalityq!N1099="")</f>
        <v>0</v>
      </c>
      <c r="O1099">
        <f>B1099*(hospitalityq!O1099="")</f>
        <v>0</v>
      </c>
      <c r="P1099">
        <f>B1099*(hospitalityq!P1099="")</f>
        <v>0</v>
      </c>
      <c r="Q1099">
        <f>B1099*(hospitalityq!Q1099="")</f>
        <v>0</v>
      </c>
      <c r="R1099">
        <f>B1099*(hospitalityq!R1099="")</f>
        <v>0</v>
      </c>
    </row>
    <row r="1100" spans="1:18" x14ac:dyDescent="0.25">
      <c r="A1100">
        <f t="shared" si="18"/>
        <v>0</v>
      </c>
      <c r="B1100" t="b">
        <f>SUMPRODUCT(LEN(hospitalityq!C1100:R1100))&gt;0</f>
        <v>0</v>
      </c>
      <c r="C1100">
        <f>B1100*(hospitalityq!C1100="")</f>
        <v>0</v>
      </c>
      <c r="E1100">
        <f>B1100*(hospitalityq!E1100="")</f>
        <v>0</v>
      </c>
      <c r="F1100">
        <f>B1100*(hospitalityq!F1100="")</f>
        <v>0</v>
      </c>
      <c r="G1100">
        <f>B1100*(hospitalityq!G1100="")</f>
        <v>0</v>
      </c>
      <c r="H1100">
        <f>B1100*(hospitalityq!H1100="")</f>
        <v>0</v>
      </c>
      <c r="I1100">
        <f>B1100*(hospitalityq!I1100="")</f>
        <v>0</v>
      </c>
      <c r="J1100">
        <f>B1100*(hospitalityq!J1100="")</f>
        <v>0</v>
      </c>
      <c r="K1100">
        <f>B1100*(hospitalityq!K1100="")</f>
        <v>0</v>
      </c>
      <c r="L1100">
        <f>B1100*(hospitalityq!L1100="")</f>
        <v>0</v>
      </c>
      <c r="M1100">
        <f>B1100*(hospitalityq!M1100="")</f>
        <v>0</v>
      </c>
      <c r="N1100">
        <f>B1100*(hospitalityq!N1100="")</f>
        <v>0</v>
      </c>
      <c r="O1100">
        <f>B1100*(hospitalityq!O1100="")</f>
        <v>0</v>
      </c>
      <c r="P1100">
        <f>B1100*(hospitalityq!P1100="")</f>
        <v>0</v>
      </c>
      <c r="Q1100">
        <f>B1100*(hospitalityq!Q1100="")</f>
        <v>0</v>
      </c>
      <c r="R1100">
        <f>B1100*(hospitalityq!R1100="")</f>
        <v>0</v>
      </c>
    </row>
    <row r="1101" spans="1:18" x14ac:dyDescent="0.25">
      <c r="A1101">
        <f t="shared" si="18"/>
        <v>0</v>
      </c>
      <c r="B1101" t="b">
        <f>SUMPRODUCT(LEN(hospitalityq!C1101:R1101))&gt;0</f>
        <v>0</v>
      </c>
      <c r="C1101">
        <f>B1101*(hospitalityq!C1101="")</f>
        <v>0</v>
      </c>
      <c r="E1101">
        <f>B1101*(hospitalityq!E1101="")</f>
        <v>0</v>
      </c>
      <c r="F1101">
        <f>B1101*(hospitalityq!F1101="")</f>
        <v>0</v>
      </c>
      <c r="G1101">
        <f>B1101*(hospitalityq!G1101="")</f>
        <v>0</v>
      </c>
      <c r="H1101">
        <f>B1101*(hospitalityq!H1101="")</f>
        <v>0</v>
      </c>
      <c r="I1101">
        <f>B1101*(hospitalityq!I1101="")</f>
        <v>0</v>
      </c>
      <c r="J1101">
        <f>B1101*(hospitalityq!J1101="")</f>
        <v>0</v>
      </c>
      <c r="K1101">
        <f>B1101*(hospitalityq!K1101="")</f>
        <v>0</v>
      </c>
      <c r="L1101">
        <f>B1101*(hospitalityq!L1101="")</f>
        <v>0</v>
      </c>
      <c r="M1101">
        <f>B1101*(hospitalityq!M1101="")</f>
        <v>0</v>
      </c>
      <c r="N1101">
        <f>B1101*(hospitalityq!N1101="")</f>
        <v>0</v>
      </c>
      <c r="O1101">
        <f>B1101*(hospitalityq!O1101="")</f>
        <v>0</v>
      </c>
      <c r="P1101">
        <f>B1101*(hospitalityq!P1101="")</f>
        <v>0</v>
      </c>
      <c r="Q1101">
        <f>B1101*(hospitalityq!Q1101="")</f>
        <v>0</v>
      </c>
      <c r="R1101">
        <f>B1101*(hospitalityq!R1101="")</f>
        <v>0</v>
      </c>
    </row>
    <row r="1102" spans="1:18" x14ac:dyDescent="0.25">
      <c r="A1102">
        <f t="shared" si="18"/>
        <v>0</v>
      </c>
      <c r="B1102" t="b">
        <f>SUMPRODUCT(LEN(hospitalityq!C1102:R1102))&gt;0</f>
        <v>0</v>
      </c>
      <c r="C1102">
        <f>B1102*(hospitalityq!C1102="")</f>
        <v>0</v>
      </c>
      <c r="E1102">
        <f>B1102*(hospitalityq!E1102="")</f>
        <v>0</v>
      </c>
      <c r="F1102">
        <f>B1102*(hospitalityq!F1102="")</f>
        <v>0</v>
      </c>
      <c r="G1102">
        <f>B1102*(hospitalityq!G1102="")</f>
        <v>0</v>
      </c>
      <c r="H1102">
        <f>B1102*(hospitalityq!H1102="")</f>
        <v>0</v>
      </c>
      <c r="I1102">
        <f>B1102*(hospitalityq!I1102="")</f>
        <v>0</v>
      </c>
      <c r="J1102">
        <f>B1102*(hospitalityq!J1102="")</f>
        <v>0</v>
      </c>
      <c r="K1102">
        <f>B1102*(hospitalityq!K1102="")</f>
        <v>0</v>
      </c>
      <c r="L1102">
        <f>B1102*(hospitalityq!L1102="")</f>
        <v>0</v>
      </c>
      <c r="M1102">
        <f>B1102*(hospitalityq!M1102="")</f>
        <v>0</v>
      </c>
      <c r="N1102">
        <f>B1102*(hospitalityq!N1102="")</f>
        <v>0</v>
      </c>
      <c r="O1102">
        <f>B1102*(hospitalityq!O1102="")</f>
        <v>0</v>
      </c>
      <c r="P1102">
        <f>B1102*(hospitalityq!P1102="")</f>
        <v>0</v>
      </c>
      <c r="Q1102">
        <f>B1102*(hospitalityq!Q1102="")</f>
        <v>0</v>
      </c>
      <c r="R1102">
        <f>B1102*(hospitalityq!R1102="")</f>
        <v>0</v>
      </c>
    </row>
    <row r="1103" spans="1:18" x14ac:dyDescent="0.25">
      <c r="A1103">
        <f t="shared" si="18"/>
        <v>0</v>
      </c>
      <c r="B1103" t="b">
        <f>SUMPRODUCT(LEN(hospitalityq!C1103:R1103))&gt;0</f>
        <v>0</v>
      </c>
      <c r="C1103">
        <f>B1103*(hospitalityq!C1103="")</f>
        <v>0</v>
      </c>
      <c r="E1103">
        <f>B1103*(hospitalityq!E1103="")</f>
        <v>0</v>
      </c>
      <c r="F1103">
        <f>B1103*(hospitalityq!F1103="")</f>
        <v>0</v>
      </c>
      <c r="G1103">
        <f>B1103*(hospitalityq!G1103="")</f>
        <v>0</v>
      </c>
      <c r="H1103">
        <f>B1103*(hospitalityq!H1103="")</f>
        <v>0</v>
      </c>
      <c r="I1103">
        <f>B1103*(hospitalityq!I1103="")</f>
        <v>0</v>
      </c>
      <c r="J1103">
        <f>B1103*(hospitalityq!J1103="")</f>
        <v>0</v>
      </c>
      <c r="K1103">
        <f>B1103*(hospitalityq!K1103="")</f>
        <v>0</v>
      </c>
      <c r="L1103">
        <f>B1103*(hospitalityq!L1103="")</f>
        <v>0</v>
      </c>
      <c r="M1103">
        <f>B1103*(hospitalityq!M1103="")</f>
        <v>0</v>
      </c>
      <c r="N1103">
        <f>B1103*(hospitalityq!N1103="")</f>
        <v>0</v>
      </c>
      <c r="O1103">
        <f>B1103*(hospitalityq!O1103="")</f>
        <v>0</v>
      </c>
      <c r="P1103">
        <f>B1103*(hospitalityq!P1103="")</f>
        <v>0</v>
      </c>
      <c r="Q1103">
        <f>B1103*(hospitalityq!Q1103="")</f>
        <v>0</v>
      </c>
      <c r="R1103">
        <f>B1103*(hospitalityq!R1103="")</f>
        <v>0</v>
      </c>
    </row>
    <row r="1104" spans="1:18" x14ac:dyDescent="0.25">
      <c r="A1104">
        <f t="shared" si="18"/>
        <v>0</v>
      </c>
      <c r="B1104" t="b">
        <f>SUMPRODUCT(LEN(hospitalityq!C1104:R1104))&gt;0</f>
        <v>0</v>
      </c>
      <c r="C1104">
        <f>B1104*(hospitalityq!C1104="")</f>
        <v>0</v>
      </c>
      <c r="E1104">
        <f>B1104*(hospitalityq!E1104="")</f>
        <v>0</v>
      </c>
      <c r="F1104">
        <f>B1104*(hospitalityq!F1104="")</f>
        <v>0</v>
      </c>
      <c r="G1104">
        <f>B1104*(hospitalityq!G1104="")</f>
        <v>0</v>
      </c>
      <c r="H1104">
        <f>B1104*(hospitalityq!H1104="")</f>
        <v>0</v>
      </c>
      <c r="I1104">
        <f>B1104*(hospitalityq!I1104="")</f>
        <v>0</v>
      </c>
      <c r="J1104">
        <f>B1104*(hospitalityq!J1104="")</f>
        <v>0</v>
      </c>
      <c r="K1104">
        <f>B1104*(hospitalityq!K1104="")</f>
        <v>0</v>
      </c>
      <c r="L1104">
        <f>B1104*(hospitalityq!L1104="")</f>
        <v>0</v>
      </c>
      <c r="M1104">
        <f>B1104*(hospitalityq!M1104="")</f>
        <v>0</v>
      </c>
      <c r="N1104">
        <f>B1104*(hospitalityq!N1104="")</f>
        <v>0</v>
      </c>
      <c r="O1104">
        <f>B1104*(hospitalityq!O1104="")</f>
        <v>0</v>
      </c>
      <c r="P1104">
        <f>B1104*(hospitalityq!P1104="")</f>
        <v>0</v>
      </c>
      <c r="Q1104">
        <f>B1104*(hospitalityq!Q1104="")</f>
        <v>0</v>
      </c>
      <c r="R1104">
        <f>B1104*(hospitalityq!R1104="")</f>
        <v>0</v>
      </c>
    </row>
    <row r="1105" spans="1:18" x14ac:dyDescent="0.25">
      <c r="A1105">
        <f t="shared" si="18"/>
        <v>0</v>
      </c>
      <c r="B1105" t="b">
        <f>SUMPRODUCT(LEN(hospitalityq!C1105:R1105))&gt;0</f>
        <v>0</v>
      </c>
      <c r="C1105">
        <f>B1105*(hospitalityq!C1105="")</f>
        <v>0</v>
      </c>
      <c r="E1105">
        <f>B1105*(hospitalityq!E1105="")</f>
        <v>0</v>
      </c>
      <c r="F1105">
        <f>B1105*(hospitalityq!F1105="")</f>
        <v>0</v>
      </c>
      <c r="G1105">
        <f>B1105*(hospitalityq!G1105="")</f>
        <v>0</v>
      </c>
      <c r="H1105">
        <f>B1105*(hospitalityq!H1105="")</f>
        <v>0</v>
      </c>
      <c r="I1105">
        <f>B1105*(hospitalityq!I1105="")</f>
        <v>0</v>
      </c>
      <c r="J1105">
        <f>B1105*(hospitalityq!J1105="")</f>
        <v>0</v>
      </c>
      <c r="K1105">
        <f>B1105*(hospitalityq!K1105="")</f>
        <v>0</v>
      </c>
      <c r="L1105">
        <f>B1105*(hospitalityq!L1105="")</f>
        <v>0</v>
      </c>
      <c r="M1105">
        <f>B1105*(hospitalityq!M1105="")</f>
        <v>0</v>
      </c>
      <c r="N1105">
        <f>B1105*(hospitalityq!N1105="")</f>
        <v>0</v>
      </c>
      <c r="O1105">
        <f>B1105*(hospitalityq!O1105="")</f>
        <v>0</v>
      </c>
      <c r="P1105">
        <f>B1105*(hospitalityq!P1105="")</f>
        <v>0</v>
      </c>
      <c r="Q1105">
        <f>B1105*(hospitalityq!Q1105="")</f>
        <v>0</v>
      </c>
      <c r="R1105">
        <f>B1105*(hospitalityq!R1105="")</f>
        <v>0</v>
      </c>
    </row>
    <row r="1106" spans="1:18" x14ac:dyDescent="0.25">
      <c r="A1106">
        <f t="shared" si="18"/>
        <v>0</v>
      </c>
      <c r="B1106" t="b">
        <f>SUMPRODUCT(LEN(hospitalityq!C1106:R1106))&gt;0</f>
        <v>0</v>
      </c>
      <c r="C1106">
        <f>B1106*(hospitalityq!C1106="")</f>
        <v>0</v>
      </c>
      <c r="E1106">
        <f>B1106*(hospitalityq!E1106="")</f>
        <v>0</v>
      </c>
      <c r="F1106">
        <f>B1106*(hospitalityq!F1106="")</f>
        <v>0</v>
      </c>
      <c r="G1106">
        <f>B1106*(hospitalityq!G1106="")</f>
        <v>0</v>
      </c>
      <c r="H1106">
        <f>B1106*(hospitalityq!H1106="")</f>
        <v>0</v>
      </c>
      <c r="I1106">
        <f>B1106*(hospitalityq!I1106="")</f>
        <v>0</v>
      </c>
      <c r="J1106">
        <f>B1106*(hospitalityq!J1106="")</f>
        <v>0</v>
      </c>
      <c r="K1106">
        <f>B1106*(hospitalityq!K1106="")</f>
        <v>0</v>
      </c>
      <c r="L1106">
        <f>B1106*(hospitalityq!L1106="")</f>
        <v>0</v>
      </c>
      <c r="M1106">
        <f>B1106*(hospitalityq!M1106="")</f>
        <v>0</v>
      </c>
      <c r="N1106">
        <f>B1106*(hospitalityq!N1106="")</f>
        <v>0</v>
      </c>
      <c r="O1106">
        <f>B1106*(hospitalityq!O1106="")</f>
        <v>0</v>
      </c>
      <c r="P1106">
        <f>B1106*(hospitalityq!P1106="")</f>
        <v>0</v>
      </c>
      <c r="Q1106">
        <f>B1106*(hospitalityq!Q1106="")</f>
        <v>0</v>
      </c>
      <c r="R1106">
        <f>B1106*(hospitalityq!R1106="")</f>
        <v>0</v>
      </c>
    </row>
    <row r="1107" spans="1:18" x14ac:dyDescent="0.25">
      <c r="A1107">
        <f t="shared" si="18"/>
        <v>0</v>
      </c>
      <c r="B1107" t="b">
        <f>SUMPRODUCT(LEN(hospitalityq!C1107:R1107))&gt;0</f>
        <v>0</v>
      </c>
      <c r="C1107">
        <f>B1107*(hospitalityq!C1107="")</f>
        <v>0</v>
      </c>
      <c r="E1107">
        <f>B1107*(hospitalityq!E1107="")</f>
        <v>0</v>
      </c>
      <c r="F1107">
        <f>B1107*(hospitalityq!F1107="")</f>
        <v>0</v>
      </c>
      <c r="G1107">
        <f>B1107*(hospitalityq!G1107="")</f>
        <v>0</v>
      </c>
      <c r="H1107">
        <f>B1107*(hospitalityq!H1107="")</f>
        <v>0</v>
      </c>
      <c r="I1107">
        <f>B1107*(hospitalityq!I1107="")</f>
        <v>0</v>
      </c>
      <c r="J1107">
        <f>B1107*(hospitalityq!J1107="")</f>
        <v>0</v>
      </c>
      <c r="K1107">
        <f>B1107*(hospitalityq!K1107="")</f>
        <v>0</v>
      </c>
      <c r="L1107">
        <f>B1107*(hospitalityq!L1107="")</f>
        <v>0</v>
      </c>
      <c r="M1107">
        <f>B1107*(hospitalityq!M1107="")</f>
        <v>0</v>
      </c>
      <c r="N1107">
        <f>B1107*(hospitalityq!N1107="")</f>
        <v>0</v>
      </c>
      <c r="O1107">
        <f>B1107*(hospitalityq!O1107="")</f>
        <v>0</v>
      </c>
      <c r="P1107">
        <f>B1107*(hospitalityq!P1107="")</f>
        <v>0</v>
      </c>
      <c r="Q1107">
        <f>B1107*(hospitalityq!Q1107="")</f>
        <v>0</v>
      </c>
      <c r="R1107">
        <f>B1107*(hospitalityq!R1107="")</f>
        <v>0</v>
      </c>
    </row>
    <row r="1108" spans="1:18" x14ac:dyDescent="0.25">
      <c r="A1108">
        <f t="shared" si="18"/>
        <v>0</v>
      </c>
      <c r="B1108" t="b">
        <f>SUMPRODUCT(LEN(hospitalityq!C1108:R1108))&gt;0</f>
        <v>0</v>
      </c>
      <c r="C1108">
        <f>B1108*(hospitalityq!C1108="")</f>
        <v>0</v>
      </c>
      <c r="E1108">
        <f>B1108*(hospitalityq!E1108="")</f>
        <v>0</v>
      </c>
      <c r="F1108">
        <f>B1108*(hospitalityq!F1108="")</f>
        <v>0</v>
      </c>
      <c r="G1108">
        <f>B1108*(hospitalityq!G1108="")</f>
        <v>0</v>
      </c>
      <c r="H1108">
        <f>B1108*(hospitalityq!H1108="")</f>
        <v>0</v>
      </c>
      <c r="I1108">
        <f>B1108*(hospitalityq!I1108="")</f>
        <v>0</v>
      </c>
      <c r="J1108">
        <f>B1108*(hospitalityq!J1108="")</f>
        <v>0</v>
      </c>
      <c r="K1108">
        <f>B1108*(hospitalityq!K1108="")</f>
        <v>0</v>
      </c>
      <c r="L1108">
        <f>B1108*(hospitalityq!L1108="")</f>
        <v>0</v>
      </c>
      <c r="M1108">
        <f>B1108*(hospitalityq!M1108="")</f>
        <v>0</v>
      </c>
      <c r="N1108">
        <f>B1108*(hospitalityq!N1108="")</f>
        <v>0</v>
      </c>
      <c r="O1108">
        <f>B1108*(hospitalityq!O1108="")</f>
        <v>0</v>
      </c>
      <c r="P1108">
        <f>B1108*(hospitalityq!P1108="")</f>
        <v>0</v>
      </c>
      <c r="Q1108">
        <f>B1108*(hospitalityq!Q1108="")</f>
        <v>0</v>
      </c>
      <c r="R1108">
        <f>B1108*(hospitalityq!R1108="")</f>
        <v>0</v>
      </c>
    </row>
    <row r="1109" spans="1:18" x14ac:dyDescent="0.25">
      <c r="A1109">
        <f t="shared" si="18"/>
        <v>0</v>
      </c>
      <c r="B1109" t="b">
        <f>SUMPRODUCT(LEN(hospitalityq!C1109:R1109))&gt;0</f>
        <v>0</v>
      </c>
      <c r="C1109">
        <f>B1109*(hospitalityq!C1109="")</f>
        <v>0</v>
      </c>
      <c r="E1109">
        <f>B1109*(hospitalityq!E1109="")</f>
        <v>0</v>
      </c>
      <c r="F1109">
        <f>B1109*(hospitalityq!F1109="")</f>
        <v>0</v>
      </c>
      <c r="G1109">
        <f>B1109*(hospitalityq!G1109="")</f>
        <v>0</v>
      </c>
      <c r="H1109">
        <f>B1109*(hospitalityq!H1109="")</f>
        <v>0</v>
      </c>
      <c r="I1109">
        <f>B1109*(hospitalityq!I1109="")</f>
        <v>0</v>
      </c>
      <c r="J1109">
        <f>B1109*(hospitalityq!J1109="")</f>
        <v>0</v>
      </c>
      <c r="K1109">
        <f>B1109*(hospitalityq!K1109="")</f>
        <v>0</v>
      </c>
      <c r="L1109">
        <f>B1109*(hospitalityq!L1109="")</f>
        <v>0</v>
      </c>
      <c r="M1109">
        <f>B1109*(hospitalityq!M1109="")</f>
        <v>0</v>
      </c>
      <c r="N1109">
        <f>B1109*(hospitalityq!N1109="")</f>
        <v>0</v>
      </c>
      <c r="O1109">
        <f>B1109*(hospitalityq!O1109="")</f>
        <v>0</v>
      </c>
      <c r="P1109">
        <f>B1109*(hospitalityq!P1109="")</f>
        <v>0</v>
      </c>
      <c r="Q1109">
        <f>B1109*(hospitalityq!Q1109="")</f>
        <v>0</v>
      </c>
      <c r="R1109">
        <f>B1109*(hospitalityq!R1109="")</f>
        <v>0</v>
      </c>
    </row>
    <row r="1110" spans="1:18" x14ac:dyDescent="0.25">
      <c r="A1110">
        <f t="shared" si="18"/>
        <v>0</v>
      </c>
      <c r="B1110" t="b">
        <f>SUMPRODUCT(LEN(hospitalityq!C1110:R1110))&gt;0</f>
        <v>0</v>
      </c>
      <c r="C1110">
        <f>B1110*(hospitalityq!C1110="")</f>
        <v>0</v>
      </c>
      <c r="E1110">
        <f>B1110*(hospitalityq!E1110="")</f>
        <v>0</v>
      </c>
      <c r="F1110">
        <f>B1110*(hospitalityq!F1110="")</f>
        <v>0</v>
      </c>
      <c r="G1110">
        <f>B1110*(hospitalityq!G1110="")</f>
        <v>0</v>
      </c>
      <c r="H1110">
        <f>B1110*(hospitalityq!H1110="")</f>
        <v>0</v>
      </c>
      <c r="I1110">
        <f>B1110*(hospitalityq!I1110="")</f>
        <v>0</v>
      </c>
      <c r="J1110">
        <f>B1110*(hospitalityq!J1110="")</f>
        <v>0</v>
      </c>
      <c r="K1110">
        <f>B1110*(hospitalityq!K1110="")</f>
        <v>0</v>
      </c>
      <c r="L1110">
        <f>B1110*(hospitalityq!L1110="")</f>
        <v>0</v>
      </c>
      <c r="M1110">
        <f>B1110*(hospitalityq!M1110="")</f>
        <v>0</v>
      </c>
      <c r="N1110">
        <f>B1110*(hospitalityq!N1110="")</f>
        <v>0</v>
      </c>
      <c r="O1110">
        <f>B1110*(hospitalityq!O1110="")</f>
        <v>0</v>
      </c>
      <c r="P1110">
        <f>B1110*(hospitalityq!P1110="")</f>
        <v>0</v>
      </c>
      <c r="Q1110">
        <f>B1110*(hospitalityq!Q1110="")</f>
        <v>0</v>
      </c>
      <c r="R1110">
        <f>B1110*(hospitalityq!R1110="")</f>
        <v>0</v>
      </c>
    </row>
    <row r="1111" spans="1:18" x14ac:dyDescent="0.25">
      <c r="A1111">
        <f t="shared" si="18"/>
        <v>0</v>
      </c>
      <c r="B1111" t="b">
        <f>SUMPRODUCT(LEN(hospitalityq!C1111:R1111))&gt;0</f>
        <v>0</v>
      </c>
      <c r="C1111">
        <f>B1111*(hospitalityq!C1111="")</f>
        <v>0</v>
      </c>
      <c r="E1111">
        <f>B1111*(hospitalityq!E1111="")</f>
        <v>0</v>
      </c>
      <c r="F1111">
        <f>B1111*(hospitalityq!F1111="")</f>
        <v>0</v>
      </c>
      <c r="G1111">
        <f>B1111*(hospitalityq!G1111="")</f>
        <v>0</v>
      </c>
      <c r="H1111">
        <f>B1111*(hospitalityq!H1111="")</f>
        <v>0</v>
      </c>
      <c r="I1111">
        <f>B1111*(hospitalityq!I1111="")</f>
        <v>0</v>
      </c>
      <c r="J1111">
        <f>B1111*(hospitalityq!J1111="")</f>
        <v>0</v>
      </c>
      <c r="K1111">
        <f>B1111*(hospitalityq!K1111="")</f>
        <v>0</v>
      </c>
      <c r="L1111">
        <f>B1111*(hospitalityq!L1111="")</f>
        <v>0</v>
      </c>
      <c r="M1111">
        <f>B1111*(hospitalityq!M1111="")</f>
        <v>0</v>
      </c>
      <c r="N1111">
        <f>B1111*(hospitalityq!N1111="")</f>
        <v>0</v>
      </c>
      <c r="O1111">
        <f>B1111*(hospitalityq!O1111="")</f>
        <v>0</v>
      </c>
      <c r="P1111">
        <f>B1111*(hospitalityq!P1111="")</f>
        <v>0</v>
      </c>
      <c r="Q1111">
        <f>B1111*(hospitalityq!Q1111="")</f>
        <v>0</v>
      </c>
      <c r="R1111">
        <f>B1111*(hospitalityq!R1111="")</f>
        <v>0</v>
      </c>
    </row>
    <row r="1112" spans="1:18" x14ac:dyDescent="0.25">
      <c r="A1112">
        <f t="shared" si="18"/>
        <v>0</v>
      </c>
      <c r="B1112" t="b">
        <f>SUMPRODUCT(LEN(hospitalityq!C1112:R1112))&gt;0</f>
        <v>0</v>
      </c>
      <c r="C1112">
        <f>B1112*(hospitalityq!C1112="")</f>
        <v>0</v>
      </c>
      <c r="E1112">
        <f>B1112*(hospitalityq!E1112="")</f>
        <v>0</v>
      </c>
      <c r="F1112">
        <f>B1112*(hospitalityq!F1112="")</f>
        <v>0</v>
      </c>
      <c r="G1112">
        <f>B1112*(hospitalityq!G1112="")</f>
        <v>0</v>
      </c>
      <c r="H1112">
        <f>B1112*(hospitalityq!H1112="")</f>
        <v>0</v>
      </c>
      <c r="I1112">
        <f>B1112*(hospitalityq!I1112="")</f>
        <v>0</v>
      </c>
      <c r="J1112">
        <f>B1112*(hospitalityq!J1112="")</f>
        <v>0</v>
      </c>
      <c r="K1112">
        <f>B1112*(hospitalityq!K1112="")</f>
        <v>0</v>
      </c>
      <c r="L1112">
        <f>B1112*(hospitalityq!L1112="")</f>
        <v>0</v>
      </c>
      <c r="M1112">
        <f>B1112*(hospitalityq!M1112="")</f>
        <v>0</v>
      </c>
      <c r="N1112">
        <f>B1112*(hospitalityq!N1112="")</f>
        <v>0</v>
      </c>
      <c r="O1112">
        <f>B1112*(hospitalityq!O1112="")</f>
        <v>0</v>
      </c>
      <c r="P1112">
        <f>B1112*(hospitalityq!P1112="")</f>
        <v>0</v>
      </c>
      <c r="Q1112">
        <f>B1112*(hospitalityq!Q1112="")</f>
        <v>0</v>
      </c>
      <c r="R1112">
        <f>B1112*(hospitalityq!R1112="")</f>
        <v>0</v>
      </c>
    </row>
    <row r="1113" spans="1:18" x14ac:dyDescent="0.25">
      <c r="A1113">
        <f t="shared" si="18"/>
        <v>0</v>
      </c>
      <c r="B1113" t="b">
        <f>SUMPRODUCT(LEN(hospitalityq!C1113:R1113))&gt;0</f>
        <v>0</v>
      </c>
      <c r="C1113">
        <f>B1113*(hospitalityq!C1113="")</f>
        <v>0</v>
      </c>
      <c r="E1113">
        <f>B1113*(hospitalityq!E1113="")</f>
        <v>0</v>
      </c>
      <c r="F1113">
        <f>B1113*(hospitalityq!F1113="")</f>
        <v>0</v>
      </c>
      <c r="G1113">
        <f>B1113*(hospitalityq!G1113="")</f>
        <v>0</v>
      </c>
      <c r="H1113">
        <f>B1113*(hospitalityq!H1113="")</f>
        <v>0</v>
      </c>
      <c r="I1113">
        <f>B1113*(hospitalityq!I1113="")</f>
        <v>0</v>
      </c>
      <c r="J1113">
        <f>B1113*(hospitalityq!J1113="")</f>
        <v>0</v>
      </c>
      <c r="K1113">
        <f>B1113*(hospitalityq!K1113="")</f>
        <v>0</v>
      </c>
      <c r="L1113">
        <f>B1113*(hospitalityq!L1113="")</f>
        <v>0</v>
      </c>
      <c r="M1113">
        <f>B1113*(hospitalityq!M1113="")</f>
        <v>0</v>
      </c>
      <c r="N1113">
        <f>B1113*(hospitalityq!N1113="")</f>
        <v>0</v>
      </c>
      <c r="O1113">
        <f>B1113*(hospitalityq!O1113="")</f>
        <v>0</v>
      </c>
      <c r="P1113">
        <f>B1113*(hospitalityq!P1113="")</f>
        <v>0</v>
      </c>
      <c r="Q1113">
        <f>B1113*(hospitalityq!Q1113="")</f>
        <v>0</v>
      </c>
      <c r="R1113">
        <f>B1113*(hospitalityq!R1113="")</f>
        <v>0</v>
      </c>
    </row>
    <row r="1114" spans="1:18" x14ac:dyDescent="0.25">
      <c r="A1114">
        <f t="shared" si="18"/>
        <v>0</v>
      </c>
      <c r="B1114" t="b">
        <f>SUMPRODUCT(LEN(hospitalityq!C1114:R1114))&gt;0</f>
        <v>0</v>
      </c>
      <c r="C1114">
        <f>B1114*(hospitalityq!C1114="")</f>
        <v>0</v>
      </c>
      <c r="E1114">
        <f>B1114*(hospitalityq!E1114="")</f>
        <v>0</v>
      </c>
      <c r="F1114">
        <f>B1114*(hospitalityq!F1114="")</f>
        <v>0</v>
      </c>
      <c r="G1114">
        <f>B1114*(hospitalityq!G1114="")</f>
        <v>0</v>
      </c>
      <c r="H1114">
        <f>B1114*(hospitalityq!H1114="")</f>
        <v>0</v>
      </c>
      <c r="I1114">
        <f>B1114*(hospitalityq!I1114="")</f>
        <v>0</v>
      </c>
      <c r="J1114">
        <f>B1114*(hospitalityq!J1114="")</f>
        <v>0</v>
      </c>
      <c r="K1114">
        <f>B1114*(hospitalityq!K1114="")</f>
        <v>0</v>
      </c>
      <c r="L1114">
        <f>B1114*(hospitalityq!L1114="")</f>
        <v>0</v>
      </c>
      <c r="M1114">
        <f>B1114*(hospitalityq!M1114="")</f>
        <v>0</v>
      </c>
      <c r="N1114">
        <f>B1114*(hospitalityq!N1114="")</f>
        <v>0</v>
      </c>
      <c r="O1114">
        <f>B1114*(hospitalityq!O1114="")</f>
        <v>0</v>
      </c>
      <c r="P1114">
        <f>B1114*(hospitalityq!P1114="")</f>
        <v>0</v>
      </c>
      <c r="Q1114">
        <f>B1114*(hospitalityq!Q1114="")</f>
        <v>0</v>
      </c>
      <c r="R1114">
        <f>B1114*(hospitalityq!R1114="")</f>
        <v>0</v>
      </c>
    </row>
    <row r="1115" spans="1:18" x14ac:dyDescent="0.25">
      <c r="A1115">
        <f t="shared" si="18"/>
        <v>0</v>
      </c>
      <c r="B1115" t="b">
        <f>SUMPRODUCT(LEN(hospitalityq!C1115:R1115))&gt;0</f>
        <v>0</v>
      </c>
      <c r="C1115">
        <f>B1115*(hospitalityq!C1115="")</f>
        <v>0</v>
      </c>
      <c r="E1115">
        <f>B1115*(hospitalityq!E1115="")</f>
        <v>0</v>
      </c>
      <c r="F1115">
        <f>B1115*(hospitalityq!F1115="")</f>
        <v>0</v>
      </c>
      <c r="G1115">
        <f>B1115*(hospitalityq!G1115="")</f>
        <v>0</v>
      </c>
      <c r="H1115">
        <f>B1115*(hospitalityq!H1115="")</f>
        <v>0</v>
      </c>
      <c r="I1115">
        <f>B1115*(hospitalityq!I1115="")</f>
        <v>0</v>
      </c>
      <c r="J1115">
        <f>B1115*(hospitalityq!J1115="")</f>
        <v>0</v>
      </c>
      <c r="K1115">
        <f>B1115*(hospitalityq!K1115="")</f>
        <v>0</v>
      </c>
      <c r="L1115">
        <f>B1115*(hospitalityq!L1115="")</f>
        <v>0</v>
      </c>
      <c r="M1115">
        <f>B1115*(hospitalityq!M1115="")</f>
        <v>0</v>
      </c>
      <c r="N1115">
        <f>B1115*(hospitalityq!N1115="")</f>
        <v>0</v>
      </c>
      <c r="O1115">
        <f>B1115*(hospitalityq!O1115="")</f>
        <v>0</v>
      </c>
      <c r="P1115">
        <f>B1115*(hospitalityq!P1115="")</f>
        <v>0</v>
      </c>
      <c r="Q1115">
        <f>B1115*(hospitalityq!Q1115="")</f>
        <v>0</v>
      </c>
      <c r="R1115">
        <f>B1115*(hospitalityq!R1115="")</f>
        <v>0</v>
      </c>
    </row>
    <row r="1116" spans="1:18" x14ac:dyDescent="0.25">
      <c r="A1116">
        <f t="shared" si="18"/>
        <v>0</v>
      </c>
      <c r="B1116" t="b">
        <f>SUMPRODUCT(LEN(hospitalityq!C1116:R1116))&gt;0</f>
        <v>0</v>
      </c>
      <c r="C1116">
        <f>B1116*(hospitalityq!C1116="")</f>
        <v>0</v>
      </c>
      <c r="E1116">
        <f>B1116*(hospitalityq!E1116="")</f>
        <v>0</v>
      </c>
      <c r="F1116">
        <f>B1116*(hospitalityq!F1116="")</f>
        <v>0</v>
      </c>
      <c r="G1116">
        <f>B1116*(hospitalityq!G1116="")</f>
        <v>0</v>
      </c>
      <c r="H1116">
        <f>B1116*(hospitalityq!H1116="")</f>
        <v>0</v>
      </c>
      <c r="I1116">
        <f>B1116*(hospitalityq!I1116="")</f>
        <v>0</v>
      </c>
      <c r="J1116">
        <f>B1116*(hospitalityq!J1116="")</f>
        <v>0</v>
      </c>
      <c r="K1116">
        <f>B1116*(hospitalityq!K1116="")</f>
        <v>0</v>
      </c>
      <c r="L1116">
        <f>B1116*(hospitalityq!L1116="")</f>
        <v>0</v>
      </c>
      <c r="M1116">
        <f>B1116*(hospitalityq!M1116="")</f>
        <v>0</v>
      </c>
      <c r="N1116">
        <f>B1116*(hospitalityq!N1116="")</f>
        <v>0</v>
      </c>
      <c r="O1116">
        <f>B1116*(hospitalityq!O1116="")</f>
        <v>0</v>
      </c>
      <c r="P1116">
        <f>B1116*(hospitalityq!P1116="")</f>
        <v>0</v>
      </c>
      <c r="Q1116">
        <f>B1116*(hospitalityq!Q1116="")</f>
        <v>0</v>
      </c>
      <c r="R1116">
        <f>B1116*(hospitalityq!R1116="")</f>
        <v>0</v>
      </c>
    </row>
    <row r="1117" spans="1:18" x14ac:dyDescent="0.25">
      <c r="A1117">
        <f t="shared" si="18"/>
        <v>0</v>
      </c>
      <c r="B1117" t="b">
        <f>SUMPRODUCT(LEN(hospitalityq!C1117:R1117))&gt;0</f>
        <v>0</v>
      </c>
      <c r="C1117">
        <f>B1117*(hospitalityq!C1117="")</f>
        <v>0</v>
      </c>
      <c r="E1117">
        <f>B1117*(hospitalityq!E1117="")</f>
        <v>0</v>
      </c>
      <c r="F1117">
        <f>B1117*(hospitalityq!F1117="")</f>
        <v>0</v>
      </c>
      <c r="G1117">
        <f>B1117*(hospitalityq!G1117="")</f>
        <v>0</v>
      </c>
      <c r="H1117">
        <f>B1117*(hospitalityq!H1117="")</f>
        <v>0</v>
      </c>
      <c r="I1117">
        <f>B1117*(hospitalityq!I1117="")</f>
        <v>0</v>
      </c>
      <c r="J1117">
        <f>B1117*(hospitalityq!J1117="")</f>
        <v>0</v>
      </c>
      <c r="K1117">
        <f>B1117*(hospitalityq!K1117="")</f>
        <v>0</v>
      </c>
      <c r="L1117">
        <f>B1117*(hospitalityq!L1117="")</f>
        <v>0</v>
      </c>
      <c r="M1117">
        <f>B1117*(hospitalityq!M1117="")</f>
        <v>0</v>
      </c>
      <c r="N1117">
        <f>B1117*(hospitalityq!N1117="")</f>
        <v>0</v>
      </c>
      <c r="O1117">
        <f>B1117*(hospitalityq!O1117="")</f>
        <v>0</v>
      </c>
      <c r="P1117">
        <f>B1117*(hospitalityq!P1117="")</f>
        <v>0</v>
      </c>
      <c r="Q1117">
        <f>B1117*(hospitalityq!Q1117="")</f>
        <v>0</v>
      </c>
      <c r="R1117">
        <f>B1117*(hospitalityq!R1117="")</f>
        <v>0</v>
      </c>
    </row>
    <row r="1118" spans="1:18" x14ac:dyDescent="0.25">
      <c r="A1118">
        <f t="shared" si="18"/>
        <v>0</v>
      </c>
      <c r="B1118" t="b">
        <f>SUMPRODUCT(LEN(hospitalityq!C1118:R1118))&gt;0</f>
        <v>0</v>
      </c>
      <c r="C1118">
        <f>B1118*(hospitalityq!C1118="")</f>
        <v>0</v>
      </c>
      <c r="E1118">
        <f>B1118*(hospitalityq!E1118="")</f>
        <v>0</v>
      </c>
      <c r="F1118">
        <f>B1118*(hospitalityq!F1118="")</f>
        <v>0</v>
      </c>
      <c r="G1118">
        <f>B1118*(hospitalityq!G1118="")</f>
        <v>0</v>
      </c>
      <c r="H1118">
        <f>B1118*(hospitalityq!H1118="")</f>
        <v>0</v>
      </c>
      <c r="I1118">
        <f>B1118*(hospitalityq!I1118="")</f>
        <v>0</v>
      </c>
      <c r="J1118">
        <f>B1118*(hospitalityq!J1118="")</f>
        <v>0</v>
      </c>
      <c r="K1118">
        <f>B1118*(hospitalityq!K1118="")</f>
        <v>0</v>
      </c>
      <c r="L1118">
        <f>B1118*(hospitalityq!L1118="")</f>
        <v>0</v>
      </c>
      <c r="M1118">
        <f>B1118*(hospitalityq!M1118="")</f>
        <v>0</v>
      </c>
      <c r="N1118">
        <f>B1118*(hospitalityq!N1118="")</f>
        <v>0</v>
      </c>
      <c r="O1118">
        <f>B1118*(hospitalityq!O1118="")</f>
        <v>0</v>
      </c>
      <c r="P1118">
        <f>B1118*(hospitalityq!P1118="")</f>
        <v>0</v>
      </c>
      <c r="Q1118">
        <f>B1118*(hospitalityq!Q1118="")</f>
        <v>0</v>
      </c>
      <c r="R1118">
        <f>B1118*(hospitalityq!R1118="")</f>
        <v>0</v>
      </c>
    </row>
    <row r="1119" spans="1:18" x14ac:dyDescent="0.25">
      <c r="A1119">
        <f t="shared" si="18"/>
        <v>0</v>
      </c>
      <c r="B1119" t="b">
        <f>SUMPRODUCT(LEN(hospitalityq!C1119:R1119))&gt;0</f>
        <v>0</v>
      </c>
      <c r="C1119">
        <f>B1119*(hospitalityq!C1119="")</f>
        <v>0</v>
      </c>
      <c r="E1119">
        <f>B1119*(hospitalityq!E1119="")</f>
        <v>0</v>
      </c>
      <c r="F1119">
        <f>B1119*(hospitalityq!F1119="")</f>
        <v>0</v>
      </c>
      <c r="G1119">
        <f>B1119*(hospitalityq!G1119="")</f>
        <v>0</v>
      </c>
      <c r="H1119">
        <f>B1119*(hospitalityq!H1119="")</f>
        <v>0</v>
      </c>
      <c r="I1119">
        <f>B1119*(hospitalityq!I1119="")</f>
        <v>0</v>
      </c>
      <c r="J1119">
        <f>B1119*(hospitalityq!J1119="")</f>
        <v>0</v>
      </c>
      <c r="K1119">
        <f>B1119*(hospitalityq!K1119="")</f>
        <v>0</v>
      </c>
      <c r="L1119">
        <f>B1119*(hospitalityq!L1119="")</f>
        <v>0</v>
      </c>
      <c r="M1119">
        <f>B1119*(hospitalityq!M1119="")</f>
        <v>0</v>
      </c>
      <c r="N1119">
        <f>B1119*(hospitalityq!N1119="")</f>
        <v>0</v>
      </c>
      <c r="O1119">
        <f>B1119*(hospitalityq!O1119="")</f>
        <v>0</v>
      </c>
      <c r="P1119">
        <f>B1119*(hospitalityq!P1119="")</f>
        <v>0</v>
      </c>
      <c r="Q1119">
        <f>B1119*(hospitalityq!Q1119="")</f>
        <v>0</v>
      </c>
      <c r="R1119">
        <f>B1119*(hospitalityq!R1119="")</f>
        <v>0</v>
      </c>
    </row>
    <row r="1120" spans="1:18" x14ac:dyDescent="0.25">
      <c r="A1120">
        <f t="shared" si="18"/>
        <v>0</v>
      </c>
      <c r="B1120" t="b">
        <f>SUMPRODUCT(LEN(hospitalityq!C1120:R1120))&gt;0</f>
        <v>0</v>
      </c>
      <c r="C1120">
        <f>B1120*(hospitalityq!C1120="")</f>
        <v>0</v>
      </c>
      <c r="E1120">
        <f>B1120*(hospitalityq!E1120="")</f>
        <v>0</v>
      </c>
      <c r="F1120">
        <f>B1120*(hospitalityq!F1120="")</f>
        <v>0</v>
      </c>
      <c r="G1120">
        <f>B1120*(hospitalityq!G1120="")</f>
        <v>0</v>
      </c>
      <c r="H1120">
        <f>B1120*(hospitalityq!H1120="")</f>
        <v>0</v>
      </c>
      <c r="I1120">
        <f>B1120*(hospitalityq!I1120="")</f>
        <v>0</v>
      </c>
      <c r="J1120">
        <f>B1120*(hospitalityq!J1120="")</f>
        <v>0</v>
      </c>
      <c r="K1120">
        <f>B1120*(hospitalityq!K1120="")</f>
        <v>0</v>
      </c>
      <c r="L1120">
        <f>B1120*(hospitalityq!L1120="")</f>
        <v>0</v>
      </c>
      <c r="M1120">
        <f>B1120*(hospitalityq!M1120="")</f>
        <v>0</v>
      </c>
      <c r="N1120">
        <f>B1120*(hospitalityq!N1120="")</f>
        <v>0</v>
      </c>
      <c r="O1120">
        <f>B1120*(hospitalityq!O1120="")</f>
        <v>0</v>
      </c>
      <c r="P1120">
        <f>B1120*(hospitalityq!P1120="")</f>
        <v>0</v>
      </c>
      <c r="Q1120">
        <f>B1120*(hospitalityq!Q1120="")</f>
        <v>0</v>
      </c>
      <c r="R1120">
        <f>B1120*(hospitalityq!R1120="")</f>
        <v>0</v>
      </c>
    </row>
    <row r="1121" spans="1:18" x14ac:dyDescent="0.25">
      <c r="A1121">
        <f t="shared" si="18"/>
        <v>0</v>
      </c>
      <c r="B1121" t="b">
        <f>SUMPRODUCT(LEN(hospitalityq!C1121:R1121))&gt;0</f>
        <v>0</v>
      </c>
      <c r="C1121">
        <f>B1121*(hospitalityq!C1121="")</f>
        <v>0</v>
      </c>
      <c r="E1121">
        <f>B1121*(hospitalityq!E1121="")</f>
        <v>0</v>
      </c>
      <c r="F1121">
        <f>B1121*(hospitalityq!F1121="")</f>
        <v>0</v>
      </c>
      <c r="G1121">
        <f>B1121*(hospitalityq!G1121="")</f>
        <v>0</v>
      </c>
      <c r="H1121">
        <f>B1121*(hospitalityq!H1121="")</f>
        <v>0</v>
      </c>
      <c r="I1121">
        <f>B1121*(hospitalityq!I1121="")</f>
        <v>0</v>
      </c>
      <c r="J1121">
        <f>B1121*(hospitalityq!J1121="")</f>
        <v>0</v>
      </c>
      <c r="K1121">
        <f>B1121*(hospitalityq!K1121="")</f>
        <v>0</v>
      </c>
      <c r="L1121">
        <f>B1121*(hospitalityq!L1121="")</f>
        <v>0</v>
      </c>
      <c r="M1121">
        <f>B1121*(hospitalityq!M1121="")</f>
        <v>0</v>
      </c>
      <c r="N1121">
        <f>B1121*(hospitalityq!N1121="")</f>
        <v>0</v>
      </c>
      <c r="O1121">
        <f>B1121*(hospitalityq!O1121="")</f>
        <v>0</v>
      </c>
      <c r="P1121">
        <f>B1121*(hospitalityq!P1121="")</f>
        <v>0</v>
      </c>
      <c r="Q1121">
        <f>B1121*(hospitalityq!Q1121="")</f>
        <v>0</v>
      </c>
      <c r="R1121">
        <f>B1121*(hospitalityq!R1121="")</f>
        <v>0</v>
      </c>
    </row>
    <row r="1122" spans="1:18" x14ac:dyDescent="0.25">
      <c r="A1122">
        <f t="shared" si="18"/>
        <v>0</v>
      </c>
      <c r="B1122" t="b">
        <f>SUMPRODUCT(LEN(hospitalityq!C1122:R1122))&gt;0</f>
        <v>0</v>
      </c>
      <c r="C1122">
        <f>B1122*(hospitalityq!C1122="")</f>
        <v>0</v>
      </c>
      <c r="E1122">
        <f>B1122*(hospitalityq!E1122="")</f>
        <v>0</v>
      </c>
      <c r="F1122">
        <f>B1122*(hospitalityq!F1122="")</f>
        <v>0</v>
      </c>
      <c r="G1122">
        <f>B1122*(hospitalityq!G1122="")</f>
        <v>0</v>
      </c>
      <c r="H1122">
        <f>B1122*(hospitalityq!H1122="")</f>
        <v>0</v>
      </c>
      <c r="I1122">
        <f>B1122*(hospitalityq!I1122="")</f>
        <v>0</v>
      </c>
      <c r="J1122">
        <f>B1122*(hospitalityq!J1122="")</f>
        <v>0</v>
      </c>
      <c r="K1122">
        <f>B1122*(hospitalityq!K1122="")</f>
        <v>0</v>
      </c>
      <c r="L1122">
        <f>B1122*(hospitalityq!L1122="")</f>
        <v>0</v>
      </c>
      <c r="M1122">
        <f>B1122*(hospitalityq!M1122="")</f>
        <v>0</v>
      </c>
      <c r="N1122">
        <f>B1122*(hospitalityq!N1122="")</f>
        <v>0</v>
      </c>
      <c r="O1122">
        <f>B1122*(hospitalityq!O1122="")</f>
        <v>0</v>
      </c>
      <c r="P1122">
        <f>B1122*(hospitalityq!P1122="")</f>
        <v>0</v>
      </c>
      <c r="Q1122">
        <f>B1122*(hospitalityq!Q1122="")</f>
        <v>0</v>
      </c>
      <c r="R1122">
        <f>B1122*(hospitalityq!R1122="")</f>
        <v>0</v>
      </c>
    </row>
    <row r="1123" spans="1:18" x14ac:dyDescent="0.25">
      <c r="A1123">
        <f t="shared" si="18"/>
        <v>0</v>
      </c>
      <c r="B1123" t="b">
        <f>SUMPRODUCT(LEN(hospitalityq!C1123:R1123))&gt;0</f>
        <v>0</v>
      </c>
      <c r="C1123">
        <f>B1123*(hospitalityq!C1123="")</f>
        <v>0</v>
      </c>
      <c r="E1123">
        <f>B1123*(hospitalityq!E1123="")</f>
        <v>0</v>
      </c>
      <c r="F1123">
        <f>B1123*(hospitalityq!F1123="")</f>
        <v>0</v>
      </c>
      <c r="G1123">
        <f>B1123*(hospitalityq!G1123="")</f>
        <v>0</v>
      </c>
      <c r="H1123">
        <f>B1123*(hospitalityq!H1123="")</f>
        <v>0</v>
      </c>
      <c r="I1123">
        <f>B1123*(hospitalityq!I1123="")</f>
        <v>0</v>
      </c>
      <c r="J1123">
        <f>B1123*(hospitalityq!J1123="")</f>
        <v>0</v>
      </c>
      <c r="K1123">
        <f>B1123*(hospitalityq!K1123="")</f>
        <v>0</v>
      </c>
      <c r="L1123">
        <f>B1123*(hospitalityq!L1123="")</f>
        <v>0</v>
      </c>
      <c r="M1123">
        <f>B1123*(hospitalityq!M1123="")</f>
        <v>0</v>
      </c>
      <c r="N1123">
        <f>B1123*(hospitalityq!N1123="")</f>
        <v>0</v>
      </c>
      <c r="O1123">
        <f>B1123*(hospitalityq!O1123="")</f>
        <v>0</v>
      </c>
      <c r="P1123">
        <f>B1123*(hospitalityq!P1123="")</f>
        <v>0</v>
      </c>
      <c r="Q1123">
        <f>B1123*(hospitalityq!Q1123="")</f>
        <v>0</v>
      </c>
      <c r="R1123">
        <f>B1123*(hospitalityq!R1123="")</f>
        <v>0</v>
      </c>
    </row>
    <row r="1124" spans="1:18" x14ac:dyDescent="0.25">
      <c r="A1124">
        <f t="shared" si="18"/>
        <v>0</v>
      </c>
      <c r="B1124" t="b">
        <f>SUMPRODUCT(LEN(hospitalityq!C1124:R1124))&gt;0</f>
        <v>0</v>
      </c>
      <c r="C1124">
        <f>B1124*(hospitalityq!C1124="")</f>
        <v>0</v>
      </c>
      <c r="E1124">
        <f>B1124*(hospitalityq!E1124="")</f>
        <v>0</v>
      </c>
      <c r="F1124">
        <f>B1124*(hospitalityq!F1124="")</f>
        <v>0</v>
      </c>
      <c r="G1124">
        <f>B1124*(hospitalityq!G1124="")</f>
        <v>0</v>
      </c>
      <c r="H1124">
        <f>B1124*(hospitalityq!H1124="")</f>
        <v>0</v>
      </c>
      <c r="I1124">
        <f>B1124*(hospitalityq!I1124="")</f>
        <v>0</v>
      </c>
      <c r="J1124">
        <f>B1124*(hospitalityq!J1124="")</f>
        <v>0</v>
      </c>
      <c r="K1124">
        <f>B1124*(hospitalityq!K1124="")</f>
        <v>0</v>
      </c>
      <c r="L1124">
        <f>B1124*(hospitalityq!L1124="")</f>
        <v>0</v>
      </c>
      <c r="M1124">
        <f>B1124*(hospitalityq!M1124="")</f>
        <v>0</v>
      </c>
      <c r="N1124">
        <f>B1124*(hospitalityq!N1124="")</f>
        <v>0</v>
      </c>
      <c r="O1124">
        <f>B1124*(hospitalityq!O1124="")</f>
        <v>0</v>
      </c>
      <c r="P1124">
        <f>B1124*(hospitalityq!P1124="")</f>
        <v>0</v>
      </c>
      <c r="Q1124">
        <f>B1124*(hospitalityq!Q1124="")</f>
        <v>0</v>
      </c>
      <c r="R1124">
        <f>B1124*(hospitalityq!R1124="")</f>
        <v>0</v>
      </c>
    </row>
    <row r="1125" spans="1:18" x14ac:dyDescent="0.25">
      <c r="A1125">
        <f t="shared" si="18"/>
        <v>0</v>
      </c>
      <c r="B1125" t="b">
        <f>SUMPRODUCT(LEN(hospitalityq!C1125:R1125))&gt;0</f>
        <v>0</v>
      </c>
      <c r="C1125">
        <f>B1125*(hospitalityq!C1125="")</f>
        <v>0</v>
      </c>
      <c r="E1125">
        <f>B1125*(hospitalityq!E1125="")</f>
        <v>0</v>
      </c>
      <c r="F1125">
        <f>B1125*(hospitalityq!F1125="")</f>
        <v>0</v>
      </c>
      <c r="G1125">
        <f>B1125*(hospitalityq!G1125="")</f>
        <v>0</v>
      </c>
      <c r="H1125">
        <f>B1125*(hospitalityq!H1125="")</f>
        <v>0</v>
      </c>
      <c r="I1125">
        <f>B1125*(hospitalityq!I1125="")</f>
        <v>0</v>
      </c>
      <c r="J1125">
        <f>B1125*(hospitalityq!J1125="")</f>
        <v>0</v>
      </c>
      <c r="K1125">
        <f>B1125*(hospitalityq!K1125="")</f>
        <v>0</v>
      </c>
      <c r="L1125">
        <f>B1125*(hospitalityq!L1125="")</f>
        <v>0</v>
      </c>
      <c r="M1125">
        <f>B1125*(hospitalityq!M1125="")</f>
        <v>0</v>
      </c>
      <c r="N1125">
        <f>B1125*(hospitalityq!N1125="")</f>
        <v>0</v>
      </c>
      <c r="O1125">
        <f>B1125*(hospitalityq!O1125="")</f>
        <v>0</v>
      </c>
      <c r="P1125">
        <f>B1125*(hospitalityq!P1125="")</f>
        <v>0</v>
      </c>
      <c r="Q1125">
        <f>B1125*(hospitalityq!Q1125="")</f>
        <v>0</v>
      </c>
      <c r="R1125">
        <f>B1125*(hospitalityq!R1125="")</f>
        <v>0</v>
      </c>
    </row>
    <row r="1126" spans="1:18" x14ac:dyDescent="0.25">
      <c r="A1126">
        <f t="shared" si="18"/>
        <v>0</v>
      </c>
      <c r="B1126" t="b">
        <f>SUMPRODUCT(LEN(hospitalityq!C1126:R1126))&gt;0</f>
        <v>0</v>
      </c>
      <c r="C1126">
        <f>B1126*(hospitalityq!C1126="")</f>
        <v>0</v>
      </c>
      <c r="E1126">
        <f>B1126*(hospitalityq!E1126="")</f>
        <v>0</v>
      </c>
      <c r="F1126">
        <f>B1126*(hospitalityq!F1126="")</f>
        <v>0</v>
      </c>
      <c r="G1126">
        <f>B1126*(hospitalityq!G1126="")</f>
        <v>0</v>
      </c>
      <c r="H1126">
        <f>B1126*(hospitalityq!H1126="")</f>
        <v>0</v>
      </c>
      <c r="I1126">
        <f>B1126*(hospitalityq!I1126="")</f>
        <v>0</v>
      </c>
      <c r="J1126">
        <f>B1126*(hospitalityq!J1126="")</f>
        <v>0</v>
      </c>
      <c r="K1126">
        <f>B1126*(hospitalityq!K1126="")</f>
        <v>0</v>
      </c>
      <c r="L1126">
        <f>B1126*(hospitalityq!L1126="")</f>
        <v>0</v>
      </c>
      <c r="M1126">
        <f>B1126*(hospitalityq!M1126="")</f>
        <v>0</v>
      </c>
      <c r="N1126">
        <f>B1126*(hospitalityq!N1126="")</f>
        <v>0</v>
      </c>
      <c r="O1126">
        <f>B1126*(hospitalityq!O1126="")</f>
        <v>0</v>
      </c>
      <c r="P1126">
        <f>B1126*(hospitalityq!P1126="")</f>
        <v>0</v>
      </c>
      <c r="Q1126">
        <f>B1126*(hospitalityq!Q1126="")</f>
        <v>0</v>
      </c>
      <c r="R1126">
        <f>B1126*(hospitalityq!R1126="")</f>
        <v>0</v>
      </c>
    </row>
    <row r="1127" spans="1:18" x14ac:dyDescent="0.25">
      <c r="A1127">
        <f t="shared" si="18"/>
        <v>0</v>
      </c>
      <c r="B1127" t="b">
        <f>SUMPRODUCT(LEN(hospitalityq!C1127:R1127))&gt;0</f>
        <v>0</v>
      </c>
      <c r="C1127">
        <f>B1127*(hospitalityq!C1127="")</f>
        <v>0</v>
      </c>
      <c r="E1127">
        <f>B1127*(hospitalityq!E1127="")</f>
        <v>0</v>
      </c>
      <c r="F1127">
        <f>B1127*(hospitalityq!F1127="")</f>
        <v>0</v>
      </c>
      <c r="G1127">
        <f>B1127*(hospitalityq!G1127="")</f>
        <v>0</v>
      </c>
      <c r="H1127">
        <f>B1127*(hospitalityq!H1127="")</f>
        <v>0</v>
      </c>
      <c r="I1127">
        <f>B1127*(hospitalityq!I1127="")</f>
        <v>0</v>
      </c>
      <c r="J1127">
        <f>B1127*(hospitalityq!J1127="")</f>
        <v>0</v>
      </c>
      <c r="K1127">
        <f>B1127*(hospitalityq!K1127="")</f>
        <v>0</v>
      </c>
      <c r="L1127">
        <f>B1127*(hospitalityq!L1127="")</f>
        <v>0</v>
      </c>
      <c r="M1127">
        <f>B1127*(hospitalityq!M1127="")</f>
        <v>0</v>
      </c>
      <c r="N1127">
        <f>B1127*(hospitalityq!N1127="")</f>
        <v>0</v>
      </c>
      <c r="O1127">
        <f>B1127*(hospitalityq!O1127="")</f>
        <v>0</v>
      </c>
      <c r="P1127">
        <f>B1127*(hospitalityq!P1127="")</f>
        <v>0</v>
      </c>
      <c r="Q1127">
        <f>B1127*(hospitalityq!Q1127="")</f>
        <v>0</v>
      </c>
      <c r="R1127">
        <f>B1127*(hospitalityq!R1127="")</f>
        <v>0</v>
      </c>
    </row>
    <row r="1128" spans="1:18" x14ac:dyDescent="0.25">
      <c r="A1128">
        <f t="shared" si="18"/>
        <v>0</v>
      </c>
      <c r="B1128" t="b">
        <f>SUMPRODUCT(LEN(hospitalityq!C1128:R1128))&gt;0</f>
        <v>0</v>
      </c>
      <c r="C1128">
        <f>B1128*(hospitalityq!C1128="")</f>
        <v>0</v>
      </c>
      <c r="E1128">
        <f>B1128*(hospitalityq!E1128="")</f>
        <v>0</v>
      </c>
      <c r="F1128">
        <f>B1128*(hospitalityq!F1128="")</f>
        <v>0</v>
      </c>
      <c r="G1128">
        <f>B1128*(hospitalityq!G1128="")</f>
        <v>0</v>
      </c>
      <c r="H1128">
        <f>B1128*(hospitalityq!H1128="")</f>
        <v>0</v>
      </c>
      <c r="I1128">
        <f>B1128*(hospitalityq!I1128="")</f>
        <v>0</v>
      </c>
      <c r="J1128">
        <f>B1128*(hospitalityq!J1128="")</f>
        <v>0</v>
      </c>
      <c r="K1128">
        <f>B1128*(hospitalityq!K1128="")</f>
        <v>0</v>
      </c>
      <c r="L1128">
        <f>B1128*(hospitalityq!L1128="")</f>
        <v>0</v>
      </c>
      <c r="M1128">
        <f>B1128*(hospitalityq!M1128="")</f>
        <v>0</v>
      </c>
      <c r="N1128">
        <f>B1128*(hospitalityq!N1128="")</f>
        <v>0</v>
      </c>
      <c r="O1128">
        <f>B1128*(hospitalityq!O1128="")</f>
        <v>0</v>
      </c>
      <c r="P1128">
        <f>B1128*(hospitalityq!P1128="")</f>
        <v>0</v>
      </c>
      <c r="Q1128">
        <f>B1128*(hospitalityq!Q1128="")</f>
        <v>0</v>
      </c>
      <c r="R1128">
        <f>B1128*(hospitalityq!R1128="")</f>
        <v>0</v>
      </c>
    </row>
    <row r="1129" spans="1:18" x14ac:dyDescent="0.25">
      <c r="A1129">
        <f t="shared" si="18"/>
        <v>0</v>
      </c>
      <c r="B1129" t="b">
        <f>SUMPRODUCT(LEN(hospitalityq!C1129:R1129))&gt;0</f>
        <v>0</v>
      </c>
      <c r="C1129">
        <f>B1129*(hospitalityq!C1129="")</f>
        <v>0</v>
      </c>
      <c r="E1129">
        <f>B1129*(hospitalityq!E1129="")</f>
        <v>0</v>
      </c>
      <c r="F1129">
        <f>B1129*(hospitalityq!F1129="")</f>
        <v>0</v>
      </c>
      <c r="G1129">
        <f>B1129*(hospitalityq!G1129="")</f>
        <v>0</v>
      </c>
      <c r="H1129">
        <f>B1129*(hospitalityq!H1129="")</f>
        <v>0</v>
      </c>
      <c r="I1129">
        <f>B1129*(hospitalityq!I1129="")</f>
        <v>0</v>
      </c>
      <c r="J1129">
        <f>B1129*(hospitalityq!J1129="")</f>
        <v>0</v>
      </c>
      <c r="K1129">
        <f>B1129*(hospitalityq!K1129="")</f>
        <v>0</v>
      </c>
      <c r="L1129">
        <f>B1129*(hospitalityq!L1129="")</f>
        <v>0</v>
      </c>
      <c r="M1129">
        <f>B1129*(hospitalityq!M1129="")</f>
        <v>0</v>
      </c>
      <c r="N1129">
        <f>B1129*(hospitalityq!N1129="")</f>
        <v>0</v>
      </c>
      <c r="O1129">
        <f>B1129*(hospitalityq!O1129="")</f>
        <v>0</v>
      </c>
      <c r="P1129">
        <f>B1129*(hospitalityq!P1129="")</f>
        <v>0</v>
      </c>
      <c r="Q1129">
        <f>B1129*(hospitalityq!Q1129="")</f>
        <v>0</v>
      </c>
      <c r="R1129">
        <f>B1129*(hospitalityq!R1129="")</f>
        <v>0</v>
      </c>
    </row>
    <row r="1130" spans="1:18" x14ac:dyDescent="0.25">
      <c r="A1130">
        <f t="shared" si="18"/>
        <v>0</v>
      </c>
      <c r="B1130" t="b">
        <f>SUMPRODUCT(LEN(hospitalityq!C1130:R1130))&gt;0</f>
        <v>0</v>
      </c>
      <c r="C1130">
        <f>B1130*(hospitalityq!C1130="")</f>
        <v>0</v>
      </c>
      <c r="E1130">
        <f>B1130*(hospitalityq!E1130="")</f>
        <v>0</v>
      </c>
      <c r="F1130">
        <f>B1130*(hospitalityq!F1130="")</f>
        <v>0</v>
      </c>
      <c r="G1130">
        <f>B1130*(hospitalityq!G1130="")</f>
        <v>0</v>
      </c>
      <c r="H1130">
        <f>B1130*(hospitalityq!H1130="")</f>
        <v>0</v>
      </c>
      <c r="I1130">
        <f>B1130*(hospitalityq!I1130="")</f>
        <v>0</v>
      </c>
      <c r="J1130">
        <f>B1130*(hospitalityq!J1130="")</f>
        <v>0</v>
      </c>
      <c r="K1130">
        <f>B1130*(hospitalityq!K1130="")</f>
        <v>0</v>
      </c>
      <c r="L1130">
        <f>B1130*(hospitalityq!L1130="")</f>
        <v>0</v>
      </c>
      <c r="M1130">
        <f>B1130*(hospitalityq!M1130="")</f>
        <v>0</v>
      </c>
      <c r="N1130">
        <f>B1130*(hospitalityq!N1130="")</f>
        <v>0</v>
      </c>
      <c r="O1130">
        <f>B1130*(hospitalityq!O1130="")</f>
        <v>0</v>
      </c>
      <c r="P1130">
        <f>B1130*(hospitalityq!P1130="")</f>
        <v>0</v>
      </c>
      <c r="Q1130">
        <f>B1130*(hospitalityq!Q1130="")</f>
        <v>0</v>
      </c>
      <c r="R1130">
        <f>B1130*(hospitalityq!R1130="")</f>
        <v>0</v>
      </c>
    </row>
    <row r="1131" spans="1:18" x14ac:dyDescent="0.25">
      <c r="A1131">
        <f t="shared" si="18"/>
        <v>0</v>
      </c>
      <c r="B1131" t="b">
        <f>SUMPRODUCT(LEN(hospitalityq!C1131:R1131))&gt;0</f>
        <v>0</v>
      </c>
      <c r="C1131">
        <f>B1131*(hospitalityq!C1131="")</f>
        <v>0</v>
      </c>
      <c r="E1131">
        <f>B1131*(hospitalityq!E1131="")</f>
        <v>0</v>
      </c>
      <c r="F1131">
        <f>B1131*(hospitalityq!F1131="")</f>
        <v>0</v>
      </c>
      <c r="G1131">
        <f>B1131*(hospitalityq!G1131="")</f>
        <v>0</v>
      </c>
      <c r="H1131">
        <f>B1131*(hospitalityq!H1131="")</f>
        <v>0</v>
      </c>
      <c r="I1131">
        <f>B1131*(hospitalityq!I1131="")</f>
        <v>0</v>
      </c>
      <c r="J1131">
        <f>B1131*(hospitalityq!J1131="")</f>
        <v>0</v>
      </c>
      <c r="K1131">
        <f>B1131*(hospitalityq!K1131="")</f>
        <v>0</v>
      </c>
      <c r="L1131">
        <f>B1131*(hospitalityq!L1131="")</f>
        <v>0</v>
      </c>
      <c r="M1131">
        <f>B1131*(hospitalityq!M1131="")</f>
        <v>0</v>
      </c>
      <c r="N1131">
        <f>B1131*(hospitalityq!N1131="")</f>
        <v>0</v>
      </c>
      <c r="O1131">
        <f>B1131*(hospitalityq!O1131="")</f>
        <v>0</v>
      </c>
      <c r="P1131">
        <f>B1131*(hospitalityq!P1131="")</f>
        <v>0</v>
      </c>
      <c r="Q1131">
        <f>B1131*(hospitalityq!Q1131="")</f>
        <v>0</v>
      </c>
      <c r="R1131">
        <f>B1131*(hospitalityq!R1131="")</f>
        <v>0</v>
      </c>
    </row>
    <row r="1132" spans="1:18" x14ac:dyDescent="0.25">
      <c r="A1132">
        <f t="shared" si="18"/>
        <v>0</v>
      </c>
      <c r="B1132" t="b">
        <f>SUMPRODUCT(LEN(hospitalityq!C1132:R1132))&gt;0</f>
        <v>0</v>
      </c>
      <c r="C1132">
        <f>B1132*(hospitalityq!C1132="")</f>
        <v>0</v>
      </c>
      <c r="E1132">
        <f>B1132*(hospitalityq!E1132="")</f>
        <v>0</v>
      </c>
      <c r="F1132">
        <f>B1132*(hospitalityq!F1132="")</f>
        <v>0</v>
      </c>
      <c r="G1132">
        <f>B1132*(hospitalityq!G1132="")</f>
        <v>0</v>
      </c>
      <c r="H1132">
        <f>B1132*(hospitalityq!H1132="")</f>
        <v>0</v>
      </c>
      <c r="I1132">
        <f>B1132*(hospitalityq!I1132="")</f>
        <v>0</v>
      </c>
      <c r="J1132">
        <f>B1132*(hospitalityq!J1132="")</f>
        <v>0</v>
      </c>
      <c r="K1132">
        <f>B1132*(hospitalityq!K1132="")</f>
        <v>0</v>
      </c>
      <c r="L1132">
        <f>B1132*(hospitalityq!L1132="")</f>
        <v>0</v>
      </c>
      <c r="M1132">
        <f>B1132*(hospitalityq!M1132="")</f>
        <v>0</v>
      </c>
      <c r="N1132">
        <f>B1132*(hospitalityq!N1132="")</f>
        <v>0</v>
      </c>
      <c r="O1132">
        <f>B1132*(hospitalityq!O1132="")</f>
        <v>0</v>
      </c>
      <c r="P1132">
        <f>B1132*(hospitalityq!P1132="")</f>
        <v>0</v>
      </c>
      <c r="Q1132">
        <f>B1132*(hospitalityq!Q1132="")</f>
        <v>0</v>
      </c>
      <c r="R1132">
        <f>B1132*(hospitalityq!R1132="")</f>
        <v>0</v>
      </c>
    </row>
    <row r="1133" spans="1:18" x14ac:dyDescent="0.25">
      <c r="A1133">
        <f t="shared" si="18"/>
        <v>0</v>
      </c>
      <c r="B1133" t="b">
        <f>SUMPRODUCT(LEN(hospitalityq!C1133:R1133))&gt;0</f>
        <v>0</v>
      </c>
      <c r="C1133">
        <f>B1133*(hospitalityq!C1133="")</f>
        <v>0</v>
      </c>
      <c r="E1133">
        <f>B1133*(hospitalityq!E1133="")</f>
        <v>0</v>
      </c>
      <c r="F1133">
        <f>B1133*(hospitalityq!F1133="")</f>
        <v>0</v>
      </c>
      <c r="G1133">
        <f>B1133*(hospitalityq!G1133="")</f>
        <v>0</v>
      </c>
      <c r="H1133">
        <f>B1133*(hospitalityq!H1133="")</f>
        <v>0</v>
      </c>
      <c r="I1133">
        <f>B1133*(hospitalityq!I1133="")</f>
        <v>0</v>
      </c>
      <c r="J1133">
        <f>B1133*(hospitalityq!J1133="")</f>
        <v>0</v>
      </c>
      <c r="K1133">
        <f>B1133*(hospitalityq!K1133="")</f>
        <v>0</v>
      </c>
      <c r="L1133">
        <f>B1133*(hospitalityq!L1133="")</f>
        <v>0</v>
      </c>
      <c r="M1133">
        <f>B1133*(hospitalityq!M1133="")</f>
        <v>0</v>
      </c>
      <c r="N1133">
        <f>B1133*(hospitalityq!N1133="")</f>
        <v>0</v>
      </c>
      <c r="O1133">
        <f>B1133*(hospitalityq!O1133="")</f>
        <v>0</v>
      </c>
      <c r="P1133">
        <f>B1133*(hospitalityq!P1133="")</f>
        <v>0</v>
      </c>
      <c r="Q1133">
        <f>B1133*(hospitalityq!Q1133="")</f>
        <v>0</v>
      </c>
      <c r="R1133">
        <f>B1133*(hospitalityq!R1133="")</f>
        <v>0</v>
      </c>
    </row>
    <row r="1134" spans="1:18" x14ac:dyDescent="0.25">
      <c r="A1134">
        <f t="shared" si="18"/>
        <v>0</v>
      </c>
      <c r="B1134" t="b">
        <f>SUMPRODUCT(LEN(hospitalityq!C1134:R1134))&gt;0</f>
        <v>0</v>
      </c>
      <c r="C1134">
        <f>B1134*(hospitalityq!C1134="")</f>
        <v>0</v>
      </c>
      <c r="E1134">
        <f>B1134*(hospitalityq!E1134="")</f>
        <v>0</v>
      </c>
      <c r="F1134">
        <f>B1134*(hospitalityq!F1134="")</f>
        <v>0</v>
      </c>
      <c r="G1134">
        <f>B1134*(hospitalityq!G1134="")</f>
        <v>0</v>
      </c>
      <c r="H1134">
        <f>B1134*(hospitalityq!H1134="")</f>
        <v>0</v>
      </c>
      <c r="I1134">
        <f>B1134*(hospitalityq!I1134="")</f>
        <v>0</v>
      </c>
      <c r="J1134">
        <f>B1134*(hospitalityq!J1134="")</f>
        <v>0</v>
      </c>
      <c r="K1134">
        <f>B1134*(hospitalityq!K1134="")</f>
        <v>0</v>
      </c>
      <c r="L1134">
        <f>B1134*(hospitalityq!L1134="")</f>
        <v>0</v>
      </c>
      <c r="M1134">
        <f>B1134*(hospitalityq!M1134="")</f>
        <v>0</v>
      </c>
      <c r="N1134">
        <f>B1134*(hospitalityq!N1134="")</f>
        <v>0</v>
      </c>
      <c r="O1134">
        <f>B1134*(hospitalityq!O1134="")</f>
        <v>0</v>
      </c>
      <c r="P1134">
        <f>B1134*(hospitalityq!P1134="")</f>
        <v>0</v>
      </c>
      <c r="Q1134">
        <f>B1134*(hospitalityq!Q1134="")</f>
        <v>0</v>
      </c>
      <c r="R1134">
        <f>B1134*(hospitalityq!R1134="")</f>
        <v>0</v>
      </c>
    </row>
    <row r="1135" spans="1:18" x14ac:dyDescent="0.25">
      <c r="A1135">
        <f t="shared" si="18"/>
        <v>0</v>
      </c>
      <c r="B1135" t="b">
        <f>SUMPRODUCT(LEN(hospitalityq!C1135:R1135))&gt;0</f>
        <v>0</v>
      </c>
      <c r="C1135">
        <f>B1135*(hospitalityq!C1135="")</f>
        <v>0</v>
      </c>
      <c r="E1135">
        <f>B1135*(hospitalityq!E1135="")</f>
        <v>0</v>
      </c>
      <c r="F1135">
        <f>B1135*(hospitalityq!F1135="")</f>
        <v>0</v>
      </c>
      <c r="G1135">
        <f>B1135*(hospitalityq!G1135="")</f>
        <v>0</v>
      </c>
      <c r="H1135">
        <f>B1135*(hospitalityq!H1135="")</f>
        <v>0</v>
      </c>
      <c r="I1135">
        <f>B1135*(hospitalityq!I1135="")</f>
        <v>0</v>
      </c>
      <c r="J1135">
        <f>B1135*(hospitalityq!J1135="")</f>
        <v>0</v>
      </c>
      <c r="K1135">
        <f>B1135*(hospitalityq!K1135="")</f>
        <v>0</v>
      </c>
      <c r="L1135">
        <f>B1135*(hospitalityq!L1135="")</f>
        <v>0</v>
      </c>
      <c r="M1135">
        <f>B1135*(hospitalityq!M1135="")</f>
        <v>0</v>
      </c>
      <c r="N1135">
        <f>B1135*(hospitalityq!N1135="")</f>
        <v>0</v>
      </c>
      <c r="O1135">
        <f>B1135*(hospitalityq!O1135="")</f>
        <v>0</v>
      </c>
      <c r="P1135">
        <f>B1135*(hospitalityq!P1135="")</f>
        <v>0</v>
      </c>
      <c r="Q1135">
        <f>B1135*(hospitalityq!Q1135="")</f>
        <v>0</v>
      </c>
      <c r="R1135">
        <f>B1135*(hospitalityq!R1135="")</f>
        <v>0</v>
      </c>
    </row>
    <row r="1136" spans="1:18" x14ac:dyDescent="0.25">
      <c r="A1136">
        <f t="shared" si="18"/>
        <v>0</v>
      </c>
      <c r="B1136" t="b">
        <f>SUMPRODUCT(LEN(hospitalityq!C1136:R1136))&gt;0</f>
        <v>0</v>
      </c>
      <c r="C1136">
        <f>B1136*(hospitalityq!C1136="")</f>
        <v>0</v>
      </c>
      <c r="E1136">
        <f>B1136*(hospitalityq!E1136="")</f>
        <v>0</v>
      </c>
      <c r="F1136">
        <f>B1136*(hospitalityq!F1136="")</f>
        <v>0</v>
      </c>
      <c r="G1136">
        <f>B1136*(hospitalityq!G1136="")</f>
        <v>0</v>
      </c>
      <c r="H1136">
        <f>B1136*(hospitalityq!H1136="")</f>
        <v>0</v>
      </c>
      <c r="I1136">
        <f>B1136*(hospitalityq!I1136="")</f>
        <v>0</v>
      </c>
      <c r="J1136">
        <f>B1136*(hospitalityq!J1136="")</f>
        <v>0</v>
      </c>
      <c r="K1136">
        <f>B1136*(hospitalityq!K1136="")</f>
        <v>0</v>
      </c>
      <c r="L1136">
        <f>B1136*(hospitalityq!L1136="")</f>
        <v>0</v>
      </c>
      <c r="M1136">
        <f>B1136*(hospitalityq!M1136="")</f>
        <v>0</v>
      </c>
      <c r="N1136">
        <f>B1136*(hospitalityq!N1136="")</f>
        <v>0</v>
      </c>
      <c r="O1136">
        <f>B1136*(hospitalityq!O1136="")</f>
        <v>0</v>
      </c>
      <c r="P1136">
        <f>B1136*(hospitalityq!P1136="")</f>
        <v>0</v>
      </c>
      <c r="Q1136">
        <f>B1136*(hospitalityq!Q1136="")</f>
        <v>0</v>
      </c>
      <c r="R1136">
        <f>B1136*(hospitalityq!R1136="")</f>
        <v>0</v>
      </c>
    </row>
    <row r="1137" spans="1:18" x14ac:dyDescent="0.25">
      <c r="A1137">
        <f t="shared" si="18"/>
        <v>0</v>
      </c>
      <c r="B1137" t="b">
        <f>SUMPRODUCT(LEN(hospitalityq!C1137:R1137))&gt;0</f>
        <v>0</v>
      </c>
      <c r="C1137">
        <f>B1137*(hospitalityq!C1137="")</f>
        <v>0</v>
      </c>
      <c r="E1137">
        <f>B1137*(hospitalityq!E1137="")</f>
        <v>0</v>
      </c>
      <c r="F1137">
        <f>B1137*(hospitalityq!F1137="")</f>
        <v>0</v>
      </c>
      <c r="G1137">
        <f>B1137*(hospitalityq!G1137="")</f>
        <v>0</v>
      </c>
      <c r="H1137">
        <f>B1137*(hospitalityq!H1137="")</f>
        <v>0</v>
      </c>
      <c r="I1137">
        <f>B1137*(hospitalityq!I1137="")</f>
        <v>0</v>
      </c>
      <c r="J1137">
        <f>B1137*(hospitalityq!J1137="")</f>
        <v>0</v>
      </c>
      <c r="K1137">
        <f>B1137*(hospitalityq!K1137="")</f>
        <v>0</v>
      </c>
      <c r="L1137">
        <f>B1137*(hospitalityq!L1137="")</f>
        <v>0</v>
      </c>
      <c r="M1137">
        <f>B1137*(hospitalityq!M1137="")</f>
        <v>0</v>
      </c>
      <c r="N1137">
        <f>B1137*(hospitalityq!N1137="")</f>
        <v>0</v>
      </c>
      <c r="O1137">
        <f>B1137*(hospitalityq!O1137="")</f>
        <v>0</v>
      </c>
      <c r="P1137">
        <f>B1137*(hospitalityq!P1137="")</f>
        <v>0</v>
      </c>
      <c r="Q1137">
        <f>B1137*(hospitalityq!Q1137="")</f>
        <v>0</v>
      </c>
      <c r="R1137">
        <f>B1137*(hospitalityq!R1137="")</f>
        <v>0</v>
      </c>
    </row>
    <row r="1138" spans="1:18" x14ac:dyDescent="0.25">
      <c r="A1138">
        <f t="shared" si="18"/>
        <v>0</v>
      </c>
      <c r="B1138" t="b">
        <f>SUMPRODUCT(LEN(hospitalityq!C1138:R1138))&gt;0</f>
        <v>0</v>
      </c>
      <c r="C1138">
        <f>B1138*(hospitalityq!C1138="")</f>
        <v>0</v>
      </c>
      <c r="E1138">
        <f>B1138*(hospitalityq!E1138="")</f>
        <v>0</v>
      </c>
      <c r="F1138">
        <f>B1138*(hospitalityq!F1138="")</f>
        <v>0</v>
      </c>
      <c r="G1138">
        <f>B1138*(hospitalityq!G1138="")</f>
        <v>0</v>
      </c>
      <c r="H1138">
        <f>B1138*(hospitalityq!H1138="")</f>
        <v>0</v>
      </c>
      <c r="I1138">
        <f>B1138*(hospitalityq!I1138="")</f>
        <v>0</v>
      </c>
      <c r="J1138">
        <f>B1138*(hospitalityq!J1138="")</f>
        <v>0</v>
      </c>
      <c r="K1138">
        <f>B1138*(hospitalityq!K1138="")</f>
        <v>0</v>
      </c>
      <c r="L1138">
        <f>B1138*(hospitalityq!L1138="")</f>
        <v>0</v>
      </c>
      <c r="M1138">
        <f>B1138*(hospitalityq!M1138="")</f>
        <v>0</v>
      </c>
      <c r="N1138">
        <f>B1138*(hospitalityq!N1138="")</f>
        <v>0</v>
      </c>
      <c r="O1138">
        <f>B1138*(hospitalityq!O1138="")</f>
        <v>0</v>
      </c>
      <c r="P1138">
        <f>B1138*(hospitalityq!P1138="")</f>
        <v>0</v>
      </c>
      <c r="Q1138">
        <f>B1138*(hospitalityq!Q1138="")</f>
        <v>0</v>
      </c>
      <c r="R1138">
        <f>B1138*(hospitalityq!R1138="")</f>
        <v>0</v>
      </c>
    </row>
    <row r="1139" spans="1:18" x14ac:dyDescent="0.25">
      <c r="A1139">
        <f t="shared" si="18"/>
        <v>0</v>
      </c>
      <c r="B1139" t="b">
        <f>SUMPRODUCT(LEN(hospitalityq!C1139:R1139))&gt;0</f>
        <v>0</v>
      </c>
      <c r="C1139">
        <f>B1139*(hospitalityq!C1139="")</f>
        <v>0</v>
      </c>
      <c r="E1139">
        <f>B1139*(hospitalityq!E1139="")</f>
        <v>0</v>
      </c>
      <c r="F1139">
        <f>B1139*(hospitalityq!F1139="")</f>
        <v>0</v>
      </c>
      <c r="G1139">
        <f>B1139*(hospitalityq!G1139="")</f>
        <v>0</v>
      </c>
      <c r="H1139">
        <f>B1139*(hospitalityq!H1139="")</f>
        <v>0</v>
      </c>
      <c r="I1139">
        <f>B1139*(hospitalityq!I1139="")</f>
        <v>0</v>
      </c>
      <c r="J1139">
        <f>B1139*(hospitalityq!J1139="")</f>
        <v>0</v>
      </c>
      <c r="K1139">
        <f>B1139*(hospitalityq!K1139="")</f>
        <v>0</v>
      </c>
      <c r="L1139">
        <f>B1139*(hospitalityq!L1139="")</f>
        <v>0</v>
      </c>
      <c r="M1139">
        <f>B1139*(hospitalityq!M1139="")</f>
        <v>0</v>
      </c>
      <c r="N1139">
        <f>B1139*(hospitalityq!N1139="")</f>
        <v>0</v>
      </c>
      <c r="O1139">
        <f>B1139*(hospitalityq!O1139="")</f>
        <v>0</v>
      </c>
      <c r="P1139">
        <f>B1139*(hospitalityq!P1139="")</f>
        <v>0</v>
      </c>
      <c r="Q1139">
        <f>B1139*(hospitalityq!Q1139="")</f>
        <v>0</v>
      </c>
      <c r="R1139">
        <f>B1139*(hospitalityq!R1139="")</f>
        <v>0</v>
      </c>
    </row>
    <row r="1140" spans="1:18" x14ac:dyDescent="0.25">
      <c r="A1140">
        <f t="shared" si="18"/>
        <v>0</v>
      </c>
      <c r="B1140" t="b">
        <f>SUMPRODUCT(LEN(hospitalityq!C1140:R1140))&gt;0</f>
        <v>0</v>
      </c>
      <c r="C1140">
        <f>B1140*(hospitalityq!C1140="")</f>
        <v>0</v>
      </c>
      <c r="E1140">
        <f>B1140*(hospitalityq!E1140="")</f>
        <v>0</v>
      </c>
      <c r="F1140">
        <f>B1140*(hospitalityq!F1140="")</f>
        <v>0</v>
      </c>
      <c r="G1140">
        <f>B1140*(hospitalityq!G1140="")</f>
        <v>0</v>
      </c>
      <c r="H1140">
        <f>B1140*(hospitalityq!H1140="")</f>
        <v>0</v>
      </c>
      <c r="I1140">
        <f>B1140*(hospitalityq!I1140="")</f>
        <v>0</v>
      </c>
      <c r="J1140">
        <f>B1140*(hospitalityq!J1140="")</f>
        <v>0</v>
      </c>
      <c r="K1140">
        <f>B1140*(hospitalityq!K1140="")</f>
        <v>0</v>
      </c>
      <c r="L1140">
        <f>B1140*(hospitalityq!L1140="")</f>
        <v>0</v>
      </c>
      <c r="M1140">
        <f>B1140*(hospitalityq!M1140="")</f>
        <v>0</v>
      </c>
      <c r="N1140">
        <f>B1140*(hospitalityq!N1140="")</f>
        <v>0</v>
      </c>
      <c r="O1140">
        <f>B1140*(hospitalityq!O1140="")</f>
        <v>0</v>
      </c>
      <c r="P1140">
        <f>B1140*(hospitalityq!P1140="")</f>
        <v>0</v>
      </c>
      <c r="Q1140">
        <f>B1140*(hospitalityq!Q1140="")</f>
        <v>0</v>
      </c>
      <c r="R1140">
        <f>B1140*(hospitalityq!R1140="")</f>
        <v>0</v>
      </c>
    </row>
    <row r="1141" spans="1:18" x14ac:dyDescent="0.25">
      <c r="A1141">
        <f t="shared" si="18"/>
        <v>0</v>
      </c>
      <c r="B1141" t="b">
        <f>SUMPRODUCT(LEN(hospitalityq!C1141:R1141))&gt;0</f>
        <v>0</v>
      </c>
      <c r="C1141">
        <f>B1141*(hospitalityq!C1141="")</f>
        <v>0</v>
      </c>
      <c r="E1141">
        <f>B1141*(hospitalityq!E1141="")</f>
        <v>0</v>
      </c>
      <c r="F1141">
        <f>B1141*(hospitalityq!F1141="")</f>
        <v>0</v>
      </c>
      <c r="G1141">
        <f>B1141*(hospitalityq!G1141="")</f>
        <v>0</v>
      </c>
      <c r="H1141">
        <f>B1141*(hospitalityq!H1141="")</f>
        <v>0</v>
      </c>
      <c r="I1141">
        <f>B1141*(hospitalityq!I1141="")</f>
        <v>0</v>
      </c>
      <c r="J1141">
        <f>B1141*(hospitalityq!J1141="")</f>
        <v>0</v>
      </c>
      <c r="K1141">
        <f>B1141*(hospitalityq!K1141="")</f>
        <v>0</v>
      </c>
      <c r="L1141">
        <f>B1141*(hospitalityq!L1141="")</f>
        <v>0</v>
      </c>
      <c r="M1141">
        <f>B1141*(hospitalityq!M1141="")</f>
        <v>0</v>
      </c>
      <c r="N1141">
        <f>B1141*(hospitalityq!N1141="")</f>
        <v>0</v>
      </c>
      <c r="O1141">
        <f>B1141*(hospitalityq!O1141="")</f>
        <v>0</v>
      </c>
      <c r="P1141">
        <f>B1141*(hospitalityq!P1141="")</f>
        <v>0</v>
      </c>
      <c r="Q1141">
        <f>B1141*(hospitalityq!Q1141="")</f>
        <v>0</v>
      </c>
      <c r="R1141">
        <f>B1141*(hospitalityq!R1141="")</f>
        <v>0</v>
      </c>
    </row>
    <row r="1142" spans="1:18" x14ac:dyDescent="0.25">
      <c r="A1142">
        <f t="shared" si="18"/>
        <v>0</v>
      </c>
      <c r="B1142" t="b">
        <f>SUMPRODUCT(LEN(hospitalityq!C1142:R1142))&gt;0</f>
        <v>0</v>
      </c>
      <c r="C1142">
        <f>B1142*(hospitalityq!C1142="")</f>
        <v>0</v>
      </c>
      <c r="E1142">
        <f>B1142*(hospitalityq!E1142="")</f>
        <v>0</v>
      </c>
      <c r="F1142">
        <f>B1142*(hospitalityq!F1142="")</f>
        <v>0</v>
      </c>
      <c r="G1142">
        <f>B1142*(hospitalityq!G1142="")</f>
        <v>0</v>
      </c>
      <c r="H1142">
        <f>B1142*(hospitalityq!H1142="")</f>
        <v>0</v>
      </c>
      <c r="I1142">
        <f>B1142*(hospitalityq!I1142="")</f>
        <v>0</v>
      </c>
      <c r="J1142">
        <f>B1142*(hospitalityq!J1142="")</f>
        <v>0</v>
      </c>
      <c r="K1142">
        <f>B1142*(hospitalityq!K1142="")</f>
        <v>0</v>
      </c>
      <c r="L1142">
        <f>B1142*(hospitalityq!L1142="")</f>
        <v>0</v>
      </c>
      <c r="M1142">
        <f>B1142*(hospitalityq!M1142="")</f>
        <v>0</v>
      </c>
      <c r="N1142">
        <f>B1142*(hospitalityq!N1142="")</f>
        <v>0</v>
      </c>
      <c r="O1142">
        <f>B1142*(hospitalityq!O1142="")</f>
        <v>0</v>
      </c>
      <c r="P1142">
        <f>B1142*(hospitalityq!P1142="")</f>
        <v>0</v>
      </c>
      <c r="Q1142">
        <f>B1142*(hospitalityq!Q1142="")</f>
        <v>0</v>
      </c>
      <c r="R1142">
        <f>B1142*(hospitalityq!R1142="")</f>
        <v>0</v>
      </c>
    </row>
    <row r="1143" spans="1:18" x14ac:dyDescent="0.25">
      <c r="A1143">
        <f t="shared" si="18"/>
        <v>0</v>
      </c>
      <c r="B1143" t="b">
        <f>SUMPRODUCT(LEN(hospitalityq!C1143:R1143))&gt;0</f>
        <v>0</v>
      </c>
      <c r="C1143">
        <f>B1143*(hospitalityq!C1143="")</f>
        <v>0</v>
      </c>
      <c r="E1143">
        <f>B1143*(hospitalityq!E1143="")</f>
        <v>0</v>
      </c>
      <c r="F1143">
        <f>B1143*(hospitalityq!F1143="")</f>
        <v>0</v>
      </c>
      <c r="G1143">
        <f>B1143*(hospitalityq!G1143="")</f>
        <v>0</v>
      </c>
      <c r="H1143">
        <f>B1143*(hospitalityq!H1143="")</f>
        <v>0</v>
      </c>
      <c r="I1143">
        <f>B1143*(hospitalityq!I1143="")</f>
        <v>0</v>
      </c>
      <c r="J1143">
        <f>B1143*(hospitalityq!J1143="")</f>
        <v>0</v>
      </c>
      <c r="K1143">
        <f>B1143*(hospitalityq!K1143="")</f>
        <v>0</v>
      </c>
      <c r="L1143">
        <f>B1143*(hospitalityq!L1143="")</f>
        <v>0</v>
      </c>
      <c r="M1143">
        <f>B1143*(hospitalityq!M1143="")</f>
        <v>0</v>
      </c>
      <c r="N1143">
        <f>B1143*(hospitalityq!N1143="")</f>
        <v>0</v>
      </c>
      <c r="O1143">
        <f>B1143*(hospitalityq!O1143="")</f>
        <v>0</v>
      </c>
      <c r="P1143">
        <f>B1143*(hospitalityq!P1143="")</f>
        <v>0</v>
      </c>
      <c r="Q1143">
        <f>B1143*(hospitalityq!Q1143="")</f>
        <v>0</v>
      </c>
      <c r="R1143">
        <f>B1143*(hospitalityq!R1143="")</f>
        <v>0</v>
      </c>
    </row>
    <row r="1144" spans="1:18" x14ac:dyDescent="0.25">
      <c r="A1144">
        <f t="shared" si="18"/>
        <v>0</v>
      </c>
      <c r="B1144" t="b">
        <f>SUMPRODUCT(LEN(hospitalityq!C1144:R1144))&gt;0</f>
        <v>0</v>
      </c>
      <c r="C1144">
        <f>B1144*(hospitalityq!C1144="")</f>
        <v>0</v>
      </c>
      <c r="E1144">
        <f>B1144*(hospitalityq!E1144="")</f>
        <v>0</v>
      </c>
      <c r="F1144">
        <f>B1144*(hospitalityq!F1144="")</f>
        <v>0</v>
      </c>
      <c r="G1144">
        <f>B1144*(hospitalityq!G1144="")</f>
        <v>0</v>
      </c>
      <c r="H1144">
        <f>B1144*(hospitalityq!H1144="")</f>
        <v>0</v>
      </c>
      <c r="I1144">
        <f>B1144*(hospitalityq!I1144="")</f>
        <v>0</v>
      </c>
      <c r="J1144">
        <f>B1144*(hospitalityq!J1144="")</f>
        <v>0</v>
      </c>
      <c r="K1144">
        <f>B1144*(hospitalityq!K1144="")</f>
        <v>0</v>
      </c>
      <c r="L1144">
        <f>B1144*(hospitalityq!L1144="")</f>
        <v>0</v>
      </c>
      <c r="M1144">
        <f>B1144*(hospitalityq!M1144="")</f>
        <v>0</v>
      </c>
      <c r="N1144">
        <f>B1144*(hospitalityq!N1144="")</f>
        <v>0</v>
      </c>
      <c r="O1144">
        <f>B1144*(hospitalityq!O1144="")</f>
        <v>0</v>
      </c>
      <c r="P1144">
        <f>B1144*(hospitalityq!P1144="")</f>
        <v>0</v>
      </c>
      <c r="Q1144">
        <f>B1144*(hospitalityq!Q1144="")</f>
        <v>0</v>
      </c>
      <c r="R1144">
        <f>B1144*(hospitalityq!R1144="")</f>
        <v>0</v>
      </c>
    </row>
    <row r="1145" spans="1:18" x14ac:dyDescent="0.25">
      <c r="A1145">
        <f t="shared" si="18"/>
        <v>0</v>
      </c>
      <c r="B1145" t="b">
        <f>SUMPRODUCT(LEN(hospitalityq!C1145:R1145))&gt;0</f>
        <v>0</v>
      </c>
      <c r="C1145">
        <f>B1145*(hospitalityq!C1145="")</f>
        <v>0</v>
      </c>
      <c r="E1145">
        <f>B1145*(hospitalityq!E1145="")</f>
        <v>0</v>
      </c>
      <c r="F1145">
        <f>B1145*(hospitalityq!F1145="")</f>
        <v>0</v>
      </c>
      <c r="G1145">
        <f>B1145*(hospitalityq!G1145="")</f>
        <v>0</v>
      </c>
      <c r="H1145">
        <f>B1145*(hospitalityq!H1145="")</f>
        <v>0</v>
      </c>
      <c r="I1145">
        <f>B1145*(hospitalityq!I1145="")</f>
        <v>0</v>
      </c>
      <c r="J1145">
        <f>B1145*(hospitalityq!J1145="")</f>
        <v>0</v>
      </c>
      <c r="K1145">
        <f>B1145*(hospitalityq!K1145="")</f>
        <v>0</v>
      </c>
      <c r="L1145">
        <f>B1145*(hospitalityq!L1145="")</f>
        <v>0</v>
      </c>
      <c r="M1145">
        <f>B1145*(hospitalityq!M1145="")</f>
        <v>0</v>
      </c>
      <c r="N1145">
        <f>B1145*(hospitalityq!N1145="")</f>
        <v>0</v>
      </c>
      <c r="O1145">
        <f>B1145*(hospitalityq!O1145="")</f>
        <v>0</v>
      </c>
      <c r="P1145">
        <f>B1145*(hospitalityq!P1145="")</f>
        <v>0</v>
      </c>
      <c r="Q1145">
        <f>B1145*(hospitalityq!Q1145="")</f>
        <v>0</v>
      </c>
      <c r="R1145">
        <f>B1145*(hospitalityq!R1145="")</f>
        <v>0</v>
      </c>
    </row>
    <row r="1146" spans="1:18" x14ac:dyDescent="0.25">
      <c r="A1146">
        <f t="shared" si="18"/>
        <v>0</v>
      </c>
      <c r="B1146" t="b">
        <f>SUMPRODUCT(LEN(hospitalityq!C1146:R1146))&gt;0</f>
        <v>0</v>
      </c>
      <c r="C1146">
        <f>B1146*(hospitalityq!C1146="")</f>
        <v>0</v>
      </c>
      <c r="E1146">
        <f>B1146*(hospitalityq!E1146="")</f>
        <v>0</v>
      </c>
      <c r="F1146">
        <f>B1146*(hospitalityq!F1146="")</f>
        <v>0</v>
      </c>
      <c r="G1146">
        <f>B1146*(hospitalityq!G1146="")</f>
        <v>0</v>
      </c>
      <c r="H1146">
        <f>B1146*(hospitalityq!H1146="")</f>
        <v>0</v>
      </c>
      <c r="I1146">
        <f>B1146*(hospitalityq!I1146="")</f>
        <v>0</v>
      </c>
      <c r="J1146">
        <f>B1146*(hospitalityq!J1146="")</f>
        <v>0</v>
      </c>
      <c r="K1146">
        <f>B1146*(hospitalityq!K1146="")</f>
        <v>0</v>
      </c>
      <c r="L1146">
        <f>B1146*(hospitalityq!L1146="")</f>
        <v>0</v>
      </c>
      <c r="M1146">
        <f>B1146*(hospitalityq!M1146="")</f>
        <v>0</v>
      </c>
      <c r="N1146">
        <f>B1146*(hospitalityq!N1146="")</f>
        <v>0</v>
      </c>
      <c r="O1146">
        <f>B1146*(hospitalityq!O1146="")</f>
        <v>0</v>
      </c>
      <c r="P1146">
        <f>B1146*(hospitalityq!P1146="")</f>
        <v>0</v>
      </c>
      <c r="Q1146">
        <f>B1146*(hospitalityq!Q1146="")</f>
        <v>0</v>
      </c>
      <c r="R1146">
        <f>B1146*(hospitalityq!R1146="")</f>
        <v>0</v>
      </c>
    </row>
    <row r="1147" spans="1:18" x14ac:dyDescent="0.25">
      <c r="A1147">
        <f t="shared" si="18"/>
        <v>0</v>
      </c>
      <c r="B1147" t="b">
        <f>SUMPRODUCT(LEN(hospitalityq!C1147:R1147))&gt;0</f>
        <v>0</v>
      </c>
      <c r="C1147">
        <f>B1147*(hospitalityq!C1147="")</f>
        <v>0</v>
      </c>
      <c r="E1147">
        <f>B1147*(hospitalityq!E1147="")</f>
        <v>0</v>
      </c>
      <c r="F1147">
        <f>B1147*(hospitalityq!F1147="")</f>
        <v>0</v>
      </c>
      <c r="G1147">
        <f>B1147*(hospitalityq!G1147="")</f>
        <v>0</v>
      </c>
      <c r="H1147">
        <f>B1147*(hospitalityq!H1147="")</f>
        <v>0</v>
      </c>
      <c r="I1147">
        <f>B1147*(hospitalityq!I1147="")</f>
        <v>0</v>
      </c>
      <c r="J1147">
        <f>B1147*(hospitalityq!J1147="")</f>
        <v>0</v>
      </c>
      <c r="K1147">
        <f>B1147*(hospitalityq!K1147="")</f>
        <v>0</v>
      </c>
      <c r="L1147">
        <f>B1147*(hospitalityq!L1147="")</f>
        <v>0</v>
      </c>
      <c r="M1147">
        <f>B1147*(hospitalityq!M1147="")</f>
        <v>0</v>
      </c>
      <c r="N1147">
        <f>B1147*(hospitalityq!N1147="")</f>
        <v>0</v>
      </c>
      <c r="O1147">
        <f>B1147*(hospitalityq!O1147="")</f>
        <v>0</v>
      </c>
      <c r="P1147">
        <f>B1147*(hospitalityq!P1147="")</f>
        <v>0</v>
      </c>
      <c r="Q1147">
        <f>B1147*(hospitalityq!Q1147="")</f>
        <v>0</v>
      </c>
      <c r="R1147">
        <f>B1147*(hospitalityq!R1147="")</f>
        <v>0</v>
      </c>
    </row>
    <row r="1148" spans="1:18" x14ac:dyDescent="0.25">
      <c r="A1148">
        <f t="shared" si="18"/>
        <v>0</v>
      </c>
      <c r="B1148" t="b">
        <f>SUMPRODUCT(LEN(hospitalityq!C1148:R1148))&gt;0</f>
        <v>0</v>
      </c>
      <c r="C1148">
        <f>B1148*(hospitalityq!C1148="")</f>
        <v>0</v>
      </c>
      <c r="E1148">
        <f>B1148*(hospitalityq!E1148="")</f>
        <v>0</v>
      </c>
      <c r="F1148">
        <f>B1148*(hospitalityq!F1148="")</f>
        <v>0</v>
      </c>
      <c r="G1148">
        <f>B1148*(hospitalityq!G1148="")</f>
        <v>0</v>
      </c>
      <c r="H1148">
        <f>B1148*(hospitalityq!H1148="")</f>
        <v>0</v>
      </c>
      <c r="I1148">
        <f>B1148*(hospitalityq!I1148="")</f>
        <v>0</v>
      </c>
      <c r="J1148">
        <f>B1148*(hospitalityq!J1148="")</f>
        <v>0</v>
      </c>
      <c r="K1148">
        <f>B1148*(hospitalityq!K1148="")</f>
        <v>0</v>
      </c>
      <c r="L1148">
        <f>B1148*(hospitalityq!L1148="")</f>
        <v>0</v>
      </c>
      <c r="M1148">
        <f>B1148*(hospitalityq!M1148="")</f>
        <v>0</v>
      </c>
      <c r="N1148">
        <f>B1148*(hospitalityq!N1148="")</f>
        <v>0</v>
      </c>
      <c r="O1148">
        <f>B1148*(hospitalityq!O1148="")</f>
        <v>0</v>
      </c>
      <c r="P1148">
        <f>B1148*(hospitalityq!P1148="")</f>
        <v>0</v>
      </c>
      <c r="Q1148">
        <f>B1148*(hospitalityq!Q1148="")</f>
        <v>0</v>
      </c>
      <c r="R1148">
        <f>B1148*(hospitalityq!R1148="")</f>
        <v>0</v>
      </c>
    </row>
    <row r="1149" spans="1:18" x14ac:dyDescent="0.25">
      <c r="A1149">
        <f t="shared" si="18"/>
        <v>0</v>
      </c>
      <c r="B1149" t="b">
        <f>SUMPRODUCT(LEN(hospitalityq!C1149:R1149))&gt;0</f>
        <v>0</v>
      </c>
      <c r="C1149">
        <f>B1149*(hospitalityq!C1149="")</f>
        <v>0</v>
      </c>
      <c r="E1149">
        <f>B1149*(hospitalityq!E1149="")</f>
        <v>0</v>
      </c>
      <c r="F1149">
        <f>B1149*(hospitalityq!F1149="")</f>
        <v>0</v>
      </c>
      <c r="G1149">
        <f>B1149*(hospitalityq!G1149="")</f>
        <v>0</v>
      </c>
      <c r="H1149">
        <f>B1149*(hospitalityq!H1149="")</f>
        <v>0</v>
      </c>
      <c r="I1149">
        <f>B1149*(hospitalityq!I1149="")</f>
        <v>0</v>
      </c>
      <c r="J1149">
        <f>B1149*(hospitalityq!J1149="")</f>
        <v>0</v>
      </c>
      <c r="K1149">
        <f>B1149*(hospitalityq!K1149="")</f>
        <v>0</v>
      </c>
      <c r="L1149">
        <f>B1149*(hospitalityq!L1149="")</f>
        <v>0</v>
      </c>
      <c r="M1149">
        <f>B1149*(hospitalityq!M1149="")</f>
        <v>0</v>
      </c>
      <c r="N1149">
        <f>B1149*(hospitalityq!N1149="")</f>
        <v>0</v>
      </c>
      <c r="O1149">
        <f>B1149*(hospitalityq!O1149="")</f>
        <v>0</v>
      </c>
      <c r="P1149">
        <f>B1149*(hospitalityq!P1149="")</f>
        <v>0</v>
      </c>
      <c r="Q1149">
        <f>B1149*(hospitalityq!Q1149="")</f>
        <v>0</v>
      </c>
      <c r="R1149">
        <f>B1149*(hospitalityq!R1149="")</f>
        <v>0</v>
      </c>
    </row>
    <row r="1150" spans="1:18" x14ac:dyDescent="0.25">
      <c r="A1150">
        <f t="shared" si="18"/>
        <v>0</v>
      </c>
      <c r="B1150" t="b">
        <f>SUMPRODUCT(LEN(hospitalityq!C1150:R1150))&gt;0</f>
        <v>0</v>
      </c>
      <c r="C1150">
        <f>B1150*(hospitalityq!C1150="")</f>
        <v>0</v>
      </c>
      <c r="E1150">
        <f>B1150*(hospitalityq!E1150="")</f>
        <v>0</v>
      </c>
      <c r="F1150">
        <f>B1150*(hospitalityq!F1150="")</f>
        <v>0</v>
      </c>
      <c r="G1150">
        <f>B1150*(hospitalityq!G1150="")</f>
        <v>0</v>
      </c>
      <c r="H1150">
        <f>B1150*(hospitalityq!H1150="")</f>
        <v>0</v>
      </c>
      <c r="I1150">
        <f>B1150*(hospitalityq!I1150="")</f>
        <v>0</v>
      </c>
      <c r="J1150">
        <f>B1150*(hospitalityq!J1150="")</f>
        <v>0</v>
      </c>
      <c r="K1150">
        <f>B1150*(hospitalityq!K1150="")</f>
        <v>0</v>
      </c>
      <c r="L1150">
        <f>B1150*(hospitalityq!L1150="")</f>
        <v>0</v>
      </c>
      <c r="M1150">
        <f>B1150*(hospitalityq!M1150="")</f>
        <v>0</v>
      </c>
      <c r="N1150">
        <f>B1150*(hospitalityq!N1150="")</f>
        <v>0</v>
      </c>
      <c r="O1150">
        <f>B1150*(hospitalityq!O1150="")</f>
        <v>0</v>
      </c>
      <c r="P1150">
        <f>B1150*(hospitalityq!P1150="")</f>
        <v>0</v>
      </c>
      <c r="Q1150">
        <f>B1150*(hospitalityq!Q1150="")</f>
        <v>0</v>
      </c>
      <c r="R1150">
        <f>B1150*(hospitalityq!R1150="")</f>
        <v>0</v>
      </c>
    </row>
    <row r="1151" spans="1:18" x14ac:dyDescent="0.25">
      <c r="A1151">
        <f t="shared" si="18"/>
        <v>0</v>
      </c>
      <c r="B1151" t="b">
        <f>SUMPRODUCT(LEN(hospitalityq!C1151:R1151))&gt;0</f>
        <v>0</v>
      </c>
      <c r="C1151">
        <f>B1151*(hospitalityq!C1151="")</f>
        <v>0</v>
      </c>
      <c r="E1151">
        <f>B1151*(hospitalityq!E1151="")</f>
        <v>0</v>
      </c>
      <c r="F1151">
        <f>B1151*(hospitalityq!F1151="")</f>
        <v>0</v>
      </c>
      <c r="G1151">
        <f>B1151*(hospitalityq!G1151="")</f>
        <v>0</v>
      </c>
      <c r="H1151">
        <f>B1151*(hospitalityq!H1151="")</f>
        <v>0</v>
      </c>
      <c r="I1151">
        <f>B1151*(hospitalityq!I1151="")</f>
        <v>0</v>
      </c>
      <c r="J1151">
        <f>B1151*(hospitalityq!J1151="")</f>
        <v>0</v>
      </c>
      <c r="K1151">
        <f>B1151*(hospitalityq!K1151="")</f>
        <v>0</v>
      </c>
      <c r="L1151">
        <f>B1151*(hospitalityq!L1151="")</f>
        <v>0</v>
      </c>
      <c r="M1151">
        <f>B1151*(hospitalityq!M1151="")</f>
        <v>0</v>
      </c>
      <c r="N1151">
        <f>B1151*(hospitalityq!N1151="")</f>
        <v>0</v>
      </c>
      <c r="O1151">
        <f>B1151*(hospitalityq!O1151="")</f>
        <v>0</v>
      </c>
      <c r="P1151">
        <f>B1151*(hospitalityq!P1151="")</f>
        <v>0</v>
      </c>
      <c r="Q1151">
        <f>B1151*(hospitalityq!Q1151="")</f>
        <v>0</v>
      </c>
      <c r="R1151">
        <f>B1151*(hospitalityq!R1151="")</f>
        <v>0</v>
      </c>
    </row>
    <row r="1152" spans="1:18" x14ac:dyDescent="0.25">
      <c r="A1152">
        <f t="shared" si="18"/>
        <v>0</v>
      </c>
      <c r="B1152" t="b">
        <f>SUMPRODUCT(LEN(hospitalityq!C1152:R1152))&gt;0</f>
        <v>0</v>
      </c>
      <c r="C1152">
        <f>B1152*(hospitalityq!C1152="")</f>
        <v>0</v>
      </c>
      <c r="E1152">
        <f>B1152*(hospitalityq!E1152="")</f>
        <v>0</v>
      </c>
      <c r="F1152">
        <f>B1152*(hospitalityq!F1152="")</f>
        <v>0</v>
      </c>
      <c r="G1152">
        <f>B1152*(hospitalityq!G1152="")</f>
        <v>0</v>
      </c>
      <c r="H1152">
        <f>B1152*(hospitalityq!H1152="")</f>
        <v>0</v>
      </c>
      <c r="I1152">
        <f>B1152*(hospitalityq!I1152="")</f>
        <v>0</v>
      </c>
      <c r="J1152">
        <f>B1152*(hospitalityq!J1152="")</f>
        <v>0</v>
      </c>
      <c r="K1152">
        <f>B1152*(hospitalityq!K1152="")</f>
        <v>0</v>
      </c>
      <c r="L1152">
        <f>B1152*(hospitalityq!L1152="")</f>
        <v>0</v>
      </c>
      <c r="M1152">
        <f>B1152*(hospitalityq!M1152="")</f>
        <v>0</v>
      </c>
      <c r="N1152">
        <f>B1152*(hospitalityq!N1152="")</f>
        <v>0</v>
      </c>
      <c r="O1152">
        <f>B1152*(hospitalityq!O1152="")</f>
        <v>0</v>
      </c>
      <c r="P1152">
        <f>B1152*(hospitalityq!P1152="")</f>
        <v>0</v>
      </c>
      <c r="Q1152">
        <f>B1152*(hospitalityq!Q1152="")</f>
        <v>0</v>
      </c>
      <c r="R1152">
        <f>B1152*(hospitalityq!R1152="")</f>
        <v>0</v>
      </c>
    </row>
    <row r="1153" spans="1:18" x14ac:dyDescent="0.25">
      <c r="A1153">
        <f t="shared" si="18"/>
        <v>0</v>
      </c>
      <c r="B1153" t="b">
        <f>SUMPRODUCT(LEN(hospitalityq!C1153:R1153))&gt;0</f>
        <v>0</v>
      </c>
      <c r="C1153">
        <f>B1153*(hospitalityq!C1153="")</f>
        <v>0</v>
      </c>
      <c r="E1153">
        <f>B1153*(hospitalityq!E1153="")</f>
        <v>0</v>
      </c>
      <c r="F1153">
        <f>B1153*(hospitalityq!F1153="")</f>
        <v>0</v>
      </c>
      <c r="G1153">
        <f>B1153*(hospitalityq!G1153="")</f>
        <v>0</v>
      </c>
      <c r="H1153">
        <f>B1153*(hospitalityq!H1153="")</f>
        <v>0</v>
      </c>
      <c r="I1153">
        <f>B1153*(hospitalityq!I1153="")</f>
        <v>0</v>
      </c>
      <c r="J1153">
        <f>B1153*(hospitalityq!J1153="")</f>
        <v>0</v>
      </c>
      <c r="K1153">
        <f>B1153*(hospitalityq!K1153="")</f>
        <v>0</v>
      </c>
      <c r="L1153">
        <f>B1153*(hospitalityq!L1153="")</f>
        <v>0</v>
      </c>
      <c r="M1153">
        <f>B1153*(hospitalityq!M1153="")</f>
        <v>0</v>
      </c>
      <c r="N1153">
        <f>B1153*(hospitalityq!N1153="")</f>
        <v>0</v>
      </c>
      <c r="O1153">
        <f>B1153*(hospitalityq!O1153="")</f>
        <v>0</v>
      </c>
      <c r="P1153">
        <f>B1153*(hospitalityq!P1153="")</f>
        <v>0</v>
      </c>
      <c r="Q1153">
        <f>B1153*(hospitalityq!Q1153="")</f>
        <v>0</v>
      </c>
      <c r="R1153">
        <f>B1153*(hospitalityq!R1153="")</f>
        <v>0</v>
      </c>
    </row>
    <row r="1154" spans="1:18" x14ac:dyDescent="0.25">
      <c r="A1154">
        <f t="shared" si="18"/>
        <v>0</v>
      </c>
      <c r="B1154" t="b">
        <f>SUMPRODUCT(LEN(hospitalityq!C1154:R1154))&gt;0</f>
        <v>0</v>
      </c>
      <c r="C1154">
        <f>B1154*(hospitalityq!C1154="")</f>
        <v>0</v>
      </c>
      <c r="E1154">
        <f>B1154*(hospitalityq!E1154="")</f>
        <v>0</v>
      </c>
      <c r="F1154">
        <f>B1154*(hospitalityq!F1154="")</f>
        <v>0</v>
      </c>
      <c r="G1154">
        <f>B1154*(hospitalityq!G1154="")</f>
        <v>0</v>
      </c>
      <c r="H1154">
        <f>B1154*(hospitalityq!H1154="")</f>
        <v>0</v>
      </c>
      <c r="I1154">
        <f>B1154*(hospitalityq!I1154="")</f>
        <v>0</v>
      </c>
      <c r="J1154">
        <f>B1154*(hospitalityq!J1154="")</f>
        <v>0</v>
      </c>
      <c r="K1154">
        <f>B1154*(hospitalityq!K1154="")</f>
        <v>0</v>
      </c>
      <c r="L1154">
        <f>B1154*(hospitalityq!L1154="")</f>
        <v>0</v>
      </c>
      <c r="M1154">
        <f>B1154*(hospitalityq!M1154="")</f>
        <v>0</v>
      </c>
      <c r="N1154">
        <f>B1154*(hospitalityq!N1154="")</f>
        <v>0</v>
      </c>
      <c r="O1154">
        <f>B1154*(hospitalityq!O1154="")</f>
        <v>0</v>
      </c>
      <c r="P1154">
        <f>B1154*(hospitalityq!P1154="")</f>
        <v>0</v>
      </c>
      <c r="Q1154">
        <f>B1154*(hospitalityq!Q1154="")</f>
        <v>0</v>
      </c>
      <c r="R1154">
        <f>B1154*(hospitalityq!R1154="")</f>
        <v>0</v>
      </c>
    </row>
    <row r="1155" spans="1:18" x14ac:dyDescent="0.25">
      <c r="A1155">
        <f t="shared" si="18"/>
        <v>0</v>
      </c>
      <c r="B1155" t="b">
        <f>SUMPRODUCT(LEN(hospitalityq!C1155:R1155))&gt;0</f>
        <v>0</v>
      </c>
      <c r="C1155">
        <f>B1155*(hospitalityq!C1155="")</f>
        <v>0</v>
      </c>
      <c r="E1155">
        <f>B1155*(hospitalityq!E1155="")</f>
        <v>0</v>
      </c>
      <c r="F1155">
        <f>B1155*(hospitalityq!F1155="")</f>
        <v>0</v>
      </c>
      <c r="G1155">
        <f>B1155*(hospitalityq!G1155="")</f>
        <v>0</v>
      </c>
      <c r="H1155">
        <f>B1155*(hospitalityq!H1155="")</f>
        <v>0</v>
      </c>
      <c r="I1155">
        <f>B1155*(hospitalityq!I1155="")</f>
        <v>0</v>
      </c>
      <c r="J1155">
        <f>B1155*(hospitalityq!J1155="")</f>
        <v>0</v>
      </c>
      <c r="K1155">
        <f>B1155*(hospitalityq!K1155="")</f>
        <v>0</v>
      </c>
      <c r="L1155">
        <f>B1155*(hospitalityq!L1155="")</f>
        <v>0</v>
      </c>
      <c r="M1155">
        <f>B1155*(hospitalityq!M1155="")</f>
        <v>0</v>
      </c>
      <c r="N1155">
        <f>B1155*(hospitalityq!N1155="")</f>
        <v>0</v>
      </c>
      <c r="O1155">
        <f>B1155*(hospitalityq!O1155="")</f>
        <v>0</v>
      </c>
      <c r="P1155">
        <f>B1155*(hospitalityq!P1155="")</f>
        <v>0</v>
      </c>
      <c r="Q1155">
        <f>B1155*(hospitalityq!Q1155="")</f>
        <v>0</v>
      </c>
      <c r="R1155">
        <f>B1155*(hospitalityq!R1155="")</f>
        <v>0</v>
      </c>
    </row>
    <row r="1156" spans="1:18" x14ac:dyDescent="0.25">
      <c r="A1156">
        <f t="shared" si="18"/>
        <v>0</v>
      </c>
      <c r="B1156" t="b">
        <f>SUMPRODUCT(LEN(hospitalityq!C1156:R1156))&gt;0</f>
        <v>0</v>
      </c>
      <c r="C1156">
        <f>B1156*(hospitalityq!C1156="")</f>
        <v>0</v>
      </c>
      <c r="E1156">
        <f>B1156*(hospitalityq!E1156="")</f>
        <v>0</v>
      </c>
      <c r="F1156">
        <f>B1156*(hospitalityq!F1156="")</f>
        <v>0</v>
      </c>
      <c r="G1156">
        <f>B1156*(hospitalityq!G1156="")</f>
        <v>0</v>
      </c>
      <c r="H1156">
        <f>B1156*(hospitalityq!H1156="")</f>
        <v>0</v>
      </c>
      <c r="I1156">
        <f>B1156*(hospitalityq!I1156="")</f>
        <v>0</v>
      </c>
      <c r="J1156">
        <f>B1156*(hospitalityq!J1156="")</f>
        <v>0</v>
      </c>
      <c r="K1156">
        <f>B1156*(hospitalityq!K1156="")</f>
        <v>0</v>
      </c>
      <c r="L1156">
        <f>B1156*(hospitalityq!L1156="")</f>
        <v>0</v>
      </c>
      <c r="M1156">
        <f>B1156*(hospitalityq!M1156="")</f>
        <v>0</v>
      </c>
      <c r="N1156">
        <f>B1156*(hospitalityq!N1156="")</f>
        <v>0</v>
      </c>
      <c r="O1156">
        <f>B1156*(hospitalityq!O1156="")</f>
        <v>0</v>
      </c>
      <c r="P1156">
        <f>B1156*(hospitalityq!P1156="")</f>
        <v>0</v>
      </c>
      <c r="Q1156">
        <f>B1156*(hospitalityq!Q1156="")</f>
        <v>0</v>
      </c>
      <c r="R1156">
        <f>B1156*(hospitalityq!R1156="")</f>
        <v>0</v>
      </c>
    </row>
    <row r="1157" spans="1:18" x14ac:dyDescent="0.25">
      <c r="A1157">
        <f t="shared" si="18"/>
        <v>0</v>
      </c>
      <c r="B1157" t="b">
        <f>SUMPRODUCT(LEN(hospitalityq!C1157:R1157))&gt;0</f>
        <v>0</v>
      </c>
      <c r="C1157">
        <f>B1157*(hospitalityq!C1157="")</f>
        <v>0</v>
      </c>
      <c r="E1157">
        <f>B1157*(hospitalityq!E1157="")</f>
        <v>0</v>
      </c>
      <c r="F1157">
        <f>B1157*(hospitalityq!F1157="")</f>
        <v>0</v>
      </c>
      <c r="G1157">
        <f>B1157*(hospitalityq!G1157="")</f>
        <v>0</v>
      </c>
      <c r="H1157">
        <f>B1157*(hospitalityq!H1157="")</f>
        <v>0</v>
      </c>
      <c r="I1157">
        <f>B1157*(hospitalityq!I1157="")</f>
        <v>0</v>
      </c>
      <c r="J1157">
        <f>B1157*(hospitalityq!J1157="")</f>
        <v>0</v>
      </c>
      <c r="K1157">
        <f>B1157*(hospitalityq!K1157="")</f>
        <v>0</v>
      </c>
      <c r="L1157">
        <f>B1157*(hospitalityq!L1157="")</f>
        <v>0</v>
      </c>
      <c r="M1157">
        <f>B1157*(hospitalityq!M1157="")</f>
        <v>0</v>
      </c>
      <c r="N1157">
        <f>B1157*(hospitalityq!N1157="")</f>
        <v>0</v>
      </c>
      <c r="O1157">
        <f>B1157*(hospitalityq!O1157="")</f>
        <v>0</v>
      </c>
      <c r="P1157">
        <f>B1157*(hospitalityq!P1157="")</f>
        <v>0</v>
      </c>
      <c r="Q1157">
        <f>B1157*(hospitalityq!Q1157="")</f>
        <v>0</v>
      </c>
      <c r="R1157">
        <f>B1157*(hospitalityq!R1157="")</f>
        <v>0</v>
      </c>
    </row>
    <row r="1158" spans="1:18" x14ac:dyDescent="0.25">
      <c r="A1158">
        <f t="shared" ref="A1158:A1221" si="19">IFERROR(MATCH(TRUE,INDEX(C1158:R1158&lt;&gt;0,),)+2,0)</f>
        <v>0</v>
      </c>
      <c r="B1158" t="b">
        <f>SUMPRODUCT(LEN(hospitalityq!C1158:R1158))&gt;0</f>
        <v>0</v>
      </c>
      <c r="C1158">
        <f>B1158*(hospitalityq!C1158="")</f>
        <v>0</v>
      </c>
      <c r="E1158">
        <f>B1158*(hospitalityq!E1158="")</f>
        <v>0</v>
      </c>
      <c r="F1158">
        <f>B1158*(hospitalityq!F1158="")</f>
        <v>0</v>
      </c>
      <c r="G1158">
        <f>B1158*(hospitalityq!G1158="")</f>
        <v>0</v>
      </c>
      <c r="H1158">
        <f>B1158*(hospitalityq!H1158="")</f>
        <v>0</v>
      </c>
      <c r="I1158">
        <f>B1158*(hospitalityq!I1158="")</f>
        <v>0</v>
      </c>
      <c r="J1158">
        <f>B1158*(hospitalityq!J1158="")</f>
        <v>0</v>
      </c>
      <c r="K1158">
        <f>B1158*(hospitalityq!K1158="")</f>
        <v>0</v>
      </c>
      <c r="L1158">
        <f>B1158*(hospitalityq!L1158="")</f>
        <v>0</v>
      </c>
      <c r="M1158">
        <f>B1158*(hospitalityq!M1158="")</f>
        <v>0</v>
      </c>
      <c r="N1158">
        <f>B1158*(hospitalityq!N1158="")</f>
        <v>0</v>
      </c>
      <c r="O1158">
        <f>B1158*(hospitalityq!O1158="")</f>
        <v>0</v>
      </c>
      <c r="P1158">
        <f>B1158*(hospitalityq!P1158="")</f>
        <v>0</v>
      </c>
      <c r="Q1158">
        <f>B1158*(hospitalityq!Q1158="")</f>
        <v>0</v>
      </c>
      <c r="R1158">
        <f>B1158*(hospitalityq!R1158="")</f>
        <v>0</v>
      </c>
    </row>
    <row r="1159" spans="1:18" x14ac:dyDescent="0.25">
      <c r="A1159">
        <f t="shared" si="19"/>
        <v>0</v>
      </c>
      <c r="B1159" t="b">
        <f>SUMPRODUCT(LEN(hospitalityq!C1159:R1159))&gt;0</f>
        <v>0</v>
      </c>
      <c r="C1159">
        <f>B1159*(hospitalityq!C1159="")</f>
        <v>0</v>
      </c>
      <c r="E1159">
        <f>B1159*(hospitalityq!E1159="")</f>
        <v>0</v>
      </c>
      <c r="F1159">
        <f>B1159*(hospitalityq!F1159="")</f>
        <v>0</v>
      </c>
      <c r="G1159">
        <f>B1159*(hospitalityq!G1159="")</f>
        <v>0</v>
      </c>
      <c r="H1159">
        <f>B1159*(hospitalityq!H1159="")</f>
        <v>0</v>
      </c>
      <c r="I1159">
        <f>B1159*(hospitalityq!I1159="")</f>
        <v>0</v>
      </c>
      <c r="J1159">
        <f>B1159*(hospitalityq!J1159="")</f>
        <v>0</v>
      </c>
      <c r="K1159">
        <f>B1159*(hospitalityq!K1159="")</f>
        <v>0</v>
      </c>
      <c r="L1159">
        <f>B1159*(hospitalityq!L1159="")</f>
        <v>0</v>
      </c>
      <c r="M1159">
        <f>B1159*(hospitalityq!M1159="")</f>
        <v>0</v>
      </c>
      <c r="N1159">
        <f>B1159*(hospitalityq!N1159="")</f>
        <v>0</v>
      </c>
      <c r="O1159">
        <f>B1159*(hospitalityq!O1159="")</f>
        <v>0</v>
      </c>
      <c r="P1159">
        <f>B1159*(hospitalityq!P1159="")</f>
        <v>0</v>
      </c>
      <c r="Q1159">
        <f>B1159*(hospitalityq!Q1159="")</f>
        <v>0</v>
      </c>
      <c r="R1159">
        <f>B1159*(hospitalityq!R1159="")</f>
        <v>0</v>
      </c>
    </row>
    <row r="1160" spans="1:18" x14ac:dyDescent="0.25">
      <c r="A1160">
        <f t="shared" si="19"/>
        <v>0</v>
      </c>
      <c r="B1160" t="b">
        <f>SUMPRODUCT(LEN(hospitalityq!C1160:R1160))&gt;0</f>
        <v>0</v>
      </c>
      <c r="C1160">
        <f>B1160*(hospitalityq!C1160="")</f>
        <v>0</v>
      </c>
      <c r="E1160">
        <f>B1160*(hospitalityq!E1160="")</f>
        <v>0</v>
      </c>
      <c r="F1160">
        <f>B1160*(hospitalityq!F1160="")</f>
        <v>0</v>
      </c>
      <c r="G1160">
        <f>B1160*(hospitalityq!G1160="")</f>
        <v>0</v>
      </c>
      <c r="H1160">
        <f>B1160*(hospitalityq!H1160="")</f>
        <v>0</v>
      </c>
      <c r="I1160">
        <f>B1160*(hospitalityq!I1160="")</f>
        <v>0</v>
      </c>
      <c r="J1160">
        <f>B1160*(hospitalityq!J1160="")</f>
        <v>0</v>
      </c>
      <c r="K1160">
        <f>B1160*(hospitalityq!K1160="")</f>
        <v>0</v>
      </c>
      <c r="L1160">
        <f>B1160*(hospitalityq!L1160="")</f>
        <v>0</v>
      </c>
      <c r="M1160">
        <f>B1160*(hospitalityq!M1160="")</f>
        <v>0</v>
      </c>
      <c r="N1160">
        <f>B1160*(hospitalityq!N1160="")</f>
        <v>0</v>
      </c>
      <c r="O1160">
        <f>B1160*(hospitalityq!O1160="")</f>
        <v>0</v>
      </c>
      <c r="P1160">
        <f>B1160*(hospitalityq!P1160="")</f>
        <v>0</v>
      </c>
      <c r="Q1160">
        <f>B1160*(hospitalityq!Q1160="")</f>
        <v>0</v>
      </c>
      <c r="R1160">
        <f>B1160*(hospitalityq!R1160="")</f>
        <v>0</v>
      </c>
    </row>
    <row r="1161" spans="1:18" x14ac:dyDescent="0.25">
      <c r="A1161">
        <f t="shared" si="19"/>
        <v>0</v>
      </c>
      <c r="B1161" t="b">
        <f>SUMPRODUCT(LEN(hospitalityq!C1161:R1161))&gt;0</f>
        <v>0</v>
      </c>
      <c r="C1161">
        <f>B1161*(hospitalityq!C1161="")</f>
        <v>0</v>
      </c>
      <c r="E1161">
        <f>B1161*(hospitalityq!E1161="")</f>
        <v>0</v>
      </c>
      <c r="F1161">
        <f>B1161*(hospitalityq!F1161="")</f>
        <v>0</v>
      </c>
      <c r="G1161">
        <f>B1161*(hospitalityq!G1161="")</f>
        <v>0</v>
      </c>
      <c r="H1161">
        <f>B1161*(hospitalityq!H1161="")</f>
        <v>0</v>
      </c>
      <c r="I1161">
        <f>B1161*(hospitalityq!I1161="")</f>
        <v>0</v>
      </c>
      <c r="J1161">
        <f>B1161*(hospitalityq!J1161="")</f>
        <v>0</v>
      </c>
      <c r="K1161">
        <f>B1161*(hospitalityq!K1161="")</f>
        <v>0</v>
      </c>
      <c r="L1161">
        <f>B1161*(hospitalityq!L1161="")</f>
        <v>0</v>
      </c>
      <c r="M1161">
        <f>B1161*(hospitalityq!M1161="")</f>
        <v>0</v>
      </c>
      <c r="N1161">
        <f>B1161*(hospitalityq!N1161="")</f>
        <v>0</v>
      </c>
      <c r="O1161">
        <f>B1161*(hospitalityq!O1161="")</f>
        <v>0</v>
      </c>
      <c r="P1161">
        <f>B1161*(hospitalityq!P1161="")</f>
        <v>0</v>
      </c>
      <c r="Q1161">
        <f>B1161*(hospitalityq!Q1161="")</f>
        <v>0</v>
      </c>
      <c r="R1161">
        <f>B1161*(hospitalityq!R1161="")</f>
        <v>0</v>
      </c>
    </row>
    <row r="1162" spans="1:18" x14ac:dyDescent="0.25">
      <c r="A1162">
        <f t="shared" si="19"/>
        <v>0</v>
      </c>
      <c r="B1162" t="b">
        <f>SUMPRODUCT(LEN(hospitalityq!C1162:R1162))&gt;0</f>
        <v>0</v>
      </c>
      <c r="C1162">
        <f>B1162*(hospitalityq!C1162="")</f>
        <v>0</v>
      </c>
      <c r="E1162">
        <f>B1162*(hospitalityq!E1162="")</f>
        <v>0</v>
      </c>
      <c r="F1162">
        <f>B1162*(hospitalityq!F1162="")</f>
        <v>0</v>
      </c>
      <c r="G1162">
        <f>B1162*(hospitalityq!G1162="")</f>
        <v>0</v>
      </c>
      <c r="H1162">
        <f>B1162*(hospitalityq!H1162="")</f>
        <v>0</v>
      </c>
      <c r="I1162">
        <f>B1162*(hospitalityq!I1162="")</f>
        <v>0</v>
      </c>
      <c r="J1162">
        <f>B1162*(hospitalityq!J1162="")</f>
        <v>0</v>
      </c>
      <c r="K1162">
        <f>B1162*(hospitalityq!K1162="")</f>
        <v>0</v>
      </c>
      <c r="L1162">
        <f>B1162*(hospitalityq!L1162="")</f>
        <v>0</v>
      </c>
      <c r="M1162">
        <f>B1162*(hospitalityq!M1162="")</f>
        <v>0</v>
      </c>
      <c r="N1162">
        <f>B1162*(hospitalityq!N1162="")</f>
        <v>0</v>
      </c>
      <c r="O1162">
        <f>B1162*(hospitalityq!O1162="")</f>
        <v>0</v>
      </c>
      <c r="P1162">
        <f>B1162*(hospitalityq!P1162="")</f>
        <v>0</v>
      </c>
      <c r="Q1162">
        <f>B1162*(hospitalityq!Q1162="")</f>
        <v>0</v>
      </c>
      <c r="R1162">
        <f>B1162*(hospitalityq!R1162="")</f>
        <v>0</v>
      </c>
    </row>
    <row r="1163" spans="1:18" x14ac:dyDescent="0.25">
      <c r="A1163">
        <f t="shared" si="19"/>
        <v>0</v>
      </c>
      <c r="B1163" t="b">
        <f>SUMPRODUCT(LEN(hospitalityq!C1163:R1163))&gt;0</f>
        <v>0</v>
      </c>
      <c r="C1163">
        <f>B1163*(hospitalityq!C1163="")</f>
        <v>0</v>
      </c>
      <c r="E1163">
        <f>B1163*(hospitalityq!E1163="")</f>
        <v>0</v>
      </c>
      <c r="F1163">
        <f>B1163*(hospitalityq!F1163="")</f>
        <v>0</v>
      </c>
      <c r="G1163">
        <f>B1163*(hospitalityq!G1163="")</f>
        <v>0</v>
      </c>
      <c r="H1163">
        <f>B1163*(hospitalityq!H1163="")</f>
        <v>0</v>
      </c>
      <c r="I1163">
        <f>B1163*(hospitalityq!I1163="")</f>
        <v>0</v>
      </c>
      <c r="J1163">
        <f>B1163*(hospitalityq!J1163="")</f>
        <v>0</v>
      </c>
      <c r="K1163">
        <f>B1163*(hospitalityq!K1163="")</f>
        <v>0</v>
      </c>
      <c r="L1163">
        <f>B1163*(hospitalityq!L1163="")</f>
        <v>0</v>
      </c>
      <c r="M1163">
        <f>B1163*(hospitalityq!M1163="")</f>
        <v>0</v>
      </c>
      <c r="N1163">
        <f>B1163*(hospitalityq!N1163="")</f>
        <v>0</v>
      </c>
      <c r="O1163">
        <f>B1163*(hospitalityq!O1163="")</f>
        <v>0</v>
      </c>
      <c r="P1163">
        <f>B1163*(hospitalityq!P1163="")</f>
        <v>0</v>
      </c>
      <c r="Q1163">
        <f>B1163*(hospitalityq!Q1163="")</f>
        <v>0</v>
      </c>
      <c r="R1163">
        <f>B1163*(hospitalityq!R1163="")</f>
        <v>0</v>
      </c>
    </row>
    <row r="1164" spans="1:18" x14ac:dyDescent="0.25">
      <c r="A1164">
        <f t="shared" si="19"/>
        <v>0</v>
      </c>
      <c r="B1164" t="b">
        <f>SUMPRODUCT(LEN(hospitalityq!C1164:R1164))&gt;0</f>
        <v>0</v>
      </c>
      <c r="C1164">
        <f>B1164*(hospitalityq!C1164="")</f>
        <v>0</v>
      </c>
      <c r="E1164">
        <f>B1164*(hospitalityq!E1164="")</f>
        <v>0</v>
      </c>
      <c r="F1164">
        <f>B1164*(hospitalityq!F1164="")</f>
        <v>0</v>
      </c>
      <c r="G1164">
        <f>B1164*(hospitalityq!G1164="")</f>
        <v>0</v>
      </c>
      <c r="H1164">
        <f>B1164*(hospitalityq!H1164="")</f>
        <v>0</v>
      </c>
      <c r="I1164">
        <f>B1164*(hospitalityq!I1164="")</f>
        <v>0</v>
      </c>
      <c r="J1164">
        <f>B1164*(hospitalityq!J1164="")</f>
        <v>0</v>
      </c>
      <c r="K1164">
        <f>B1164*(hospitalityq!K1164="")</f>
        <v>0</v>
      </c>
      <c r="L1164">
        <f>B1164*(hospitalityq!L1164="")</f>
        <v>0</v>
      </c>
      <c r="M1164">
        <f>B1164*(hospitalityq!M1164="")</f>
        <v>0</v>
      </c>
      <c r="N1164">
        <f>B1164*(hospitalityq!N1164="")</f>
        <v>0</v>
      </c>
      <c r="O1164">
        <f>B1164*(hospitalityq!O1164="")</f>
        <v>0</v>
      </c>
      <c r="P1164">
        <f>B1164*(hospitalityq!P1164="")</f>
        <v>0</v>
      </c>
      <c r="Q1164">
        <f>B1164*(hospitalityq!Q1164="")</f>
        <v>0</v>
      </c>
      <c r="R1164">
        <f>B1164*(hospitalityq!R1164="")</f>
        <v>0</v>
      </c>
    </row>
    <row r="1165" spans="1:18" x14ac:dyDescent="0.25">
      <c r="A1165">
        <f t="shared" si="19"/>
        <v>0</v>
      </c>
      <c r="B1165" t="b">
        <f>SUMPRODUCT(LEN(hospitalityq!C1165:R1165))&gt;0</f>
        <v>0</v>
      </c>
      <c r="C1165">
        <f>B1165*(hospitalityq!C1165="")</f>
        <v>0</v>
      </c>
      <c r="E1165">
        <f>B1165*(hospitalityq!E1165="")</f>
        <v>0</v>
      </c>
      <c r="F1165">
        <f>B1165*(hospitalityq!F1165="")</f>
        <v>0</v>
      </c>
      <c r="G1165">
        <f>B1165*(hospitalityq!G1165="")</f>
        <v>0</v>
      </c>
      <c r="H1165">
        <f>B1165*(hospitalityq!H1165="")</f>
        <v>0</v>
      </c>
      <c r="I1165">
        <f>B1165*(hospitalityq!I1165="")</f>
        <v>0</v>
      </c>
      <c r="J1165">
        <f>B1165*(hospitalityq!J1165="")</f>
        <v>0</v>
      </c>
      <c r="K1165">
        <f>B1165*(hospitalityq!K1165="")</f>
        <v>0</v>
      </c>
      <c r="L1165">
        <f>B1165*(hospitalityq!L1165="")</f>
        <v>0</v>
      </c>
      <c r="M1165">
        <f>B1165*(hospitalityq!M1165="")</f>
        <v>0</v>
      </c>
      <c r="N1165">
        <f>B1165*(hospitalityq!N1165="")</f>
        <v>0</v>
      </c>
      <c r="O1165">
        <f>B1165*(hospitalityq!O1165="")</f>
        <v>0</v>
      </c>
      <c r="P1165">
        <f>B1165*(hospitalityq!P1165="")</f>
        <v>0</v>
      </c>
      <c r="Q1165">
        <f>B1165*(hospitalityq!Q1165="")</f>
        <v>0</v>
      </c>
      <c r="R1165">
        <f>B1165*(hospitalityq!R1165="")</f>
        <v>0</v>
      </c>
    </row>
    <row r="1166" spans="1:18" x14ac:dyDescent="0.25">
      <c r="A1166">
        <f t="shared" si="19"/>
        <v>0</v>
      </c>
      <c r="B1166" t="b">
        <f>SUMPRODUCT(LEN(hospitalityq!C1166:R1166))&gt;0</f>
        <v>0</v>
      </c>
      <c r="C1166">
        <f>B1166*(hospitalityq!C1166="")</f>
        <v>0</v>
      </c>
      <c r="E1166">
        <f>B1166*(hospitalityq!E1166="")</f>
        <v>0</v>
      </c>
      <c r="F1166">
        <f>B1166*(hospitalityq!F1166="")</f>
        <v>0</v>
      </c>
      <c r="G1166">
        <f>B1166*(hospitalityq!G1166="")</f>
        <v>0</v>
      </c>
      <c r="H1166">
        <f>B1166*(hospitalityq!H1166="")</f>
        <v>0</v>
      </c>
      <c r="I1166">
        <f>B1166*(hospitalityq!I1166="")</f>
        <v>0</v>
      </c>
      <c r="J1166">
        <f>B1166*(hospitalityq!J1166="")</f>
        <v>0</v>
      </c>
      <c r="K1166">
        <f>B1166*(hospitalityq!K1166="")</f>
        <v>0</v>
      </c>
      <c r="L1166">
        <f>B1166*(hospitalityq!L1166="")</f>
        <v>0</v>
      </c>
      <c r="M1166">
        <f>B1166*(hospitalityq!M1166="")</f>
        <v>0</v>
      </c>
      <c r="N1166">
        <f>B1166*(hospitalityq!N1166="")</f>
        <v>0</v>
      </c>
      <c r="O1166">
        <f>B1166*(hospitalityq!O1166="")</f>
        <v>0</v>
      </c>
      <c r="P1166">
        <f>B1166*(hospitalityq!P1166="")</f>
        <v>0</v>
      </c>
      <c r="Q1166">
        <f>B1166*(hospitalityq!Q1166="")</f>
        <v>0</v>
      </c>
      <c r="R1166">
        <f>B1166*(hospitalityq!R1166="")</f>
        <v>0</v>
      </c>
    </row>
    <row r="1167" spans="1:18" x14ac:dyDescent="0.25">
      <c r="A1167">
        <f t="shared" si="19"/>
        <v>0</v>
      </c>
      <c r="B1167" t="b">
        <f>SUMPRODUCT(LEN(hospitalityq!C1167:R1167))&gt;0</f>
        <v>0</v>
      </c>
      <c r="C1167">
        <f>B1167*(hospitalityq!C1167="")</f>
        <v>0</v>
      </c>
      <c r="E1167">
        <f>B1167*(hospitalityq!E1167="")</f>
        <v>0</v>
      </c>
      <c r="F1167">
        <f>B1167*(hospitalityq!F1167="")</f>
        <v>0</v>
      </c>
      <c r="G1167">
        <f>B1167*(hospitalityq!G1167="")</f>
        <v>0</v>
      </c>
      <c r="H1167">
        <f>B1167*(hospitalityq!H1167="")</f>
        <v>0</v>
      </c>
      <c r="I1167">
        <f>B1167*(hospitalityq!I1167="")</f>
        <v>0</v>
      </c>
      <c r="J1167">
        <f>B1167*(hospitalityq!J1167="")</f>
        <v>0</v>
      </c>
      <c r="K1167">
        <f>B1167*(hospitalityq!K1167="")</f>
        <v>0</v>
      </c>
      <c r="L1167">
        <f>B1167*(hospitalityq!L1167="")</f>
        <v>0</v>
      </c>
      <c r="M1167">
        <f>B1167*(hospitalityq!M1167="")</f>
        <v>0</v>
      </c>
      <c r="N1167">
        <f>B1167*(hospitalityq!N1167="")</f>
        <v>0</v>
      </c>
      <c r="O1167">
        <f>B1167*(hospitalityq!O1167="")</f>
        <v>0</v>
      </c>
      <c r="P1167">
        <f>B1167*(hospitalityq!P1167="")</f>
        <v>0</v>
      </c>
      <c r="Q1167">
        <f>B1167*(hospitalityq!Q1167="")</f>
        <v>0</v>
      </c>
      <c r="R1167">
        <f>B1167*(hospitalityq!R1167="")</f>
        <v>0</v>
      </c>
    </row>
    <row r="1168" spans="1:18" x14ac:dyDescent="0.25">
      <c r="A1168">
        <f t="shared" si="19"/>
        <v>0</v>
      </c>
      <c r="B1168" t="b">
        <f>SUMPRODUCT(LEN(hospitalityq!C1168:R1168))&gt;0</f>
        <v>0</v>
      </c>
      <c r="C1168">
        <f>B1168*(hospitalityq!C1168="")</f>
        <v>0</v>
      </c>
      <c r="E1168">
        <f>B1168*(hospitalityq!E1168="")</f>
        <v>0</v>
      </c>
      <c r="F1168">
        <f>B1168*(hospitalityq!F1168="")</f>
        <v>0</v>
      </c>
      <c r="G1168">
        <f>B1168*(hospitalityq!G1168="")</f>
        <v>0</v>
      </c>
      <c r="H1168">
        <f>B1168*(hospitalityq!H1168="")</f>
        <v>0</v>
      </c>
      <c r="I1168">
        <f>B1168*(hospitalityq!I1168="")</f>
        <v>0</v>
      </c>
      <c r="J1168">
        <f>B1168*(hospitalityq!J1168="")</f>
        <v>0</v>
      </c>
      <c r="K1168">
        <f>B1168*(hospitalityq!K1168="")</f>
        <v>0</v>
      </c>
      <c r="L1168">
        <f>B1168*(hospitalityq!L1168="")</f>
        <v>0</v>
      </c>
      <c r="M1168">
        <f>B1168*(hospitalityq!M1168="")</f>
        <v>0</v>
      </c>
      <c r="N1168">
        <f>B1168*(hospitalityq!N1168="")</f>
        <v>0</v>
      </c>
      <c r="O1168">
        <f>B1168*(hospitalityq!O1168="")</f>
        <v>0</v>
      </c>
      <c r="P1168">
        <f>B1168*(hospitalityq!P1168="")</f>
        <v>0</v>
      </c>
      <c r="Q1168">
        <f>B1168*(hospitalityq!Q1168="")</f>
        <v>0</v>
      </c>
      <c r="R1168">
        <f>B1168*(hospitalityq!R1168="")</f>
        <v>0</v>
      </c>
    </row>
    <row r="1169" spans="1:18" x14ac:dyDescent="0.25">
      <c r="A1169">
        <f t="shared" si="19"/>
        <v>0</v>
      </c>
      <c r="B1169" t="b">
        <f>SUMPRODUCT(LEN(hospitalityq!C1169:R1169))&gt;0</f>
        <v>0</v>
      </c>
      <c r="C1169">
        <f>B1169*(hospitalityq!C1169="")</f>
        <v>0</v>
      </c>
      <c r="E1169">
        <f>B1169*(hospitalityq!E1169="")</f>
        <v>0</v>
      </c>
      <c r="F1169">
        <f>B1169*(hospitalityq!F1169="")</f>
        <v>0</v>
      </c>
      <c r="G1169">
        <f>B1169*(hospitalityq!G1169="")</f>
        <v>0</v>
      </c>
      <c r="H1169">
        <f>B1169*(hospitalityq!H1169="")</f>
        <v>0</v>
      </c>
      <c r="I1169">
        <f>B1169*(hospitalityq!I1169="")</f>
        <v>0</v>
      </c>
      <c r="J1169">
        <f>B1169*(hospitalityq!J1169="")</f>
        <v>0</v>
      </c>
      <c r="K1169">
        <f>B1169*(hospitalityq!K1169="")</f>
        <v>0</v>
      </c>
      <c r="L1169">
        <f>B1169*(hospitalityq!L1169="")</f>
        <v>0</v>
      </c>
      <c r="M1169">
        <f>B1169*(hospitalityq!M1169="")</f>
        <v>0</v>
      </c>
      <c r="N1169">
        <f>B1169*(hospitalityq!N1169="")</f>
        <v>0</v>
      </c>
      <c r="O1169">
        <f>B1169*(hospitalityq!O1169="")</f>
        <v>0</v>
      </c>
      <c r="P1169">
        <f>B1169*(hospitalityq!P1169="")</f>
        <v>0</v>
      </c>
      <c r="Q1169">
        <f>B1169*(hospitalityq!Q1169="")</f>
        <v>0</v>
      </c>
      <c r="R1169">
        <f>B1169*(hospitalityq!R1169="")</f>
        <v>0</v>
      </c>
    </row>
    <row r="1170" spans="1:18" x14ac:dyDescent="0.25">
      <c r="A1170">
        <f t="shared" si="19"/>
        <v>0</v>
      </c>
      <c r="B1170" t="b">
        <f>SUMPRODUCT(LEN(hospitalityq!C1170:R1170))&gt;0</f>
        <v>0</v>
      </c>
      <c r="C1170">
        <f>B1170*(hospitalityq!C1170="")</f>
        <v>0</v>
      </c>
      <c r="E1170">
        <f>B1170*(hospitalityq!E1170="")</f>
        <v>0</v>
      </c>
      <c r="F1170">
        <f>B1170*(hospitalityq!F1170="")</f>
        <v>0</v>
      </c>
      <c r="G1170">
        <f>B1170*(hospitalityq!G1170="")</f>
        <v>0</v>
      </c>
      <c r="H1170">
        <f>B1170*(hospitalityq!H1170="")</f>
        <v>0</v>
      </c>
      <c r="I1170">
        <f>B1170*(hospitalityq!I1170="")</f>
        <v>0</v>
      </c>
      <c r="J1170">
        <f>B1170*(hospitalityq!J1170="")</f>
        <v>0</v>
      </c>
      <c r="K1170">
        <f>B1170*(hospitalityq!K1170="")</f>
        <v>0</v>
      </c>
      <c r="L1170">
        <f>B1170*(hospitalityq!L1170="")</f>
        <v>0</v>
      </c>
      <c r="M1170">
        <f>B1170*(hospitalityq!M1170="")</f>
        <v>0</v>
      </c>
      <c r="N1170">
        <f>B1170*(hospitalityq!N1170="")</f>
        <v>0</v>
      </c>
      <c r="O1170">
        <f>B1170*(hospitalityq!O1170="")</f>
        <v>0</v>
      </c>
      <c r="P1170">
        <f>B1170*(hospitalityq!P1170="")</f>
        <v>0</v>
      </c>
      <c r="Q1170">
        <f>B1170*(hospitalityq!Q1170="")</f>
        <v>0</v>
      </c>
      <c r="R1170">
        <f>B1170*(hospitalityq!R1170="")</f>
        <v>0</v>
      </c>
    </row>
    <row r="1171" spans="1:18" x14ac:dyDescent="0.25">
      <c r="A1171">
        <f t="shared" si="19"/>
        <v>0</v>
      </c>
      <c r="B1171" t="b">
        <f>SUMPRODUCT(LEN(hospitalityq!C1171:R1171))&gt;0</f>
        <v>0</v>
      </c>
      <c r="C1171">
        <f>B1171*(hospitalityq!C1171="")</f>
        <v>0</v>
      </c>
      <c r="E1171">
        <f>B1171*(hospitalityq!E1171="")</f>
        <v>0</v>
      </c>
      <c r="F1171">
        <f>B1171*(hospitalityq!F1171="")</f>
        <v>0</v>
      </c>
      <c r="G1171">
        <f>B1171*(hospitalityq!G1171="")</f>
        <v>0</v>
      </c>
      <c r="H1171">
        <f>B1171*(hospitalityq!H1171="")</f>
        <v>0</v>
      </c>
      <c r="I1171">
        <f>B1171*(hospitalityq!I1171="")</f>
        <v>0</v>
      </c>
      <c r="J1171">
        <f>B1171*(hospitalityq!J1171="")</f>
        <v>0</v>
      </c>
      <c r="K1171">
        <f>B1171*(hospitalityq!K1171="")</f>
        <v>0</v>
      </c>
      <c r="L1171">
        <f>B1171*(hospitalityq!L1171="")</f>
        <v>0</v>
      </c>
      <c r="M1171">
        <f>B1171*(hospitalityq!M1171="")</f>
        <v>0</v>
      </c>
      <c r="N1171">
        <f>B1171*(hospitalityq!N1171="")</f>
        <v>0</v>
      </c>
      <c r="O1171">
        <f>B1171*(hospitalityq!O1171="")</f>
        <v>0</v>
      </c>
      <c r="P1171">
        <f>B1171*(hospitalityq!P1171="")</f>
        <v>0</v>
      </c>
      <c r="Q1171">
        <f>B1171*(hospitalityq!Q1171="")</f>
        <v>0</v>
      </c>
      <c r="R1171">
        <f>B1171*(hospitalityq!R1171="")</f>
        <v>0</v>
      </c>
    </row>
    <row r="1172" spans="1:18" x14ac:dyDescent="0.25">
      <c r="A1172">
        <f t="shared" si="19"/>
        <v>0</v>
      </c>
      <c r="B1172" t="b">
        <f>SUMPRODUCT(LEN(hospitalityq!C1172:R1172))&gt;0</f>
        <v>0</v>
      </c>
      <c r="C1172">
        <f>B1172*(hospitalityq!C1172="")</f>
        <v>0</v>
      </c>
      <c r="E1172">
        <f>B1172*(hospitalityq!E1172="")</f>
        <v>0</v>
      </c>
      <c r="F1172">
        <f>B1172*(hospitalityq!F1172="")</f>
        <v>0</v>
      </c>
      <c r="G1172">
        <f>B1172*(hospitalityq!G1172="")</f>
        <v>0</v>
      </c>
      <c r="H1172">
        <f>B1172*(hospitalityq!H1172="")</f>
        <v>0</v>
      </c>
      <c r="I1172">
        <f>B1172*(hospitalityq!I1172="")</f>
        <v>0</v>
      </c>
      <c r="J1172">
        <f>B1172*(hospitalityq!J1172="")</f>
        <v>0</v>
      </c>
      <c r="K1172">
        <f>B1172*(hospitalityq!K1172="")</f>
        <v>0</v>
      </c>
      <c r="L1172">
        <f>B1172*(hospitalityq!L1172="")</f>
        <v>0</v>
      </c>
      <c r="M1172">
        <f>B1172*(hospitalityq!M1172="")</f>
        <v>0</v>
      </c>
      <c r="N1172">
        <f>B1172*(hospitalityq!N1172="")</f>
        <v>0</v>
      </c>
      <c r="O1172">
        <f>B1172*(hospitalityq!O1172="")</f>
        <v>0</v>
      </c>
      <c r="P1172">
        <f>B1172*(hospitalityq!P1172="")</f>
        <v>0</v>
      </c>
      <c r="Q1172">
        <f>B1172*(hospitalityq!Q1172="")</f>
        <v>0</v>
      </c>
      <c r="R1172">
        <f>B1172*(hospitalityq!R1172="")</f>
        <v>0</v>
      </c>
    </row>
    <row r="1173" spans="1:18" x14ac:dyDescent="0.25">
      <c r="A1173">
        <f t="shared" si="19"/>
        <v>0</v>
      </c>
      <c r="B1173" t="b">
        <f>SUMPRODUCT(LEN(hospitalityq!C1173:R1173))&gt;0</f>
        <v>0</v>
      </c>
      <c r="C1173">
        <f>B1173*(hospitalityq!C1173="")</f>
        <v>0</v>
      </c>
      <c r="E1173">
        <f>B1173*(hospitalityq!E1173="")</f>
        <v>0</v>
      </c>
      <c r="F1173">
        <f>B1173*(hospitalityq!F1173="")</f>
        <v>0</v>
      </c>
      <c r="G1173">
        <f>B1173*(hospitalityq!G1173="")</f>
        <v>0</v>
      </c>
      <c r="H1173">
        <f>B1173*(hospitalityq!H1173="")</f>
        <v>0</v>
      </c>
      <c r="I1173">
        <f>B1173*(hospitalityq!I1173="")</f>
        <v>0</v>
      </c>
      <c r="J1173">
        <f>B1173*(hospitalityq!J1173="")</f>
        <v>0</v>
      </c>
      <c r="K1173">
        <f>B1173*(hospitalityq!K1173="")</f>
        <v>0</v>
      </c>
      <c r="L1173">
        <f>B1173*(hospitalityq!L1173="")</f>
        <v>0</v>
      </c>
      <c r="M1173">
        <f>B1173*(hospitalityq!M1173="")</f>
        <v>0</v>
      </c>
      <c r="N1173">
        <f>B1173*(hospitalityq!N1173="")</f>
        <v>0</v>
      </c>
      <c r="O1173">
        <f>B1173*(hospitalityq!O1173="")</f>
        <v>0</v>
      </c>
      <c r="P1173">
        <f>B1173*(hospitalityq!P1173="")</f>
        <v>0</v>
      </c>
      <c r="Q1173">
        <f>B1173*(hospitalityq!Q1173="")</f>
        <v>0</v>
      </c>
      <c r="R1173">
        <f>B1173*(hospitalityq!R1173="")</f>
        <v>0</v>
      </c>
    </row>
    <row r="1174" spans="1:18" x14ac:dyDescent="0.25">
      <c r="A1174">
        <f t="shared" si="19"/>
        <v>0</v>
      </c>
      <c r="B1174" t="b">
        <f>SUMPRODUCT(LEN(hospitalityq!C1174:R1174))&gt;0</f>
        <v>0</v>
      </c>
      <c r="C1174">
        <f>B1174*(hospitalityq!C1174="")</f>
        <v>0</v>
      </c>
      <c r="E1174">
        <f>B1174*(hospitalityq!E1174="")</f>
        <v>0</v>
      </c>
      <c r="F1174">
        <f>B1174*(hospitalityq!F1174="")</f>
        <v>0</v>
      </c>
      <c r="G1174">
        <f>B1174*(hospitalityq!G1174="")</f>
        <v>0</v>
      </c>
      <c r="H1174">
        <f>B1174*(hospitalityq!H1174="")</f>
        <v>0</v>
      </c>
      <c r="I1174">
        <f>B1174*(hospitalityq!I1174="")</f>
        <v>0</v>
      </c>
      <c r="J1174">
        <f>B1174*(hospitalityq!J1174="")</f>
        <v>0</v>
      </c>
      <c r="K1174">
        <f>B1174*(hospitalityq!K1174="")</f>
        <v>0</v>
      </c>
      <c r="L1174">
        <f>B1174*(hospitalityq!L1174="")</f>
        <v>0</v>
      </c>
      <c r="M1174">
        <f>B1174*(hospitalityq!M1174="")</f>
        <v>0</v>
      </c>
      <c r="N1174">
        <f>B1174*(hospitalityq!N1174="")</f>
        <v>0</v>
      </c>
      <c r="O1174">
        <f>B1174*(hospitalityq!O1174="")</f>
        <v>0</v>
      </c>
      <c r="P1174">
        <f>B1174*(hospitalityq!P1174="")</f>
        <v>0</v>
      </c>
      <c r="Q1174">
        <f>B1174*(hospitalityq!Q1174="")</f>
        <v>0</v>
      </c>
      <c r="R1174">
        <f>B1174*(hospitalityq!R1174="")</f>
        <v>0</v>
      </c>
    </row>
    <row r="1175" spans="1:18" x14ac:dyDescent="0.25">
      <c r="A1175">
        <f t="shared" si="19"/>
        <v>0</v>
      </c>
      <c r="B1175" t="b">
        <f>SUMPRODUCT(LEN(hospitalityq!C1175:R1175))&gt;0</f>
        <v>0</v>
      </c>
      <c r="C1175">
        <f>B1175*(hospitalityq!C1175="")</f>
        <v>0</v>
      </c>
      <c r="E1175">
        <f>B1175*(hospitalityq!E1175="")</f>
        <v>0</v>
      </c>
      <c r="F1175">
        <f>B1175*(hospitalityq!F1175="")</f>
        <v>0</v>
      </c>
      <c r="G1175">
        <f>B1175*(hospitalityq!G1175="")</f>
        <v>0</v>
      </c>
      <c r="H1175">
        <f>B1175*(hospitalityq!H1175="")</f>
        <v>0</v>
      </c>
      <c r="I1175">
        <f>B1175*(hospitalityq!I1175="")</f>
        <v>0</v>
      </c>
      <c r="J1175">
        <f>B1175*(hospitalityq!J1175="")</f>
        <v>0</v>
      </c>
      <c r="K1175">
        <f>B1175*(hospitalityq!K1175="")</f>
        <v>0</v>
      </c>
      <c r="L1175">
        <f>B1175*(hospitalityq!L1175="")</f>
        <v>0</v>
      </c>
      <c r="M1175">
        <f>B1175*(hospitalityq!M1175="")</f>
        <v>0</v>
      </c>
      <c r="N1175">
        <f>B1175*(hospitalityq!N1175="")</f>
        <v>0</v>
      </c>
      <c r="O1175">
        <f>B1175*(hospitalityq!O1175="")</f>
        <v>0</v>
      </c>
      <c r="P1175">
        <f>B1175*(hospitalityq!P1175="")</f>
        <v>0</v>
      </c>
      <c r="Q1175">
        <f>B1175*(hospitalityq!Q1175="")</f>
        <v>0</v>
      </c>
      <c r="R1175">
        <f>B1175*(hospitalityq!R1175="")</f>
        <v>0</v>
      </c>
    </row>
    <row r="1176" spans="1:18" x14ac:dyDescent="0.25">
      <c r="A1176">
        <f t="shared" si="19"/>
        <v>0</v>
      </c>
      <c r="B1176" t="b">
        <f>SUMPRODUCT(LEN(hospitalityq!C1176:R1176))&gt;0</f>
        <v>0</v>
      </c>
      <c r="C1176">
        <f>B1176*(hospitalityq!C1176="")</f>
        <v>0</v>
      </c>
      <c r="E1176">
        <f>B1176*(hospitalityq!E1176="")</f>
        <v>0</v>
      </c>
      <c r="F1176">
        <f>B1176*(hospitalityq!F1176="")</f>
        <v>0</v>
      </c>
      <c r="G1176">
        <f>B1176*(hospitalityq!G1176="")</f>
        <v>0</v>
      </c>
      <c r="H1176">
        <f>B1176*(hospitalityq!H1176="")</f>
        <v>0</v>
      </c>
      <c r="I1176">
        <f>B1176*(hospitalityq!I1176="")</f>
        <v>0</v>
      </c>
      <c r="J1176">
        <f>B1176*(hospitalityq!J1176="")</f>
        <v>0</v>
      </c>
      <c r="K1176">
        <f>B1176*(hospitalityq!K1176="")</f>
        <v>0</v>
      </c>
      <c r="L1176">
        <f>B1176*(hospitalityq!L1176="")</f>
        <v>0</v>
      </c>
      <c r="M1176">
        <f>B1176*(hospitalityq!M1176="")</f>
        <v>0</v>
      </c>
      <c r="N1176">
        <f>B1176*(hospitalityq!N1176="")</f>
        <v>0</v>
      </c>
      <c r="O1176">
        <f>B1176*(hospitalityq!O1176="")</f>
        <v>0</v>
      </c>
      <c r="P1176">
        <f>B1176*(hospitalityq!P1176="")</f>
        <v>0</v>
      </c>
      <c r="Q1176">
        <f>B1176*(hospitalityq!Q1176="")</f>
        <v>0</v>
      </c>
      <c r="R1176">
        <f>B1176*(hospitalityq!R1176="")</f>
        <v>0</v>
      </c>
    </row>
    <row r="1177" spans="1:18" x14ac:dyDescent="0.25">
      <c r="A1177">
        <f t="shared" si="19"/>
        <v>0</v>
      </c>
      <c r="B1177" t="b">
        <f>SUMPRODUCT(LEN(hospitalityq!C1177:R1177))&gt;0</f>
        <v>0</v>
      </c>
      <c r="C1177">
        <f>B1177*(hospitalityq!C1177="")</f>
        <v>0</v>
      </c>
      <c r="E1177">
        <f>B1177*(hospitalityq!E1177="")</f>
        <v>0</v>
      </c>
      <c r="F1177">
        <f>B1177*(hospitalityq!F1177="")</f>
        <v>0</v>
      </c>
      <c r="G1177">
        <f>B1177*(hospitalityq!G1177="")</f>
        <v>0</v>
      </c>
      <c r="H1177">
        <f>B1177*(hospitalityq!H1177="")</f>
        <v>0</v>
      </c>
      <c r="I1177">
        <f>B1177*(hospitalityq!I1177="")</f>
        <v>0</v>
      </c>
      <c r="J1177">
        <f>B1177*(hospitalityq!J1177="")</f>
        <v>0</v>
      </c>
      <c r="K1177">
        <f>B1177*(hospitalityq!K1177="")</f>
        <v>0</v>
      </c>
      <c r="L1177">
        <f>B1177*(hospitalityq!L1177="")</f>
        <v>0</v>
      </c>
      <c r="M1177">
        <f>B1177*(hospitalityq!M1177="")</f>
        <v>0</v>
      </c>
      <c r="N1177">
        <f>B1177*(hospitalityq!N1177="")</f>
        <v>0</v>
      </c>
      <c r="O1177">
        <f>B1177*(hospitalityq!O1177="")</f>
        <v>0</v>
      </c>
      <c r="P1177">
        <f>B1177*(hospitalityq!P1177="")</f>
        <v>0</v>
      </c>
      <c r="Q1177">
        <f>B1177*(hospitalityq!Q1177="")</f>
        <v>0</v>
      </c>
      <c r="R1177">
        <f>B1177*(hospitalityq!R1177="")</f>
        <v>0</v>
      </c>
    </row>
    <row r="1178" spans="1:18" x14ac:dyDescent="0.25">
      <c r="A1178">
        <f t="shared" si="19"/>
        <v>0</v>
      </c>
      <c r="B1178" t="b">
        <f>SUMPRODUCT(LEN(hospitalityq!C1178:R1178))&gt;0</f>
        <v>0</v>
      </c>
      <c r="C1178">
        <f>B1178*(hospitalityq!C1178="")</f>
        <v>0</v>
      </c>
      <c r="E1178">
        <f>B1178*(hospitalityq!E1178="")</f>
        <v>0</v>
      </c>
      <c r="F1178">
        <f>B1178*(hospitalityq!F1178="")</f>
        <v>0</v>
      </c>
      <c r="G1178">
        <f>B1178*(hospitalityq!G1178="")</f>
        <v>0</v>
      </c>
      <c r="H1178">
        <f>B1178*(hospitalityq!H1178="")</f>
        <v>0</v>
      </c>
      <c r="I1178">
        <f>B1178*(hospitalityq!I1178="")</f>
        <v>0</v>
      </c>
      <c r="J1178">
        <f>B1178*(hospitalityq!J1178="")</f>
        <v>0</v>
      </c>
      <c r="K1178">
        <f>B1178*(hospitalityq!K1178="")</f>
        <v>0</v>
      </c>
      <c r="L1178">
        <f>B1178*(hospitalityq!L1178="")</f>
        <v>0</v>
      </c>
      <c r="M1178">
        <f>B1178*(hospitalityq!M1178="")</f>
        <v>0</v>
      </c>
      <c r="N1178">
        <f>B1178*(hospitalityq!N1178="")</f>
        <v>0</v>
      </c>
      <c r="O1178">
        <f>B1178*(hospitalityq!O1178="")</f>
        <v>0</v>
      </c>
      <c r="P1178">
        <f>B1178*(hospitalityq!P1178="")</f>
        <v>0</v>
      </c>
      <c r="Q1178">
        <f>B1178*(hospitalityq!Q1178="")</f>
        <v>0</v>
      </c>
      <c r="R1178">
        <f>B1178*(hospitalityq!R1178="")</f>
        <v>0</v>
      </c>
    </row>
    <row r="1179" spans="1:18" x14ac:dyDescent="0.25">
      <c r="A1179">
        <f t="shared" si="19"/>
        <v>0</v>
      </c>
      <c r="B1179" t="b">
        <f>SUMPRODUCT(LEN(hospitalityq!C1179:R1179))&gt;0</f>
        <v>0</v>
      </c>
      <c r="C1179">
        <f>B1179*(hospitalityq!C1179="")</f>
        <v>0</v>
      </c>
      <c r="E1179">
        <f>B1179*(hospitalityq!E1179="")</f>
        <v>0</v>
      </c>
      <c r="F1179">
        <f>B1179*(hospitalityq!F1179="")</f>
        <v>0</v>
      </c>
      <c r="G1179">
        <f>B1179*(hospitalityq!G1179="")</f>
        <v>0</v>
      </c>
      <c r="H1179">
        <f>B1179*(hospitalityq!H1179="")</f>
        <v>0</v>
      </c>
      <c r="I1179">
        <f>B1179*(hospitalityq!I1179="")</f>
        <v>0</v>
      </c>
      <c r="J1179">
        <f>B1179*(hospitalityq!J1179="")</f>
        <v>0</v>
      </c>
      <c r="K1179">
        <f>B1179*(hospitalityq!K1179="")</f>
        <v>0</v>
      </c>
      <c r="L1179">
        <f>B1179*(hospitalityq!L1179="")</f>
        <v>0</v>
      </c>
      <c r="M1179">
        <f>B1179*(hospitalityq!M1179="")</f>
        <v>0</v>
      </c>
      <c r="N1179">
        <f>B1179*(hospitalityq!N1179="")</f>
        <v>0</v>
      </c>
      <c r="O1179">
        <f>B1179*(hospitalityq!O1179="")</f>
        <v>0</v>
      </c>
      <c r="P1179">
        <f>B1179*(hospitalityq!P1179="")</f>
        <v>0</v>
      </c>
      <c r="Q1179">
        <f>B1179*(hospitalityq!Q1179="")</f>
        <v>0</v>
      </c>
      <c r="R1179">
        <f>B1179*(hospitalityq!R1179="")</f>
        <v>0</v>
      </c>
    </row>
    <row r="1180" spans="1:18" x14ac:dyDescent="0.25">
      <c r="A1180">
        <f t="shared" si="19"/>
        <v>0</v>
      </c>
      <c r="B1180" t="b">
        <f>SUMPRODUCT(LEN(hospitalityq!C1180:R1180))&gt;0</f>
        <v>0</v>
      </c>
      <c r="C1180">
        <f>B1180*(hospitalityq!C1180="")</f>
        <v>0</v>
      </c>
      <c r="E1180">
        <f>B1180*(hospitalityq!E1180="")</f>
        <v>0</v>
      </c>
      <c r="F1180">
        <f>B1180*(hospitalityq!F1180="")</f>
        <v>0</v>
      </c>
      <c r="G1180">
        <f>B1180*(hospitalityq!G1180="")</f>
        <v>0</v>
      </c>
      <c r="H1180">
        <f>B1180*(hospitalityq!H1180="")</f>
        <v>0</v>
      </c>
      <c r="I1180">
        <f>B1180*(hospitalityq!I1180="")</f>
        <v>0</v>
      </c>
      <c r="J1180">
        <f>B1180*(hospitalityq!J1180="")</f>
        <v>0</v>
      </c>
      <c r="K1180">
        <f>B1180*(hospitalityq!K1180="")</f>
        <v>0</v>
      </c>
      <c r="L1180">
        <f>B1180*(hospitalityq!L1180="")</f>
        <v>0</v>
      </c>
      <c r="M1180">
        <f>B1180*(hospitalityq!M1180="")</f>
        <v>0</v>
      </c>
      <c r="N1180">
        <f>B1180*(hospitalityq!N1180="")</f>
        <v>0</v>
      </c>
      <c r="O1180">
        <f>B1180*(hospitalityq!O1180="")</f>
        <v>0</v>
      </c>
      <c r="P1180">
        <f>B1180*(hospitalityq!P1180="")</f>
        <v>0</v>
      </c>
      <c r="Q1180">
        <f>B1180*(hospitalityq!Q1180="")</f>
        <v>0</v>
      </c>
      <c r="R1180">
        <f>B1180*(hospitalityq!R1180="")</f>
        <v>0</v>
      </c>
    </row>
    <row r="1181" spans="1:18" x14ac:dyDescent="0.25">
      <c r="A1181">
        <f t="shared" si="19"/>
        <v>0</v>
      </c>
      <c r="B1181" t="b">
        <f>SUMPRODUCT(LEN(hospitalityq!C1181:R1181))&gt;0</f>
        <v>0</v>
      </c>
      <c r="C1181">
        <f>B1181*(hospitalityq!C1181="")</f>
        <v>0</v>
      </c>
      <c r="E1181">
        <f>B1181*(hospitalityq!E1181="")</f>
        <v>0</v>
      </c>
      <c r="F1181">
        <f>B1181*(hospitalityq!F1181="")</f>
        <v>0</v>
      </c>
      <c r="G1181">
        <f>B1181*(hospitalityq!G1181="")</f>
        <v>0</v>
      </c>
      <c r="H1181">
        <f>B1181*(hospitalityq!H1181="")</f>
        <v>0</v>
      </c>
      <c r="I1181">
        <f>B1181*(hospitalityq!I1181="")</f>
        <v>0</v>
      </c>
      <c r="J1181">
        <f>B1181*(hospitalityq!J1181="")</f>
        <v>0</v>
      </c>
      <c r="K1181">
        <f>B1181*(hospitalityq!K1181="")</f>
        <v>0</v>
      </c>
      <c r="L1181">
        <f>B1181*(hospitalityq!L1181="")</f>
        <v>0</v>
      </c>
      <c r="M1181">
        <f>B1181*(hospitalityq!M1181="")</f>
        <v>0</v>
      </c>
      <c r="N1181">
        <f>B1181*(hospitalityq!N1181="")</f>
        <v>0</v>
      </c>
      <c r="O1181">
        <f>B1181*(hospitalityq!O1181="")</f>
        <v>0</v>
      </c>
      <c r="P1181">
        <f>B1181*(hospitalityq!P1181="")</f>
        <v>0</v>
      </c>
      <c r="Q1181">
        <f>B1181*(hospitalityq!Q1181="")</f>
        <v>0</v>
      </c>
      <c r="R1181">
        <f>B1181*(hospitalityq!R1181="")</f>
        <v>0</v>
      </c>
    </row>
    <row r="1182" spans="1:18" x14ac:dyDescent="0.25">
      <c r="A1182">
        <f t="shared" si="19"/>
        <v>0</v>
      </c>
      <c r="B1182" t="b">
        <f>SUMPRODUCT(LEN(hospitalityq!C1182:R1182))&gt;0</f>
        <v>0</v>
      </c>
      <c r="C1182">
        <f>B1182*(hospitalityq!C1182="")</f>
        <v>0</v>
      </c>
      <c r="E1182">
        <f>B1182*(hospitalityq!E1182="")</f>
        <v>0</v>
      </c>
      <c r="F1182">
        <f>B1182*(hospitalityq!F1182="")</f>
        <v>0</v>
      </c>
      <c r="G1182">
        <f>B1182*(hospitalityq!G1182="")</f>
        <v>0</v>
      </c>
      <c r="H1182">
        <f>B1182*(hospitalityq!H1182="")</f>
        <v>0</v>
      </c>
      <c r="I1182">
        <f>B1182*(hospitalityq!I1182="")</f>
        <v>0</v>
      </c>
      <c r="J1182">
        <f>B1182*(hospitalityq!J1182="")</f>
        <v>0</v>
      </c>
      <c r="K1182">
        <f>B1182*(hospitalityq!K1182="")</f>
        <v>0</v>
      </c>
      <c r="L1182">
        <f>B1182*(hospitalityq!L1182="")</f>
        <v>0</v>
      </c>
      <c r="M1182">
        <f>B1182*(hospitalityq!M1182="")</f>
        <v>0</v>
      </c>
      <c r="N1182">
        <f>B1182*(hospitalityq!N1182="")</f>
        <v>0</v>
      </c>
      <c r="O1182">
        <f>B1182*(hospitalityq!O1182="")</f>
        <v>0</v>
      </c>
      <c r="P1182">
        <f>B1182*(hospitalityq!P1182="")</f>
        <v>0</v>
      </c>
      <c r="Q1182">
        <f>B1182*(hospitalityq!Q1182="")</f>
        <v>0</v>
      </c>
      <c r="R1182">
        <f>B1182*(hospitalityq!R1182="")</f>
        <v>0</v>
      </c>
    </row>
    <row r="1183" spans="1:18" x14ac:dyDescent="0.25">
      <c r="A1183">
        <f t="shared" si="19"/>
        <v>0</v>
      </c>
      <c r="B1183" t="b">
        <f>SUMPRODUCT(LEN(hospitalityq!C1183:R1183))&gt;0</f>
        <v>0</v>
      </c>
      <c r="C1183">
        <f>B1183*(hospitalityq!C1183="")</f>
        <v>0</v>
      </c>
      <c r="E1183">
        <f>B1183*(hospitalityq!E1183="")</f>
        <v>0</v>
      </c>
      <c r="F1183">
        <f>B1183*(hospitalityq!F1183="")</f>
        <v>0</v>
      </c>
      <c r="G1183">
        <f>B1183*(hospitalityq!G1183="")</f>
        <v>0</v>
      </c>
      <c r="H1183">
        <f>B1183*(hospitalityq!H1183="")</f>
        <v>0</v>
      </c>
      <c r="I1183">
        <f>B1183*(hospitalityq!I1183="")</f>
        <v>0</v>
      </c>
      <c r="J1183">
        <f>B1183*(hospitalityq!J1183="")</f>
        <v>0</v>
      </c>
      <c r="K1183">
        <f>B1183*(hospitalityq!K1183="")</f>
        <v>0</v>
      </c>
      <c r="L1183">
        <f>B1183*(hospitalityq!L1183="")</f>
        <v>0</v>
      </c>
      <c r="M1183">
        <f>B1183*(hospitalityq!M1183="")</f>
        <v>0</v>
      </c>
      <c r="N1183">
        <f>B1183*(hospitalityq!N1183="")</f>
        <v>0</v>
      </c>
      <c r="O1183">
        <f>B1183*(hospitalityq!O1183="")</f>
        <v>0</v>
      </c>
      <c r="P1183">
        <f>B1183*(hospitalityq!P1183="")</f>
        <v>0</v>
      </c>
      <c r="Q1183">
        <f>B1183*(hospitalityq!Q1183="")</f>
        <v>0</v>
      </c>
      <c r="R1183">
        <f>B1183*(hospitalityq!R1183="")</f>
        <v>0</v>
      </c>
    </row>
    <row r="1184" spans="1:18" x14ac:dyDescent="0.25">
      <c r="A1184">
        <f t="shared" si="19"/>
        <v>0</v>
      </c>
      <c r="B1184" t="b">
        <f>SUMPRODUCT(LEN(hospitalityq!C1184:R1184))&gt;0</f>
        <v>0</v>
      </c>
      <c r="C1184">
        <f>B1184*(hospitalityq!C1184="")</f>
        <v>0</v>
      </c>
      <c r="E1184">
        <f>B1184*(hospitalityq!E1184="")</f>
        <v>0</v>
      </c>
      <c r="F1184">
        <f>B1184*(hospitalityq!F1184="")</f>
        <v>0</v>
      </c>
      <c r="G1184">
        <f>B1184*(hospitalityq!G1184="")</f>
        <v>0</v>
      </c>
      <c r="H1184">
        <f>B1184*(hospitalityq!H1184="")</f>
        <v>0</v>
      </c>
      <c r="I1184">
        <f>B1184*(hospitalityq!I1184="")</f>
        <v>0</v>
      </c>
      <c r="J1184">
        <f>B1184*(hospitalityq!J1184="")</f>
        <v>0</v>
      </c>
      <c r="K1184">
        <f>B1184*(hospitalityq!K1184="")</f>
        <v>0</v>
      </c>
      <c r="L1184">
        <f>B1184*(hospitalityq!L1184="")</f>
        <v>0</v>
      </c>
      <c r="M1184">
        <f>B1184*(hospitalityq!M1184="")</f>
        <v>0</v>
      </c>
      <c r="N1184">
        <f>B1184*(hospitalityq!N1184="")</f>
        <v>0</v>
      </c>
      <c r="O1184">
        <f>B1184*(hospitalityq!O1184="")</f>
        <v>0</v>
      </c>
      <c r="P1184">
        <f>B1184*(hospitalityq!P1184="")</f>
        <v>0</v>
      </c>
      <c r="Q1184">
        <f>B1184*(hospitalityq!Q1184="")</f>
        <v>0</v>
      </c>
      <c r="R1184">
        <f>B1184*(hospitalityq!R1184="")</f>
        <v>0</v>
      </c>
    </row>
    <row r="1185" spans="1:18" x14ac:dyDescent="0.25">
      <c r="A1185">
        <f t="shared" si="19"/>
        <v>0</v>
      </c>
      <c r="B1185" t="b">
        <f>SUMPRODUCT(LEN(hospitalityq!C1185:R1185))&gt;0</f>
        <v>0</v>
      </c>
      <c r="C1185">
        <f>B1185*(hospitalityq!C1185="")</f>
        <v>0</v>
      </c>
      <c r="E1185">
        <f>B1185*(hospitalityq!E1185="")</f>
        <v>0</v>
      </c>
      <c r="F1185">
        <f>B1185*(hospitalityq!F1185="")</f>
        <v>0</v>
      </c>
      <c r="G1185">
        <f>B1185*(hospitalityq!G1185="")</f>
        <v>0</v>
      </c>
      <c r="H1185">
        <f>B1185*(hospitalityq!H1185="")</f>
        <v>0</v>
      </c>
      <c r="I1185">
        <f>B1185*(hospitalityq!I1185="")</f>
        <v>0</v>
      </c>
      <c r="J1185">
        <f>B1185*(hospitalityq!J1185="")</f>
        <v>0</v>
      </c>
      <c r="K1185">
        <f>B1185*(hospitalityq!K1185="")</f>
        <v>0</v>
      </c>
      <c r="L1185">
        <f>B1185*(hospitalityq!L1185="")</f>
        <v>0</v>
      </c>
      <c r="M1185">
        <f>B1185*(hospitalityq!M1185="")</f>
        <v>0</v>
      </c>
      <c r="N1185">
        <f>B1185*(hospitalityq!N1185="")</f>
        <v>0</v>
      </c>
      <c r="O1185">
        <f>B1185*(hospitalityq!O1185="")</f>
        <v>0</v>
      </c>
      <c r="P1185">
        <f>B1185*(hospitalityq!P1185="")</f>
        <v>0</v>
      </c>
      <c r="Q1185">
        <f>B1185*(hospitalityq!Q1185="")</f>
        <v>0</v>
      </c>
      <c r="R1185">
        <f>B1185*(hospitalityq!R1185="")</f>
        <v>0</v>
      </c>
    </row>
    <row r="1186" spans="1:18" x14ac:dyDescent="0.25">
      <c r="A1186">
        <f t="shared" si="19"/>
        <v>0</v>
      </c>
      <c r="B1186" t="b">
        <f>SUMPRODUCT(LEN(hospitalityq!C1186:R1186))&gt;0</f>
        <v>0</v>
      </c>
      <c r="C1186">
        <f>B1186*(hospitalityq!C1186="")</f>
        <v>0</v>
      </c>
      <c r="E1186">
        <f>B1186*(hospitalityq!E1186="")</f>
        <v>0</v>
      </c>
      <c r="F1186">
        <f>B1186*(hospitalityq!F1186="")</f>
        <v>0</v>
      </c>
      <c r="G1186">
        <f>B1186*(hospitalityq!G1186="")</f>
        <v>0</v>
      </c>
      <c r="H1186">
        <f>B1186*(hospitalityq!H1186="")</f>
        <v>0</v>
      </c>
      <c r="I1186">
        <f>B1186*(hospitalityq!I1186="")</f>
        <v>0</v>
      </c>
      <c r="J1186">
        <f>B1186*(hospitalityq!J1186="")</f>
        <v>0</v>
      </c>
      <c r="K1186">
        <f>B1186*(hospitalityq!K1186="")</f>
        <v>0</v>
      </c>
      <c r="L1186">
        <f>B1186*(hospitalityq!L1186="")</f>
        <v>0</v>
      </c>
      <c r="M1186">
        <f>B1186*(hospitalityq!M1186="")</f>
        <v>0</v>
      </c>
      <c r="N1186">
        <f>B1186*(hospitalityq!N1186="")</f>
        <v>0</v>
      </c>
      <c r="O1186">
        <f>B1186*(hospitalityq!O1186="")</f>
        <v>0</v>
      </c>
      <c r="P1186">
        <f>B1186*(hospitalityq!P1186="")</f>
        <v>0</v>
      </c>
      <c r="Q1186">
        <f>B1186*(hospitalityq!Q1186="")</f>
        <v>0</v>
      </c>
      <c r="R1186">
        <f>B1186*(hospitalityq!R1186="")</f>
        <v>0</v>
      </c>
    </row>
    <row r="1187" spans="1:18" x14ac:dyDescent="0.25">
      <c r="A1187">
        <f t="shared" si="19"/>
        <v>0</v>
      </c>
      <c r="B1187" t="b">
        <f>SUMPRODUCT(LEN(hospitalityq!C1187:R1187))&gt;0</f>
        <v>0</v>
      </c>
      <c r="C1187">
        <f>B1187*(hospitalityq!C1187="")</f>
        <v>0</v>
      </c>
      <c r="E1187">
        <f>B1187*(hospitalityq!E1187="")</f>
        <v>0</v>
      </c>
      <c r="F1187">
        <f>B1187*(hospitalityq!F1187="")</f>
        <v>0</v>
      </c>
      <c r="G1187">
        <f>B1187*(hospitalityq!G1187="")</f>
        <v>0</v>
      </c>
      <c r="H1187">
        <f>B1187*(hospitalityq!H1187="")</f>
        <v>0</v>
      </c>
      <c r="I1187">
        <f>B1187*(hospitalityq!I1187="")</f>
        <v>0</v>
      </c>
      <c r="J1187">
        <f>B1187*(hospitalityq!J1187="")</f>
        <v>0</v>
      </c>
      <c r="K1187">
        <f>B1187*(hospitalityq!K1187="")</f>
        <v>0</v>
      </c>
      <c r="L1187">
        <f>B1187*(hospitalityq!L1187="")</f>
        <v>0</v>
      </c>
      <c r="M1187">
        <f>B1187*(hospitalityq!M1187="")</f>
        <v>0</v>
      </c>
      <c r="N1187">
        <f>B1187*(hospitalityq!N1187="")</f>
        <v>0</v>
      </c>
      <c r="O1187">
        <f>B1187*(hospitalityq!O1187="")</f>
        <v>0</v>
      </c>
      <c r="P1187">
        <f>B1187*(hospitalityq!P1187="")</f>
        <v>0</v>
      </c>
      <c r="Q1187">
        <f>B1187*(hospitalityq!Q1187="")</f>
        <v>0</v>
      </c>
      <c r="R1187">
        <f>B1187*(hospitalityq!R1187="")</f>
        <v>0</v>
      </c>
    </row>
    <row r="1188" spans="1:18" x14ac:dyDescent="0.25">
      <c r="A1188">
        <f t="shared" si="19"/>
        <v>0</v>
      </c>
      <c r="B1188" t="b">
        <f>SUMPRODUCT(LEN(hospitalityq!C1188:R1188))&gt;0</f>
        <v>0</v>
      </c>
      <c r="C1188">
        <f>B1188*(hospitalityq!C1188="")</f>
        <v>0</v>
      </c>
      <c r="E1188">
        <f>B1188*(hospitalityq!E1188="")</f>
        <v>0</v>
      </c>
      <c r="F1188">
        <f>B1188*(hospitalityq!F1188="")</f>
        <v>0</v>
      </c>
      <c r="G1188">
        <f>B1188*(hospitalityq!G1188="")</f>
        <v>0</v>
      </c>
      <c r="H1188">
        <f>B1188*(hospitalityq!H1188="")</f>
        <v>0</v>
      </c>
      <c r="I1188">
        <f>B1188*(hospitalityq!I1188="")</f>
        <v>0</v>
      </c>
      <c r="J1188">
        <f>B1188*(hospitalityq!J1188="")</f>
        <v>0</v>
      </c>
      <c r="K1188">
        <f>B1188*(hospitalityq!K1188="")</f>
        <v>0</v>
      </c>
      <c r="L1188">
        <f>B1188*(hospitalityq!L1188="")</f>
        <v>0</v>
      </c>
      <c r="M1188">
        <f>B1188*(hospitalityq!M1188="")</f>
        <v>0</v>
      </c>
      <c r="N1188">
        <f>B1188*(hospitalityq!N1188="")</f>
        <v>0</v>
      </c>
      <c r="O1188">
        <f>B1188*(hospitalityq!O1188="")</f>
        <v>0</v>
      </c>
      <c r="P1188">
        <f>B1188*(hospitalityq!P1188="")</f>
        <v>0</v>
      </c>
      <c r="Q1188">
        <f>B1188*(hospitalityq!Q1188="")</f>
        <v>0</v>
      </c>
      <c r="R1188">
        <f>B1188*(hospitalityq!R1188="")</f>
        <v>0</v>
      </c>
    </row>
    <row r="1189" spans="1:18" x14ac:dyDescent="0.25">
      <c r="A1189">
        <f t="shared" si="19"/>
        <v>0</v>
      </c>
      <c r="B1189" t="b">
        <f>SUMPRODUCT(LEN(hospitalityq!C1189:R1189))&gt;0</f>
        <v>0</v>
      </c>
      <c r="C1189">
        <f>B1189*(hospitalityq!C1189="")</f>
        <v>0</v>
      </c>
      <c r="E1189">
        <f>B1189*(hospitalityq!E1189="")</f>
        <v>0</v>
      </c>
      <c r="F1189">
        <f>B1189*(hospitalityq!F1189="")</f>
        <v>0</v>
      </c>
      <c r="G1189">
        <f>B1189*(hospitalityq!G1189="")</f>
        <v>0</v>
      </c>
      <c r="H1189">
        <f>B1189*(hospitalityq!H1189="")</f>
        <v>0</v>
      </c>
      <c r="I1189">
        <f>B1189*(hospitalityq!I1189="")</f>
        <v>0</v>
      </c>
      <c r="J1189">
        <f>B1189*(hospitalityq!J1189="")</f>
        <v>0</v>
      </c>
      <c r="K1189">
        <f>B1189*(hospitalityq!K1189="")</f>
        <v>0</v>
      </c>
      <c r="L1189">
        <f>B1189*(hospitalityq!L1189="")</f>
        <v>0</v>
      </c>
      <c r="M1189">
        <f>B1189*(hospitalityq!M1189="")</f>
        <v>0</v>
      </c>
      <c r="N1189">
        <f>B1189*(hospitalityq!N1189="")</f>
        <v>0</v>
      </c>
      <c r="O1189">
        <f>B1189*(hospitalityq!O1189="")</f>
        <v>0</v>
      </c>
      <c r="P1189">
        <f>B1189*(hospitalityq!P1189="")</f>
        <v>0</v>
      </c>
      <c r="Q1189">
        <f>B1189*(hospitalityq!Q1189="")</f>
        <v>0</v>
      </c>
      <c r="R1189">
        <f>B1189*(hospitalityq!R1189="")</f>
        <v>0</v>
      </c>
    </row>
    <row r="1190" spans="1:18" x14ac:dyDescent="0.25">
      <c r="A1190">
        <f t="shared" si="19"/>
        <v>0</v>
      </c>
      <c r="B1190" t="b">
        <f>SUMPRODUCT(LEN(hospitalityq!C1190:R1190))&gt;0</f>
        <v>0</v>
      </c>
      <c r="C1190">
        <f>B1190*(hospitalityq!C1190="")</f>
        <v>0</v>
      </c>
      <c r="E1190">
        <f>B1190*(hospitalityq!E1190="")</f>
        <v>0</v>
      </c>
      <c r="F1190">
        <f>B1190*(hospitalityq!F1190="")</f>
        <v>0</v>
      </c>
      <c r="G1190">
        <f>B1190*(hospitalityq!G1190="")</f>
        <v>0</v>
      </c>
      <c r="H1190">
        <f>B1190*(hospitalityq!H1190="")</f>
        <v>0</v>
      </c>
      <c r="I1190">
        <f>B1190*(hospitalityq!I1190="")</f>
        <v>0</v>
      </c>
      <c r="J1190">
        <f>B1190*(hospitalityq!J1190="")</f>
        <v>0</v>
      </c>
      <c r="K1190">
        <f>B1190*(hospitalityq!K1190="")</f>
        <v>0</v>
      </c>
      <c r="L1190">
        <f>B1190*(hospitalityq!L1190="")</f>
        <v>0</v>
      </c>
      <c r="M1190">
        <f>B1190*(hospitalityq!M1190="")</f>
        <v>0</v>
      </c>
      <c r="N1190">
        <f>B1190*(hospitalityq!N1190="")</f>
        <v>0</v>
      </c>
      <c r="O1190">
        <f>B1190*(hospitalityq!O1190="")</f>
        <v>0</v>
      </c>
      <c r="P1190">
        <f>B1190*(hospitalityq!P1190="")</f>
        <v>0</v>
      </c>
      <c r="Q1190">
        <f>B1190*(hospitalityq!Q1190="")</f>
        <v>0</v>
      </c>
      <c r="R1190">
        <f>B1190*(hospitalityq!R1190="")</f>
        <v>0</v>
      </c>
    </row>
    <row r="1191" spans="1:18" x14ac:dyDescent="0.25">
      <c r="A1191">
        <f t="shared" si="19"/>
        <v>0</v>
      </c>
      <c r="B1191" t="b">
        <f>SUMPRODUCT(LEN(hospitalityq!C1191:R1191))&gt;0</f>
        <v>0</v>
      </c>
      <c r="C1191">
        <f>B1191*(hospitalityq!C1191="")</f>
        <v>0</v>
      </c>
      <c r="E1191">
        <f>B1191*(hospitalityq!E1191="")</f>
        <v>0</v>
      </c>
      <c r="F1191">
        <f>B1191*(hospitalityq!F1191="")</f>
        <v>0</v>
      </c>
      <c r="G1191">
        <f>B1191*(hospitalityq!G1191="")</f>
        <v>0</v>
      </c>
      <c r="H1191">
        <f>B1191*(hospitalityq!H1191="")</f>
        <v>0</v>
      </c>
      <c r="I1191">
        <f>B1191*(hospitalityq!I1191="")</f>
        <v>0</v>
      </c>
      <c r="J1191">
        <f>B1191*(hospitalityq!J1191="")</f>
        <v>0</v>
      </c>
      <c r="K1191">
        <f>B1191*(hospitalityq!K1191="")</f>
        <v>0</v>
      </c>
      <c r="L1191">
        <f>B1191*(hospitalityq!L1191="")</f>
        <v>0</v>
      </c>
      <c r="M1191">
        <f>B1191*(hospitalityq!M1191="")</f>
        <v>0</v>
      </c>
      <c r="N1191">
        <f>B1191*(hospitalityq!N1191="")</f>
        <v>0</v>
      </c>
      <c r="O1191">
        <f>B1191*(hospitalityq!O1191="")</f>
        <v>0</v>
      </c>
      <c r="P1191">
        <f>B1191*(hospitalityq!P1191="")</f>
        <v>0</v>
      </c>
      <c r="Q1191">
        <f>B1191*(hospitalityq!Q1191="")</f>
        <v>0</v>
      </c>
      <c r="R1191">
        <f>B1191*(hospitalityq!R1191="")</f>
        <v>0</v>
      </c>
    </row>
    <row r="1192" spans="1:18" x14ac:dyDescent="0.25">
      <c r="A1192">
        <f t="shared" si="19"/>
        <v>0</v>
      </c>
      <c r="B1192" t="b">
        <f>SUMPRODUCT(LEN(hospitalityq!C1192:R1192))&gt;0</f>
        <v>0</v>
      </c>
      <c r="C1192">
        <f>B1192*(hospitalityq!C1192="")</f>
        <v>0</v>
      </c>
      <c r="E1192">
        <f>B1192*(hospitalityq!E1192="")</f>
        <v>0</v>
      </c>
      <c r="F1192">
        <f>B1192*(hospitalityq!F1192="")</f>
        <v>0</v>
      </c>
      <c r="G1192">
        <f>B1192*(hospitalityq!G1192="")</f>
        <v>0</v>
      </c>
      <c r="H1192">
        <f>B1192*(hospitalityq!H1192="")</f>
        <v>0</v>
      </c>
      <c r="I1192">
        <f>B1192*(hospitalityq!I1192="")</f>
        <v>0</v>
      </c>
      <c r="J1192">
        <f>B1192*(hospitalityq!J1192="")</f>
        <v>0</v>
      </c>
      <c r="K1192">
        <f>B1192*(hospitalityq!K1192="")</f>
        <v>0</v>
      </c>
      <c r="L1192">
        <f>B1192*(hospitalityq!L1192="")</f>
        <v>0</v>
      </c>
      <c r="M1192">
        <f>B1192*(hospitalityq!M1192="")</f>
        <v>0</v>
      </c>
      <c r="N1192">
        <f>B1192*(hospitalityq!N1192="")</f>
        <v>0</v>
      </c>
      <c r="O1192">
        <f>B1192*(hospitalityq!O1192="")</f>
        <v>0</v>
      </c>
      <c r="P1192">
        <f>B1192*(hospitalityq!P1192="")</f>
        <v>0</v>
      </c>
      <c r="Q1192">
        <f>B1192*(hospitalityq!Q1192="")</f>
        <v>0</v>
      </c>
      <c r="R1192">
        <f>B1192*(hospitalityq!R1192="")</f>
        <v>0</v>
      </c>
    </row>
    <row r="1193" spans="1:18" x14ac:dyDescent="0.25">
      <c r="A1193">
        <f t="shared" si="19"/>
        <v>0</v>
      </c>
      <c r="B1193" t="b">
        <f>SUMPRODUCT(LEN(hospitalityq!C1193:R1193))&gt;0</f>
        <v>0</v>
      </c>
      <c r="C1193">
        <f>B1193*(hospitalityq!C1193="")</f>
        <v>0</v>
      </c>
      <c r="E1193">
        <f>B1193*(hospitalityq!E1193="")</f>
        <v>0</v>
      </c>
      <c r="F1193">
        <f>B1193*(hospitalityq!F1193="")</f>
        <v>0</v>
      </c>
      <c r="G1193">
        <f>B1193*(hospitalityq!G1193="")</f>
        <v>0</v>
      </c>
      <c r="H1193">
        <f>B1193*(hospitalityq!H1193="")</f>
        <v>0</v>
      </c>
      <c r="I1193">
        <f>B1193*(hospitalityq!I1193="")</f>
        <v>0</v>
      </c>
      <c r="J1193">
        <f>B1193*(hospitalityq!J1193="")</f>
        <v>0</v>
      </c>
      <c r="K1193">
        <f>B1193*(hospitalityq!K1193="")</f>
        <v>0</v>
      </c>
      <c r="L1193">
        <f>B1193*(hospitalityq!L1193="")</f>
        <v>0</v>
      </c>
      <c r="M1193">
        <f>B1193*(hospitalityq!M1193="")</f>
        <v>0</v>
      </c>
      <c r="N1193">
        <f>B1193*(hospitalityq!N1193="")</f>
        <v>0</v>
      </c>
      <c r="O1193">
        <f>B1193*(hospitalityq!O1193="")</f>
        <v>0</v>
      </c>
      <c r="P1193">
        <f>B1193*(hospitalityq!P1193="")</f>
        <v>0</v>
      </c>
      <c r="Q1193">
        <f>B1193*(hospitalityq!Q1193="")</f>
        <v>0</v>
      </c>
      <c r="R1193">
        <f>B1193*(hospitalityq!R1193="")</f>
        <v>0</v>
      </c>
    </row>
    <row r="1194" spans="1:18" x14ac:dyDescent="0.25">
      <c r="A1194">
        <f t="shared" si="19"/>
        <v>0</v>
      </c>
      <c r="B1194" t="b">
        <f>SUMPRODUCT(LEN(hospitalityq!C1194:R1194))&gt;0</f>
        <v>0</v>
      </c>
      <c r="C1194">
        <f>B1194*(hospitalityq!C1194="")</f>
        <v>0</v>
      </c>
      <c r="E1194">
        <f>B1194*(hospitalityq!E1194="")</f>
        <v>0</v>
      </c>
      <c r="F1194">
        <f>B1194*(hospitalityq!F1194="")</f>
        <v>0</v>
      </c>
      <c r="G1194">
        <f>B1194*(hospitalityq!G1194="")</f>
        <v>0</v>
      </c>
      <c r="H1194">
        <f>B1194*(hospitalityq!H1194="")</f>
        <v>0</v>
      </c>
      <c r="I1194">
        <f>B1194*(hospitalityq!I1194="")</f>
        <v>0</v>
      </c>
      <c r="J1194">
        <f>B1194*(hospitalityq!J1194="")</f>
        <v>0</v>
      </c>
      <c r="K1194">
        <f>B1194*(hospitalityq!K1194="")</f>
        <v>0</v>
      </c>
      <c r="L1194">
        <f>B1194*(hospitalityq!L1194="")</f>
        <v>0</v>
      </c>
      <c r="M1194">
        <f>B1194*(hospitalityq!M1194="")</f>
        <v>0</v>
      </c>
      <c r="N1194">
        <f>B1194*(hospitalityq!N1194="")</f>
        <v>0</v>
      </c>
      <c r="O1194">
        <f>B1194*(hospitalityq!O1194="")</f>
        <v>0</v>
      </c>
      <c r="P1194">
        <f>B1194*(hospitalityq!P1194="")</f>
        <v>0</v>
      </c>
      <c r="Q1194">
        <f>B1194*(hospitalityq!Q1194="")</f>
        <v>0</v>
      </c>
      <c r="R1194">
        <f>B1194*(hospitalityq!R1194="")</f>
        <v>0</v>
      </c>
    </row>
    <row r="1195" spans="1:18" x14ac:dyDescent="0.25">
      <c r="A1195">
        <f t="shared" si="19"/>
        <v>0</v>
      </c>
      <c r="B1195" t="b">
        <f>SUMPRODUCT(LEN(hospitalityq!C1195:R1195))&gt;0</f>
        <v>0</v>
      </c>
      <c r="C1195">
        <f>B1195*(hospitalityq!C1195="")</f>
        <v>0</v>
      </c>
      <c r="E1195">
        <f>B1195*(hospitalityq!E1195="")</f>
        <v>0</v>
      </c>
      <c r="F1195">
        <f>B1195*(hospitalityq!F1195="")</f>
        <v>0</v>
      </c>
      <c r="G1195">
        <f>B1195*(hospitalityq!G1195="")</f>
        <v>0</v>
      </c>
      <c r="H1195">
        <f>B1195*(hospitalityq!H1195="")</f>
        <v>0</v>
      </c>
      <c r="I1195">
        <f>B1195*(hospitalityq!I1195="")</f>
        <v>0</v>
      </c>
      <c r="J1195">
        <f>B1195*(hospitalityq!J1195="")</f>
        <v>0</v>
      </c>
      <c r="K1195">
        <f>B1195*(hospitalityq!K1195="")</f>
        <v>0</v>
      </c>
      <c r="L1195">
        <f>B1195*(hospitalityq!L1195="")</f>
        <v>0</v>
      </c>
      <c r="M1195">
        <f>B1195*(hospitalityq!M1195="")</f>
        <v>0</v>
      </c>
      <c r="N1195">
        <f>B1195*(hospitalityq!N1195="")</f>
        <v>0</v>
      </c>
      <c r="O1195">
        <f>B1195*(hospitalityq!O1195="")</f>
        <v>0</v>
      </c>
      <c r="P1195">
        <f>B1195*(hospitalityq!P1195="")</f>
        <v>0</v>
      </c>
      <c r="Q1195">
        <f>B1195*(hospitalityq!Q1195="")</f>
        <v>0</v>
      </c>
      <c r="R1195">
        <f>B1195*(hospitalityq!R1195="")</f>
        <v>0</v>
      </c>
    </row>
    <row r="1196" spans="1:18" x14ac:dyDescent="0.25">
      <c r="A1196">
        <f t="shared" si="19"/>
        <v>0</v>
      </c>
      <c r="B1196" t="b">
        <f>SUMPRODUCT(LEN(hospitalityq!C1196:R1196))&gt;0</f>
        <v>0</v>
      </c>
      <c r="C1196">
        <f>B1196*(hospitalityq!C1196="")</f>
        <v>0</v>
      </c>
      <c r="E1196">
        <f>B1196*(hospitalityq!E1196="")</f>
        <v>0</v>
      </c>
      <c r="F1196">
        <f>B1196*(hospitalityq!F1196="")</f>
        <v>0</v>
      </c>
      <c r="G1196">
        <f>B1196*(hospitalityq!G1196="")</f>
        <v>0</v>
      </c>
      <c r="H1196">
        <f>B1196*(hospitalityq!H1196="")</f>
        <v>0</v>
      </c>
      <c r="I1196">
        <f>B1196*(hospitalityq!I1196="")</f>
        <v>0</v>
      </c>
      <c r="J1196">
        <f>B1196*(hospitalityq!J1196="")</f>
        <v>0</v>
      </c>
      <c r="K1196">
        <f>B1196*(hospitalityq!K1196="")</f>
        <v>0</v>
      </c>
      <c r="L1196">
        <f>B1196*(hospitalityq!L1196="")</f>
        <v>0</v>
      </c>
      <c r="M1196">
        <f>B1196*(hospitalityq!M1196="")</f>
        <v>0</v>
      </c>
      <c r="N1196">
        <f>B1196*(hospitalityq!N1196="")</f>
        <v>0</v>
      </c>
      <c r="O1196">
        <f>B1196*(hospitalityq!O1196="")</f>
        <v>0</v>
      </c>
      <c r="P1196">
        <f>B1196*(hospitalityq!P1196="")</f>
        <v>0</v>
      </c>
      <c r="Q1196">
        <f>B1196*(hospitalityq!Q1196="")</f>
        <v>0</v>
      </c>
      <c r="R1196">
        <f>B1196*(hospitalityq!R1196="")</f>
        <v>0</v>
      </c>
    </row>
    <row r="1197" spans="1:18" x14ac:dyDescent="0.25">
      <c r="A1197">
        <f t="shared" si="19"/>
        <v>0</v>
      </c>
      <c r="B1197" t="b">
        <f>SUMPRODUCT(LEN(hospitalityq!C1197:R1197))&gt;0</f>
        <v>0</v>
      </c>
      <c r="C1197">
        <f>B1197*(hospitalityq!C1197="")</f>
        <v>0</v>
      </c>
      <c r="E1197">
        <f>B1197*(hospitalityq!E1197="")</f>
        <v>0</v>
      </c>
      <c r="F1197">
        <f>B1197*(hospitalityq!F1197="")</f>
        <v>0</v>
      </c>
      <c r="G1197">
        <f>B1197*(hospitalityq!G1197="")</f>
        <v>0</v>
      </c>
      <c r="H1197">
        <f>B1197*(hospitalityq!H1197="")</f>
        <v>0</v>
      </c>
      <c r="I1197">
        <f>B1197*(hospitalityq!I1197="")</f>
        <v>0</v>
      </c>
      <c r="J1197">
        <f>B1197*(hospitalityq!J1197="")</f>
        <v>0</v>
      </c>
      <c r="K1197">
        <f>B1197*(hospitalityq!K1197="")</f>
        <v>0</v>
      </c>
      <c r="L1197">
        <f>B1197*(hospitalityq!L1197="")</f>
        <v>0</v>
      </c>
      <c r="M1197">
        <f>B1197*(hospitalityq!M1197="")</f>
        <v>0</v>
      </c>
      <c r="N1197">
        <f>B1197*(hospitalityq!N1197="")</f>
        <v>0</v>
      </c>
      <c r="O1197">
        <f>B1197*(hospitalityq!O1197="")</f>
        <v>0</v>
      </c>
      <c r="P1197">
        <f>B1197*(hospitalityq!P1197="")</f>
        <v>0</v>
      </c>
      <c r="Q1197">
        <f>B1197*(hospitalityq!Q1197="")</f>
        <v>0</v>
      </c>
      <c r="R1197">
        <f>B1197*(hospitalityq!R1197="")</f>
        <v>0</v>
      </c>
    </row>
    <row r="1198" spans="1:18" x14ac:dyDescent="0.25">
      <c r="A1198">
        <f t="shared" si="19"/>
        <v>0</v>
      </c>
      <c r="B1198" t="b">
        <f>SUMPRODUCT(LEN(hospitalityq!C1198:R1198))&gt;0</f>
        <v>0</v>
      </c>
      <c r="C1198">
        <f>B1198*(hospitalityq!C1198="")</f>
        <v>0</v>
      </c>
      <c r="E1198">
        <f>B1198*(hospitalityq!E1198="")</f>
        <v>0</v>
      </c>
      <c r="F1198">
        <f>B1198*(hospitalityq!F1198="")</f>
        <v>0</v>
      </c>
      <c r="G1198">
        <f>B1198*(hospitalityq!G1198="")</f>
        <v>0</v>
      </c>
      <c r="H1198">
        <f>B1198*(hospitalityq!H1198="")</f>
        <v>0</v>
      </c>
      <c r="I1198">
        <f>B1198*(hospitalityq!I1198="")</f>
        <v>0</v>
      </c>
      <c r="J1198">
        <f>B1198*(hospitalityq!J1198="")</f>
        <v>0</v>
      </c>
      <c r="K1198">
        <f>B1198*(hospitalityq!K1198="")</f>
        <v>0</v>
      </c>
      <c r="L1198">
        <f>B1198*(hospitalityq!L1198="")</f>
        <v>0</v>
      </c>
      <c r="M1198">
        <f>B1198*(hospitalityq!M1198="")</f>
        <v>0</v>
      </c>
      <c r="N1198">
        <f>B1198*(hospitalityq!N1198="")</f>
        <v>0</v>
      </c>
      <c r="O1198">
        <f>B1198*(hospitalityq!O1198="")</f>
        <v>0</v>
      </c>
      <c r="P1198">
        <f>B1198*(hospitalityq!P1198="")</f>
        <v>0</v>
      </c>
      <c r="Q1198">
        <f>B1198*(hospitalityq!Q1198="")</f>
        <v>0</v>
      </c>
      <c r="R1198">
        <f>B1198*(hospitalityq!R1198="")</f>
        <v>0</v>
      </c>
    </row>
    <row r="1199" spans="1:18" x14ac:dyDescent="0.25">
      <c r="A1199">
        <f t="shared" si="19"/>
        <v>0</v>
      </c>
      <c r="B1199" t="b">
        <f>SUMPRODUCT(LEN(hospitalityq!C1199:R1199))&gt;0</f>
        <v>0</v>
      </c>
      <c r="C1199">
        <f>B1199*(hospitalityq!C1199="")</f>
        <v>0</v>
      </c>
      <c r="E1199">
        <f>B1199*(hospitalityq!E1199="")</f>
        <v>0</v>
      </c>
      <c r="F1199">
        <f>B1199*(hospitalityq!F1199="")</f>
        <v>0</v>
      </c>
      <c r="G1199">
        <f>B1199*(hospitalityq!G1199="")</f>
        <v>0</v>
      </c>
      <c r="H1199">
        <f>B1199*(hospitalityq!H1199="")</f>
        <v>0</v>
      </c>
      <c r="I1199">
        <f>B1199*(hospitalityq!I1199="")</f>
        <v>0</v>
      </c>
      <c r="J1199">
        <f>B1199*(hospitalityq!J1199="")</f>
        <v>0</v>
      </c>
      <c r="K1199">
        <f>B1199*(hospitalityq!K1199="")</f>
        <v>0</v>
      </c>
      <c r="L1199">
        <f>B1199*(hospitalityq!L1199="")</f>
        <v>0</v>
      </c>
      <c r="M1199">
        <f>B1199*(hospitalityq!M1199="")</f>
        <v>0</v>
      </c>
      <c r="N1199">
        <f>B1199*(hospitalityq!N1199="")</f>
        <v>0</v>
      </c>
      <c r="O1199">
        <f>B1199*(hospitalityq!O1199="")</f>
        <v>0</v>
      </c>
      <c r="P1199">
        <f>B1199*(hospitalityq!P1199="")</f>
        <v>0</v>
      </c>
      <c r="Q1199">
        <f>B1199*(hospitalityq!Q1199="")</f>
        <v>0</v>
      </c>
      <c r="R1199">
        <f>B1199*(hospitalityq!R1199="")</f>
        <v>0</v>
      </c>
    </row>
    <row r="1200" spans="1:18" x14ac:dyDescent="0.25">
      <c r="A1200">
        <f t="shared" si="19"/>
        <v>0</v>
      </c>
      <c r="B1200" t="b">
        <f>SUMPRODUCT(LEN(hospitalityq!C1200:R1200))&gt;0</f>
        <v>0</v>
      </c>
      <c r="C1200">
        <f>B1200*(hospitalityq!C1200="")</f>
        <v>0</v>
      </c>
      <c r="E1200">
        <f>B1200*(hospitalityq!E1200="")</f>
        <v>0</v>
      </c>
      <c r="F1200">
        <f>B1200*(hospitalityq!F1200="")</f>
        <v>0</v>
      </c>
      <c r="G1200">
        <f>B1200*(hospitalityq!G1200="")</f>
        <v>0</v>
      </c>
      <c r="H1200">
        <f>B1200*(hospitalityq!H1200="")</f>
        <v>0</v>
      </c>
      <c r="I1200">
        <f>B1200*(hospitalityq!I1200="")</f>
        <v>0</v>
      </c>
      <c r="J1200">
        <f>B1200*(hospitalityq!J1200="")</f>
        <v>0</v>
      </c>
      <c r="K1200">
        <f>B1200*(hospitalityq!K1200="")</f>
        <v>0</v>
      </c>
      <c r="L1200">
        <f>B1200*(hospitalityq!L1200="")</f>
        <v>0</v>
      </c>
      <c r="M1200">
        <f>B1200*(hospitalityq!M1200="")</f>
        <v>0</v>
      </c>
      <c r="N1200">
        <f>B1200*(hospitalityq!N1200="")</f>
        <v>0</v>
      </c>
      <c r="O1200">
        <f>B1200*(hospitalityq!O1200="")</f>
        <v>0</v>
      </c>
      <c r="P1200">
        <f>B1200*(hospitalityq!P1200="")</f>
        <v>0</v>
      </c>
      <c r="Q1200">
        <f>B1200*(hospitalityq!Q1200="")</f>
        <v>0</v>
      </c>
      <c r="R1200">
        <f>B1200*(hospitalityq!R1200="")</f>
        <v>0</v>
      </c>
    </row>
    <row r="1201" spans="1:18" x14ac:dyDescent="0.25">
      <c r="A1201">
        <f t="shared" si="19"/>
        <v>0</v>
      </c>
      <c r="B1201" t="b">
        <f>SUMPRODUCT(LEN(hospitalityq!C1201:R1201))&gt;0</f>
        <v>0</v>
      </c>
      <c r="C1201">
        <f>B1201*(hospitalityq!C1201="")</f>
        <v>0</v>
      </c>
      <c r="E1201">
        <f>B1201*(hospitalityq!E1201="")</f>
        <v>0</v>
      </c>
      <c r="F1201">
        <f>B1201*(hospitalityq!F1201="")</f>
        <v>0</v>
      </c>
      <c r="G1201">
        <f>B1201*(hospitalityq!G1201="")</f>
        <v>0</v>
      </c>
      <c r="H1201">
        <f>B1201*(hospitalityq!H1201="")</f>
        <v>0</v>
      </c>
      <c r="I1201">
        <f>B1201*(hospitalityq!I1201="")</f>
        <v>0</v>
      </c>
      <c r="J1201">
        <f>B1201*(hospitalityq!J1201="")</f>
        <v>0</v>
      </c>
      <c r="K1201">
        <f>B1201*(hospitalityq!K1201="")</f>
        <v>0</v>
      </c>
      <c r="L1201">
        <f>B1201*(hospitalityq!L1201="")</f>
        <v>0</v>
      </c>
      <c r="M1201">
        <f>B1201*(hospitalityq!M1201="")</f>
        <v>0</v>
      </c>
      <c r="N1201">
        <f>B1201*(hospitalityq!N1201="")</f>
        <v>0</v>
      </c>
      <c r="O1201">
        <f>B1201*(hospitalityq!O1201="")</f>
        <v>0</v>
      </c>
      <c r="P1201">
        <f>B1201*(hospitalityq!P1201="")</f>
        <v>0</v>
      </c>
      <c r="Q1201">
        <f>B1201*(hospitalityq!Q1201="")</f>
        <v>0</v>
      </c>
      <c r="R1201">
        <f>B1201*(hospitalityq!R1201="")</f>
        <v>0</v>
      </c>
    </row>
    <row r="1202" spans="1:18" x14ac:dyDescent="0.25">
      <c r="A1202">
        <f t="shared" si="19"/>
        <v>0</v>
      </c>
      <c r="B1202" t="b">
        <f>SUMPRODUCT(LEN(hospitalityq!C1202:R1202))&gt;0</f>
        <v>0</v>
      </c>
      <c r="C1202">
        <f>B1202*(hospitalityq!C1202="")</f>
        <v>0</v>
      </c>
      <c r="E1202">
        <f>B1202*(hospitalityq!E1202="")</f>
        <v>0</v>
      </c>
      <c r="F1202">
        <f>B1202*(hospitalityq!F1202="")</f>
        <v>0</v>
      </c>
      <c r="G1202">
        <f>B1202*(hospitalityq!G1202="")</f>
        <v>0</v>
      </c>
      <c r="H1202">
        <f>B1202*(hospitalityq!H1202="")</f>
        <v>0</v>
      </c>
      <c r="I1202">
        <f>B1202*(hospitalityq!I1202="")</f>
        <v>0</v>
      </c>
      <c r="J1202">
        <f>B1202*(hospitalityq!J1202="")</f>
        <v>0</v>
      </c>
      <c r="K1202">
        <f>B1202*(hospitalityq!K1202="")</f>
        <v>0</v>
      </c>
      <c r="L1202">
        <f>B1202*(hospitalityq!L1202="")</f>
        <v>0</v>
      </c>
      <c r="M1202">
        <f>B1202*(hospitalityq!M1202="")</f>
        <v>0</v>
      </c>
      <c r="N1202">
        <f>B1202*(hospitalityq!N1202="")</f>
        <v>0</v>
      </c>
      <c r="O1202">
        <f>B1202*(hospitalityq!O1202="")</f>
        <v>0</v>
      </c>
      <c r="P1202">
        <f>B1202*(hospitalityq!P1202="")</f>
        <v>0</v>
      </c>
      <c r="Q1202">
        <f>B1202*(hospitalityq!Q1202="")</f>
        <v>0</v>
      </c>
      <c r="R1202">
        <f>B1202*(hospitalityq!R1202="")</f>
        <v>0</v>
      </c>
    </row>
    <row r="1203" spans="1:18" x14ac:dyDescent="0.25">
      <c r="A1203">
        <f t="shared" si="19"/>
        <v>0</v>
      </c>
      <c r="B1203" t="b">
        <f>SUMPRODUCT(LEN(hospitalityq!C1203:R1203))&gt;0</f>
        <v>0</v>
      </c>
      <c r="C1203">
        <f>B1203*(hospitalityq!C1203="")</f>
        <v>0</v>
      </c>
      <c r="E1203">
        <f>B1203*(hospitalityq!E1203="")</f>
        <v>0</v>
      </c>
      <c r="F1203">
        <f>B1203*(hospitalityq!F1203="")</f>
        <v>0</v>
      </c>
      <c r="G1203">
        <f>B1203*(hospitalityq!G1203="")</f>
        <v>0</v>
      </c>
      <c r="H1203">
        <f>B1203*(hospitalityq!H1203="")</f>
        <v>0</v>
      </c>
      <c r="I1203">
        <f>B1203*(hospitalityq!I1203="")</f>
        <v>0</v>
      </c>
      <c r="J1203">
        <f>B1203*(hospitalityq!J1203="")</f>
        <v>0</v>
      </c>
      <c r="K1203">
        <f>B1203*(hospitalityq!K1203="")</f>
        <v>0</v>
      </c>
      <c r="L1203">
        <f>B1203*(hospitalityq!L1203="")</f>
        <v>0</v>
      </c>
      <c r="M1203">
        <f>B1203*(hospitalityq!M1203="")</f>
        <v>0</v>
      </c>
      <c r="N1203">
        <f>B1203*(hospitalityq!N1203="")</f>
        <v>0</v>
      </c>
      <c r="O1203">
        <f>B1203*(hospitalityq!O1203="")</f>
        <v>0</v>
      </c>
      <c r="P1203">
        <f>B1203*(hospitalityq!P1203="")</f>
        <v>0</v>
      </c>
      <c r="Q1203">
        <f>B1203*(hospitalityq!Q1203="")</f>
        <v>0</v>
      </c>
      <c r="R1203">
        <f>B1203*(hospitalityq!R1203="")</f>
        <v>0</v>
      </c>
    </row>
    <row r="1204" spans="1:18" x14ac:dyDescent="0.25">
      <c r="A1204">
        <f t="shared" si="19"/>
        <v>0</v>
      </c>
      <c r="B1204" t="b">
        <f>SUMPRODUCT(LEN(hospitalityq!C1204:R1204))&gt;0</f>
        <v>0</v>
      </c>
      <c r="C1204">
        <f>B1204*(hospitalityq!C1204="")</f>
        <v>0</v>
      </c>
      <c r="E1204">
        <f>B1204*(hospitalityq!E1204="")</f>
        <v>0</v>
      </c>
      <c r="F1204">
        <f>B1204*(hospitalityq!F1204="")</f>
        <v>0</v>
      </c>
      <c r="G1204">
        <f>B1204*(hospitalityq!G1204="")</f>
        <v>0</v>
      </c>
      <c r="H1204">
        <f>B1204*(hospitalityq!H1204="")</f>
        <v>0</v>
      </c>
      <c r="I1204">
        <f>B1204*(hospitalityq!I1204="")</f>
        <v>0</v>
      </c>
      <c r="J1204">
        <f>B1204*(hospitalityq!J1204="")</f>
        <v>0</v>
      </c>
      <c r="K1204">
        <f>B1204*(hospitalityq!K1204="")</f>
        <v>0</v>
      </c>
      <c r="L1204">
        <f>B1204*(hospitalityq!L1204="")</f>
        <v>0</v>
      </c>
      <c r="M1204">
        <f>B1204*(hospitalityq!M1204="")</f>
        <v>0</v>
      </c>
      <c r="N1204">
        <f>B1204*(hospitalityq!N1204="")</f>
        <v>0</v>
      </c>
      <c r="O1204">
        <f>B1204*(hospitalityq!O1204="")</f>
        <v>0</v>
      </c>
      <c r="P1204">
        <f>B1204*(hospitalityq!P1204="")</f>
        <v>0</v>
      </c>
      <c r="Q1204">
        <f>B1204*(hospitalityq!Q1204="")</f>
        <v>0</v>
      </c>
      <c r="R1204">
        <f>B1204*(hospitalityq!R1204="")</f>
        <v>0</v>
      </c>
    </row>
    <row r="1205" spans="1:18" x14ac:dyDescent="0.25">
      <c r="A1205">
        <f t="shared" si="19"/>
        <v>0</v>
      </c>
      <c r="B1205" t="b">
        <f>SUMPRODUCT(LEN(hospitalityq!C1205:R1205))&gt;0</f>
        <v>0</v>
      </c>
      <c r="C1205">
        <f>B1205*(hospitalityq!C1205="")</f>
        <v>0</v>
      </c>
      <c r="E1205">
        <f>B1205*(hospitalityq!E1205="")</f>
        <v>0</v>
      </c>
      <c r="F1205">
        <f>B1205*(hospitalityq!F1205="")</f>
        <v>0</v>
      </c>
      <c r="G1205">
        <f>B1205*(hospitalityq!G1205="")</f>
        <v>0</v>
      </c>
      <c r="H1205">
        <f>B1205*(hospitalityq!H1205="")</f>
        <v>0</v>
      </c>
      <c r="I1205">
        <f>B1205*(hospitalityq!I1205="")</f>
        <v>0</v>
      </c>
      <c r="J1205">
        <f>B1205*(hospitalityq!J1205="")</f>
        <v>0</v>
      </c>
      <c r="K1205">
        <f>B1205*(hospitalityq!K1205="")</f>
        <v>0</v>
      </c>
      <c r="L1205">
        <f>B1205*(hospitalityq!L1205="")</f>
        <v>0</v>
      </c>
      <c r="M1205">
        <f>B1205*(hospitalityq!M1205="")</f>
        <v>0</v>
      </c>
      <c r="N1205">
        <f>B1205*(hospitalityq!N1205="")</f>
        <v>0</v>
      </c>
      <c r="O1205">
        <f>B1205*(hospitalityq!O1205="")</f>
        <v>0</v>
      </c>
      <c r="P1205">
        <f>B1205*(hospitalityq!P1205="")</f>
        <v>0</v>
      </c>
      <c r="Q1205">
        <f>B1205*(hospitalityq!Q1205="")</f>
        <v>0</v>
      </c>
      <c r="R1205">
        <f>B1205*(hospitalityq!R1205="")</f>
        <v>0</v>
      </c>
    </row>
    <row r="1206" spans="1:18" x14ac:dyDescent="0.25">
      <c r="A1206">
        <f t="shared" si="19"/>
        <v>0</v>
      </c>
      <c r="B1206" t="b">
        <f>SUMPRODUCT(LEN(hospitalityq!C1206:R1206))&gt;0</f>
        <v>0</v>
      </c>
      <c r="C1206">
        <f>B1206*(hospitalityq!C1206="")</f>
        <v>0</v>
      </c>
      <c r="E1206">
        <f>B1206*(hospitalityq!E1206="")</f>
        <v>0</v>
      </c>
      <c r="F1206">
        <f>B1206*(hospitalityq!F1206="")</f>
        <v>0</v>
      </c>
      <c r="G1206">
        <f>B1206*(hospitalityq!G1206="")</f>
        <v>0</v>
      </c>
      <c r="H1206">
        <f>B1206*(hospitalityq!H1206="")</f>
        <v>0</v>
      </c>
      <c r="I1206">
        <f>B1206*(hospitalityq!I1206="")</f>
        <v>0</v>
      </c>
      <c r="J1206">
        <f>B1206*(hospitalityq!J1206="")</f>
        <v>0</v>
      </c>
      <c r="K1206">
        <f>B1206*(hospitalityq!K1206="")</f>
        <v>0</v>
      </c>
      <c r="L1206">
        <f>B1206*(hospitalityq!L1206="")</f>
        <v>0</v>
      </c>
      <c r="M1206">
        <f>B1206*(hospitalityq!M1206="")</f>
        <v>0</v>
      </c>
      <c r="N1206">
        <f>B1206*(hospitalityq!N1206="")</f>
        <v>0</v>
      </c>
      <c r="O1206">
        <f>B1206*(hospitalityq!O1206="")</f>
        <v>0</v>
      </c>
      <c r="P1206">
        <f>B1206*(hospitalityq!P1206="")</f>
        <v>0</v>
      </c>
      <c r="Q1206">
        <f>B1206*(hospitalityq!Q1206="")</f>
        <v>0</v>
      </c>
      <c r="R1206">
        <f>B1206*(hospitalityq!R1206="")</f>
        <v>0</v>
      </c>
    </row>
    <row r="1207" spans="1:18" x14ac:dyDescent="0.25">
      <c r="A1207">
        <f t="shared" si="19"/>
        <v>0</v>
      </c>
      <c r="B1207" t="b">
        <f>SUMPRODUCT(LEN(hospitalityq!C1207:R1207))&gt;0</f>
        <v>0</v>
      </c>
      <c r="C1207">
        <f>B1207*(hospitalityq!C1207="")</f>
        <v>0</v>
      </c>
      <c r="E1207">
        <f>B1207*(hospitalityq!E1207="")</f>
        <v>0</v>
      </c>
      <c r="F1207">
        <f>B1207*(hospitalityq!F1207="")</f>
        <v>0</v>
      </c>
      <c r="G1207">
        <f>B1207*(hospitalityq!G1207="")</f>
        <v>0</v>
      </c>
      <c r="H1207">
        <f>B1207*(hospitalityq!H1207="")</f>
        <v>0</v>
      </c>
      <c r="I1207">
        <f>B1207*(hospitalityq!I1207="")</f>
        <v>0</v>
      </c>
      <c r="J1207">
        <f>B1207*(hospitalityq!J1207="")</f>
        <v>0</v>
      </c>
      <c r="K1207">
        <f>B1207*(hospitalityq!K1207="")</f>
        <v>0</v>
      </c>
      <c r="L1207">
        <f>B1207*(hospitalityq!L1207="")</f>
        <v>0</v>
      </c>
      <c r="M1207">
        <f>B1207*(hospitalityq!M1207="")</f>
        <v>0</v>
      </c>
      <c r="N1207">
        <f>B1207*(hospitalityq!N1207="")</f>
        <v>0</v>
      </c>
      <c r="O1207">
        <f>B1207*(hospitalityq!O1207="")</f>
        <v>0</v>
      </c>
      <c r="P1207">
        <f>B1207*(hospitalityq!P1207="")</f>
        <v>0</v>
      </c>
      <c r="Q1207">
        <f>B1207*(hospitalityq!Q1207="")</f>
        <v>0</v>
      </c>
      <c r="R1207">
        <f>B1207*(hospitalityq!R1207="")</f>
        <v>0</v>
      </c>
    </row>
    <row r="1208" spans="1:18" x14ac:dyDescent="0.25">
      <c r="A1208">
        <f t="shared" si="19"/>
        <v>0</v>
      </c>
      <c r="B1208" t="b">
        <f>SUMPRODUCT(LEN(hospitalityq!C1208:R1208))&gt;0</f>
        <v>0</v>
      </c>
      <c r="C1208">
        <f>B1208*(hospitalityq!C1208="")</f>
        <v>0</v>
      </c>
      <c r="E1208">
        <f>B1208*(hospitalityq!E1208="")</f>
        <v>0</v>
      </c>
      <c r="F1208">
        <f>B1208*(hospitalityq!F1208="")</f>
        <v>0</v>
      </c>
      <c r="G1208">
        <f>B1208*(hospitalityq!G1208="")</f>
        <v>0</v>
      </c>
      <c r="H1208">
        <f>B1208*(hospitalityq!H1208="")</f>
        <v>0</v>
      </c>
      <c r="I1208">
        <f>B1208*(hospitalityq!I1208="")</f>
        <v>0</v>
      </c>
      <c r="J1208">
        <f>B1208*(hospitalityq!J1208="")</f>
        <v>0</v>
      </c>
      <c r="K1208">
        <f>B1208*(hospitalityq!K1208="")</f>
        <v>0</v>
      </c>
      <c r="L1208">
        <f>B1208*(hospitalityq!L1208="")</f>
        <v>0</v>
      </c>
      <c r="M1208">
        <f>B1208*(hospitalityq!M1208="")</f>
        <v>0</v>
      </c>
      <c r="N1208">
        <f>B1208*(hospitalityq!N1208="")</f>
        <v>0</v>
      </c>
      <c r="O1208">
        <f>B1208*(hospitalityq!O1208="")</f>
        <v>0</v>
      </c>
      <c r="P1208">
        <f>B1208*(hospitalityq!P1208="")</f>
        <v>0</v>
      </c>
      <c r="Q1208">
        <f>B1208*(hospitalityq!Q1208="")</f>
        <v>0</v>
      </c>
      <c r="R1208">
        <f>B1208*(hospitalityq!R1208="")</f>
        <v>0</v>
      </c>
    </row>
    <row r="1209" spans="1:18" x14ac:dyDescent="0.25">
      <c r="A1209">
        <f t="shared" si="19"/>
        <v>0</v>
      </c>
      <c r="B1209" t="b">
        <f>SUMPRODUCT(LEN(hospitalityq!C1209:R1209))&gt;0</f>
        <v>0</v>
      </c>
      <c r="C1209">
        <f>B1209*(hospitalityq!C1209="")</f>
        <v>0</v>
      </c>
      <c r="E1209">
        <f>B1209*(hospitalityq!E1209="")</f>
        <v>0</v>
      </c>
      <c r="F1209">
        <f>B1209*(hospitalityq!F1209="")</f>
        <v>0</v>
      </c>
      <c r="G1209">
        <f>B1209*(hospitalityq!G1209="")</f>
        <v>0</v>
      </c>
      <c r="H1209">
        <f>B1209*(hospitalityq!H1209="")</f>
        <v>0</v>
      </c>
      <c r="I1209">
        <f>B1209*(hospitalityq!I1209="")</f>
        <v>0</v>
      </c>
      <c r="J1209">
        <f>B1209*(hospitalityq!J1209="")</f>
        <v>0</v>
      </c>
      <c r="K1209">
        <f>B1209*(hospitalityq!K1209="")</f>
        <v>0</v>
      </c>
      <c r="L1209">
        <f>B1209*(hospitalityq!L1209="")</f>
        <v>0</v>
      </c>
      <c r="M1209">
        <f>B1209*(hospitalityq!M1209="")</f>
        <v>0</v>
      </c>
      <c r="N1209">
        <f>B1209*(hospitalityq!N1209="")</f>
        <v>0</v>
      </c>
      <c r="O1209">
        <f>B1209*(hospitalityq!O1209="")</f>
        <v>0</v>
      </c>
      <c r="P1209">
        <f>B1209*(hospitalityq!P1209="")</f>
        <v>0</v>
      </c>
      <c r="Q1209">
        <f>B1209*(hospitalityq!Q1209="")</f>
        <v>0</v>
      </c>
      <c r="R1209">
        <f>B1209*(hospitalityq!R1209="")</f>
        <v>0</v>
      </c>
    </row>
    <row r="1210" spans="1:18" x14ac:dyDescent="0.25">
      <c r="A1210">
        <f t="shared" si="19"/>
        <v>0</v>
      </c>
      <c r="B1210" t="b">
        <f>SUMPRODUCT(LEN(hospitalityq!C1210:R1210))&gt;0</f>
        <v>0</v>
      </c>
      <c r="C1210">
        <f>B1210*(hospitalityq!C1210="")</f>
        <v>0</v>
      </c>
      <c r="E1210">
        <f>B1210*(hospitalityq!E1210="")</f>
        <v>0</v>
      </c>
      <c r="F1210">
        <f>B1210*(hospitalityq!F1210="")</f>
        <v>0</v>
      </c>
      <c r="G1210">
        <f>B1210*(hospitalityq!G1210="")</f>
        <v>0</v>
      </c>
      <c r="H1210">
        <f>B1210*(hospitalityq!H1210="")</f>
        <v>0</v>
      </c>
      <c r="I1210">
        <f>B1210*(hospitalityq!I1210="")</f>
        <v>0</v>
      </c>
      <c r="J1210">
        <f>B1210*(hospitalityq!J1210="")</f>
        <v>0</v>
      </c>
      <c r="K1210">
        <f>B1210*(hospitalityq!K1210="")</f>
        <v>0</v>
      </c>
      <c r="L1210">
        <f>B1210*(hospitalityq!L1210="")</f>
        <v>0</v>
      </c>
      <c r="M1210">
        <f>B1210*(hospitalityq!M1210="")</f>
        <v>0</v>
      </c>
      <c r="N1210">
        <f>B1210*(hospitalityq!N1210="")</f>
        <v>0</v>
      </c>
      <c r="O1210">
        <f>B1210*(hospitalityq!O1210="")</f>
        <v>0</v>
      </c>
      <c r="P1210">
        <f>B1210*(hospitalityq!P1210="")</f>
        <v>0</v>
      </c>
      <c r="Q1210">
        <f>B1210*(hospitalityq!Q1210="")</f>
        <v>0</v>
      </c>
      <c r="R1210">
        <f>B1210*(hospitalityq!R1210="")</f>
        <v>0</v>
      </c>
    </row>
    <row r="1211" spans="1:18" x14ac:dyDescent="0.25">
      <c r="A1211">
        <f t="shared" si="19"/>
        <v>0</v>
      </c>
      <c r="B1211" t="b">
        <f>SUMPRODUCT(LEN(hospitalityq!C1211:R1211))&gt;0</f>
        <v>0</v>
      </c>
      <c r="C1211">
        <f>B1211*(hospitalityq!C1211="")</f>
        <v>0</v>
      </c>
      <c r="E1211">
        <f>B1211*(hospitalityq!E1211="")</f>
        <v>0</v>
      </c>
      <c r="F1211">
        <f>B1211*(hospitalityq!F1211="")</f>
        <v>0</v>
      </c>
      <c r="G1211">
        <f>B1211*(hospitalityq!G1211="")</f>
        <v>0</v>
      </c>
      <c r="H1211">
        <f>B1211*(hospitalityq!H1211="")</f>
        <v>0</v>
      </c>
      <c r="I1211">
        <f>B1211*(hospitalityq!I1211="")</f>
        <v>0</v>
      </c>
      <c r="J1211">
        <f>B1211*(hospitalityq!J1211="")</f>
        <v>0</v>
      </c>
      <c r="K1211">
        <f>B1211*(hospitalityq!K1211="")</f>
        <v>0</v>
      </c>
      <c r="L1211">
        <f>B1211*(hospitalityq!L1211="")</f>
        <v>0</v>
      </c>
      <c r="M1211">
        <f>B1211*(hospitalityq!M1211="")</f>
        <v>0</v>
      </c>
      <c r="N1211">
        <f>B1211*(hospitalityq!N1211="")</f>
        <v>0</v>
      </c>
      <c r="O1211">
        <f>B1211*(hospitalityq!O1211="")</f>
        <v>0</v>
      </c>
      <c r="P1211">
        <f>B1211*(hospitalityq!P1211="")</f>
        <v>0</v>
      </c>
      <c r="Q1211">
        <f>B1211*(hospitalityq!Q1211="")</f>
        <v>0</v>
      </c>
      <c r="R1211">
        <f>B1211*(hospitalityq!R1211="")</f>
        <v>0</v>
      </c>
    </row>
    <row r="1212" spans="1:18" x14ac:dyDescent="0.25">
      <c r="A1212">
        <f t="shared" si="19"/>
        <v>0</v>
      </c>
      <c r="B1212" t="b">
        <f>SUMPRODUCT(LEN(hospitalityq!C1212:R1212))&gt;0</f>
        <v>0</v>
      </c>
      <c r="C1212">
        <f>B1212*(hospitalityq!C1212="")</f>
        <v>0</v>
      </c>
      <c r="E1212">
        <f>B1212*(hospitalityq!E1212="")</f>
        <v>0</v>
      </c>
      <c r="F1212">
        <f>B1212*(hospitalityq!F1212="")</f>
        <v>0</v>
      </c>
      <c r="G1212">
        <f>B1212*(hospitalityq!G1212="")</f>
        <v>0</v>
      </c>
      <c r="H1212">
        <f>B1212*(hospitalityq!H1212="")</f>
        <v>0</v>
      </c>
      <c r="I1212">
        <f>B1212*(hospitalityq!I1212="")</f>
        <v>0</v>
      </c>
      <c r="J1212">
        <f>B1212*(hospitalityq!J1212="")</f>
        <v>0</v>
      </c>
      <c r="K1212">
        <f>B1212*(hospitalityq!K1212="")</f>
        <v>0</v>
      </c>
      <c r="L1212">
        <f>B1212*(hospitalityq!L1212="")</f>
        <v>0</v>
      </c>
      <c r="M1212">
        <f>B1212*(hospitalityq!M1212="")</f>
        <v>0</v>
      </c>
      <c r="N1212">
        <f>B1212*(hospitalityq!N1212="")</f>
        <v>0</v>
      </c>
      <c r="O1212">
        <f>B1212*(hospitalityq!O1212="")</f>
        <v>0</v>
      </c>
      <c r="P1212">
        <f>B1212*(hospitalityq!P1212="")</f>
        <v>0</v>
      </c>
      <c r="Q1212">
        <f>B1212*(hospitalityq!Q1212="")</f>
        <v>0</v>
      </c>
      <c r="R1212">
        <f>B1212*(hospitalityq!R1212="")</f>
        <v>0</v>
      </c>
    </row>
    <row r="1213" spans="1:18" x14ac:dyDescent="0.25">
      <c r="A1213">
        <f t="shared" si="19"/>
        <v>0</v>
      </c>
      <c r="B1213" t="b">
        <f>SUMPRODUCT(LEN(hospitalityq!C1213:R1213))&gt;0</f>
        <v>0</v>
      </c>
      <c r="C1213">
        <f>B1213*(hospitalityq!C1213="")</f>
        <v>0</v>
      </c>
      <c r="E1213">
        <f>B1213*(hospitalityq!E1213="")</f>
        <v>0</v>
      </c>
      <c r="F1213">
        <f>B1213*(hospitalityq!F1213="")</f>
        <v>0</v>
      </c>
      <c r="G1213">
        <f>B1213*(hospitalityq!G1213="")</f>
        <v>0</v>
      </c>
      <c r="H1213">
        <f>B1213*(hospitalityq!H1213="")</f>
        <v>0</v>
      </c>
      <c r="I1213">
        <f>B1213*(hospitalityq!I1213="")</f>
        <v>0</v>
      </c>
      <c r="J1213">
        <f>B1213*(hospitalityq!J1213="")</f>
        <v>0</v>
      </c>
      <c r="K1213">
        <f>B1213*(hospitalityq!K1213="")</f>
        <v>0</v>
      </c>
      <c r="L1213">
        <f>B1213*(hospitalityq!L1213="")</f>
        <v>0</v>
      </c>
      <c r="M1213">
        <f>B1213*(hospitalityq!M1213="")</f>
        <v>0</v>
      </c>
      <c r="N1213">
        <f>B1213*(hospitalityq!N1213="")</f>
        <v>0</v>
      </c>
      <c r="O1213">
        <f>B1213*(hospitalityq!O1213="")</f>
        <v>0</v>
      </c>
      <c r="P1213">
        <f>B1213*(hospitalityq!P1213="")</f>
        <v>0</v>
      </c>
      <c r="Q1213">
        <f>B1213*(hospitalityq!Q1213="")</f>
        <v>0</v>
      </c>
      <c r="R1213">
        <f>B1213*(hospitalityq!R1213="")</f>
        <v>0</v>
      </c>
    </row>
    <row r="1214" spans="1:18" x14ac:dyDescent="0.25">
      <c r="A1214">
        <f t="shared" si="19"/>
        <v>0</v>
      </c>
      <c r="B1214" t="b">
        <f>SUMPRODUCT(LEN(hospitalityq!C1214:R1214))&gt;0</f>
        <v>0</v>
      </c>
      <c r="C1214">
        <f>B1214*(hospitalityq!C1214="")</f>
        <v>0</v>
      </c>
      <c r="E1214">
        <f>B1214*(hospitalityq!E1214="")</f>
        <v>0</v>
      </c>
      <c r="F1214">
        <f>B1214*(hospitalityq!F1214="")</f>
        <v>0</v>
      </c>
      <c r="G1214">
        <f>B1214*(hospitalityq!G1214="")</f>
        <v>0</v>
      </c>
      <c r="H1214">
        <f>B1214*(hospitalityq!H1214="")</f>
        <v>0</v>
      </c>
      <c r="I1214">
        <f>B1214*(hospitalityq!I1214="")</f>
        <v>0</v>
      </c>
      <c r="J1214">
        <f>B1214*(hospitalityq!J1214="")</f>
        <v>0</v>
      </c>
      <c r="K1214">
        <f>B1214*(hospitalityq!K1214="")</f>
        <v>0</v>
      </c>
      <c r="L1214">
        <f>B1214*(hospitalityq!L1214="")</f>
        <v>0</v>
      </c>
      <c r="M1214">
        <f>B1214*(hospitalityq!M1214="")</f>
        <v>0</v>
      </c>
      <c r="N1214">
        <f>B1214*(hospitalityq!N1214="")</f>
        <v>0</v>
      </c>
      <c r="O1214">
        <f>B1214*(hospitalityq!O1214="")</f>
        <v>0</v>
      </c>
      <c r="P1214">
        <f>B1214*(hospitalityq!P1214="")</f>
        <v>0</v>
      </c>
      <c r="Q1214">
        <f>B1214*(hospitalityq!Q1214="")</f>
        <v>0</v>
      </c>
      <c r="R1214">
        <f>B1214*(hospitalityq!R1214="")</f>
        <v>0</v>
      </c>
    </row>
    <row r="1215" spans="1:18" x14ac:dyDescent="0.25">
      <c r="A1215">
        <f t="shared" si="19"/>
        <v>0</v>
      </c>
      <c r="B1215" t="b">
        <f>SUMPRODUCT(LEN(hospitalityq!C1215:R1215))&gt;0</f>
        <v>0</v>
      </c>
      <c r="C1215">
        <f>B1215*(hospitalityq!C1215="")</f>
        <v>0</v>
      </c>
      <c r="E1215">
        <f>B1215*(hospitalityq!E1215="")</f>
        <v>0</v>
      </c>
      <c r="F1215">
        <f>B1215*(hospitalityq!F1215="")</f>
        <v>0</v>
      </c>
      <c r="G1215">
        <f>B1215*(hospitalityq!G1215="")</f>
        <v>0</v>
      </c>
      <c r="H1215">
        <f>B1215*(hospitalityq!H1215="")</f>
        <v>0</v>
      </c>
      <c r="I1215">
        <f>B1215*(hospitalityq!I1215="")</f>
        <v>0</v>
      </c>
      <c r="J1215">
        <f>B1215*(hospitalityq!J1215="")</f>
        <v>0</v>
      </c>
      <c r="K1215">
        <f>B1215*(hospitalityq!K1215="")</f>
        <v>0</v>
      </c>
      <c r="L1215">
        <f>B1215*(hospitalityq!L1215="")</f>
        <v>0</v>
      </c>
      <c r="M1215">
        <f>B1215*(hospitalityq!M1215="")</f>
        <v>0</v>
      </c>
      <c r="N1215">
        <f>B1215*(hospitalityq!N1215="")</f>
        <v>0</v>
      </c>
      <c r="O1215">
        <f>B1215*(hospitalityq!O1215="")</f>
        <v>0</v>
      </c>
      <c r="P1215">
        <f>B1215*(hospitalityq!P1215="")</f>
        <v>0</v>
      </c>
      <c r="Q1215">
        <f>B1215*(hospitalityq!Q1215="")</f>
        <v>0</v>
      </c>
      <c r="R1215">
        <f>B1215*(hospitalityq!R1215="")</f>
        <v>0</v>
      </c>
    </row>
    <row r="1216" spans="1:18" x14ac:dyDescent="0.25">
      <c r="A1216">
        <f t="shared" si="19"/>
        <v>0</v>
      </c>
      <c r="B1216" t="b">
        <f>SUMPRODUCT(LEN(hospitalityq!C1216:R1216))&gt;0</f>
        <v>0</v>
      </c>
      <c r="C1216">
        <f>B1216*(hospitalityq!C1216="")</f>
        <v>0</v>
      </c>
      <c r="E1216">
        <f>B1216*(hospitalityq!E1216="")</f>
        <v>0</v>
      </c>
      <c r="F1216">
        <f>B1216*(hospitalityq!F1216="")</f>
        <v>0</v>
      </c>
      <c r="G1216">
        <f>B1216*(hospitalityq!G1216="")</f>
        <v>0</v>
      </c>
      <c r="H1216">
        <f>B1216*(hospitalityq!H1216="")</f>
        <v>0</v>
      </c>
      <c r="I1216">
        <f>B1216*(hospitalityq!I1216="")</f>
        <v>0</v>
      </c>
      <c r="J1216">
        <f>B1216*(hospitalityq!J1216="")</f>
        <v>0</v>
      </c>
      <c r="K1216">
        <f>B1216*(hospitalityq!K1216="")</f>
        <v>0</v>
      </c>
      <c r="L1216">
        <f>B1216*(hospitalityq!L1216="")</f>
        <v>0</v>
      </c>
      <c r="M1216">
        <f>B1216*(hospitalityq!M1216="")</f>
        <v>0</v>
      </c>
      <c r="N1216">
        <f>B1216*(hospitalityq!N1216="")</f>
        <v>0</v>
      </c>
      <c r="O1216">
        <f>B1216*(hospitalityq!O1216="")</f>
        <v>0</v>
      </c>
      <c r="P1216">
        <f>B1216*(hospitalityq!P1216="")</f>
        <v>0</v>
      </c>
      <c r="Q1216">
        <f>B1216*(hospitalityq!Q1216="")</f>
        <v>0</v>
      </c>
      <c r="R1216">
        <f>B1216*(hospitalityq!R1216="")</f>
        <v>0</v>
      </c>
    </row>
    <row r="1217" spans="1:18" x14ac:dyDescent="0.25">
      <c r="A1217">
        <f t="shared" si="19"/>
        <v>0</v>
      </c>
      <c r="B1217" t="b">
        <f>SUMPRODUCT(LEN(hospitalityq!C1217:R1217))&gt;0</f>
        <v>0</v>
      </c>
      <c r="C1217">
        <f>B1217*(hospitalityq!C1217="")</f>
        <v>0</v>
      </c>
      <c r="E1217">
        <f>B1217*(hospitalityq!E1217="")</f>
        <v>0</v>
      </c>
      <c r="F1217">
        <f>B1217*(hospitalityq!F1217="")</f>
        <v>0</v>
      </c>
      <c r="G1217">
        <f>B1217*(hospitalityq!G1217="")</f>
        <v>0</v>
      </c>
      <c r="H1217">
        <f>B1217*(hospitalityq!H1217="")</f>
        <v>0</v>
      </c>
      <c r="I1217">
        <f>B1217*(hospitalityq!I1217="")</f>
        <v>0</v>
      </c>
      <c r="J1217">
        <f>B1217*(hospitalityq!J1217="")</f>
        <v>0</v>
      </c>
      <c r="K1217">
        <f>B1217*(hospitalityq!K1217="")</f>
        <v>0</v>
      </c>
      <c r="L1217">
        <f>B1217*(hospitalityq!L1217="")</f>
        <v>0</v>
      </c>
      <c r="M1217">
        <f>B1217*(hospitalityq!M1217="")</f>
        <v>0</v>
      </c>
      <c r="N1217">
        <f>B1217*(hospitalityq!N1217="")</f>
        <v>0</v>
      </c>
      <c r="O1217">
        <f>B1217*(hospitalityq!O1217="")</f>
        <v>0</v>
      </c>
      <c r="P1217">
        <f>B1217*(hospitalityq!P1217="")</f>
        <v>0</v>
      </c>
      <c r="Q1217">
        <f>B1217*(hospitalityq!Q1217="")</f>
        <v>0</v>
      </c>
      <c r="R1217">
        <f>B1217*(hospitalityq!R1217="")</f>
        <v>0</v>
      </c>
    </row>
    <row r="1218" spans="1:18" x14ac:dyDescent="0.25">
      <c r="A1218">
        <f t="shared" si="19"/>
        <v>0</v>
      </c>
      <c r="B1218" t="b">
        <f>SUMPRODUCT(LEN(hospitalityq!C1218:R1218))&gt;0</f>
        <v>0</v>
      </c>
      <c r="C1218">
        <f>B1218*(hospitalityq!C1218="")</f>
        <v>0</v>
      </c>
      <c r="E1218">
        <f>B1218*(hospitalityq!E1218="")</f>
        <v>0</v>
      </c>
      <c r="F1218">
        <f>B1218*(hospitalityq!F1218="")</f>
        <v>0</v>
      </c>
      <c r="G1218">
        <f>B1218*(hospitalityq!G1218="")</f>
        <v>0</v>
      </c>
      <c r="H1218">
        <f>B1218*(hospitalityq!H1218="")</f>
        <v>0</v>
      </c>
      <c r="I1218">
        <f>B1218*(hospitalityq!I1218="")</f>
        <v>0</v>
      </c>
      <c r="J1218">
        <f>B1218*(hospitalityq!J1218="")</f>
        <v>0</v>
      </c>
      <c r="K1218">
        <f>B1218*(hospitalityq!K1218="")</f>
        <v>0</v>
      </c>
      <c r="L1218">
        <f>B1218*(hospitalityq!L1218="")</f>
        <v>0</v>
      </c>
      <c r="M1218">
        <f>B1218*(hospitalityq!M1218="")</f>
        <v>0</v>
      </c>
      <c r="N1218">
        <f>B1218*(hospitalityq!N1218="")</f>
        <v>0</v>
      </c>
      <c r="O1218">
        <f>B1218*(hospitalityq!O1218="")</f>
        <v>0</v>
      </c>
      <c r="P1218">
        <f>B1218*(hospitalityq!P1218="")</f>
        <v>0</v>
      </c>
      <c r="Q1218">
        <f>B1218*(hospitalityq!Q1218="")</f>
        <v>0</v>
      </c>
      <c r="R1218">
        <f>B1218*(hospitalityq!R1218="")</f>
        <v>0</v>
      </c>
    </row>
    <row r="1219" spans="1:18" x14ac:dyDescent="0.25">
      <c r="A1219">
        <f t="shared" si="19"/>
        <v>0</v>
      </c>
      <c r="B1219" t="b">
        <f>SUMPRODUCT(LEN(hospitalityq!C1219:R1219))&gt;0</f>
        <v>0</v>
      </c>
      <c r="C1219">
        <f>B1219*(hospitalityq!C1219="")</f>
        <v>0</v>
      </c>
      <c r="E1219">
        <f>B1219*(hospitalityq!E1219="")</f>
        <v>0</v>
      </c>
      <c r="F1219">
        <f>B1219*(hospitalityq!F1219="")</f>
        <v>0</v>
      </c>
      <c r="G1219">
        <f>B1219*(hospitalityq!G1219="")</f>
        <v>0</v>
      </c>
      <c r="H1219">
        <f>B1219*(hospitalityq!H1219="")</f>
        <v>0</v>
      </c>
      <c r="I1219">
        <f>B1219*(hospitalityq!I1219="")</f>
        <v>0</v>
      </c>
      <c r="J1219">
        <f>B1219*(hospitalityq!J1219="")</f>
        <v>0</v>
      </c>
      <c r="K1219">
        <f>B1219*(hospitalityq!K1219="")</f>
        <v>0</v>
      </c>
      <c r="L1219">
        <f>B1219*(hospitalityq!L1219="")</f>
        <v>0</v>
      </c>
      <c r="M1219">
        <f>B1219*(hospitalityq!M1219="")</f>
        <v>0</v>
      </c>
      <c r="N1219">
        <f>B1219*(hospitalityq!N1219="")</f>
        <v>0</v>
      </c>
      <c r="O1219">
        <f>B1219*(hospitalityq!O1219="")</f>
        <v>0</v>
      </c>
      <c r="P1219">
        <f>B1219*(hospitalityq!P1219="")</f>
        <v>0</v>
      </c>
      <c r="Q1219">
        <f>B1219*(hospitalityq!Q1219="")</f>
        <v>0</v>
      </c>
      <c r="R1219">
        <f>B1219*(hospitalityq!R1219="")</f>
        <v>0</v>
      </c>
    </row>
    <row r="1220" spans="1:18" x14ac:dyDescent="0.25">
      <c r="A1220">
        <f t="shared" si="19"/>
        <v>0</v>
      </c>
      <c r="B1220" t="b">
        <f>SUMPRODUCT(LEN(hospitalityq!C1220:R1220))&gt;0</f>
        <v>0</v>
      </c>
      <c r="C1220">
        <f>B1220*(hospitalityq!C1220="")</f>
        <v>0</v>
      </c>
      <c r="E1220">
        <f>B1220*(hospitalityq!E1220="")</f>
        <v>0</v>
      </c>
      <c r="F1220">
        <f>B1220*(hospitalityq!F1220="")</f>
        <v>0</v>
      </c>
      <c r="G1220">
        <f>B1220*(hospitalityq!G1220="")</f>
        <v>0</v>
      </c>
      <c r="H1220">
        <f>B1220*(hospitalityq!H1220="")</f>
        <v>0</v>
      </c>
      <c r="I1220">
        <f>B1220*(hospitalityq!I1220="")</f>
        <v>0</v>
      </c>
      <c r="J1220">
        <f>B1220*(hospitalityq!J1220="")</f>
        <v>0</v>
      </c>
      <c r="K1220">
        <f>B1220*(hospitalityq!K1220="")</f>
        <v>0</v>
      </c>
      <c r="L1220">
        <f>B1220*(hospitalityq!L1220="")</f>
        <v>0</v>
      </c>
      <c r="M1220">
        <f>B1220*(hospitalityq!M1220="")</f>
        <v>0</v>
      </c>
      <c r="N1220">
        <f>B1220*(hospitalityq!N1220="")</f>
        <v>0</v>
      </c>
      <c r="O1220">
        <f>B1220*(hospitalityq!O1220="")</f>
        <v>0</v>
      </c>
      <c r="P1220">
        <f>B1220*(hospitalityq!P1220="")</f>
        <v>0</v>
      </c>
      <c r="Q1220">
        <f>B1220*(hospitalityq!Q1220="")</f>
        <v>0</v>
      </c>
      <c r="R1220">
        <f>B1220*(hospitalityq!R1220="")</f>
        <v>0</v>
      </c>
    </row>
    <row r="1221" spans="1:18" x14ac:dyDescent="0.25">
      <c r="A1221">
        <f t="shared" si="19"/>
        <v>0</v>
      </c>
      <c r="B1221" t="b">
        <f>SUMPRODUCT(LEN(hospitalityq!C1221:R1221))&gt;0</f>
        <v>0</v>
      </c>
      <c r="C1221">
        <f>B1221*(hospitalityq!C1221="")</f>
        <v>0</v>
      </c>
      <c r="E1221">
        <f>B1221*(hospitalityq!E1221="")</f>
        <v>0</v>
      </c>
      <c r="F1221">
        <f>B1221*(hospitalityq!F1221="")</f>
        <v>0</v>
      </c>
      <c r="G1221">
        <f>B1221*(hospitalityq!G1221="")</f>
        <v>0</v>
      </c>
      <c r="H1221">
        <f>B1221*(hospitalityq!H1221="")</f>
        <v>0</v>
      </c>
      <c r="I1221">
        <f>B1221*(hospitalityq!I1221="")</f>
        <v>0</v>
      </c>
      <c r="J1221">
        <f>B1221*(hospitalityq!J1221="")</f>
        <v>0</v>
      </c>
      <c r="K1221">
        <f>B1221*(hospitalityq!K1221="")</f>
        <v>0</v>
      </c>
      <c r="L1221">
        <f>B1221*(hospitalityq!L1221="")</f>
        <v>0</v>
      </c>
      <c r="M1221">
        <f>B1221*(hospitalityq!M1221="")</f>
        <v>0</v>
      </c>
      <c r="N1221">
        <f>B1221*(hospitalityq!N1221="")</f>
        <v>0</v>
      </c>
      <c r="O1221">
        <f>B1221*(hospitalityq!O1221="")</f>
        <v>0</v>
      </c>
      <c r="P1221">
        <f>B1221*(hospitalityq!P1221="")</f>
        <v>0</v>
      </c>
      <c r="Q1221">
        <f>B1221*(hospitalityq!Q1221="")</f>
        <v>0</v>
      </c>
      <c r="R1221">
        <f>B1221*(hospitalityq!R1221="")</f>
        <v>0</v>
      </c>
    </row>
    <row r="1222" spans="1:18" x14ac:dyDescent="0.25">
      <c r="A1222">
        <f t="shared" ref="A1222:A1285" si="20">IFERROR(MATCH(TRUE,INDEX(C1222:R1222&lt;&gt;0,),)+2,0)</f>
        <v>0</v>
      </c>
      <c r="B1222" t="b">
        <f>SUMPRODUCT(LEN(hospitalityq!C1222:R1222))&gt;0</f>
        <v>0</v>
      </c>
      <c r="C1222">
        <f>B1222*(hospitalityq!C1222="")</f>
        <v>0</v>
      </c>
      <c r="E1222">
        <f>B1222*(hospitalityq!E1222="")</f>
        <v>0</v>
      </c>
      <c r="F1222">
        <f>B1222*(hospitalityq!F1222="")</f>
        <v>0</v>
      </c>
      <c r="G1222">
        <f>B1222*(hospitalityq!G1222="")</f>
        <v>0</v>
      </c>
      <c r="H1222">
        <f>B1222*(hospitalityq!H1222="")</f>
        <v>0</v>
      </c>
      <c r="I1222">
        <f>B1222*(hospitalityq!I1222="")</f>
        <v>0</v>
      </c>
      <c r="J1222">
        <f>B1222*(hospitalityq!J1222="")</f>
        <v>0</v>
      </c>
      <c r="K1222">
        <f>B1222*(hospitalityq!K1222="")</f>
        <v>0</v>
      </c>
      <c r="L1222">
        <f>B1222*(hospitalityq!L1222="")</f>
        <v>0</v>
      </c>
      <c r="M1222">
        <f>B1222*(hospitalityq!M1222="")</f>
        <v>0</v>
      </c>
      <c r="N1222">
        <f>B1222*(hospitalityq!N1222="")</f>
        <v>0</v>
      </c>
      <c r="O1222">
        <f>B1222*(hospitalityq!O1222="")</f>
        <v>0</v>
      </c>
      <c r="P1222">
        <f>B1222*(hospitalityq!P1222="")</f>
        <v>0</v>
      </c>
      <c r="Q1222">
        <f>B1222*(hospitalityq!Q1222="")</f>
        <v>0</v>
      </c>
      <c r="R1222">
        <f>B1222*(hospitalityq!R1222="")</f>
        <v>0</v>
      </c>
    </row>
    <row r="1223" spans="1:18" x14ac:dyDescent="0.25">
      <c r="A1223">
        <f t="shared" si="20"/>
        <v>0</v>
      </c>
      <c r="B1223" t="b">
        <f>SUMPRODUCT(LEN(hospitalityq!C1223:R1223))&gt;0</f>
        <v>0</v>
      </c>
      <c r="C1223">
        <f>B1223*(hospitalityq!C1223="")</f>
        <v>0</v>
      </c>
      <c r="E1223">
        <f>B1223*(hospitalityq!E1223="")</f>
        <v>0</v>
      </c>
      <c r="F1223">
        <f>B1223*(hospitalityq!F1223="")</f>
        <v>0</v>
      </c>
      <c r="G1223">
        <f>B1223*(hospitalityq!G1223="")</f>
        <v>0</v>
      </c>
      <c r="H1223">
        <f>B1223*(hospitalityq!H1223="")</f>
        <v>0</v>
      </c>
      <c r="I1223">
        <f>B1223*(hospitalityq!I1223="")</f>
        <v>0</v>
      </c>
      <c r="J1223">
        <f>B1223*(hospitalityq!J1223="")</f>
        <v>0</v>
      </c>
      <c r="K1223">
        <f>B1223*(hospitalityq!K1223="")</f>
        <v>0</v>
      </c>
      <c r="L1223">
        <f>B1223*(hospitalityq!L1223="")</f>
        <v>0</v>
      </c>
      <c r="M1223">
        <f>B1223*(hospitalityq!M1223="")</f>
        <v>0</v>
      </c>
      <c r="N1223">
        <f>B1223*(hospitalityq!N1223="")</f>
        <v>0</v>
      </c>
      <c r="O1223">
        <f>B1223*(hospitalityq!O1223="")</f>
        <v>0</v>
      </c>
      <c r="P1223">
        <f>B1223*(hospitalityq!P1223="")</f>
        <v>0</v>
      </c>
      <c r="Q1223">
        <f>B1223*(hospitalityq!Q1223="")</f>
        <v>0</v>
      </c>
      <c r="R1223">
        <f>B1223*(hospitalityq!R1223="")</f>
        <v>0</v>
      </c>
    </row>
    <row r="1224" spans="1:18" x14ac:dyDescent="0.25">
      <c r="A1224">
        <f t="shared" si="20"/>
        <v>0</v>
      </c>
      <c r="B1224" t="b">
        <f>SUMPRODUCT(LEN(hospitalityq!C1224:R1224))&gt;0</f>
        <v>0</v>
      </c>
      <c r="C1224">
        <f>B1224*(hospitalityq!C1224="")</f>
        <v>0</v>
      </c>
      <c r="E1224">
        <f>B1224*(hospitalityq!E1224="")</f>
        <v>0</v>
      </c>
      <c r="F1224">
        <f>B1224*(hospitalityq!F1224="")</f>
        <v>0</v>
      </c>
      <c r="G1224">
        <f>B1224*(hospitalityq!G1224="")</f>
        <v>0</v>
      </c>
      <c r="H1224">
        <f>B1224*(hospitalityq!H1224="")</f>
        <v>0</v>
      </c>
      <c r="I1224">
        <f>B1224*(hospitalityq!I1224="")</f>
        <v>0</v>
      </c>
      <c r="J1224">
        <f>B1224*(hospitalityq!J1224="")</f>
        <v>0</v>
      </c>
      <c r="K1224">
        <f>B1224*(hospitalityq!K1224="")</f>
        <v>0</v>
      </c>
      <c r="L1224">
        <f>B1224*(hospitalityq!L1224="")</f>
        <v>0</v>
      </c>
      <c r="M1224">
        <f>B1224*(hospitalityq!M1224="")</f>
        <v>0</v>
      </c>
      <c r="N1224">
        <f>B1224*(hospitalityq!N1224="")</f>
        <v>0</v>
      </c>
      <c r="O1224">
        <f>B1224*(hospitalityq!O1224="")</f>
        <v>0</v>
      </c>
      <c r="P1224">
        <f>B1224*(hospitalityq!P1224="")</f>
        <v>0</v>
      </c>
      <c r="Q1224">
        <f>B1224*(hospitalityq!Q1224="")</f>
        <v>0</v>
      </c>
      <c r="R1224">
        <f>B1224*(hospitalityq!R1224="")</f>
        <v>0</v>
      </c>
    </row>
    <row r="1225" spans="1:18" x14ac:dyDescent="0.25">
      <c r="A1225">
        <f t="shared" si="20"/>
        <v>0</v>
      </c>
      <c r="B1225" t="b">
        <f>SUMPRODUCT(LEN(hospitalityq!C1225:R1225))&gt;0</f>
        <v>0</v>
      </c>
      <c r="C1225">
        <f>B1225*(hospitalityq!C1225="")</f>
        <v>0</v>
      </c>
      <c r="E1225">
        <f>B1225*(hospitalityq!E1225="")</f>
        <v>0</v>
      </c>
      <c r="F1225">
        <f>B1225*(hospitalityq!F1225="")</f>
        <v>0</v>
      </c>
      <c r="G1225">
        <f>B1225*(hospitalityq!G1225="")</f>
        <v>0</v>
      </c>
      <c r="H1225">
        <f>B1225*(hospitalityq!H1225="")</f>
        <v>0</v>
      </c>
      <c r="I1225">
        <f>B1225*(hospitalityq!I1225="")</f>
        <v>0</v>
      </c>
      <c r="J1225">
        <f>B1225*(hospitalityq!J1225="")</f>
        <v>0</v>
      </c>
      <c r="K1225">
        <f>B1225*(hospitalityq!K1225="")</f>
        <v>0</v>
      </c>
      <c r="L1225">
        <f>B1225*(hospitalityq!L1225="")</f>
        <v>0</v>
      </c>
      <c r="M1225">
        <f>B1225*(hospitalityq!M1225="")</f>
        <v>0</v>
      </c>
      <c r="N1225">
        <f>B1225*(hospitalityq!N1225="")</f>
        <v>0</v>
      </c>
      <c r="O1225">
        <f>B1225*(hospitalityq!O1225="")</f>
        <v>0</v>
      </c>
      <c r="P1225">
        <f>B1225*(hospitalityq!P1225="")</f>
        <v>0</v>
      </c>
      <c r="Q1225">
        <f>B1225*(hospitalityq!Q1225="")</f>
        <v>0</v>
      </c>
      <c r="R1225">
        <f>B1225*(hospitalityq!R1225="")</f>
        <v>0</v>
      </c>
    </row>
    <row r="1226" spans="1:18" x14ac:dyDescent="0.25">
      <c r="A1226">
        <f t="shared" si="20"/>
        <v>0</v>
      </c>
      <c r="B1226" t="b">
        <f>SUMPRODUCT(LEN(hospitalityq!C1226:R1226))&gt;0</f>
        <v>0</v>
      </c>
      <c r="C1226">
        <f>B1226*(hospitalityq!C1226="")</f>
        <v>0</v>
      </c>
      <c r="E1226">
        <f>B1226*(hospitalityq!E1226="")</f>
        <v>0</v>
      </c>
      <c r="F1226">
        <f>B1226*(hospitalityq!F1226="")</f>
        <v>0</v>
      </c>
      <c r="G1226">
        <f>B1226*(hospitalityq!G1226="")</f>
        <v>0</v>
      </c>
      <c r="H1226">
        <f>B1226*(hospitalityq!H1226="")</f>
        <v>0</v>
      </c>
      <c r="I1226">
        <f>B1226*(hospitalityq!I1226="")</f>
        <v>0</v>
      </c>
      <c r="J1226">
        <f>B1226*(hospitalityq!J1226="")</f>
        <v>0</v>
      </c>
      <c r="K1226">
        <f>B1226*(hospitalityq!K1226="")</f>
        <v>0</v>
      </c>
      <c r="L1226">
        <f>B1226*(hospitalityq!L1226="")</f>
        <v>0</v>
      </c>
      <c r="M1226">
        <f>B1226*(hospitalityq!M1226="")</f>
        <v>0</v>
      </c>
      <c r="N1226">
        <f>B1226*(hospitalityq!N1226="")</f>
        <v>0</v>
      </c>
      <c r="O1226">
        <f>B1226*(hospitalityq!O1226="")</f>
        <v>0</v>
      </c>
      <c r="P1226">
        <f>B1226*(hospitalityq!P1226="")</f>
        <v>0</v>
      </c>
      <c r="Q1226">
        <f>B1226*(hospitalityq!Q1226="")</f>
        <v>0</v>
      </c>
      <c r="R1226">
        <f>B1226*(hospitalityq!R1226="")</f>
        <v>0</v>
      </c>
    </row>
    <row r="1227" spans="1:18" x14ac:dyDescent="0.25">
      <c r="A1227">
        <f t="shared" si="20"/>
        <v>0</v>
      </c>
      <c r="B1227" t="b">
        <f>SUMPRODUCT(LEN(hospitalityq!C1227:R1227))&gt;0</f>
        <v>0</v>
      </c>
      <c r="C1227">
        <f>B1227*(hospitalityq!C1227="")</f>
        <v>0</v>
      </c>
      <c r="E1227">
        <f>B1227*(hospitalityq!E1227="")</f>
        <v>0</v>
      </c>
      <c r="F1227">
        <f>B1227*(hospitalityq!F1227="")</f>
        <v>0</v>
      </c>
      <c r="G1227">
        <f>B1227*(hospitalityq!G1227="")</f>
        <v>0</v>
      </c>
      <c r="H1227">
        <f>B1227*(hospitalityq!H1227="")</f>
        <v>0</v>
      </c>
      <c r="I1227">
        <f>B1227*(hospitalityq!I1227="")</f>
        <v>0</v>
      </c>
      <c r="J1227">
        <f>B1227*(hospitalityq!J1227="")</f>
        <v>0</v>
      </c>
      <c r="K1227">
        <f>B1227*(hospitalityq!K1227="")</f>
        <v>0</v>
      </c>
      <c r="L1227">
        <f>B1227*(hospitalityq!L1227="")</f>
        <v>0</v>
      </c>
      <c r="M1227">
        <f>B1227*(hospitalityq!M1227="")</f>
        <v>0</v>
      </c>
      <c r="N1227">
        <f>B1227*(hospitalityq!N1227="")</f>
        <v>0</v>
      </c>
      <c r="O1227">
        <f>B1227*(hospitalityq!O1227="")</f>
        <v>0</v>
      </c>
      <c r="P1227">
        <f>B1227*(hospitalityq!P1227="")</f>
        <v>0</v>
      </c>
      <c r="Q1227">
        <f>B1227*(hospitalityq!Q1227="")</f>
        <v>0</v>
      </c>
      <c r="R1227">
        <f>B1227*(hospitalityq!R1227="")</f>
        <v>0</v>
      </c>
    </row>
    <row r="1228" spans="1:18" x14ac:dyDescent="0.25">
      <c r="A1228">
        <f t="shared" si="20"/>
        <v>0</v>
      </c>
      <c r="B1228" t="b">
        <f>SUMPRODUCT(LEN(hospitalityq!C1228:R1228))&gt;0</f>
        <v>0</v>
      </c>
      <c r="C1228">
        <f>B1228*(hospitalityq!C1228="")</f>
        <v>0</v>
      </c>
      <c r="E1228">
        <f>B1228*(hospitalityq!E1228="")</f>
        <v>0</v>
      </c>
      <c r="F1228">
        <f>B1228*(hospitalityq!F1228="")</f>
        <v>0</v>
      </c>
      <c r="G1228">
        <f>B1228*(hospitalityq!G1228="")</f>
        <v>0</v>
      </c>
      <c r="H1228">
        <f>B1228*(hospitalityq!H1228="")</f>
        <v>0</v>
      </c>
      <c r="I1228">
        <f>B1228*(hospitalityq!I1228="")</f>
        <v>0</v>
      </c>
      <c r="J1228">
        <f>B1228*(hospitalityq!J1228="")</f>
        <v>0</v>
      </c>
      <c r="K1228">
        <f>B1228*(hospitalityq!K1228="")</f>
        <v>0</v>
      </c>
      <c r="L1228">
        <f>B1228*(hospitalityq!L1228="")</f>
        <v>0</v>
      </c>
      <c r="M1228">
        <f>B1228*(hospitalityq!M1228="")</f>
        <v>0</v>
      </c>
      <c r="N1228">
        <f>B1228*(hospitalityq!N1228="")</f>
        <v>0</v>
      </c>
      <c r="O1228">
        <f>B1228*(hospitalityq!O1228="")</f>
        <v>0</v>
      </c>
      <c r="P1228">
        <f>B1228*(hospitalityq!P1228="")</f>
        <v>0</v>
      </c>
      <c r="Q1228">
        <f>B1228*(hospitalityq!Q1228="")</f>
        <v>0</v>
      </c>
      <c r="R1228">
        <f>B1228*(hospitalityq!R1228="")</f>
        <v>0</v>
      </c>
    </row>
    <row r="1229" spans="1:18" x14ac:dyDescent="0.25">
      <c r="A1229">
        <f t="shared" si="20"/>
        <v>0</v>
      </c>
      <c r="B1229" t="b">
        <f>SUMPRODUCT(LEN(hospitalityq!C1229:R1229))&gt;0</f>
        <v>0</v>
      </c>
      <c r="C1229">
        <f>B1229*(hospitalityq!C1229="")</f>
        <v>0</v>
      </c>
      <c r="E1229">
        <f>B1229*(hospitalityq!E1229="")</f>
        <v>0</v>
      </c>
      <c r="F1229">
        <f>B1229*(hospitalityq!F1229="")</f>
        <v>0</v>
      </c>
      <c r="G1229">
        <f>B1229*(hospitalityq!G1229="")</f>
        <v>0</v>
      </c>
      <c r="H1229">
        <f>B1229*(hospitalityq!H1229="")</f>
        <v>0</v>
      </c>
      <c r="I1229">
        <f>B1229*(hospitalityq!I1229="")</f>
        <v>0</v>
      </c>
      <c r="J1229">
        <f>B1229*(hospitalityq!J1229="")</f>
        <v>0</v>
      </c>
      <c r="K1229">
        <f>B1229*(hospitalityq!K1229="")</f>
        <v>0</v>
      </c>
      <c r="L1229">
        <f>B1229*(hospitalityq!L1229="")</f>
        <v>0</v>
      </c>
      <c r="M1229">
        <f>B1229*(hospitalityq!M1229="")</f>
        <v>0</v>
      </c>
      <c r="N1229">
        <f>B1229*(hospitalityq!N1229="")</f>
        <v>0</v>
      </c>
      <c r="O1229">
        <f>B1229*(hospitalityq!O1229="")</f>
        <v>0</v>
      </c>
      <c r="P1229">
        <f>B1229*(hospitalityq!P1229="")</f>
        <v>0</v>
      </c>
      <c r="Q1229">
        <f>B1229*(hospitalityq!Q1229="")</f>
        <v>0</v>
      </c>
      <c r="R1229">
        <f>B1229*(hospitalityq!R1229="")</f>
        <v>0</v>
      </c>
    </row>
    <row r="1230" spans="1:18" x14ac:dyDescent="0.25">
      <c r="A1230">
        <f t="shared" si="20"/>
        <v>0</v>
      </c>
      <c r="B1230" t="b">
        <f>SUMPRODUCT(LEN(hospitalityq!C1230:R1230))&gt;0</f>
        <v>0</v>
      </c>
      <c r="C1230">
        <f>B1230*(hospitalityq!C1230="")</f>
        <v>0</v>
      </c>
      <c r="E1230">
        <f>B1230*(hospitalityq!E1230="")</f>
        <v>0</v>
      </c>
      <c r="F1230">
        <f>B1230*(hospitalityq!F1230="")</f>
        <v>0</v>
      </c>
      <c r="G1230">
        <f>B1230*(hospitalityq!G1230="")</f>
        <v>0</v>
      </c>
      <c r="H1230">
        <f>B1230*(hospitalityq!H1230="")</f>
        <v>0</v>
      </c>
      <c r="I1230">
        <f>B1230*(hospitalityq!I1230="")</f>
        <v>0</v>
      </c>
      <c r="J1230">
        <f>B1230*(hospitalityq!J1230="")</f>
        <v>0</v>
      </c>
      <c r="K1230">
        <f>B1230*(hospitalityq!K1230="")</f>
        <v>0</v>
      </c>
      <c r="L1230">
        <f>B1230*(hospitalityq!L1230="")</f>
        <v>0</v>
      </c>
      <c r="M1230">
        <f>B1230*(hospitalityq!M1230="")</f>
        <v>0</v>
      </c>
      <c r="N1230">
        <f>B1230*(hospitalityq!N1230="")</f>
        <v>0</v>
      </c>
      <c r="O1230">
        <f>B1230*(hospitalityq!O1230="")</f>
        <v>0</v>
      </c>
      <c r="P1230">
        <f>B1230*(hospitalityq!P1230="")</f>
        <v>0</v>
      </c>
      <c r="Q1230">
        <f>B1230*(hospitalityq!Q1230="")</f>
        <v>0</v>
      </c>
      <c r="R1230">
        <f>B1230*(hospitalityq!R1230="")</f>
        <v>0</v>
      </c>
    </row>
    <row r="1231" spans="1:18" x14ac:dyDescent="0.25">
      <c r="A1231">
        <f t="shared" si="20"/>
        <v>0</v>
      </c>
      <c r="B1231" t="b">
        <f>SUMPRODUCT(LEN(hospitalityq!C1231:R1231))&gt;0</f>
        <v>0</v>
      </c>
      <c r="C1231">
        <f>B1231*(hospitalityq!C1231="")</f>
        <v>0</v>
      </c>
      <c r="E1231">
        <f>B1231*(hospitalityq!E1231="")</f>
        <v>0</v>
      </c>
      <c r="F1231">
        <f>B1231*(hospitalityq!F1231="")</f>
        <v>0</v>
      </c>
      <c r="G1231">
        <f>B1231*(hospitalityq!G1231="")</f>
        <v>0</v>
      </c>
      <c r="H1231">
        <f>B1231*(hospitalityq!H1231="")</f>
        <v>0</v>
      </c>
      <c r="I1231">
        <f>B1231*(hospitalityq!I1231="")</f>
        <v>0</v>
      </c>
      <c r="J1231">
        <f>B1231*(hospitalityq!J1231="")</f>
        <v>0</v>
      </c>
      <c r="K1231">
        <f>B1231*(hospitalityq!K1231="")</f>
        <v>0</v>
      </c>
      <c r="L1231">
        <f>B1231*(hospitalityq!L1231="")</f>
        <v>0</v>
      </c>
      <c r="M1231">
        <f>B1231*(hospitalityq!M1231="")</f>
        <v>0</v>
      </c>
      <c r="N1231">
        <f>B1231*(hospitalityq!N1231="")</f>
        <v>0</v>
      </c>
      <c r="O1231">
        <f>B1231*(hospitalityq!O1231="")</f>
        <v>0</v>
      </c>
      <c r="P1231">
        <f>B1231*(hospitalityq!P1231="")</f>
        <v>0</v>
      </c>
      <c r="Q1231">
        <f>B1231*(hospitalityq!Q1231="")</f>
        <v>0</v>
      </c>
      <c r="R1231">
        <f>B1231*(hospitalityq!R1231="")</f>
        <v>0</v>
      </c>
    </row>
    <row r="1232" spans="1:18" x14ac:dyDescent="0.25">
      <c r="A1232">
        <f t="shared" si="20"/>
        <v>0</v>
      </c>
      <c r="B1232" t="b">
        <f>SUMPRODUCT(LEN(hospitalityq!C1232:R1232))&gt;0</f>
        <v>0</v>
      </c>
      <c r="C1232">
        <f>B1232*(hospitalityq!C1232="")</f>
        <v>0</v>
      </c>
      <c r="E1232">
        <f>B1232*(hospitalityq!E1232="")</f>
        <v>0</v>
      </c>
      <c r="F1232">
        <f>B1232*(hospitalityq!F1232="")</f>
        <v>0</v>
      </c>
      <c r="G1232">
        <f>B1232*(hospitalityq!G1232="")</f>
        <v>0</v>
      </c>
      <c r="H1232">
        <f>B1232*(hospitalityq!H1232="")</f>
        <v>0</v>
      </c>
      <c r="I1232">
        <f>B1232*(hospitalityq!I1232="")</f>
        <v>0</v>
      </c>
      <c r="J1232">
        <f>B1232*(hospitalityq!J1232="")</f>
        <v>0</v>
      </c>
      <c r="K1232">
        <f>B1232*(hospitalityq!K1232="")</f>
        <v>0</v>
      </c>
      <c r="L1232">
        <f>B1232*(hospitalityq!L1232="")</f>
        <v>0</v>
      </c>
      <c r="M1232">
        <f>B1232*(hospitalityq!M1232="")</f>
        <v>0</v>
      </c>
      <c r="N1232">
        <f>B1232*(hospitalityq!N1232="")</f>
        <v>0</v>
      </c>
      <c r="O1232">
        <f>B1232*(hospitalityq!O1232="")</f>
        <v>0</v>
      </c>
      <c r="P1232">
        <f>B1232*(hospitalityq!P1232="")</f>
        <v>0</v>
      </c>
      <c r="Q1232">
        <f>B1232*(hospitalityq!Q1232="")</f>
        <v>0</v>
      </c>
      <c r="R1232">
        <f>B1232*(hospitalityq!R1232="")</f>
        <v>0</v>
      </c>
    </row>
    <row r="1233" spans="1:18" x14ac:dyDescent="0.25">
      <c r="A1233">
        <f t="shared" si="20"/>
        <v>0</v>
      </c>
      <c r="B1233" t="b">
        <f>SUMPRODUCT(LEN(hospitalityq!C1233:R1233))&gt;0</f>
        <v>0</v>
      </c>
      <c r="C1233">
        <f>B1233*(hospitalityq!C1233="")</f>
        <v>0</v>
      </c>
      <c r="E1233">
        <f>B1233*(hospitalityq!E1233="")</f>
        <v>0</v>
      </c>
      <c r="F1233">
        <f>B1233*(hospitalityq!F1233="")</f>
        <v>0</v>
      </c>
      <c r="G1233">
        <f>B1233*(hospitalityq!G1233="")</f>
        <v>0</v>
      </c>
      <c r="H1233">
        <f>B1233*(hospitalityq!H1233="")</f>
        <v>0</v>
      </c>
      <c r="I1233">
        <f>B1233*(hospitalityq!I1233="")</f>
        <v>0</v>
      </c>
      <c r="J1233">
        <f>B1233*(hospitalityq!J1233="")</f>
        <v>0</v>
      </c>
      <c r="K1233">
        <f>B1233*(hospitalityq!K1233="")</f>
        <v>0</v>
      </c>
      <c r="L1233">
        <f>B1233*(hospitalityq!L1233="")</f>
        <v>0</v>
      </c>
      <c r="M1233">
        <f>B1233*(hospitalityq!M1233="")</f>
        <v>0</v>
      </c>
      <c r="N1233">
        <f>B1233*(hospitalityq!N1233="")</f>
        <v>0</v>
      </c>
      <c r="O1233">
        <f>B1233*(hospitalityq!O1233="")</f>
        <v>0</v>
      </c>
      <c r="P1233">
        <f>B1233*(hospitalityq!P1233="")</f>
        <v>0</v>
      </c>
      <c r="Q1233">
        <f>B1233*(hospitalityq!Q1233="")</f>
        <v>0</v>
      </c>
      <c r="R1233">
        <f>B1233*(hospitalityq!R1233="")</f>
        <v>0</v>
      </c>
    </row>
    <row r="1234" spans="1:18" x14ac:dyDescent="0.25">
      <c r="A1234">
        <f t="shared" si="20"/>
        <v>0</v>
      </c>
      <c r="B1234" t="b">
        <f>SUMPRODUCT(LEN(hospitalityq!C1234:R1234))&gt;0</f>
        <v>0</v>
      </c>
      <c r="C1234">
        <f>B1234*(hospitalityq!C1234="")</f>
        <v>0</v>
      </c>
      <c r="E1234">
        <f>B1234*(hospitalityq!E1234="")</f>
        <v>0</v>
      </c>
      <c r="F1234">
        <f>B1234*(hospitalityq!F1234="")</f>
        <v>0</v>
      </c>
      <c r="G1234">
        <f>B1234*(hospitalityq!G1234="")</f>
        <v>0</v>
      </c>
      <c r="H1234">
        <f>B1234*(hospitalityq!H1234="")</f>
        <v>0</v>
      </c>
      <c r="I1234">
        <f>B1234*(hospitalityq!I1234="")</f>
        <v>0</v>
      </c>
      <c r="J1234">
        <f>B1234*(hospitalityq!J1234="")</f>
        <v>0</v>
      </c>
      <c r="K1234">
        <f>B1234*(hospitalityq!K1234="")</f>
        <v>0</v>
      </c>
      <c r="L1234">
        <f>B1234*(hospitalityq!L1234="")</f>
        <v>0</v>
      </c>
      <c r="M1234">
        <f>B1234*(hospitalityq!M1234="")</f>
        <v>0</v>
      </c>
      <c r="N1234">
        <f>B1234*(hospitalityq!N1234="")</f>
        <v>0</v>
      </c>
      <c r="O1234">
        <f>B1234*(hospitalityq!O1234="")</f>
        <v>0</v>
      </c>
      <c r="P1234">
        <f>B1234*(hospitalityq!P1234="")</f>
        <v>0</v>
      </c>
      <c r="Q1234">
        <f>B1234*(hospitalityq!Q1234="")</f>
        <v>0</v>
      </c>
      <c r="R1234">
        <f>B1234*(hospitalityq!R1234="")</f>
        <v>0</v>
      </c>
    </row>
    <row r="1235" spans="1:18" x14ac:dyDescent="0.25">
      <c r="A1235">
        <f t="shared" si="20"/>
        <v>0</v>
      </c>
      <c r="B1235" t="b">
        <f>SUMPRODUCT(LEN(hospitalityq!C1235:R1235))&gt;0</f>
        <v>0</v>
      </c>
      <c r="C1235">
        <f>B1235*(hospitalityq!C1235="")</f>
        <v>0</v>
      </c>
      <c r="E1235">
        <f>B1235*(hospitalityq!E1235="")</f>
        <v>0</v>
      </c>
      <c r="F1235">
        <f>B1235*(hospitalityq!F1235="")</f>
        <v>0</v>
      </c>
      <c r="G1235">
        <f>B1235*(hospitalityq!G1235="")</f>
        <v>0</v>
      </c>
      <c r="H1235">
        <f>B1235*(hospitalityq!H1235="")</f>
        <v>0</v>
      </c>
      <c r="I1235">
        <f>B1235*(hospitalityq!I1235="")</f>
        <v>0</v>
      </c>
      <c r="J1235">
        <f>B1235*(hospitalityq!J1235="")</f>
        <v>0</v>
      </c>
      <c r="K1235">
        <f>B1235*(hospitalityq!K1235="")</f>
        <v>0</v>
      </c>
      <c r="L1235">
        <f>B1235*(hospitalityq!L1235="")</f>
        <v>0</v>
      </c>
      <c r="M1235">
        <f>B1235*(hospitalityq!M1235="")</f>
        <v>0</v>
      </c>
      <c r="N1235">
        <f>B1235*(hospitalityq!N1235="")</f>
        <v>0</v>
      </c>
      <c r="O1235">
        <f>B1235*(hospitalityq!O1235="")</f>
        <v>0</v>
      </c>
      <c r="P1235">
        <f>B1235*(hospitalityq!P1235="")</f>
        <v>0</v>
      </c>
      <c r="Q1235">
        <f>B1235*(hospitalityq!Q1235="")</f>
        <v>0</v>
      </c>
      <c r="R1235">
        <f>B1235*(hospitalityq!R1235="")</f>
        <v>0</v>
      </c>
    </row>
    <row r="1236" spans="1:18" x14ac:dyDescent="0.25">
      <c r="A1236">
        <f t="shared" si="20"/>
        <v>0</v>
      </c>
      <c r="B1236" t="b">
        <f>SUMPRODUCT(LEN(hospitalityq!C1236:R1236))&gt;0</f>
        <v>0</v>
      </c>
      <c r="C1236">
        <f>B1236*(hospitalityq!C1236="")</f>
        <v>0</v>
      </c>
      <c r="E1236">
        <f>B1236*(hospitalityq!E1236="")</f>
        <v>0</v>
      </c>
      <c r="F1236">
        <f>B1236*(hospitalityq!F1236="")</f>
        <v>0</v>
      </c>
      <c r="G1236">
        <f>B1236*(hospitalityq!G1236="")</f>
        <v>0</v>
      </c>
      <c r="H1236">
        <f>B1236*(hospitalityq!H1236="")</f>
        <v>0</v>
      </c>
      <c r="I1236">
        <f>B1236*(hospitalityq!I1236="")</f>
        <v>0</v>
      </c>
      <c r="J1236">
        <f>B1236*(hospitalityq!J1236="")</f>
        <v>0</v>
      </c>
      <c r="K1236">
        <f>B1236*(hospitalityq!K1236="")</f>
        <v>0</v>
      </c>
      <c r="L1236">
        <f>B1236*(hospitalityq!L1236="")</f>
        <v>0</v>
      </c>
      <c r="M1236">
        <f>B1236*(hospitalityq!M1236="")</f>
        <v>0</v>
      </c>
      <c r="N1236">
        <f>B1236*(hospitalityq!N1236="")</f>
        <v>0</v>
      </c>
      <c r="O1236">
        <f>B1236*(hospitalityq!O1236="")</f>
        <v>0</v>
      </c>
      <c r="P1236">
        <f>B1236*(hospitalityq!P1236="")</f>
        <v>0</v>
      </c>
      <c r="Q1236">
        <f>B1236*(hospitalityq!Q1236="")</f>
        <v>0</v>
      </c>
      <c r="R1236">
        <f>B1236*(hospitalityq!R1236="")</f>
        <v>0</v>
      </c>
    </row>
    <row r="1237" spans="1:18" x14ac:dyDescent="0.25">
      <c r="A1237">
        <f t="shared" si="20"/>
        <v>0</v>
      </c>
      <c r="B1237" t="b">
        <f>SUMPRODUCT(LEN(hospitalityq!C1237:R1237))&gt;0</f>
        <v>0</v>
      </c>
      <c r="C1237">
        <f>B1237*(hospitalityq!C1237="")</f>
        <v>0</v>
      </c>
      <c r="E1237">
        <f>B1237*(hospitalityq!E1237="")</f>
        <v>0</v>
      </c>
      <c r="F1237">
        <f>B1237*(hospitalityq!F1237="")</f>
        <v>0</v>
      </c>
      <c r="G1237">
        <f>B1237*(hospitalityq!G1237="")</f>
        <v>0</v>
      </c>
      <c r="H1237">
        <f>B1237*(hospitalityq!H1237="")</f>
        <v>0</v>
      </c>
      <c r="I1237">
        <f>B1237*(hospitalityq!I1237="")</f>
        <v>0</v>
      </c>
      <c r="J1237">
        <f>B1237*(hospitalityq!J1237="")</f>
        <v>0</v>
      </c>
      <c r="K1237">
        <f>B1237*(hospitalityq!K1237="")</f>
        <v>0</v>
      </c>
      <c r="L1237">
        <f>B1237*(hospitalityq!L1237="")</f>
        <v>0</v>
      </c>
      <c r="M1237">
        <f>B1237*(hospitalityq!M1237="")</f>
        <v>0</v>
      </c>
      <c r="N1237">
        <f>B1237*(hospitalityq!N1237="")</f>
        <v>0</v>
      </c>
      <c r="O1237">
        <f>B1237*(hospitalityq!O1237="")</f>
        <v>0</v>
      </c>
      <c r="P1237">
        <f>B1237*(hospitalityq!P1237="")</f>
        <v>0</v>
      </c>
      <c r="Q1237">
        <f>B1237*(hospitalityq!Q1237="")</f>
        <v>0</v>
      </c>
      <c r="R1237">
        <f>B1237*(hospitalityq!R1237="")</f>
        <v>0</v>
      </c>
    </row>
    <row r="1238" spans="1:18" x14ac:dyDescent="0.25">
      <c r="A1238">
        <f t="shared" si="20"/>
        <v>0</v>
      </c>
      <c r="B1238" t="b">
        <f>SUMPRODUCT(LEN(hospitalityq!C1238:R1238))&gt;0</f>
        <v>0</v>
      </c>
      <c r="C1238">
        <f>B1238*(hospitalityq!C1238="")</f>
        <v>0</v>
      </c>
      <c r="E1238">
        <f>B1238*(hospitalityq!E1238="")</f>
        <v>0</v>
      </c>
      <c r="F1238">
        <f>B1238*(hospitalityq!F1238="")</f>
        <v>0</v>
      </c>
      <c r="G1238">
        <f>B1238*(hospitalityq!G1238="")</f>
        <v>0</v>
      </c>
      <c r="H1238">
        <f>B1238*(hospitalityq!H1238="")</f>
        <v>0</v>
      </c>
      <c r="I1238">
        <f>B1238*(hospitalityq!I1238="")</f>
        <v>0</v>
      </c>
      <c r="J1238">
        <f>B1238*(hospitalityq!J1238="")</f>
        <v>0</v>
      </c>
      <c r="K1238">
        <f>B1238*(hospitalityq!K1238="")</f>
        <v>0</v>
      </c>
      <c r="L1238">
        <f>B1238*(hospitalityq!L1238="")</f>
        <v>0</v>
      </c>
      <c r="M1238">
        <f>B1238*(hospitalityq!M1238="")</f>
        <v>0</v>
      </c>
      <c r="N1238">
        <f>B1238*(hospitalityq!N1238="")</f>
        <v>0</v>
      </c>
      <c r="O1238">
        <f>B1238*(hospitalityq!O1238="")</f>
        <v>0</v>
      </c>
      <c r="P1238">
        <f>B1238*(hospitalityq!P1238="")</f>
        <v>0</v>
      </c>
      <c r="Q1238">
        <f>B1238*(hospitalityq!Q1238="")</f>
        <v>0</v>
      </c>
      <c r="R1238">
        <f>B1238*(hospitalityq!R1238="")</f>
        <v>0</v>
      </c>
    </row>
    <row r="1239" spans="1:18" x14ac:dyDescent="0.25">
      <c r="A1239">
        <f t="shared" si="20"/>
        <v>0</v>
      </c>
      <c r="B1239" t="b">
        <f>SUMPRODUCT(LEN(hospitalityq!C1239:R1239))&gt;0</f>
        <v>0</v>
      </c>
      <c r="C1239">
        <f>B1239*(hospitalityq!C1239="")</f>
        <v>0</v>
      </c>
      <c r="E1239">
        <f>B1239*(hospitalityq!E1239="")</f>
        <v>0</v>
      </c>
      <c r="F1239">
        <f>B1239*(hospitalityq!F1239="")</f>
        <v>0</v>
      </c>
      <c r="G1239">
        <f>B1239*(hospitalityq!G1239="")</f>
        <v>0</v>
      </c>
      <c r="H1239">
        <f>B1239*(hospitalityq!H1239="")</f>
        <v>0</v>
      </c>
      <c r="I1239">
        <f>B1239*(hospitalityq!I1239="")</f>
        <v>0</v>
      </c>
      <c r="J1239">
        <f>B1239*(hospitalityq!J1239="")</f>
        <v>0</v>
      </c>
      <c r="K1239">
        <f>B1239*(hospitalityq!K1239="")</f>
        <v>0</v>
      </c>
      <c r="L1239">
        <f>B1239*(hospitalityq!L1239="")</f>
        <v>0</v>
      </c>
      <c r="M1239">
        <f>B1239*(hospitalityq!M1239="")</f>
        <v>0</v>
      </c>
      <c r="N1239">
        <f>B1239*(hospitalityq!N1239="")</f>
        <v>0</v>
      </c>
      <c r="O1239">
        <f>B1239*(hospitalityq!O1239="")</f>
        <v>0</v>
      </c>
      <c r="P1239">
        <f>B1239*(hospitalityq!P1239="")</f>
        <v>0</v>
      </c>
      <c r="Q1239">
        <f>B1239*(hospitalityq!Q1239="")</f>
        <v>0</v>
      </c>
      <c r="R1239">
        <f>B1239*(hospitalityq!R1239="")</f>
        <v>0</v>
      </c>
    </row>
    <row r="1240" spans="1:18" x14ac:dyDescent="0.25">
      <c r="A1240">
        <f t="shared" si="20"/>
        <v>0</v>
      </c>
      <c r="B1240" t="b">
        <f>SUMPRODUCT(LEN(hospitalityq!C1240:R1240))&gt;0</f>
        <v>0</v>
      </c>
      <c r="C1240">
        <f>B1240*(hospitalityq!C1240="")</f>
        <v>0</v>
      </c>
      <c r="E1240">
        <f>B1240*(hospitalityq!E1240="")</f>
        <v>0</v>
      </c>
      <c r="F1240">
        <f>B1240*(hospitalityq!F1240="")</f>
        <v>0</v>
      </c>
      <c r="G1240">
        <f>B1240*(hospitalityq!G1240="")</f>
        <v>0</v>
      </c>
      <c r="H1240">
        <f>B1240*(hospitalityq!H1240="")</f>
        <v>0</v>
      </c>
      <c r="I1240">
        <f>B1240*(hospitalityq!I1240="")</f>
        <v>0</v>
      </c>
      <c r="J1240">
        <f>B1240*(hospitalityq!J1240="")</f>
        <v>0</v>
      </c>
      <c r="K1240">
        <f>B1240*(hospitalityq!K1240="")</f>
        <v>0</v>
      </c>
      <c r="L1240">
        <f>B1240*(hospitalityq!L1240="")</f>
        <v>0</v>
      </c>
      <c r="M1240">
        <f>B1240*(hospitalityq!M1240="")</f>
        <v>0</v>
      </c>
      <c r="N1240">
        <f>B1240*(hospitalityq!N1240="")</f>
        <v>0</v>
      </c>
      <c r="O1240">
        <f>B1240*(hospitalityq!O1240="")</f>
        <v>0</v>
      </c>
      <c r="P1240">
        <f>B1240*(hospitalityq!P1240="")</f>
        <v>0</v>
      </c>
      <c r="Q1240">
        <f>B1240*(hospitalityq!Q1240="")</f>
        <v>0</v>
      </c>
      <c r="R1240">
        <f>B1240*(hospitalityq!R1240="")</f>
        <v>0</v>
      </c>
    </row>
    <row r="1241" spans="1:18" x14ac:dyDescent="0.25">
      <c r="A1241">
        <f t="shared" si="20"/>
        <v>0</v>
      </c>
      <c r="B1241" t="b">
        <f>SUMPRODUCT(LEN(hospitalityq!C1241:R1241))&gt;0</f>
        <v>0</v>
      </c>
      <c r="C1241">
        <f>B1241*(hospitalityq!C1241="")</f>
        <v>0</v>
      </c>
      <c r="E1241">
        <f>B1241*(hospitalityq!E1241="")</f>
        <v>0</v>
      </c>
      <c r="F1241">
        <f>B1241*(hospitalityq!F1241="")</f>
        <v>0</v>
      </c>
      <c r="G1241">
        <f>B1241*(hospitalityq!G1241="")</f>
        <v>0</v>
      </c>
      <c r="H1241">
        <f>B1241*(hospitalityq!H1241="")</f>
        <v>0</v>
      </c>
      <c r="I1241">
        <f>B1241*(hospitalityq!I1241="")</f>
        <v>0</v>
      </c>
      <c r="J1241">
        <f>B1241*(hospitalityq!J1241="")</f>
        <v>0</v>
      </c>
      <c r="K1241">
        <f>B1241*(hospitalityq!K1241="")</f>
        <v>0</v>
      </c>
      <c r="L1241">
        <f>B1241*(hospitalityq!L1241="")</f>
        <v>0</v>
      </c>
      <c r="M1241">
        <f>B1241*(hospitalityq!M1241="")</f>
        <v>0</v>
      </c>
      <c r="N1241">
        <f>B1241*(hospitalityq!N1241="")</f>
        <v>0</v>
      </c>
      <c r="O1241">
        <f>B1241*(hospitalityq!O1241="")</f>
        <v>0</v>
      </c>
      <c r="P1241">
        <f>B1241*(hospitalityq!P1241="")</f>
        <v>0</v>
      </c>
      <c r="Q1241">
        <f>B1241*(hospitalityq!Q1241="")</f>
        <v>0</v>
      </c>
      <c r="R1241">
        <f>B1241*(hospitalityq!R1241="")</f>
        <v>0</v>
      </c>
    </row>
    <row r="1242" spans="1:18" x14ac:dyDescent="0.25">
      <c r="A1242">
        <f t="shared" si="20"/>
        <v>0</v>
      </c>
      <c r="B1242" t="b">
        <f>SUMPRODUCT(LEN(hospitalityq!C1242:R1242))&gt;0</f>
        <v>0</v>
      </c>
      <c r="C1242">
        <f>B1242*(hospitalityq!C1242="")</f>
        <v>0</v>
      </c>
      <c r="E1242">
        <f>B1242*(hospitalityq!E1242="")</f>
        <v>0</v>
      </c>
      <c r="F1242">
        <f>B1242*(hospitalityq!F1242="")</f>
        <v>0</v>
      </c>
      <c r="G1242">
        <f>B1242*(hospitalityq!G1242="")</f>
        <v>0</v>
      </c>
      <c r="H1242">
        <f>B1242*(hospitalityq!H1242="")</f>
        <v>0</v>
      </c>
      <c r="I1242">
        <f>B1242*(hospitalityq!I1242="")</f>
        <v>0</v>
      </c>
      <c r="J1242">
        <f>B1242*(hospitalityq!J1242="")</f>
        <v>0</v>
      </c>
      <c r="K1242">
        <f>B1242*(hospitalityq!K1242="")</f>
        <v>0</v>
      </c>
      <c r="L1242">
        <f>B1242*(hospitalityq!L1242="")</f>
        <v>0</v>
      </c>
      <c r="M1242">
        <f>B1242*(hospitalityq!M1242="")</f>
        <v>0</v>
      </c>
      <c r="N1242">
        <f>B1242*(hospitalityq!N1242="")</f>
        <v>0</v>
      </c>
      <c r="O1242">
        <f>B1242*(hospitalityq!O1242="")</f>
        <v>0</v>
      </c>
      <c r="P1242">
        <f>B1242*(hospitalityq!P1242="")</f>
        <v>0</v>
      </c>
      <c r="Q1242">
        <f>B1242*(hospitalityq!Q1242="")</f>
        <v>0</v>
      </c>
      <c r="R1242">
        <f>B1242*(hospitalityq!R1242="")</f>
        <v>0</v>
      </c>
    </row>
    <row r="1243" spans="1:18" x14ac:dyDescent="0.25">
      <c r="A1243">
        <f t="shared" si="20"/>
        <v>0</v>
      </c>
      <c r="B1243" t="b">
        <f>SUMPRODUCT(LEN(hospitalityq!C1243:R1243))&gt;0</f>
        <v>0</v>
      </c>
      <c r="C1243">
        <f>B1243*(hospitalityq!C1243="")</f>
        <v>0</v>
      </c>
      <c r="E1243">
        <f>B1243*(hospitalityq!E1243="")</f>
        <v>0</v>
      </c>
      <c r="F1243">
        <f>B1243*(hospitalityq!F1243="")</f>
        <v>0</v>
      </c>
      <c r="G1243">
        <f>B1243*(hospitalityq!G1243="")</f>
        <v>0</v>
      </c>
      <c r="H1243">
        <f>B1243*(hospitalityq!H1243="")</f>
        <v>0</v>
      </c>
      <c r="I1243">
        <f>B1243*(hospitalityq!I1243="")</f>
        <v>0</v>
      </c>
      <c r="J1243">
        <f>B1243*(hospitalityq!J1243="")</f>
        <v>0</v>
      </c>
      <c r="K1243">
        <f>B1243*(hospitalityq!K1243="")</f>
        <v>0</v>
      </c>
      <c r="L1243">
        <f>B1243*(hospitalityq!L1243="")</f>
        <v>0</v>
      </c>
      <c r="M1243">
        <f>B1243*(hospitalityq!M1243="")</f>
        <v>0</v>
      </c>
      <c r="N1243">
        <f>B1243*(hospitalityq!N1243="")</f>
        <v>0</v>
      </c>
      <c r="O1243">
        <f>B1243*(hospitalityq!O1243="")</f>
        <v>0</v>
      </c>
      <c r="P1243">
        <f>B1243*(hospitalityq!P1243="")</f>
        <v>0</v>
      </c>
      <c r="Q1243">
        <f>B1243*(hospitalityq!Q1243="")</f>
        <v>0</v>
      </c>
      <c r="R1243">
        <f>B1243*(hospitalityq!R1243="")</f>
        <v>0</v>
      </c>
    </row>
    <row r="1244" spans="1:18" x14ac:dyDescent="0.25">
      <c r="A1244">
        <f t="shared" si="20"/>
        <v>0</v>
      </c>
      <c r="B1244" t="b">
        <f>SUMPRODUCT(LEN(hospitalityq!C1244:R1244))&gt;0</f>
        <v>0</v>
      </c>
      <c r="C1244">
        <f>B1244*(hospitalityq!C1244="")</f>
        <v>0</v>
      </c>
      <c r="E1244">
        <f>B1244*(hospitalityq!E1244="")</f>
        <v>0</v>
      </c>
      <c r="F1244">
        <f>B1244*(hospitalityq!F1244="")</f>
        <v>0</v>
      </c>
      <c r="G1244">
        <f>B1244*(hospitalityq!G1244="")</f>
        <v>0</v>
      </c>
      <c r="H1244">
        <f>B1244*(hospitalityq!H1244="")</f>
        <v>0</v>
      </c>
      <c r="I1244">
        <f>B1244*(hospitalityq!I1244="")</f>
        <v>0</v>
      </c>
      <c r="J1244">
        <f>B1244*(hospitalityq!J1244="")</f>
        <v>0</v>
      </c>
      <c r="K1244">
        <f>B1244*(hospitalityq!K1244="")</f>
        <v>0</v>
      </c>
      <c r="L1244">
        <f>B1244*(hospitalityq!L1244="")</f>
        <v>0</v>
      </c>
      <c r="M1244">
        <f>B1244*(hospitalityq!M1244="")</f>
        <v>0</v>
      </c>
      <c r="N1244">
        <f>B1244*(hospitalityq!N1244="")</f>
        <v>0</v>
      </c>
      <c r="O1244">
        <f>B1244*(hospitalityq!O1244="")</f>
        <v>0</v>
      </c>
      <c r="P1244">
        <f>B1244*(hospitalityq!P1244="")</f>
        <v>0</v>
      </c>
      <c r="Q1244">
        <f>B1244*(hospitalityq!Q1244="")</f>
        <v>0</v>
      </c>
      <c r="R1244">
        <f>B1244*(hospitalityq!R1244="")</f>
        <v>0</v>
      </c>
    </row>
    <row r="1245" spans="1:18" x14ac:dyDescent="0.25">
      <c r="A1245">
        <f t="shared" si="20"/>
        <v>0</v>
      </c>
      <c r="B1245" t="b">
        <f>SUMPRODUCT(LEN(hospitalityq!C1245:R1245))&gt;0</f>
        <v>0</v>
      </c>
      <c r="C1245">
        <f>B1245*(hospitalityq!C1245="")</f>
        <v>0</v>
      </c>
      <c r="E1245">
        <f>B1245*(hospitalityq!E1245="")</f>
        <v>0</v>
      </c>
      <c r="F1245">
        <f>B1245*(hospitalityq!F1245="")</f>
        <v>0</v>
      </c>
      <c r="G1245">
        <f>B1245*(hospitalityq!G1245="")</f>
        <v>0</v>
      </c>
      <c r="H1245">
        <f>B1245*(hospitalityq!H1245="")</f>
        <v>0</v>
      </c>
      <c r="I1245">
        <f>B1245*(hospitalityq!I1245="")</f>
        <v>0</v>
      </c>
      <c r="J1245">
        <f>B1245*(hospitalityq!J1245="")</f>
        <v>0</v>
      </c>
      <c r="K1245">
        <f>B1245*(hospitalityq!K1245="")</f>
        <v>0</v>
      </c>
      <c r="L1245">
        <f>B1245*(hospitalityq!L1245="")</f>
        <v>0</v>
      </c>
      <c r="M1245">
        <f>B1245*(hospitalityq!M1245="")</f>
        <v>0</v>
      </c>
      <c r="N1245">
        <f>B1245*(hospitalityq!N1245="")</f>
        <v>0</v>
      </c>
      <c r="O1245">
        <f>B1245*(hospitalityq!O1245="")</f>
        <v>0</v>
      </c>
      <c r="P1245">
        <f>B1245*(hospitalityq!P1245="")</f>
        <v>0</v>
      </c>
      <c r="Q1245">
        <f>B1245*(hospitalityq!Q1245="")</f>
        <v>0</v>
      </c>
      <c r="R1245">
        <f>B1245*(hospitalityq!R1245="")</f>
        <v>0</v>
      </c>
    </row>
    <row r="1246" spans="1:18" x14ac:dyDescent="0.25">
      <c r="A1246">
        <f t="shared" si="20"/>
        <v>0</v>
      </c>
      <c r="B1246" t="b">
        <f>SUMPRODUCT(LEN(hospitalityq!C1246:R1246))&gt;0</f>
        <v>0</v>
      </c>
      <c r="C1246">
        <f>B1246*(hospitalityq!C1246="")</f>
        <v>0</v>
      </c>
      <c r="E1246">
        <f>B1246*(hospitalityq!E1246="")</f>
        <v>0</v>
      </c>
      <c r="F1246">
        <f>B1246*(hospitalityq!F1246="")</f>
        <v>0</v>
      </c>
      <c r="G1246">
        <f>B1246*(hospitalityq!G1246="")</f>
        <v>0</v>
      </c>
      <c r="H1246">
        <f>B1246*(hospitalityq!H1246="")</f>
        <v>0</v>
      </c>
      <c r="I1246">
        <f>B1246*(hospitalityq!I1246="")</f>
        <v>0</v>
      </c>
      <c r="J1246">
        <f>B1246*(hospitalityq!J1246="")</f>
        <v>0</v>
      </c>
      <c r="K1246">
        <f>B1246*(hospitalityq!K1246="")</f>
        <v>0</v>
      </c>
      <c r="L1246">
        <f>B1246*(hospitalityq!L1246="")</f>
        <v>0</v>
      </c>
      <c r="M1246">
        <f>B1246*(hospitalityq!M1246="")</f>
        <v>0</v>
      </c>
      <c r="N1246">
        <f>B1246*(hospitalityq!N1246="")</f>
        <v>0</v>
      </c>
      <c r="O1246">
        <f>B1246*(hospitalityq!O1246="")</f>
        <v>0</v>
      </c>
      <c r="P1246">
        <f>B1246*(hospitalityq!P1246="")</f>
        <v>0</v>
      </c>
      <c r="Q1246">
        <f>B1246*(hospitalityq!Q1246="")</f>
        <v>0</v>
      </c>
      <c r="R1246">
        <f>B1246*(hospitalityq!R1246="")</f>
        <v>0</v>
      </c>
    </row>
    <row r="1247" spans="1:18" x14ac:dyDescent="0.25">
      <c r="A1247">
        <f t="shared" si="20"/>
        <v>0</v>
      </c>
      <c r="B1247" t="b">
        <f>SUMPRODUCT(LEN(hospitalityq!C1247:R1247))&gt;0</f>
        <v>0</v>
      </c>
      <c r="C1247">
        <f>B1247*(hospitalityq!C1247="")</f>
        <v>0</v>
      </c>
      <c r="E1247">
        <f>B1247*(hospitalityq!E1247="")</f>
        <v>0</v>
      </c>
      <c r="F1247">
        <f>B1247*(hospitalityq!F1247="")</f>
        <v>0</v>
      </c>
      <c r="G1247">
        <f>B1247*(hospitalityq!G1247="")</f>
        <v>0</v>
      </c>
      <c r="H1247">
        <f>B1247*(hospitalityq!H1247="")</f>
        <v>0</v>
      </c>
      <c r="I1247">
        <f>B1247*(hospitalityq!I1247="")</f>
        <v>0</v>
      </c>
      <c r="J1247">
        <f>B1247*(hospitalityq!J1247="")</f>
        <v>0</v>
      </c>
      <c r="K1247">
        <f>B1247*(hospitalityq!K1247="")</f>
        <v>0</v>
      </c>
      <c r="L1247">
        <f>B1247*(hospitalityq!L1247="")</f>
        <v>0</v>
      </c>
      <c r="M1247">
        <f>B1247*(hospitalityq!M1247="")</f>
        <v>0</v>
      </c>
      <c r="N1247">
        <f>B1247*(hospitalityq!N1247="")</f>
        <v>0</v>
      </c>
      <c r="O1247">
        <f>B1247*(hospitalityq!O1247="")</f>
        <v>0</v>
      </c>
      <c r="P1247">
        <f>B1247*(hospitalityq!P1247="")</f>
        <v>0</v>
      </c>
      <c r="Q1247">
        <f>B1247*(hospitalityq!Q1247="")</f>
        <v>0</v>
      </c>
      <c r="R1247">
        <f>B1247*(hospitalityq!R1247="")</f>
        <v>0</v>
      </c>
    </row>
    <row r="1248" spans="1:18" x14ac:dyDescent="0.25">
      <c r="A1248">
        <f t="shared" si="20"/>
        <v>0</v>
      </c>
      <c r="B1248" t="b">
        <f>SUMPRODUCT(LEN(hospitalityq!C1248:R1248))&gt;0</f>
        <v>0</v>
      </c>
      <c r="C1248">
        <f>B1248*(hospitalityq!C1248="")</f>
        <v>0</v>
      </c>
      <c r="E1248">
        <f>B1248*(hospitalityq!E1248="")</f>
        <v>0</v>
      </c>
      <c r="F1248">
        <f>B1248*(hospitalityq!F1248="")</f>
        <v>0</v>
      </c>
      <c r="G1248">
        <f>B1248*(hospitalityq!G1248="")</f>
        <v>0</v>
      </c>
      <c r="H1248">
        <f>B1248*(hospitalityq!H1248="")</f>
        <v>0</v>
      </c>
      <c r="I1248">
        <f>B1248*(hospitalityq!I1248="")</f>
        <v>0</v>
      </c>
      <c r="J1248">
        <f>B1248*(hospitalityq!J1248="")</f>
        <v>0</v>
      </c>
      <c r="K1248">
        <f>B1248*(hospitalityq!K1248="")</f>
        <v>0</v>
      </c>
      <c r="L1248">
        <f>B1248*(hospitalityq!L1248="")</f>
        <v>0</v>
      </c>
      <c r="M1248">
        <f>B1248*(hospitalityq!M1248="")</f>
        <v>0</v>
      </c>
      <c r="N1248">
        <f>B1248*(hospitalityq!N1248="")</f>
        <v>0</v>
      </c>
      <c r="O1248">
        <f>B1248*(hospitalityq!O1248="")</f>
        <v>0</v>
      </c>
      <c r="P1248">
        <f>B1248*(hospitalityq!P1248="")</f>
        <v>0</v>
      </c>
      <c r="Q1248">
        <f>B1248*(hospitalityq!Q1248="")</f>
        <v>0</v>
      </c>
      <c r="R1248">
        <f>B1248*(hospitalityq!R1248="")</f>
        <v>0</v>
      </c>
    </row>
    <row r="1249" spans="1:18" x14ac:dyDescent="0.25">
      <c r="A1249">
        <f t="shared" si="20"/>
        <v>0</v>
      </c>
      <c r="B1249" t="b">
        <f>SUMPRODUCT(LEN(hospitalityq!C1249:R1249))&gt;0</f>
        <v>0</v>
      </c>
      <c r="C1249">
        <f>B1249*(hospitalityq!C1249="")</f>
        <v>0</v>
      </c>
      <c r="E1249">
        <f>B1249*(hospitalityq!E1249="")</f>
        <v>0</v>
      </c>
      <c r="F1249">
        <f>B1249*(hospitalityq!F1249="")</f>
        <v>0</v>
      </c>
      <c r="G1249">
        <f>B1249*(hospitalityq!G1249="")</f>
        <v>0</v>
      </c>
      <c r="H1249">
        <f>B1249*(hospitalityq!H1249="")</f>
        <v>0</v>
      </c>
      <c r="I1249">
        <f>B1249*(hospitalityq!I1249="")</f>
        <v>0</v>
      </c>
      <c r="J1249">
        <f>B1249*(hospitalityq!J1249="")</f>
        <v>0</v>
      </c>
      <c r="K1249">
        <f>B1249*(hospitalityq!K1249="")</f>
        <v>0</v>
      </c>
      <c r="L1249">
        <f>B1249*(hospitalityq!L1249="")</f>
        <v>0</v>
      </c>
      <c r="M1249">
        <f>B1249*(hospitalityq!M1249="")</f>
        <v>0</v>
      </c>
      <c r="N1249">
        <f>B1249*(hospitalityq!N1249="")</f>
        <v>0</v>
      </c>
      <c r="O1249">
        <f>B1249*(hospitalityq!O1249="")</f>
        <v>0</v>
      </c>
      <c r="P1249">
        <f>B1249*(hospitalityq!P1249="")</f>
        <v>0</v>
      </c>
      <c r="Q1249">
        <f>B1249*(hospitalityq!Q1249="")</f>
        <v>0</v>
      </c>
      <c r="R1249">
        <f>B1249*(hospitalityq!R1249="")</f>
        <v>0</v>
      </c>
    </row>
    <row r="1250" spans="1:18" x14ac:dyDescent="0.25">
      <c r="A1250">
        <f t="shared" si="20"/>
        <v>0</v>
      </c>
      <c r="B1250" t="b">
        <f>SUMPRODUCT(LEN(hospitalityq!C1250:R1250))&gt;0</f>
        <v>0</v>
      </c>
      <c r="C1250">
        <f>B1250*(hospitalityq!C1250="")</f>
        <v>0</v>
      </c>
      <c r="E1250">
        <f>B1250*(hospitalityq!E1250="")</f>
        <v>0</v>
      </c>
      <c r="F1250">
        <f>B1250*(hospitalityq!F1250="")</f>
        <v>0</v>
      </c>
      <c r="G1250">
        <f>B1250*(hospitalityq!G1250="")</f>
        <v>0</v>
      </c>
      <c r="H1250">
        <f>B1250*(hospitalityq!H1250="")</f>
        <v>0</v>
      </c>
      <c r="I1250">
        <f>B1250*(hospitalityq!I1250="")</f>
        <v>0</v>
      </c>
      <c r="J1250">
        <f>B1250*(hospitalityq!J1250="")</f>
        <v>0</v>
      </c>
      <c r="K1250">
        <f>B1250*(hospitalityq!K1250="")</f>
        <v>0</v>
      </c>
      <c r="L1250">
        <f>B1250*(hospitalityq!L1250="")</f>
        <v>0</v>
      </c>
      <c r="M1250">
        <f>B1250*(hospitalityq!M1250="")</f>
        <v>0</v>
      </c>
      <c r="N1250">
        <f>B1250*(hospitalityq!N1250="")</f>
        <v>0</v>
      </c>
      <c r="O1250">
        <f>B1250*(hospitalityq!O1250="")</f>
        <v>0</v>
      </c>
      <c r="P1250">
        <f>B1250*(hospitalityq!P1250="")</f>
        <v>0</v>
      </c>
      <c r="Q1250">
        <f>B1250*(hospitalityq!Q1250="")</f>
        <v>0</v>
      </c>
      <c r="R1250">
        <f>B1250*(hospitalityq!R1250="")</f>
        <v>0</v>
      </c>
    </row>
    <row r="1251" spans="1:18" x14ac:dyDescent="0.25">
      <c r="A1251">
        <f t="shared" si="20"/>
        <v>0</v>
      </c>
      <c r="B1251" t="b">
        <f>SUMPRODUCT(LEN(hospitalityq!C1251:R1251))&gt;0</f>
        <v>0</v>
      </c>
      <c r="C1251">
        <f>B1251*(hospitalityq!C1251="")</f>
        <v>0</v>
      </c>
      <c r="E1251">
        <f>B1251*(hospitalityq!E1251="")</f>
        <v>0</v>
      </c>
      <c r="F1251">
        <f>B1251*(hospitalityq!F1251="")</f>
        <v>0</v>
      </c>
      <c r="G1251">
        <f>B1251*(hospitalityq!G1251="")</f>
        <v>0</v>
      </c>
      <c r="H1251">
        <f>B1251*(hospitalityq!H1251="")</f>
        <v>0</v>
      </c>
      <c r="I1251">
        <f>B1251*(hospitalityq!I1251="")</f>
        <v>0</v>
      </c>
      <c r="J1251">
        <f>B1251*(hospitalityq!J1251="")</f>
        <v>0</v>
      </c>
      <c r="K1251">
        <f>B1251*(hospitalityq!K1251="")</f>
        <v>0</v>
      </c>
      <c r="L1251">
        <f>B1251*(hospitalityq!L1251="")</f>
        <v>0</v>
      </c>
      <c r="M1251">
        <f>B1251*(hospitalityq!M1251="")</f>
        <v>0</v>
      </c>
      <c r="N1251">
        <f>B1251*(hospitalityq!N1251="")</f>
        <v>0</v>
      </c>
      <c r="O1251">
        <f>B1251*(hospitalityq!O1251="")</f>
        <v>0</v>
      </c>
      <c r="P1251">
        <f>B1251*(hospitalityq!P1251="")</f>
        <v>0</v>
      </c>
      <c r="Q1251">
        <f>B1251*(hospitalityq!Q1251="")</f>
        <v>0</v>
      </c>
      <c r="R1251">
        <f>B1251*(hospitalityq!R1251="")</f>
        <v>0</v>
      </c>
    </row>
    <row r="1252" spans="1:18" x14ac:dyDescent="0.25">
      <c r="A1252">
        <f t="shared" si="20"/>
        <v>0</v>
      </c>
      <c r="B1252" t="b">
        <f>SUMPRODUCT(LEN(hospitalityq!C1252:R1252))&gt;0</f>
        <v>0</v>
      </c>
      <c r="C1252">
        <f>B1252*(hospitalityq!C1252="")</f>
        <v>0</v>
      </c>
      <c r="E1252">
        <f>B1252*(hospitalityq!E1252="")</f>
        <v>0</v>
      </c>
      <c r="F1252">
        <f>B1252*(hospitalityq!F1252="")</f>
        <v>0</v>
      </c>
      <c r="G1252">
        <f>B1252*(hospitalityq!G1252="")</f>
        <v>0</v>
      </c>
      <c r="H1252">
        <f>B1252*(hospitalityq!H1252="")</f>
        <v>0</v>
      </c>
      <c r="I1252">
        <f>B1252*(hospitalityq!I1252="")</f>
        <v>0</v>
      </c>
      <c r="J1252">
        <f>B1252*(hospitalityq!J1252="")</f>
        <v>0</v>
      </c>
      <c r="K1252">
        <f>B1252*(hospitalityq!K1252="")</f>
        <v>0</v>
      </c>
      <c r="L1252">
        <f>B1252*(hospitalityq!L1252="")</f>
        <v>0</v>
      </c>
      <c r="M1252">
        <f>B1252*(hospitalityq!M1252="")</f>
        <v>0</v>
      </c>
      <c r="N1252">
        <f>B1252*(hospitalityq!N1252="")</f>
        <v>0</v>
      </c>
      <c r="O1252">
        <f>B1252*(hospitalityq!O1252="")</f>
        <v>0</v>
      </c>
      <c r="P1252">
        <f>B1252*(hospitalityq!P1252="")</f>
        <v>0</v>
      </c>
      <c r="Q1252">
        <f>B1252*(hospitalityq!Q1252="")</f>
        <v>0</v>
      </c>
      <c r="R1252">
        <f>B1252*(hospitalityq!R1252="")</f>
        <v>0</v>
      </c>
    </row>
    <row r="1253" spans="1:18" x14ac:dyDescent="0.25">
      <c r="A1253">
        <f t="shared" si="20"/>
        <v>0</v>
      </c>
      <c r="B1253" t="b">
        <f>SUMPRODUCT(LEN(hospitalityq!C1253:R1253))&gt;0</f>
        <v>0</v>
      </c>
      <c r="C1253">
        <f>B1253*(hospitalityq!C1253="")</f>
        <v>0</v>
      </c>
      <c r="E1253">
        <f>B1253*(hospitalityq!E1253="")</f>
        <v>0</v>
      </c>
      <c r="F1253">
        <f>B1253*(hospitalityq!F1253="")</f>
        <v>0</v>
      </c>
      <c r="G1253">
        <f>B1253*(hospitalityq!G1253="")</f>
        <v>0</v>
      </c>
      <c r="H1253">
        <f>B1253*(hospitalityq!H1253="")</f>
        <v>0</v>
      </c>
      <c r="I1253">
        <f>B1253*(hospitalityq!I1253="")</f>
        <v>0</v>
      </c>
      <c r="J1253">
        <f>B1253*(hospitalityq!J1253="")</f>
        <v>0</v>
      </c>
      <c r="K1253">
        <f>B1253*(hospitalityq!K1253="")</f>
        <v>0</v>
      </c>
      <c r="L1253">
        <f>B1253*(hospitalityq!L1253="")</f>
        <v>0</v>
      </c>
      <c r="M1253">
        <f>B1253*(hospitalityq!M1253="")</f>
        <v>0</v>
      </c>
      <c r="N1253">
        <f>B1253*(hospitalityq!N1253="")</f>
        <v>0</v>
      </c>
      <c r="O1253">
        <f>B1253*(hospitalityq!O1253="")</f>
        <v>0</v>
      </c>
      <c r="P1253">
        <f>B1253*(hospitalityq!P1253="")</f>
        <v>0</v>
      </c>
      <c r="Q1253">
        <f>B1253*(hospitalityq!Q1253="")</f>
        <v>0</v>
      </c>
      <c r="R1253">
        <f>B1253*(hospitalityq!R1253="")</f>
        <v>0</v>
      </c>
    </row>
    <row r="1254" spans="1:18" x14ac:dyDescent="0.25">
      <c r="A1254">
        <f t="shared" si="20"/>
        <v>0</v>
      </c>
      <c r="B1254" t="b">
        <f>SUMPRODUCT(LEN(hospitalityq!C1254:R1254))&gt;0</f>
        <v>0</v>
      </c>
      <c r="C1254">
        <f>B1254*(hospitalityq!C1254="")</f>
        <v>0</v>
      </c>
      <c r="E1254">
        <f>B1254*(hospitalityq!E1254="")</f>
        <v>0</v>
      </c>
      <c r="F1254">
        <f>B1254*(hospitalityq!F1254="")</f>
        <v>0</v>
      </c>
      <c r="G1254">
        <f>B1254*(hospitalityq!G1254="")</f>
        <v>0</v>
      </c>
      <c r="H1254">
        <f>B1254*(hospitalityq!H1254="")</f>
        <v>0</v>
      </c>
      <c r="I1254">
        <f>B1254*(hospitalityq!I1254="")</f>
        <v>0</v>
      </c>
      <c r="J1254">
        <f>B1254*(hospitalityq!J1254="")</f>
        <v>0</v>
      </c>
      <c r="K1254">
        <f>B1254*(hospitalityq!K1254="")</f>
        <v>0</v>
      </c>
      <c r="L1254">
        <f>B1254*(hospitalityq!L1254="")</f>
        <v>0</v>
      </c>
      <c r="M1254">
        <f>B1254*(hospitalityq!M1254="")</f>
        <v>0</v>
      </c>
      <c r="N1254">
        <f>B1254*(hospitalityq!N1254="")</f>
        <v>0</v>
      </c>
      <c r="O1254">
        <f>B1254*(hospitalityq!O1254="")</f>
        <v>0</v>
      </c>
      <c r="P1254">
        <f>B1254*(hospitalityq!P1254="")</f>
        <v>0</v>
      </c>
      <c r="Q1254">
        <f>B1254*(hospitalityq!Q1254="")</f>
        <v>0</v>
      </c>
      <c r="R1254">
        <f>B1254*(hospitalityq!R1254="")</f>
        <v>0</v>
      </c>
    </row>
    <row r="1255" spans="1:18" x14ac:dyDescent="0.25">
      <c r="A1255">
        <f t="shared" si="20"/>
        <v>0</v>
      </c>
      <c r="B1255" t="b">
        <f>SUMPRODUCT(LEN(hospitalityq!C1255:R1255))&gt;0</f>
        <v>0</v>
      </c>
      <c r="C1255">
        <f>B1255*(hospitalityq!C1255="")</f>
        <v>0</v>
      </c>
      <c r="E1255">
        <f>B1255*(hospitalityq!E1255="")</f>
        <v>0</v>
      </c>
      <c r="F1255">
        <f>B1255*(hospitalityq!F1255="")</f>
        <v>0</v>
      </c>
      <c r="G1255">
        <f>B1255*(hospitalityq!G1255="")</f>
        <v>0</v>
      </c>
      <c r="H1255">
        <f>B1255*(hospitalityq!H1255="")</f>
        <v>0</v>
      </c>
      <c r="I1255">
        <f>B1255*(hospitalityq!I1255="")</f>
        <v>0</v>
      </c>
      <c r="J1255">
        <f>B1255*(hospitalityq!J1255="")</f>
        <v>0</v>
      </c>
      <c r="K1255">
        <f>B1255*(hospitalityq!K1255="")</f>
        <v>0</v>
      </c>
      <c r="L1255">
        <f>B1255*(hospitalityq!L1255="")</f>
        <v>0</v>
      </c>
      <c r="M1255">
        <f>B1255*(hospitalityq!M1255="")</f>
        <v>0</v>
      </c>
      <c r="N1255">
        <f>B1255*(hospitalityq!N1255="")</f>
        <v>0</v>
      </c>
      <c r="O1255">
        <f>B1255*(hospitalityq!O1255="")</f>
        <v>0</v>
      </c>
      <c r="P1255">
        <f>B1255*(hospitalityq!P1255="")</f>
        <v>0</v>
      </c>
      <c r="Q1255">
        <f>B1255*(hospitalityq!Q1255="")</f>
        <v>0</v>
      </c>
      <c r="R1255">
        <f>B1255*(hospitalityq!R1255="")</f>
        <v>0</v>
      </c>
    </row>
    <row r="1256" spans="1:18" x14ac:dyDescent="0.25">
      <c r="A1256">
        <f t="shared" si="20"/>
        <v>0</v>
      </c>
      <c r="B1256" t="b">
        <f>SUMPRODUCT(LEN(hospitalityq!C1256:R1256))&gt;0</f>
        <v>0</v>
      </c>
      <c r="C1256">
        <f>B1256*(hospitalityq!C1256="")</f>
        <v>0</v>
      </c>
      <c r="E1256">
        <f>B1256*(hospitalityq!E1256="")</f>
        <v>0</v>
      </c>
      <c r="F1256">
        <f>B1256*(hospitalityq!F1256="")</f>
        <v>0</v>
      </c>
      <c r="G1256">
        <f>B1256*(hospitalityq!G1256="")</f>
        <v>0</v>
      </c>
      <c r="H1256">
        <f>B1256*(hospitalityq!H1256="")</f>
        <v>0</v>
      </c>
      <c r="I1256">
        <f>B1256*(hospitalityq!I1256="")</f>
        <v>0</v>
      </c>
      <c r="J1256">
        <f>B1256*(hospitalityq!J1256="")</f>
        <v>0</v>
      </c>
      <c r="K1256">
        <f>B1256*(hospitalityq!K1256="")</f>
        <v>0</v>
      </c>
      <c r="L1256">
        <f>B1256*(hospitalityq!L1256="")</f>
        <v>0</v>
      </c>
      <c r="M1256">
        <f>B1256*(hospitalityq!M1256="")</f>
        <v>0</v>
      </c>
      <c r="N1256">
        <f>B1256*(hospitalityq!N1256="")</f>
        <v>0</v>
      </c>
      <c r="O1256">
        <f>B1256*(hospitalityq!O1256="")</f>
        <v>0</v>
      </c>
      <c r="P1256">
        <f>B1256*(hospitalityq!P1256="")</f>
        <v>0</v>
      </c>
      <c r="Q1256">
        <f>B1256*(hospitalityq!Q1256="")</f>
        <v>0</v>
      </c>
      <c r="R1256">
        <f>B1256*(hospitalityq!R1256="")</f>
        <v>0</v>
      </c>
    </row>
    <row r="1257" spans="1:18" x14ac:dyDescent="0.25">
      <c r="A1257">
        <f t="shared" si="20"/>
        <v>0</v>
      </c>
      <c r="B1257" t="b">
        <f>SUMPRODUCT(LEN(hospitalityq!C1257:R1257))&gt;0</f>
        <v>0</v>
      </c>
      <c r="C1257">
        <f>B1257*(hospitalityq!C1257="")</f>
        <v>0</v>
      </c>
      <c r="E1257">
        <f>B1257*(hospitalityq!E1257="")</f>
        <v>0</v>
      </c>
      <c r="F1257">
        <f>B1257*(hospitalityq!F1257="")</f>
        <v>0</v>
      </c>
      <c r="G1257">
        <f>B1257*(hospitalityq!G1257="")</f>
        <v>0</v>
      </c>
      <c r="H1257">
        <f>B1257*(hospitalityq!H1257="")</f>
        <v>0</v>
      </c>
      <c r="I1257">
        <f>B1257*(hospitalityq!I1257="")</f>
        <v>0</v>
      </c>
      <c r="J1257">
        <f>B1257*(hospitalityq!J1257="")</f>
        <v>0</v>
      </c>
      <c r="K1257">
        <f>B1257*(hospitalityq!K1257="")</f>
        <v>0</v>
      </c>
      <c r="L1257">
        <f>B1257*(hospitalityq!L1257="")</f>
        <v>0</v>
      </c>
      <c r="M1257">
        <f>B1257*(hospitalityq!M1257="")</f>
        <v>0</v>
      </c>
      <c r="N1257">
        <f>B1257*(hospitalityq!N1257="")</f>
        <v>0</v>
      </c>
      <c r="O1257">
        <f>B1257*(hospitalityq!O1257="")</f>
        <v>0</v>
      </c>
      <c r="P1257">
        <f>B1257*(hospitalityq!P1257="")</f>
        <v>0</v>
      </c>
      <c r="Q1257">
        <f>B1257*(hospitalityq!Q1257="")</f>
        <v>0</v>
      </c>
      <c r="R1257">
        <f>B1257*(hospitalityq!R1257="")</f>
        <v>0</v>
      </c>
    </row>
    <row r="1258" spans="1:18" x14ac:dyDescent="0.25">
      <c r="A1258">
        <f t="shared" si="20"/>
        <v>0</v>
      </c>
      <c r="B1258" t="b">
        <f>SUMPRODUCT(LEN(hospitalityq!C1258:R1258))&gt;0</f>
        <v>0</v>
      </c>
      <c r="C1258">
        <f>B1258*(hospitalityq!C1258="")</f>
        <v>0</v>
      </c>
      <c r="E1258">
        <f>B1258*(hospitalityq!E1258="")</f>
        <v>0</v>
      </c>
      <c r="F1258">
        <f>B1258*(hospitalityq!F1258="")</f>
        <v>0</v>
      </c>
      <c r="G1258">
        <f>B1258*(hospitalityq!G1258="")</f>
        <v>0</v>
      </c>
      <c r="H1258">
        <f>B1258*(hospitalityq!H1258="")</f>
        <v>0</v>
      </c>
      <c r="I1258">
        <f>B1258*(hospitalityq!I1258="")</f>
        <v>0</v>
      </c>
      <c r="J1258">
        <f>B1258*(hospitalityq!J1258="")</f>
        <v>0</v>
      </c>
      <c r="K1258">
        <f>B1258*(hospitalityq!K1258="")</f>
        <v>0</v>
      </c>
      <c r="L1258">
        <f>B1258*(hospitalityq!L1258="")</f>
        <v>0</v>
      </c>
      <c r="M1258">
        <f>B1258*(hospitalityq!M1258="")</f>
        <v>0</v>
      </c>
      <c r="N1258">
        <f>B1258*(hospitalityq!N1258="")</f>
        <v>0</v>
      </c>
      <c r="O1258">
        <f>B1258*(hospitalityq!O1258="")</f>
        <v>0</v>
      </c>
      <c r="P1258">
        <f>B1258*(hospitalityq!P1258="")</f>
        <v>0</v>
      </c>
      <c r="Q1258">
        <f>B1258*(hospitalityq!Q1258="")</f>
        <v>0</v>
      </c>
      <c r="R1258">
        <f>B1258*(hospitalityq!R1258="")</f>
        <v>0</v>
      </c>
    </row>
    <row r="1259" spans="1:18" x14ac:dyDescent="0.25">
      <c r="A1259">
        <f t="shared" si="20"/>
        <v>0</v>
      </c>
      <c r="B1259" t="b">
        <f>SUMPRODUCT(LEN(hospitalityq!C1259:R1259))&gt;0</f>
        <v>0</v>
      </c>
      <c r="C1259">
        <f>B1259*(hospitalityq!C1259="")</f>
        <v>0</v>
      </c>
      <c r="E1259">
        <f>B1259*(hospitalityq!E1259="")</f>
        <v>0</v>
      </c>
      <c r="F1259">
        <f>B1259*(hospitalityq!F1259="")</f>
        <v>0</v>
      </c>
      <c r="G1259">
        <f>B1259*(hospitalityq!G1259="")</f>
        <v>0</v>
      </c>
      <c r="H1259">
        <f>B1259*(hospitalityq!H1259="")</f>
        <v>0</v>
      </c>
      <c r="I1259">
        <f>B1259*(hospitalityq!I1259="")</f>
        <v>0</v>
      </c>
      <c r="J1259">
        <f>B1259*(hospitalityq!J1259="")</f>
        <v>0</v>
      </c>
      <c r="K1259">
        <f>B1259*(hospitalityq!K1259="")</f>
        <v>0</v>
      </c>
      <c r="L1259">
        <f>B1259*(hospitalityq!L1259="")</f>
        <v>0</v>
      </c>
      <c r="M1259">
        <f>B1259*(hospitalityq!M1259="")</f>
        <v>0</v>
      </c>
      <c r="N1259">
        <f>B1259*(hospitalityq!N1259="")</f>
        <v>0</v>
      </c>
      <c r="O1259">
        <f>B1259*(hospitalityq!O1259="")</f>
        <v>0</v>
      </c>
      <c r="P1259">
        <f>B1259*(hospitalityq!P1259="")</f>
        <v>0</v>
      </c>
      <c r="Q1259">
        <f>B1259*(hospitalityq!Q1259="")</f>
        <v>0</v>
      </c>
      <c r="R1259">
        <f>B1259*(hospitalityq!R1259="")</f>
        <v>0</v>
      </c>
    </row>
    <row r="1260" spans="1:18" x14ac:dyDescent="0.25">
      <c r="A1260">
        <f t="shared" si="20"/>
        <v>0</v>
      </c>
      <c r="B1260" t="b">
        <f>SUMPRODUCT(LEN(hospitalityq!C1260:R1260))&gt;0</f>
        <v>0</v>
      </c>
      <c r="C1260">
        <f>B1260*(hospitalityq!C1260="")</f>
        <v>0</v>
      </c>
      <c r="E1260">
        <f>B1260*(hospitalityq!E1260="")</f>
        <v>0</v>
      </c>
      <c r="F1260">
        <f>B1260*(hospitalityq!F1260="")</f>
        <v>0</v>
      </c>
      <c r="G1260">
        <f>B1260*(hospitalityq!G1260="")</f>
        <v>0</v>
      </c>
      <c r="H1260">
        <f>B1260*(hospitalityq!H1260="")</f>
        <v>0</v>
      </c>
      <c r="I1260">
        <f>B1260*(hospitalityq!I1260="")</f>
        <v>0</v>
      </c>
      <c r="J1260">
        <f>B1260*(hospitalityq!J1260="")</f>
        <v>0</v>
      </c>
      <c r="K1260">
        <f>B1260*(hospitalityq!K1260="")</f>
        <v>0</v>
      </c>
      <c r="L1260">
        <f>B1260*(hospitalityq!L1260="")</f>
        <v>0</v>
      </c>
      <c r="M1260">
        <f>B1260*(hospitalityq!M1260="")</f>
        <v>0</v>
      </c>
      <c r="N1260">
        <f>B1260*(hospitalityq!N1260="")</f>
        <v>0</v>
      </c>
      <c r="O1260">
        <f>B1260*(hospitalityq!O1260="")</f>
        <v>0</v>
      </c>
      <c r="P1260">
        <f>B1260*(hospitalityq!P1260="")</f>
        <v>0</v>
      </c>
      <c r="Q1260">
        <f>B1260*(hospitalityq!Q1260="")</f>
        <v>0</v>
      </c>
      <c r="R1260">
        <f>B1260*(hospitalityq!R1260="")</f>
        <v>0</v>
      </c>
    </row>
    <row r="1261" spans="1:18" x14ac:dyDescent="0.25">
      <c r="A1261">
        <f t="shared" si="20"/>
        <v>0</v>
      </c>
      <c r="B1261" t="b">
        <f>SUMPRODUCT(LEN(hospitalityq!C1261:R1261))&gt;0</f>
        <v>0</v>
      </c>
      <c r="C1261">
        <f>B1261*(hospitalityq!C1261="")</f>
        <v>0</v>
      </c>
      <c r="E1261">
        <f>B1261*(hospitalityq!E1261="")</f>
        <v>0</v>
      </c>
      <c r="F1261">
        <f>B1261*(hospitalityq!F1261="")</f>
        <v>0</v>
      </c>
      <c r="G1261">
        <f>B1261*(hospitalityq!G1261="")</f>
        <v>0</v>
      </c>
      <c r="H1261">
        <f>B1261*(hospitalityq!H1261="")</f>
        <v>0</v>
      </c>
      <c r="I1261">
        <f>B1261*(hospitalityq!I1261="")</f>
        <v>0</v>
      </c>
      <c r="J1261">
        <f>B1261*(hospitalityq!J1261="")</f>
        <v>0</v>
      </c>
      <c r="K1261">
        <f>B1261*(hospitalityq!K1261="")</f>
        <v>0</v>
      </c>
      <c r="L1261">
        <f>B1261*(hospitalityq!L1261="")</f>
        <v>0</v>
      </c>
      <c r="M1261">
        <f>B1261*(hospitalityq!M1261="")</f>
        <v>0</v>
      </c>
      <c r="N1261">
        <f>B1261*(hospitalityq!N1261="")</f>
        <v>0</v>
      </c>
      <c r="O1261">
        <f>B1261*(hospitalityq!O1261="")</f>
        <v>0</v>
      </c>
      <c r="P1261">
        <f>B1261*(hospitalityq!P1261="")</f>
        <v>0</v>
      </c>
      <c r="Q1261">
        <f>B1261*(hospitalityq!Q1261="")</f>
        <v>0</v>
      </c>
      <c r="R1261">
        <f>B1261*(hospitalityq!R1261="")</f>
        <v>0</v>
      </c>
    </row>
    <row r="1262" spans="1:18" x14ac:dyDescent="0.25">
      <c r="A1262">
        <f t="shared" si="20"/>
        <v>0</v>
      </c>
      <c r="B1262" t="b">
        <f>SUMPRODUCT(LEN(hospitalityq!C1262:R1262))&gt;0</f>
        <v>0</v>
      </c>
      <c r="C1262">
        <f>B1262*(hospitalityq!C1262="")</f>
        <v>0</v>
      </c>
      <c r="E1262">
        <f>B1262*(hospitalityq!E1262="")</f>
        <v>0</v>
      </c>
      <c r="F1262">
        <f>B1262*(hospitalityq!F1262="")</f>
        <v>0</v>
      </c>
      <c r="G1262">
        <f>B1262*(hospitalityq!G1262="")</f>
        <v>0</v>
      </c>
      <c r="H1262">
        <f>B1262*(hospitalityq!H1262="")</f>
        <v>0</v>
      </c>
      <c r="I1262">
        <f>B1262*(hospitalityq!I1262="")</f>
        <v>0</v>
      </c>
      <c r="J1262">
        <f>B1262*(hospitalityq!J1262="")</f>
        <v>0</v>
      </c>
      <c r="K1262">
        <f>B1262*(hospitalityq!K1262="")</f>
        <v>0</v>
      </c>
      <c r="L1262">
        <f>B1262*(hospitalityq!L1262="")</f>
        <v>0</v>
      </c>
      <c r="M1262">
        <f>B1262*(hospitalityq!M1262="")</f>
        <v>0</v>
      </c>
      <c r="N1262">
        <f>B1262*(hospitalityq!N1262="")</f>
        <v>0</v>
      </c>
      <c r="O1262">
        <f>B1262*(hospitalityq!O1262="")</f>
        <v>0</v>
      </c>
      <c r="P1262">
        <f>B1262*(hospitalityq!P1262="")</f>
        <v>0</v>
      </c>
      <c r="Q1262">
        <f>B1262*(hospitalityq!Q1262="")</f>
        <v>0</v>
      </c>
      <c r="R1262">
        <f>B1262*(hospitalityq!R1262="")</f>
        <v>0</v>
      </c>
    </row>
    <row r="1263" spans="1:18" x14ac:dyDescent="0.25">
      <c r="A1263">
        <f t="shared" si="20"/>
        <v>0</v>
      </c>
      <c r="B1263" t="b">
        <f>SUMPRODUCT(LEN(hospitalityq!C1263:R1263))&gt;0</f>
        <v>0</v>
      </c>
      <c r="C1263">
        <f>B1263*(hospitalityq!C1263="")</f>
        <v>0</v>
      </c>
      <c r="E1263">
        <f>B1263*(hospitalityq!E1263="")</f>
        <v>0</v>
      </c>
      <c r="F1263">
        <f>B1263*(hospitalityq!F1263="")</f>
        <v>0</v>
      </c>
      <c r="G1263">
        <f>B1263*(hospitalityq!G1263="")</f>
        <v>0</v>
      </c>
      <c r="H1263">
        <f>B1263*(hospitalityq!H1263="")</f>
        <v>0</v>
      </c>
      <c r="I1263">
        <f>B1263*(hospitalityq!I1263="")</f>
        <v>0</v>
      </c>
      <c r="J1263">
        <f>B1263*(hospitalityq!J1263="")</f>
        <v>0</v>
      </c>
      <c r="K1263">
        <f>B1263*(hospitalityq!K1263="")</f>
        <v>0</v>
      </c>
      <c r="L1263">
        <f>B1263*(hospitalityq!L1263="")</f>
        <v>0</v>
      </c>
      <c r="M1263">
        <f>B1263*(hospitalityq!M1263="")</f>
        <v>0</v>
      </c>
      <c r="N1263">
        <f>B1263*(hospitalityq!N1263="")</f>
        <v>0</v>
      </c>
      <c r="O1263">
        <f>B1263*(hospitalityq!O1263="")</f>
        <v>0</v>
      </c>
      <c r="P1263">
        <f>B1263*(hospitalityq!P1263="")</f>
        <v>0</v>
      </c>
      <c r="Q1263">
        <f>B1263*(hospitalityq!Q1263="")</f>
        <v>0</v>
      </c>
      <c r="R1263">
        <f>B1263*(hospitalityq!R1263="")</f>
        <v>0</v>
      </c>
    </row>
    <row r="1264" spans="1:18" x14ac:dyDescent="0.25">
      <c r="A1264">
        <f t="shared" si="20"/>
        <v>0</v>
      </c>
      <c r="B1264" t="b">
        <f>SUMPRODUCT(LEN(hospitalityq!C1264:R1264))&gt;0</f>
        <v>0</v>
      </c>
      <c r="C1264">
        <f>B1264*(hospitalityq!C1264="")</f>
        <v>0</v>
      </c>
      <c r="E1264">
        <f>B1264*(hospitalityq!E1264="")</f>
        <v>0</v>
      </c>
      <c r="F1264">
        <f>B1264*(hospitalityq!F1264="")</f>
        <v>0</v>
      </c>
      <c r="G1264">
        <f>B1264*(hospitalityq!G1264="")</f>
        <v>0</v>
      </c>
      <c r="H1264">
        <f>B1264*(hospitalityq!H1264="")</f>
        <v>0</v>
      </c>
      <c r="I1264">
        <f>B1264*(hospitalityq!I1264="")</f>
        <v>0</v>
      </c>
      <c r="J1264">
        <f>B1264*(hospitalityq!J1264="")</f>
        <v>0</v>
      </c>
      <c r="K1264">
        <f>B1264*(hospitalityq!K1264="")</f>
        <v>0</v>
      </c>
      <c r="L1264">
        <f>B1264*(hospitalityq!L1264="")</f>
        <v>0</v>
      </c>
      <c r="M1264">
        <f>B1264*(hospitalityq!M1264="")</f>
        <v>0</v>
      </c>
      <c r="N1264">
        <f>B1264*(hospitalityq!N1264="")</f>
        <v>0</v>
      </c>
      <c r="O1264">
        <f>B1264*(hospitalityq!O1264="")</f>
        <v>0</v>
      </c>
      <c r="P1264">
        <f>B1264*(hospitalityq!P1264="")</f>
        <v>0</v>
      </c>
      <c r="Q1264">
        <f>B1264*(hospitalityq!Q1264="")</f>
        <v>0</v>
      </c>
      <c r="R1264">
        <f>B1264*(hospitalityq!R1264="")</f>
        <v>0</v>
      </c>
    </row>
    <row r="1265" spans="1:18" x14ac:dyDescent="0.25">
      <c r="A1265">
        <f t="shared" si="20"/>
        <v>0</v>
      </c>
      <c r="B1265" t="b">
        <f>SUMPRODUCT(LEN(hospitalityq!C1265:R1265))&gt;0</f>
        <v>0</v>
      </c>
      <c r="C1265">
        <f>B1265*(hospitalityq!C1265="")</f>
        <v>0</v>
      </c>
      <c r="E1265">
        <f>B1265*(hospitalityq!E1265="")</f>
        <v>0</v>
      </c>
      <c r="F1265">
        <f>B1265*(hospitalityq!F1265="")</f>
        <v>0</v>
      </c>
      <c r="G1265">
        <f>B1265*(hospitalityq!G1265="")</f>
        <v>0</v>
      </c>
      <c r="H1265">
        <f>B1265*(hospitalityq!H1265="")</f>
        <v>0</v>
      </c>
      <c r="I1265">
        <f>B1265*(hospitalityq!I1265="")</f>
        <v>0</v>
      </c>
      <c r="J1265">
        <f>B1265*(hospitalityq!J1265="")</f>
        <v>0</v>
      </c>
      <c r="K1265">
        <f>B1265*(hospitalityq!K1265="")</f>
        <v>0</v>
      </c>
      <c r="L1265">
        <f>B1265*(hospitalityq!L1265="")</f>
        <v>0</v>
      </c>
      <c r="M1265">
        <f>B1265*(hospitalityq!M1265="")</f>
        <v>0</v>
      </c>
      <c r="N1265">
        <f>B1265*(hospitalityq!N1265="")</f>
        <v>0</v>
      </c>
      <c r="O1265">
        <f>B1265*(hospitalityq!O1265="")</f>
        <v>0</v>
      </c>
      <c r="P1265">
        <f>B1265*(hospitalityq!P1265="")</f>
        <v>0</v>
      </c>
      <c r="Q1265">
        <f>B1265*(hospitalityq!Q1265="")</f>
        <v>0</v>
      </c>
      <c r="R1265">
        <f>B1265*(hospitalityq!R1265="")</f>
        <v>0</v>
      </c>
    </row>
    <row r="1266" spans="1:18" x14ac:dyDescent="0.25">
      <c r="A1266">
        <f t="shared" si="20"/>
        <v>0</v>
      </c>
      <c r="B1266" t="b">
        <f>SUMPRODUCT(LEN(hospitalityq!C1266:R1266))&gt;0</f>
        <v>0</v>
      </c>
      <c r="C1266">
        <f>B1266*(hospitalityq!C1266="")</f>
        <v>0</v>
      </c>
      <c r="E1266">
        <f>B1266*(hospitalityq!E1266="")</f>
        <v>0</v>
      </c>
      <c r="F1266">
        <f>B1266*(hospitalityq!F1266="")</f>
        <v>0</v>
      </c>
      <c r="G1266">
        <f>B1266*(hospitalityq!G1266="")</f>
        <v>0</v>
      </c>
      <c r="H1266">
        <f>B1266*(hospitalityq!H1266="")</f>
        <v>0</v>
      </c>
      <c r="I1266">
        <f>B1266*(hospitalityq!I1266="")</f>
        <v>0</v>
      </c>
      <c r="J1266">
        <f>B1266*(hospitalityq!J1266="")</f>
        <v>0</v>
      </c>
      <c r="K1266">
        <f>B1266*(hospitalityq!K1266="")</f>
        <v>0</v>
      </c>
      <c r="L1266">
        <f>B1266*(hospitalityq!L1266="")</f>
        <v>0</v>
      </c>
      <c r="M1266">
        <f>B1266*(hospitalityq!M1266="")</f>
        <v>0</v>
      </c>
      <c r="N1266">
        <f>B1266*(hospitalityq!N1266="")</f>
        <v>0</v>
      </c>
      <c r="O1266">
        <f>B1266*(hospitalityq!O1266="")</f>
        <v>0</v>
      </c>
      <c r="P1266">
        <f>B1266*(hospitalityq!P1266="")</f>
        <v>0</v>
      </c>
      <c r="Q1266">
        <f>B1266*(hospitalityq!Q1266="")</f>
        <v>0</v>
      </c>
      <c r="R1266">
        <f>B1266*(hospitalityq!R1266="")</f>
        <v>0</v>
      </c>
    </row>
    <row r="1267" spans="1:18" x14ac:dyDescent="0.25">
      <c r="A1267">
        <f t="shared" si="20"/>
        <v>0</v>
      </c>
      <c r="B1267" t="b">
        <f>SUMPRODUCT(LEN(hospitalityq!C1267:R1267))&gt;0</f>
        <v>0</v>
      </c>
      <c r="C1267">
        <f>B1267*(hospitalityq!C1267="")</f>
        <v>0</v>
      </c>
      <c r="E1267">
        <f>B1267*(hospitalityq!E1267="")</f>
        <v>0</v>
      </c>
      <c r="F1267">
        <f>B1267*(hospitalityq!F1267="")</f>
        <v>0</v>
      </c>
      <c r="G1267">
        <f>B1267*(hospitalityq!G1267="")</f>
        <v>0</v>
      </c>
      <c r="H1267">
        <f>B1267*(hospitalityq!H1267="")</f>
        <v>0</v>
      </c>
      <c r="I1267">
        <f>B1267*(hospitalityq!I1267="")</f>
        <v>0</v>
      </c>
      <c r="J1267">
        <f>B1267*(hospitalityq!J1267="")</f>
        <v>0</v>
      </c>
      <c r="K1267">
        <f>B1267*(hospitalityq!K1267="")</f>
        <v>0</v>
      </c>
      <c r="L1267">
        <f>B1267*(hospitalityq!L1267="")</f>
        <v>0</v>
      </c>
      <c r="M1267">
        <f>B1267*(hospitalityq!M1267="")</f>
        <v>0</v>
      </c>
      <c r="N1267">
        <f>B1267*(hospitalityq!N1267="")</f>
        <v>0</v>
      </c>
      <c r="O1267">
        <f>B1267*(hospitalityq!O1267="")</f>
        <v>0</v>
      </c>
      <c r="P1267">
        <f>B1267*(hospitalityq!P1267="")</f>
        <v>0</v>
      </c>
      <c r="Q1267">
        <f>B1267*(hospitalityq!Q1267="")</f>
        <v>0</v>
      </c>
      <c r="R1267">
        <f>B1267*(hospitalityq!R1267="")</f>
        <v>0</v>
      </c>
    </row>
    <row r="1268" spans="1:18" x14ac:dyDescent="0.25">
      <c r="A1268">
        <f t="shared" si="20"/>
        <v>0</v>
      </c>
      <c r="B1268" t="b">
        <f>SUMPRODUCT(LEN(hospitalityq!C1268:R1268))&gt;0</f>
        <v>0</v>
      </c>
      <c r="C1268">
        <f>B1268*(hospitalityq!C1268="")</f>
        <v>0</v>
      </c>
      <c r="E1268">
        <f>B1268*(hospitalityq!E1268="")</f>
        <v>0</v>
      </c>
      <c r="F1268">
        <f>B1268*(hospitalityq!F1268="")</f>
        <v>0</v>
      </c>
      <c r="G1268">
        <f>B1268*(hospitalityq!G1268="")</f>
        <v>0</v>
      </c>
      <c r="H1268">
        <f>B1268*(hospitalityq!H1268="")</f>
        <v>0</v>
      </c>
      <c r="I1268">
        <f>B1268*(hospitalityq!I1268="")</f>
        <v>0</v>
      </c>
      <c r="J1268">
        <f>B1268*(hospitalityq!J1268="")</f>
        <v>0</v>
      </c>
      <c r="K1268">
        <f>B1268*(hospitalityq!K1268="")</f>
        <v>0</v>
      </c>
      <c r="L1268">
        <f>B1268*(hospitalityq!L1268="")</f>
        <v>0</v>
      </c>
      <c r="M1268">
        <f>B1268*(hospitalityq!M1268="")</f>
        <v>0</v>
      </c>
      <c r="N1268">
        <f>B1268*(hospitalityq!N1268="")</f>
        <v>0</v>
      </c>
      <c r="O1268">
        <f>B1268*(hospitalityq!O1268="")</f>
        <v>0</v>
      </c>
      <c r="P1268">
        <f>B1268*(hospitalityq!P1268="")</f>
        <v>0</v>
      </c>
      <c r="Q1268">
        <f>B1268*(hospitalityq!Q1268="")</f>
        <v>0</v>
      </c>
      <c r="R1268">
        <f>B1268*(hospitalityq!R1268="")</f>
        <v>0</v>
      </c>
    </row>
    <row r="1269" spans="1:18" x14ac:dyDescent="0.25">
      <c r="A1269">
        <f t="shared" si="20"/>
        <v>0</v>
      </c>
      <c r="B1269" t="b">
        <f>SUMPRODUCT(LEN(hospitalityq!C1269:R1269))&gt;0</f>
        <v>0</v>
      </c>
      <c r="C1269">
        <f>B1269*(hospitalityq!C1269="")</f>
        <v>0</v>
      </c>
      <c r="E1269">
        <f>B1269*(hospitalityq!E1269="")</f>
        <v>0</v>
      </c>
      <c r="F1269">
        <f>B1269*(hospitalityq!F1269="")</f>
        <v>0</v>
      </c>
      <c r="G1269">
        <f>B1269*(hospitalityq!G1269="")</f>
        <v>0</v>
      </c>
      <c r="H1269">
        <f>B1269*(hospitalityq!H1269="")</f>
        <v>0</v>
      </c>
      <c r="I1269">
        <f>B1269*(hospitalityq!I1269="")</f>
        <v>0</v>
      </c>
      <c r="J1269">
        <f>B1269*(hospitalityq!J1269="")</f>
        <v>0</v>
      </c>
      <c r="K1269">
        <f>B1269*(hospitalityq!K1269="")</f>
        <v>0</v>
      </c>
      <c r="L1269">
        <f>B1269*(hospitalityq!L1269="")</f>
        <v>0</v>
      </c>
      <c r="M1269">
        <f>B1269*(hospitalityq!M1269="")</f>
        <v>0</v>
      </c>
      <c r="N1269">
        <f>B1269*(hospitalityq!N1269="")</f>
        <v>0</v>
      </c>
      <c r="O1269">
        <f>B1269*(hospitalityq!O1269="")</f>
        <v>0</v>
      </c>
      <c r="P1269">
        <f>B1269*(hospitalityq!P1269="")</f>
        <v>0</v>
      </c>
      <c r="Q1269">
        <f>B1269*(hospitalityq!Q1269="")</f>
        <v>0</v>
      </c>
      <c r="R1269">
        <f>B1269*(hospitalityq!R1269="")</f>
        <v>0</v>
      </c>
    </row>
    <row r="1270" spans="1:18" x14ac:dyDescent="0.25">
      <c r="A1270">
        <f t="shared" si="20"/>
        <v>0</v>
      </c>
      <c r="B1270" t="b">
        <f>SUMPRODUCT(LEN(hospitalityq!C1270:R1270))&gt;0</f>
        <v>0</v>
      </c>
      <c r="C1270">
        <f>B1270*(hospitalityq!C1270="")</f>
        <v>0</v>
      </c>
      <c r="E1270">
        <f>B1270*(hospitalityq!E1270="")</f>
        <v>0</v>
      </c>
      <c r="F1270">
        <f>B1270*(hospitalityq!F1270="")</f>
        <v>0</v>
      </c>
      <c r="G1270">
        <f>B1270*(hospitalityq!G1270="")</f>
        <v>0</v>
      </c>
      <c r="H1270">
        <f>B1270*(hospitalityq!H1270="")</f>
        <v>0</v>
      </c>
      <c r="I1270">
        <f>B1270*(hospitalityq!I1270="")</f>
        <v>0</v>
      </c>
      <c r="J1270">
        <f>B1270*(hospitalityq!J1270="")</f>
        <v>0</v>
      </c>
      <c r="K1270">
        <f>B1270*(hospitalityq!K1270="")</f>
        <v>0</v>
      </c>
      <c r="L1270">
        <f>B1270*(hospitalityq!L1270="")</f>
        <v>0</v>
      </c>
      <c r="M1270">
        <f>B1270*(hospitalityq!M1270="")</f>
        <v>0</v>
      </c>
      <c r="N1270">
        <f>B1270*(hospitalityq!N1270="")</f>
        <v>0</v>
      </c>
      <c r="O1270">
        <f>B1270*(hospitalityq!O1270="")</f>
        <v>0</v>
      </c>
      <c r="P1270">
        <f>B1270*(hospitalityq!P1270="")</f>
        <v>0</v>
      </c>
      <c r="Q1270">
        <f>B1270*(hospitalityq!Q1270="")</f>
        <v>0</v>
      </c>
      <c r="R1270">
        <f>B1270*(hospitalityq!R1270="")</f>
        <v>0</v>
      </c>
    </row>
    <row r="1271" spans="1:18" x14ac:dyDescent="0.25">
      <c r="A1271">
        <f t="shared" si="20"/>
        <v>0</v>
      </c>
      <c r="B1271" t="b">
        <f>SUMPRODUCT(LEN(hospitalityq!C1271:R1271))&gt;0</f>
        <v>0</v>
      </c>
      <c r="C1271">
        <f>B1271*(hospitalityq!C1271="")</f>
        <v>0</v>
      </c>
      <c r="E1271">
        <f>B1271*(hospitalityq!E1271="")</f>
        <v>0</v>
      </c>
      <c r="F1271">
        <f>B1271*(hospitalityq!F1271="")</f>
        <v>0</v>
      </c>
      <c r="G1271">
        <f>B1271*(hospitalityq!G1271="")</f>
        <v>0</v>
      </c>
      <c r="H1271">
        <f>B1271*(hospitalityq!H1271="")</f>
        <v>0</v>
      </c>
      <c r="I1271">
        <f>B1271*(hospitalityq!I1271="")</f>
        <v>0</v>
      </c>
      <c r="J1271">
        <f>B1271*(hospitalityq!J1271="")</f>
        <v>0</v>
      </c>
      <c r="K1271">
        <f>B1271*(hospitalityq!K1271="")</f>
        <v>0</v>
      </c>
      <c r="L1271">
        <f>B1271*(hospitalityq!L1271="")</f>
        <v>0</v>
      </c>
      <c r="M1271">
        <f>B1271*(hospitalityq!M1271="")</f>
        <v>0</v>
      </c>
      <c r="N1271">
        <f>B1271*(hospitalityq!N1271="")</f>
        <v>0</v>
      </c>
      <c r="O1271">
        <f>B1271*(hospitalityq!O1271="")</f>
        <v>0</v>
      </c>
      <c r="P1271">
        <f>B1271*(hospitalityq!P1271="")</f>
        <v>0</v>
      </c>
      <c r="Q1271">
        <f>B1271*(hospitalityq!Q1271="")</f>
        <v>0</v>
      </c>
      <c r="R1271">
        <f>B1271*(hospitalityq!R1271="")</f>
        <v>0</v>
      </c>
    </row>
    <row r="1272" spans="1:18" x14ac:dyDescent="0.25">
      <c r="A1272">
        <f t="shared" si="20"/>
        <v>0</v>
      </c>
      <c r="B1272" t="b">
        <f>SUMPRODUCT(LEN(hospitalityq!C1272:R1272))&gt;0</f>
        <v>0</v>
      </c>
      <c r="C1272">
        <f>B1272*(hospitalityq!C1272="")</f>
        <v>0</v>
      </c>
      <c r="E1272">
        <f>B1272*(hospitalityq!E1272="")</f>
        <v>0</v>
      </c>
      <c r="F1272">
        <f>B1272*(hospitalityq!F1272="")</f>
        <v>0</v>
      </c>
      <c r="G1272">
        <f>B1272*(hospitalityq!G1272="")</f>
        <v>0</v>
      </c>
      <c r="H1272">
        <f>B1272*(hospitalityq!H1272="")</f>
        <v>0</v>
      </c>
      <c r="I1272">
        <f>B1272*(hospitalityq!I1272="")</f>
        <v>0</v>
      </c>
      <c r="J1272">
        <f>B1272*(hospitalityq!J1272="")</f>
        <v>0</v>
      </c>
      <c r="K1272">
        <f>B1272*(hospitalityq!K1272="")</f>
        <v>0</v>
      </c>
      <c r="L1272">
        <f>B1272*(hospitalityq!L1272="")</f>
        <v>0</v>
      </c>
      <c r="M1272">
        <f>B1272*(hospitalityq!M1272="")</f>
        <v>0</v>
      </c>
      <c r="N1272">
        <f>B1272*(hospitalityq!N1272="")</f>
        <v>0</v>
      </c>
      <c r="O1272">
        <f>B1272*(hospitalityq!O1272="")</f>
        <v>0</v>
      </c>
      <c r="P1272">
        <f>B1272*(hospitalityq!P1272="")</f>
        <v>0</v>
      </c>
      <c r="Q1272">
        <f>B1272*(hospitalityq!Q1272="")</f>
        <v>0</v>
      </c>
      <c r="R1272">
        <f>B1272*(hospitalityq!R1272="")</f>
        <v>0</v>
      </c>
    </row>
    <row r="1273" spans="1:18" x14ac:dyDescent="0.25">
      <c r="A1273">
        <f t="shared" si="20"/>
        <v>0</v>
      </c>
      <c r="B1273" t="b">
        <f>SUMPRODUCT(LEN(hospitalityq!C1273:R1273))&gt;0</f>
        <v>0</v>
      </c>
      <c r="C1273">
        <f>B1273*(hospitalityq!C1273="")</f>
        <v>0</v>
      </c>
      <c r="E1273">
        <f>B1273*(hospitalityq!E1273="")</f>
        <v>0</v>
      </c>
      <c r="F1273">
        <f>B1273*(hospitalityq!F1273="")</f>
        <v>0</v>
      </c>
      <c r="G1273">
        <f>B1273*(hospitalityq!G1273="")</f>
        <v>0</v>
      </c>
      <c r="H1273">
        <f>B1273*(hospitalityq!H1273="")</f>
        <v>0</v>
      </c>
      <c r="I1273">
        <f>B1273*(hospitalityq!I1273="")</f>
        <v>0</v>
      </c>
      <c r="J1273">
        <f>B1273*(hospitalityq!J1273="")</f>
        <v>0</v>
      </c>
      <c r="K1273">
        <f>B1273*(hospitalityq!K1273="")</f>
        <v>0</v>
      </c>
      <c r="L1273">
        <f>B1273*(hospitalityq!L1273="")</f>
        <v>0</v>
      </c>
      <c r="M1273">
        <f>B1273*(hospitalityq!M1273="")</f>
        <v>0</v>
      </c>
      <c r="N1273">
        <f>B1273*(hospitalityq!N1273="")</f>
        <v>0</v>
      </c>
      <c r="O1273">
        <f>B1273*(hospitalityq!O1273="")</f>
        <v>0</v>
      </c>
      <c r="P1273">
        <f>B1273*(hospitalityq!P1273="")</f>
        <v>0</v>
      </c>
      <c r="Q1273">
        <f>B1273*(hospitalityq!Q1273="")</f>
        <v>0</v>
      </c>
      <c r="R1273">
        <f>B1273*(hospitalityq!R1273="")</f>
        <v>0</v>
      </c>
    </row>
    <row r="1274" spans="1:18" x14ac:dyDescent="0.25">
      <c r="A1274">
        <f t="shared" si="20"/>
        <v>0</v>
      </c>
      <c r="B1274" t="b">
        <f>SUMPRODUCT(LEN(hospitalityq!C1274:R1274))&gt;0</f>
        <v>0</v>
      </c>
      <c r="C1274">
        <f>B1274*(hospitalityq!C1274="")</f>
        <v>0</v>
      </c>
      <c r="E1274">
        <f>B1274*(hospitalityq!E1274="")</f>
        <v>0</v>
      </c>
      <c r="F1274">
        <f>B1274*(hospitalityq!F1274="")</f>
        <v>0</v>
      </c>
      <c r="G1274">
        <f>B1274*(hospitalityq!G1274="")</f>
        <v>0</v>
      </c>
      <c r="H1274">
        <f>B1274*(hospitalityq!H1274="")</f>
        <v>0</v>
      </c>
      <c r="I1274">
        <f>B1274*(hospitalityq!I1274="")</f>
        <v>0</v>
      </c>
      <c r="J1274">
        <f>B1274*(hospitalityq!J1274="")</f>
        <v>0</v>
      </c>
      <c r="K1274">
        <f>B1274*(hospitalityq!K1274="")</f>
        <v>0</v>
      </c>
      <c r="L1274">
        <f>B1274*(hospitalityq!L1274="")</f>
        <v>0</v>
      </c>
      <c r="M1274">
        <f>B1274*(hospitalityq!M1274="")</f>
        <v>0</v>
      </c>
      <c r="N1274">
        <f>B1274*(hospitalityq!N1274="")</f>
        <v>0</v>
      </c>
      <c r="O1274">
        <f>B1274*(hospitalityq!O1274="")</f>
        <v>0</v>
      </c>
      <c r="P1274">
        <f>B1274*(hospitalityq!P1274="")</f>
        <v>0</v>
      </c>
      <c r="Q1274">
        <f>B1274*(hospitalityq!Q1274="")</f>
        <v>0</v>
      </c>
      <c r="R1274">
        <f>B1274*(hospitalityq!R1274="")</f>
        <v>0</v>
      </c>
    </row>
    <row r="1275" spans="1:18" x14ac:dyDescent="0.25">
      <c r="A1275">
        <f t="shared" si="20"/>
        <v>0</v>
      </c>
      <c r="B1275" t="b">
        <f>SUMPRODUCT(LEN(hospitalityq!C1275:R1275))&gt;0</f>
        <v>0</v>
      </c>
      <c r="C1275">
        <f>B1275*(hospitalityq!C1275="")</f>
        <v>0</v>
      </c>
      <c r="E1275">
        <f>B1275*(hospitalityq!E1275="")</f>
        <v>0</v>
      </c>
      <c r="F1275">
        <f>B1275*(hospitalityq!F1275="")</f>
        <v>0</v>
      </c>
      <c r="G1275">
        <f>B1275*(hospitalityq!G1275="")</f>
        <v>0</v>
      </c>
      <c r="H1275">
        <f>B1275*(hospitalityq!H1275="")</f>
        <v>0</v>
      </c>
      <c r="I1275">
        <f>B1275*(hospitalityq!I1275="")</f>
        <v>0</v>
      </c>
      <c r="J1275">
        <f>B1275*(hospitalityq!J1275="")</f>
        <v>0</v>
      </c>
      <c r="K1275">
        <f>B1275*(hospitalityq!K1275="")</f>
        <v>0</v>
      </c>
      <c r="L1275">
        <f>B1275*(hospitalityq!L1275="")</f>
        <v>0</v>
      </c>
      <c r="M1275">
        <f>B1275*(hospitalityq!M1275="")</f>
        <v>0</v>
      </c>
      <c r="N1275">
        <f>B1275*(hospitalityq!N1275="")</f>
        <v>0</v>
      </c>
      <c r="O1275">
        <f>B1275*(hospitalityq!O1275="")</f>
        <v>0</v>
      </c>
      <c r="P1275">
        <f>B1275*(hospitalityq!P1275="")</f>
        <v>0</v>
      </c>
      <c r="Q1275">
        <f>B1275*(hospitalityq!Q1275="")</f>
        <v>0</v>
      </c>
      <c r="R1275">
        <f>B1275*(hospitalityq!R1275="")</f>
        <v>0</v>
      </c>
    </row>
    <row r="1276" spans="1:18" x14ac:dyDescent="0.25">
      <c r="A1276">
        <f t="shared" si="20"/>
        <v>0</v>
      </c>
      <c r="B1276" t="b">
        <f>SUMPRODUCT(LEN(hospitalityq!C1276:R1276))&gt;0</f>
        <v>0</v>
      </c>
      <c r="C1276">
        <f>B1276*(hospitalityq!C1276="")</f>
        <v>0</v>
      </c>
      <c r="E1276">
        <f>B1276*(hospitalityq!E1276="")</f>
        <v>0</v>
      </c>
      <c r="F1276">
        <f>B1276*(hospitalityq!F1276="")</f>
        <v>0</v>
      </c>
      <c r="G1276">
        <f>B1276*(hospitalityq!G1276="")</f>
        <v>0</v>
      </c>
      <c r="H1276">
        <f>B1276*(hospitalityq!H1276="")</f>
        <v>0</v>
      </c>
      <c r="I1276">
        <f>B1276*(hospitalityq!I1276="")</f>
        <v>0</v>
      </c>
      <c r="J1276">
        <f>B1276*(hospitalityq!J1276="")</f>
        <v>0</v>
      </c>
      <c r="K1276">
        <f>B1276*(hospitalityq!K1276="")</f>
        <v>0</v>
      </c>
      <c r="L1276">
        <f>B1276*(hospitalityq!L1276="")</f>
        <v>0</v>
      </c>
      <c r="M1276">
        <f>B1276*(hospitalityq!M1276="")</f>
        <v>0</v>
      </c>
      <c r="N1276">
        <f>B1276*(hospitalityq!N1276="")</f>
        <v>0</v>
      </c>
      <c r="O1276">
        <f>B1276*(hospitalityq!O1276="")</f>
        <v>0</v>
      </c>
      <c r="P1276">
        <f>B1276*(hospitalityq!P1276="")</f>
        <v>0</v>
      </c>
      <c r="Q1276">
        <f>B1276*(hospitalityq!Q1276="")</f>
        <v>0</v>
      </c>
      <c r="R1276">
        <f>B1276*(hospitalityq!R1276="")</f>
        <v>0</v>
      </c>
    </row>
    <row r="1277" spans="1:18" x14ac:dyDescent="0.25">
      <c r="A1277">
        <f t="shared" si="20"/>
        <v>0</v>
      </c>
      <c r="B1277" t="b">
        <f>SUMPRODUCT(LEN(hospitalityq!C1277:R1277))&gt;0</f>
        <v>0</v>
      </c>
      <c r="C1277">
        <f>B1277*(hospitalityq!C1277="")</f>
        <v>0</v>
      </c>
      <c r="E1277">
        <f>B1277*(hospitalityq!E1277="")</f>
        <v>0</v>
      </c>
      <c r="F1277">
        <f>B1277*(hospitalityq!F1277="")</f>
        <v>0</v>
      </c>
      <c r="G1277">
        <f>B1277*(hospitalityq!G1277="")</f>
        <v>0</v>
      </c>
      <c r="H1277">
        <f>B1277*(hospitalityq!H1277="")</f>
        <v>0</v>
      </c>
      <c r="I1277">
        <f>B1277*(hospitalityq!I1277="")</f>
        <v>0</v>
      </c>
      <c r="J1277">
        <f>B1277*(hospitalityq!J1277="")</f>
        <v>0</v>
      </c>
      <c r="K1277">
        <f>B1277*(hospitalityq!K1277="")</f>
        <v>0</v>
      </c>
      <c r="L1277">
        <f>B1277*(hospitalityq!L1277="")</f>
        <v>0</v>
      </c>
      <c r="M1277">
        <f>B1277*(hospitalityq!M1277="")</f>
        <v>0</v>
      </c>
      <c r="N1277">
        <f>B1277*(hospitalityq!N1277="")</f>
        <v>0</v>
      </c>
      <c r="O1277">
        <f>B1277*(hospitalityq!O1277="")</f>
        <v>0</v>
      </c>
      <c r="P1277">
        <f>B1277*(hospitalityq!P1277="")</f>
        <v>0</v>
      </c>
      <c r="Q1277">
        <f>B1277*(hospitalityq!Q1277="")</f>
        <v>0</v>
      </c>
      <c r="R1277">
        <f>B1277*(hospitalityq!R1277="")</f>
        <v>0</v>
      </c>
    </row>
    <row r="1278" spans="1:18" x14ac:dyDescent="0.25">
      <c r="A1278">
        <f t="shared" si="20"/>
        <v>0</v>
      </c>
      <c r="B1278" t="b">
        <f>SUMPRODUCT(LEN(hospitalityq!C1278:R1278))&gt;0</f>
        <v>0</v>
      </c>
      <c r="C1278">
        <f>B1278*(hospitalityq!C1278="")</f>
        <v>0</v>
      </c>
      <c r="E1278">
        <f>B1278*(hospitalityq!E1278="")</f>
        <v>0</v>
      </c>
      <c r="F1278">
        <f>B1278*(hospitalityq!F1278="")</f>
        <v>0</v>
      </c>
      <c r="G1278">
        <f>B1278*(hospitalityq!G1278="")</f>
        <v>0</v>
      </c>
      <c r="H1278">
        <f>B1278*(hospitalityq!H1278="")</f>
        <v>0</v>
      </c>
      <c r="I1278">
        <f>B1278*(hospitalityq!I1278="")</f>
        <v>0</v>
      </c>
      <c r="J1278">
        <f>B1278*(hospitalityq!J1278="")</f>
        <v>0</v>
      </c>
      <c r="K1278">
        <f>B1278*(hospitalityq!K1278="")</f>
        <v>0</v>
      </c>
      <c r="L1278">
        <f>B1278*(hospitalityq!L1278="")</f>
        <v>0</v>
      </c>
      <c r="M1278">
        <f>B1278*(hospitalityq!M1278="")</f>
        <v>0</v>
      </c>
      <c r="N1278">
        <f>B1278*(hospitalityq!N1278="")</f>
        <v>0</v>
      </c>
      <c r="O1278">
        <f>B1278*(hospitalityq!O1278="")</f>
        <v>0</v>
      </c>
      <c r="P1278">
        <f>B1278*(hospitalityq!P1278="")</f>
        <v>0</v>
      </c>
      <c r="Q1278">
        <f>B1278*(hospitalityq!Q1278="")</f>
        <v>0</v>
      </c>
      <c r="R1278">
        <f>B1278*(hospitalityq!R1278="")</f>
        <v>0</v>
      </c>
    </row>
    <row r="1279" spans="1:18" x14ac:dyDescent="0.25">
      <c r="A1279">
        <f t="shared" si="20"/>
        <v>0</v>
      </c>
      <c r="B1279" t="b">
        <f>SUMPRODUCT(LEN(hospitalityq!C1279:R1279))&gt;0</f>
        <v>0</v>
      </c>
      <c r="C1279">
        <f>B1279*(hospitalityq!C1279="")</f>
        <v>0</v>
      </c>
      <c r="E1279">
        <f>B1279*(hospitalityq!E1279="")</f>
        <v>0</v>
      </c>
      <c r="F1279">
        <f>B1279*(hospitalityq!F1279="")</f>
        <v>0</v>
      </c>
      <c r="G1279">
        <f>B1279*(hospitalityq!G1279="")</f>
        <v>0</v>
      </c>
      <c r="H1279">
        <f>B1279*(hospitalityq!H1279="")</f>
        <v>0</v>
      </c>
      <c r="I1279">
        <f>B1279*(hospitalityq!I1279="")</f>
        <v>0</v>
      </c>
      <c r="J1279">
        <f>B1279*(hospitalityq!J1279="")</f>
        <v>0</v>
      </c>
      <c r="K1279">
        <f>B1279*(hospitalityq!K1279="")</f>
        <v>0</v>
      </c>
      <c r="L1279">
        <f>B1279*(hospitalityq!L1279="")</f>
        <v>0</v>
      </c>
      <c r="M1279">
        <f>B1279*(hospitalityq!M1279="")</f>
        <v>0</v>
      </c>
      <c r="N1279">
        <f>B1279*(hospitalityq!N1279="")</f>
        <v>0</v>
      </c>
      <c r="O1279">
        <f>B1279*(hospitalityq!O1279="")</f>
        <v>0</v>
      </c>
      <c r="P1279">
        <f>B1279*(hospitalityq!P1279="")</f>
        <v>0</v>
      </c>
      <c r="Q1279">
        <f>B1279*(hospitalityq!Q1279="")</f>
        <v>0</v>
      </c>
      <c r="R1279">
        <f>B1279*(hospitalityq!R1279="")</f>
        <v>0</v>
      </c>
    </row>
    <row r="1280" spans="1:18" x14ac:dyDescent="0.25">
      <c r="A1280">
        <f t="shared" si="20"/>
        <v>0</v>
      </c>
      <c r="B1280" t="b">
        <f>SUMPRODUCT(LEN(hospitalityq!C1280:R1280))&gt;0</f>
        <v>0</v>
      </c>
      <c r="C1280">
        <f>B1280*(hospitalityq!C1280="")</f>
        <v>0</v>
      </c>
      <c r="E1280">
        <f>B1280*(hospitalityq!E1280="")</f>
        <v>0</v>
      </c>
      <c r="F1280">
        <f>B1280*(hospitalityq!F1280="")</f>
        <v>0</v>
      </c>
      <c r="G1280">
        <f>B1280*(hospitalityq!G1280="")</f>
        <v>0</v>
      </c>
      <c r="H1280">
        <f>B1280*(hospitalityq!H1280="")</f>
        <v>0</v>
      </c>
      <c r="I1280">
        <f>B1280*(hospitalityq!I1280="")</f>
        <v>0</v>
      </c>
      <c r="J1280">
        <f>B1280*(hospitalityq!J1280="")</f>
        <v>0</v>
      </c>
      <c r="K1280">
        <f>B1280*(hospitalityq!K1280="")</f>
        <v>0</v>
      </c>
      <c r="L1280">
        <f>B1280*(hospitalityq!L1280="")</f>
        <v>0</v>
      </c>
      <c r="M1280">
        <f>B1280*(hospitalityq!M1280="")</f>
        <v>0</v>
      </c>
      <c r="N1280">
        <f>B1280*(hospitalityq!N1280="")</f>
        <v>0</v>
      </c>
      <c r="O1280">
        <f>B1280*(hospitalityq!O1280="")</f>
        <v>0</v>
      </c>
      <c r="P1280">
        <f>B1280*(hospitalityq!P1280="")</f>
        <v>0</v>
      </c>
      <c r="Q1280">
        <f>B1280*(hospitalityq!Q1280="")</f>
        <v>0</v>
      </c>
      <c r="R1280">
        <f>B1280*(hospitalityq!R1280="")</f>
        <v>0</v>
      </c>
    </row>
    <row r="1281" spans="1:18" x14ac:dyDescent="0.25">
      <c r="A1281">
        <f t="shared" si="20"/>
        <v>0</v>
      </c>
      <c r="B1281" t="b">
        <f>SUMPRODUCT(LEN(hospitalityq!C1281:R1281))&gt;0</f>
        <v>0</v>
      </c>
      <c r="C1281">
        <f>B1281*(hospitalityq!C1281="")</f>
        <v>0</v>
      </c>
      <c r="E1281">
        <f>B1281*(hospitalityq!E1281="")</f>
        <v>0</v>
      </c>
      <c r="F1281">
        <f>B1281*(hospitalityq!F1281="")</f>
        <v>0</v>
      </c>
      <c r="G1281">
        <f>B1281*(hospitalityq!G1281="")</f>
        <v>0</v>
      </c>
      <c r="H1281">
        <f>B1281*(hospitalityq!H1281="")</f>
        <v>0</v>
      </c>
      <c r="I1281">
        <f>B1281*(hospitalityq!I1281="")</f>
        <v>0</v>
      </c>
      <c r="J1281">
        <f>B1281*(hospitalityq!J1281="")</f>
        <v>0</v>
      </c>
      <c r="K1281">
        <f>B1281*(hospitalityq!K1281="")</f>
        <v>0</v>
      </c>
      <c r="L1281">
        <f>B1281*(hospitalityq!L1281="")</f>
        <v>0</v>
      </c>
      <c r="M1281">
        <f>B1281*(hospitalityq!M1281="")</f>
        <v>0</v>
      </c>
      <c r="N1281">
        <f>B1281*(hospitalityq!N1281="")</f>
        <v>0</v>
      </c>
      <c r="O1281">
        <f>B1281*(hospitalityq!O1281="")</f>
        <v>0</v>
      </c>
      <c r="P1281">
        <f>B1281*(hospitalityq!P1281="")</f>
        <v>0</v>
      </c>
      <c r="Q1281">
        <f>B1281*(hospitalityq!Q1281="")</f>
        <v>0</v>
      </c>
      <c r="R1281">
        <f>B1281*(hospitalityq!R1281="")</f>
        <v>0</v>
      </c>
    </row>
    <row r="1282" spans="1:18" x14ac:dyDescent="0.25">
      <c r="A1282">
        <f t="shared" si="20"/>
        <v>0</v>
      </c>
      <c r="B1282" t="b">
        <f>SUMPRODUCT(LEN(hospitalityq!C1282:R1282))&gt;0</f>
        <v>0</v>
      </c>
      <c r="C1282">
        <f>B1282*(hospitalityq!C1282="")</f>
        <v>0</v>
      </c>
      <c r="E1282">
        <f>B1282*(hospitalityq!E1282="")</f>
        <v>0</v>
      </c>
      <c r="F1282">
        <f>B1282*(hospitalityq!F1282="")</f>
        <v>0</v>
      </c>
      <c r="G1282">
        <f>B1282*(hospitalityq!G1282="")</f>
        <v>0</v>
      </c>
      <c r="H1282">
        <f>B1282*(hospitalityq!H1282="")</f>
        <v>0</v>
      </c>
      <c r="I1282">
        <f>B1282*(hospitalityq!I1282="")</f>
        <v>0</v>
      </c>
      <c r="J1282">
        <f>B1282*(hospitalityq!J1282="")</f>
        <v>0</v>
      </c>
      <c r="K1282">
        <f>B1282*(hospitalityq!K1282="")</f>
        <v>0</v>
      </c>
      <c r="L1282">
        <f>B1282*(hospitalityq!L1282="")</f>
        <v>0</v>
      </c>
      <c r="M1282">
        <f>B1282*(hospitalityq!M1282="")</f>
        <v>0</v>
      </c>
      <c r="N1282">
        <f>B1282*(hospitalityq!N1282="")</f>
        <v>0</v>
      </c>
      <c r="O1282">
        <f>B1282*(hospitalityq!O1282="")</f>
        <v>0</v>
      </c>
      <c r="P1282">
        <f>B1282*(hospitalityq!P1282="")</f>
        <v>0</v>
      </c>
      <c r="Q1282">
        <f>B1282*(hospitalityq!Q1282="")</f>
        <v>0</v>
      </c>
      <c r="R1282">
        <f>B1282*(hospitalityq!R1282="")</f>
        <v>0</v>
      </c>
    </row>
    <row r="1283" spans="1:18" x14ac:dyDescent="0.25">
      <c r="A1283">
        <f t="shared" si="20"/>
        <v>0</v>
      </c>
      <c r="B1283" t="b">
        <f>SUMPRODUCT(LEN(hospitalityq!C1283:R1283))&gt;0</f>
        <v>0</v>
      </c>
      <c r="C1283">
        <f>B1283*(hospitalityq!C1283="")</f>
        <v>0</v>
      </c>
      <c r="E1283">
        <f>B1283*(hospitalityq!E1283="")</f>
        <v>0</v>
      </c>
      <c r="F1283">
        <f>B1283*(hospitalityq!F1283="")</f>
        <v>0</v>
      </c>
      <c r="G1283">
        <f>B1283*(hospitalityq!G1283="")</f>
        <v>0</v>
      </c>
      <c r="H1283">
        <f>B1283*(hospitalityq!H1283="")</f>
        <v>0</v>
      </c>
      <c r="I1283">
        <f>B1283*(hospitalityq!I1283="")</f>
        <v>0</v>
      </c>
      <c r="J1283">
        <f>B1283*(hospitalityq!J1283="")</f>
        <v>0</v>
      </c>
      <c r="K1283">
        <f>B1283*(hospitalityq!K1283="")</f>
        <v>0</v>
      </c>
      <c r="L1283">
        <f>B1283*(hospitalityq!L1283="")</f>
        <v>0</v>
      </c>
      <c r="M1283">
        <f>B1283*(hospitalityq!M1283="")</f>
        <v>0</v>
      </c>
      <c r="N1283">
        <f>B1283*(hospitalityq!N1283="")</f>
        <v>0</v>
      </c>
      <c r="O1283">
        <f>B1283*(hospitalityq!O1283="")</f>
        <v>0</v>
      </c>
      <c r="P1283">
        <f>B1283*(hospitalityq!P1283="")</f>
        <v>0</v>
      </c>
      <c r="Q1283">
        <f>B1283*(hospitalityq!Q1283="")</f>
        <v>0</v>
      </c>
      <c r="R1283">
        <f>B1283*(hospitalityq!R1283="")</f>
        <v>0</v>
      </c>
    </row>
    <row r="1284" spans="1:18" x14ac:dyDescent="0.25">
      <c r="A1284">
        <f t="shared" si="20"/>
        <v>0</v>
      </c>
      <c r="B1284" t="b">
        <f>SUMPRODUCT(LEN(hospitalityq!C1284:R1284))&gt;0</f>
        <v>0</v>
      </c>
      <c r="C1284">
        <f>B1284*(hospitalityq!C1284="")</f>
        <v>0</v>
      </c>
      <c r="E1284">
        <f>B1284*(hospitalityq!E1284="")</f>
        <v>0</v>
      </c>
      <c r="F1284">
        <f>B1284*(hospitalityq!F1284="")</f>
        <v>0</v>
      </c>
      <c r="G1284">
        <f>B1284*(hospitalityq!G1284="")</f>
        <v>0</v>
      </c>
      <c r="H1284">
        <f>B1284*(hospitalityq!H1284="")</f>
        <v>0</v>
      </c>
      <c r="I1284">
        <f>B1284*(hospitalityq!I1284="")</f>
        <v>0</v>
      </c>
      <c r="J1284">
        <f>B1284*(hospitalityq!J1284="")</f>
        <v>0</v>
      </c>
      <c r="K1284">
        <f>B1284*(hospitalityq!K1284="")</f>
        <v>0</v>
      </c>
      <c r="L1284">
        <f>B1284*(hospitalityq!L1284="")</f>
        <v>0</v>
      </c>
      <c r="M1284">
        <f>B1284*(hospitalityq!M1284="")</f>
        <v>0</v>
      </c>
      <c r="N1284">
        <f>B1284*(hospitalityq!N1284="")</f>
        <v>0</v>
      </c>
      <c r="O1284">
        <f>B1284*(hospitalityq!O1284="")</f>
        <v>0</v>
      </c>
      <c r="P1284">
        <f>B1284*(hospitalityq!P1284="")</f>
        <v>0</v>
      </c>
      <c r="Q1284">
        <f>B1284*(hospitalityq!Q1284="")</f>
        <v>0</v>
      </c>
      <c r="R1284">
        <f>B1284*(hospitalityq!R1284="")</f>
        <v>0</v>
      </c>
    </row>
    <row r="1285" spans="1:18" x14ac:dyDescent="0.25">
      <c r="A1285">
        <f t="shared" si="20"/>
        <v>0</v>
      </c>
      <c r="B1285" t="b">
        <f>SUMPRODUCT(LEN(hospitalityq!C1285:R1285))&gt;0</f>
        <v>0</v>
      </c>
      <c r="C1285">
        <f>B1285*(hospitalityq!C1285="")</f>
        <v>0</v>
      </c>
      <c r="E1285">
        <f>B1285*(hospitalityq!E1285="")</f>
        <v>0</v>
      </c>
      <c r="F1285">
        <f>B1285*(hospitalityq!F1285="")</f>
        <v>0</v>
      </c>
      <c r="G1285">
        <f>B1285*(hospitalityq!G1285="")</f>
        <v>0</v>
      </c>
      <c r="H1285">
        <f>B1285*(hospitalityq!H1285="")</f>
        <v>0</v>
      </c>
      <c r="I1285">
        <f>B1285*(hospitalityq!I1285="")</f>
        <v>0</v>
      </c>
      <c r="J1285">
        <f>B1285*(hospitalityq!J1285="")</f>
        <v>0</v>
      </c>
      <c r="K1285">
        <f>B1285*(hospitalityq!K1285="")</f>
        <v>0</v>
      </c>
      <c r="L1285">
        <f>B1285*(hospitalityq!L1285="")</f>
        <v>0</v>
      </c>
      <c r="M1285">
        <f>B1285*(hospitalityq!M1285="")</f>
        <v>0</v>
      </c>
      <c r="N1285">
        <f>B1285*(hospitalityq!N1285="")</f>
        <v>0</v>
      </c>
      <c r="O1285">
        <f>B1285*(hospitalityq!O1285="")</f>
        <v>0</v>
      </c>
      <c r="P1285">
        <f>B1285*(hospitalityq!P1285="")</f>
        <v>0</v>
      </c>
      <c r="Q1285">
        <f>B1285*(hospitalityq!Q1285="")</f>
        <v>0</v>
      </c>
      <c r="R1285">
        <f>B1285*(hospitalityq!R1285="")</f>
        <v>0</v>
      </c>
    </row>
    <row r="1286" spans="1:18" x14ac:dyDescent="0.25">
      <c r="A1286">
        <f t="shared" ref="A1286:A1349" si="21">IFERROR(MATCH(TRUE,INDEX(C1286:R1286&lt;&gt;0,),)+2,0)</f>
        <v>0</v>
      </c>
      <c r="B1286" t="b">
        <f>SUMPRODUCT(LEN(hospitalityq!C1286:R1286))&gt;0</f>
        <v>0</v>
      </c>
      <c r="C1286">
        <f>B1286*(hospitalityq!C1286="")</f>
        <v>0</v>
      </c>
      <c r="E1286">
        <f>B1286*(hospitalityq!E1286="")</f>
        <v>0</v>
      </c>
      <c r="F1286">
        <f>B1286*(hospitalityq!F1286="")</f>
        <v>0</v>
      </c>
      <c r="G1286">
        <f>B1286*(hospitalityq!G1286="")</f>
        <v>0</v>
      </c>
      <c r="H1286">
        <f>B1286*(hospitalityq!H1286="")</f>
        <v>0</v>
      </c>
      <c r="I1286">
        <f>B1286*(hospitalityq!I1286="")</f>
        <v>0</v>
      </c>
      <c r="J1286">
        <f>B1286*(hospitalityq!J1286="")</f>
        <v>0</v>
      </c>
      <c r="K1286">
        <f>B1286*(hospitalityq!K1286="")</f>
        <v>0</v>
      </c>
      <c r="L1286">
        <f>B1286*(hospitalityq!L1286="")</f>
        <v>0</v>
      </c>
      <c r="M1286">
        <f>B1286*(hospitalityq!M1286="")</f>
        <v>0</v>
      </c>
      <c r="N1286">
        <f>B1286*(hospitalityq!N1286="")</f>
        <v>0</v>
      </c>
      <c r="O1286">
        <f>B1286*(hospitalityq!O1286="")</f>
        <v>0</v>
      </c>
      <c r="P1286">
        <f>B1286*(hospitalityq!P1286="")</f>
        <v>0</v>
      </c>
      <c r="Q1286">
        <f>B1286*(hospitalityq!Q1286="")</f>
        <v>0</v>
      </c>
      <c r="R1286">
        <f>B1286*(hospitalityq!R1286="")</f>
        <v>0</v>
      </c>
    </row>
    <row r="1287" spans="1:18" x14ac:dyDescent="0.25">
      <c r="A1287">
        <f t="shared" si="21"/>
        <v>0</v>
      </c>
      <c r="B1287" t="b">
        <f>SUMPRODUCT(LEN(hospitalityq!C1287:R1287))&gt;0</f>
        <v>0</v>
      </c>
      <c r="C1287">
        <f>B1287*(hospitalityq!C1287="")</f>
        <v>0</v>
      </c>
      <c r="E1287">
        <f>B1287*(hospitalityq!E1287="")</f>
        <v>0</v>
      </c>
      <c r="F1287">
        <f>B1287*(hospitalityq!F1287="")</f>
        <v>0</v>
      </c>
      <c r="G1287">
        <f>B1287*(hospitalityq!G1287="")</f>
        <v>0</v>
      </c>
      <c r="H1287">
        <f>B1287*(hospitalityq!H1287="")</f>
        <v>0</v>
      </c>
      <c r="I1287">
        <f>B1287*(hospitalityq!I1287="")</f>
        <v>0</v>
      </c>
      <c r="J1287">
        <f>B1287*(hospitalityq!J1287="")</f>
        <v>0</v>
      </c>
      <c r="K1287">
        <f>B1287*(hospitalityq!K1287="")</f>
        <v>0</v>
      </c>
      <c r="L1287">
        <f>B1287*(hospitalityq!L1287="")</f>
        <v>0</v>
      </c>
      <c r="M1287">
        <f>B1287*(hospitalityq!M1287="")</f>
        <v>0</v>
      </c>
      <c r="N1287">
        <f>B1287*(hospitalityq!N1287="")</f>
        <v>0</v>
      </c>
      <c r="O1287">
        <f>B1287*(hospitalityq!O1287="")</f>
        <v>0</v>
      </c>
      <c r="P1287">
        <f>B1287*(hospitalityq!P1287="")</f>
        <v>0</v>
      </c>
      <c r="Q1287">
        <f>B1287*(hospitalityq!Q1287="")</f>
        <v>0</v>
      </c>
      <c r="R1287">
        <f>B1287*(hospitalityq!R1287="")</f>
        <v>0</v>
      </c>
    </row>
    <row r="1288" spans="1:18" x14ac:dyDescent="0.25">
      <c r="A1288">
        <f t="shared" si="21"/>
        <v>0</v>
      </c>
      <c r="B1288" t="b">
        <f>SUMPRODUCT(LEN(hospitalityq!C1288:R1288))&gt;0</f>
        <v>0</v>
      </c>
      <c r="C1288">
        <f>B1288*(hospitalityq!C1288="")</f>
        <v>0</v>
      </c>
      <c r="E1288">
        <f>B1288*(hospitalityq!E1288="")</f>
        <v>0</v>
      </c>
      <c r="F1288">
        <f>B1288*(hospitalityq!F1288="")</f>
        <v>0</v>
      </c>
      <c r="G1288">
        <f>B1288*(hospitalityq!G1288="")</f>
        <v>0</v>
      </c>
      <c r="H1288">
        <f>B1288*(hospitalityq!H1288="")</f>
        <v>0</v>
      </c>
      <c r="I1288">
        <f>B1288*(hospitalityq!I1288="")</f>
        <v>0</v>
      </c>
      <c r="J1288">
        <f>B1288*(hospitalityq!J1288="")</f>
        <v>0</v>
      </c>
      <c r="K1288">
        <f>B1288*(hospitalityq!K1288="")</f>
        <v>0</v>
      </c>
      <c r="L1288">
        <f>B1288*(hospitalityq!L1288="")</f>
        <v>0</v>
      </c>
      <c r="M1288">
        <f>B1288*(hospitalityq!M1288="")</f>
        <v>0</v>
      </c>
      <c r="N1288">
        <f>B1288*(hospitalityq!N1288="")</f>
        <v>0</v>
      </c>
      <c r="O1288">
        <f>B1288*(hospitalityq!O1288="")</f>
        <v>0</v>
      </c>
      <c r="P1288">
        <f>B1288*(hospitalityq!P1288="")</f>
        <v>0</v>
      </c>
      <c r="Q1288">
        <f>B1288*(hospitalityq!Q1288="")</f>
        <v>0</v>
      </c>
      <c r="R1288">
        <f>B1288*(hospitalityq!R1288="")</f>
        <v>0</v>
      </c>
    </row>
    <row r="1289" spans="1:18" x14ac:dyDescent="0.25">
      <c r="A1289">
        <f t="shared" si="21"/>
        <v>0</v>
      </c>
      <c r="B1289" t="b">
        <f>SUMPRODUCT(LEN(hospitalityq!C1289:R1289))&gt;0</f>
        <v>0</v>
      </c>
      <c r="C1289">
        <f>B1289*(hospitalityq!C1289="")</f>
        <v>0</v>
      </c>
      <c r="E1289">
        <f>B1289*(hospitalityq!E1289="")</f>
        <v>0</v>
      </c>
      <c r="F1289">
        <f>B1289*(hospitalityq!F1289="")</f>
        <v>0</v>
      </c>
      <c r="G1289">
        <f>B1289*(hospitalityq!G1289="")</f>
        <v>0</v>
      </c>
      <c r="H1289">
        <f>B1289*(hospitalityq!H1289="")</f>
        <v>0</v>
      </c>
      <c r="I1289">
        <f>B1289*(hospitalityq!I1289="")</f>
        <v>0</v>
      </c>
      <c r="J1289">
        <f>B1289*(hospitalityq!J1289="")</f>
        <v>0</v>
      </c>
      <c r="K1289">
        <f>B1289*(hospitalityq!K1289="")</f>
        <v>0</v>
      </c>
      <c r="L1289">
        <f>B1289*(hospitalityq!L1289="")</f>
        <v>0</v>
      </c>
      <c r="M1289">
        <f>B1289*(hospitalityq!M1289="")</f>
        <v>0</v>
      </c>
      <c r="N1289">
        <f>B1289*(hospitalityq!N1289="")</f>
        <v>0</v>
      </c>
      <c r="O1289">
        <f>B1289*(hospitalityq!O1289="")</f>
        <v>0</v>
      </c>
      <c r="P1289">
        <f>B1289*(hospitalityq!P1289="")</f>
        <v>0</v>
      </c>
      <c r="Q1289">
        <f>B1289*(hospitalityq!Q1289="")</f>
        <v>0</v>
      </c>
      <c r="R1289">
        <f>B1289*(hospitalityq!R1289="")</f>
        <v>0</v>
      </c>
    </row>
    <row r="1290" spans="1:18" x14ac:dyDescent="0.25">
      <c r="A1290">
        <f t="shared" si="21"/>
        <v>0</v>
      </c>
      <c r="B1290" t="b">
        <f>SUMPRODUCT(LEN(hospitalityq!C1290:R1290))&gt;0</f>
        <v>0</v>
      </c>
      <c r="C1290">
        <f>B1290*(hospitalityq!C1290="")</f>
        <v>0</v>
      </c>
      <c r="E1290">
        <f>B1290*(hospitalityq!E1290="")</f>
        <v>0</v>
      </c>
      <c r="F1290">
        <f>B1290*(hospitalityq!F1290="")</f>
        <v>0</v>
      </c>
      <c r="G1290">
        <f>B1290*(hospitalityq!G1290="")</f>
        <v>0</v>
      </c>
      <c r="H1290">
        <f>B1290*(hospitalityq!H1290="")</f>
        <v>0</v>
      </c>
      <c r="I1290">
        <f>B1290*(hospitalityq!I1290="")</f>
        <v>0</v>
      </c>
      <c r="J1290">
        <f>B1290*(hospitalityq!J1290="")</f>
        <v>0</v>
      </c>
      <c r="K1290">
        <f>B1290*(hospitalityq!K1290="")</f>
        <v>0</v>
      </c>
      <c r="L1290">
        <f>B1290*(hospitalityq!L1290="")</f>
        <v>0</v>
      </c>
      <c r="M1290">
        <f>B1290*(hospitalityq!M1290="")</f>
        <v>0</v>
      </c>
      <c r="N1290">
        <f>B1290*(hospitalityq!N1290="")</f>
        <v>0</v>
      </c>
      <c r="O1290">
        <f>B1290*(hospitalityq!O1290="")</f>
        <v>0</v>
      </c>
      <c r="P1290">
        <f>B1290*(hospitalityq!P1290="")</f>
        <v>0</v>
      </c>
      <c r="Q1290">
        <f>B1290*(hospitalityq!Q1290="")</f>
        <v>0</v>
      </c>
      <c r="R1290">
        <f>B1290*(hospitalityq!R1290="")</f>
        <v>0</v>
      </c>
    </row>
    <row r="1291" spans="1:18" x14ac:dyDescent="0.25">
      <c r="A1291">
        <f t="shared" si="21"/>
        <v>0</v>
      </c>
      <c r="B1291" t="b">
        <f>SUMPRODUCT(LEN(hospitalityq!C1291:R1291))&gt;0</f>
        <v>0</v>
      </c>
      <c r="C1291">
        <f>B1291*(hospitalityq!C1291="")</f>
        <v>0</v>
      </c>
      <c r="E1291">
        <f>B1291*(hospitalityq!E1291="")</f>
        <v>0</v>
      </c>
      <c r="F1291">
        <f>B1291*(hospitalityq!F1291="")</f>
        <v>0</v>
      </c>
      <c r="G1291">
        <f>B1291*(hospitalityq!G1291="")</f>
        <v>0</v>
      </c>
      <c r="H1291">
        <f>B1291*(hospitalityq!H1291="")</f>
        <v>0</v>
      </c>
      <c r="I1291">
        <f>B1291*(hospitalityq!I1291="")</f>
        <v>0</v>
      </c>
      <c r="J1291">
        <f>B1291*(hospitalityq!J1291="")</f>
        <v>0</v>
      </c>
      <c r="K1291">
        <f>B1291*(hospitalityq!K1291="")</f>
        <v>0</v>
      </c>
      <c r="L1291">
        <f>B1291*(hospitalityq!L1291="")</f>
        <v>0</v>
      </c>
      <c r="M1291">
        <f>B1291*(hospitalityq!M1291="")</f>
        <v>0</v>
      </c>
      <c r="N1291">
        <f>B1291*(hospitalityq!N1291="")</f>
        <v>0</v>
      </c>
      <c r="O1291">
        <f>B1291*(hospitalityq!O1291="")</f>
        <v>0</v>
      </c>
      <c r="P1291">
        <f>B1291*(hospitalityq!P1291="")</f>
        <v>0</v>
      </c>
      <c r="Q1291">
        <f>B1291*(hospitalityq!Q1291="")</f>
        <v>0</v>
      </c>
      <c r="R1291">
        <f>B1291*(hospitalityq!R1291="")</f>
        <v>0</v>
      </c>
    </row>
    <row r="1292" spans="1:18" x14ac:dyDescent="0.25">
      <c r="A1292">
        <f t="shared" si="21"/>
        <v>0</v>
      </c>
      <c r="B1292" t="b">
        <f>SUMPRODUCT(LEN(hospitalityq!C1292:R1292))&gt;0</f>
        <v>0</v>
      </c>
      <c r="C1292">
        <f>B1292*(hospitalityq!C1292="")</f>
        <v>0</v>
      </c>
      <c r="E1292">
        <f>B1292*(hospitalityq!E1292="")</f>
        <v>0</v>
      </c>
      <c r="F1292">
        <f>B1292*(hospitalityq!F1292="")</f>
        <v>0</v>
      </c>
      <c r="G1292">
        <f>B1292*(hospitalityq!G1292="")</f>
        <v>0</v>
      </c>
      <c r="H1292">
        <f>B1292*(hospitalityq!H1292="")</f>
        <v>0</v>
      </c>
      <c r="I1292">
        <f>B1292*(hospitalityq!I1292="")</f>
        <v>0</v>
      </c>
      <c r="J1292">
        <f>B1292*(hospitalityq!J1292="")</f>
        <v>0</v>
      </c>
      <c r="K1292">
        <f>B1292*(hospitalityq!K1292="")</f>
        <v>0</v>
      </c>
      <c r="L1292">
        <f>B1292*(hospitalityq!L1292="")</f>
        <v>0</v>
      </c>
      <c r="M1292">
        <f>B1292*(hospitalityq!M1292="")</f>
        <v>0</v>
      </c>
      <c r="N1292">
        <f>B1292*(hospitalityq!N1292="")</f>
        <v>0</v>
      </c>
      <c r="O1292">
        <f>B1292*(hospitalityq!O1292="")</f>
        <v>0</v>
      </c>
      <c r="P1292">
        <f>B1292*(hospitalityq!P1292="")</f>
        <v>0</v>
      </c>
      <c r="Q1292">
        <f>B1292*(hospitalityq!Q1292="")</f>
        <v>0</v>
      </c>
      <c r="R1292">
        <f>B1292*(hospitalityq!R1292="")</f>
        <v>0</v>
      </c>
    </row>
    <row r="1293" spans="1:18" x14ac:dyDescent="0.25">
      <c r="A1293">
        <f t="shared" si="21"/>
        <v>0</v>
      </c>
      <c r="B1293" t="b">
        <f>SUMPRODUCT(LEN(hospitalityq!C1293:R1293))&gt;0</f>
        <v>0</v>
      </c>
      <c r="C1293">
        <f>B1293*(hospitalityq!C1293="")</f>
        <v>0</v>
      </c>
      <c r="E1293">
        <f>B1293*(hospitalityq!E1293="")</f>
        <v>0</v>
      </c>
      <c r="F1293">
        <f>B1293*(hospitalityq!F1293="")</f>
        <v>0</v>
      </c>
      <c r="G1293">
        <f>B1293*(hospitalityq!G1293="")</f>
        <v>0</v>
      </c>
      <c r="H1293">
        <f>B1293*(hospitalityq!H1293="")</f>
        <v>0</v>
      </c>
      <c r="I1293">
        <f>B1293*(hospitalityq!I1293="")</f>
        <v>0</v>
      </c>
      <c r="J1293">
        <f>B1293*(hospitalityq!J1293="")</f>
        <v>0</v>
      </c>
      <c r="K1293">
        <f>B1293*(hospitalityq!K1293="")</f>
        <v>0</v>
      </c>
      <c r="L1293">
        <f>B1293*(hospitalityq!L1293="")</f>
        <v>0</v>
      </c>
      <c r="M1293">
        <f>B1293*(hospitalityq!M1293="")</f>
        <v>0</v>
      </c>
      <c r="N1293">
        <f>B1293*(hospitalityq!N1293="")</f>
        <v>0</v>
      </c>
      <c r="O1293">
        <f>B1293*(hospitalityq!O1293="")</f>
        <v>0</v>
      </c>
      <c r="P1293">
        <f>B1293*(hospitalityq!P1293="")</f>
        <v>0</v>
      </c>
      <c r="Q1293">
        <f>B1293*(hospitalityq!Q1293="")</f>
        <v>0</v>
      </c>
      <c r="R1293">
        <f>B1293*(hospitalityq!R1293="")</f>
        <v>0</v>
      </c>
    </row>
    <row r="1294" spans="1:18" x14ac:dyDescent="0.25">
      <c r="A1294">
        <f t="shared" si="21"/>
        <v>0</v>
      </c>
      <c r="B1294" t="b">
        <f>SUMPRODUCT(LEN(hospitalityq!C1294:R1294))&gt;0</f>
        <v>0</v>
      </c>
      <c r="C1294">
        <f>B1294*(hospitalityq!C1294="")</f>
        <v>0</v>
      </c>
      <c r="E1294">
        <f>B1294*(hospitalityq!E1294="")</f>
        <v>0</v>
      </c>
      <c r="F1294">
        <f>B1294*(hospitalityq!F1294="")</f>
        <v>0</v>
      </c>
      <c r="G1294">
        <f>B1294*(hospitalityq!G1294="")</f>
        <v>0</v>
      </c>
      <c r="H1294">
        <f>B1294*(hospitalityq!H1294="")</f>
        <v>0</v>
      </c>
      <c r="I1294">
        <f>B1294*(hospitalityq!I1294="")</f>
        <v>0</v>
      </c>
      <c r="J1294">
        <f>B1294*(hospitalityq!J1294="")</f>
        <v>0</v>
      </c>
      <c r="K1294">
        <f>B1294*(hospitalityq!K1294="")</f>
        <v>0</v>
      </c>
      <c r="L1294">
        <f>B1294*(hospitalityq!L1294="")</f>
        <v>0</v>
      </c>
      <c r="M1294">
        <f>B1294*(hospitalityq!M1294="")</f>
        <v>0</v>
      </c>
      <c r="N1294">
        <f>B1294*(hospitalityq!N1294="")</f>
        <v>0</v>
      </c>
      <c r="O1294">
        <f>B1294*(hospitalityq!O1294="")</f>
        <v>0</v>
      </c>
      <c r="P1294">
        <f>B1294*(hospitalityq!P1294="")</f>
        <v>0</v>
      </c>
      <c r="Q1294">
        <f>B1294*(hospitalityq!Q1294="")</f>
        <v>0</v>
      </c>
      <c r="R1294">
        <f>B1294*(hospitalityq!R1294="")</f>
        <v>0</v>
      </c>
    </row>
    <row r="1295" spans="1:18" x14ac:dyDescent="0.25">
      <c r="A1295">
        <f t="shared" si="21"/>
        <v>0</v>
      </c>
      <c r="B1295" t="b">
        <f>SUMPRODUCT(LEN(hospitalityq!C1295:R1295))&gt;0</f>
        <v>0</v>
      </c>
      <c r="C1295">
        <f>B1295*(hospitalityq!C1295="")</f>
        <v>0</v>
      </c>
      <c r="E1295">
        <f>B1295*(hospitalityq!E1295="")</f>
        <v>0</v>
      </c>
      <c r="F1295">
        <f>B1295*(hospitalityq!F1295="")</f>
        <v>0</v>
      </c>
      <c r="G1295">
        <f>B1295*(hospitalityq!G1295="")</f>
        <v>0</v>
      </c>
      <c r="H1295">
        <f>B1295*(hospitalityq!H1295="")</f>
        <v>0</v>
      </c>
      <c r="I1295">
        <f>B1295*(hospitalityq!I1295="")</f>
        <v>0</v>
      </c>
      <c r="J1295">
        <f>B1295*(hospitalityq!J1295="")</f>
        <v>0</v>
      </c>
      <c r="K1295">
        <f>B1295*(hospitalityq!K1295="")</f>
        <v>0</v>
      </c>
      <c r="L1295">
        <f>B1295*(hospitalityq!L1295="")</f>
        <v>0</v>
      </c>
      <c r="M1295">
        <f>B1295*(hospitalityq!M1295="")</f>
        <v>0</v>
      </c>
      <c r="N1295">
        <f>B1295*(hospitalityq!N1295="")</f>
        <v>0</v>
      </c>
      <c r="O1295">
        <f>B1295*(hospitalityq!O1295="")</f>
        <v>0</v>
      </c>
      <c r="P1295">
        <f>B1295*(hospitalityq!P1295="")</f>
        <v>0</v>
      </c>
      <c r="Q1295">
        <f>B1295*(hospitalityq!Q1295="")</f>
        <v>0</v>
      </c>
      <c r="R1295">
        <f>B1295*(hospitalityq!R1295="")</f>
        <v>0</v>
      </c>
    </row>
    <row r="1296" spans="1:18" x14ac:dyDescent="0.25">
      <c r="A1296">
        <f t="shared" si="21"/>
        <v>0</v>
      </c>
      <c r="B1296" t="b">
        <f>SUMPRODUCT(LEN(hospitalityq!C1296:R1296))&gt;0</f>
        <v>0</v>
      </c>
      <c r="C1296">
        <f>B1296*(hospitalityq!C1296="")</f>
        <v>0</v>
      </c>
      <c r="E1296">
        <f>B1296*(hospitalityq!E1296="")</f>
        <v>0</v>
      </c>
      <c r="F1296">
        <f>B1296*(hospitalityq!F1296="")</f>
        <v>0</v>
      </c>
      <c r="G1296">
        <f>B1296*(hospitalityq!G1296="")</f>
        <v>0</v>
      </c>
      <c r="H1296">
        <f>B1296*(hospitalityq!H1296="")</f>
        <v>0</v>
      </c>
      <c r="I1296">
        <f>B1296*(hospitalityq!I1296="")</f>
        <v>0</v>
      </c>
      <c r="J1296">
        <f>B1296*(hospitalityq!J1296="")</f>
        <v>0</v>
      </c>
      <c r="K1296">
        <f>B1296*(hospitalityq!K1296="")</f>
        <v>0</v>
      </c>
      <c r="L1296">
        <f>B1296*(hospitalityq!L1296="")</f>
        <v>0</v>
      </c>
      <c r="M1296">
        <f>B1296*(hospitalityq!M1296="")</f>
        <v>0</v>
      </c>
      <c r="N1296">
        <f>B1296*(hospitalityq!N1296="")</f>
        <v>0</v>
      </c>
      <c r="O1296">
        <f>B1296*(hospitalityq!O1296="")</f>
        <v>0</v>
      </c>
      <c r="P1296">
        <f>B1296*(hospitalityq!P1296="")</f>
        <v>0</v>
      </c>
      <c r="Q1296">
        <f>B1296*(hospitalityq!Q1296="")</f>
        <v>0</v>
      </c>
      <c r="R1296">
        <f>B1296*(hospitalityq!R1296="")</f>
        <v>0</v>
      </c>
    </row>
    <row r="1297" spans="1:18" x14ac:dyDescent="0.25">
      <c r="A1297">
        <f t="shared" si="21"/>
        <v>0</v>
      </c>
      <c r="B1297" t="b">
        <f>SUMPRODUCT(LEN(hospitalityq!C1297:R1297))&gt;0</f>
        <v>0</v>
      </c>
      <c r="C1297">
        <f>B1297*(hospitalityq!C1297="")</f>
        <v>0</v>
      </c>
      <c r="E1297">
        <f>B1297*(hospitalityq!E1297="")</f>
        <v>0</v>
      </c>
      <c r="F1297">
        <f>B1297*(hospitalityq!F1297="")</f>
        <v>0</v>
      </c>
      <c r="G1297">
        <f>B1297*(hospitalityq!G1297="")</f>
        <v>0</v>
      </c>
      <c r="H1297">
        <f>B1297*(hospitalityq!H1297="")</f>
        <v>0</v>
      </c>
      <c r="I1297">
        <f>B1297*(hospitalityq!I1297="")</f>
        <v>0</v>
      </c>
      <c r="J1297">
        <f>B1297*(hospitalityq!J1297="")</f>
        <v>0</v>
      </c>
      <c r="K1297">
        <f>B1297*(hospitalityq!K1297="")</f>
        <v>0</v>
      </c>
      <c r="L1297">
        <f>B1297*(hospitalityq!L1297="")</f>
        <v>0</v>
      </c>
      <c r="M1297">
        <f>B1297*(hospitalityq!M1297="")</f>
        <v>0</v>
      </c>
      <c r="N1297">
        <f>B1297*(hospitalityq!N1297="")</f>
        <v>0</v>
      </c>
      <c r="O1297">
        <f>B1297*(hospitalityq!O1297="")</f>
        <v>0</v>
      </c>
      <c r="P1297">
        <f>B1297*(hospitalityq!P1297="")</f>
        <v>0</v>
      </c>
      <c r="Q1297">
        <f>B1297*(hospitalityq!Q1297="")</f>
        <v>0</v>
      </c>
      <c r="R1297">
        <f>B1297*(hospitalityq!R1297="")</f>
        <v>0</v>
      </c>
    </row>
    <row r="1298" spans="1:18" x14ac:dyDescent="0.25">
      <c r="A1298">
        <f t="shared" si="21"/>
        <v>0</v>
      </c>
      <c r="B1298" t="b">
        <f>SUMPRODUCT(LEN(hospitalityq!C1298:R1298))&gt;0</f>
        <v>0</v>
      </c>
      <c r="C1298">
        <f>B1298*(hospitalityq!C1298="")</f>
        <v>0</v>
      </c>
      <c r="E1298">
        <f>B1298*(hospitalityq!E1298="")</f>
        <v>0</v>
      </c>
      <c r="F1298">
        <f>B1298*(hospitalityq!F1298="")</f>
        <v>0</v>
      </c>
      <c r="G1298">
        <f>B1298*(hospitalityq!G1298="")</f>
        <v>0</v>
      </c>
      <c r="H1298">
        <f>B1298*(hospitalityq!H1298="")</f>
        <v>0</v>
      </c>
      <c r="I1298">
        <f>B1298*(hospitalityq!I1298="")</f>
        <v>0</v>
      </c>
      <c r="J1298">
        <f>B1298*(hospitalityq!J1298="")</f>
        <v>0</v>
      </c>
      <c r="K1298">
        <f>B1298*(hospitalityq!K1298="")</f>
        <v>0</v>
      </c>
      <c r="L1298">
        <f>B1298*(hospitalityq!L1298="")</f>
        <v>0</v>
      </c>
      <c r="M1298">
        <f>B1298*(hospitalityq!M1298="")</f>
        <v>0</v>
      </c>
      <c r="N1298">
        <f>B1298*(hospitalityq!N1298="")</f>
        <v>0</v>
      </c>
      <c r="O1298">
        <f>B1298*(hospitalityq!O1298="")</f>
        <v>0</v>
      </c>
      <c r="P1298">
        <f>B1298*(hospitalityq!P1298="")</f>
        <v>0</v>
      </c>
      <c r="Q1298">
        <f>B1298*(hospitalityq!Q1298="")</f>
        <v>0</v>
      </c>
      <c r="R1298">
        <f>B1298*(hospitalityq!R1298="")</f>
        <v>0</v>
      </c>
    </row>
    <row r="1299" spans="1:18" x14ac:dyDescent="0.25">
      <c r="A1299">
        <f t="shared" si="21"/>
        <v>0</v>
      </c>
      <c r="B1299" t="b">
        <f>SUMPRODUCT(LEN(hospitalityq!C1299:R1299))&gt;0</f>
        <v>0</v>
      </c>
      <c r="C1299">
        <f>B1299*(hospitalityq!C1299="")</f>
        <v>0</v>
      </c>
      <c r="E1299">
        <f>B1299*(hospitalityq!E1299="")</f>
        <v>0</v>
      </c>
      <c r="F1299">
        <f>B1299*(hospitalityq!F1299="")</f>
        <v>0</v>
      </c>
      <c r="G1299">
        <f>B1299*(hospitalityq!G1299="")</f>
        <v>0</v>
      </c>
      <c r="H1299">
        <f>B1299*(hospitalityq!H1299="")</f>
        <v>0</v>
      </c>
      <c r="I1299">
        <f>B1299*(hospitalityq!I1299="")</f>
        <v>0</v>
      </c>
      <c r="J1299">
        <f>B1299*(hospitalityq!J1299="")</f>
        <v>0</v>
      </c>
      <c r="K1299">
        <f>B1299*(hospitalityq!K1299="")</f>
        <v>0</v>
      </c>
      <c r="L1299">
        <f>B1299*(hospitalityq!L1299="")</f>
        <v>0</v>
      </c>
      <c r="M1299">
        <f>B1299*(hospitalityq!M1299="")</f>
        <v>0</v>
      </c>
      <c r="N1299">
        <f>B1299*(hospitalityq!N1299="")</f>
        <v>0</v>
      </c>
      <c r="O1299">
        <f>B1299*(hospitalityq!O1299="")</f>
        <v>0</v>
      </c>
      <c r="P1299">
        <f>B1299*(hospitalityq!P1299="")</f>
        <v>0</v>
      </c>
      <c r="Q1299">
        <f>B1299*(hospitalityq!Q1299="")</f>
        <v>0</v>
      </c>
      <c r="R1299">
        <f>B1299*(hospitalityq!R1299="")</f>
        <v>0</v>
      </c>
    </row>
    <row r="1300" spans="1:18" x14ac:dyDescent="0.25">
      <c r="A1300">
        <f t="shared" si="21"/>
        <v>0</v>
      </c>
      <c r="B1300" t="b">
        <f>SUMPRODUCT(LEN(hospitalityq!C1300:R1300))&gt;0</f>
        <v>0</v>
      </c>
      <c r="C1300">
        <f>B1300*(hospitalityq!C1300="")</f>
        <v>0</v>
      </c>
      <c r="E1300">
        <f>B1300*(hospitalityq!E1300="")</f>
        <v>0</v>
      </c>
      <c r="F1300">
        <f>B1300*(hospitalityq!F1300="")</f>
        <v>0</v>
      </c>
      <c r="G1300">
        <f>B1300*(hospitalityq!G1300="")</f>
        <v>0</v>
      </c>
      <c r="H1300">
        <f>B1300*(hospitalityq!H1300="")</f>
        <v>0</v>
      </c>
      <c r="I1300">
        <f>B1300*(hospitalityq!I1300="")</f>
        <v>0</v>
      </c>
      <c r="J1300">
        <f>B1300*(hospitalityq!J1300="")</f>
        <v>0</v>
      </c>
      <c r="K1300">
        <f>B1300*(hospitalityq!K1300="")</f>
        <v>0</v>
      </c>
      <c r="L1300">
        <f>B1300*(hospitalityq!L1300="")</f>
        <v>0</v>
      </c>
      <c r="M1300">
        <f>B1300*(hospitalityq!M1300="")</f>
        <v>0</v>
      </c>
      <c r="N1300">
        <f>B1300*(hospitalityq!N1300="")</f>
        <v>0</v>
      </c>
      <c r="O1300">
        <f>B1300*(hospitalityq!O1300="")</f>
        <v>0</v>
      </c>
      <c r="P1300">
        <f>B1300*(hospitalityq!P1300="")</f>
        <v>0</v>
      </c>
      <c r="Q1300">
        <f>B1300*(hospitalityq!Q1300="")</f>
        <v>0</v>
      </c>
      <c r="R1300">
        <f>B1300*(hospitalityq!R1300="")</f>
        <v>0</v>
      </c>
    </row>
    <row r="1301" spans="1:18" x14ac:dyDescent="0.25">
      <c r="A1301">
        <f t="shared" si="21"/>
        <v>0</v>
      </c>
      <c r="B1301" t="b">
        <f>SUMPRODUCT(LEN(hospitalityq!C1301:R1301))&gt;0</f>
        <v>0</v>
      </c>
      <c r="C1301">
        <f>B1301*(hospitalityq!C1301="")</f>
        <v>0</v>
      </c>
      <c r="E1301">
        <f>B1301*(hospitalityq!E1301="")</f>
        <v>0</v>
      </c>
      <c r="F1301">
        <f>B1301*(hospitalityq!F1301="")</f>
        <v>0</v>
      </c>
      <c r="G1301">
        <f>B1301*(hospitalityq!G1301="")</f>
        <v>0</v>
      </c>
      <c r="H1301">
        <f>B1301*(hospitalityq!H1301="")</f>
        <v>0</v>
      </c>
      <c r="I1301">
        <f>B1301*(hospitalityq!I1301="")</f>
        <v>0</v>
      </c>
      <c r="J1301">
        <f>B1301*(hospitalityq!J1301="")</f>
        <v>0</v>
      </c>
      <c r="K1301">
        <f>B1301*(hospitalityq!K1301="")</f>
        <v>0</v>
      </c>
      <c r="L1301">
        <f>B1301*(hospitalityq!L1301="")</f>
        <v>0</v>
      </c>
      <c r="M1301">
        <f>B1301*(hospitalityq!M1301="")</f>
        <v>0</v>
      </c>
      <c r="N1301">
        <f>B1301*(hospitalityq!N1301="")</f>
        <v>0</v>
      </c>
      <c r="O1301">
        <f>B1301*(hospitalityq!O1301="")</f>
        <v>0</v>
      </c>
      <c r="P1301">
        <f>B1301*(hospitalityq!P1301="")</f>
        <v>0</v>
      </c>
      <c r="Q1301">
        <f>B1301*(hospitalityq!Q1301="")</f>
        <v>0</v>
      </c>
      <c r="R1301">
        <f>B1301*(hospitalityq!R1301="")</f>
        <v>0</v>
      </c>
    </row>
    <row r="1302" spans="1:18" x14ac:dyDescent="0.25">
      <c r="A1302">
        <f t="shared" si="21"/>
        <v>0</v>
      </c>
      <c r="B1302" t="b">
        <f>SUMPRODUCT(LEN(hospitalityq!C1302:R1302))&gt;0</f>
        <v>0</v>
      </c>
      <c r="C1302">
        <f>B1302*(hospitalityq!C1302="")</f>
        <v>0</v>
      </c>
      <c r="E1302">
        <f>B1302*(hospitalityq!E1302="")</f>
        <v>0</v>
      </c>
      <c r="F1302">
        <f>B1302*(hospitalityq!F1302="")</f>
        <v>0</v>
      </c>
      <c r="G1302">
        <f>B1302*(hospitalityq!G1302="")</f>
        <v>0</v>
      </c>
      <c r="H1302">
        <f>B1302*(hospitalityq!H1302="")</f>
        <v>0</v>
      </c>
      <c r="I1302">
        <f>B1302*(hospitalityq!I1302="")</f>
        <v>0</v>
      </c>
      <c r="J1302">
        <f>B1302*(hospitalityq!J1302="")</f>
        <v>0</v>
      </c>
      <c r="K1302">
        <f>B1302*(hospitalityq!K1302="")</f>
        <v>0</v>
      </c>
      <c r="L1302">
        <f>B1302*(hospitalityq!L1302="")</f>
        <v>0</v>
      </c>
      <c r="M1302">
        <f>B1302*(hospitalityq!M1302="")</f>
        <v>0</v>
      </c>
      <c r="N1302">
        <f>B1302*(hospitalityq!N1302="")</f>
        <v>0</v>
      </c>
      <c r="O1302">
        <f>B1302*(hospitalityq!O1302="")</f>
        <v>0</v>
      </c>
      <c r="P1302">
        <f>B1302*(hospitalityq!P1302="")</f>
        <v>0</v>
      </c>
      <c r="Q1302">
        <f>B1302*(hospitalityq!Q1302="")</f>
        <v>0</v>
      </c>
      <c r="R1302">
        <f>B1302*(hospitalityq!R1302="")</f>
        <v>0</v>
      </c>
    </row>
    <row r="1303" spans="1:18" x14ac:dyDescent="0.25">
      <c r="A1303">
        <f t="shared" si="21"/>
        <v>0</v>
      </c>
      <c r="B1303" t="b">
        <f>SUMPRODUCT(LEN(hospitalityq!C1303:R1303))&gt;0</f>
        <v>0</v>
      </c>
      <c r="C1303">
        <f>B1303*(hospitalityq!C1303="")</f>
        <v>0</v>
      </c>
      <c r="E1303">
        <f>B1303*(hospitalityq!E1303="")</f>
        <v>0</v>
      </c>
      <c r="F1303">
        <f>B1303*(hospitalityq!F1303="")</f>
        <v>0</v>
      </c>
      <c r="G1303">
        <f>B1303*(hospitalityq!G1303="")</f>
        <v>0</v>
      </c>
      <c r="H1303">
        <f>B1303*(hospitalityq!H1303="")</f>
        <v>0</v>
      </c>
      <c r="I1303">
        <f>B1303*(hospitalityq!I1303="")</f>
        <v>0</v>
      </c>
      <c r="J1303">
        <f>B1303*(hospitalityq!J1303="")</f>
        <v>0</v>
      </c>
      <c r="K1303">
        <f>B1303*(hospitalityq!K1303="")</f>
        <v>0</v>
      </c>
      <c r="L1303">
        <f>B1303*(hospitalityq!L1303="")</f>
        <v>0</v>
      </c>
      <c r="M1303">
        <f>B1303*(hospitalityq!M1303="")</f>
        <v>0</v>
      </c>
      <c r="N1303">
        <f>B1303*(hospitalityq!N1303="")</f>
        <v>0</v>
      </c>
      <c r="O1303">
        <f>B1303*(hospitalityq!O1303="")</f>
        <v>0</v>
      </c>
      <c r="P1303">
        <f>B1303*(hospitalityq!P1303="")</f>
        <v>0</v>
      </c>
      <c r="Q1303">
        <f>B1303*(hospitalityq!Q1303="")</f>
        <v>0</v>
      </c>
      <c r="R1303">
        <f>B1303*(hospitalityq!R1303="")</f>
        <v>0</v>
      </c>
    </row>
    <row r="1304" spans="1:18" x14ac:dyDescent="0.25">
      <c r="A1304">
        <f t="shared" si="21"/>
        <v>0</v>
      </c>
      <c r="B1304" t="b">
        <f>SUMPRODUCT(LEN(hospitalityq!C1304:R1304))&gt;0</f>
        <v>0</v>
      </c>
      <c r="C1304">
        <f>B1304*(hospitalityq!C1304="")</f>
        <v>0</v>
      </c>
      <c r="E1304">
        <f>B1304*(hospitalityq!E1304="")</f>
        <v>0</v>
      </c>
      <c r="F1304">
        <f>B1304*(hospitalityq!F1304="")</f>
        <v>0</v>
      </c>
      <c r="G1304">
        <f>B1304*(hospitalityq!G1304="")</f>
        <v>0</v>
      </c>
      <c r="H1304">
        <f>B1304*(hospitalityq!H1304="")</f>
        <v>0</v>
      </c>
      <c r="I1304">
        <f>B1304*(hospitalityq!I1304="")</f>
        <v>0</v>
      </c>
      <c r="J1304">
        <f>B1304*(hospitalityq!J1304="")</f>
        <v>0</v>
      </c>
      <c r="K1304">
        <f>B1304*(hospitalityq!K1304="")</f>
        <v>0</v>
      </c>
      <c r="L1304">
        <f>B1304*(hospitalityq!L1304="")</f>
        <v>0</v>
      </c>
      <c r="M1304">
        <f>B1304*(hospitalityq!M1304="")</f>
        <v>0</v>
      </c>
      <c r="N1304">
        <f>B1304*(hospitalityq!N1304="")</f>
        <v>0</v>
      </c>
      <c r="O1304">
        <f>B1304*(hospitalityq!O1304="")</f>
        <v>0</v>
      </c>
      <c r="P1304">
        <f>B1304*(hospitalityq!P1304="")</f>
        <v>0</v>
      </c>
      <c r="Q1304">
        <f>B1304*(hospitalityq!Q1304="")</f>
        <v>0</v>
      </c>
      <c r="R1304">
        <f>B1304*(hospitalityq!R1304="")</f>
        <v>0</v>
      </c>
    </row>
    <row r="1305" spans="1:18" x14ac:dyDescent="0.25">
      <c r="A1305">
        <f t="shared" si="21"/>
        <v>0</v>
      </c>
      <c r="B1305" t="b">
        <f>SUMPRODUCT(LEN(hospitalityq!C1305:R1305))&gt;0</f>
        <v>0</v>
      </c>
      <c r="C1305">
        <f>B1305*(hospitalityq!C1305="")</f>
        <v>0</v>
      </c>
      <c r="E1305">
        <f>B1305*(hospitalityq!E1305="")</f>
        <v>0</v>
      </c>
      <c r="F1305">
        <f>B1305*(hospitalityq!F1305="")</f>
        <v>0</v>
      </c>
      <c r="G1305">
        <f>B1305*(hospitalityq!G1305="")</f>
        <v>0</v>
      </c>
      <c r="H1305">
        <f>B1305*(hospitalityq!H1305="")</f>
        <v>0</v>
      </c>
      <c r="I1305">
        <f>B1305*(hospitalityq!I1305="")</f>
        <v>0</v>
      </c>
      <c r="J1305">
        <f>B1305*(hospitalityq!J1305="")</f>
        <v>0</v>
      </c>
      <c r="K1305">
        <f>B1305*(hospitalityq!K1305="")</f>
        <v>0</v>
      </c>
      <c r="L1305">
        <f>B1305*(hospitalityq!L1305="")</f>
        <v>0</v>
      </c>
      <c r="M1305">
        <f>B1305*(hospitalityq!M1305="")</f>
        <v>0</v>
      </c>
      <c r="N1305">
        <f>B1305*(hospitalityq!N1305="")</f>
        <v>0</v>
      </c>
      <c r="O1305">
        <f>B1305*(hospitalityq!O1305="")</f>
        <v>0</v>
      </c>
      <c r="P1305">
        <f>B1305*(hospitalityq!P1305="")</f>
        <v>0</v>
      </c>
      <c r="Q1305">
        <f>B1305*(hospitalityq!Q1305="")</f>
        <v>0</v>
      </c>
      <c r="R1305">
        <f>B1305*(hospitalityq!R1305="")</f>
        <v>0</v>
      </c>
    </row>
    <row r="1306" spans="1:18" x14ac:dyDescent="0.25">
      <c r="A1306">
        <f t="shared" si="21"/>
        <v>0</v>
      </c>
      <c r="B1306" t="b">
        <f>SUMPRODUCT(LEN(hospitalityq!C1306:R1306))&gt;0</f>
        <v>0</v>
      </c>
      <c r="C1306">
        <f>B1306*(hospitalityq!C1306="")</f>
        <v>0</v>
      </c>
      <c r="E1306">
        <f>B1306*(hospitalityq!E1306="")</f>
        <v>0</v>
      </c>
      <c r="F1306">
        <f>B1306*(hospitalityq!F1306="")</f>
        <v>0</v>
      </c>
      <c r="G1306">
        <f>B1306*(hospitalityq!G1306="")</f>
        <v>0</v>
      </c>
      <c r="H1306">
        <f>B1306*(hospitalityq!H1306="")</f>
        <v>0</v>
      </c>
      <c r="I1306">
        <f>B1306*(hospitalityq!I1306="")</f>
        <v>0</v>
      </c>
      <c r="J1306">
        <f>B1306*(hospitalityq!J1306="")</f>
        <v>0</v>
      </c>
      <c r="K1306">
        <f>B1306*(hospitalityq!K1306="")</f>
        <v>0</v>
      </c>
      <c r="L1306">
        <f>B1306*(hospitalityq!L1306="")</f>
        <v>0</v>
      </c>
      <c r="M1306">
        <f>B1306*(hospitalityq!M1306="")</f>
        <v>0</v>
      </c>
      <c r="N1306">
        <f>B1306*(hospitalityq!N1306="")</f>
        <v>0</v>
      </c>
      <c r="O1306">
        <f>B1306*(hospitalityq!O1306="")</f>
        <v>0</v>
      </c>
      <c r="P1306">
        <f>B1306*(hospitalityq!P1306="")</f>
        <v>0</v>
      </c>
      <c r="Q1306">
        <f>B1306*(hospitalityq!Q1306="")</f>
        <v>0</v>
      </c>
      <c r="R1306">
        <f>B1306*(hospitalityq!R1306="")</f>
        <v>0</v>
      </c>
    </row>
    <row r="1307" spans="1:18" x14ac:dyDescent="0.25">
      <c r="A1307">
        <f t="shared" si="21"/>
        <v>0</v>
      </c>
      <c r="B1307" t="b">
        <f>SUMPRODUCT(LEN(hospitalityq!C1307:R1307))&gt;0</f>
        <v>0</v>
      </c>
      <c r="C1307">
        <f>B1307*(hospitalityq!C1307="")</f>
        <v>0</v>
      </c>
      <c r="E1307">
        <f>B1307*(hospitalityq!E1307="")</f>
        <v>0</v>
      </c>
      <c r="F1307">
        <f>B1307*(hospitalityq!F1307="")</f>
        <v>0</v>
      </c>
      <c r="G1307">
        <f>B1307*(hospitalityq!G1307="")</f>
        <v>0</v>
      </c>
      <c r="H1307">
        <f>B1307*(hospitalityq!H1307="")</f>
        <v>0</v>
      </c>
      <c r="I1307">
        <f>B1307*(hospitalityq!I1307="")</f>
        <v>0</v>
      </c>
      <c r="J1307">
        <f>B1307*(hospitalityq!J1307="")</f>
        <v>0</v>
      </c>
      <c r="K1307">
        <f>B1307*(hospitalityq!K1307="")</f>
        <v>0</v>
      </c>
      <c r="L1307">
        <f>B1307*(hospitalityq!L1307="")</f>
        <v>0</v>
      </c>
      <c r="M1307">
        <f>B1307*(hospitalityq!M1307="")</f>
        <v>0</v>
      </c>
      <c r="N1307">
        <f>B1307*(hospitalityq!N1307="")</f>
        <v>0</v>
      </c>
      <c r="O1307">
        <f>B1307*(hospitalityq!O1307="")</f>
        <v>0</v>
      </c>
      <c r="P1307">
        <f>B1307*(hospitalityq!P1307="")</f>
        <v>0</v>
      </c>
      <c r="Q1307">
        <f>B1307*(hospitalityq!Q1307="")</f>
        <v>0</v>
      </c>
      <c r="R1307">
        <f>B1307*(hospitalityq!R1307="")</f>
        <v>0</v>
      </c>
    </row>
    <row r="1308" spans="1:18" x14ac:dyDescent="0.25">
      <c r="A1308">
        <f t="shared" si="21"/>
        <v>0</v>
      </c>
      <c r="B1308" t="b">
        <f>SUMPRODUCT(LEN(hospitalityq!C1308:R1308))&gt;0</f>
        <v>0</v>
      </c>
      <c r="C1308">
        <f>B1308*(hospitalityq!C1308="")</f>
        <v>0</v>
      </c>
      <c r="E1308">
        <f>B1308*(hospitalityq!E1308="")</f>
        <v>0</v>
      </c>
      <c r="F1308">
        <f>B1308*(hospitalityq!F1308="")</f>
        <v>0</v>
      </c>
      <c r="G1308">
        <f>B1308*(hospitalityq!G1308="")</f>
        <v>0</v>
      </c>
      <c r="H1308">
        <f>B1308*(hospitalityq!H1308="")</f>
        <v>0</v>
      </c>
      <c r="I1308">
        <f>B1308*(hospitalityq!I1308="")</f>
        <v>0</v>
      </c>
      <c r="J1308">
        <f>B1308*(hospitalityq!J1308="")</f>
        <v>0</v>
      </c>
      <c r="K1308">
        <f>B1308*(hospitalityq!K1308="")</f>
        <v>0</v>
      </c>
      <c r="L1308">
        <f>B1308*(hospitalityq!L1308="")</f>
        <v>0</v>
      </c>
      <c r="M1308">
        <f>B1308*(hospitalityq!M1308="")</f>
        <v>0</v>
      </c>
      <c r="N1308">
        <f>B1308*(hospitalityq!N1308="")</f>
        <v>0</v>
      </c>
      <c r="O1308">
        <f>B1308*(hospitalityq!O1308="")</f>
        <v>0</v>
      </c>
      <c r="P1308">
        <f>B1308*(hospitalityq!P1308="")</f>
        <v>0</v>
      </c>
      <c r="Q1308">
        <f>B1308*(hospitalityq!Q1308="")</f>
        <v>0</v>
      </c>
      <c r="R1308">
        <f>B1308*(hospitalityq!R1308="")</f>
        <v>0</v>
      </c>
    </row>
    <row r="1309" spans="1:18" x14ac:dyDescent="0.25">
      <c r="A1309">
        <f t="shared" si="21"/>
        <v>0</v>
      </c>
      <c r="B1309" t="b">
        <f>SUMPRODUCT(LEN(hospitalityq!C1309:R1309))&gt;0</f>
        <v>0</v>
      </c>
      <c r="C1309">
        <f>B1309*(hospitalityq!C1309="")</f>
        <v>0</v>
      </c>
      <c r="E1309">
        <f>B1309*(hospitalityq!E1309="")</f>
        <v>0</v>
      </c>
      <c r="F1309">
        <f>B1309*(hospitalityq!F1309="")</f>
        <v>0</v>
      </c>
      <c r="G1309">
        <f>B1309*(hospitalityq!G1309="")</f>
        <v>0</v>
      </c>
      <c r="H1309">
        <f>B1309*(hospitalityq!H1309="")</f>
        <v>0</v>
      </c>
      <c r="I1309">
        <f>B1309*(hospitalityq!I1309="")</f>
        <v>0</v>
      </c>
      <c r="J1309">
        <f>B1309*(hospitalityq!J1309="")</f>
        <v>0</v>
      </c>
      <c r="K1309">
        <f>B1309*(hospitalityq!K1309="")</f>
        <v>0</v>
      </c>
      <c r="L1309">
        <f>B1309*(hospitalityq!L1309="")</f>
        <v>0</v>
      </c>
      <c r="M1309">
        <f>B1309*(hospitalityq!M1309="")</f>
        <v>0</v>
      </c>
      <c r="N1309">
        <f>B1309*(hospitalityq!N1309="")</f>
        <v>0</v>
      </c>
      <c r="O1309">
        <f>B1309*(hospitalityq!O1309="")</f>
        <v>0</v>
      </c>
      <c r="P1309">
        <f>B1309*(hospitalityq!P1309="")</f>
        <v>0</v>
      </c>
      <c r="Q1309">
        <f>B1309*(hospitalityq!Q1309="")</f>
        <v>0</v>
      </c>
      <c r="R1309">
        <f>B1309*(hospitalityq!R1309="")</f>
        <v>0</v>
      </c>
    </row>
    <row r="1310" spans="1:18" x14ac:dyDescent="0.25">
      <c r="A1310">
        <f t="shared" si="21"/>
        <v>0</v>
      </c>
      <c r="B1310" t="b">
        <f>SUMPRODUCT(LEN(hospitalityq!C1310:R1310))&gt;0</f>
        <v>0</v>
      </c>
      <c r="C1310">
        <f>B1310*(hospitalityq!C1310="")</f>
        <v>0</v>
      </c>
      <c r="E1310">
        <f>B1310*(hospitalityq!E1310="")</f>
        <v>0</v>
      </c>
      <c r="F1310">
        <f>B1310*(hospitalityq!F1310="")</f>
        <v>0</v>
      </c>
      <c r="G1310">
        <f>B1310*(hospitalityq!G1310="")</f>
        <v>0</v>
      </c>
      <c r="H1310">
        <f>B1310*(hospitalityq!H1310="")</f>
        <v>0</v>
      </c>
      <c r="I1310">
        <f>B1310*(hospitalityq!I1310="")</f>
        <v>0</v>
      </c>
      <c r="J1310">
        <f>B1310*(hospitalityq!J1310="")</f>
        <v>0</v>
      </c>
      <c r="K1310">
        <f>B1310*(hospitalityq!K1310="")</f>
        <v>0</v>
      </c>
      <c r="L1310">
        <f>B1310*(hospitalityq!L1310="")</f>
        <v>0</v>
      </c>
      <c r="M1310">
        <f>B1310*(hospitalityq!M1310="")</f>
        <v>0</v>
      </c>
      <c r="N1310">
        <f>B1310*(hospitalityq!N1310="")</f>
        <v>0</v>
      </c>
      <c r="O1310">
        <f>B1310*(hospitalityq!O1310="")</f>
        <v>0</v>
      </c>
      <c r="P1310">
        <f>B1310*(hospitalityq!P1310="")</f>
        <v>0</v>
      </c>
      <c r="Q1310">
        <f>B1310*(hospitalityq!Q1310="")</f>
        <v>0</v>
      </c>
      <c r="R1310">
        <f>B1310*(hospitalityq!R1310="")</f>
        <v>0</v>
      </c>
    </row>
    <row r="1311" spans="1:18" x14ac:dyDescent="0.25">
      <c r="A1311">
        <f t="shared" si="21"/>
        <v>0</v>
      </c>
      <c r="B1311" t="b">
        <f>SUMPRODUCT(LEN(hospitalityq!C1311:R1311))&gt;0</f>
        <v>0</v>
      </c>
      <c r="C1311">
        <f>B1311*(hospitalityq!C1311="")</f>
        <v>0</v>
      </c>
      <c r="E1311">
        <f>B1311*(hospitalityq!E1311="")</f>
        <v>0</v>
      </c>
      <c r="F1311">
        <f>B1311*(hospitalityq!F1311="")</f>
        <v>0</v>
      </c>
      <c r="G1311">
        <f>B1311*(hospitalityq!G1311="")</f>
        <v>0</v>
      </c>
      <c r="H1311">
        <f>B1311*(hospitalityq!H1311="")</f>
        <v>0</v>
      </c>
      <c r="I1311">
        <f>B1311*(hospitalityq!I1311="")</f>
        <v>0</v>
      </c>
      <c r="J1311">
        <f>B1311*(hospitalityq!J1311="")</f>
        <v>0</v>
      </c>
      <c r="K1311">
        <f>B1311*(hospitalityq!K1311="")</f>
        <v>0</v>
      </c>
      <c r="L1311">
        <f>B1311*(hospitalityq!L1311="")</f>
        <v>0</v>
      </c>
      <c r="M1311">
        <f>B1311*(hospitalityq!M1311="")</f>
        <v>0</v>
      </c>
      <c r="N1311">
        <f>B1311*(hospitalityq!N1311="")</f>
        <v>0</v>
      </c>
      <c r="O1311">
        <f>B1311*(hospitalityq!O1311="")</f>
        <v>0</v>
      </c>
      <c r="P1311">
        <f>B1311*(hospitalityq!P1311="")</f>
        <v>0</v>
      </c>
      <c r="Q1311">
        <f>B1311*(hospitalityq!Q1311="")</f>
        <v>0</v>
      </c>
      <c r="R1311">
        <f>B1311*(hospitalityq!R1311="")</f>
        <v>0</v>
      </c>
    </row>
    <row r="1312" spans="1:18" x14ac:dyDescent="0.25">
      <c r="A1312">
        <f t="shared" si="21"/>
        <v>0</v>
      </c>
      <c r="B1312" t="b">
        <f>SUMPRODUCT(LEN(hospitalityq!C1312:R1312))&gt;0</f>
        <v>0</v>
      </c>
      <c r="C1312">
        <f>B1312*(hospitalityq!C1312="")</f>
        <v>0</v>
      </c>
      <c r="E1312">
        <f>B1312*(hospitalityq!E1312="")</f>
        <v>0</v>
      </c>
      <c r="F1312">
        <f>B1312*(hospitalityq!F1312="")</f>
        <v>0</v>
      </c>
      <c r="G1312">
        <f>B1312*(hospitalityq!G1312="")</f>
        <v>0</v>
      </c>
      <c r="H1312">
        <f>B1312*(hospitalityq!H1312="")</f>
        <v>0</v>
      </c>
      <c r="I1312">
        <f>B1312*(hospitalityq!I1312="")</f>
        <v>0</v>
      </c>
      <c r="J1312">
        <f>B1312*(hospitalityq!J1312="")</f>
        <v>0</v>
      </c>
      <c r="K1312">
        <f>B1312*(hospitalityq!K1312="")</f>
        <v>0</v>
      </c>
      <c r="L1312">
        <f>B1312*(hospitalityq!L1312="")</f>
        <v>0</v>
      </c>
      <c r="M1312">
        <f>B1312*(hospitalityq!M1312="")</f>
        <v>0</v>
      </c>
      <c r="N1312">
        <f>B1312*(hospitalityq!N1312="")</f>
        <v>0</v>
      </c>
      <c r="O1312">
        <f>B1312*(hospitalityq!O1312="")</f>
        <v>0</v>
      </c>
      <c r="P1312">
        <f>B1312*(hospitalityq!P1312="")</f>
        <v>0</v>
      </c>
      <c r="Q1312">
        <f>B1312*(hospitalityq!Q1312="")</f>
        <v>0</v>
      </c>
      <c r="R1312">
        <f>B1312*(hospitalityq!R1312="")</f>
        <v>0</v>
      </c>
    </row>
    <row r="1313" spans="1:18" x14ac:dyDescent="0.25">
      <c r="A1313">
        <f t="shared" si="21"/>
        <v>0</v>
      </c>
      <c r="B1313" t="b">
        <f>SUMPRODUCT(LEN(hospitalityq!C1313:R1313))&gt;0</f>
        <v>0</v>
      </c>
      <c r="C1313">
        <f>B1313*(hospitalityq!C1313="")</f>
        <v>0</v>
      </c>
      <c r="E1313">
        <f>B1313*(hospitalityq!E1313="")</f>
        <v>0</v>
      </c>
      <c r="F1313">
        <f>B1313*(hospitalityq!F1313="")</f>
        <v>0</v>
      </c>
      <c r="G1313">
        <f>B1313*(hospitalityq!G1313="")</f>
        <v>0</v>
      </c>
      <c r="H1313">
        <f>B1313*(hospitalityq!H1313="")</f>
        <v>0</v>
      </c>
      <c r="I1313">
        <f>B1313*(hospitalityq!I1313="")</f>
        <v>0</v>
      </c>
      <c r="J1313">
        <f>B1313*(hospitalityq!J1313="")</f>
        <v>0</v>
      </c>
      <c r="K1313">
        <f>B1313*(hospitalityq!K1313="")</f>
        <v>0</v>
      </c>
      <c r="L1313">
        <f>B1313*(hospitalityq!L1313="")</f>
        <v>0</v>
      </c>
      <c r="M1313">
        <f>B1313*(hospitalityq!M1313="")</f>
        <v>0</v>
      </c>
      <c r="N1313">
        <f>B1313*(hospitalityq!N1313="")</f>
        <v>0</v>
      </c>
      <c r="O1313">
        <f>B1313*(hospitalityq!O1313="")</f>
        <v>0</v>
      </c>
      <c r="P1313">
        <f>B1313*(hospitalityq!P1313="")</f>
        <v>0</v>
      </c>
      <c r="Q1313">
        <f>B1313*(hospitalityq!Q1313="")</f>
        <v>0</v>
      </c>
      <c r="R1313">
        <f>B1313*(hospitalityq!R1313="")</f>
        <v>0</v>
      </c>
    </row>
    <row r="1314" spans="1:18" x14ac:dyDescent="0.25">
      <c r="A1314">
        <f t="shared" si="21"/>
        <v>0</v>
      </c>
      <c r="B1314" t="b">
        <f>SUMPRODUCT(LEN(hospitalityq!C1314:R1314))&gt;0</f>
        <v>0</v>
      </c>
      <c r="C1314">
        <f>B1314*(hospitalityq!C1314="")</f>
        <v>0</v>
      </c>
      <c r="E1314">
        <f>B1314*(hospitalityq!E1314="")</f>
        <v>0</v>
      </c>
      <c r="F1314">
        <f>B1314*(hospitalityq!F1314="")</f>
        <v>0</v>
      </c>
      <c r="G1314">
        <f>B1314*(hospitalityq!G1314="")</f>
        <v>0</v>
      </c>
      <c r="H1314">
        <f>B1314*(hospitalityq!H1314="")</f>
        <v>0</v>
      </c>
      <c r="I1314">
        <f>B1314*(hospitalityq!I1314="")</f>
        <v>0</v>
      </c>
      <c r="J1314">
        <f>B1314*(hospitalityq!J1314="")</f>
        <v>0</v>
      </c>
      <c r="K1314">
        <f>B1314*(hospitalityq!K1314="")</f>
        <v>0</v>
      </c>
      <c r="L1314">
        <f>B1314*(hospitalityq!L1314="")</f>
        <v>0</v>
      </c>
      <c r="M1314">
        <f>B1314*(hospitalityq!M1314="")</f>
        <v>0</v>
      </c>
      <c r="N1314">
        <f>B1314*(hospitalityq!N1314="")</f>
        <v>0</v>
      </c>
      <c r="O1314">
        <f>B1314*(hospitalityq!O1314="")</f>
        <v>0</v>
      </c>
      <c r="P1314">
        <f>B1314*(hospitalityq!P1314="")</f>
        <v>0</v>
      </c>
      <c r="Q1314">
        <f>B1314*(hospitalityq!Q1314="")</f>
        <v>0</v>
      </c>
      <c r="R1314">
        <f>B1314*(hospitalityq!R1314="")</f>
        <v>0</v>
      </c>
    </row>
    <row r="1315" spans="1:18" x14ac:dyDescent="0.25">
      <c r="A1315">
        <f t="shared" si="21"/>
        <v>0</v>
      </c>
      <c r="B1315" t="b">
        <f>SUMPRODUCT(LEN(hospitalityq!C1315:R1315))&gt;0</f>
        <v>0</v>
      </c>
      <c r="C1315">
        <f>B1315*(hospitalityq!C1315="")</f>
        <v>0</v>
      </c>
      <c r="E1315">
        <f>B1315*(hospitalityq!E1315="")</f>
        <v>0</v>
      </c>
      <c r="F1315">
        <f>B1315*(hospitalityq!F1315="")</f>
        <v>0</v>
      </c>
      <c r="G1315">
        <f>B1315*(hospitalityq!G1315="")</f>
        <v>0</v>
      </c>
      <c r="H1315">
        <f>B1315*(hospitalityq!H1315="")</f>
        <v>0</v>
      </c>
      <c r="I1315">
        <f>B1315*(hospitalityq!I1315="")</f>
        <v>0</v>
      </c>
      <c r="J1315">
        <f>B1315*(hospitalityq!J1315="")</f>
        <v>0</v>
      </c>
      <c r="K1315">
        <f>B1315*(hospitalityq!K1315="")</f>
        <v>0</v>
      </c>
      <c r="L1315">
        <f>B1315*(hospitalityq!L1315="")</f>
        <v>0</v>
      </c>
      <c r="M1315">
        <f>B1315*(hospitalityq!M1315="")</f>
        <v>0</v>
      </c>
      <c r="N1315">
        <f>B1315*(hospitalityq!N1315="")</f>
        <v>0</v>
      </c>
      <c r="O1315">
        <f>B1315*(hospitalityq!O1315="")</f>
        <v>0</v>
      </c>
      <c r="P1315">
        <f>B1315*(hospitalityq!P1315="")</f>
        <v>0</v>
      </c>
      <c r="Q1315">
        <f>B1315*(hospitalityq!Q1315="")</f>
        <v>0</v>
      </c>
      <c r="R1315">
        <f>B1315*(hospitalityq!R1315="")</f>
        <v>0</v>
      </c>
    </row>
    <row r="1316" spans="1:18" x14ac:dyDescent="0.25">
      <c r="A1316">
        <f t="shared" si="21"/>
        <v>0</v>
      </c>
      <c r="B1316" t="b">
        <f>SUMPRODUCT(LEN(hospitalityq!C1316:R1316))&gt;0</f>
        <v>0</v>
      </c>
      <c r="C1316">
        <f>B1316*(hospitalityq!C1316="")</f>
        <v>0</v>
      </c>
      <c r="E1316">
        <f>B1316*(hospitalityq!E1316="")</f>
        <v>0</v>
      </c>
      <c r="F1316">
        <f>B1316*(hospitalityq!F1316="")</f>
        <v>0</v>
      </c>
      <c r="G1316">
        <f>B1316*(hospitalityq!G1316="")</f>
        <v>0</v>
      </c>
      <c r="H1316">
        <f>B1316*(hospitalityq!H1316="")</f>
        <v>0</v>
      </c>
      <c r="I1316">
        <f>B1316*(hospitalityq!I1316="")</f>
        <v>0</v>
      </c>
      <c r="J1316">
        <f>B1316*(hospitalityq!J1316="")</f>
        <v>0</v>
      </c>
      <c r="K1316">
        <f>B1316*(hospitalityq!K1316="")</f>
        <v>0</v>
      </c>
      <c r="L1316">
        <f>B1316*(hospitalityq!L1316="")</f>
        <v>0</v>
      </c>
      <c r="M1316">
        <f>B1316*(hospitalityq!M1316="")</f>
        <v>0</v>
      </c>
      <c r="N1316">
        <f>B1316*(hospitalityq!N1316="")</f>
        <v>0</v>
      </c>
      <c r="O1316">
        <f>B1316*(hospitalityq!O1316="")</f>
        <v>0</v>
      </c>
      <c r="P1316">
        <f>B1316*(hospitalityq!P1316="")</f>
        <v>0</v>
      </c>
      <c r="Q1316">
        <f>B1316*(hospitalityq!Q1316="")</f>
        <v>0</v>
      </c>
      <c r="R1316">
        <f>B1316*(hospitalityq!R1316="")</f>
        <v>0</v>
      </c>
    </row>
    <row r="1317" spans="1:18" x14ac:dyDescent="0.25">
      <c r="A1317">
        <f t="shared" si="21"/>
        <v>0</v>
      </c>
      <c r="B1317" t="b">
        <f>SUMPRODUCT(LEN(hospitalityq!C1317:R1317))&gt;0</f>
        <v>0</v>
      </c>
      <c r="C1317">
        <f>B1317*(hospitalityq!C1317="")</f>
        <v>0</v>
      </c>
      <c r="E1317">
        <f>B1317*(hospitalityq!E1317="")</f>
        <v>0</v>
      </c>
      <c r="F1317">
        <f>B1317*(hospitalityq!F1317="")</f>
        <v>0</v>
      </c>
      <c r="G1317">
        <f>B1317*(hospitalityq!G1317="")</f>
        <v>0</v>
      </c>
      <c r="H1317">
        <f>B1317*(hospitalityq!H1317="")</f>
        <v>0</v>
      </c>
      <c r="I1317">
        <f>B1317*(hospitalityq!I1317="")</f>
        <v>0</v>
      </c>
      <c r="J1317">
        <f>B1317*(hospitalityq!J1317="")</f>
        <v>0</v>
      </c>
      <c r="K1317">
        <f>B1317*(hospitalityq!K1317="")</f>
        <v>0</v>
      </c>
      <c r="L1317">
        <f>B1317*(hospitalityq!L1317="")</f>
        <v>0</v>
      </c>
      <c r="M1317">
        <f>B1317*(hospitalityq!M1317="")</f>
        <v>0</v>
      </c>
      <c r="N1317">
        <f>B1317*(hospitalityq!N1317="")</f>
        <v>0</v>
      </c>
      <c r="O1317">
        <f>B1317*(hospitalityq!O1317="")</f>
        <v>0</v>
      </c>
      <c r="P1317">
        <f>B1317*(hospitalityq!P1317="")</f>
        <v>0</v>
      </c>
      <c r="Q1317">
        <f>B1317*(hospitalityq!Q1317="")</f>
        <v>0</v>
      </c>
      <c r="R1317">
        <f>B1317*(hospitalityq!R1317="")</f>
        <v>0</v>
      </c>
    </row>
    <row r="1318" spans="1:18" x14ac:dyDescent="0.25">
      <c r="A1318">
        <f t="shared" si="21"/>
        <v>0</v>
      </c>
      <c r="B1318" t="b">
        <f>SUMPRODUCT(LEN(hospitalityq!C1318:R1318))&gt;0</f>
        <v>0</v>
      </c>
      <c r="C1318">
        <f>B1318*(hospitalityq!C1318="")</f>
        <v>0</v>
      </c>
      <c r="E1318">
        <f>B1318*(hospitalityq!E1318="")</f>
        <v>0</v>
      </c>
      <c r="F1318">
        <f>B1318*(hospitalityq!F1318="")</f>
        <v>0</v>
      </c>
      <c r="G1318">
        <f>B1318*(hospitalityq!G1318="")</f>
        <v>0</v>
      </c>
      <c r="H1318">
        <f>B1318*(hospitalityq!H1318="")</f>
        <v>0</v>
      </c>
      <c r="I1318">
        <f>B1318*(hospitalityq!I1318="")</f>
        <v>0</v>
      </c>
      <c r="J1318">
        <f>B1318*(hospitalityq!J1318="")</f>
        <v>0</v>
      </c>
      <c r="K1318">
        <f>B1318*(hospitalityq!K1318="")</f>
        <v>0</v>
      </c>
      <c r="L1318">
        <f>B1318*(hospitalityq!L1318="")</f>
        <v>0</v>
      </c>
      <c r="M1318">
        <f>B1318*(hospitalityq!M1318="")</f>
        <v>0</v>
      </c>
      <c r="N1318">
        <f>B1318*(hospitalityq!N1318="")</f>
        <v>0</v>
      </c>
      <c r="O1318">
        <f>B1318*(hospitalityq!O1318="")</f>
        <v>0</v>
      </c>
      <c r="P1318">
        <f>B1318*(hospitalityq!P1318="")</f>
        <v>0</v>
      </c>
      <c r="Q1318">
        <f>B1318*(hospitalityq!Q1318="")</f>
        <v>0</v>
      </c>
      <c r="R1318">
        <f>B1318*(hospitalityq!R1318="")</f>
        <v>0</v>
      </c>
    </row>
    <row r="1319" spans="1:18" x14ac:dyDescent="0.25">
      <c r="A1319">
        <f t="shared" si="21"/>
        <v>0</v>
      </c>
      <c r="B1319" t="b">
        <f>SUMPRODUCT(LEN(hospitalityq!C1319:R1319))&gt;0</f>
        <v>0</v>
      </c>
      <c r="C1319">
        <f>B1319*(hospitalityq!C1319="")</f>
        <v>0</v>
      </c>
      <c r="E1319">
        <f>B1319*(hospitalityq!E1319="")</f>
        <v>0</v>
      </c>
      <c r="F1319">
        <f>B1319*(hospitalityq!F1319="")</f>
        <v>0</v>
      </c>
      <c r="G1319">
        <f>B1319*(hospitalityq!G1319="")</f>
        <v>0</v>
      </c>
      <c r="H1319">
        <f>B1319*(hospitalityq!H1319="")</f>
        <v>0</v>
      </c>
      <c r="I1319">
        <f>B1319*(hospitalityq!I1319="")</f>
        <v>0</v>
      </c>
      <c r="J1319">
        <f>B1319*(hospitalityq!J1319="")</f>
        <v>0</v>
      </c>
      <c r="K1319">
        <f>B1319*(hospitalityq!K1319="")</f>
        <v>0</v>
      </c>
      <c r="L1319">
        <f>B1319*(hospitalityq!L1319="")</f>
        <v>0</v>
      </c>
      <c r="M1319">
        <f>B1319*(hospitalityq!M1319="")</f>
        <v>0</v>
      </c>
      <c r="N1319">
        <f>B1319*(hospitalityq!N1319="")</f>
        <v>0</v>
      </c>
      <c r="O1319">
        <f>B1319*(hospitalityq!O1319="")</f>
        <v>0</v>
      </c>
      <c r="P1319">
        <f>B1319*(hospitalityq!P1319="")</f>
        <v>0</v>
      </c>
      <c r="Q1319">
        <f>B1319*(hospitalityq!Q1319="")</f>
        <v>0</v>
      </c>
      <c r="R1319">
        <f>B1319*(hospitalityq!R1319="")</f>
        <v>0</v>
      </c>
    </row>
    <row r="1320" spans="1:18" x14ac:dyDescent="0.25">
      <c r="A1320">
        <f t="shared" si="21"/>
        <v>0</v>
      </c>
      <c r="B1320" t="b">
        <f>SUMPRODUCT(LEN(hospitalityq!C1320:R1320))&gt;0</f>
        <v>0</v>
      </c>
      <c r="C1320">
        <f>B1320*(hospitalityq!C1320="")</f>
        <v>0</v>
      </c>
      <c r="E1320">
        <f>B1320*(hospitalityq!E1320="")</f>
        <v>0</v>
      </c>
      <c r="F1320">
        <f>B1320*(hospitalityq!F1320="")</f>
        <v>0</v>
      </c>
      <c r="G1320">
        <f>B1320*(hospitalityq!G1320="")</f>
        <v>0</v>
      </c>
      <c r="H1320">
        <f>B1320*(hospitalityq!H1320="")</f>
        <v>0</v>
      </c>
      <c r="I1320">
        <f>B1320*(hospitalityq!I1320="")</f>
        <v>0</v>
      </c>
      <c r="J1320">
        <f>B1320*(hospitalityq!J1320="")</f>
        <v>0</v>
      </c>
      <c r="K1320">
        <f>B1320*(hospitalityq!K1320="")</f>
        <v>0</v>
      </c>
      <c r="L1320">
        <f>B1320*(hospitalityq!L1320="")</f>
        <v>0</v>
      </c>
      <c r="M1320">
        <f>B1320*(hospitalityq!M1320="")</f>
        <v>0</v>
      </c>
      <c r="N1320">
        <f>B1320*(hospitalityq!N1320="")</f>
        <v>0</v>
      </c>
      <c r="O1320">
        <f>B1320*(hospitalityq!O1320="")</f>
        <v>0</v>
      </c>
      <c r="P1320">
        <f>B1320*(hospitalityq!P1320="")</f>
        <v>0</v>
      </c>
      <c r="Q1320">
        <f>B1320*(hospitalityq!Q1320="")</f>
        <v>0</v>
      </c>
      <c r="R1320">
        <f>B1320*(hospitalityq!R1320="")</f>
        <v>0</v>
      </c>
    </row>
    <row r="1321" spans="1:18" x14ac:dyDescent="0.25">
      <c r="A1321">
        <f t="shared" si="21"/>
        <v>0</v>
      </c>
      <c r="B1321" t="b">
        <f>SUMPRODUCT(LEN(hospitalityq!C1321:R1321))&gt;0</f>
        <v>0</v>
      </c>
      <c r="C1321">
        <f>B1321*(hospitalityq!C1321="")</f>
        <v>0</v>
      </c>
      <c r="E1321">
        <f>B1321*(hospitalityq!E1321="")</f>
        <v>0</v>
      </c>
      <c r="F1321">
        <f>B1321*(hospitalityq!F1321="")</f>
        <v>0</v>
      </c>
      <c r="G1321">
        <f>B1321*(hospitalityq!G1321="")</f>
        <v>0</v>
      </c>
      <c r="H1321">
        <f>B1321*(hospitalityq!H1321="")</f>
        <v>0</v>
      </c>
      <c r="I1321">
        <f>B1321*(hospitalityq!I1321="")</f>
        <v>0</v>
      </c>
      <c r="J1321">
        <f>B1321*(hospitalityq!J1321="")</f>
        <v>0</v>
      </c>
      <c r="K1321">
        <f>B1321*(hospitalityq!K1321="")</f>
        <v>0</v>
      </c>
      <c r="L1321">
        <f>B1321*(hospitalityq!L1321="")</f>
        <v>0</v>
      </c>
      <c r="M1321">
        <f>B1321*(hospitalityq!M1321="")</f>
        <v>0</v>
      </c>
      <c r="N1321">
        <f>B1321*(hospitalityq!N1321="")</f>
        <v>0</v>
      </c>
      <c r="O1321">
        <f>B1321*(hospitalityq!O1321="")</f>
        <v>0</v>
      </c>
      <c r="P1321">
        <f>B1321*(hospitalityq!P1321="")</f>
        <v>0</v>
      </c>
      <c r="Q1321">
        <f>B1321*(hospitalityq!Q1321="")</f>
        <v>0</v>
      </c>
      <c r="R1321">
        <f>B1321*(hospitalityq!R1321="")</f>
        <v>0</v>
      </c>
    </row>
    <row r="1322" spans="1:18" x14ac:dyDescent="0.25">
      <c r="A1322">
        <f t="shared" si="21"/>
        <v>0</v>
      </c>
      <c r="B1322" t="b">
        <f>SUMPRODUCT(LEN(hospitalityq!C1322:R1322))&gt;0</f>
        <v>0</v>
      </c>
      <c r="C1322">
        <f>B1322*(hospitalityq!C1322="")</f>
        <v>0</v>
      </c>
      <c r="E1322">
        <f>B1322*(hospitalityq!E1322="")</f>
        <v>0</v>
      </c>
      <c r="F1322">
        <f>B1322*(hospitalityq!F1322="")</f>
        <v>0</v>
      </c>
      <c r="G1322">
        <f>B1322*(hospitalityq!G1322="")</f>
        <v>0</v>
      </c>
      <c r="H1322">
        <f>B1322*(hospitalityq!H1322="")</f>
        <v>0</v>
      </c>
      <c r="I1322">
        <f>B1322*(hospitalityq!I1322="")</f>
        <v>0</v>
      </c>
      <c r="J1322">
        <f>B1322*(hospitalityq!J1322="")</f>
        <v>0</v>
      </c>
      <c r="K1322">
        <f>B1322*(hospitalityq!K1322="")</f>
        <v>0</v>
      </c>
      <c r="L1322">
        <f>B1322*(hospitalityq!L1322="")</f>
        <v>0</v>
      </c>
      <c r="M1322">
        <f>B1322*(hospitalityq!M1322="")</f>
        <v>0</v>
      </c>
      <c r="N1322">
        <f>B1322*(hospitalityq!N1322="")</f>
        <v>0</v>
      </c>
      <c r="O1322">
        <f>B1322*(hospitalityq!O1322="")</f>
        <v>0</v>
      </c>
      <c r="P1322">
        <f>B1322*(hospitalityq!P1322="")</f>
        <v>0</v>
      </c>
      <c r="Q1322">
        <f>B1322*(hospitalityq!Q1322="")</f>
        <v>0</v>
      </c>
      <c r="R1322">
        <f>B1322*(hospitalityq!R1322="")</f>
        <v>0</v>
      </c>
    </row>
    <row r="1323" spans="1:18" x14ac:dyDescent="0.25">
      <c r="A1323">
        <f t="shared" si="21"/>
        <v>0</v>
      </c>
      <c r="B1323" t="b">
        <f>SUMPRODUCT(LEN(hospitalityq!C1323:R1323))&gt;0</f>
        <v>0</v>
      </c>
      <c r="C1323">
        <f>B1323*(hospitalityq!C1323="")</f>
        <v>0</v>
      </c>
      <c r="E1323">
        <f>B1323*(hospitalityq!E1323="")</f>
        <v>0</v>
      </c>
      <c r="F1323">
        <f>B1323*(hospitalityq!F1323="")</f>
        <v>0</v>
      </c>
      <c r="G1323">
        <f>B1323*(hospitalityq!G1323="")</f>
        <v>0</v>
      </c>
      <c r="H1323">
        <f>B1323*(hospitalityq!H1323="")</f>
        <v>0</v>
      </c>
      <c r="I1323">
        <f>B1323*(hospitalityq!I1323="")</f>
        <v>0</v>
      </c>
      <c r="J1323">
        <f>B1323*(hospitalityq!J1323="")</f>
        <v>0</v>
      </c>
      <c r="K1323">
        <f>B1323*(hospitalityq!K1323="")</f>
        <v>0</v>
      </c>
      <c r="L1323">
        <f>B1323*(hospitalityq!L1323="")</f>
        <v>0</v>
      </c>
      <c r="M1323">
        <f>B1323*(hospitalityq!M1323="")</f>
        <v>0</v>
      </c>
      <c r="N1323">
        <f>B1323*(hospitalityq!N1323="")</f>
        <v>0</v>
      </c>
      <c r="O1323">
        <f>B1323*(hospitalityq!O1323="")</f>
        <v>0</v>
      </c>
      <c r="P1323">
        <f>B1323*(hospitalityq!P1323="")</f>
        <v>0</v>
      </c>
      <c r="Q1323">
        <f>B1323*(hospitalityq!Q1323="")</f>
        <v>0</v>
      </c>
      <c r="R1323">
        <f>B1323*(hospitalityq!R1323="")</f>
        <v>0</v>
      </c>
    </row>
    <row r="1324" spans="1:18" x14ac:dyDescent="0.25">
      <c r="A1324">
        <f t="shared" si="21"/>
        <v>0</v>
      </c>
      <c r="B1324" t="b">
        <f>SUMPRODUCT(LEN(hospitalityq!C1324:R1324))&gt;0</f>
        <v>0</v>
      </c>
      <c r="C1324">
        <f>B1324*(hospitalityq!C1324="")</f>
        <v>0</v>
      </c>
      <c r="E1324">
        <f>B1324*(hospitalityq!E1324="")</f>
        <v>0</v>
      </c>
      <c r="F1324">
        <f>B1324*(hospitalityq!F1324="")</f>
        <v>0</v>
      </c>
      <c r="G1324">
        <f>B1324*(hospitalityq!G1324="")</f>
        <v>0</v>
      </c>
      <c r="H1324">
        <f>B1324*(hospitalityq!H1324="")</f>
        <v>0</v>
      </c>
      <c r="I1324">
        <f>B1324*(hospitalityq!I1324="")</f>
        <v>0</v>
      </c>
      <c r="J1324">
        <f>B1324*(hospitalityq!J1324="")</f>
        <v>0</v>
      </c>
      <c r="K1324">
        <f>B1324*(hospitalityq!K1324="")</f>
        <v>0</v>
      </c>
      <c r="L1324">
        <f>B1324*(hospitalityq!L1324="")</f>
        <v>0</v>
      </c>
      <c r="M1324">
        <f>B1324*(hospitalityq!M1324="")</f>
        <v>0</v>
      </c>
      <c r="N1324">
        <f>B1324*(hospitalityq!N1324="")</f>
        <v>0</v>
      </c>
      <c r="O1324">
        <f>B1324*(hospitalityq!O1324="")</f>
        <v>0</v>
      </c>
      <c r="P1324">
        <f>B1324*(hospitalityq!P1324="")</f>
        <v>0</v>
      </c>
      <c r="Q1324">
        <f>B1324*(hospitalityq!Q1324="")</f>
        <v>0</v>
      </c>
      <c r="R1324">
        <f>B1324*(hospitalityq!R1324="")</f>
        <v>0</v>
      </c>
    </row>
    <row r="1325" spans="1:18" x14ac:dyDescent="0.25">
      <c r="A1325">
        <f t="shared" si="21"/>
        <v>0</v>
      </c>
      <c r="B1325" t="b">
        <f>SUMPRODUCT(LEN(hospitalityq!C1325:R1325))&gt;0</f>
        <v>0</v>
      </c>
      <c r="C1325">
        <f>B1325*(hospitalityq!C1325="")</f>
        <v>0</v>
      </c>
      <c r="E1325">
        <f>B1325*(hospitalityq!E1325="")</f>
        <v>0</v>
      </c>
      <c r="F1325">
        <f>B1325*(hospitalityq!F1325="")</f>
        <v>0</v>
      </c>
      <c r="G1325">
        <f>B1325*(hospitalityq!G1325="")</f>
        <v>0</v>
      </c>
      <c r="H1325">
        <f>B1325*(hospitalityq!H1325="")</f>
        <v>0</v>
      </c>
      <c r="I1325">
        <f>B1325*(hospitalityq!I1325="")</f>
        <v>0</v>
      </c>
      <c r="J1325">
        <f>B1325*(hospitalityq!J1325="")</f>
        <v>0</v>
      </c>
      <c r="K1325">
        <f>B1325*(hospitalityq!K1325="")</f>
        <v>0</v>
      </c>
      <c r="L1325">
        <f>B1325*(hospitalityq!L1325="")</f>
        <v>0</v>
      </c>
      <c r="M1325">
        <f>B1325*(hospitalityq!M1325="")</f>
        <v>0</v>
      </c>
      <c r="N1325">
        <f>B1325*(hospitalityq!N1325="")</f>
        <v>0</v>
      </c>
      <c r="O1325">
        <f>B1325*(hospitalityq!O1325="")</f>
        <v>0</v>
      </c>
      <c r="P1325">
        <f>B1325*(hospitalityq!P1325="")</f>
        <v>0</v>
      </c>
      <c r="Q1325">
        <f>B1325*(hospitalityq!Q1325="")</f>
        <v>0</v>
      </c>
      <c r="R1325">
        <f>B1325*(hospitalityq!R1325="")</f>
        <v>0</v>
      </c>
    </row>
    <row r="1326" spans="1:18" x14ac:dyDescent="0.25">
      <c r="A1326">
        <f t="shared" si="21"/>
        <v>0</v>
      </c>
      <c r="B1326" t="b">
        <f>SUMPRODUCT(LEN(hospitalityq!C1326:R1326))&gt;0</f>
        <v>0</v>
      </c>
      <c r="C1326">
        <f>B1326*(hospitalityq!C1326="")</f>
        <v>0</v>
      </c>
      <c r="E1326">
        <f>B1326*(hospitalityq!E1326="")</f>
        <v>0</v>
      </c>
      <c r="F1326">
        <f>B1326*(hospitalityq!F1326="")</f>
        <v>0</v>
      </c>
      <c r="G1326">
        <f>B1326*(hospitalityq!G1326="")</f>
        <v>0</v>
      </c>
      <c r="H1326">
        <f>B1326*(hospitalityq!H1326="")</f>
        <v>0</v>
      </c>
      <c r="I1326">
        <f>B1326*(hospitalityq!I1326="")</f>
        <v>0</v>
      </c>
      <c r="J1326">
        <f>B1326*(hospitalityq!J1326="")</f>
        <v>0</v>
      </c>
      <c r="K1326">
        <f>B1326*(hospitalityq!K1326="")</f>
        <v>0</v>
      </c>
      <c r="L1326">
        <f>B1326*(hospitalityq!L1326="")</f>
        <v>0</v>
      </c>
      <c r="M1326">
        <f>B1326*(hospitalityq!M1326="")</f>
        <v>0</v>
      </c>
      <c r="N1326">
        <f>B1326*(hospitalityq!N1326="")</f>
        <v>0</v>
      </c>
      <c r="O1326">
        <f>B1326*(hospitalityq!O1326="")</f>
        <v>0</v>
      </c>
      <c r="P1326">
        <f>B1326*(hospitalityq!P1326="")</f>
        <v>0</v>
      </c>
      <c r="Q1326">
        <f>B1326*(hospitalityq!Q1326="")</f>
        <v>0</v>
      </c>
      <c r="R1326">
        <f>B1326*(hospitalityq!R1326="")</f>
        <v>0</v>
      </c>
    </row>
    <row r="1327" spans="1:18" x14ac:dyDescent="0.25">
      <c r="A1327">
        <f t="shared" si="21"/>
        <v>0</v>
      </c>
      <c r="B1327" t="b">
        <f>SUMPRODUCT(LEN(hospitalityq!C1327:R1327))&gt;0</f>
        <v>0</v>
      </c>
      <c r="C1327">
        <f>B1327*(hospitalityq!C1327="")</f>
        <v>0</v>
      </c>
      <c r="E1327">
        <f>B1327*(hospitalityq!E1327="")</f>
        <v>0</v>
      </c>
      <c r="F1327">
        <f>B1327*(hospitalityq!F1327="")</f>
        <v>0</v>
      </c>
      <c r="G1327">
        <f>B1327*(hospitalityq!G1327="")</f>
        <v>0</v>
      </c>
      <c r="H1327">
        <f>B1327*(hospitalityq!H1327="")</f>
        <v>0</v>
      </c>
      <c r="I1327">
        <f>B1327*(hospitalityq!I1327="")</f>
        <v>0</v>
      </c>
      <c r="J1327">
        <f>B1327*(hospitalityq!J1327="")</f>
        <v>0</v>
      </c>
      <c r="K1327">
        <f>B1327*(hospitalityq!K1327="")</f>
        <v>0</v>
      </c>
      <c r="L1327">
        <f>B1327*(hospitalityq!L1327="")</f>
        <v>0</v>
      </c>
      <c r="M1327">
        <f>B1327*(hospitalityq!M1327="")</f>
        <v>0</v>
      </c>
      <c r="N1327">
        <f>B1327*(hospitalityq!N1327="")</f>
        <v>0</v>
      </c>
      <c r="O1327">
        <f>B1327*(hospitalityq!O1327="")</f>
        <v>0</v>
      </c>
      <c r="P1327">
        <f>B1327*(hospitalityq!P1327="")</f>
        <v>0</v>
      </c>
      <c r="Q1327">
        <f>B1327*(hospitalityq!Q1327="")</f>
        <v>0</v>
      </c>
      <c r="R1327">
        <f>B1327*(hospitalityq!R1327="")</f>
        <v>0</v>
      </c>
    </row>
    <row r="1328" spans="1:18" x14ac:dyDescent="0.25">
      <c r="A1328">
        <f t="shared" si="21"/>
        <v>0</v>
      </c>
      <c r="B1328" t="b">
        <f>SUMPRODUCT(LEN(hospitalityq!C1328:R1328))&gt;0</f>
        <v>0</v>
      </c>
      <c r="C1328">
        <f>B1328*(hospitalityq!C1328="")</f>
        <v>0</v>
      </c>
      <c r="E1328">
        <f>B1328*(hospitalityq!E1328="")</f>
        <v>0</v>
      </c>
      <c r="F1328">
        <f>B1328*(hospitalityq!F1328="")</f>
        <v>0</v>
      </c>
      <c r="G1328">
        <f>B1328*(hospitalityq!G1328="")</f>
        <v>0</v>
      </c>
      <c r="H1328">
        <f>B1328*(hospitalityq!H1328="")</f>
        <v>0</v>
      </c>
      <c r="I1328">
        <f>B1328*(hospitalityq!I1328="")</f>
        <v>0</v>
      </c>
      <c r="J1328">
        <f>B1328*(hospitalityq!J1328="")</f>
        <v>0</v>
      </c>
      <c r="K1328">
        <f>B1328*(hospitalityq!K1328="")</f>
        <v>0</v>
      </c>
      <c r="L1328">
        <f>B1328*(hospitalityq!L1328="")</f>
        <v>0</v>
      </c>
      <c r="M1328">
        <f>B1328*(hospitalityq!M1328="")</f>
        <v>0</v>
      </c>
      <c r="N1328">
        <f>B1328*(hospitalityq!N1328="")</f>
        <v>0</v>
      </c>
      <c r="O1328">
        <f>B1328*(hospitalityq!O1328="")</f>
        <v>0</v>
      </c>
      <c r="P1328">
        <f>B1328*(hospitalityq!P1328="")</f>
        <v>0</v>
      </c>
      <c r="Q1328">
        <f>B1328*(hospitalityq!Q1328="")</f>
        <v>0</v>
      </c>
      <c r="R1328">
        <f>B1328*(hospitalityq!R1328="")</f>
        <v>0</v>
      </c>
    </row>
    <row r="1329" spans="1:18" x14ac:dyDescent="0.25">
      <c r="A1329">
        <f t="shared" si="21"/>
        <v>0</v>
      </c>
      <c r="B1329" t="b">
        <f>SUMPRODUCT(LEN(hospitalityq!C1329:R1329))&gt;0</f>
        <v>0</v>
      </c>
      <c r="C1329">
        <f>B1329*(hospitalityq!C1329="")</f>
        <v>0</v>
      </c>
      <c r="E1329">
        <f>B1329*(hospitalityq!E1329="")</f>
        <v>0</v>
      </c>
      <c r="F1329">
        <f>B1329*(hospitalityq!F1329="")</f>
        <v>0</v>
      </c>
      <c r="G1329">
        <f>B1329*(hospitalityq!G1329="")</f>
        <v>0</v>
      </c>
      <c r="H1329">
        <f>B1329*(hospitalityq!H1329="")</f>
        <v>0</v>
      </c>
      <c r="I1329">
        <f>B1329*(hospitalityq!I1329="")</f>
        <v>0</v>
      </c>
      <c r="J1329">
        <f>B1329*(hospitalityq!J1329="")</f>
        <v>0</v>
      </c>
      <c r="K1329">
        <f>B1329*(hospitalityq!K1329="")</f>
        <v>0</v>
      </c>
      <c r="L1329">
        <f>B1329*(hospitalityq!L1329="")</f>
        <v>0</v>
      </c>
      <c r="M1329">
        <f>B1329*(hospitalityq!M1329="")</f>
        <v>0</v>
      </c>
      <c r="N1329">
        <f>B1329*(hospitalityq!N1329="")</f>
        <v>0</v>
      </c>
      <c r="O1329">
        <f>B1329*(hospitalityq!O1329="")</f>
        <v>0</v>
      </c>
      <c r="P1329">
        <f>B1329*(hospitalityq!P1329="")</f>
        <v>0</v>
      </c>
      <c r="Q1329">
        <f>B1329*(hospitalityq!Q1329="")</f>
        <v>0</v>
      </c>
      <c r="R1329">
        <f>B1329*(hospitalityq!R1329="")</f>
        <v>0</v>
      </c>
    </row>
    <row r="1330" spans="1:18" x14ac:dyDescent="0.25">
      <c r="A1330">
        <f t="shared" si="21"/>
        <v>0</v>
      </c>
      <c r="B1330" t="b">
        <f>SUMPRODUCT(LEN(hospitalityq!C1330:R1330))&gt;0</f>
        <v>0</v>
      </c>
      <c r="C1330">
        <f>B1330*(hospitalityq!C1330="")</f>
        <v>0</v>
      </c>
      <c r="E1330">
        <f>B1330*(hospitalityq!E1330="")</f>
        <v>0</v>
      </c>
      <c r="F1330">
        <f>B1330*(hospitalityq!F1330="")</f>
        <v>0</v>
      </c>
      <c r="G1330">
        <f>B1330*(hospitalityq!G1330="")</f>
        <v>0</v>
      </c>
      <c r="H1330">
        <f>B1330*(hospitalityq!H1330="")</f>
        <v>0</v>
      </c>
      <c r="I1330">
        <f>B1330*(hospitalityq!I1330="")</f>
        <v>0</v>
      </c>
      <c r="J1330">
        <f>B1330*(hospitalityq!J1330="")</f>
        <v>0</v>
      </c>
      <c r="K1330">
        <f>B1330*(hospitalityq!K1330="")</f>
        <v>0</v>
      </c>
      <c r="L1330">
        <f>B1330*(hospitalityq!L1330="")</f>
        <v>0</v>
      </c>
      <c r="M1330">
        <f>B1330*(hospitalityq!M1330="")</f>
        <v>0</v>
      </c>
      <c r="N1330">
        <f>B1330*(hospitalityq!N1330="")</f>
        <v>0</v>
      </c>
      <c r="O1330">
        <f>B1330*(hospitalityq!O1330="")</f>
        <v>0</v>
      </c>
      <c r="P1330">
        <f>B1330*(hospitalityq!P1330="")</f>
        <v>0</v>
      </c>
      <c r="Q1330">
        <f>B1330*(hospitalityq!Q1330="")</f>
        <v>0</v>
      </c>
      <c r="R1330">
        <f>B1330*(hospitalityq!R1330="")</f>
        <v>0</v>
      </c>
    </row>
    <row r="1331" spans="1:18" x14ac:dyDescent="0.25">
      <c r="A1331">
        <f t="shared" si="21"/>
        <v>0</v>
      </c>
      <c r="B1331" t="b">
        <f>SUMPRODUCT(LEN(hospitalityq!C1331:R1331))&gt;0</f>
        <v>0</v>
      </c>
      <c r="C1331">
        <f>B1331*(hospitalityq!C1331="")</f>
        <v>0</v>
      </c>
      <c r="E1331">
        <f>B1331*(hospitalityq!E1331="")</f>
        <v>0</v>
      </c>
      <c r="F1331">
        <f>B1331*(hospitalityq!F1331="")</f>
        <v>0</v>
      </c>
      <c r="G1331">
        <f>B1331*(hospitalityq!G1331="")</f>
        <v>0</v>
      </c>
      <c r="H1331">
        <f>B1331*(hospitalityq!H1331="")</f>
        <v>0</v>
      </c>
      <c r="I1331">
        <f>B1331*(hospitalityq!I1331="")</f>
        <v>0</v>
      </c>
      <c r="J1331">
        <f>B1331*(hospitalityq!J1331="")</f>
        <v>0</v>
      </c>
      <c r="K1331">
        <f>B1331*(hospitalityq!K1331="")</f>
        <v>0</v>
      </c>
      <c r="L1331">
        <f>B1331*(hospitalityq!L1331="")</f>
        <v>0</v>
      </c>
      <c r="M1331">
        <f>B1331*(hospitalityq!M1331="")</f>
        <v>0</v>
      </c>
      <c r="N1331">
        <f>B1331*(hospitalityq!N1331="")</f>
        <v>0</v>
      </c>
      <c r="O1331">
        <f>B1331*(hospitalityq!O1331="")</f>
        <v>0</v>
      </c>
      <c r="P1331">
        <f>B1331*(hospitalityq!P1331="")</f>
        <v>0</v>
      </c>
      <c r="Q1331">
        <f>B1331*(hospitalityq!Q1331="")</f>
        <v>0</v>
      </c>
      <c r="R1331">
        <f>B1331*(hospitalityq!R1331="")</f>
        <v>0</v>
      </c>
    </row>
    <row r="1332" spans="1:18" x14ac:dyDescent="0.25">
      <c r="A1332">
        <f t="shared" si="21"/>
        <v>0</v>
      </c>
      <c r="B1332" t="b">
        <f>SUMPRODUCT(LEN(hospitalityq!C1332:R1332))&gt;0</f>
        <v>0</v>
      </c>
      <c r="C1332">
        <f>B1332*(hospitalityq!C1332="")</f>
        <v>0</v>
      </c>
      <c r="E1332">
        <f>B1332*(hospitalityq!E1332="")</f>
        <v>0</v>
      </c>
      <c r="F1332">
        <f>B1332*(hospitalityq!F1332="")</f>
        <v>0</v>
      </c>
      <c r="G1332">
        <f>B1332*(hospitalityq!G1332="")</f>
        <v>0</v>
      </c>
      <c r="H1332">
        <f>B1332*(hospitalityq!H1332="")</f>
        <v>0</v>
      </c>
      <c r="I1332">
        <f>B1332*(hospitalityq!I1332="")</f>
        <v>0</v>
      </c>
      <c r="J1332">
        <f>B1332*(hospitalityq!J1332="")</f>
        <v>0</v>
      </c>
      <c r="K1332">
        <f>B1332*(hospitalityq!K1332="")</f>
        <v>0</v>
      </c>
      <c r="L1332">
        <f>B1332*(hospitalityq!L1332="")</f>
        <v>0</v>
      </c>
      <c r="M1332">
        <f>B1332*(hospitalityq!M1332="")</f>
        <v>0</v>
      </c>
      <c r="N1332">
        <f>B1332*(hospitalityq!N1332="")</f>
        <v>0</v>
      </c>
      <c r="O1332">
        <f>B1332*(hospitalityq!O1332="")</f>
        <v>0</v>
      </c>
      <c r="P1332">
        <f>B1332*(hospitalityq!P1332="")</f>
        <v>0</v>
      </c>
      <c r="Q1332">
        <f>B1332*(hospitalityq!Q1332="")</f>
        <v>0</v>
      </c>
      <c r="R1332">
        <f>B1332*(hospitalityq!R1332="")</f>
        <v>0</v>
      </c>
    </row>
    <row r="1333" spans="1:18" x14ac:dyDescent="0.25">
      <c r="A1333">
        <f t="shared" si="21"/>
        <v>0</v>
      </c>
      <c r="B1333" t="b">
        <f>SUMPRODUCT(LEN(hospitalityq!C1333:R1333))&gt;0</f>
        <v>0</v>
      </c>
      <c r="C1333">
        <f>B1333*(hospitalityq!C1333="")</f>
        <v>0</v>
      </c>
      <c r="E1333">
        <f>B1333*(hospitalityq!E1333="")</f>
        <v>0</v>
      </c>
      <c r="F1333">
        <f>B1333*(hospitalityq!F1333="")</f>
        <v>0</v>
      </c>
      <c r="G1333">
        <f>B1333*(hospitalityq!G1333="")</f>
        <v>0</v>
      </c>
      <c r="H1333">
        <f>B1333*(hospitalityq!H1333="")</f>
        <v>0</v>
      </c>
      <c r="I1333">
        <f>B1333*(hospitalityq!I1333="")</f>
        <v>0</v>
      </c>
      <c r="J1333">
        <f>B1333*(hospitalityq!J1333="")</f>
        <v>0</v>
      </c>
      <c r="K1333">
        <f>B1333*(hospitalityq!K1333="")</f>
        <v>0</v>
      </c>
      <c r="L1333">
        <f>B1333*(hospitalityq!L1333="")</f>
        <v>0</v>
      </c>
      <c r="M1333">
        <f>B1333*(hospitalityq!M1333="")</f>
        <v>0</v>
      </c>
      <c r="N1333">
        <f>B1333*(hospitalityq!N1333="")</f>
        <v>0</v>
      </c>
      <c r="O1333">
        <f>B1333*(hospitalityq!O1333="")</f>
        <v>0</v>
      </c>
      <c r="P1333">
        <f>B1333*(hospitalityq!P1333="")</f>
        <v>0</v>
      </c>
      <c r="Q1333">
        <f>B1333*(hospitalityq!Q1333="")</f>
        <v>0</v>
      </c>
      <c r="R1333">
        <f>B1333*(hospitalityq!R1333="")</f>
        <v>0</v>
      </c>
    </row>
    <row r="1334" spans="1:18" x14ac:dyDescent="0.25">
      <c r="A1334">
        <f t="shared" si="21"/>
        <v>0</v>
      </c>
      <c r="B1334" t="b">
        <f>SUMPRODUCT(LEN(hospitalityq!C1334:R1334))&gt;0</f>
        <v>0</v>
      </c>
      <c r="C1334">
        <f>B1334*(hospitalityq!C1334="")</f>
        <v>0</v>
      </c>
      <c r="E1334">
        <f>B1334*(hospitalityq!E1334="")</f>
        <v>0</v>
      </c>
      <c r="F1334">
        <f>B1334*(hospitalityq!F1334="")</f>
        <v>0</v>
      </c>
      <c r="G1334">
        <f>B1334*(hospitalityq!G1334="")</f>
        <v>0</v>
      </c>
      <c r="H1334">
        <f>B1334*(hospitalityq!H1334="")</f>
        <v>0</v>
      </c>
      <c r="I1334">
        <f>B1334*(hospitalityq!I1334="")</f>
        <v>0</v>
      </c>
      <c r="J1334">
        <f>B1334*(hospitalityq!J1334="")</f>
        <v>0</v>
      </c>
      <c r="K1334">
        <f>B1334*(hospitalityq!K1334="")</f>
        <v>0</v>
      </c>
      <c r="L1334">
        <f>B1334*(hospitalityq!L1334="")</f>
        <v>0</v>
      </c>
      <c r="M1334">
        <f>B1334*(hospitalityq!M1334="")</f>
        <v>0</v>
      </c>
      <c r="N1334">
        <f>B1334*(hospitalityq!N1334="")</f>
        <v>0</v>
      </c>
      <c r="O1334">
        <f>B1334*(hospitalityq!O1334="")</f>
        <v>0</v>
      </c>
      <c r="P1334">
        <f>B1334*(hospitalityq!P1334="")</f>
        <v>0</v>
      </c>
      <c r="Q1334">
        <f>B1334*(hospitalityq!Q1334="")</f>
        <v>0</v>
      </c>
      <c r="R1334">
        <f>B1334*(hospitalityq!R1334="")</f>
        <v>0</v>
      </c>
    </row>
    <row r="1335" spans="1:18" x14ac:dyDescent="0.25">
      <c r="A1335">
        <f t="shared" si="21"/>
        <v>0</v>
      </c>
      <c r="B1335" t="b">
        <f>SUMPRODUCT(LEN(hospitalityq!C1335:R1335))&gt;0</f>
        <v>0</v>
      </c>
      <c r="C1335">
        <f>B1335*(hospitalityq!C1335="")</f>
        <v>0</v>
      </c>
      <c r="E1335">
        <f>B1335*(hospitalityq!E1335="")</f>
        <v>0</v>
      </c>
      <c r="F1335">
        <f>B1335*(hospitalityq!F1335="")</f>
        <v>0</v>
      </c>
      <c r="G1335">
        <f>B1335*(hospitalityq!G1335="")</f>
        <v>0</v>
      </c>
      <c r="H1335">
        <f>B1335*(hospitalityq!H1335="")</f>
        <v>0</v>
      </c>
      <c r="I1335">
        <f>B1335*(hospitalityq!I1335="")</f>
        <v>0</v>
      </c>
      <c r="J1335">
        <f>B1335*(hospitalityq!J1335="")</f>
        <v>0</v>
      </c>
      <c r="K1335">
        <f>B1335*(hospitalityq!K1335="")</f>
        <v>0</v>
      </c>
      <c r="L1335">
        <f>B1335*(hospitalityq!L1335="")</f>
        <v>0</v>
      </c>
      <c r="M1335">
        <f>B1335*(hospitalityq!M1335="")</f>
        <v>0</v>
      </c>
      <c r="N1335">
        <f>B1335*(hospitalityq!N1335="")</f>
        <v>0</v>
      </c>
      <c r="O1335">
        <f>B1335*(hospitalityq!O1335="")</f>
        <v>0</v>
      </c>
      <c r="P1335">
        <f>B1335*(hospitalityq!P1335="")</f>
        <v>0</v>
      </c>
      <c r="Q1335">
        <f>B1335*(hospitalityq!Q1335="")</f>
        <v>0</v>
      </c>
      <c r="R1335">
        <f>B1335*(hospitalityq!R1335="")</f>
        <v>0</v>
      </c>
    </row>
    <row r="1336" spans="1:18" x14ac:dyDescent="0.25">
      <c r="A1336">
        <f t="shared" si="21"/>
        <v>0</v>
      </c>
      <c r="B1336" t="b">
        <f>SUMPRODUCT(LEN(hospitalityq!C1336:R1336))&gt;0</f>
        <v>0</v>
      </c>
      <c r="C1336">
        <f>B1336*(hospitalityq!C1336="")</f>
        <v>0</v>
      </c>
      <c r="E1336">
        <f>B1336*(hospitalityq!E1336="")</f>
        <v>0</v>
      </c>
      <c r="F1336">
        <f>B1336*(hospitalityq!F1336="")</f>
        <v>0</v>
      </c>
      <c r="G1336">
        <f>B1336*(hospitalityq!G1336="")</f>
        <v>0</v>
      </c>
      <c r="H1336">
        <f>B1336*(hospitalityq!H1336="")</f>
        <v>0</v>
      </c>
      <c r="I1336">
        <f>B1336*(hospitalityq!I1336="")</f>
        <v>0</v>
      </c>
      <c r="J1336">
        <f>B1336*(hospitalityq!J1336="")</f>
        <v>0</v>
      </c>
      <c r="K1336">
        <f>B1336*(hospitalityq!K1336="")</f>
        <v>0</v>
      </c>
      <c r="L1336">
        <f>B1336*(hospitalityq!L1336="")</f>
        <v>0</v>
      </c>
      <c r="M1336">
        <f>B1336*(hospitalityq!M1336="")</f>
        <v>0</v>
      </c>
      <c r="N1336">
        <f>B1336*(hospitalityq!N1336="")</f>
        <v>0</v>
      </c>
      <c r="O1336">
        <f>B1336*(hospitalityq!O1336="")</f>
        <v>0</v>
      </c>
      <c r="P1336">
        <f>B1336*(hospitalityq!P1336="")</f>
        <v>0</v>
      </c>
      <c r="Q1336">
        <f>B1336*(hospitalityq!Q1336="")</f>
        <v>0</v>
      </c>
      <c r="R1336">
        <f>B1336*(hospitalityq!R1336="")</f>
        <v>0</v>
      </c>
    </row>
    <row r="1337" spans="1:18" x14ac:dyDescent="0.25">
      <c r="A1337">
        <f t="shared" si="21"/>
        <v>0</v>
      </c>
      <c r="B1337" t="b">
        <f>SUMPRODUCT(LEN(hospitalityq!C1337:R1337))&gt;0</f>
        <v>0</v>
      </c>
      <c r="C1337">
        <f>B1337*(hospitalityq!C1337="")</f>
        <v>0</v>
      </c>
      <c r="E1337">
        <f>B1337*(hospitalityq!E1337="")</f>
        <v>0</v>
      </c>
      <c r="F1337">
        <f>B1337*(hospitalityq!F1337="")</f>
        <v>0</v>
      </c>
      <c r="G1337">
        <f>B1337*(hospitalityq!G1337="")</f>
        <v>0</v>
      </c>
      <c r="H1337">
        <f>B1337*(hospitalityq!H1337="")</f>
        <v>0</v>
      </c>
      <c r="I1337">
        <f>B1337*(hospitalityq!I1337="")</f>
        <v>0</v>
      </c>
      <c r="J1337">
        <f>B1337*(hospitalityq!J1337="")</f>
        <v>0</v>
      </c>
      <c r="K1337">
        <f>B1337*(hospitalityq!K1337="")</f>
        <v>0</v>
      </c>
      <c r="L1337">
        <f>B1337*(hospitalityq!L1337="")</f>
        <v>0</v>
      </c>
      <c r="M1337">
        <f>B1337*(hospitalityq!M1337="")</f>
        <v>0</v>
      </c>
      <c r="N1337">
        <f>B1337*(hospitalityq!N1337="")</f>
        <v>0</v>
      </c>
      <c r="O1337">
        <f>B1337*(hospitalityq!O1337="")</f>
        <v>0</v>
      </c>
      <c r="P1337">
        <f>B1337*(hospitalityq!P1337="")</f>
        <v>0</v>
      </c>
      <c r="Q1337">
        <f>B1337*(hospitalityq!Q1337="")</f>
        <v>0</v>
      </c>
      <c r="R1337">
        <f>B1337*(hospitalityq!R1337="")</f>
        <v>0</v>
      </c>
    </row>
    <row r="1338" spans="1:18" x14ac:dyDescent="0.25">
      <c r="A1338">
        <f t="shared" si="21"/>
        <v>0</v>
      </c>
      <c r="B1338" t="b">
        <f>SUMPRODUCT(LEN(hospitalityq!C1338:R1338))&gt;0</f>
        <v>0</v>
      </c>
      <c r="C1338">
        <f>B1338*(hospitalityq!C1338="")</f>
        <v>0</v>
      </c>
      <c r="E1338">
        <f>B1338*(hospitalityq!E1338="")</f>
        <v>0</v>
      </c>
      <c r="F1338">
        <f>B1338*(hospitalityq!F1338="")</f>
        <v>0</v>
      </c>
      <c r="G1338">
        <f>B1338*(hospitalityq!G1338="")</f>
        <v>0</v>
      </c>
      <c r="H1338">
        <f>B1338*(hospitalityq!H1338="")</f>
        <v>0</v>
      </c>
      <c r="I1338">
        <f>B1338*(hospitalityq!I1338="")</f>
        <v>0</v>
      </c>
      <c r="J1338">
        <f>B1338*(hospitalityq!J1338="")</f>
        <v>0</v>
      </c>
      <c r="K1338">
        <f>B1338*(hospitalityq!K1338="")</f>
        <v>0</v>
      </c>
      <c r="L1338">
        <f>B1338*(hospitalityq!L1338="")</f>
        <v>0</v>
      </c>
      <c r="M1338">
        <f>B1338*(hospitalityq!M1338="")</f>
        <v>0</v>
      </c>
      <c r="N1338">
        <f>B1338*(hospitalityq!N1338="")</f>
        <v>0</v>
      </c>
      <c r="O1338">
        <f>B1338*(hospitalityq!O1338="")</f>
        <v>0</v>
      </c>
      <c r="P1338">
        <f>B1338*(hospitalityq!P1338="")</f>
        <v>0</v>
      </c>
      <c r="Q1338">
        <f>B1338*(hospitalityq!Q1338="")</f>
        <v>0</v>
      </c>
      <c r="R1338">
        <f>B1338*(hospitalityq!R1338="")</f>
        <v>0</v>
      </c>
    </row>
    <row r="1339" spans="1:18" x14ac:dyDescent="0.25">
      <c r="A1339">
        <f t="shared" si="21"/>
        <v>0</v>
      </c>
      <c r="B1339" t="b">
        <f>SUMPRODUCT(LEN(hospitalityq!C1339:R1339))&gt;0</f>
        <v>0</v>
      </c>
      <c r="C1339">
        <f>B1339*(hospitalityq!C1339="")</f>
        <v>0</v>
      </c>
      <c r="E1339">
        <f>B1339*(hospitalityq!E1339="")</f>
        <v>0</v>
      </c>
      <c r="F1339">
        <f>B1339*(hospitalityq!F1339="")</f>
        <v>0</v>
      </c>
      <c r="G1339">
        <f>B1339*(hospitalityq!G1339="")</f>
        <v>0</v>
      </c>
      <c r="H1339">
        <f>B1339*(hospitalityq!H1339="")</f>
        <v>0</v>
      </c>
      <c r="I1339">
        <f>B1339*(hospitalityq!I1339="")</f>
        <v>0</v>
      </c>
      <c r="J1339">
        <f>B1339*(hospitalityq!J1339="")</f>
        <v>0</v>
      </c>
      <c r="K1339">
        <f>B1339*(hospitalityq!K1339="")</f>
        <v>0</v>
      </c>
      <c r="L1339">
        <f>B1339*(hospitalityq!L1339="")</f>
        <v>0</v>
      </c>
      <c r="M1339">
        <f>B1339*(hospitalityq!M1339="")</f>
        <v>0</v>
      </c>
      <c r="N1339">
        <f>B1339*(hospitalityq!N1339="")</f>
        <v>0</v>
      </c>
      <c r="O1339">
        <f>B1339*(hospitalityq!O1339="")</f>
        <v>0</v>
      </c>
      <c r="P1339">
        <f>B1339*(hospitalityq!P1339="")</f>
        <v>0</v>
      </c>
      <c r="Q1339">
        <f>B1339*(hospitalityq!Q1339="")</f>
        <v>0</v>
      </c>
      <c r="R1339">
        <f>B1339*(hospitalityq!R1339="")</f>
        <v>0</v>
      </c>
    </row>
    <row r="1340" spans="1:18" x14ac:dyDescent="0.25">
      <c r="A1340">
        <f t="shared" si="21"/>
        <v>0</v>
      </c>
      <c r="B1340" t="b">
        <f>SUMPRODUCT(LEN(hospitalityq!C1340:R1340))&gt;0</f>
        <v>0</v>
      </c>
      <c r="C1340">
        <f>B1340*(hospitalityq!C1340="")</f>
        <v>0</v>
      </c>
      <c r="E1340">
        <f>B1340*(hospitalityq!E1340="")</f>
        <v>0</v>
      </c>
      <c r="F1340">
        <f>B1340*(hospitalityq!F1340="")</f>
        <v>0</v>
      </c>
      <c r="G1340">
        <f>B1340*(hospitalityq!G1340="")</f>
        <v>0</v>
      </c>
      <c r="H1340">
        <f>B1340*(hospitalityq!H1340="")</f>
        <v>0</v>
      </c>
      <c r="I1340">
        <f>B1340*(hospitalityq!I1340="")</f>
        <v>0</v>
      </c>
      <c r="J1340">
        <f>B1340*(hospitalityq!J1340="")</f>
        <v>0</v>
      </c>
      <c r="K1340">
        <f>B1340*(hospitalityq!K1340="")</f>
        <v>0</v>
      </c>
      <c r="L1340">
        <f>B1340*(hospitalityq!L1340="")</f>
        <v>0</v>
      </c>
      <c r="M1340">
        <f>B1340*(hospitalityq!M1340="")</f>
        <v>0</v>
      </c>
      <c r="N1340">
        <f>B1340*(hospitalityq!N1340="")</f>
        <v>0</v>
      </c>
      <c r="O1340">
        <f>B1340*(hospitalityq!O1340="")</f>
        <v>0</v>
      </c>
      <c r="P1340">
        <f>B1340*(hospitalityq!P1340="")</f>
        <v>0</v>
      </c>
      <c r="Q1340">
        <f>B1340*(hospitalityq!Q1340="")</f>
        <v>0</v>
      </c>
      <c r="R1340">
        <f>B1340*(hospitalityq!R1340="")</f>
        <v>0</v>
      </c>
    </row>
    <row r="1341" spans="1:18" x14ac:dyDescent="0.25">
      <c r="A1341">
        <f t="shared" si="21"/>
        <v>0</v>
      </c>
      <c r="B1341" t="b">
        <f>SUMPRODUCT(LEN(hospitalityq!C1341:R1341))&gt;0</f>
        <v>0</v>
      </c>
      <c r="C1341">
        <f>B1341*(hospitalityq!C1341="")</f>
        <v>0</v>
      </c>
      <c r="E1341">
        <f>B1341*(hospitalityq!E1341="")</f>
        <v>0</v>
      </c>
      <c r="F1341">
        <f>B1341*(hospitalityq!F1341="")</f>
        <v>0</v>
      </c>
      <c r="G1341">
        <f>B1341*(hospitalityq!G1341="")</f>
        <v>0</v>
      </c>
      <c r="H1341">
        <f>B1341*(hospitalityq!H1341="")</f>
        <v>0</v>
      </c>
      <c r="I1341">
        <f>B1341*(hospitalityq!I1341="")</f>
        <v>0</v>
      </c>
      <c r="J1341">
        <f>B1341*(hospitalityq!J1341="")</f>
        <v>0</v>
      </c>
      <c r="K1341">
        <f>B1341*(hospitalityq!K1341="")</f>
        <v>0</v>
      </c>
      <c r="L1341">
        <f>B1341*(hospitalityq!L1341="")</f>
        <v>0</v>
      </c>
      <c r="M1341">
        <f>B1341*(hospitalityq!M1341="")</f>
        <v>0</v>
      </c>
      <c r="N1341">
        <f>B1341*(hospitalityq!N1341="")</f>
        <v>0</v>
      </c>
      <c r="O1341">
        <f>B1341*(hospitalityq!O1341="")</f>
        <v>0</v>
      </c>
      <c r="P1341">
        <f>B1341*(hospitalityq!P1341="")</f>
        <v>0</v>
      </c>
      <c r="Q1341">
        <f>B1341*(hospitalityq!Q1341="")</f>
        <v>0</v>
      </c>
      <c r="R1341">
        <f>B1341*(hospitalityq!R1341="")</f>
        <v>0</v>
      </c>
    </row>
    <row r="1342" spans="1:18" x14ac:dyDescent="0.25">
      <c r="A1342">
        <f t="shared" si="21"/>
        <v>0</v>
      </c>
      <c r="B1342" t="b">
        <f>SUMPRODUCT(LEN(hospitalityq!C1342:R1342))&gt;0</f>
        <v>0</v>
      </c>
      <c r="C1342">
        <f>B1342*(hospitalityq!C1342="")</f>
        <v>0</v>
      </c>
      <c r="E1342">
        <f>B1342*(hospitalityq!E1342="")</f>
        <v>0</v>
      </c>
      <c r="F1342">
        <f>B1342*(hospitalityq!F1342="")</f>
        <v>0</v>
      </c>
      <c r="G1342">
        <f>B1342*(hospitalityq!G1342="")</f>
        <v>0</v>
      </c>
      <c r="H1342">
        <f>B1342*(hospitalityq!H1342="")</f>
        <v>0</v>
      </c>
      <c r="I1342">
        <f>B1342*(hospitalityq!I1342="")</f>
        <v>0</v>
      </c>
      <c r="J1342">
        <f>B1342*(hospitalityq!J1342="")</f>
        <v>0</v>
      </c>
      <c r="K1342">
        <f>B1342*(hospitalityq!K1342="")</f>
        <v>0</v>
      </c>
      <c r="L1342">
        <f>B1342*(hospitalityq!L1342="")</f>
        <v>0</v>
      </c>
      <c r="M1342">
        <f>B1342*(hospitalityq!M1342="")</f>
        <v>0</v>
      </c>
      <c r="N1342">
        <f>B1342*(hospitalityq!N1342="")</f>
        <v>0</v>
      </c>
      <c r="O1342">
        <f>B1342*(hospitalityq!O1342="")</f>
        <v>0</v>
      </c>
      <c r="P1342">
        <f>B1342*(hospitalityq!P1342="")</f>
        <v>0</v>
      </c>
      <c r="Q1342">
        <f>B1342*(hospitalityq!Q1342="")</f>
        <v>0</v>
      </c>
      <c r="R1342">
        <f>B1342*(hospitalityq!R1342="")</f>
        <v>0</v>
      </c>
    </row>
    <row r="1343" spans="1:18" x14ac:dyDescent="0.25">
      <c r="A1343">
        <f t="shared" si="21"/>
        <v>0</v>
      </c>
      <c r="B1343" t="b">
        <f>SUMPRODUCT(LEN(hospitalityq!C1343:R1343))&gt;0</f>
        <v>0</v>
      </c>
      <c r="C1343">
        <f>B1343*(hospitalityq!C1343="")</f>
        <v>0</v>
      </c>
      <c r="E1343">
        <f>B1343*(hospitalityq!E1343="")</f>
        <v>0</v>
      </c>
      <c r="F1343">
        <f>B1343*(hospitalityq!F1343="")</f>
        <v>0</v>
      </c>
      <c r="G1343">
        <f>B1343*(hospitalityq!G1343="")</f>
        <v>0</v>
      </c>
      <c r="H1343">
        <f>B1343*(hospitalityq!H1343="")</f>
        <v>0</v>
      </c>
      <c r="I1343">
        <f>B1343*(hospitalityq!I1343="")</f>
        <v>0</v>
      </c>
      <c r="J1343">
        <f>B1343*(hospitalityq!J1343="")</f>
        <v>0</v>
      </c>
      <c r="K1343">
        <f>B1343*(hospitalityq!K1343="")</f>
        <v>0</v>
      </c>
      <c r="L1343">
        <f>B1343*(hospitalityq!L1343="")</f>
        <v>0</v>
      </c>
      <c r="M1343">
        <f>B1343*(hospitalityq!M1343="")</f>
        <v>0</v>
      </c>
      <c r="N1343">
        <f>B1343*(hospitalityq!N1343="")</f>
        <v>0</v>
      </c>
      <c r="O1343">
        <f>B1343*(hospitalityq!O1343="")</f>
        <v>0</v>
      </c>
      <c r="P1343">
        <f>B1343*(hospitalityq!P1343="")</f>
        <v>0</v>
      </c>
      <c r="Q1343">
        <f>B1343*(hospitalityq!Q1343="")</f>
        <v>0</v>
      </c>
      <c r="R1343">
        <f>B1343*(hospitalityq!R1343="")</f>
        <v>0</v>
      </c>
    </row>
    <row r="1344" spans="1:18" x14ac:dyDescent="0.25">
      <c r="A1344">
        <f t="shared" si="21"/>
        <v>0</v>
      </c>
      <c r="B1344" t="b">
        <f>SUMPRODUCT(LEN(hospitalityq!C1344:R1344))&gt;0</f>
        <v>0</v>
      </c>
      <c r="C1344">
        <f>B1344*(hospitalityq!C1344="")</f>
        <v>0</v>
      </c>
      <c r="E1344">
        <f>B1344*(hospitalityq!E1344="")</f>
        <v>0</v>
      </c>
      <c r="F1344">
        <f>B1344*(hospitalityq!F1344="")</f>
        <v>0</v>
      </c>
      <c r="G1344">
        <f>B1344*(hospitalityq!G1344="")</f>
        <v>0</v>
      </c>
      <c r="H1344">
        <f>B1344*(hospitalityq!H1344="")</f>
        <v>0</v>
      </c>
      <c r="I1344">
        <f>B1344*(hospitalityq!I1344="")</f>
        <v>0</v>
      </c>
      <c r="J1344">
        <f>B1344*(hospitalityq!J1344="")</f>
        <v>0</v>
      </c>
      <c r="K1344">
        <f>B1344*(hospitalityq!K1344="")</f>
        <v>0</v>
      </c>
      <c r="L1344">
        <f>B1344*(hospitalityq!L1344="")</f>
        <v>0</v>
      </c>
      <c r="M1344">
        <f>B1344*(hospitalityq!M1344="")</f>
        <v>0</v>
      </c>
      <c r="N1344">
        <f>B1344*(hospitalityq!N1344="")</f>
        <v>0</v>
      </c>
      <c r="O1344">
        <f>B1344*(hospitalityq!O1344="")</f>
        <v>0</v>
      </c>
      <c r="P1344">
        <f>B1344*(hospitalityq!P1344="")</f>
        <v>0</v>
      </c>
      <c r="Q1344">
        <f>B1344*(hospitalityq!Q1344="")</f>
        <v>0</v>
      </c>
      <c r="R1344">
        <f>B1344*(hospitalityq!R1344="")</f>
        <v>0</v>
      </c>
    </row>
    <row r="1345" spans="1:18" x14ac:dyDescent="0.25">
      <c r="A1345">
        <f t="shared" si="21"/>
        <v>0</v>
      </c>
      <c r="B1345" t="b">
        <f>SUMPRODUCT(LEN(hospitalityq!C1345:R1345))&gt;0</f>
        <v>0</v>
      </c>
      <c r="C1345">
        <f>B1345*(hospitalityq!C1345="")</f>
        <v>0</v>
      </c>
      <c r="E1345">
        <f>B1345*(hospitalityq!E1345="")</f>
        <v>0</v>
      </c>
      <c r="F1345">
        <f>B1345*(hospitalityq!F1345="")</f>
        <v>0</v>
      </c>
      <c r="G1345">
        <f>B1345*(hospitalityq!G1345="")</f>
        <v>0</v>
      </c>
      <c r="H1345">
        <f>B1345*(hospitalityq!H1345="")</f>
        <v>0</v>
      </c>
      <c r="I1345">
        <f>B1345*(hospitalityq!I1345="")</f>
        <v>0</v>
      </c>
      <c r="J1345">
        <f>B1345*(hospitalityq!J1345="")</f>
        <v>0</v>
      </c>
      <c r="K1345">
        <f>B1345*(hospitalityq!K1345="")</f>
        <v>0</v>
      </c>
      <c r="L1345">
        <f>B1345*(hospitalityq!L1345="")</f>
        <v>0</v>
      </c>
      <c r="M1345">
        <f>B1345*(hospitalityq!M1345="")</f>
        <v>0</v>
      </c>
      <c r="N1345">
        <f>B1345*(hospitalityq!N1345="")</f>
        <v>0</v>
      </c>
      <c r="O1345">
        <f>B1345*(hospitalityq!O1345="")</f>
        <v>0</v>
      </c>
      <c r="P1345">
        <f>B1345*(hospitalityq!P1345="")</f>
        <v>0</v>
      </c>
      <c r="Q1345">
        <f>B1345*(hospitalityq!Q1345="")</f>
        <v>0</v>
      </c>
      <c r="R1345">
        <f>B1345*(hospitalityq!R1345="")</f>
        <v>0</v>
      </c>
    </row>
    <row r="1346" spans="1:18" x14ac:dyDescent="0.25">
      <c r="A1346">
        <f t="shared" si="21"/>
        <v>0</v>
      </c>
      <c r="B1346" t="b">
        <f>SUMPRODUCT(LEN(hospitalityq!C1346:R1346))&gt;0</f>
        <v>0</v>
      </c>
      <c r="C1346">
        <f>B1346*(hospitalityq!C1346="")</f>
        <v>0</v>
      </c>
      <c r="E1346">
        <f>B1346*(hospitalityq!E1346="")</f>
        <v>0</v>
      </c>
      <c r="F1346">
        <f>B1346*(hospitalityq!F1346="")</f>
        <v>0</v>
      </c>
      <c r="G1346">
        <f>B1346*(hospitalityq!G1346="")</f>
        <v>0</v>
      </c>
      <c r="H1346">
        <f>B1346*(hospitalityq!H1346="")</f>
        <v>0</v>
      </c>
      <c r="I1346">
        <f>B1346*(hospitalityq!I1346="")</f>
        <v>0</v>
      </c>
      <c r="J1346">
        <f>B1346*(hospitalityq!J1346="")</f>
        <v>0</v>
      </c>
      <c r="K1346">
        <f>B1346*(hospitalityq!K1346="")</f>
        <v>0</v>
      </c>
      <c r="L1346">
        <f>B1346*(hospitalityq!L1346="")</f>
        <v>0</v>
      </c>
      <c r="M1346">
        <f>B1346*(hospitalityq!M1346="")</f>
        <v>0</v>
      </c>
      <c r="N1346">
        <f>B1346*(hospitalityq!N1346="")</f>
        <v>0</v>
      </c>
      <c r="O1346">
        <f>B1346*(hospitalityq!O1346="")</f>
        <v>0</v>
      </c>
      <c r="P1346">
        <f>B1346*(hospitalityq!P1346="")</f>
        <v>0</v>
      </c>
      <c r="Q1346">
        <f>B1346*(hospitalityq!Q1346="")</f>
        <v>0</v>
      </c>
      <c r="R1346">
        <f>B1346*(hospitalityq!R1346="")</f>
        <v>0</v>
      </c>
    </row>
    <row r="1347" spans="1:18" x14ac:dyDescent="0.25">
      <c r="A1347">
        <f t="shared" si="21"/>
        <v>0</v>
      </c>
      <c r="B1347" t="b">
        <f>SUMPRODUCT(LEN(hospitalityq!C1347:R1347))&gt;0</f>
        <v>0</v>
      </c>
      <c r="C1347">
        <f>B1347*(hospitalityq!C1347="")</f>
        <v>0</v>
      </c>
      <c r="E1347">
        <f>B1347*(hospitalityq!E1347="")</f>
        <v>0</v>
      </c>
      <c r="F1347">
        <f>B1347*(hospitalityq!F1347="")</f>
        <v>0</v>
      </c>
      <c r="G1347">
        <f>B1347*(hospitalityq!G1347="")</f>
        <v>0</v>
      </c>
      <c r="H1347">
        <f>B1347*(hospitalityq!H1347="")</f>
        <v>0</v>
      </c>
      <c r="I1347">
        <f>B1347*(hospitalityq!I1347="")</f>
        <v>0</v>
      </c>
      <c r="J1347">
        <f>B1347*(hospitalityq!J1347="")</f>
        <v>0</v>
      </c>
      <c r="K1347">
        <f>B1347*(hospitalityq!K1347="")</f>
        <v>0</v>
      </c>
      <c r="L1347">
        <f>B1347*(hospitalityq!L1347="")</f>
        <v>0</v>
      </c>
      <c r="M1347">
        <f>B1347*(hospitalityq!M1347="")</f>
        <v>0</v>
      </c>
      <c r="N1347">
        <f>B1347*(hospitalityq!N1347="")</f>
        <v>0</v>
      </c>
      <c r="O1347">
        <f>B1347*(hospitalityq!O1347="")</f>
        <v>0</v>
      </c>
      <c r="P1347">
        <f>B1347*(hospitalityq!P1347="")</f>
        <v>0</v>
      </c>
      <c r="Q1347">
        <f>B1347*(hospitalityq!Q1347="")</f>
        <v>0</v>
      </c>
      <c r="R1347">
        <f>B1347*(hospitalityq!R1347="")</f>
        <v>0</v>
      </c>
    </row>
    <row r="1348" spans="1:18" x14ac:dyDescent="0.25">
      <c r="A1348">
        <f t="shared" si="21"/>
        <v>0</v>
      </c>
      <c r="B1348" t="b">
        <f>SUMPRODUCT(LEN(hospitalityq!C1348:R1348))&gt;0</f>
        <v>0</v>
      </c>
      <c r="C1348">
        <f>B1348*(hospitalityq!C1348="")</f>
        <v>0</v>
      </c>
      <c r="E1348">
        <f>B1348*(hospitalityq!E1348="")</f>
        <v>0</v>
      </c>
      <c r="F1348">
        <f>B1348*(hospitalityq!F1348="")</f>
        <v>0</v>
      </c>
      <c r="G1348">
        <f>B1348*(hospitalityq!G1348="")</f>
        <v>0</v>
      </c>
      <c r="H1348">
        <f>B1348*(hospitalityq!H1348="")</f>
        <v>0</v>
      </c>
      <c r="I1348">
        <f>B1348*(hospitalityq!I1348="")</f>
        <v>0</v>
      </c>
      <c r="J1348">
        <f>B1348*(hospitalityq!J1348="")</f>
        <v>0</v>
      </c>
      <c r="K1348">
        <f>B1348*(hospitalityq!K1348="")</f>
        <v>0</v>
      </c>
      <c r="L1348">
        <f>B1348*(hospitalityq!L1348="")</f>
        <v>0</v>
      </c>
      <c r="M1348">
        <f>B1348*(hospitalityq!M1348="")</f>
        <v>0</v>
      </c>
      <c r="N1348">
        <f>B1348*(hospitalityq!N1348="")</f>
        <v>0</v>
      </c>
      <c r="O1348">
        <f>B1348*(hospitalityq!O1348="")</f>
        <v>0</v>
      </c>
      <c r="P1348">
        <f>B1348*(hospitalityq!P1348="")</f>
        <v>0</v>
      </c>
      <c r="Q1348">
        <f>B1348*(hospitalityq!Q1348="")</f>
        <v>0</v>
      </c>
      <c r="R1348">
        <f>B1348*(hospitalityq!R1348="")</f>
        <v>0</v>
      </c>
    </row>
    <row r="1349" spans="1:18" x14ac:dyDescent="0.25">
      <c r="A1349">
        <f t="shared" si="21"/>
        <v>0</v>
      </c>
      <c r="B1349" t="b">
        <f>SUMPRODUCT(LEN(hospitalityq!C1349:R1349))&gt;0</f>
        <v>0</v>
      </c>
      <c r="C1349">
        <f>B1349*(hospitalityq!C1349="")</f>
        <v>0</v>
      </c>
      <c r="E1349">
        <f>B1349*(hospitalityq!E1349="")</f>
        <v>0</v>
      </c>
      <c r="F1349">
        <f>B1349*(hospitalityq!F1349="")</f>
        <v>0</v>
      </c>
      <c r="G1349">
        <f>B1349*(hospitalityq!G1349="")</f>
        <v>0</v>
      </c>
      <c r="H1349">
        <f>B1349*(hospitalityq!H1349="")</f>
        <v>0</v>
      </c>
      <c r="I1349">
        <f>B1349*(hospitalityq!I1349="")</f>
        <v>0</v>
      </c>
      <c r="J1349">
        <f>B1349*(hospitalityq!J1349="")</f>
        <v>0</v>
      </c>
      <c r="K1349">
        <f>B1349*(hospitalityq!K1349="")</f>
        <v>0</v>
      </c>
      <c r="L1349">
        <f>B1349*(hospitalityq!L1349="")</f>
        <v>0</v>
      </c>
      <c r="M1349">
        <f>B1349*(hospitalityq!M1349="")</f>
        <v>0</v>
      </c>
      <c r="N1349">
        <f>B1349*(hospitalityq!N1349="")</f>
        <v>0</v>
      </c>
      <c r="O1349">
        <f>B1349*(hospitalityq!O1349="")</f>
        <v>0</v>
      </c>
      <c r="P1349">
        <f>B1349*(hospitalityq!P1349="")</f>
        <v>0</v>
      </c>
      <c r="Q1349">
        <f>B1349*(hospitalityq!Q1349="")</f>
        <v>0</v>
      </c>
      <c r="R1349">
        <f>B1349*(hospitalityq!R1349="")</f>
        <v>0</v>
      </c>
    </row>
    <row r="1350" spans="1:18" x14ac:dyDescent="0.25">
      <c r="A1350">
        <f t="shared" ref="A1350:A1413" si="22">IFERROR(MATCH(TRUE,INDEX(C1350:R1350&lt;&gt;0,),)+2,0)</f>
        <v>0</v>
      </c>
      <c r="B1350" t="b">
        <f>SUMPRODUCT(LEN(hospitalityq!C1350:R1350))&gt;0</f>
        <v>0</v>
      </c>
      <c r="C1350">
        <f>B1350*(hospitalityq!C1350="")</f>
        <v>0</v>
      </c>
      <c r="E1350">
        <f>B1350*(hospitalityq!E1350="")</f>
        <v>0</v>
      </c>
      <c r="F1350">
        <f>B1350*(hospitalityq!F1350="")</f>
        <v>0</v>
      </c>
      <c r="G1350">
        <f>B1350*(hospitalityq!G1350="")</f>
        <v>0</v>
      </c>
      <c r="H1350">
        <f>B1350*(hospitalityq!H1350="")</f>
        <v>0</v>
      </c>
      <c r="I1350">
        <f>B1350*(hospitalityq!I1350="")</f>
        <v>0</v>
      </c>
      <c r="J1350">
        <f>B1350*(hospitalityq!J1350="")</f>
        <v>0</v>
      </c>
      <c r="K1350">
        <f>B1350*(hospitalityq!K1350="")</f>
        <v>0</v>
      </c>
      <c r="L1350">
        <f>B1350*(hospitalityq!L1350="")</f>
        <v>0</v>
      </c>
      <c r="M1350">
        <f>B1350*(hospitalityq!M1350="")</f>
        <v>0</v>
      </c>
      <c r="N1350">
        <f>B1350*(hospitalityq!N1350="")</f>
        <v>0</v>
      </c>
      <c r="O1350">
        <f>B1350*(hospitalityq!O1350="")</f>
        <v>0</v>
      </c>
      <c r="P1350">
        <f>B1350*(hospitalityq!P1350="")</f>
        <v>0</v>
      </c>
      <c r="Q1350">
        <f>B1350*(hospitalityq!Q1350="")</f>
        <v>0</v>
      </c>
      <c r="R1350">
        <f>B1350*(hospitalityq!R1350="")</f>
        <v>0</v>
      </c>
    </row>
    <row r="1351" spans="1:18" x14ac:dyDescent="0.25">
      <c r="A1351">
        <f t="shared" si="22"/>
        <v>0</v>
      </c>
      <c r="B1351" t="b">
        <f>SUMPRODUCT(LEN(hospitalityq!C1351:R1351))&gt;0</f>
        <v>0</v>
      </c>
      <c r="C1351">
        <f>B1351*(hospitalityq!C1351="")</f>
        <v>0</v>
      </c>
      <c r="E1351">
        <f>B1351*(hospitalityq!E1351="")</f>
        <v>0</v>
      </c>
      <c r="F1351">
        <f>B1351*(hospitalityq!F1351="")</f>
        <v>0</v>
      </c>
      <c r="G1351">
        <f>B1351*(hospitalityq!G1351="")</f>
        <v>0</v>
      </c>
      <c r="H1351">
        <f>B1351*(hospitalityq!H1351="")</f>
        <v>0</v>
      </c>
      <c r="I1351">
        <f>B1351*(hospitalityq!I1351="")</f>
        <v>0</v>
      </c>
      <c r="J1351">
        <f>B1351*(hospitalityq!J1351="")</f>
        <v>0</v>
      </c>
      <c r="K1351">
        <f>B1351*(hospitalityq!K1351="")</f>
        <v>0</v>
      </c>
      <c r="L1351">
        <f>B1351*(hospitalityq!L1351="")</f>
        <v>0</v>
      </c>
      <c r="M1351">
        <f>B1351*(hospitalityq!M1351="")</f>
        <v>0</v>
      </c>
      <c r="N1351">
        <f>B1351*(hospitalityq!N1351="")</f>
        <v>0</v>
      </c>
      <c r="O1351">
        <f>B1351*(hospitalityq!O1351="")</f>
        <v>0</v>
      </c>
      <c r="P1351">
        <f>B1351*(hospitalityq!P1351="")</f>
        <v>0</v>
      </c>
      <c r="Q1351">
        <f>B1351*(hospitalityq!Q1351="")</f>
        <v>0</v>
      </c>
      <c r="R1351">
        <f>B1351*(hospitalityq!R1351="")</f>
        <v>0</v>
      </c>
    </row>
    <row r="1352" spans="1:18" x14ac:dyDescent="0.25">
      <c r="A1352">
        <f t="shared" si="22"/>
        <v>0</v>
      </c>
      <c r="B1352" t="b">
        <f>SUMPRODUCT(LEN(hospitalityq!C1352:R1352))&gt;0</f>
        <v>0</v>
      </c>
      <c r="C1352">
        <f>B1352*(hospitalityq!C1352="")</f>
        <v>0</v>
      </c>
      <c r="E1352">
        <f>B1352*(hospitalityq!E1352="")</f>
        <v>0</v>
      </c>
      <c r="F1352">
        <f>B1352*(hospitalityq!F1352="")</f>
        <v>0</v>
      </c>
      <c r="G1352">
        <f>B1352*(hospitalityq!G1352="")</f>
        <v>0</v>
      </c>
      <c r="H1352">
        <f>B1352*(hospitalityq!H1352="")</f>
        <v>0</v>
      </c>
      <c r="I1352">
        <f>B1352*(hospitalityq!I1352="")</f>
        <v>0</v>
      </c>
      <c r="J1352">
        <f>B1352*(hospitalityq!J1352="")</f>
        <v>0</v>
      </c>
      <c r="K1352">
        <f>B1352*(hospitalityq!K1352="")</f>
        <v>0</v>
      </c>
      <c r="L1352">
        <f>B1352*(hospitalityq!L1352="")</f>
        <v>0</v>
      </c>
      <c r="M1352">
        <f>B1352*(hospitalityq!M1352="")</f>
        <v>0</v>
      </c>
      <c r="N1352">
        <f>B1352*(hospitalityq!N1352="")</f>
        <v>0</v>
      </c>
      <c r="O1352">
        <f>B1352*(hospitalityq!O1352="")</f>
        <v>0</v>
      </c>
      <c r="P1352">
        <f>B1352*(hospitalityq!P1352="")</f>
        <v>0</v>
      </c>
      <c r="Q1352">
        <f>B1352*(hospitalityq!Q1352="")</f>
        <v>0</v>
      </c>
      <c r="R1352">
        <f>B1352*(hospitalityq!R1352="")</f>
        <v>0</v>
      </c>
    </row>
    <row r="1353" spans="1:18" x14ac:dyDescent="0.25">
      <c r="A1353">
        <f t="shared" si="22"/>
        <v>0</v>
      </c>
      <c r="B1353" t="b">
        <f>SUMPRODUCT(LEN(hospitalityq!C1353:R1353))&gt;0</f>
        <v>0</v>
      </c>
      <c r="C1353">
        <f>B1353*(hospitalityq!C1353="")</f>
        <v>0</v>
      </c>
      <c r="E1353">
        <f>B1353*(hospitalityq!E1353="")</f>
        <v>0</v>
      </c>
      <c r="F1353">
        <f>B1353*(hospitalityq!F1353="")</f>
        <v>0</v>
      </c>
      <c r="G1353">
        <f>B1353*(hospitalityq!G1353="")</f>
        <v>0</v>
      </c>
      <c r="H1353">
        <f>B1353*(hospitalityq!H1353="")</f>
        <v>0</v>
      </c>
      <c r="I1353">
        <f>B1353*(hospitalityq!I1353="")</f>
        <v>0</v>
      </c>
      <c r="J1353">
        <f>B1353*(hospitalityq!J1353="")</f>
        <v>0</v>
      </c>
      <c r="K1353">
        <f>B1353*(hospitalityq!K1353="")</f>
        <v>0</v>
      </c>
      <c r="L1353">
        <f>B1353*(hospitalityq!L1353="")</f>
        <v>0</v>
      </c>
      <c r="M1353">
        <f>B1353*(hospitalityq!M1353="")</f>
        <v>0</v>
      </c>
      <c r="N1353">
        <f>B1353*(hospitalityq!N1353="")</f>
        <v>0</v>
      </c>
      <c r="O1353">
        <f>B1353*(hospitalityq!O1353="")</f>
        <v>0</v>
      </c>
      <c r="P1353">
        <f>B1353*(hospitalityq!P1353="")</f>
        <v>0</v>
      </c>
      <c r="Q1353">
        <f>B1353*(hospitalityq!Q1353="")</f>
        <v>0</v>
      </c>
      <c r="R1353">
        <f>B1353*(hospitalityq!R1353="")</f>
        <v>0</v>
      </c>
    </row>
    <row r="1354" spans="1:18" x14ac:dyDescent="0.25">
      <c r="A1354">
        <f t="shared" si="22"/>
        <v>0</v>
      </c>
      <c r="B1354" t="b">
        <f>SUMPRODUCT(LEN(hospitalityq!C1354:R1354))&gt;0</f>
        <v>0</v>
      </c>
      <c r="C1354">
        <f>B1354*(hospitalityq!C1354="")</f>
        <v>0</v>
      </c>
      <c r="E1354">
        <f>B1354*(hospitalityq!E1354="")</f>
        <v>0</v>
      </c>
      <c r="F1354">
        <f>B1354*(hospitalityq!F1354="")</f>
        <v>0</v>
      </c>
      <c r="G1354">
        <f>B1354*(hospitalityq!G1354="")</f>
        <v>0</v>
      </c>
      <c r="H1354">
        <f>B1354*(hospitalityq!H1354="")</f>
        <v>0</v>
      </c>
      <c r="I1354">
        <f>B1354*(hospitalityq!I1354="")</f>
        <v>0</v>
      </c>
      <c r="J1354">
        <f>B1354*(hospitalityq!J1354="")</f>
        <v>0</v>
      </c>
      <c r="K1354">
        <f>B1354*(hospitalityq!K1354="")</f>
        <v>0</v>
      </c>
      <c r="L1354">
        <f>B1354*(hospitalityq!L1354="")</f>
        <v>0</v>
      </c>
      <c r="M1354">
        <f>B1354*(hospitalityq!M1354="")</f>
        <v>0</v>
      </c>
      <c r="N1354">
        <f>B1354*(hospitalityq!N1354="")</f>
        <v>0</v>
      </c>
      <c r="O1354">
        <f>B1354*(hospitalityq!O1354="")</f>
        <v>0</v>
      </c>
      <c r="P1354">
        <f>B1354*(hospitalityq!P1354="")</f>
        <v>0</v>
      </c>
      <c r="Q1354">
        <f>B1354*(hospitalityq!Q1354="")</f>
        <v>0</v>
      </c>
      <c r="R1354">
        <f>B1354*(hospitalityq!R1354="")</f>
        <v>0</v>
      </c>
    </row>
    <row r="1355" spans="1:18" x14ac:dyDescent="0.25">
      <c r="A1355">
        <f t="shared" si="22"/>
        <v>0</v>
      </c>
      <c r="B1355" t="b">
        <f>SUMPRODUCT(LEN(hospitalityq!C1355:R1355))&gt;0</f>
        <v>0</v>
      </c>
      <c r="C1355">
        <f>B1355*(hospitalityq!C1355="")</f>
        <v>0</v>
      </c>
      <c r="E1355">
        <f>B1355*(hospitalityq!E1355="")</f>
        <v>0</v>
      </c>
      <c r="F1355">
        <f>B1355*(hospitalityq!F1355="")</f>
        <v>0</v>
      </c>
      <c r="G1355">
        <f>B1355*(hospitalityq!G1355="")</f>
        <v>0</v>
      </c>
      <c r="H1355">
        <f>B1355*(hospitalityq!H1355="")</f>
        <v>0</v>
      </c>
      <c r="I1355">
        <f>B1355*(hospitalityq!I1355="")</f>
        <v>0</v>
      </c>
      <c r="J1355">
        <f>B1355*(hospitalityq!J1355="")</f>
        <v>0</v>
      </c>
      <c r="K1355">
        <f>B1355*(hospitalityq!K1355="")</f>
        <v>0</v>
      </c>
      <c r="L1355">
        <f>B1355*(hospitalityq!L1355="")</f>
        <v>0</v>
      </c>
      <c r="M1355">
        <f>B1355*(hospitalityq!M1355="")</f>
        <v>0</v>
      </c>
      <c r="N1355">
        <f>B1355*(hospitalityq!N1355="")</f>
        <v>0</v>
      </c>
      <c r="O1355">
        <f>B1355*(hospitalityq!O1355="")</f>
        <v>0</v>
      </c>
      <c r="P1355">
        <f>B1355*(hospitalityq!P1355="")</f>
        <v>0</v>
      </c>
      <c r="Q1355">
        <f>B1355*(hospitalityq!Q1355="")</f>
        <v>0</v>
      </c>
      <c r="R1355">
        <f>B1355*(hospitalityq!R1355="")</f>
        <v>0</v>
      </c>
    </row>
    <row r="1356" spans="1:18" x14ac:dyDescent="0.25">
      <c r="A1356">
        <f t="shared" si="22"/>
        <v>0</v>
      </c>
      <c r="B1356" t="b">
        <f>SUMPRODUCT(LEN(hospitalityq!C1356:R1356))&gt;0</f>
        <v>0</v>
      </c>
      <c r="C1356">
        <f>B1356*(hospitalityq!C1356="")</f>
        <v>0</v>
      </c>
      <c r="E1356">
        <f>B1356*(hospitalityq!E1356="")</f>
        <v>0</v>
      </c>
      <c r="F1356">
        <f>B1356*(hospitalityq!F1356="")</f>
        <v>0</v>
      </c>
      <c r="G1356">
        <f>B1356*(hospitalityq!G1356="")</f>
        <v>0</v>
      </c>
      <c r="H1356">
        <f>B1356*(hospitalityq!H1356="")</f>
        <v>0</v>
      </c>
      <c r="I1356">
        <f>B1356*(hospitalityq!I1356="")</f>
        <v>0</v>
      </c>
      <c r="J1356">
        <f>B1356*(hospitalityq!J1356="")</f>
        <v>0</v>
      </c>
      <c r="K1356">
        <f>B1356*(hospitalityq!K1356="")</f>
        <v>0</v>
      </c>
      <c r="L1356">
        <f>B1356*(hospitalityq!L1356="")</f>
        <v>0</v>
      </c>
      <c r="M1356">
        <f>B1356*(hospitalityq!M1356="")</f>
        <v>0</v>
      </c>
      <c r="N1356">
        <f>B1356*(hospitalityq!N1356="")</f>
        <v>0</v>
      </c>
      <c r="O1356">
        <f>B1356*(hospitalityq!O1356="")</f>
        <v>0</v>
      </c>
      <c r="P1356">
        <f>B1356*(hospitalityq!P1356="")</f>
        <v>0</v>
      </c>
      <c r="Q1356">
        <f>B1356*(hospitalityq!Q1356="")</f>
        <v>0</v>
      </c>
      <c r="R1356">
        <f>B1356*(hospitalityq!R1356="")</f>
        <v>0</v>
      </c>
    </row>
    <row r="1357" spans="1:18" x14ac:dyDescent="0.25">
      <c r="A1357">
        <f t="shared" si="22"/>
        <v>0</v>
      </c>
      <c r="B1357" t="b">
        <f>SUMPRODUCT(LEN(hospitalityq!C1357:R1357))&gt;0</f>
        <v>0</v>
      </c>
      <c r="C1357">
        <f>B1357*(hospitalityq!C1357="")</f>
        <v>0</v>
      </c>
      <c r="E1357">
        <f>B1357*(hospitalityq!E1357="")</f>
        <v>0</v>
      </c>
      <c r="F1357">
        <f>B1357*(hospitalityq!F1357="")</f>
        <v>0</v>
      </c>
      <c r="G1357">
        <f>B1357*(hospitalityq!G1357="")</f>
        <v>0</v>
      </c>
      <c r="H1357">
        <f>B1357*(hospitalityq!H1357="")</f>
        <v>0</v>
      </c>
      <c r="I1357">
        <f>B1357*(hospitalityq!I1357="")</f>
        <v>0</v>
      </c>
      <c r="J1357">
        <f>B1357*(hospitalityq!J1357="")</f>
        <v>0</v>
      </c>
      <c r="K1357">
        <f>B1357*(hospitalityq!K1357="")</f>
        <v>0</v>
      </c>
      <c r="L1357">
        <f>B1357*(hospitalityq!L1357="")</f>
        <v>0</v>
      </c>
      <c r="M1357">
        <f>B1357*(hospitalityq!M1357="")</f>
        <v>0</v>
      </c>
      <c r="N1357">
        <f>B1357*(hospitalityq!N1357="")</f>
        <v>0</v>
      </c>
      <c r="O1357">
        <f>B1357*(hospitalityq!O1357="")</f>
        <v>0</v>
      </c>
      <c r="P1357">
        <f>B1357*(hospitalityq!P1357="")</f>
        <v>0</v>
      </c>
      <c r="Q1357">
        <f>B1357*(hospitalityq!Q1357="")</f>
        <v>0</v>
      </c>
      <c r="R1357">
        <f>B1357*(hospitalityq!R1357="")</f>
        <v>0</v>
      </c>
    </row>
    <row r="1358" spans="1:18" x14ac:dyDescent="0.25">
      <c r="A1358">
        <f t="shared" si="22"/>
        <v>0</v>
      </c>
      <c r="B1358" t="b">
        <f>SUMPRODUCT(LEN(hospitalityq!C1358:R1358))&gt;0</f>
        <v>0</v>
      </c>
      <c r="C1358">
        <f>B1358*(hospitalityq!C1358="")</f>
        <v>0</v>
      </c>
      <c r="E1358">
        <f>B1358*(hospitalityq!E1358="")</f>
        <v>0</v>
      </c>
      <c r="F1358">
        <f>B1358*(hospitalityq!F1358="")</f>
        <v>0</v>
      </c>
      <c r="G1358">
        <f>B1358*(hospitalityq!G1358="")</f>
        <v>0</v>
      </c>
      <c r="H1358">
        <f>B1358*(hospitalityq!H1358="")</f>
        <v>0</v>
      </c>
      <c r="I1358">
        <f>B1358*(hospitalityq!I1358="")</f>
        <v>0</v>
      </c>
      <c r="J1358">
        <f>B1358*(hospitalityq!J1358="")</f>
        <v>0</v>
      </c>
      <c r="K1358">
        <f>B1358*(hospitalityq!K1358="")</f>
        <v>0</v>
      </c>
      <c r="L1358">
        <f>B1358*(hospitalityq!L1358="")</f>
        <v>0</v>
      </c>
      <c r="M1358">
        <f>B1358*(hospitalityq!M1358="")</f>
        <v>0</v>
      </c>
      <c r="N1358">
        <f>B1358*(hospitalityq!N1358="")</f>
        <v>0</v>
      </c>
      <c r="O1358">
        <f>B1358*(hospitalityq!O1358="")</f>
        <v>0</v>
      </c>
      <c r="P1358">
        <f>B1358*(hospitalityq!P1358="")</f>
        <v>0</v>
      </c>
      <c r="Q1358">
        <f>B1358*(hospitalityq!Q1358="")</f>
        <v>0</v>
      </c>
      <c r="R1358">
        <f>B1358*(hospitalityq!R1358="")</f>
        <v>0</v>
      </c>
    </row>
    <row r="1359" spans="1:18" x14ac:dyDescent="0.25">
      <c r="A1359">
        <f t="shared" si="22"/>
        <v>0</v>
      </c>
      <c r="B1359" t="b">
        <f>SUMPRODUCT(LEN(hospitalityq!C1359:R1359))&gt;0</f>
        <v>0</v>
      </c>
      <c r="C1359">
        <f>B1359*(hospitalityq!C1359="")</f>
        <v>0</v>
      </c>
      <c r="E1359">
        <f>B1359*(hospitalityq!E1359="")</f>
        <v>0</v>
      </c>
      <c r="F1359">
        <f>B1359*(hospitalityq!F1359="")</f>
        <v>0</v>
      </c>
      <c r="G1359">
        <f>B1359*(hospitalityq!G1359="")</f>
        <v>0</v>
      </c>
      <c r="H1359">
        <f>B1359*(hospitalityq!H1359="")</f>
        <v>0</v>
      </c>
      <c r="I1359">
        <f>B1359*(hospitalityq!I1359="")</f>
        <v>0</v>
      </c>
      <c r="J1359">
        <f>B1359*(hospitalityq!J1359="")</f>
        <v>0</v>
      </c>
      <c r="K1359">
        <f>B1359*(hospitalityq!K1359="")</f>
        <v>0</v>
      </c>
      <c r="L1359">
        <f>B1359*(hospitalityq!L1359="")</f>
        <v>0</v>
      </c>
      <c r="M1359">
        <f>B1359*(hospitalityq!M1359="")</f>
        <v>0</v>
      </c>
      <c r="N1359">
        <f>B1359*(hospitalityq!N1359="")</f>
        <v>0</v>
      </c>
      <c r="O1359">
        <f>B1359*(hospitalityq!O1359="")</f>
        <v>0</v>
      </c>
      <c r="P1359">
        <f>B1359*(hospitalityq!P1359="")</f>
        <v>0</v>
      </c>
      <c r="Q1359">
        <f>B1359*(hospitalityq!Q1359="")</f>
        <v>0</v>
      </c>
      <c r="R1359">
        <f>B1359*(hospitalityq!R1359="")</f>
        <v>0</v>
      </c>
    </row>
    <row r="1360" spans="1:18" x14ac:dyDescent="0.25">
      <c r="A1360">
        <f t="shared" si="22"/>
        <v>0</v>
      </c>
      <c r="B1360" t="b">
        <f>SUMPRODUCT(LEN(hospitalityq!C1360:R1360))&gt;0</f>
        <v>0</v>
      </c>
      <c r="C1360">
        <f>B1360*(hospitalityq!C1360="")</f>
        <v>0</v>
      </c>
      <c r="E1360">
        <f>B1360*(hospitalityq!E1360="")</f>
        <v>0</v>
      </c>
      <c r="F1360">
        <f>B1360*(hospitalityq!F1360="")</f>
        <v>0</v>
      </c>
      <c r="G1360">
        <f>B1360*(hospitalityq!G1360="")</f>
        <v>0</v>
      </c>
      <c r="H1360">
        <f>B1360*(hospitalityq!H1360="")</f>
        <v>0</v>
      </c>
      <c r="I1360">
        <f>B1360*(hospitalityq!I1360="")</f>
        <v>0</v>
      </c>
      <c r="J1360">
        <f>B1360*(hospitalityq!J1360="")</f>
        <v>0</v>
      </c>
      <c r="K1360">
        <f>B1360*(hospitalityq!K1360="")</f>
        <v>0</v>
      </c>
      <c r="L1360">
        <f>B1360*(hospitalityq!L1360="")</f>
        <v>0</v>
      </c>
      <c r="M1360">
        <f>B1360*(hospitalityq!M1360="")</f>
        <v>0</v>
      </c>
      <c r="N1360">
        <f>B1360*(hospitalityq!N1360="")</f>
        <v>0</v>
      </c>
      <c r="O1360">
        <f>B1360*(hospitalityq!O1360="")</f>
        <v>0</v>
      </c>
      <c r="P1360">
        <f>B1360*(hospitalityq!P1360="")</f>
        <v>0</v>
      </c>
      <c r="Q1360">
        <f>B1360*(hospitalityq!Q1360="")</f>
        <v>0</v>
      </c>
      <c r="R1360">
        <f>B1360*(hospitalityq!R1360="")</f>
        <v>0</v>
      </c>
    </row>
    <row r="1361" spans="1:18" x14ac:dyDescent="0.25">
      <c r="A1361">
        <f t="shared" si="22"/>
        <v>0</v>
      </c>
      <c r="B1361" t="b">
        <f>SUMPRODUCT(LEN(hospitalityq!C1361:R1361))&gt;0</f>
        <v>0</v>
      </c>
      <c r="C1361">
        <f>B1361*(hospitalityq!C1361="")</f>
        <v>0</v>
      </c>
      <c r="E1361">
        <f>B1361*(hospitalityq!E1361="")</f>
        <v>0</v>
      </c>
      <c r="F1361">
        <f>B1361*(hospitalityq!F1361="")</f>
        <v>0</v>
      </c>
      <c r="G1361">
        <f>B1361*(hospitalityq!G1361="")</f>
        <v>0</v>
      </c>
      <c r="H1361">
        <f>B1361*(hospitalityq!H1361="")</f>
        <v>0</v>
      </c>
      <c r="I1361">
        <f>B1361*(hospitalityq!I1361="")</f>
        <v>0</v>
      </c>
      <c r="J1361">
        <f>B1361*(hospitalityq!J1361="")</f>
        <v>0</v>
      </c>
      <c r="K1361">
        <f>B1361*(hospitalityq!K1361="")</f>
        <v>0</v>
      </c>
      <c r="L1361">
        <f>B1361*(hospitalityq!L1361="")</f>
        <v>0</v>
      </c>
      <c r="M1361">
        <f>B1361*(hospitalityq!M1361="")</f>
        <v>0</v>
      </c>
      <c r="N1361">
        <f>B1361*(hospitalityq!N1361="")</f>
        <v>0</v>
      </c>
      <c r="O1361">
        <f>B1361*(hospitalityq!O1361="")</f>
        <v>0</v>
      </c>
      <c r="P1361">
        <f>B1361*(hospitalityq!P1361="")</f>
        <v>0</v>
      </c>
      <c r="Q1361">
        <f>B1361*(hospitalityq!Q1361="")</f>
        <v>0</v>
      </c>
      <c r="R1361">
        <f>B1361*(hospitalityq!R1361="")</f>
        <v>0</v>
      </c>
    </row>
    <row r="1362" spans="1:18" x14ac:dyDescent="0.25">
      <c r="A1362">
        <f t="shared" si="22"/>
        <v>0</v>
      </c>
      <c r="B1362" t="b">
        <f>SUMPRODUCT(LEN(hospitalityq!C1362:R1362))&gt;0</f>
        <v>0</v>
      </c>
      <c r="C1362">
        <f>B1362*(hospitalityq!C1362="")</f>
        <v>0</v>
      </c>
      <c r="E1362">
        <f>B1362*(hospitalityq!E1362="")</f>
        <v>0</v>
      </c>
      <c r="F1362">
        <f>B1362*(hospitalityq!F1362="")</f>
        <v>0</v>
      </c>
      <c r="G1362">
        <f>B1362*(hospitalityq!G1362="")</f>
        <v>0</v>
      </c>
      <c r="H1362">
        <f>B1362*(hospitalityq!H1362="")</f>
        <v>0</v>
      </c>
      <c r="I1362">
        <f>B1362*(hospitalityq!I1362="")</f>
        <v>0</v>
      </c>
      <c r="J1362">
        <f>B1362*(hospitalityq!J1362="")</f>
        <v>0</v>
      </c>
      <c r="K1362">
        <f>B1362*(hospitalityq!K1362="")</f>
        <v>0</v>
      </c>
      <c r="L1362">
        <f>B1362*(hospitalityq!L1362="")</f>
        <v>0</v>
      </c>
      <c r="M1362">
        <f>B1362*(hospitalityq!M1362="")</f>
        <v>0</v>
      </c>
      <c r="N1362">
        <f>B1362*(hospitalityq!N1362="")</f>
        <v>0</v>
      </c>
      <c r="O1362">
        <f>B1362*(hospitalityq!O1362="")</f>
        <v>0</v>
      </c>
      <c r="P1362">
        <f>B1362*(hospitalityq!P1362="")</f>
        <v>0</v>
      </c>
      <c r="Q1362">
        <f>B1362*(hospitalityq!Q1362="")</f>
        <v>0</v>
      </c>
      <c r="R1362">
        <f>B1362*(hospitalityq!R1362="")</f>
        <v>0</v>
      </c>
    </row>
    <row r="1363" spans="1:18" x14ac:dyDescent="0.25">
      <c r="A1363">
        <f t="shared" si="22"/>
        <v>0</v>
      </c>
      <c r="B1363" t="b">
        <f>SUMPRODUCT(LEN(hospitalityq!C1363:R1363))&gt;0</f>
        <v>0</v>
      </c>
      <c r="C1363">
        <f>B1363*(hospitalityq!C1363="")</f>
        <v>0</v>
      </c>
      <c r="E1363">
        <f>B1363*(hospitalityq!E1363="")</f>
        <v>0</v>
      </c>
      <c r="F1363">
        <f>B1363*(hospitalityq!F1363="")</f>
        <v>0</v>
      </c>
      <c r="G1363">
        <f>B1363*(hospitalityq!G1363="")</f>
        <v>0</v>
      </c>
      <c r="H1363">
        <f>B1363*(hospitalityq!H1363="")</f>
        <v>0</v>
      </c>
      <c r="I1363">
        <f>B1363*(hospitalityq!I1363="")</f>
        <v>0</v>
      </c>
      <c r="J1363">
        <f>B1363*(hospitalityq!J1363="")</f>
        <v>0</v>
      </c>
      <c r="K1363">
        <f>B1363*(hospitalityq!K1363="")</f>
        <v>0</v>
      </c>
      <c r="L1363">
        <f>B1363*(hospitalityq!L1363="")</f>
        <v>0</v>
      </c>
      <c r="M1363">
        <f>B1363*(hospitalityq!M1363="")</f>
        <v>0</v>
      </c>
      <c r="N1363">
        <f>B1363*(hospitalityq!N1363="")</f>
        <v>0</v>
      </c>
      <c r="O1363">
        <f>B1363*(hospitalityq!O1363="")</f>
        <v>0</v>
      </c>
      <c r="P1363">
        <f>B1363*(hospitalityq!P1363="")</f>
        <v>0</v>
      </c>
      <c r="Q1363">
        <f>B1363*(hospitalityq!Q1363="")</f>
        <v>0</v>
      </c>
      <c r="R1363">
        <f>B1363*(hospitalityq!R1363="")</f>
        <v>0</v>
      </c>
    </row>
    <row r="1364" spans="1:18" x14ac:dyDescent="0.25">
      <c r="A1364">
        <f t="shared" si="22"/>
        <v>0</v>
      </c>
      <c r="B1364" t="b">
        <f>SUMPRODUCT(LEN(hospitalityq!C1364:R1364))&gt;0</f>
        <v>0</v>
      </c>
      <c r="C1364">
        <f>B1364*(hospitalityq!C1364="")</f>
        <v>0</v>
      </c>
      <c r="E1364">
        <f>B1364*(hospitalityq!E1364="")</f>
        <v>0</v>
      </c>
      <c r="F1364">
        <f>B1364*(hospitalityq!F1364="")</f>
        <v>0</v>
      </c>
      <c r="G1364">
        <f>B1364*(hospitalityq!G1364="")</f>
        <v>0</v>
      </c>
      <c r="H1364">
        <f>B1364*(hospitalityq!H1364="")</f>
        <v>0</v>
      </c>
      <c r="I1364">
        <f>B1364*(hospitalityq!I1364="")</f>
        <v>0</v>
      </c>
      <c r="J1364">
        <f>B1364*(hospitalityq!J1364="")</f>
        <v>0</v>
      </c>
      <c r="K1364">
        <f>B1364*(hospitalityq!K1364="")</f>
        <v>0</v>
      </c>
      <c r="L1364">
        <f>B1364*(hospitalityq!L1364="")</f>
        <v>0</v>
      </c>
      <c r="M1364">
        <f>B1364*(hospitalityq!M1364="")</f>
        <v>0</v>
      </c>
      <c r="N1364">
        <f>B1364*(hospitalityq!N1364="")</f>
        <v>0</v>
      </c>
      <c r="O1364">
        <f>B1364*(hospitalityq!O1364="")</f>
        <v>0</v>
      </c>
      <c r="P1364">
        <f>B1364*(hospitalityq!P1364="")</f>
        <v>0</v>
      </c>
      <c r="Q1364">
        <f>B1364*(hospitalityq!Q1364="")</f>
        <v>0</v>
      </c>
      <c r="R1364">
        <f>B1364*(hospitalityq!R1364="")</f>
        <v>0</v>
      </c>
    </row>
    <row r="1365" spans="1:18" x14ac:dyDescent="0.25">
      <c r="A1365">
        <f t="shared" si="22"/>
        <v>0</v>
      </c>
      <c r="B1365" t="b">
        <f>SUMPRODUCT(LEN(hospitalityq!C1365:R1365))&gt;0</f>
        <v>0</v>
      </c>
      <c r="C1365">
        <f>B1365*(hospitalityq!C1365="")</f>
        <v>0</v>
      </c>
      <c r="E1365">
        <f>B1365*(hospitalityq!E1365="")</f>
        <v>0</v>
      </c>
      <c r="F1365">
        <f>B1365*(hospitalityq!F1365="")</f>
        <v>0</v>
      </c>
      <c r="G1365">
        <f>B1365*(hospitalityq!G1365="")</f>
        <v>0</v>
      </c>
      <c r="H1365">
        <f>B1365*(hospitalityq!H1365="")</f>
        <v>0</v>
      </c>
      <c r="I1365">
        <f>B1365*(hospitalityq!I1365="")</f>
        <v>0</v>
      </c>
      <c r="J1365">
        <f>B1365*(hospitalityq!J1365="")</f>
        <v>0</v>
      </c>
      <c r="K1365">
        <f>B1365*(hospitalityq!K1365="")</f>
        <v>0</v>
      </c>
      <c r="L1365">
        <f>B1365*(hospitalityq!L1365="")</f>
        <v>0</v>
      </c>
      <c r="M1365">
        <f>B1365*(hospitalityq!M1365="")</f>
        <v>0</v>
      </c>
      <c r="N1365">
        <f>B1365*(hospitalityq!N1365="")</f>
        <v>0</v>
      </c>
      <c r="O1365">
        <f>B1365*(hospitalityq!O1365="")</f>
        <v>0</v>
      </c>
      <c r="P1365">
        <f>B1365*(hospitalityq!P1365="")</f>
        <v>0</v>
      </c>
      <c r="Q1365">
        <f>B1365*(hospitalityq!Q1365="")</f>
        <v>0</v>
      </c>
      <c r="R1365">
        <f>B1365*(hospitalityq!R1365="")</f>
        <v>0</v>
      </c>
    </row>
    <row r="1366" spans="1:18" x14ac:dyDescent="0.25">
      <c r="A1366">
        <f t="shared" si="22"/>
        <v>0</v>
      </c>
      <c r="B1366" t="b">
        <f>SUMPRODUCT(LEN(hospitalityq!C1366:R1366))&gt;0</f>
        <v>0</v>
      </c>
      <c r="C1366">
        <f>B1366*(hospitalityq!C1366="")</f>
        <v>0</v>
      </c>
      <c r="E1366">
        <f>B1366*(hospitalityq!E1366="")</f>
        <v>0</v>
      </c>
      <c r="F1366">
        <f>B1366*(hospitalityq!F1366="")</f>
        <v>0</v>
      </c>
      <c r="G1366">
        <f>B1366*(hospitalityq!G1366="")</f>
        <v>0</v>
      </c>
      <c r="H1366">
        <f>B1366*(hospitalityq!H1366="")</f>
        <v>0</v>
      </c>
      <c r="I1366">
        <f>B1366*(hospitalityq!I1366="")</f>
        <v>0</v>
      </c>
      <c r="J1366">
        <f>B1366*(hospitalityq!J1366="")</f>
        <v>0</v>
      </c>
      <c r="K1366">
        <f>B1366*(hospitalityq!K1366="")</f>
        <v>0</v>
      </c>
      <c r="L1366">
        <f>B1366*(hospitalityq!L1366="")</f>
        <v>0</v>
      </c>
      <c r="M1366">
        <f>B1366*(hospitalityq!M1366="")</f>
        <v>0</v>
      </c>
      <c r="N1366">
        <f>B1366*(hospitalityq!N1366="")</f>
        <v>0</v>
      </c>
      <c r="O1366">
        <f>B1366*(hospitalityq!O1366="")</f>
        <v>0</v>
      </c>
      <c r="P1366">
        <f>B1366*(hospitalityq!P1366="")</f>
        <v>0</v>
      </c>
      <c r="Q1366">
        <f>B1366*(hospitalityq!Q1366="")</f>
        <v>0</v>
      </c>
      <c r="R1366">
        <f>B1366*(hospitalityq!R1366="")</f>
        <v>0</v>
      </c>
    </row>
    <row r="1367" spans="1:18" x14ac:dyDescent="0.25">
      <c r="A1367">
        <f t="shared" si="22"/>
        <v>0</v>
      </c>
      <c r="B1367" t="b">
        <f>SUMPRODUCT(LEN(hospitalityq!C1367:R1367))&gt;0</f>
        <v>0</v>
      </c>
      <c r="C1367">
        <f>B1367*(hospitalityq!C1367="")</f>
        <v>0</v>
      </c>
      <c r="E1367">
        <f>B1367*(hospitalityq!E1367="")</f>
        <v>0</v>
      </c>
      <c r="F1367">
        <f>B1367*(hospitalityq!F1367="")</f>
        <v>0</v>
      </c>
      <c r="G1367">
        <f>B1367*(hospitalityq!G1367="")</f>
        <v>0</v>
      </c>
      <c r="H1367">
        <f>B1367*(hospitalityq!H1367="")</f>
        <v>0</v>
      </c>
      <c r="I1367">
        <f>B1367*(hospitalityq!I1367="")</f>
        <v>0</v>
      </c>
      <c r="J1367">
        <f>B1367*(hospitalityq!J1367="")</f>
        <v>0</v>
      </c>
      <c r="K1367">
        <f>B1367*(hospitalityq!K1367="")</f>
        <v>0</v>
      </c>
      <c r="L1367">
        <f>B1367*(hospitalityq!L1367="")</f>
        <v>0</v>
      </c>
      <c r="M1367">
        <f>B1367*(hospitalityq!M1367="")</f>
        <v>0</v>
      </c>
      <c r="N1367">
        <f>B1367*(hospitalityq!N1367="")</f>
        <v>0</v>
      </c>
      <c r="O1367">
        <f>B1367*(hospitalityq!O1367="")</f>
        <v>0</v>
      </c>
      <c r="P1367">
        <f>B1367*(hospitalityq!P1367="")</f>
        <v>0</v>
      </c>
      <c r="Q1367">
        <f>B1367*(hospitalityq!Q1367="")</f>
        <v>0</v>
      </c>
      <c r="R1367">
        <f>B1367*(hospitalityq!R1367="")</f>
        <v>0</v>
      </c>
    </row>
    <row r="1368" spans="1:18" x14ac:dyDescent="0.25">
      <c r="A1368">
        <f t="shared" si="22"/>
        <v>0</v>
      </c>
      <c r="B1368" t="b">
        <f>SUMPRODUCT(LEN(hospitalityq!C1368:R1368))&gt;0</f>
        <v>0</v>
      </c>
      <c r="C1368">
        <f>B1368*(hospitalityq!C1368="")</f>
        <v>0</v>
      </c>
      <c r="E1368">
        <f>B1368*(hospitalityq!E1368="")</f>
        <v>0</v>
      </c>
      <c r="F1368">
        <f>B1368*(hospitalityq!F1368="")</f>
        <v>0</v>
      </c>
      <c r="G1368">
        <f>B1368*(hospitalityq!G1368="")</f>
        <v>0</v>
      </c>
      <c r="H1368">
        <f>B1368*(hospitalityq!H1368="")</f>
        <v>0</v>
      </c>
      <c r="I1368">
        <f>B1368*(hospitalityq!I1368="")</f>
        <v>0</v>
      </c>
      <c r="J1368">
        <f>B1368*(hospitalityq!J1368="")</f>
        <v>0</v>
      </c>
      <c r="K1368">
        <f>B1368*(hospitalityq!K1368="")</f>
        <v>0</v>
      </c>
      <c r="L1368">
        <f>B1368*(hospitalityq!L1368="")</f>
        <v>0</v>
      </c>
      <c r="M1368">
        <f>B1368*(hospitalityq!M1368="")</f>
        <v>0</v>
      </c>
      <c r="N1368">
        <f>B1368*(hospitalityq!N1368="")</f>
        <v>0</v>
      </c>
      <c r="O1368">
        <f>B1368*(hospitalityq!O1368="")</f>
        <v>0</v>
      </c>
      <c r="P1368">
        <f>B1368*(hospitalityq!P1368="")</f>
        <v>0</v>
      </c>
      <c r="Q1368">
        <f>B1368*(hospitalityq!Q1368="")</f>
        <v>0</v>
      </c>
      <c r="R1368">
        <f>B1368*(hospitalityq!R1368="")</f>
        <v>0</v>
      </c>
    </row>
    <row r="1369" spans="1:18" x14ac:dyDescent="0.25">
      <c r="A1369">
        <f t="shared" si="22"/>
        <v>0</v>
      </c>
      <c r="B1369" t="b">
        <f>SUMPRODUCT(LEN(hospitalityq!C1369:R1369))&gt;0</f>
        <v>0</v>
      </c>
      <c r="C1369">
        <f>B1369*(hospitalityq!C1369="")</f>
        <v>0</v>
      </c>
      <c r="E1369">
        <f>B1369*(hospitalityq!E1369="")</f>
        <v>0</v>
      </c>
      <c r="F1369">
        <f>B1369*(hospitalityq!F1369="")</f>
        <v>0</v>
      </c>
      <c r="G1369">
        <f>B1369*(hospitalityq!G1369="")</f>
        <v>0</v>
      </c>
      <c r="H1369">
        <f>B1369*(hospitalityq!H1369="")</f>
        <v>0</v>
      </c>
      <c r="I1369">
        <f>B1369*(hospitalityq!I1369="")</f>
        <v>0</v>
      </c>
      <c r="J1369">
        <f>B1369*(hospitalityq!J1369="")</f>
        <v>0</v>
      </c>
      <c r="K1369">
        <f>B1369*(hospitalityq!K1369="")</f>
        <v>0</v>
      </c>
      <c r="L1369">
        <f>B1369*(hospitalityq!L1369="")</f>
        <v>0</v>
      </c>
      <c r="M1369">
        <f>B1369*(hospitalityq!M1369="")</f>
        <v>0</v>
      </c>
      <c r="N1369">
        <f>B1369*(hospitalityq!N1369="")</f>
        <v>0</v>
      </c>
      <c r="O1369">
        <f>B1369*(hospitalityq!O1369="")</f>
        <v>0</v>
      </c>
      <c r="P1369">
        <f>B1369*(hospitalityq!P1369="")</f>
        <v>0</v>
      </c>
      <c r="Q1369">
        <f>B1369*(hospitalityq!Q1369="")</f>
        <v>0</v>
      </c>
      <c r="R1369">
        <f>B1369*(hospitalityq!R1369="")</f>
        <v>0</v>
      </c>
    </row>
    <row r="1370" spans="1:18" x14ac:dyDescent="0.25">
      <c r="A1370">
        <f t="shared" si="22"/>
        <v>0</v>
      </c>
      <c r="B1370" t="b">
        <f>SUMPRODUCT(LEN(hospitalityq!C1370:R1370))&gt;0</f>
        <v>0</v>
      </c>
      <c r="C1370">
        <f>B1370*(hospitalityq!C1370="")</f>
        <v>0</v>
      </c>
      <c r="E1370">
        <f>B1370*(hospitalityq!E1370="")</f>
        <v>0</v>
      </c>
      <c r="F1370">
        <f>B1370*(hospitalityq!F1370="")</f>
        <v>0</v>
      </c>
      <c r="G1370">
        <f>B1370*(hospitalityq!G1370="")</f>
        <v>0</v>
      </c>
      <c r="H1370">
        <f>B1370*(hospitalityq!H1370="")</f>
        <v>0</v>
      </c>
      <c r="I1370">
        <f>B1370*(hospitalityq!I1370="")</f>
        <v>0</v>
      </c>
      <c r="J1370">
        <f>B1370*(hospitalityq!J1370="")</f>
        <v>0</v>
      </c>
      <c r="K1370">
        <f>B1370*(hospitalityq!K1370="")</f>
        <v>0</v>
      </c>
      <c r="L1370">
        <f>B1370*(hospitalityq!L1370="")</f>
        <v>0</v>
      </c>
      <c r="M1370">
        <f>B1370*(hospitalityq!M1370="")</f>
        <v>0</v>
      </c>
      <c r="N1370">
        <f>B1370*(hospitalityq!N1370="")</f>
        <v>0</v>
      </c>
      <c r="O1370">
        <f>B1370*(hospitalityq!O1370="")</f>
        <v>0</v>
      </c>
      <c r="P1370">
        <f>B1370*(hospitalityq!P1370="")</f>
        <v>0</v>
      </c>
      <c r="Q1370">
        <f>B1370*(hospitalityq!Q1370="")</f>
        <v>0</v>
      </c>
      <c r="R1370">
        <f>B1370*(hospitalityq!R1370="")</f>
        <v>0</v>
      </c>
    </row>
    <row r="1371" spans="1:18" x14ac:dyDescent="0.25">
      <c r="A1371">
        <f t="shared" si="22"/>
        <v>0</v>
      </c>
      <c r="B1371" t="b">
        <f>SUMPRODUCT(LEN(hospitalityq!C1371:R1371))&gt;0</f>
        <v>0</v>
      </c>
      <c r="C1371">
        <f>B1371*(hospitalityq!C1371="")</f>
        <v>0</v>
      </c>
      <c r="E1371">
        <f>B1371*(hospitalityq!E1371="")</f>
        <v>0</v>
      </c>
      <c r="F1371">
        <f>B1371*(hospitalityq!F1371="")</f>
        <v>0</v>
      </c>
      <c r="G1371">
        <f>B1371*(hospitalityq!G1371="")</f>
        <v>0</v>
      </c>
      <c r="H1371">
        <f>B1371*(hospitalityq!H1371="")</f>
        <v>0</v>
      </c>
      <c r="I1371">
        <f>B1371*(hospitalityq!I1371="")</f>
        <v>0</v>
      </c>
      <c r="J1371">
        <f>B1371*(hospitalityq!J1371="")</f>
        <v>0</v>
      </c>
      <c r="K1371">
        <f>B1371*(hospitalityq!K1371="")</f>
        <v>0</v>
      </c>
      <c r="L1371">
        <f>B1371*(hospitalityq!L1371="")</f>
        <v>0</v>
      </c>
      <c r="M1371">
        <f>B1371*(hospitalityq!M1371="")</f>
        <v>0</v>
      </c>
      <c r="N1371">
        <f>B1371*(hospitalityq!N1371="")</f>
        <v>0</v>
      </c>
      <c r="O1371">
        <f>B1371*(hospitalityq!O1371="")</f>
        <v>0</v>
      </c>
      <c r="P1371">
        <f>B1371*(hospitalityq!P1371="")</f>
        <v>0</v>
      </c>
      <c r="Q1371">
        <f>B1371*(hospitalityq!Q1371="")</f>
        <v>0</v>
      </c>
      <c r="R1371">
        <f>B1371*(hospitalityq!R1371="")</f>
        <v>0</v>
      </c>
    </row>
    <row r="1372" spans="1:18" x14ac:dyDescent="0.25">
      <c r="A1372">
        <f t="shared" si="22"/>
        <v>0</v>
      </c>
      <c r="B1372" t="b">
        <f>SUMPRODUCT(LEN(hospitalityq!C1372:R1372))&gt;0</f>
        <v>0</v>
      </c>
      <c r="C1372">
        <f>B1372*(hospitalityq!C1372="")</f>
        <v>0</v>
      </c>
      <c r="E1372">
        <f>B1372*(hospitalityq!E1372="")</f>
        <v>0</v>
      </c>
      <c r="F1372">
        <f>B1372*(hospitalityq!F1372="")</f>
        <v>0</v>
      </c>
      <c r="G1372">
        <f>B1372*(hospitalityq!G1372="")</f>
        <v>0</v>
      </c>
      <c r="H1372">
        <f>B1372*(hospitalityq!H1372="")</f>
        <v>0</v>
      </c>
      <c r="I1372">
        <f>B1372*(hospitalityq!I1372="")</f>
        <v>0</v>
      </c>
      <c r="J1372">
        <f>B1372*(hospitalityq!J1372="")</f>
        <v>0</v>
      </c>
      <c r="K1372">
        <f>B1372*(hospitalityq!K1372="")</f>
        <v>0</v>
      </c>
      <c r="L1372">
        <f>B1372*(hospitalityq!L1372="")</f>
        <v>0</v>
      </c>
      <c r="M1372">
        <f>B1372*(hospitalityq!M1372="")</f>
        <v>0</v>
      </c>
      <c r="N1372">
        <f>B1372*(hospitalityq!N1372="")</f>
        <v>0</v>
      </c>
      <c r="O1372">
        <f>B1372*(hospitalityq!O1372="")</f>
        <v>0</v>
      </c>
      <c r="P1372">
        <f>B1372*(hospitalityq!P1372="")</f>
        <v>0</v>
      </c>
      <c r="Q1372">
        <f>B1372*(hospitalityq!Q1372="")</f>
        <v>0</v>
      </c>
      <c r="R1372">
        <f>B1372*(hospitalityq!R1372="")</f>
        <v>0</v>
      </c>
    </row>
    <row r="1373" spans="1:18" x14ac:dyDescent="0.25">
      <c r="A1373">
        <f t="shared" si="22"/>
        <v>0</v>
      </c>
      <c r="B1373" t="b">
        <f>SUMPRODUCT(LEN(hospitalityq!C1373:R1373))&gt;0</f>
        <v>0</v>
      </c>
      <c r="C1373">
        <f>B1373*(hospitalityq!C1373="")</f>
        <v>0</v>
      </c>
      <c r="E1373">
        <f>B1373*(hospitalityq!E1373="")</f>
        <v>0</v>
      </c>
      <c r="F1373">
        <f>B1373*(hospitalityq!F1373="")</f>
        <v>0</v>
      </c>
      <c r="G1373">
        <f>B1373*(hospitalityq!G1373="")</f>
        <v>0</v>
      </c>
      <c r="H1373">
        <f>B1373*(hospitalityq!H1373="")</f>
        <v>0</v>
      </c>
      <c r="I1373">
        <f>B1373*(hospitalityq!I1373="")</f>
        <v>0</v>
      </c>
      <c r="J1373">
        <f>B1373*(hospitalityq!J1373="")</f>
        <v>0</v>
      </c>
      <c r="K1373">
        <f>B1373*(hospitalityq!K1373="")</f>
        <v>0</v>
      </c>
      <c r="L1373">
        <f>B1373*(hospitalityq!L1373="")</f>
        <v>0</v>
      </c>
      <c r="M1373">
        <f>B1373*(hospitalityq!M1373="")</f>
        <v>0</v>
      </c>
      <c r="N1373">
        <f>B1373*(hospitalityq!N1373="")</f>
        <v>0</v>
      </c>
      <c r="O1373">
        <f>B1373*(hospitalityq!O1373="")</f>
        <v>0</v>
      </c>
      <c r="P1373">
        <f>B1373*(hospitalityq!P1373="")</f>
        <v>0</v>
      </c>
      <c r="Q1373">
        <f>B1373*(hospitalityq!Q1373="")</f>
        <v>0</v>
      </c>
      <c r="R1373">
        <f>B1373*(hospitalityq!R1373="")</f>
        <v>0</v>
      </c>
    </row>
    <row r="1374" spans="1:18" x14ac:dyDescent="0.25">
      <c r="A1374">
        <f t="shared" si="22"/>
        <v>0</v>
      </c>
      <c r="B1374" t="b">
        <f>SUMPRODUCT(LEN(hospitalityq!C1374:R1374))&gt;0</f>
        <v>0</v>
      </c>
      <c r="C1374">
        <f>B1374*(hospitalityq!C1374="")</f>
        <v>0</v>
      </c>
      <c r="E1374">
        <f>B1374*(hospitalityq!E1374="")</f>
        <v>0</v>
      </c>
      <c r="F1374">
        <f>B1374*(hospitalityq!F1374="")</f>
        <v>0</v>
      </c>
      <c r="G1374">
        <f>B1374*(hospitalityq!G1374="")</f>
        <v>0</v>
      </c>
      <c r="H1374">
        <f>B1374*(hospitalityq!H1374="")</f>
        <v>0</v>
      </c>
      <c r="I1374">
        <f>B1374*(hospitalityq!I1374="")</f>
        <v>0</v>
      </c>
      <c r="J1374">
        <f>B1374*(hospitalityq!J1374="")</f>
        <v>0</v>
      </c>
      <c r="K1374">
        <f>B1374*(hospitalityq!K1374="")</f>
        <v>0</v>
      </c>
      <c r="L1374">
        <f>B1374*(hospitalityq!L1374="")</f>
        <v>0</v>
      </c>
      <c r="M1374">
        <f>B1374*(hospitalityq!M1374="")</f>
        <v>0</v>
      </c>
      <c r="N1374">
        <f>B1374*(hospitalityq!N1374="")</f>
        <v>0</v>
      </c>
      <c r="O1374">
        <f>B1374*(hospitalityq!O1374="")</f>
        <v>0</v>
      </c>
      <c r="P1374">
        <f>B1374*(hospitalityq!P1374="")</f>
        <v>0</v>
      </c>
      <c r="Q1374">
        <f>B1374*(hospitalityq!Q1374="")</f>
        <v>0</v>
      </c>
      <c r="R1374">
        <f>B1374*(hospitalityq!R1374="")</f>
        <v>0</v>
      </c>
    </row>
    <row r="1375" spans="1:18" x14ac:dyDescent="0.25">
      <c r="A1375">
        <f t="shared" si="22"/>
        <v>0</v>
      </c>
      <c r="B1375" t="b">
        <f>SUMPRODUCT(LEN(hospitalityq!C1375:R1375))&gt;0</f>
        <v>0</v>
      </c>
      <c r="C1375">
        <f>B1375*(hospitalityq!C1375="")</f>
        <v>0</v>
      </c>
      <c r="E1375">
        <f>B1375*(hospitalityq!E1375="")</f>
        <v>0</v>
      </c>
      <c r="F1375">
        <f>B1375*(hospitalityq!F1375="")</f>
        <v>0</v>
      </c>
      <c r="G1375">
        <f>B1375*(hospitalityq!G1375="")</f>
        <v>0</v>
      </c>
      <c r="H1375">
        <f>B1375*(hospitalityq!H1375="")</f>
        <v>0</v>
      </c>
      <c r="I1375">
        <f>B1375*(hospitalityq!I1375="")</f>
        <v>0</v>
      </c>
      <c r="J1375">
        <f>B1375*(hospitalityq!J1375="")</f>
        <v>0</v>
      </c>
      <c r="K1375">
        <f>B1375*(hospitalityq!K1375="")</f>
        <v>0</v>
      </c>
      <c r="L1375">
        <f>B1375*(hospitalityq!L1375="")</f>
        <v>0</v>
      </c>
      <c r="M1375">
        <f>B1375*(hospitalityq!M1375="")</f>
        <v>0</v>
      </c>
      <c r="N1375">
        <f>B1375*(hospitalityq!N1375="")</f>
        <v>0</v>
      </c>
      <c r="O1375">
        <f>B1375*(hospitalityq!O1375="")</f>
        <v>0</v>
      </c>
      <c r="P1375">
        <f>B1375*(hospitalityq!P1375="")</f>
        <v>0</v>
      </c>
      <c r="Q1375">
        <f>B1375*(hospitalityq!Q1375="")</f>
        <v>0</v>
      </c>
      <c r="R1375">
        <f>B1375*(hospitalityq!R1375="")</f>
        <v>0</v>
      </c>
    </row>
    <row r="1376" spans="1:18" x14ac:dyDescent="0.25">
      <c r="A1376">
        <f t="shared" si="22"/>
        <v>0</v>
      </c>
      <c r="B1376" t="b">
        <f>SUMPRODUCT(LEN(hospitalityq!C1376:R1376))&gt;0</f>
        <v>0</v>
      </c>
      <c r="C1376">
        <f>B1376*(hospitalityq!C1376="")</f>
        <v>0</v>
      </c>
      <c r="E1376">
        <f>B1376*(hospitalityq!E1376="")</f>
        <v>0</v>
      </c>
      <c r="F1376">
        <f>B1376*(hospitalityq!F1376="")</f>
        <v>0</v>
      </c>
      <c r="G1376">
        <f>B1376*(hospitalityq!G1376="")</f>
        <v>0</v>
      </c>
      <c r="H1376">
        <f>B1376*(hospitalityq!H1376="")</f>
        <v>0</v>
      </c>
      <c r="I1376">
        <f>B1376*(hospitalityq!I1376="")</f>
        <v>0</v>
      </c>
      <c r="J1376">
        <f>B1376*(hospitalityq!J1376="")</f>
        <v>0</v>
      </c>
      <c r="K1376">
        <f>B1376*(hospitalityq!K1376="")</f>
        <v>0</v>
      </c>
      <c r="L1376">
        <f>B1376*(hospitalityq!L1376="")</f>
        <v>0</v>
      </c>
      <c r="M1376">
        <f>B1376*(hospitalityq!M1376="")</f>
        <v>0</v>
      </c>
      <c r="N1376">
        <f>B1376*(hospitalityq!N1376="")</f>
        <v>0</v>
      </c>
      <c r="O1376">
        <f>B1376*(hospitalityq!O1376="")</f>
        <v>0</v>
      </c>
      <c r="P1376">
        <f>B1376*(hospitalityq!P1376="")</f>
        <v>0</v>
      </c>
      <c r="Q1376">
        <f>B1376*(hospitalityq!Q1376="")</f>
        <v>0</v>
      </c>
      <c r="R1376">
        <f>B1376*(hospitalityq!R1376="")</f>
        <v>0</v>
      </c>
    </row>
    <row r="1377" spans="1:18" x14ac:dyDescent="0.25">
      <c r="A1377">
        <f t="shared" si="22"/>
        <v>0</v>
      </c>
      <c r="B1377" t="b">
        <f>SUMPRODUCT(LEN(hospitalityq!C1377:R1377))&gt;0</f>
        <v>0</v>
      </c>
      <c r="C1377">
        <f>B1377*(hospitalityq!C1377="")</f>
        <v>0</v>
      </c>
      <c r="E1377">
        <f>B1377*(hospitalityq!E1377="")</f>
        <v>0</v>
      </c>
      <c r="F1377">
        <f>B1377*(hospitalityq!F1377="")</f>
        <v>0</v>
      </c>
      <c r="G1377">
        <f>B1377*(hospitalityq!G1377="")</f>
        <v>0</v>
      </c>
      <c r="H1377">
        <f>B1377*(hospitalityq!H1377="")</f>
        <v>0</v>
      </c>
      <c r="I1377">
        <f>B1377*(hospitalityq!I1377="")</f>
        <v>0</v>
      </c>
      <c r="J1377">
        <f>B1377*(hospitalityq!J1377="")</f>
        <v>0</v>
      </c>
      <c r="K1377">
        <f>B1377*(hospitalityq!K1377="")</f>
        <v>0</v>
      </c>
      <c r="L1377">
        <f>B1377*(hospitalityq!L1377="")</f>
        <v>0</v>
      </c>
      <c r="M1377">
        <f>B1377*(hospitalityq!M1377="")</f>
        <v>0</v>
      </c>
      <c r="N1377">
        <f>B1377*(hospitalityq!N1377="")</f>
        <v>0</v>
      </c>
      <c r="O1377">
        <f>B1377*(hospitalityq!O1377="")</f>
        <v>0</v>
      </c>
      <c r="P1377">
        <f>B1377*(hospitalityq!P1377="")</f>
        <v>0</v>
      </c>
      <c r="Q1377">
        <f>B1377*(hospitalityq!Q1377="")</f>
        <v>0</v>
      </c>
      <c r="R1377">
        <f>B1377*(hospitalityq!R1377="")</f>
        <v>0</v>
      </c>
    </row>
    <row r="1378" spans="1:18" x14ac:dyDescent="0.25">
      <c r="A1378">
        <f t="shared" si="22"/>
        <v>0</v>
      </c>
      <c r="B1378" t="b">
        <f>SUMPRODUCT(LEN(hospitalityq!C1378:R1378))&gt;0</f>
        <v>0</v>
      </c>
      <c r="C1378">
        <f>B1378*(hospitalityq!C1378="")</f>
        <v>0</v>
      </c>
      <c r="E1378">
        <f>B1378*(hospitalityq!E1378="")</f>
        <v>0</v>
      </c>
      <c r="F1378">
        <f>B1378*(hospitalityq!F1378="")</f>
        <v>0</v>
      </c>
      <c r="G1378">
        <f>B1378*(hospitalityq!G1378="")</f>
        <v>0</v>
      </c>
      <c r="H1378">
        <f>B1378*(hospitalityq!H1378="")</f>
        <v>0</v>
      </c>
      <c r="I1378">
        <f>B1378*(hospitalityq!I1378="")</f>
        <v>0</v>
      </c>
      <c r="J1378">
        <f>B1378*(hospitalityq!J1378="")</f>
        <v>0</v>
      </c>
      <c r="K1378">
        <f>B1378*(hospitalityq!K1378="")</f>
        <v>0</v>
      </c>
      <c r="L1378">
        <f>B1378*(hospitalityq!L1378="")</f>
        <v>0</v>
      </c>
      <c r="M1378">
        <f>B1378*(hospitalityq!M1378="")</f>
        <v>0</v>
      </c>
      <c r="N1378">
        <f>B1378*(hospitalityq!N1378="")</f>
        <v>0</v>
      </c>
      <c r="O1378">
        <f>B1378*(hospitalityq!O1378="")</f>
        <v>0</v>
      </c>
      <c r="P1378">
        <f>B1378*(hospitalityq!P1378="")</f>
        <v>0</v>
      </c>
      <c r="Q1378">
        <f>B1378*(hospitalityq!Q1378="")</f>
        <v>0</v>
      </c>
      <c r="R1378">
        <f>B1378*(hospitalityq!R1378="")</f>
        <v>0</v>
      </c>
    </row>
    <row r="1379" spans="1:18" x14ac:dyDescent="0.25">
      <c r="A1379">
        <f t="shared" si="22"/>
        <v>0</v>
      </c>
      <c r="B1379" t="b">
        <f>SUMPRODUCT(LEN(hospitalityq!C1379:R1379))&gt;0</f>
        <v>0</v>
      </c>
      <c r="C1379">
        <f>B1379*(hospitalityq!C1379="")</f>
        <v>0</v>
      </c>
      <c r="E1379">
        <f>B1379*(hospitalityq!E1379="")</f>
        <v>0</v>
      </c>
      <c r="F1379">
        <f>B1379*(hospitalityq!F1379="")</f>
        <v>0</v>
      </c>
      <c r="G1379">
        <f>B1379*(hospitalityq!G1379="")</f>
        <v>0</v>
      </c>
      <c r="H1379">
        <f>B1379*(hospitalityq!H1379="")</f>
        <v>0</v>
      </c>
      <c r="I1379">
        <f>B1379*(hospitalityq!I1379="")</f>
        <v>0</v>
      </c>
      <c r="J1379">
        <f>B1379*(hospitalityq!J1379="")</f>
        <v>0</v>
      </c>
      <c r="K1379">
        <f>B1379*(hospitalityq!K1379="")</f>
        <v>0</v>
      </c>
      <c r="L1379">
        <f>B1379*(hospitalityq!L1379="")</f>
        <v>0</v>
      </c>
      <c r="M1379">
        <f>B1379*(hospitalityq!M1379="")</f>
        <v>0</v>
      </c>
      <c r="N1379">
        <f>B1379*(hospitalityq!N1379="")</f>
        <v>0</v>
      </c>
      <c r="O1379">
        <f>B1379*(hospitalityq!O1379="")</f>
        <v>0</v>
      </c>
      <c r="P1379">
        <f>B1379*(hospitalityq!P1379="")</f>
        <v>0</v>
      </c>
      <c r="Q1379">
        <f>B1379*(hospitalityq!Q1379="")</f>
        <v>0</v>
      </c>
      <c r="R1379">
        <f>B1379*(hospitalityq!R1379="")</f>
        <v>0</v>
      </c>
    </row>
    <row r="1380" spans="1:18" x14ac:dyDescent="0.25">
      <c r="A1380">
        <f t="shared" si="22"/>
        <v>0</v>
      </c>
      <c r="B1380" t="b">
        <f>SUMPRODUCT(LEN(hospitalityq!C1380:R1380))&gt;0</f>
        <v>0</v>
      </c>
      <c r="C1380">
        <f>B1380*(hospitalityq!C1380="")</f>
        <v>0</v>
      </c>
      <c r="E1380">
        <f>B1380*(hospitalityq!E1380="")</f>
        <v>0</v>
      </c>
      <c r="F1380">
        <f>B1380*(hospitalityq!F1380="")</f>
        <v>0</v>
      </c>
      <c r="G1380">
        <f>B1380*(hospitalityq!G1380="")</f>
        <v>0</v>
      </c>
      <c r="H1380">
        <f>B1380*(hospitalityq!H1380="")</f>
        <v>0</v>
      </c>
      <c r="I1380">
        <f>B1380*(hospitalityq!I1380="")</f>
        <v>0</v>
      </c>
      <c r="J1380">
        <f>B1380*(hospitalityq!J1380="")</f>
        <v>0</v>
      </c>
      <c r="K1380">
        <f>B1380*(hospitalityq!K1380="")</f>
        <v>0</v>
      </c>
      <c r="L1380">
        <f>B1380*(hospitalityq!L1380="")</f>
        <v>0</v>
      </c>
      <c r="M1380">
        <f>B1380*(hospitalityq!M1380="")</f>
        <v>0</v>
      </c>
      <c r="N1380">
        <f>B1380*(hospitalityq!N1380="")</f>
        <v>0</v>
      </c>
      <c r="O1380">
        <f>B1380*(hospitalityq!O1380="")</f>
        <v>0</v>
      </c>
      <c r="P1380">
        <f>B1380*(hospitalityq!P1380="")</f>
        <v>0</v>
      </c>
      <c r="Q1380">
        <f>B1380*(hospitalityq!Q1380="")</f>
        <v>0</v>
      </c>
      <c r="R1380">
        <f>B1380*(hospitalityq!R1380="")</f>
        <v>0</v>
      </c>
    </row>
    <row r="1381" spans="1:18" x14ac:dyDescent="0.25">
      <c r="A1381">
        <f t="shared" si="22"/>
        <v>0</v>
      </c>
      <c r="B1381" t="b">
        <f>SUMPRODUCT(LEN(hospitalityq!C1381:R1381))&gt;0</f>
        <v>0</v>
      </c>
      <c r="C1381">
        <f>B1381*(hospitalityq!C1381="")</f>
        <v>0</v>
      </c>
      <c r="E1381">
        <f>B1381*(hospitalityq!E1381="")</f>
        <v>0</v>
      </c>
      <c r="F1381">
        <f>B1381*(hospitalityq!F1381="")</f>
        <v>0</v>
      </c>
      <c r="G1381">
        <f>B1381*(hospitalityq!G1381="")</f>
        <v>0</v>
      </c>
      <c r="H1381">
        <f>B1381*(hospitalityq!H1381="")</f>
        <v>0</v>
      </c>
      <c r="I1381">
        <f>B1381*(hospitalityq!I1381="")</f>
        <v>0</v>
      </c>
      <c r="J1381">
        <f>B1381*(hospitalityq!J1381="")</f>
        <v>0</v>
      </c>
      <c r="K1381">
        <f>B1381*(hospitalityq!K1381="")</f>
        <v>0</v>
      </c>
      <c r="L1381">
        <f>B1381*(hospitalityq!L1381="")</f>
        <v>0</v>
      </c>
      <c r="M1381">
        <f>B1381*(hospitalityq!M1381="")</f>
        <v>0</v>
      </c>
      <c r="N1381">
        <f>B1381*(hospitalityq!N1381="")</f>
        <v>0</v>
      </c>
      <c r="O1381">
        <f>B1381*(hospitalityq!O1381="")</f>
        <v>0</v>
      </c>
      <c r="P1381">
        <f>B1381*(hospitalityq!P1381="")</f>
        <v>0</v>
      </c>
      <c r="Q1381">
        <f>B1381*(hospitalityq!Q1381="")</f>
        <v>0</v>
      </c>
      <c r="R1381">
        <f>B1381*(hospitalityq!R1381="")</f>
        <v>0</v>
      </c>
    </row>
    <row r="1382" spans="1:18" x14ac:dyDescent="0.25">
      <c r="A1382">
        <f t="shared" si="22"/>
        <v>0</v>
      </c>
      <c r="B1382" t="b">
        <f>SUMPRODUCT(LEN(hospitalityq!C1382:R1382))&gt;0</f>
        <v>0</v>
      </c>
      <c r="C1382">
        <f>B1382*(hospitalityq!C1382="")</f>
        <v>0</v>
      </c>
      <c r="E1382">
        <f>B1382*(hospitalityq!E1382="")</f>
        <v>0</v>
      </c>
      <c r="F1382">
        <f>B1382*(hospitalityq!F1382="")</f>
        <v>0</v>
      </c>
      <c r="G1382">
        <f>B1382*(hospitalityq!G1382="")</f>
        <v>0</v>
      </c>
      <c r="H1382">
        <f>B1382*(hospitalityq!H1382="")</f>
        <v>0</v>
      </c>
      <c r="I1382">
        <f>B1382*(hospitalityq!I1382="")</f>
        <v>0</v>
      </c>
      <c r="J1382">
        <f>B1382*(hospitalityq!J1382="")</f>
        <v>0</v>
      </c>
      <c r="K1382">
        <f>B1382*(hospitalityq!K1382="")</f>
        <v>0</v>
      </c>
      <c r="L1382">
        <f>B1382*(hospitalityq!L1382="")</f>
        <v>0</v>
      </c>
      <c r="M1382">
        <f>B1382*(hospitalityq!M1382="")</f>
        <v>0</v>
      </c>
      <c r="N1382">
        <f>B1382*(hospitalityq!N1382="")</f>
        <v>0</v>
      </c>
      <c r="O1382">
        <f>B1382*(hospitalityq!O1382="")</f>
        <v>0</v>
      </c>
      <c r="P1382">
        <f>B1382*(hospitalityq!P1382="")</f>
        <v>0</v>
      </c>
      <c r="Q1382">
        <f>B1382*(hospitalityq!Q1382="")</f>
        <v>0</v>
      </c>
      <c r="R1382">
        <f>B1382*(hospitalityq!R1382="")</f>
        <v>0</v>
      </c>
    </row>
    <row r="1383" spans="1:18" x14ac:dyDescent="0.25">
      <c r="A1383">
        <f t="shared" si="22"/>
        <v>0</v>
      </c>
      <c r="B1383" t="b">
        <f>SUMPRODUCT(LEN(hospitalityq!C1383:R1383))&gt;0</f>
        <v>0</v>
      </c>
      <c r="C1383">
        <f>B1383*(hospitalityq!C1383="")</f>
        <v>0</v>
      </c>
      <c r="E1383">
        <f>B1383*(hospitalityq!E1383="")</f>
        <v>0</v>
      </c>
      <c r="F1383">
        <f>B1383*(hospitalityq!F1383="")</f>
        <v>0</v>
      </c>
      <c r="G1383">
        <f>B1383*(hospitalityq!G1383="")</f>
        <v>0</v>
      </c>
      <c r="H1383">
        <f>B1383*(hospitalityq!H1383="")</f>
        <v>0</v>
      </c>
      <c r="I1383">
        <f>B1383*(hospitalityq!I1383="")</f>
        <v>0</v>
      </c>
      <c r="J1383">
        <f>B1383*(hospitalityq!J1383="")</f>
        <v>0</v>
      </c>
      <c r="K1383">
        <f>B1383*(hospitalityq!K1383="")</f>
        <v>0</v>
      </c>
      <c r="L1383">
        <f>B1383*(hospitalityq!L1383="")</f>
        <v>0</v>
      </c>
      <c r="M1383">
        <f>B1383*(hospitalityq!M1383="")</f>
        <v>0</v>
      </c>
      <c r="N1383">
        <f>B1383*(hospitalityq!N1383="")</f>
        <v>0</v>
      </c>
      <c r="O1383">
        <f>B1383*(hospitalityq!O1383="")</f>
        <v>0</v>
      </c>
      <c r="P1383">
        <f>B1383*(hospitalityq!P1383="")</f>
        <v>0</v>
      </c>
      <c r="Q1383">
        <f>B1383*(hospitalityq!Q1383="")</f>
        <v>0</v>
      </c>
      <c r="R1383">
        <f>B1383*(hospitalityq!R1383="")</f>
        <v>0</v>
      </c>
    </row>
    <row r="1384" spans="1:18" x14ac:dyDescent="0.25">
      <c r="A1384">
        <f t="shared" si="22"/>
        <v>0</v>
      </c>
      <c r="B1384" t="b">
        <f>SUMPRODUCT(LEN(hospitalityq!C1384:R1384))&gt;0</f>
        <v>0</v>
      </c>
      <c r="C1384">
        <f>B1384*(hospitalityq!C1384="")</f>
        <v>0</v>
      </c>
      <c r="E1384">
        <f>B1384*(hospitalityq!E1384="")</f>
        <v>0</v>
      </c>
      <c r="F1384">
        <f>B1384*(hospitalityq!F1384="")</f>
        <v>0</v>
      </c>
      <c r="G1384">
        <f>B1384*(hospitalityq!G1384="")</f>
        <v>0</v>
      </c>
      <c r="H1384">
        <f>B1384*(hospitalityq!H1384="")</f>
        <v>0</v>
      </c>
      <c r="I1384">
        <f>B1384*(hospitalityq!I1384="")</f>
        <v>0</v>
      </c>
      <c r="J1384">
        <f>B1384*(hospitalityq!J1384="")</f>
        <v>0</v>
      </c>
      <c r="K1384">
        <f>B1384*(hospitalityq!K1384="")</f>
        <v>0</v>
      </c>
      <c r="L1384">
        <f>B1384*(hospitalityq!L1384="")</f>
        <v>0</v>
      </c>
      <c r="M1384">
        <f>B1384*(hospitalityq!M1384="")</f>
        <v>0</v>
      </c>
      <c r="N1384">
        <f>B1384*(hospitalityq!N1384="")</f>
        <v>0</v>
      </c>
      <c r="O1384">
        <f>B1384*(hospitalityq!O1384="")</f>
        <v>0</v>
      </c>
      <c r="P1384">
        <f>B1384*(hospitalityq!P1384="")</f>
        <v>0</v>
      </c>
      <c r="Q1384">
        <f>B1384*(hospitalityq!Q1384="")</f>
        <v>0</v>
      </c>
      <c r="R1384">
        <f>B1384*(hospitalityq!R1384="")</f>
        <v>0</v>
      </c>
    </row>
    <row r="1385" spans="1:18" x14ac:dyDescent="0.25">
      <c r="A1385">
        <f t="shared" si="22"/>
        <v>0</v>
      </c>
      <c r="B1385" t="b">
        <f>SUMPRODUCT(LEN(hospitalityq!C1385:R1385))&gt;0</f>
        <v>0</v>
      </c>
      <c r="C1385">
        <f>B1385*(hospitalityq!C1385="")</f>
        <v>0</v>
      </c>
      <c r="E1385">
        <f>B1385*(hospitalityq!E1385="")</f>
        <v>0</v>
      </c>
      <c r="F1385">
        <f>B1385*(hospitalityq!F1385="")</f>
        <v>0</v>
      </c>
      <c r="G1385">
        <f>B1385*(hospitalityq!G1385="")</f>
        <v>0</v>
      </c>
      <c r="H1385">
        <f>B1385*(hospitalityq!H1385="")</f>
        <v>0</v>
      </c>
      <c r="I1385">
        <f>B1385*(hospitalityq!I1385="")</f>
        <v>0</v>
      </c>
      <c r="J1385">
        <f>B1385*(hospitalityq!J1385="")</f>
        <v>0</v>
      </c>
      <c r="K1385">
        <f>B1385*(hospitalityq!K1385="")</f>
        <v>0</v>
      </c>
      <c r="L1385">
        <f>B1385*(hospitalityq!L1385="")</f>
        <v>0</v>
      </c>
      <c r="M1385">
        <f>B1385*(hospitalityq!M1385="")</f>
        <v>0</v>
      </c>
      <c r="N1385">
        <f>B1385*(hospitalityq!N1385="")</f>
        <v>0</v>
      </c>
      <c r="O1385">
        <f>B1385*(hospitalityq!O1385="")</f>
        <v>0</v>
      </c>
      <c r="P1385">
        <f>B1385*(hospitalityq!P1385="")</f>
        <v>0</v>
      </c>
      <c r="Q1385">
        <f>B1385*(hospitalityq!Q1385="")</f>
        <v>0</v>
      </c>
      <c r="R1385">
        <f>B1385*(hospitalityq!R1385="")</f>
        <v>0</v>
      </c>
    </row>
    <row r="1386" spans="1:18" x14ac:dyDescent="0.25">
      <c r="A1386">
        <f t="shared" si="22"/>
        <v>0</v>
      </c>
      <c r="B1386" t="b">
        <f>SUMPRODUCT(LEN(hospitalityq!C1386:R1386))&gt;0</f>
        <v>0</v>
      </c>
      <c r="C1386">
        <f>B1386*(hospitalityq!C1386="")</f>
        <v>0</v>
      </c>
      <c r="E1386">
        <f>B1386*(hospitalityq!E1386="")</f>
        <v>0</v>
      </c>
      <c r="F1386">
        <f>B1386*(hospitalityq!F1386="")</f>
        <v>0</v>
      </c>
      <c r="G1386">
        <f>B1386*(hospitalityq!G1386="")</f>
        <v>0</v>
      </c>
      <c r="H1386">
        <f>B1386*(hospitalityq!H1386="")</f>
        <v>0</v>
      </c>
      <c r="I1386">
        <f>B1386*(hospitalityq!I1386="")</f>
        <v>0</v>
      </c>
      <c r="J1386">
        <f>B1386*(hospitalityq!J1386="")</f>
        <v>0</v>
      </c>
      <c r="K1386">
        <f>B1386*(hospitalityq!K1386="")</f>
        <v>0</v>
      </c>
      <c r="L1386">
        <f>B1386*(hospitalityq!L1386="")</f>
        <v>0</v>
      </c>
      <c r="M1386">
        <f>B1386*(hospitalityq!M1386="")</f>
        <v>0</v>
      </c>
      <c r="N1386">
        <f>B1386*(hospitalityq!N1386="")</f>
        <v>0</v>
      </c>
      <c r="O1386">
        <f>B1386*(hospitalityq!O1386="")</f>
        <v>0</v>
      </c>
      <c r="P1386">
        <f>B1386*(hospitalityq!P1386="")</f>
        <v>0</v>
      </c>
      <c r="Q1386">
        <f>B1386*(hospitalityq!Q1386="")</f>
        <v>0</v>
      </c>
      <c r="R1386">
        <f>B1386*(hospitalityq!R1386="")</f>
        <v>0</v>
      </c>
    </row>
    <row r="1387" spans="1:18" x14ac:dyDescent="0.25">
      <c r="A1387">
        <f t="shared" si="22"/>
        <v>0</v>
      </c>
      <c r="B1387" t="b">
        <f>SUMPRODUCT(LEN(hospitalityq!C1387:R1387))&gt;0</f>
        <v>0</v>
      </c>
      <c r="C1387">
        <f>B1387*(hospitalityq!C1387="")</f>
        <v>0</v>
      </c>
      <c r="E1387">
        <f>B1387*(hospitalityq!E1387="")</f>
        <v>0</v>
      </c>
      <c r="F1387">
        <f>B1387*(hospitalityq!F1387="")</f>
        <v>0</v>
      </c>
      <c r="G1387">
        <f>B1387*(hospitalityq!G1387="")</f>
        <v>0</v>
      </c>
      <c r="H1387">
        <f>B1387*(hospitalityq!H1387="")</f>
        <v>0</v>
      </c>
      <c r="I1387">
        <f>B1387*(hospitalityq!I1387="")</f>
        <v>0</v>
      </c>
      <c r="J1387">
        <f>B1387*(hospitalityq!J1387="")</f>
        <v>0</v>
      </c>
      <c r="K1387">
        <f>B1387*(hospitalityq!K1387="")</f>
        <v>0</v>
      </c>
      <c r="L1387">
        <f>B1387*(hospitalityq!L1387="")</f>
        <v>0</v>
      </c>
      <c r="M1387">
        <f>B1387*(hospitalityq!M1387="")</f>
        <v>0</v>
      </c>
      <c r="N1387">
        <f>B1387*(hospitalityq!N1387="")</f>
        <v>0</v>
      </c>
      <c r="O1387">
        <f>B1387*(hospitalityq!O1387="")</f>
        <v>0</v>
      </c>
      <c r="P1387">
        <f>B1387*(hospitalityq!P1387="")</f>
        <v>0</v>
      </c>
      <c r="Q1387">
        <f>B1387*(hospitalityq!Q1387="")</f>
        <v>0</v>
      </c>
      <c r="R1387">
        <f>B1387*(hospitalityq!R1387="")</f>
        <v>0</v>
      </c>
    </row>
    <row r="1388" spans="1:18" x14ac:dyDescent="0.25">
      <c r="A1388">
        <f t="shared" si="22"/>
        <v>0</v>
      </c>
      <c r="B1388" t="b">
        <f>SUMPRODUCT(LEN(hospitalityq!C1388:R1388))&gt;0</f>
        <v>0</v>
      </c>
      <c r="C1388">
        <f>B1388*(hospitalityq!C1388="")</f>
        <v>0</v>
      </c>
      <c r="E1388">
        <f>B1388*(hospitalityq!E1388="")</f>
        <v>0</v>
      </c>
      <c r="F1388">
        <f>B1388*(hospitalityq!F1388="")</f>
        <v>0</v>
      </c>
      <c r="G1388">
        <f>B1388*(hospitalityq!G1388="")</f>
        <v>0</v>
      </c>
      <c r="H1388">
        <f>B1388*(hospitalityq!H1388="")</f>
        <v>0</v>
      </c>
      <c r="I1388">
        <f>B1388*(hospitalityq!I1388="")</f>
        <v>0</v>
      </c>
      <c r="J1388">
        <f>B1388*(hospitalityq!J1388="")</f>
        <v>0</v>
      </c>
      <c r="K1388">
        <f>B1388*(hospitalityq!K1388="")</f>
        <v>0</v>
      </c>
      <c r="L1388">
        <f>B1388*(hospitalityq!L1388="")</f>
        <v>0</v>
      </c>
      <c r="M1388">
        <f>B1388*(hospitalityq!M1388="")</f>
        <v>0</v>
      </c>
      <c r="N1388">
        <f>B1388*(hospitalityq!N1388="")</f>
        <v>0</v>
      </c>
      <c r="O1388">
        <f>B1388*(hospitalityq!O1388="")</f>
        <v>0</v>
      </c>
      <c r="P1388">
        <f>B1388*(hospitalityq!P1388="")</f>
        <v>0</v>
      </c>
      <c r="Q1388">
        <f>B1388*(hospitalityq!Q1388="")</f>
        <v>0</v>
      </c>
      <c r="R1388">
        <f>B1388*(hospitalityq!R1388="")</f>
        <v>0</v>
      </c>
    </row>
    <row r="1389" spans="1:18" x14ac:dyDescent="0.25">
      <c r="A1389">
        <f t="shared" si="22"/>
        <v>0</v>
      </c>
      <c r="B1389" t="b">
        <f>SUMPRODUCT(LEN(hospitalityq!C1389:R1389))&gt;0</f>
        <v>0</v>
      </c>
      <c r="C1389">
        <f>B1389*(hospitalityq!C1389="")</f>
        <v>0</v>
      </c>
      <c r="E1389">
        <f>B1389*(hospitalityq!E1389="")</f>
        <v>0</v>
      </c>
      <c r="F1389">
        <f>B1389*(hospitalityq!F1389="")</f>
        <v>0</v>
      </c>
      <c r="G1389">
        <f>B1389*(hospitalityq!G1389="")</f>
        <v>0</v>
      </c>
      <c r="H1389">
        <f>B1389*(hospitalityq!H1389="")</f>
        <v>0</v>
      </c>
      <c r="I1389">
        <f>B1389*(hospitalityq!I1389="")</f>
        <v>0</v>
      </c>
      <c r="J1389">
        <f>B1389*(hospitalityq!J1389="")</f>
        <v>0</v>
      </c>
      <c r="K1389">
        <f>B1389*(hospitalityq!K1389="")</f>
        <v>0</v>
      </c>
      <c r="L1389">
        <f>B1389*(hospitalityq!L1389="")</f>
        <v>0</v>
      </c>
      <c r="M1389">
        <f>B1389*(hospitalityq!M1389="")</f>
        <v>0</v>
      </c>
      <c r="N1389">
        <f>B1389*(hospitalityq!N1389="")</f>
        <v>0</v>
      </c>
      <c r="O1389">
        <f>B1389*(hospitalityq!O1389="")</f>
        <v>0</v>
      </c>
      <c r="P1389">
        <f>B1389*(hospitalityq!P1389="")</f>
        <v>0</v>
      </c>
      <c r="Q1389">
        <f>B1389*(hospitalityq!Q1389="")</f>
        <v>0</v>
      </c>
      <c r="R1389">
        <f>B1389*(hospitalityq!R1389="")</f>
        <v>0</v>
      </c>
    </row>
    <row r="1390" spans="1:18" x14ac:dyDescent="0.25">
      <c r="A1390">
        <f t="shared" si="22"/>
        <v>0</v>
      </c>
      <c r="B1390" t="b">
        <f>SUMPRODUCT(LEN(hospitalityq!C1390:R1390))&gt;0</f>
        <v>0</v>
      </c>
      <c r="C1390">
        <f>B1390*(hospitalityq!C1390="")</f>
        <v>0</v>
      </c>
      <c r="E1390">
        <f>B1390*(hospitalityq!E1390="")</f>
        <v>0</v>
      </c>
      <c r="F1390">
        <f>B1390*(hospitalityq!F1390="")</f>
        <v>0</v>
      </c>
      <c r="G1390">
        <f>B1390*(hospitalityq!G1390="")</f>
        <v>0</v>
      </c>
      <c r="H1390">
        <f>B1390*(hospitalityq!H1390="")</f>
        <v>0</v>
      </c>
      <c r="I1390">
        <f>B1390*(hospitalityq!I1390="")</f>
        <v>0</v>
      </c>
      <c r="J1390">
        <f>B1390*(hospitalityq!J1390="")</f>
        <v>0</v>
      </c>
      <c r="K1390">
        <f>B1390*(hospitalityq!K1390="")</f>
        <v>0</v>
      </c>
      <c r="L1390">
        <f>B1390*(hospitalityq!L1390="")</f>
        <v>0</v>
      </c>
      <c r="M1390">
        <f>B1390*(hospitalityq!M1390="")</f>
        <v>0</v>
      </c>
      <c r="N1390">
        <f>B1390*(hospitalityq!N1390="")</f>
        <v>0</v>
      </c>
      <c r="O1390">
        <f>B1390*(hospitalityq!O1390="")</f>
        <v>0</v>
      </c>
      <c r="P1390">
        <f>B1390*(hospitalityq!P1390="")</f>
        <v>0</v>
      </c>
      <c r="Q1390">
        <f>B1390*(hospitalityq!Q1390="")</f>
        <v>0</v>
      </c>
      <c r="R1390">
        <f>B1390*(hospitalityq!R1390="")</f>
        <v>0</v>
      </c>
    </row>
    <row r="1391" spans="1:18" x14ac:dyDescent="0.25">
      <c r="A1391">
        <f t="shared" si="22"/>
        <v>0</v>
      </c>
      <c r="B1391" t="b">
        <f>SUMPRODUCT(LEN(hospitalityq!C1391:R1391))&gt;0</f>
        <v>0</v>
      </c>
      <c r="C1391">
        <f>B1391*(hospitalityq!C1391="")</f>
        <v>0</v>
      </c>
      <c r="E1391">
        <f>B1391*(hospitalityq!E1391="")</f>
        <v>0</v>
      </c>
      <c r="F1391">
        <f>B1391*(hospitalityq!F1391="")</f>
        <v>0</v>
      </c>
      <c r="G1391">
        <f>B1391*(hospitalityq!G1391="")</f>
        <v>0</v>
      </c>
      <c r="H1391">
        <f>B1391*(hospitalityq!H1391="")</f>
        <v>0</v>
      </c>
      <c r="I1391">
        <f>B1391*(hospitalityq!I1391="")</f>
        <v>0</v>
      </c>
      <c r="J1391">
        <f>B1391*(hospitalityq!J1391="")</f>
        <v>0</v>
      </c>
      <c r="K1391">
        <f>B1391*(hospitalityq!K1391="")</f>
        <v>0</v>
      </c>
      <c r="L1391">
        <f>B1391*(hospitalityq!L1391="")</f>
        <v>0</v>
      </c>
      <c r="M1391">
        <f>B1391*(hospitalityq!M1391="")</f>
        <v>0</v>
      </c>
      <c r="N1391">
        <f>B1391*(hospitalityq!N1391="")</f>
        <v>0</v>
      </c>
      <c r="O1391">
        <f>B1391*(hospitalityq!O1391="")</f>
        <v>0</v>
      </c>
      <c r="P1391">
        <f>B1391*(hospitalityq!P1391="")</f>
        <v>0</v>
      </c>
      <c r="Q1391">
        <f>B1391*(hospitalityq!Q1391="")</f>
        <v>0</v>
      </c>
      <c r="R1391">
        <f>B1391*(hospitalityq!R1391="")</f>
        <v>0</v>
      </c>
    </row>
    <row r="1392" spans="1:18" x14ac:dyDescent="0.25">
      <c r="A1392">
        <f t="shared" si="22"/>
        <v>0</v>
      </c>
      <c r="B1392" t="b">
        <f>SUMPRODUCT(LEN(hospitalityq!C1392:R1392))&gt;0</f>
        <v>0</v>
      </c>
      <c r="C1392">
        <f>B1392*(hospitalityq!C1392="")</f>
        <v>0</v>
      </c>
      <c r="E1392">
        <f>B1392*(hospitalityq!E1392="")</f>
        <v>0</v>
      </c>
      <c r="F1392">
        <f>B1392*(hospitalityq!F1392="")</f>
        <v>0</v>
      </c>
      <c r="G1392">
        <f>B1392*(hospitalityq!G1392="")</f>
        <v>0</v>
      </c>
      <c r="H1392">
        <f>B1392*(hospitalityq!H1392="")</f>
        <v>0</v>
      </c>
      <c r="I1392">
        <f>B1392*(hospitalityq!I1392="")</f>
        <v>0</v>
      </c>
      <c r="J1392">
        <f>B1392*(hospitalityq!J1392="")</f>
        <v>0</v>
      </c>
      <c r="K1392">
        <f>B1392*(hospitalityq!K1392="")</f>
        <v>0</v>
      </c>
      <c r="L1392">
        <f>B1392*(hospitalityq!L1392="")</f>
        <v>0</v>
      </c>
      <c r="M1392">
        <f>B1392*(hospitalityq!M1392="")</f>
        <v>0</v>
      </c>
      <c r="N1392">
        <f>B1392*(hospitalityq!N1392="")</f>
        <v>0</v>
      </c>
      <c r="O1392">
        <f>B1392*(hospitalityq!O1392="")</f>
        <v>0</v>
      </c>
      <c r="P1392">
        <f>B1392*(hospitalityq!P1392="")</f>
        <v>0</v>
      </c>
      <c r="Q1392">
        <f>B1392*(hospitalityq!Q1392="")</f>
        <v>0</v>
      </c>
      <c r="R1392">
        <f>B1392*(hospitalityq!R1392="")</f>
        <v>0</v>
      </c>
    </row>
    <row r="1393" spans="1:18" x14ac:dyDescent="0.25">
      <c r="A1393">
        <f t="shared" si="22"/>
        <v>0</v>
      </c>
      <c r="B1393" t="b">
        <f>SUMPRODUCT(LEN(hospitalityq!C1393:R1393))&gt;0</f>
        <v>0</v>
      </c>
      <c r="C1393">
        <f>B1393*(hospitalityq!C1393="")</f>
        <v>0</v>
      </c>
      <c r="E1393">
        <f>B1393*(hospitalityq!E1393="")</f>
        <v>0</v>
      </c>
      <c r="F1393">
        <f>B1393*(hospitalityq!F1393="")</f>
        <v>0</v>
      </c>
      <c r="G1393">
        <f>B1393*(hospitalityq!G1393="")</f>
        <v>0</v>
      </c>
      <c r="H1393">
        <f>B1393*(hospitalityq!H1393="")</f>
        <v>0</v>
      </c>
      <c r="I1393">
        <f>B1393*(hospitalityq!I1393="")</f>
        <v>0</v>
      </c>
      <c r="J1393">
        <f>B1393*(hospitalityq!J1393="")</f>
        <v>0</v>
      </c>
      <c r="K1393">
        <f>B1393*(hospitalityq!K1393="")</f>
        <v>0</v>
      </c>
      <c r="L1393">
        <f>B1393*(hospitalityq!L1393="")</f>
        <v>0</v>
      </c>
      <c r="M1393">
        <f>B1393*(hospitalityq!M1393="")</f>
        <v>0</v>
      </c>
      <c r="N1393">
        <f>B1393*(hospitalityq!N1393="")</f>
        <v>0</v>
      </c>
      <c r="O1393">
        <f>B1393*(hospitalityq!O1393="")</f>
        <v>0</v>
      </c>
      <c r="P1393">
        <f>B1393*(hospitalityq!P1393="")</f>
        <v>0</v>
      </c>
      <c r="Q1393">
        <f>B1393*(hospitalityq!Q1393="")</f>
        <v>0</v>
      </c>
      <c r="R1393">
        <f>B1393*(hospitalityq!R1393="")</f>
        <v>0</v>
      </c>
    </row>
    <row r="1394" spans="1:18" x14ac:dyDescent="0.25">
      <c r="A1394">
        <f t="shared" si="22"/>
        <v>0</v>
      </c>
      <c r="B1394" t="b">
        <f>SUMPRODUCT(LEN(hospitalityq!C1394:R1394))&gt;0</f>
        <v>0</v>
      </c>
      <c r="C1394">
        <f>B1394*(hospitalityq!C1394="")</f>
        <v>0</v>
      </c>
      <c r="E1394">
        <f>B1394*(hospitalityq!E1394="")</f>
        <v>0</v>
      </c>
      <c r="F1394">
        <f>B1394*(hospitalityq!F1394="")</f>
        <v>0</v>
      </c>
      <c r="G1394">
        <f>B1394*(hospitalityq!G1394="")</f>
        <v>0</v>
      </c>
      <c r="H1394">
        <f>B1394*(hospitalityq!H1394="")</f>
        <v>0</v>
      </c>
      <c r="I1394">
        <f>B1394*(hospitalityq!I1394="")</f>
        <v>0</v>
      </c>
      <c r="J1394">
        <f>B1394*(hospitalityq!J1394="")</f>
        <v>0</v>
      </c>
      <c r="K1394">
        <f>B1394*(hospitalityq!K1394="")</f>
        <v>0</v>
      </c>
      <c r="L1394">
        <f>B1394*(hospitalityq!L1394="")</f>
        <v>0</v>
      </c>
      <c r="M1394">
        <f>B1394*(hospitalityq!M1394="")</f>
        <v>0</v>
      </c>
      <c r="N1394">
        <f>B1394*(hospitalityq!N1394="")</f>
        <v>0</v>
      </c>
      <c r="O1394">
        <f>B1394*(hospitalityq!O1394="")</f>
        <v>0</v>
      </c>
      <c r="P1394">
        <f>B1394*(hospitalityq!P1394="")</f>
        <v>0</v>
      </c>
      <c r="Q1394">
        <f>B1394*(hospitalityq!Q1394="")</f>
        <v>0</v>
      </c>
      <c r="R1394">
        <f>B1394*(hospitalityq!R1394="")</f>
        <v>0</v>
      </c>
    </row>
    <row r="1395" spans="1:18" x14ac:dyDescent="0.25">
      <c r="A1395">
        <f t="shared" si="22"/>
        <v>0</v>
      </c>
      <c r="B1395" t="b">
        <f>SUMPRODUCT(LEN(hospitalityq!C1395:R1395))&gt;0</f>
        <v>0</v>
      </c>
      <c r="C1395">
        <f>B1395*(hospitalityq!C1395="")</f>
        <v>0</v>
      </c>
      <c r="E1395">
        <f>B1395*(hospitalityq!E1395="")</f>
        <v>0</v>
      </c>
      <c r="F1395">
        <f>B1395*(hospitalityq!F1395="")</f>
        <v>0</v>
      </c>
      <c r="G1395">
        <f>B1395*(hospitalityq!G1395="")</f>
        <v>0</v>
      </c>
      <c r="H1395">
        <f>B1395*(hospitalityq!H1395="")</f>
        <v>0</v>
      </c>
      <c r="I1395">
        <f>B1395*(hospitalityq!I1395="")</f>
        <v>0</v>
      </c>
      <c r="J1395">
        <f>B1395*(hospitalityq!J1395="")</f>
        <v>0</v>
      </c>
      <c r="K1395">
        <f>B1395*(hospitalityq!K1395="")</f>
        <v>0</v>
      </c>
      <c r="L1395">
        <f>B1395*(hospitalityq!L1395="")</f>
        <v>0</v>
      </c>
      <c r="M1395">
        <f>B1395*(hospitalityq!M1395="")</f>
        <v>0</v>
      </c>
      <c r="N1395">
        <f>B1395*(hospitalityq!N1395="")</f>
        <v>0</v>
      </c>
      <c r="O1395">
        <f>B1395*(hospitalityq!O1395="")</f>
        <v>0</v>
      </c>
      <c r="P1395">
        <f>B1395*(hospitalityq!P1395="")</f>
        <v>0</v>
      </c>
      <c r="Q1395">
        <f>B1395*(hospitalityq!Q1395="")</f>
        <v>0</v>
      </c>
      <c r="R1395">
        <f>B1395*(hospitalityq!R1395="")</f>
        <v>0</v>
      </c>
    </row>
    <row r="1396" spans="1:18" x14ac:dyDescent="0.25">
      <c r="A1396">
        <f t="shared" si="22"/>
        <v>0</v>
      </c>
      <c r="B1396" t="b">
        <f>SUMPRODUCT(LEN(hospitalityq!C1396:R1396))&gt;0</f>
        <v>0</v>
      </c>
      <c r="C1396">
        <f>B1396*(hospitalityq!C1396="")</f>
        <v>0</v>
      </c>
      <c r="E1396">
        <f>B1396*(hospitalityq!E1396="")</f>
        <v>0</v>
      </c>
      <c r="F1396">
        <f>B1396*(hospitalityq!F1396="")</f>
        <v>0</v>
      </c>
      <c r="G1396">
        <f>B1396*(hospitalityq!G1396="")</f>
        <v>0</v>
      </c>
      <c r="H1396">
        <f>B1396*(hospitalityq!H1396="")</f>
        <v>0</v>
      </c>
      <c r="I1396">
        <f>B1396*(hospitalityq!I1396="")</f>
        <v>0</v>
      </c>
      <c r="J1396">
        <f>B1396*(hospitalityq!J1396="")</f>
        <v>0</v>
      </c>
      <c r="K1396">
        <f>B1396*(hospitalityq!K1396="")</f>
        <v>0</v>
      </c>
      <c r="L1396">
        <f>B1396*(hospitalityq!L1396="")</f>
        <v>0</v>
      </c>
      <c r="M1396">
        <f>B1396*(hospitalityq!M1396="")</f>
        <v>0</v>
      </c>
      <c r="N1396">
        <f>B1396*(hospitalityq!N1396="")</f>
        <v>0</v>
      </c>
      <c r="O1396">
        <f>B1396*(hospitalityq!O1396="")</f>
        <v>0</v>
      </c>
      <c r="P1396">
        <f>B1396*(hospitalityq!P1396="")</f>
        <v>0</v>
      </c>
      <c r="Q1396">
        <f>B1396*(hospitalityq!Q1396="")</f>
        <v>0</v>
      </c>
      <c r="R1396">
        <f>B1396*(hospitalityq!R1396="")</f>
        <v>0</v>
      </c>
    </row>
    <row r="1397" spans="1:18" x14ac:dyDescent="0.25">
      <c r="A1397">
        <f t="shared" si="22"/>
        <v>0</v>
      </c>
      <c r="B1397" t="b">
        <f>SUMPRODUCT(LEN(hospitalityq!C1397:R1397))&gt;0</f>
        <v>0</v>
      </c>
      <c r="C1397">
        <f>B1397*(hospitalityq!C1397="")</f>
        <v>0</v>
      </c>
      <c r="E1397">
        <f>B1397*(hospitalityq!E1397="")</f>
        <v>0</v>
      </c>
      <c r="F1397">
        <f>B1397*(hospitalityq!F1397="")</f>
        <v>0</v>
      </c>
      <c r="G1397">
        <f>B1397*(hospitalityq!G1397="")</f>
        <v>0</v>
      </c>
      <c r="H1397">
        <f>B1397*(hospitalityq!H1397="")</f>
        <v>0</v>
      </c>
      <c r="I1397">
        <f>B1397*(hospitalityq!I1397="")</f>
        <v>0</v>
      </c>
      <c r="J1397">
        <f>B1397*(hospitalityq!J1397="")</f>
        <v>0</v>
      </c>
      <c r="K1397">
        <f>B1397*(hospitalityq!K1397="")</f>
        <v>0</v>
      </c>
      <c r="L1397">
        <f>B1397*(hospitalityq!L1397="")</f>
        <v>0</v>
      </c>
      <c r="M1397">
        <f>B1397*(hospitalityq!M1397="")</f>
        <v>0</v>
      </c>
      <c r="N1397">
        <f>B1397*(hospitalityq!N1397="")</f>
        <v>0</v>
      </c>
      <c r="O1397">
        <f>B1397*(hospitalityq!O1397="")</f>
        <v>0</v>
      </c>
      <c r="P1397">
        <f>B1397*(hospitalityq!P1397="")</f>
        <v>0</v>
      </c>
      <c r="Q1397">
        <f>B1397*(hospitalityq!Q1397="")</f>
        <v>0</v>
      </c>
      <c r="R1397">
        <f>B1397*(hospitalityq!R1397="")</f>
        <v>0</v>
      </c>
    </row>
    <row r="1398" spans="1:18" x14ac:dyDescent="0.25">
      <c r="A1398">
        <f t="shared" si="22"/>
        <v>0</v>
      </c>
      <c r="B1398" t="b">
        <f>SUMPRODUCT(LEN(hospitalityq!C1398:R1398))&gt;0</f>
        <v>0</v>
      </c>
      <c r="C1398">
        <f>B1398*(hospitalityq!C1398="")</f>
        <v>0</v>
      </c>
      <c r="E1398">
        <f>B1398*(hospitalityq!E1398="")</f>
        <v>0</v>
      </c>
      <c r="F1398">
        <f>B1398*(hospitalityq!F1398="")</f>
        <v>0</v>
      </c>
      <c r="G1398">
        <f>B1398*(hospitalityq!G1398="")</f>
        <v>0</v>
      </c>
      <c r="H1398">
        <f>B1398*(hospitalityq!H1398="")</f>
        <v>0</v>
      </c>
      <c r="I1398">
        <f>B1398*(hospitalityq!I1398="")</f>
        <v>0</v>
      </c>
      <c r="J1398">
        <f>B1398*(hospitalityq!J1398="")</f>
        <v>0</v>
      </c>
      <c r="K1398">
        <f>B1398*(hospitalityq!K1398="")</f>
        <v>0</v>
      </c>
      <c r="L1398">
        <f>B1398*(hospitalityq!L1398="")</f>
        <v>0</v>
      </c>
      <c r="M1398">
        <f>B1398*(hospitalityq!M1398="")</f>
        <v>0</v>
      </c>
      <c r="N1398">
        <f>B1398*(hospitalityq!N1398="")</f>
        <v>0</v>
      </c>
      <c r="O1398">
        <f>B1398*(hospitalityq!O1398="")</f>
        <v>0</v>
      </c>
      <c r="P1398">
        <f>B1398*(hospitalityq!P1398="")</f>
        <v>0</v>
      </c>
      <c r="Q1398">
        <f>B1398*(hospitalityq!Q1398="")</f>
        <v>0</v>
      </c>
      <c r="R1398">
        <f>B1398*(hospitalityq!R1398="")</f>
        <v>0</v>
      </c>
    </row>
    <row r="1399" spans="1:18" x14ac:dyDescent="0.25">
      <c r="A1399">
        <f t="shared" si="22"/>
        <v>0</v>
      </c>
      <c r="B1399" t="b">
        <f>SUMPRODUCT(LEN(hospitalityq!C1399:R1399))&gt;0</f>
        <v>0</v>
      </c>
      <c r="C1399">
        <f>B1399*(hospitalityq!C1399="")</f>
        <v>0</v>
      </c>
      <c r="E1399">
        <f>B1399*(hospitalityq!E1399="")</f>
        <v>0</v>
      </c>
      <c r="F1399">
        <f>B1399*(hospitalityq!F1399="")</f>
        <v>0</v>
      </c>
      <c r="G1399">
        <f>B1399*(hospitalityq!G1399="")</f>
        <v>0</v>
      </c>
      <c r="H1399">
        <f>B1399*(hospitalityq!H1399="")</f>
        <v>0</v>
      </c>
      <c r="I1399">
        <f>B1399*(hospitalityq!I1399="")</f>
        <v>0</v>
      </c>
      <c r="J1399">
        <f>B1399*(hospitalityq!J1399="")</f>
        <v>0</v>
      </c>
      <c r="K1399">
        <f>B1399*(hospitalityq!K1399="")</f>
        <v>0</v>
      </c>
      <c r="L1399">
        <f>B1399*(hospitalityq!L1399="")</f>
        <v>0</v>
      </c>
      <c r="M1399">
        <f>B1399*(hospitalityq!M1399="")</f>
        <v>0</v>
      </c>
      <c r="N1399">
        <f>B1399*(hospitalityq!N1399="")</f>
        <v>0</v>
      </c>
      <c r="O1399">
        <f>B1399*(hospitalityq!O1399="")</f>
        <v>0</v>
      </c>
      <c r="P1399">
        <f>B1399*(hospitalityq!P1399="")</f>
        <v>0</v>
      </c>
      <c r="Q1399">
        <f>B1399*(hospitalityq!Q1399="")</f>
        <v>0</v>
      </c>
      <c r="R1399">
        <f>B1399*(hospitalityq!R1399="")</f>
        <v>0</v>
      </c>
    </row>
    <row r="1400" spans="1:18" x14ac:dyDescent="0.25">
      <c r="A1400">
        <f t="shared" si="22"/>
        <v>0</v>
      </c>
      <c r="B1400" t="b">
        <f>SUMPRODUCT(LEN(hospitalityq!C1400:R1400))&gt;0</f>
        <v>0</v>
      </c>
      <c r="C1400">
        <f>B1400*(hospitalityq!C1400="")</f>
        <v>0</v>
      </c>
      <c r="E1400">
        <f>B1400*(hospitalityq!E1400="")</f>
        <v>0</v>
      </c>
      <c r="F1400">
        <f>B1400*(hospitalityq!F1400="")</f>
        <v>0</v>
      </c>
      <c r="G1400">
        <f>B1400*(hospitalityq!G1400="")</f>
        <v>0</v>
      </c>
      <c r="H1400">
        <f>B1400*(hospitalityq!H1400="")</f>
        <v>0</v>
      </c>
      <c r="I1400">
        <f>B1400*(hospitalityq!I1400="")</f>
        <v>0</v>
      </c>
      <c r="J1400">
        <f>B1400*(hospitalityq!J1400="")</f>
        <v>0</v>
      </c>
      <c r="K1400">
        <f>B1400*(hospitalityq!K1400="")</f>
        <v>0</v>
      </c>
      <c r="L1400">
        <f>B1400*(hospitalityq!L1400="")</f>
        <v>0</v>
      </c>
      <c r="M1400">
        <f>B1400*(hospitalityq!M1400="")</f>
        <v>0</v>
      </c>
      <c r="N1400">
        <f>B1400*(hospitalityq!N1400="")</f>
        <v>0</v>
      </c>
      <c r="O1400">
        <f>B1400*(hospitalityq!O1400="")</f>
        <v>0</v>
      </c>
      <c r="P1400">
        <f>B1400*(hospitalityq!P1400="")</f>
        <v>0</v>
      </c>
      <c r="Q1400">
        <f>B1400*(hospitalityq!Q1400="")</f>
        <v>0</v>
      </c>
      <c r="R1400">
        <f>B1400*(hospitalityq!R1400="")</f>
        <v>0</v>
      </c>
    </row>
    <row r="1401" spans="1:18" x14ac:dyDescent="0.25">
      <c r="A1401">
        <f t="shared" si="22"/>
        <v>0</v>
      </c>
      <c r="B1401" t="b">
        <f>SUMPRODUCT(LEN(hospitalityq!C1401:R1401))&gt;0</f>
        <v>0</v>
      </c>
      <c r="C1401">
        <f>B1401*(hospitalityq!C1401="")</f>
        <v>0</v>
      </c>
      <c r="E1401">
        <f>B1401*(hospitalityq!E1401="")</f>
        <v>0</v>
      </c>
      <c r="F1401">
        <f>B1401*(hospitalityq!F1401="")</f>
        <v>0</v>
      </c>
      <c r="G1401">
        <f>B1401*(hospitalityq!G1401="")</f>
        <v>0</v>
      </c>
      <c r="H1401">
        <f>B1401*(hospitalityq!H1401="")</f>
        <v>0</v>
      </c>
      <c r="I1401">
        <f>B1401*(hospitalityq!I1401="")</f>
        <v>0</v>
      </c>
      <c r="J1401">
        <f>B1401*(hospitalityq!J1401="")</f>
        <v>0</v>
      </c>
      <c r="K1401">
        <f>B1401*(hospitalityq!K1401="")</f>
        <v>0</v>
      </c>
      <c r="L1401">
        <f>B1401*(hospitalityq!L1401="")</f>
        <v>0</v>
      </c>
      <c r="M1401">
        <f>B1401*(hospitalityq!M1401="")</f>
        <v>0</v>
      </c>
      <c r="N1401">
        <f>B1401*(hospitalityq!N1401="")</f>
        <v>0</v>
      </c>
      <c r="O1401">
        <f>B1401*(hospitalityq!O1401="")</f>
        <v>0</v>
      </c>
      <c r="P1401">
        <f>B1401*(hospitalityq!P1401="")</f>
        <v>0</v>
      </c>
      <c r="Q1401">
        <f>B1401*(hospitalityq!Q1401="")</f>
        <v>0</v>
      </c>
      <c r="R1401">
        <f>B1401*(hospitalityq!R1401="")</f>
        <v>0</v>
      </c>
    </row>
    <row r="1402" spans="1:18" x14ac:dyDescent="0.25">
      <c r="A1402">
        <f t="shared" si="22"/>
        <v>0</v>
      </c>
      <c r="B1402" t="b">
        <f>SUMPRODUCT(LEN(hospitalityq!C1402:R1402))&gt;0</f>
        <v>0</v>
      </c>
      <c r="C1402">
        <f>B1402*(hospitalityq!C1402="")</f>
        <v>0</v>
      </c>
      <c r="E1402">
        <f>B1402*(hospitalityq!E1402="")</f>
        <v>0</v>
      </c>
      <c r="F1402">
        <f>B1402*(hospitalityq!F1402="")</f>
        <v>0</v>
      </c>
      <c r="G1402">
        <f>B1402*(hospitalityq!G1402="")</f>
        <v>0</v>
      </c>
      <c r="H1402">
        <f>B1402*(hospitalityq!H1402="")</f>
        <v>0</v>
      </c>
      <c r="I1402">
        <f>B1402*(hospitalityq!I1402="")</f>
        <v>0</v>
      </c>
      <c r="J1402">
        <f>B1402*(hospitalityq!J1402="")</f>
        <v>0</v>
      </c>
      <c r="K1402">
        <f>B1402*(hospitalityq!K1402="")</f>
        <v>0</v>
      </c>
      <c r="L1402">
        <f>B1402*(hospitalityq!L1402="")</f>
        <v>0</v>
      </c>
      <c r="M1402">
        <f>B1402*(hospitalityq!M1402="")</f>
        <v>0</v>
      </c>
      <c r="N1402">
        <f>B1402*(hospitalityq!N1402="")</f>
        <v>0</v>
      </c>
      <c r="O1402">
        <f>B1402*(hospitalityq!O1402="")</f>
        <v>0</v>
      </c>
      <c r="P1402">
        <f>B1402*(hospitalityq!P1402="")</f>
        <v>0</v>
      </c>
      <c r="Q1402">
        <f>B1402*(hospitalityq!Q1402="")</f>
        <v>0</v>
      </c>
      <c r="R1402">
        <f>B1402*(hospitalityq!R1402="")</f>
        <v>0</v>
      </c>
    </row>
    <row r="1403" spans="1:18" x14ac:dyDescent="0.25">
      <c r="A1403">
        <f t="shared" si="22"/>
        <v>0</v>
      </c>
      <c r="B1403" t="b">
        <f>SUMPRODUCT(LEN(hospitalityq!C1403:R1403))&gt;0</f>
        <v>0</v>
      </c>
      <c r="C1403">
        <f>B1403*(hospitalityq!C1403="")</f>
        <v>0</v>
      </c>
      <c r="E1403">
        <f>B1403*(hospitalityq!E1403="")</f>
        <v>0</v>
      </c>
      <c r="F1403">
        <f>B1403*(hospitalityq!F1403="")</f>
        <v>0</v>
      </c>
      <c r="G1403">
        <f>B1403*(hospitalityq!G1403="")</f>
        <v>0</v>
      </c>
      <c r="H1403">
        <f>B1403*(hospitalityq!H1403="")</f>
        <v>0</v>
      </c>
      <c r="I1403">
        <f>B1403*(hospitalityq!I1403="")</f>
        <v>0</v>
      </c>
      <c r="J1403">
        <f>B1403*(hospitalityq!J1403="")</f>
        <v>0</v>
      </c>
      <c r="K1403">
        <f>B1403*(hospitalityq!K1403="")</f>
        <v>0</v>
      </c>
      <c r="L1403">
        <f>B1403*(hospitalityq!L1403="")</f>
        <v>0</v>
      </c>
      <c r="M1403">
        <f>B1403*(hospitalityq!M1403="")</f>
        <v>0</v>
      </c>
      <c r="N1403">
        <f>B1403*(hospitalityq!N1403="")</f>
        <v>0</v>
      </c>
      <c r="O1403">
        <f>B1403*(hospitalityq!O1403="")</f>
        <v>0</v>
      </c>
      <c r="P1403">
        <f>B1403*(hospitalityq!P1403="")</f>
        <v>0</v>
      </c>
      <c r="Q1403">
        <f>B1403*(hospitalityq!Q1403="")</f>
        <v>0</v>
      </c>
      <c r="R1403">
        <f>B1403*(hospitalityq!R1403="")</f>
        <v>0</v>
      </c>
    </row>
    <row r="1404" spans="1:18" x14ac:dyDescent="0.25">
      <c r="A1404">
        <f t="shared" si="22"/>
        <v>0</v>
      </c>
      <c r="B1404" t="b">
        <f>SUMPRODUCT(LEN(hospitalityq!C1404:R1404))&gt;0</f>
        <v>0</v>
      </c>
      <c r="C1404">
        <f>B1404*(hospitalityq!C1404="")</f>
        <v>0</v>
      </c>
      <c r="E1404">
        <f>B1404*(hospitalityq!E1404="")</f>
        <v>0</v>
      </c>
      <c r="F1404">
        <f>B1404*(hospitalityq!F1404="")</f>
        <v>0</v>
      </c>
      <c r="G1404">
        <f>B1404*(hospitalityq!G1404="")</f>
        <v>0</v>
      </c>
      <c r="H1404">
        <f>B1404*(hospitalityq!H1404="")</f>
        <v>0</v>
      </c>
      <c r="I1404">
        <f>B1404*(hospitalityq!I1404="")</f>
        <v>0</v>
      </c>
      <c r="J1404">
        <f>B1404*(hospitalityq!J1404="")</f>
        <v>0</v>
      </c>
      <c r="K1404">
        <f>B1404*(hospitalityq!K1404="")</f>
        <v>0</v>
      </c>
      <c r="L1404">
        <f>B1404*(hospitalityq!L1404="")</f>
        <v>0</v>
      </c>
      <c r="M1404">
        <f>B1404*(hospitalityq!M1404="")</f>
        <v>0</v>
      </c>
      <c r="N1404">
        <f>B1404*(hospitalityq!N1404="")</f>
        <v>0</v>
      </c>
      <c r="O1404">
        <f>B1404*(hospitalityq!O1404="")</f>
        <v>0</v>
      </c>
      <c r="P1404">
        <f>B1404*(hospitalityq!P1404="")</f>
        <v>0</v>
      </c>
      <c r="Q1404">
        <f>B1404*(hospitalityq!Q1404="")</f>
        <v>0</v>
      </c>
      <c r="R1404">
        <f>B1404*(hospitalityq!R1404="")</f>
        <v>0</v>
      </c>
    </row>
    <row r="1405" spans="1:18" x14ac:dyDescent="0.25">
      <c r="A1405">
        <f t="shared" si="22"/>
        <v>0</v>
      </c>
      <c r="B1405" t="b">
        <f>SUMPRODUCT(LEN(hospitalityq!C1405:R1405))&gt;0</f>
        <v>0</v>
      </c>
      <c r="C1405">
        <f>B1405*(hospitalityq!C1405="")</f>
        <v>0</v>
      </c>
      <c r="E1405">
        <f>B1405*(hospitalityq!E1405="")</f>
        <v>0</v>
      </c>
      <c r="F1405">
        <f>B1405*(hospitalityq!F1405="")</f>
        <v>0</v>
      </c>
      <c r="G1405">
        <f>B1405*(hospitalityq!G1405="")</f>
        <v>0</v>
      </c>
      <c r="H1405">
        <f>B1405*(hospitalityq!H1405="")</f>
        <v>0</v>
      </c>
      <c r="I1405">
        <f>B1405*(hospitalityq!I1405="")</f>
        <v>0</v>
      </c>
      <c r="J1405">
        <f>B1405*(hospitalityq!J1405="")</f>
        <v>0</v>
      </c>
      <c r="K1405">
        <f>B1405*(hospitalityq!K1405="")</f>
        <v>0</v>
      </c>
      <c r="L1405">
        <f>B1405*(hospitalityq!L1405="")</f>
        <v>0</v>
      </c>
      <c r="M1405">
        <f>B1405*(hospitalityq!M1405="")</f>
        <v>0</v>
      </c>
      <c r="N1405">
        <f>B1405*(hospitalityq!N1405="")</f>
        <v>0</v>
      </c>
      <c r="O1405">
        <f>B1405*(hospitalityq!O1405="")</f>
        <v>0</v>
      </c>
      <c r="P1405">
        <f>B1405*(hospitalityq!P1405="")</f>
        <v>0</v>
      </c>
      <c r="Q1405">
        <f>B1405*(hospitalityq!Q1405="")</f>
        <v>0</v>
      </c>
      <c r="R1405">
        <f>B1405*(hospitalityq!R1405="")</f>
        <v>0</v>
      </c>
    </row>
    <row r="1406" spans="1:18" x14ac:dyDescent="0.25">
      <c r="A1406">
        <f t="shared" si="22"/>
        <v>0</v>
      </c>
      <c r="B1406" t="b">
        <f>SUMPRODUCT(LEN(hospitalityq!C1406:R1406))&gt;0</f>
        <v>0</v>
      </c>
      <c r="C1406">
        <f>B1406*(hospitalityq!C1406="")</f>
        <v>0</v>
      </c>
      <c r="E1406">
        <f>B1406*(hospitalityq!E1406="")</f>
        <v>0</v>
      </c>
      <c r="F1406">
        <f>B1406*(hospitalityq!F1406="")</f>
        <v>0</v>
      </c>
      <c r="G1406">
        <f>B1406*(hospitalityq!G1406="")</f>
        <v>0</v>
      </c>
      <c r="H1406">
        <f>B1406*(hospitalityq!H1406="")</f>
        <v>0</v>
      </c>
      <c r="I1406">
        <f>B1406*(hospitalityq!I1406="")</f>
        <v>0</v>
      </c>
      <c r="J1406">
        <f>B1406*(hospitalityq!J1406="")</f>
        <v>0</v>
      </c>
      <c r="K1406">
        <f>B1406*(hospitalityq!K1406="")</f>
        <v>0</v>
      </c>
      <c r="L1406">
        <f>B1406*(hospitalityq!L1406="")</f>
        <v>0</v>
      </c>
      <c r="M1406">
        <f>B1406*(hospitalityq!M1406="")</f>
        <v>0</v>
      </c>
      <c r="N1406">
        <f>B1406*(hospitalityq!N1406="")</f>
        <v>0</v>
      </c>
      <c r="O1406">
        <f>B1406*(hospitalityq!O1406="")</f>
        <v>0</v>
      </c>
      <c r="P1406">
        <f>B1406*(hospitalityq!P1406="")</f>
        <v>0</v>
      </c>
      <c r="Q1406">
        <f>B1406*(hospitalityq!Q1406="")</f>
        <v>0</v>
      </c>
      <c r="R1406">
        <f>B1406*(hospitalityq!R1406="")</f>
        <v>0</v>
      </c>
    </row>
    <row r="1407" spans="1:18" x14ac:dyDescent="0.25">
      <c r="A1407">
        <f t="shared" si="22"/>
        <v>0</v>
      </c>
      <c r="B1407" t="b">
        <f>SUMPRODUCT(LEN(hospitalityq!C1407:R1407))&gt;0</f>
        <v>0</v>
      </c>
      <c r="C1407">
        <f>B1407*(hospitalityq!C1407="")</f>
        <v>0</v>
      </c>
      <c r="E1407">
        <f>B1407*(hospitalityq!E1407="")</f>
        <v>0</v>
      </c>
      <c r="F1407">
        <f>B1407*(hospitalityq!F1407="")</f>
        <v>0</v>
      </c>
      <c r="G1407">
        <f>B1407*(hospitalityq!G1407="")</f>
        <v>0</v>
      </c>
      <c r="H1407">
        <f>B1407*(hospitalityq!H1407="")</f>
        <v>0</v>
      </c>
      <c r="I1407">
        <f>B1407*(hospitalityq!I1407="")</f>
        <v>0</v>
      </c>
      <c r="J1407">
        <f>B1407*(hospitalityq!J1407="")</f>
        <v>0</v>
      </c>
      <c r="K1407">
        <f>B1407*(hospitalityq!K1407="")</f>
        <v>0</v>
      </c>
      <c r="L1407">
        <f>B1407*(hospitalityq!L1407="")</f>
        <v>0</v>
      </c>
      <c r="M1407">
        <f>B1407*(hospitalityq!M1407="")</f>
        <v>0</v>
      </c>
      <c r="N1407">
        <f>B1407*(hospitalityq!N1407="")</f>
        <v>0</v>
      </c>
      <c r="O1407">
        <f>B1407*(hospitalityq!O1407="")</f>
        <v>0</v>
      </c>
      <c r="P1407">
        <f>B1407*(hospitalityq!P1407="")</f>
        <v>0</v>
      </c>
      <c r="Q1407">
        <f>B1407*(hospitalityq!Q1407="")</f>
        <v>0</v>
      </c>
      <c r="R1407">
        <f>B1407*(hospitalityq!R1407="")</f>
        <v>0</v>
      </c>
    </row>
    <row r="1408" spans="1:18" x14ac:dyDescent="0.25">
      <c r="A1408">
        <f t="shared" si="22"/>
        <v>0</v>
      </c>
      <c r="B1408" t="b">
        <f>SUMPRODUCT(LEN(hospitalityq!C1408:R1408))&gt;0</f>
        <v>0</v>
      </c>
      <c r="C1408">
        <f>B1408*(hospitalityq!C1408="")</f>
        <v>0</v>
      </c>
      <c r="E1408">
        <f>B1408*(hospitalityq!E1408="")</f>
        <v>0</v>
      </c>
      <c r="F1408">
        <f>B1408*(hospitalityq!F1408="")</f>
        <v>0</v>
      </c>
      <c r="G1408">
        <f>B1408*(hospitalityq!G1408="")</f>
        <v>0</v>
      </c>
      <c r="H1408">
        <f>B1408*(hospitalityq!H1408="")</f>
        <v>0</v>
      </c>
      <c r="I1408">
        <f>B1408*(hospitalityq!I1408="")</f>
        <v>0</v>
      </c>
      <c r="J1408">
        <f>B1408*(hospitalityq!J1408="")</f>
        <v>0</v>
      </c>
      <c r="K1408">
        <f>B1408*(hospitalityq!K1408="")</f>
        <v>0</v>
      </c>
      <c r="L1408">
        <f>B1408*(hospitalityq!L1408="")</f>
        <v>0</v>
      </c>
      <c r="M1408">
        <f>B1408*(hospitalityq!M1408="")</f>
        <v>0</v>
      </c>
      <c r="N1408">
        <f>B1408*(hospitalityq!N1408="")</f>
        <v>0</v>
      </c>
      <c r="O1408">
        <f>B1408*(hospitalityq!O1408="")</f>
        <v>0</v>
      </c>
      <c r="P1408">
        <f>B1408*(hospitalityq!P1408="")</f>
        <v>0</v>
      </c>
      <c r="Q1408">
        <f>B1408*(hospitalityq!Q1408="")</f>
        <v>0</v>
      </c>
      <c r="R1408">
        <f>B1408*(hospitalityq!R1408="")</f>
        <v>0</v>
      </c>
    </row>
    <row r="1409" spans="1:18" x14ac:dyDescent="0.25">
      <c r="A1409">
        <f t="shared" si="22"/>
        <v>0</v>
      </c>
      <c r="B1409" t="b">
        <f>SUMPRODUCT(LEN(hospitalityq!C1409:R1409))&gt;0</f>
        <v>0</v>
      </c>
      <c r="C1409">
        <f>B1409*(hospitalityq!C1409="")</f>
        <v>0</v>
      </c>
      <c r="E1409">
        <f>B1409*(hospitalityq!E1409="")</f>
        <v>0</v>
      </c>
      <c r="F1409">
        <f>B1409*(hospitalityq!F1409="")</f>
        <v>0</v>
      </c>
      <c r="G1409">
        <f>B1409*(hospitalityq!G1409="")</f>
        <v>0</v>
      </c>
      <c r="H1409">
        <f>B1409*(hospitalityq!H1409="")</f>
        <v>0</v>
      </c>
      <c r="I1409">
        <f>B1409*(hospitalityq!I1409="")</f>
        <v>0</v>
      </c>
      <c r="J1409">
        <f>B1409*(hospitalityq!J1409="")</f>
        <v>0</v>
      </c>
      <c r="K1409">
        <f>B1409*(hospitalityq!K1409="")</f>
        <v>0</v>
      </c>
      <c r="L1409">
        <f>B1409*(hospitalityq!L1409="")</f>
        <v>0</v>
      </c>
      <c r="M1409">
        <f>B1409*(hospitalityq!M1409="")</f>
        <v>0</v>
      </c>
      <c r="N1409">
        <f>B1409*(hospitalityq!N1409="")</f>
        <v>0</v>
      </c>
      <c r="O1409">
        <f>B1409*(hospitalityq!O1409="")</f>
        <v>0</v>
      </c>
      <c r="P1409">
        <f>B1409*(hospitalityq!P1409="")</f>
        <v>0</v>
      </c>
      <c r="Q1409">
        <f>B1409*(hospitalityq!Q1409="")</f>
        <v>0</v>
      </c>
      <c r="R1409">
        <f>B1409*(hospitalityq!R1409="")</f>
        <v>0</v>
      </c>
    </row>
    <row r="1410" spans="1:18" x14ac:dyDescent="0.25">
      <c r="A1410">
        <f t="shared" si="22"/>
        <v>0</v>
      </c>
      <c r="B1410" t="b">
        <f>SUMPRODUCT(LEN(hospitalityq!C1410:R1410))&gt;0</f>
        <v>0</v>
      </c>
      <c r="C1410">
        <f>B1410*(hospitalityq!C1410="")</f>
        <v>0</v>
      </c>
      <c r="E1410">
        <f>B1410*(hospitalityq!E1410="")</f>
        <v>0</v>
      </c>
      <c r="F1410">
        <f>B1410*(hospitalityq!F1410="")</f>
        <v>0</v>
      </c>
      <c r="G1410">
        <f>B1410*(hospitalityq!G1410="")</f>
        <v>0</v>
      </c>
      <c r="H1410">
        <f>B1410*(hospitalityq!H1410="")</f>
        <v>0</v>
      </c>
      <c r="I1410">
        <f>B1410*(hospitalityq!I1410="")</f>
        <v>0</v>
      </c>
      <c r="J1410">
        <f>B1410*(hospitalityq!J1410="")</f>
        <v>0</v>
      </c>
      <c r="K1410">
        <f>B1410*(hospitalityq!K1410="")</f>
        <v>0</v>
      </c>
      <c r="L1410">
        <f>B1410*(hospitalityq!L1410="")</f>
        <v>0</v>
      </c>
      <c r="M1410">
        <f>B1410*(hospitalityq!M1410="")</f>
        <v>0</v>
      </c>
      <c r="N1410">
        <f>B1410*(hospitalityq!N1410="")</f>
        <v>0</v>
      </c>
      <c r="O1410">
        <f>B1410*(hospitalityq!O1410="")</f>
        <v>0</v>
      </c>
      <c r="P1410">
        <f>B1410*(hospitalityq!P1410="")</f>
        <v>0</v>
      </c>
      <c r="Q1410">
        <f>B1410*(hospitalityq!Q1410="")</f>
        <v>0</v>
      </c>
      <c r="R1410">
        <f>B1410*(hospitalityq!R1410="")</f>
        <v>0</v>
      </c>
    </row>
    <row r="1411" spans="1:18" x14ac:dyDescent="0.25">
      <c r="A1411">
        <f t="shared" si="22"/>
        <v>0</v>
      </c>
      <c r="B1411" t="b">
        <f>SUMPRODUCT(LEN(hospitalityq!C1411:R1411))&gt;0</f>
        <v>0</v>
      </c>
      <c r="C1411">
        <f>B1411*(hospitalityq!C1411="")</f>
        <v>0</v>
      </c>
      <c r="E1411">
        <f>B1411*(hospitalityq!E1411="")</f>
        <v>0</v>
      </c>
      <c r="F1411">
        <f>B1411*(hospitalityq!F1411="")</f>
        <v>0</v>
      </c>
      <c r="G1411">
        <f>B1411*(hospitalityq!G1411="")</f>
        <v>0</v>
      </c>
      <c r="H1411">
        <f>B1411*(hospitalityq!H1411="")</f>
        <v>0</v>
      </c>
      <c r="I1411">
        <f>B1411*(hospitalityq!I1411="")</f>
        <v>0</v>
      </c>
      <c r="J1411">
        <f>B1411*(hospitalityq!J1411="")</f>
        <v>0</v>
      </c>
      <c r="K1411">
        <f>B1411*(hospitalityq!K1411="")</f>
        <v>0</v>
      </c>
      <c r="L1411">
        <f>B1411*(hospitalityq!L1411="")</f>
        <v>0</v>
      </c>
      <c r="M1411">
        <f>B1411*(hospitalityq!M1411="")</f>
        <v>0</v>
      </c>
      <c r="N1411">
        <f>B1411*(hospitalityq!N1411="")</f>
        <v>0</v>
      </c>
      <c r="O1411">
        <f>B1411*(hospitalityq!O1411="")</f>
        <v>0</v>
      </c>
      <c r="P1411">
        <f>B1411*(hospitalityq!P1411="")</f>
        <v>0</v>
      </c>
      <c r="Q1411">
        <f>B1411*(hospitalityq!Q1411="")</f>
        <v>0</v>
      </c>
      <c r="R1411">
        <f>B1411*(hospitalityq!R1411="")</f>
        <v>0</v>
      </c>
    </row>
    <row r="1412" spans="1:18" x14ac:dyDescent="0.25">
      <c r="A1412">
        <f t="shared" si="22"/>
        <v>0</v>
      </c>
      <c r="B1412" t="b">
        <f>SUMPRODUCT(LEN(hospitalityq!C1412:R1412))&gt;0</f>
        <v>0</v>
      </c>
      <c r="C1412">
        <f>B1412*(hospitalityq!C1412="")</f>
        <v>0</v>
      </c>
      <c r="E1412">
        <f>B1412*(hospitalityq!E1412="")</f>
        <v>0</v>
      </c>
      <c r="F1412">
        <f>B1412*(hospitalityq!F1412="")</f>
        <v>0</v>
      </c>
      <c r="G1412">
        <f>B1412*(hospitalityq!G1412="")</f>
        <v>0</v>
      </c>
      <c r="H1412">
        <f>B1412*(hospitalityq!H1412="")</f>
        <v>0</v>
      </c>
      <c r="I1412">
        <f>B1412*(hospitalityq!I1412="")</f>
        <v>0</v>
      </c>
      <c r="J1412">
        <f>B1412*(hospitalityq!J1412="")</f>
        <v>0</v>
      </c>
      <c r="K1412">
        <f>B1412*(hospitalityq!K1412="")</f>
        <v>0</v>
      </c>
      <c r="L1412">
        <f>B1412*(hospitalityq!L1412="")</f>
        <v>0</v>
      </c>
      <c r="M1412">
        <f>B1412*(hospitalityq!M1412="")</f>
        <v>0</v>
      </c>
      <c r="N1412">
        <f>B1412*(hospitalityq!N1412="")</f>
        <v>0</v>
      </c>
      <c r="O1412">
        <f>B1412*(hospitalityq!O1412="")</f>
        <v>0</v>
      </c>
      <c r="P1412">
        <f>B1412*(hospitalityq!P1412="")</f>
        <v>0</v>
      </c>
      <c r="Q1412">
        <f>B1412*(hospitalityq!Q1412="")</f>
        <v>0</v>
      </c>
      <c r="R1412">
        <f>B1412*(hospitalityq!R1412="")</f>
        <v>0</v>
      </c>
    </row>
    <row r="1413" spans="1:18" x14ac:dyDescent="0.25">
      <c r="A1413">
        <f t="shared" si="22"/>
        <v>0</v>
      </c>
      <c r="B1413" t="b">
        <f>SUMPRODUCT(LEN(hospitalityq!C1413:R1413))&gt;0</f>
        <v>0</v>
      </c>
      <c r="C1413">
        <f>B1413*(hospitalityq!C1413="")</f>
        <v>0</v>
      </c>
      <c r="E1413">
        <f>B1413*(hospitalityq!E1413="")</f>
        <v>0</v>
      </c>
      <c r="F1413">
        <f>B1413*(hospitalityq!F1413="")</f>
        <v>0</v>
      </c>
      <c r="G1413">
        <f>B1413*(hospitalityq!G1413="")</f>
        <v>0</v>
      </c>
      <c r="H1413">
        <f>B1413*(hospitalityq!H1413="")</f>
        <v>0</v>
      </c>
      <c r="I1413">
        <f>B1413*(hospitalityq!I1413="")</f>
        <v>0</v>
      </c>
      <c r="J1413">
        <f>B1413*(hospitalityq!J1413="")</f>
        <v>0</v>
      </c>
      <c r="K1413">
        <f>B1413*(hospitalityq!K1413="")</f>
        <v>0</v>
      </c>
      <c r="L1413">
        <f>B1413*(hospitalityq!L1413="")</f>
        <v>0</v>
      </c>
      <c r="M1413">
        <f>B1413*(hospitalityq!M1413="")</f>
        <v>0</v>
      </c>
      <c r="N1413">
        <f>B1413*(hospitalityq!N1413="")</f>
        <v>0</v>
      </c>
      <c r="O1413">
        <f>B1413*(hospitalityq!O1413="")</f>
        <v>0</v>
      </c>
      <c r="P1413">
        <f>B1413*(hospitalityq!P1413="")</f>
        <v>0</v>
      </c>
      <c r="Q1413">
        <f>B1413*(hospitalityq!Q1413="")</f>
        <v>0</v>
      </c>
      <c r="R1413">
        <f>B1413*(hospitalityq!R1413="")</f>
        <v>0</v>
      </c>
    </row>
    <row r="1414" spans="1:18" x14ac:dyDescent="0.25">
      <c r="A1414">
        <f t="shared" ref="A1414:A1477" si="23">IFERROR(MATCH(TRUE,INDEX(C1414:R1414&lt;&gt;0,),)+2,0)</f>
        <v>0</v>
      </c>
      <c r="B1414" t="b">
        <f>SUMPRODUCT(LEN(hospitalityq!C1414:R1414))&gt;0</f>
        <v>0</v>
      </c>
      <c r="C1414">
        <f>B1414*(hospitalityq!C1414="")</f>
        <v>0</v>
      </c>
      <c r="E1414">
        <f>B1414*(hospitalityq!E1414="")</f>
        <v>0</v>
      </c>
      <c r="F1414">
        <f>B1414*(hospitalityq!F1414="")</f>
        <v>0</v>
      </c>
      <c r="G1414">
        <f>B1414*(hospitalityq!G1414="")</f>
        <v>0</v>
      </c>
      <c r="H1414">
        <f>B1414*(hospitalityq!H1414="")</f>
        <v>0</v>
      </c>
      <c r="I1414">
        <f>B1414*(hospitalityq!I1414="")</f>
        <v>0</v>
      </c>
      <c r="J1414">
        <f>B1414*(hospitalityq!J1414="")</f>
        <v>0</v>
      </c>
      <c r="K1414">
        <f>B1414*(hospitalityq!K1414="")</f>
        <v>0</v>
      </c>
      <c r="L1414">
        <f>B1414*(hospitalityq!L1414="")</f>
        <v>0</v>
      </c>
      <c r="M1414">
        <f>B1414*(hospitalityq!M1414="")</f>
        <v>0</v>
      </c>
      <c r="N1414">
        <f>B1414*(hospitalityq!N1414="")</f>
        <v>0</v>
      </c>
      <c r="O1414">
        <f>B1414*(hospitalityq!O1414="")</f>
        <v>0</v>
      </c>
      <c r="P1414">
        <f>B1414*(hospitalityq!P1414="")</f>
        <v>0</v>
      </c>
      <c r="Q1414">
        <f>B1414*(hospitalityq!Q1414="")</f>
        <v>0</v>
      </c>
      <c r="R1414">
        <f>B1414*(hospitalityq!R1414="")</f>
        <v>0</v>
      </c>
    </row>
    <row r="1415" spans="1:18" x14ac:dyDescent="0.25">
      <c r="A1415">
        <f t="shared" si="23"/>
        <v>0</v>
      </c>
      <c r="B1415" t="b">
        <f>SUMPRODUCT(LEN(hospitalityq!C1415:R1415))&gt;0</f>
        <v>0</v>
      </c>
      <c r="C1415">
        <f>B1415*(hospitalityq!C1415="")</f>
        <v>0</v>
      </c>
      <c r="E1415">
        <f>B1415*(hospitalityq!E1415="")</f>
        <v>0</v>
      </c>
      <c r="F1415">
        <f>B1415*(hospitalityq!F1415="")</f>
        <v>0</v>
      </c>
      <c r="G1415">
        <f>B1415*(hospitalityq!G1415="")</f>
        <v>0</v>
      </c>
      <c r="H1415">
        <f>B1415*(hospitalityq!H1415="")</f>
        <v>0</v>
      </c>
      <c r="I1415">
        <f>B1415*(hospitalityq!I1415="")</f>
        <v>0</v>
      </c>
      <c r="J1415">
        <f>B1415*(hospitalityq!J1415="")</f>
        <v>0</v>
      </c>
      <c r="K1415">
        <f>B1415*(hospitalityq!K1415="")</f>
        <v>0</v>
      </c>
      <c r="L1415">
        <f>B1415*(hospitalityq!L1415="")</f>
        <v>0</v>
      </c>
      <c r="M1415">
        <f>B1415*(hospitalityq!M1415="")</f>
        <v>0</v>
      </c>
      <c r="N1415">
        <f>B1415*(hospitalityq!N1415="")</f>
        <v>0</v>
      </c>
      <c r="O1415">
        <f>B1415*(hospitalityq!O1415="")</f>
        <v>0</v>
      </c>
      <c r="P1415">
        <f>B1415*(hospitalityq!P1415="")</f>
        <v>0</v>
      </c>
      <c r="Q1415">
        <f>B1415*(hospitalityq!Q1415="")</f>
        <v>0</v>
      </c>
      <c r="R1415">
        <f>B1415*(hospitalityq!R1415="")</f>
        <v>0</v>
      </c>
    </row>
    <row r="1416" spans="1:18" x14ac:dyDescent="0.25">
      <c r="A1416">
        <f t="shared" si="23"/>
        <v>0</v>
      </c>
      <c r="B1416" t="b">
        <f>SUMPRODUCT(LEN(hospitalityq!C1416:R1416))&gt;0</f>
        <v>0</v>
      </c>
      <c r="C1416">
        <f>B1416*(hospitalityq!C1416="")</f>
        <v>0</v>
      </c>
      <c r="E1416">
        <f>B1416*(hospitalityq!E1416="")</f>
        <v>0</v>
      </c>
      <c r="F1416">
        <f>B1416*(hospitalityq!F1416="")</f>
        <v>0</v>
      </c>
      <c r="G1416">
        <f>B1416*(hospitalityq!G1416="")</f>
        <v>0</v>
      </c>
      <c r="H1416">
        <f>B1416*(hospitalityq!H1416="")</f>
        <v>0</v>
      </c>
      <c r="I1416">
        <f>B1416*(hospitalityq!I1416="")</f>
        <v>0</v>
      </c>
      <c r="J1416">
        <f>B1416*(hospitalityq!J1416="")</f>
        <v>0</v>
      </c>
      <c r="K1416">
        <f>B1416*(hospitalityq!K1416="")</f>
        <v>0</v>
      </c>
      <c r="L1416">
        <f>B1416*(hospitalityq!L1416="")</f>
        <v>0</v>
      </c>
      <c r="M1416">
        <f>B1416*(hospitalityq!M1416="")</f>
        <v>0</v>
      </c>
      <c r="N1416">
        <f>B1416*(hospitalityq!N1416="")</f>
        <v>0</v>
      </c>
      <c r="O1416">
        <f>B1416*(hospitalityq!O1416="")</f>
        <v>0</v>
      </c>
      <c r="P1416">
        <f>B1416*(hospitalityq!P1416="")</f>
        <v>0</v>
      </c>
      <c r="Q1416">
        <f>B1416*(hospitalityq!Q1416="")</f>
        <v>0</v>
      </c>
      <c r="R1416">
        <f>B1416*(hospitalityq!R1416="")</f>
        <v>0</v>
      </c>
    </row>
    <row r="1417" spans="1:18" x14ac:dyDescent="0.25">
      <c r="A1417">
        <f t="shared" si="23"/>
        <v>0</v>
      </c>
      <c r="B1417" t="b">
        <f>SUMPRODUCT(LEN(hospitalityq!C1417:R1417))&gt;0</f>
        <v>0</v>
      </c>
      <c r="C1417">
        <f>B1417*(hospitalityq!C1417="")</f>
        <v>0</v>
      </c>
      <c r="E1417">
        <f>B1417*(hospitalityq!E1417="")</f>
        <v>0</v>
      </c>
      <c r="F1417">
        <f>B1417*(hospitalityq!F1417="")</f>
        <v>0</v>
      </c>
      <c r="G1417">
        <f>B1417*(hospitalityq!G1417="")</f>
        <v>0</v>
      </c>
      <c r="H1417">
        <f>B1417*(hospitalityq!H1417="")</f>
        <v>0</v>
      </c>
      <c r="I1417">
        <f>B1417*(hospitalityq!I1417="")</f>
        <v>0</v>
      </c>
      <c r="J1417">
        <f>B1417*(hospitalityq!J1417="")</f>
        <v>0</v>
      </c>
      <c r="K1417">
        <f>B1417*(hospitalityq!K1417="")</f>
        <v>0</v>
      </c>
      <c r="L1417">
        <f>B1417*(hospitalityq!L1417="")</f>
        <v>0</v>
      </c>
      <c r="M1417">
        <f>B1417*(hospitalityq!M1417="")</f>
        <v>0</v>
      </c>
      <c r="N1417">
        <f>B1417*(hospitalityq!N1417="")</f>
        <v>0</v>
      </c>
      <c r="O1417">
        <f>B1417*(hospitalityq!O1417="")</f>
        <v>0</v>
      </c>
      <c r="P1417">
        <f>B1417*(hospitalityq!P1417="")</f>
        <v>0</v>
      </c>
      <c r="Q1417">
        <f>B1417*(hospitalityq!Q1417="")</f>
        <v>0</v>
      </c>
      <c r="R1417">
        <f>B1417*(hospitalityq!R1417="")</f>
        <v>0</v>
      </c>
    </row>
    <row r="1418" spans="1:18" x14ac:dyDescent="0.25">
      <c r="A1418">
        <f t="shared" si="23"/>
        <v>0</v>
      </c>
      <c r="B1418" t="b">
        <f>SUMPRODUCT(LEN(hospitalityq!C1418:R1418))&gt;0</f>
        <v>0</v>
      </c>
      <c r="C1418">
        <f>B1418*(hospitalityq!C1418="")</f>
        <v>0</v>
      </c>
      <c r="E1418">
        <f>B1418*(hospitalityq!E1418="")</f>
        <v>0</v>
      </c>
      <c r="F1418">
        <f>B1418*(hospitalityq!F1418="")</f>
        <v>0</v>
      </c>
      <c r="G1418">
        <f>B1418*(hospitalityq!G1418="")</f>
        <v>0</v>
      </c>
      <c r="H1418">
        <f>B1418*(hospitalityq!H1418="")</f>
        <v>0</v>
      </c>
      <c r="I1418">
        <f>B1418*(hospitalityq!I1418="")</f>
        <v>0</v>
      </c>
      <c r="J1418">
        <f>B1418*(hospitalityq!J1418="")</f>
        <v>0</v>
      </c>
      <c r="K1418">
        <f>B1418*(hospitalityq!K1418="")</f>
        <v>0</v>
      </c>
      <c r="L1418">
        <f>B1418*(hospitalityq!L1418="")</f>
        <v>0</v>
      </c>
      <c r="M1418">
        <f>B1418*(hospitalityq!M1418="")</f>
        <v>0</v>
      </c>
      <c r="N1418">
        <f>B1418*(hospitalityq!N1418="")</f>
        <v>0</v>
      </c>
      <c r="O1418">
        <f>B1418*(hospitalityq!O1418="")</f>
        <v>0</v>
      </c>
      <c r="P1418">
        <f>B1418*(hospitalityq!P1418="")</f>
        <v>0</v>
      </c>
      <c r="Q1418">
        <f>B1418*(hospitalityq!Q1418="")</f>
        <v>0</v>
      </c>
      <c r="R1418">
        <f>B1418*(hospitalityq!R1418="")</f>
        <v>0</v>
      </c>
    </row>
    <row r="1419" spans="1:18" x14ac:dyDescent="0.25">
      <c r="A1419">
        <f t="shared" si="23"/>
        <v>0</v>
      </c>
      <c r="B1419" t="b">
        <f>SUMPRODUCT(LEN(hospitalityq!C1419:R1419))&gt;0</f>
        <v>0</v>
      </c>
      <c r="C1419">
        <f>B1419*(hospitalityq!C1419="")</f>
        <v>0</v>
      </c>
      <c r="E1419">
        <f>B1419*(hospitalityq!E1419="")</f>
        <v>0</v>
      </c>
      <c r="F1419">
        <f>B1419*(hospitalityq!F1419="")</f>
        <v>0</v>
      </c>
      <c r="G1419">
        <f>B1419*(hospitalityq!G1419="")</f>
        <v>0</v>
      </c>
      <c r="H1419">
        <f>B1419*(hospitalityq!H1419="")</f>
        <v>0</v>
      </c>
      <c r="I1419">
        <f>B1419*(hospitalityq!I1419="")</f>
        <v>0</v>
      </c>
      <c r="J1419">
        <f>B1419*(hospitalityq!J1419="")</f>
        <v>0</v>
      </c>
      <c r="K1419">
        <f>B1419*(hospitalityq!K1419="")</f>
        <v>0</v>
      </c>
      <c r="L1419">
        <f>B1419*(hospitalityq!L1419="")</f>
        <v>0</v>
      </c>
      <c r="M1419">
        <f>B1419*(hospitalityq!M1419="")</f>
        <v>0</v>
      </c>
      <c r="N1419">
        <f>B1419*(hospitalityq!N1419="")</f>
        <v>0</v>
      </c>
      <c r="O1419">
        <f>B1419*(hospitalityq!O1419="")</f>
        <v>0</v>
      </c>
      <c r="P1419">
        <f>B1419*(hospitalityq!P1419="")</f>
        <v>0</v>
      </c>
      <c r="Q1419">
        <f>B1419*(hospitalityq!Q1419="")</f>
        <v>0</v>
      </c>
      <c r="R1419">
        <f>B1419*(hospitalityq!R1419="")</f>
        <v>0</v>
      </c>
    </row>
    <row r="1420" spans="1:18" x14ac:dyDescent="0.25">
      <c r="A1420">
        <f t="shared" si="23"/>
        <v>0</v>
      </c>
      <c r="B1420" t="b">
        <f>SUMPRODUCT(LEN(hospitalityq!C1420:R1420))&gt;0</f>
        <v>0</v>
      </c>
      <c r="C1420">
        <f>B1420*(hospitalityq!C1420="")</f>
        <v>0</v>
      </c>
      <c r="E1420">
        <f>B1420*(hospitalityq!E1420="")</f>
        <v>0</v>
      </c>
      <c r="F1420">
        <f>B1420*(hospitalityq!F1420="")</f>
        <v>0</v>
      </c>
      <c r="G1420">
        <f>B1420*(hospitalityq!G1420="")</f>
        <v>0</v>
      </c>
      <c r="H1420">
        <f>B1420*(hospitalityq!H1420="")</f>
        <v>0</v>
      </c>
      <c r="I1420">
        <f>B1420*(hospitalityq!I1420="")</f>
        <v>0</v>
      </c>
      <c r="J1420">
        <f>B1420*(hospitalityq!J1420="")</f>
        <v>0</v>
      </c>
      <c r="K1420">
        <f>B1420*(hospitalityq!K1420="")</f>
        <v>0</v>
      </c>
      <c r="L1420">
        <f>B1420*(hospitalityq!L1420="")</f>
        <v>0</v>
      </c>
      <c r="M1420">
        <f>B1420*(hospitalityq!M1420="")</f>
        <v>0</v>
      </c>
      <c r="N1420">
        <f>B1420*(hospitalityq!N1420="")</f>
        <v>0</v>
      </c>
      <c r="O1420">
        <f>B1420*(hospitalityq!O1420="")</f>
        <v>0</v>
      </c>
      <c r="P1420">
        <f>B1420*(hospitalityq!P1420="")</f>
        <v>0</v>
      </c>
      <c r="Q1420">
        <f>B1420*(hospitalityq!Q1420="")</f>
        <v>0</v>
      </c>
      <c r="R1420">
        <f>B1420*(hospitalityq!R1420="")</f>
        <v>0</v>
      </c>
    </row>
    <row r="1421" spans="1:18" x14ac:dyDescent="0.25">
      <c r="A1421">
        <f t="shared" si="23"/>
        <v>0</v>
      </c>
      <c r="B1421" t="b">
        <f>SUMPRODUCT(LEN(hospitalityq!C1421:R1421))&gt;0</f>
        <v>0</v>
      </c>
      <c r="C1421">
        <f>B1421*(hospitalityq!C1421="")</f>
        <v>0</v>
      </c>
      <c r="E1421">
        <f>B1421*(hospitalityq!E1421="")</f>
        <v>0</v>
      </c>
      <c r="F1421">
        <f>B1421*(hospitalityq!F1421="")</f>
        <v>0</v>
      </c>
      <c r="G1421">
        <f>B1421*(hospitalityq!G1421="")</f>
        <v>0</v>
      </c>
      <c r="H1421">
        <f>B1421*(hospitalityq!H1421="")</f>
        <v>0</v>
      </c>
      <c r="I1421">
        <f>B1421*(hospitalityq!I1421="")</f>
        <v>0</v>
      </c>
      <c r="J1421">
        <f>B1421*(hospitalityq!J1421="")</f>
        <v>0</v>
      </c>
      <c r="K1421">
        <f>B1421*(hospitalityq!K1421="")</f>
        <v>0</v>
      </c>
      <c r="L1421">
        <f>B1421*(hospitalityq!L1421="")</f>
        <v>0</v>
      </c>
      <c r="M1421">
        <f>B1421*(hospitalityq!M1421="")</f>
        <v>0</v>
      </c>
      <c r="N1421">
        <f>B1421*(hospitalityq!N1421="")</f>
        <v>0</v>
      </c>
      <c r="O1421">
        <f>B1421*(hospitalityq!O1421="")</f>
        <v>0</v>
      </c>
      <c r="P1421">
        <f>B1421*(hospitalityq!P1421="")</f>
        <v>0</v>
      </c>
      <c r="Q1421">
        <f>B1421*(hospitalityq!Q1421="")</f>
        <v>0</v>
      </c>
      <c r="R1421">
        <f>B1421*(hospitalityq!R1421="")</f>
        <v>0</v>
      </c>
    </row>
    <row r="1422" spans="1:18" x14ac:dyDescent="0.25">
      <c r="A1422">
        <f t="shared" si="23"/>
        <v>0</v>
      </c>
      <c r="B1422" t="b">
        <f>SUMPRODUCT(LEN(hospitalityq!C1422:R1422))&gt;0</f>
        <v>0</v>
      </c>
      <c r="C1422">
        <f>B1422*(hospitalityq!C1422="")</f>
        <v>0</v>
      </c>
      <c r="E1422">
        <f>B1422*(hospitalityq!E1422="")</f>
        <v>0</v>
      </c>
      <c r="F1422">
        <f>B1422*(hospitalityq!F1422="")</f>
        <v>0</v>
      </c>
      <c r="G1422">
        <f>B1422*(hospitalityq!G1422="")</f>
        <v>0</v>
      </c>
      <c r="H1422">
        <f>B1422*(hospitalityq!H1422="")</f>
        <v>0</v>
      </c>
      <c r="I1422">
        <f>B1422*(hospitalityq!I1422="")</f>
        <v>0</v>
      </c>
      <c r="J1422">
        <f>B1422*(hospitalityq!J1422="")</f>
        <v>0</v>
      </c>
      <c r="K1422">
        <f>B1422*(hospitalityq!K1422="")</f>
        <v>0</v>
      </c>
      <c r="L1422">
        <f>B1422*(hospitalityq!L1422="")</f>
        <v>0</v>
      </c>
      <c r="M1422">
        <f>B1422*(hospitalityq!M1422="")</f>
        <v>0</v>
      </c>
      <c r="N1422">
        <f>B1422*(hospitalityq!N1422="")</f>
        <v>0</v>
      </c>
      <c r="O1422">
        <f>B1422*(hospitalityq!O1422="")</f>
        <v>0</v>
      </c>
      <c r="P1422">
        <f>B1422*(hospitalityq!P1422="")</f>
        <v>0</v>
      </c>
      <c r="Q1422">
        <f>B1422*(hospitalityq!Q1422="")</f>
        <v>0</v>
      </c>
      <c r="R1422">
        <f>B1422*(hospitalityq!R1422="")</f>
        <v>0</v>
      </c>
    </row>
    <row r="1423" spans="1:18" x14ac:dyDescent="0.25">
      <c r="A1423">
        <f t="shared" si="23"/>
        <v>0</v>
      </c>
      <c r="B1423" t="b">
        <f>SUMPRODUCT(LEN(hospitalityq!C1423:R1423))&gt;0</f>
        <v>0</v>
      </c>
      <c r="C1423">
        <f>B1423*(hospitalityq!C1423="")</f>
        <v>0</v>
      </c>
      <c r="E1423">
        <f>B1423*(hospitalityq!E1423="")</f>
        <v>0</v>
      </c>
      <c r="F1423">
        <f>B1423*(hospitalityq!F1423="")</f>
        <v>0</v>
      </c>
      <c r="G1423">
        <f>B1423*(hospitalityq!G1423="")</f>
        <v>0</v>
      </c>
      <c r="H1423">
        <f>B1423*(hospitalityq!H1423="")</f>
        <v>0</v>
      </c>
      <c r="I1423">
        <f>B1423*(hospitalityq!I1423="")</f>
        <v>0</v>
      </c>
      <c r="J1423">
        <f>B1423*(hospitalityq!J1423="")</f>
        <v>0</v>
      </c>
      <c r="K1423">
        <f>B1423*(hospitalityq!K1423="")</f>
        <v>0</v>
      </c>
      <c r="L1423">
        <f>B1423*(hospitalityq!L1423="")</f>
        <v>0</v>
      </c>
      <c r="M1423">
        <f>B1423*(hospitalityq!M1423="")</f>
        <v>0</v>
      </c>
      <c r="N1423">
        <f>B1423*(hospitalityq!N1423="")</f>
        <v>0</v>
      </c>
      <c r="O1423">
        <f>B1423*(hospitalityq!O1423="")</f>
        <v>0</v>
      </c>
      <c r="P1423">
        <f>B1423*(hospitalityq!P1423="")</f>
        <v>0</v>
      </c>
      <c r="Q1423">
        <f>B1423*(hospitalityq!Q1423="")</f>
        <v>0</v>
      </c>
      <c r="R1423">
        <f>B1423*(hospitalityq!R1423="")</f>
        <v>0</v>
      </c>
    </row>
    <row r="1424" spans="1:18" x14ac:dyDescent="0.25">
      <c r="A1424">
        <f t="shared" si="23"/>
        <v>0</v>
      </c>
      <c r="B1424" t="b">
        <f>SUMPRODUCT(LEN(hospitalityq!C1424:R1424))&gt;0</f>
        <v>0</v>
      </c>
      <c r="C1424">
        <f>B1424*(hospitalityq!C1424="")</f>
        <v>0</v>
      </c>
      <c r="E1424">
        <f>B1424*(hospitalityq!E1424="")</f>
        <v>0</v>
      </c>
      <c r="F1424">
        <f>B1424*(hospitalityq!F1424="")</f>
        <v>0</v>
      </c>
      <c r="G1424">
        <f>B1424*(hospitalityq!G1424="")</f>
        <v>0</v>
      </c>
      <c r="H1424">
        <f>B1424*(hospitalityq!H1424="")</f>
        <v>0</v>
      </c>
      <c r="I1424">
        <f>B1424*(hospitalityq!I1424="")</f>
        <v>0</v>
      </c>
      <c r="J1424">
        <f>B1424*(hospitalityq!J1424="")</f>
        <v>0</v>
      </c>
      <c r="K1424">
        <f>B1424*(hospitalityq!K1424="")</f>
        <v>0</v>
      </c>
      <c r="L1424">
        <f>B1424*(hospitalityq!L1424="")</f>
        <v>0</v>
      </c>
      <c r="M1424">
        <f>B1424*(hospitalityq!M1424="")</f>
        <v>0</v>
      </c>
      <c r="N1424">
        <f>B1424*(hospitalityq!N1424="")</f>
        <v>0</v>
      </c>
      <c r="O1424">
        <f>B1424*(hospitalityq!O1424="")</f>
        <v>0</v>
      </c>
      <c r="P1424">
        <f>B1424*(hospitalityq!P1424="")</f>
        <v>0</v>
      </c>
      <c r="Q1424">
        <f>B1424*(hospitalityq!Q1424="")</f>
        <v>0</v>
      </c>
      <c r="R1424">
        <f>B1424*(hospitalityq!R1424="")</f>
        <v>0</v>
      </c>
    </row>
    <row r="1425" spans="1:18" x14ac:dyDescent="0.25">
      <c r="A1425">
        <f t="shared" si="23"/>
        <v>0</v>
      </c>
      <c r="B1425" t="b">
        <f>SUMPRODUCT(LEN(hospitalityq!C1425:R1425))&gt;0</f>
        <v>0</v>
      </c>
      <c r="C1425">
        <f>B1425*(hospitalityq!C1425="")</f>
        <v>0</v>
      </c>
      <c r="E1425">
        <f>B1425*(hospitalityq!E1425="")</f>
        <v>0</v>
      </c>
      <c r="F1425">
        <f>B1425*(hospitalityq!F1425="")</f>
        <v>0</v>
      </c>
      <c r="G1425">
        <f>B1425*(hospitalityq!G1425="")</f>
        <v>0</v>
      </c>
      <c r="H1425">
        <f>B1425*(hospitalityq!H1425="")</f>
        <v>0</v>
      </c>
      <c r="I1425">
        <f>B1425*(hospitalityq!I1425="")</f>
        <v>0</v>
      </c>
      <c r="J1425">
        <f>B1425*(hospitalityq!J1425="")</f>
        <v>0</v>
      </c>
      <c r="K1425">
        <f>B1425*(hospitalityq!K1425="")</f>
        <v>0</v>
      </c>
      <c r="L1425">
        <f>B1425*(hospitalityq!L1425="")</f>
        <v>0</v>
      </c>
      <c r="M1425">
        <f>B1425*(hospitalityq!M1425="")</f>
        <v>0</v>
      </c>
      <c r="N1425">
        <f>B1425*(hospitalityq!N1425="")</f>
        <v>0</v>
      </c>
      <c r="O1425">
        <f>B1425*(hospitalityq!O1425="")</f>
        <v>0</v>
      </c>
      <c r="P1425">
        <f>B1425*(hospitalityq!P1425="")</f>
        <v>0</v>
      </c>
      <c r="Q1425">
        <f>B1425*(hospitalityq!Q1425="")</f>
        <v>0</v>
      </c>
      <c r="R1425">
        <f>B1425*(hospitalityq!R1425="")</f>
        <v>0</v>
      </c>
    </row>
    <row r="1426" spans="1:18" x14ac:dyDescent="0.25">
      <c r="A1426">
        <f t="shared" si="23"/>
        <v>0</v>
      </c>
      <c r="B1426" t="b">
        <f>SUMPRODUCT(LEN(hospitalityq!C1426:R1426))&gt;0</f>
        <v>0</v>
      </c>
      <c r="C1426">
        <f>B1426*(hospitalityq!C1426="")</f>
        <v>0</v>
      </c>
      <c r="E1426">
        <f>B1426*(hospitalityq!E1426="")</f>
        <v>0</v>
      </c>
      <c r="F1426">
        <f>B1426*(hospitalityq!F1426="")</f>
        <v>0</v>
      </c>
      <c r="G1426">
        <f>B1426*(hospitalityq!G1426="")</f>
        <v>0</v>
      </c>
      <c r="H1426">
        <f>B1426*(hospitalityq!H1426="")</f>
        <v>0</v>
      </c>
      <c r="I1426">
        <f>B1426*(hospitalityq!I1426="")</f>
        <v>0</v>
      </c>
      <c r="J1426">
        <f>B1426*(hospitalityq!J1426="")</f>
        <v>0</v>
      </c>
      <c r="K1426">
        <f>B1426*(hospitalityq!K1426="")</f>
        <v>0</v>
      </c>
      <c r="L1426">
        <f>B1426*(hospitalityq!L1426="")</f>
        <v>0</v>
      </c>
      <c r="M1426">
        <f>B1426*(hospitalityq!M1426="")</f>
        <v>0</v>
      </c>
      <c r="N1426">
        <f>B1426*(hospitalityq!N1426="")</f>
        <v>0</v>
      </c>
      <c r="O1426">
        <f>B1426*(hospitalityq!O1426="")</f>
        <v>0</v>
      </c>
      <c r="P1426">
        <f>B1426*(hospitalityq!P1426="")</f>
        <v>0</v>
      </c>
      <c r="Q1426">
        <f>B1426*(hospitalityq!Q1426="")</f>
        <v>0</v>
      </c>
      <c r="R1426">
        <f>B1426*(hospitalityq!R1426="")</f>
        <v>0</v>
      </c>
    </row>
    <row r="1427" spans="1:18" x14ac:dyDescent="0.25">
      <c r="A1427">
        <f t="shared" si="23"/>
        <v>0</v>
      </c>
      <c r="B1427" t="b">
        <f>SUMPRODUCT(LEN(hospitalityq!C1427:R1427))&gt;0</f>
        <v>0</v>
      </c>
      <c r="C1427">
        <f>B1427*(hospitalityq!C1427="")</f>
        <v>0</v>
      </c>
      <c r="E1427">
        <f>B1427*(hospitalityq!E1427="")</f>
        <v>0</v>
      </c>
      <c r="F1427">
        <f>B1427*(hospitalityq!F1427="")</f>
        <v>0</v>
      </c>
      <c r="G1427">
        <f>B1427*(hospitalityq!G1427="")</f>
        <v>0</v>
      </c>
      <c r="H1427">
        <f>B1427*(hospitalityq!H1427="")</f>
        <v>0</v>
      </c>
      <c r="I1427">
        <f>B1427*(hospitalityq!I1427="")</f>
        <v>0</v>
      </c>
      <c r="J1427">
        <f>B1427*(hospitalityq!J1427="")</f>
        <v>0</v>
      </c>
      <c r="K1427">
        <f>B1427*(hospitalityq!K1427="")</f>
        <v>0</v>
      </c>
      <c r="L1427">
        <f>B1427*(hospitalityq!L1427="")</f>
        <v>0</v>
      </c>
      <c r="M1427">
        <f>B1427*(hospitalityq!M1427="")</f>
        <v>0</v>
      </c>
      <c r="N1427">
        <f>B1427*(hospitalityq!N1427="")</f>
        <v>0</v>
      </c>
      <c r="O1427">
        <f>B1427*(hospitalityq!O1427="")</f>
        <v>0</v>
      </c>
      <c r="P1427">
        <f>B1427*(hospitalityq!P1427="")</f>
        <v>0</v>
      </c>
      <c r="Q1427">
        <f>B1427*(hospitalityq!Q1427="")</f>
        <v>0</v>
      </c>
      <c r="R1427">
        <f>B1427*(hospitalityq!R1427="")</f>
        <v>0</v>
      </c>
    </row>
    <row r="1428" spans="1:18" x14ac:dyDescent="0.25">
      <c r="A1428">
        <f t="shared" si="23"/>
        <v>0</v>
      </c>
      <c r="B1428" t="b">
        <f>SUMPRODUCT(LEN(hospitalityq!C1428:R1428))&gt;0</f>
        <v>0</v>
      </c>
      <c r="C1428">
        <f>B1428*(hospitalityq!C1428="")</f>
        <v>0</v>
      </c>
      <c r="E1428">
        <f>B1428*(hospitalityq!E1428="")</f>
        <v>0</v>
      </c>
      <c r="F1428">
        <f>B1428*(hospitalityq!F1428="")</f>
        <v>0</v>
      </c>
      <c r="G1428">
        <f>B1428*(hospitalityq!G1428="")</f>
        <v>0</v>
      </c>
      <c r="H1428">
        <f>B1428*(hospitalityq!H1428="")</f>
        <v>0</v>
      </c>
      <c r="I1428">
        <f>B1428*(hospitalityq!I1428="")</f>
        <v>0</v>
      </c>
      <c r="J1428">
        <f>B1428*(hospitalityq!J1428="")</f>
        <v>0</v>
      </c>
      <c r="K1428">
        <f>B1428*(hospitalityq!K1428="")</f>
        <v>0</v>
      </c>
      <c r="L1428">
        <f>B1428*(hospitalityq!L1428="")</f>
        <v>0</v>
      </c>
      <c r="M1428">
        <f>B1428*(hospitalityq!M1428="")</f>
        <v>0</v>
      </c>
      <c r="N1428">
        <f>B1428*(hospitalityq!N1428="")</f>
        <v>0</v>
      </c>
      <c r="O1428">
        <f>B1428*(hospitalityq!O1428="")</f>
        <v>0</v>
      </c>
      <c r="P1428">
        <f>B1428*(hospitalityq!P1428="")</f>
        <v>0</v>
      </c>
      <c r="Q1428">
        <f>B1428*(hospitalityq!Q1428="")</f>
        <v>0</v>
      </c>
      <c r="R1428">
        <f>B1428*(hospitalityq!R1428="")</f>
        <v>0</v>
      </c>
    </row>
    <row r="1429" spans="1:18" x14ac:dyDescent="0.25">
      <c r="A1429">
        <f t="shared" si="23"/>
        <v>0</v>
      </c>
      <c r="B1429" t="b">
        <f>SUMPRODUCT(LEN(hospitalityq!C1429:R1429))&gt;0</f>
        <v>0</v>
      </c>
      <c r="C1429">
        <f>B1429*(hospitalityq!C1429="")</f>
        <v>0</v>
      </c>
      <c r="E1429">
        <f>B1429*(hospitalityq!E1429="")</f>
        <v>0</v>
      </c>
      <c r="F1429">
        <f>B1429*(hospitalityq!F1429="")</f>
        <v>0</v>
      </c>
      <c r="G1429">
        <f>B1429*(hospitalityq!G1429="")</f>
        <v>0</v>
      </c>
      <c r="H1429">
        <f>B1429*(hospitalityq!H1429="")</f>
        <v>0</v>
      </c>
      <c r="I1429">
        <f>B1429*(hospitalityq!I1429="")</f>
        <v>0</v>
      </c>
      <c r="J1429">
        <f>B1429*(hospitalityq!J1429="")</f>
        <v>0</v>
      </c>
      <c r="K1429">
        <f>B1429*(hospitalityq!K1429="")</f>
        <v>0</v>
      </c>
      <c r="L1429">
        <f>B1429*(hospitalityq!L1429="")</f>
        <v>0</v>
      </c>
      <c r="M1429">
        <f>B1429*(hospitalityq!M1429="")</f>
        <v>0</v>
      </c>
      <c r="N1429">
        <f>B1429*(hospitalityq!N1429="")</f>
        <v>0</v>
      </c>
      <c r="O1429">
        <f>B1429*(hospitalityq!O1429="")</f>
        <v>0</v>
      </c>
      <c r="P1429">
        <f>B1429*(hospitalityq!P1429="")</f>
        <v>0</v>
      </c>
      <c r="Q1429">
        <f>B1429*(hospitalityq!Q1429="")</f>
        <v>0</v>
      </c>
      <c r="R1429">
        <f>B1429*(hospitalityq!R1429="")</f>
        <v>0</v>
      </c>
    </row>
    <row r="1430" spans="1:18" x14ac:dyDescent="0.25">
      <c r="A1430">
        <f t="shared" si="23"/>
        <v>0</v>
      </c>
      <c r="B1430" t="b">
        <f>SUMPRODUCT(LEN(hospitalityq!C1430:R1430))&gt;0</f>
        <v>0</v>
      </c>
      <c r="C1430">
        <f>B1430*(hospitalityq!C1430="")</f>
        <v>0</v>
      </c>
      <c r="E1430">
        <f>B1430*(hospitalityq!E1430="")</f>
        <v>0</v>
      </c>
      <c r="F1430">
        <f>B1430*(hospitalityq!F1430="")</f>
        <v>0</v>
      </c>
      <c r="G1430">
        <f>B1430*(hospitalityq!G1430="")</f>
        <v>0</v>
      </c>
      <c r="H1430">
        <f>B1430*(hospitalityq!H1430="")</f>
        <v>0</v>
      </c>
      <c r="I1430">
        <f>B1430*(hospitalityq!I1430="")</f>
        <v>0</v>
      </c>
      <c r="J1430">
        <f>B1430*(hospitalityq!J1430="")</f>
        <v>0</v>
      </c>
      <c r="K1430">
        <f>B1430*(hospitalityq!K1430="")</f>
        <v>0</v>
      </c>
      <c r="L1430">
        <f>B1430*(hospitalityq!L1430="")</f>
        <v>0</v>
      </c>
      <c r="M1430">
        <f>B1430*(hospitalityq!M1430="")</f>
        <v>0</v>
      </c>
      <c r="N1430">
        <f>B1430*(hospitalityq!N1430="")</f>
        <v>0</v>
      </c>
      <c r="O1430">
        <f>B1430*(hospitalityq!O1430="")</f>
        <v>0</v>
      </c>
      <c r="P1430">
        <f>B1430*(hospitalityq!P1430="")</f>
        <v>0</v>
      </c>
      <c r="Q1430">
        <f>B1430*(hospitalityq!Q1430="")</f>
        <v>0</v>
      </c>
      <c r="R1430">
        <f>B1430*(hospitalityq!R1430="")</f>
        <v>0</v>
      </c>
    </row>
    <row r="1431" spans="1:18" x14ac:dyDescent="0.25">
      <c r="A1431">
        <f t="shared" si="23"/>
        <v>0</v>
      </c>
      <c r="B1431" t="b">
        <f>SUMPRODUCT(LEN(hospitalityq!C1431:R1431))&gt;0</f>
        <v>0</v>
      </c>
      <c r="C1431">
        <f>B1431*(hospitalityq!C1431="")</f>
        <v>0</v>
      </c>
      <c r="E1431">
        <f>B1431*(hospitalityq!E1431="")</f>
        <v>0</v>
      </c>
      <c r="F1431">
        <f>B1431*(hospitalityq!F1431="")</f>
        <v>0</v>
      </c>
      <c r="G1431">
        <f>B1431*(hospitalityq!G1431="")</f>
        <v>0</v>
      </c>
      <c r="H1431">
        <f>B1431*(hospitalityq!H1431="")</f>
        <v>0</v>
      </c>
      <c r="I1431">
        <f>B1431*(hospitalityq!I1431="")</f>
        <v>0</v>
      </c>
      <c r="J1431">
        <f>B1431*(hospitalityq!J1431="")</f>
        <v>0</v>
      </c>
      <c r="K1431">
        <f>B1431*(hospitalityq!K1431="")</f>
        <v>0</v>
      </c>
      <c r="L1431">
        <f>B1431*(hospitalityq!L1431="")</f>
        <v>0</v>
      </c>
      <c r="M1431">
        <f>B1431*(hospitalityq!M1431="")</f>
        <v>0</v>
      </c>
      <c r="N1431">
        <f>B1431*(hospitalityq!N1431="")</f>
        <v>0</v>
      </c>
      <c r="O1431">
        <f>B1431*(hospitalityq!O1431="")</f>
        <v>0</v>
      </c>
      <c r="P1431">
        <f>B1431*(hospitalityq!P1431="")</f>
        <v>0</v>
      </c>
      <c r="Q1431">
        <f>B1431*(hospitalityq!Q1431="")</f>
        <v>0</v>
      </c>
      <c r="R1431">
        <f>B1431*(hospitalityq!R1431="")</f>
        <v>0</v>
      </c>
    </row>
    <row r="1432" spans="1:18" x14ac:dyDescent="0.25">
      <c r="A1432">
        <f t="shared" si="23"/>
        <v>0</v>
      </c>
      <c r="B1432" t="b">
        <f>SUMPRODUCT(LEN(hospitalityq!C1432:R1432))&gt;0</f>
        <v>0</v>
      </c>
      <c r="C1432">
        <f>B1432*(hospitalityq!C1432="")</f>
        <v>0</v>
      </c>
      <c r="E1432">
        <f>B1432*(hospitalityq!E1432="")</f>
        <v>0</v>
      </c>
      <c r="F1432">
        <f>B1432*(hospitalityq!F1432="")</f>
        <v>0</v>
      </c>
      <c r="G1432">
        <f>B1432*(hospitalityq!G1432="")</f>
        <v>0</v>
      </c>
      <c r="H1432">
        <f>B1432*(hospitalityq!H1432="")</f>
        <v>0</v>
      </c>
      <c r="I1432">
        <f>B1432*(hospitalityq!I1432="")</f>
        <v>0</v>
      </c>
      <c r="J1432">
        <f>B1432*(hospitalityq!J1432="")</f>
        <v>0</v>
      </c>
      <c r="K1432">
        <f>B1432*(hospitalityq!K1432="")</f>
        <v>0</v>
      </c>
      <c r="L1432">
        <f>B1432*(hospitalityq!L1432="")</f>
        <v>0</v>
      </c>
      <c r="M1432">
        <f>B1432*(hospitalityq!M1432="")</f>
        <v>0</v>
      </c>
      <c r="N1432">
        <f>B1432*(hospitalityq!N1432="")</f>
        <v>0</v>
      </c>
      <c r="O1432">
        <f>B1432*(hospitalityq!O1432="")</f>
        <v>0</v>
      </c>
      <c r="P1432">
        <f>B1432*(hospitalityq!P1432="")</f>
        <v>0</v>
      </c>
      <c r="Q1432">
        <f>B1432*(hospitalityq!Q1432="")</f>
        <v>0</v>
      </c>
      <c r="R1432">
        <f>B1432*(hospitalityq!R1432="")</f>
        <v>0</v>
      </c>
    </row>
    <row r="1433" spans="1:18" x14ac:dyDescent="0.25">
      <c r="A1433">
        <f t="shared" si="23"/>
        <v>0</v>
      </c>
      <c r="B1433" t="b">
        <f>SUMPRODUCT(LEN(hospitalityq!C1433:R1433))&gt;0</f>
        <v>0</v>
      </c>
      <c r="C1433">
        <f>B1433*(hospitalityq!C1433="")</f>
        <v>0</v>
      </c>
      <c r="E1433">
        <f>B1433*(hospitalityq!E1433="")</f>
        <v>0</v>
      </c>
      <c r="F1433">
        <f>B1433*(hospitalityq!F1433="")</f>
        <v>0</v>
      </c>
      <c r="G1433">
        <f>B1433*(hospitalityq!G1433="")</f>
        <v>0</v>
      </c>
      <c r="H1433">
        <f>B1433*(hospitalityq!H1433="")</f>
        <v>0</v>
      </c>
      <c r="I1433">
        <f>B1433*(hospitalityq!I1433="")</f>
        <v>0</v>
      </c>
      <c r="J1433">
        <f>B1433*(hospitalityq!J1433="")</f>
        <v>0</v>
      </c>
      <c r="K1433">
        <f>B1433*(hospitalityq!K1433="")</f>
        <v>0</v>
      </c>
      <c r="L1433">
        <f>B1433*(hospitalityq!L1433="")</f>
        <v>0</v>
      </c>
      <c r="M1433">
        <f>B1433*(hospitalityq!M1433="")</f>
        <v>0</v>
      </c>
      <c r="N1433">
        <f>B1433*(hospitalityq!N1433="")</f>
        <v>0</v>
      </c>
      <c r="O1433">
        <f>B1433*(hospitalityq!O1433="")</f>
        <v>0</v>
      </c>
      <c r="P1433">
        <f>B1433*(hospitalityq!P1433="")</f>
        <v>0</v>
      </c>
      <c r="Q1433">
        <f>B1433*(hospitalityq!Q1433="")</f>
        <v>0</v>
      </c>
      <c r="R1433">
        <f>B1433*(hospitalityq!R1433="")</f>
        <v>0</v>
      </c>
    </row>
    <row r="1434" spans="1:18" x14ac:dyDescent="0.25">
      <c r="A1434">
        <f t="shared" si="23"/>
        <v>0</v>
      </c>
      <c r="B1434" t="b">
        <f>SUMPRODUCT(LEN(hospitalityq!C1434:R1434))&gt;0</f>
        <v>0</v>
      </c>
      <c r="C1434">
        <f>B1434*(hospitalityq!C1434="")</f>
        <v>0</v>
      </c>
      <c r="E1434">
        <f>B1434*(hospitalityq!E1434="")</f>
        <v>0</v>
      </c>
      <c r="F1434">
        <f>B1434*(hospitalityq!F1434="")</f>
        <v>0</v>
      </c>
      <c r="G1434">
        <f>B1434*(hospitalityq!G1434="")</f>
        <v>0</v>
      </c>
      <c r="H1434">
        <f>B1434*(hospitalityq!H1434="")</f>
        <v>0</v>
      </c>
      <c r="I1434">
        <f>B1434*(hospitalityq!I1434="")</f>
        <v>0</v>
      </c>
      <c r="J1434">
        <f>B1434*(hospitalityq!J1434="")</f>
        <v>0</v>
      </c>
      <c r="K1434">
        <f>B1434*(hospitalityq!K1434="")</f>
        <v>0</v>
      </c>
      <c r="L1434">
        <f>B1434*(hospitalityq!L1434="")</f>
        <v>0</v>
      </c>
      <c r="M1434">
        <f>B1434*(hospitalityq!M1434="")</f>
        <v>0</v>
      </c>
      <c r="N1434">
        <f>B1434*(hospitalityq!N1434="")</f>
        <v>0</v>
      </c>
      <c r="O1434">
        <f>B1434*(hospitalityq!O1434="")</f>
        <v>0</v>
      </c>
      <c r="P1434">
        <f>B1434*(hospitalityq!P1434="")</f>
        <v>0</v>
      </c>
      <c r="Q1434">
        <f>B1434*(hospitalityq!Q1434="")</f>
        <v>0</v>
      </c>
      <c r="R1434">
        <f>B1434*(hospitalityq!R1434="")</f>
        <v>0</v>
      </c>
    </row>
    <row r="1435" spans="1:18" x14ac:dyDescent="0.25">
      <c r="A1435">
        <f t="shared" si="23"/>
        <v>0</v>
      </c>
      <c r="B1435" t="b">
        <f>SUMPRODUCT(LEN(hospitalityq!C1435:R1435))&gt;0</f>
        <v>0</v>
      </c>
      <c r="C1435">
        <f>B1435*(hospitalityq!C1435="")</f>
        <v>0</v>
      </c>
      <c r="E1435">
        <f>B1435*(hospitalityq!E1435="")</f>
        <v>0</v>
      </c>
      <c r="F1435">
        <f>B1435*(hospitalityq!F1435="")</f>
        <v>0</v>
      </c>
      <c r="G1435">
        <f>B1435*(hospitalityq!G1435="")</f>
        <v>0</v>
      </c>
      <c r="H1435">
        <f>B1435*(hospitalityq!H1435="")</f>
        <v>0</v>
      </c>
      <c r="I1435">
        <f>B1435*(hospitalityq!I1435="")</f>
        <v>0</v>
      </c>
      <c r="J1435">
        <f>B1435*(hospitalityq!J1435="")</f>
        <v>0</v>
      </c>
      <c r="K1435">
        <f>B1435*(hospitalityq!K1435="")</f>
        <v>0</v>
      </c>
      <c r="L1435">
        <f>B1435*(hospitalityq!L1435="")</f>
        <v>0</v>
      </c>
      <c r="M1435">
        <f>B1435*(hospitalityq!M1435="")</f>
        <v>0</v>
      </c>
      <c r="N1435">
        <f>B1435*(hospitalityq!N1435="")</f>
        <v>0</v>
      </c>
      <c r="O1435">
        <f>B1435*(hospitalityq!O1435="")</f>
        <v>0</v>
      </c>
      <c r="P1435">
        <f>B1435*(hospitalityq!P1435="")</f>
        <v>0</v>
      </c>
      <c r="Q1435">
        <f>B1435*(hospitalityq!Q1435="")</f>
        <v>0</v>
      </c>
      <c r="R1435">
        <f>B1435*(hospitalityq!R1435="")</f>
        <v>0</v>
      </c>
    </row>
    <row r="1436" spans="1:18" x14ac:dyDescent="0.25">
      <c r="A1436">
        <f t="shared" si="23"/>
        <v>0</v>
      </c>
      <c r="B1436" t="b">
        <f>SUMPRODUCT(LEN(hospitalityq!C1436:R1436))&gt;0</f>
        <v>0</v>
      </c>
      <c r="C1436">
        <f>B1436*(hospitalityq!C1436="")</f>
        <v>0</v>
      </c>
      <c r="E1436">
        <f>B1436*(hospitalityq!E1436="")</f>
        <v>0</v>
      </c>
      <c r="F1436">
        <f>B1436*(hospitalityq!F1436="")</f>
        <v>0</v>
      </c>
      <c r="G1436">
        <f>B1436*(hospitalityq!G1436="")</f>
        <v>0</v>
      </c>
      <c r="H1436">
        <f>B1436*(hospitalityq!H1436="")</f>
        <v>0</v>
      </c>
      <c r="I1436">
        <f>B1436*(hospitalityq!I1436="")</f>
        <v>0</v>
      </c>
      <c r="J1436">
        <f>B1436*(hospitalityq!J1436="")</f>
        <v>0</v>
      </c>
      <c r="K1436">
        <f>B1436*(hospitalityq!K1436="")</f>
        <v>0</v>
      </c>
      <c r="L1436">
        <f>B1436*(hospitalityq!L1436="")</f>
        <v>0</v>
      </c>
      <c r="M1436">
        <f>B1436*(hospitalityq!M1436="")</f>
        <v>0</v>
      </c>
      <c r="N1436">
        <f>B1436*(hospitalityq!N1436="")</f>
        <v>0</v>
      </c>
      <c r="O1436">
        <f>B1436*(hospitalityq!O1436="")</f>
        <v>0</v>
      </c>
      <c r="P1436">
        <f>B1436*(hospitalityq!P1436="")</f>
        <v>0</v>
      </c>
      <c r="Q1436">
        <f>B1436*(hospitalityq!Q1436="")</f>
        <v>0</v>
      </c>
      <c r="R1436">
        <f>B1436*(hospitalityq!R1436="")</f>
        <v>0</v>
      </c>
    </row>
    <row r="1437" spans="1:18" x14ac:dyDescent="0.25">
      <c r="A1437">
        <f t="shared" si="23"/>
        <v>0</v>
      </c>
      <c r="B1437" t="b">
        <f>SUMPRODUCT(LEN(hospitalityq!C1437:R1437))&gt;0</f>
        <v>0</v>
      </c>
      <c r="C1437">
        <f>B1437*(hospitalityq!C1437="")</f>
        <v>0</v>
      </c>
      <c r="E1437">
        <f>B1437*(hospitalityq!E1437="")</f>
        <v>0</v>
      </c>
      <c r="F1437">
        <f>B1437*(hospitalityq!F1437="")</f>
        <v>0</v>
      </c>
      <c r="G1437">
        <f>B1437*(hospitalityq!G1437="")</f>
        <v>0</v>
      </c>
      <c r="H1437">
        <f>B1437*(hospitalityq!H1437="")</f>
        <v>0</v>
      </c>
      <c r="I1437">
        <f>B1437*(hospitalityq!I1437="")</f>
        <v>0</v>
      </c>
      <c r="J1437">
        <f>B1437*(hospitalityq!J1437="")</f>
        <v>0</v>
      </c>
      <c r="K1437">
        <f>B1437*(hospitalityq!K1437="")</f>
        <v>0</v>
      </c>
      <c r="L1437">
        <f>B1437*(hospitalityq!L1437="")</f>
        <v>0</v>
      </c>
      <c r="M1437">
        <f>B1437*(hospitalityq!M1437="")</f>
        <v>0</v>
      </c>
      <c r="N1437">
        <f>B1437*(hospitalityq!N1437="")</f>
        <v>0</v>
      </c>
      <c r="O1437">
        <f>B1437*(hospitalityq!O1437="")</f>
        <v>0</v>
      </c>
      <c r="P1437">
        <f>B1437*(hospitalityq!P1437="")</f>
        <v>0</v>
      </c>
      <c r="Q1437">
        <f>B1437*(hospitalityq!Q1437="")</f>
        <v>0</v>
      </c>
      <c r="R1437">
        <f>B1437*(hospitalityq!R1437="")</f>
        <v>0</v>
      </c>
    </row>
    <row r="1438" spans="1:18" x14ac:dyDescent="0.25">
      <c r="A1438">
        <f t="shared" si="23"/>
        <v>0</v>
      </c>
      <c r="B1438" t="b">
        <f>SUMPRODUCT(LEN(hospitalityq!C1438:R1438))&gt;0</f>
        <v>0</v>
      </c>
      <c r="C1438">
        <f>B1438*(hospitalityq!C1438="")</f>
        <v>0</v>
      </c>
      <c r="E1438">
        <f>B1438*(hospitalityq!E1438="")</f>
        <v>0</v>
      </c>
      <c r="F1438">
        <f>B1438*(hospitalityq!F1438="")</f>
        <v>0</v>
      </c>
      <c r="G1438">
        <f>B1438*(hospitalityq!G1438="")</f>
        <v>0</v>
      </c>
      <c r="H1438">
        <f>B1438*(hospitalityq!H1438="")</f>
        <v>0</v>
      </c>
      <c r="I1438">
        <f>B1438*(hospitalityq!I1438="")</f>
        <v>0</v>
      </c>
      <c r="J1438">
        <f>B1438*(hospitalityq!J1438="")</f>
        <v>0</v>
      </c>
      <c r="K1438">
        <f>B1438*(hospitalityq!K1438="")</f>
        <v>0</v>
      </c>
      <c r="L1438">
        <f>B1438*(hospitalityq!L1438="")</f>
        <v>0</v>
      </c>
      <c r="M1438">
        <f>B1438*(hospitalityq!M1438="")</f>
        <v>0</v>
      </c>
      <c r="N1438">
        <f>B1438*(hospitalityq!N1438="")</f>
        <v>0</v>
      </c>
      <c r="O1438">
        <f>B1438*(hospitalityq!O1438="")</f>
        <v>0</v>
      </c>
      <c r="P1438">
        <f>B1438*(hospitalityq!P1438="")</f>
        <v>0</v>
      </c>
      <c r="Q1438">
        <f>B1438*(hospitalityq!Q1438="")</f>
        <v>0</v>
      </c>
      <c r="R1438">
        <f>B1438*(hospitalityq!R1438="")</f>
        <v>0</v>
      </c>
    </row>
    <row r="1439" spans="1:18" x14ac:dyDescent="0.25">
      <c r="A1439">
        <f t="shared" si="23"/>
        <v>0</v>
      </c>
      <c r="B1439" t="b">
        <f>SUMPRODUCT(LEN(hospitalityq!C1439:R1439))&gt;0</f>
        <v>0</v>
      </c>
      <c r="C1439">
        <f>B1439*(hospitalityq!C1439="")</f>
        <v>0</v>
      </c>
      <c r="E1439">
        <f>B1439*(hospitalityq!E1439="")</f>
        <v>0</v>
      </c>
      <c r="F1439">
        <f>B1439*(hospitalityq!F1439="")</f>
        <v>0</v>
      </c>
      <c r="G1439">
        <f>B1439*(hospitalityq!G1439="")</f>
        <v>0</v>
      </c>
      <c r="H1439">
        <f>B1439*(hospitalityq!H1439="")</f>
        <v>0</v>
      </c>
      <c r="I1439">
        <f>B1439*(hospitalityq!I1439="")</f>
        <v>0</v>
      </c>
      <c r="J1439">
        <f>B1439*(hospitalityq!J1439="")</f>
        <v>0</v>
      </c>
      <c r="K1439">
        <f>B1439*(hospitalityq!K1439="")</f>
        <v>0</v>
      </c>
      <c r="L1439">
        <f>B1439*(hospitalityq!L1439="")</f>
        <v>0</v>
      </c>
      <c r="M1439">
        <f>B1439*(hospitalityq!M1439="")</f>
        <v>0</v>
      </c>
      <c r="N1439">
        <f>B1439*(hospitalityq!N1439="")</f>
        <v>0</v>
      </c>
      <c r="O1439">
        <f>B1439*(hospitalityq!O1439="")</f>
        <v>0</v>
      </c>
      <c r="P1439">
        <f>B1439*(hospitalityq!P1439="")</f>
        <v>0</v>
      </c>
      <c r="Q1439">
        <f>B1439*(hospitalityq!Q1439="")</f>
        <v>0</v>
      </c>
      <c r="R1439">
        <f>B1439*(hospitalityq!R1439="")</f>
        <v>0</v>
      </c>
    </row>
    <row r="1440" spans="1:18" x14ac:dyDescent="0.25">
      <c r="A1440">
        <f t="shared" si="23"/>
        <v>0</v>
      </c>
      <c r="B1440" t="b">
        <f>SUMPRODUCT(LEN(hospitalityq!C1440:R1440))&gt;0</f>
        <v>0</v>
      </c>
      <c r="C1440">
        <f>B1440*(hospitalityq!C1440="")</f>
        <v>0</v>
      </c>
      <c r="E1440">
        <f>B1440*(hospitalityq!E1440="")</f>
        <v>0</v>
      </c>
      <c r="F1440">
        <f>B1440*(hospitalityq!F1440="")</f>
        <v>0</v>
      </c>
      <c r="G1440">
        <f>B1440*(hospitalityq!G1440="")</f>
        <v>0</v>
      </c>
      <c r="H1440">
        <f>B1440*(hospitalityq!H1440="")</f>
        <v>0</v>
      </c>
      <c r="I1440">
        <f>B1440*(hospitalityq!I1440="")</f>
        <v>0</v>
      </c>
      <c r="J1440">
        <f>B1440*(hospitalityq!J1440="")</f>
        <v>0</v>
      </c>
      <c r="K1440">
        <f>B1440*(hospitalityq!K1440="")</f>
        <v>0</v>
      </c>
      <c r="L1440">
        <f>B1440*(hospitalityq!L1440="")</f>
        <v>0</v>
      </c>
      <c r="M1440">
        <f>B1440*(hospitalityq!M1440="")</f>
        <v>0</v>
      </c>
      <c r="N1440">
        <f>B1440*(hospitalityq!N1440="")</f>
        <v>0</v>
      </c>
      <c r="O1440">
        <f>B1440*(hospitalityq!O1440="")</f>
        <v>0</v>
      </c>
      <c r="P1440">
        <f>B1440*(hospitalityq!P1440="")</f>
        <v>0</v>
      </c>
      <c r="Q1440">
        <f>B1440*(hospitalityq!Q1440="")</f>
        <v>0</v>
      </c>
      <c r="R1440">
        <f>B1440*(hospitalityq!R1440="")</f>
        <v>0</v>
      </c>
    </row>
    <row r="1441" spans="1:18" x14ac:dyDescent="0.25">
      <c r="A1441">
        <f t="shared" si="23"/>
        <v>0</v>
      </c>
      <c r="B1441" t="b">
        <f>SUMPRODUCT(LEN(hospitalityq!C1441:R1441))&gt;0</f>
        <v>0</v>
      </c>
      <c r="C1441">
        <f>B1441*(hospitalityq!C1441="")</f>
        <v>0</v>
      </c>
      <c r="E1441">
        <f>B1441*(hospitalityq!E1441="")</f>
        <v>0</v>
      </c>
      <c r="F1441">
        <f>B1441*(hospitalityq!F1441="")</f>
        <v>0</v>
      </c>
      <c r="G1441">
        <f>B1441*(hospitalityq!G1441="")</f>
        <v>0</v>
      </c>
      <c r="H1441">
        <f>B1441*(hospitalityq!H1441="")</f>
        <v>0</v>
      </c>
      <c r="I1441">
        <f>B1441*(hospitalityq!I1441="")</f>
        <v>0</v>
      </c>
      <c r="J1441">
        <f>B1441*(hospitalityq!J1441="")</f>
        <v>0</v>
      </c>
      <c r="K1441">
        <f>B1441*(hospitalityq!K1441="")</f>
        <v>0</v>
      </c>
      <c r="L1441">
        <f>B1441*(hospitalityq!L1441="")</f>
        <v>0</v>
      </c>
      <c r="M1441">
        <f>B1441*(hospitalityq!M1441="")</f>
        <v>0</v>
      </c>
      <c r="N1441">
        <f>B1441*(hospitalityq!N1441="")</f>
        <v>0</v>
      </c>
      <c r="O1441">
        <f>B1441*(hospitalityq!O1441="")</f>
        <v>0</v>
      </c>
      <c r="P1441">
        <f>B1441*(hospitalityq!P1441="")</f>
        <v>0</v>
      </c>
      <c r="Q1441">
        <f>B1441*(hospitalityq!Q1441="")</f>
        <v>0</v>
      </c>
      <c r="R1441">
        <f>B1441*(hospitalityq!R1441="")</f>
        <v>0</v>
      </c>
    </row>
    <row r="1442" spans="1:18" x14ac:dyDescent="0.25">
      <c r="A1442">
        <f t="shared" si="23"/>
        <v>0</v>
      </c>
      <c r="B1442" t="b">
        <f>SUMPRODUCT(LEN(hospitalityq!C1442:R1442))&gt;0</f>
        <v>0</v>
      </c>
      <c r="C1442">
        <f>B1442*(hospitalityq!C1442="")</f>
        <v>0</v>
      </c>
      <c r="E1442">
        <f>B1442*(hospitalityq!E1442="")</f>
        <v>0</v>
      </c>
      <c r="F1442">
        <f>B1442*(hospitalityq!F1442="")</f>
        <v>0</v>
      </c>
      <c r="G1442">
        <f>B1442*(hospitalityq!G1442="")</f>
        <v>0</v>
      </c>
      <c r="H1442">
        <f>B1442*(hospitalityq!H1442="")</f>
        <v>0</v>
      </c>
      <c r="I1442">
        <f>B1442*(hospitalityq!I1442="")</f>
        <v>0</v>
      </c>
      <c r="J1442">
        <f>B1442*(hospitalityq!J1442="")</f>
        <v>0</v>
      </c>
      <c r="K1442">
        <f>B1442*(hospitalityq!K1442="")</f>
        <v>0</v>
      </c>
      <c r="L1442">
        <f>B1442*(hospitalityq!L1442="")</f>
        <v>0</v>
      </c>
      <c r="M1442">
        <f>B1442*(hospitalityq!M1442="")</f>
        <v>0</v>
      </c>
      <c r="N1442">
        <f>B1442*(hospitalityq!N1442="")</f>
        <v>0</v>
      </c>
      <c r="O1442">
        <f>B1442*(hospitalityq!O1442="")</f>
        <v>0</v>
      </c>
      <c r="P1442">
        <f>B1442*(hospitalityq!P1442="")</f>
        <v>0</v>
      </c>
      <c r="Q1442">
        <f>B1442*(hospitalityq!Q1442="")</f>
        <v>0</v>
      </c>
      <c r="R1442">
        <f>B1442*(hospitalityq!R1442="")</f>
        <v>0</v>
      </c>
    </row>
    <row r="1443" spans="1:18" x14ac:dyDescent="0.25">
      <c r="A1443">
        <f t="shared" si="23"/>
        <v>0</v>
      </c>
      <c r="B1443" t="b">
        <f>SUMPRODUCT(LEN(hospitalityq!C1443:R1443))&gt;0</f>
        <v>0</v>
      </c>
      <c r="C1443">
        <f>B1443*(hospitalityq!C1443="")</f>
        <v>0</v>
      </c>
      <c r="E1443">
        <f>B1443*(hospitalityq!E1443="")</f>
        <v>0</v>
      </c>
      <c r="F1443">
        <f>B1443*(hospitalityq!F1443="")</f>
        <v>0</v>
      </c>
      <c r="G1443">
        <f>B1443*(hospitalityq!G1443="")</f>
        <v>0</v>
      </c>
      <c r="H1443">
        <f>B1443*(hospitalityq!H1443="")</f>
        <v>0</v>
      </c>
      <c r="I1443">
        <f>B1443*(hospitalityq!I1443="")</f>
        <v>0</v>
      </c>
      <c r="J1443">
        <f>B1443*(hospitalityq!J1443="")</f>
        <v>0</v>
      </c>
      <c r="K1443">
        <f>B1443*(hospitalityq!K1443="")</f>
        <v>0</v>
      </c>
      <c r="L1443">
        <f>B1443*(hospitalityq!L1443="")</f>
        <v>0</v>
      </c>
      <c r="M1443">
        <f>B1443*(hospitalityq!M1443="")</f>
        <v>0</v>
      </c>
      <c r="N1443">
        <f>B1443*(hospitalityq!N1443="")</f>
        <v>0</v>
      </c>
      <c r="O1443">
        <f>B1443*(hospitalityq!O1443="")</f>
        <v>0</v>
      </c>
      <c r="P1443">
        <f>B1443*(hospitalityq!P1443="")</f>
        <v>0</v>
      </c>
      <c r="Q1443">
        <f>B1443*(hospitalityq!Q1443="")</f>
        <v>0</v>
      </c>
      <c r="R1443">
        <f>B1443*(hospitalityq!R1443="")</f>
        <v>0</v>
      </c>
    </row>
    <row r="1444" spans="1:18" x14ac:dyDescent="0.25">
      <c r="A1444">
        <f t="shared" si="23"/>
        <v>0</v>
      </c>
      <c r="B1444" t="b">
        <f>SUMPRODUCT(LEN(hospitalityq!C1444:R1444))&gt;0</f>
        <v>0</v>
      </c>
      <c r="C1444">
        <f>B1444*(hospitalityq!C1444="")</f>
        <v>0</v>
      </c>
      <c r="E1444">
        <f>B1444*(hospitalityq!E1444="")</f>
        <v>0</v>
      </c>
      <c r="F1444">
        <f>B1444*(hospitalityq!F1444="")</f>
        <v>0</v>
      </c>
      <c r="G1444">
        <f>B1444*(hospitalityq!G1444="")</f>
        <v>0</v>
      </c>
      <c r="H1444">
        <f>B1444*(hospitalityq!H1444="")</f>
        <v>0</v>
      </c>
      <c r="I1444">
        <f>B1444*(hospitalityq!I1444="")</f>
        <v>0</v>
      </c>
      <c r="J1444">
        <f>B1444*(hospitalityq!J1444="")</f>
        <v>0</v>
      </c>
      <c r="K1444">
        <f>B1444*(hospitalityq!K1444="")</f>
        <v>0</v>
      </c>
      <c r="L1444">
        <f>B1444*(hospitalityq!L1444="")</f>
        <v>0</v>
      </c>
      <c r="M1444">
        <f>B1444*(hospitalityq!M1444="")</f>
        <v>0</v>
      </c>
      <c r="N1444">
        <f>B1444*(hospitalityq!N1444="")</f>
        <v>0</v>
      </c>
      <c r="O1444">
        <f>B1444*(hospitalityq!O1444="")</f>
        <v>0</v>
      </c>
      <c r="P1444">
        <f>B1444*(hospitalityq!P1444="")</f>
        <v>0</v>
      </c>
      <c r="Q1444">
        <f>B1444*(hospitalityq!Q1444="")</f>
        <v>0</v>
      </c>
      <c r="R1444">
        <f>B1444*(hospitalityq!R1444="")</f>
        <v>0</v>
      </c>
    </row>
    <row r="1445" spans="1:18" x14ac:dyDescent="0.25">
      <c r="A1445">
        <f t="shared" si="23"/>
        <v>0</v>
      </c>
      <c r="B1445" t="b">
        <f>SUMPRODUCT(LEN(hospitalityq!C1445:R1445))&gt;0</f>
        <v>0</v>
      </c>
      <c r="C1445">
        <f>B1445*(hospitalityq!C1445="")</f>
        <v>0</v>
      </c>
      <c r="E1445">
        <f>B1445*(hospitalityq!E1445="")</f>
        <v>0</v>
      </c>
      <c r="F1445">
        <f>B1445*(hospitalityq!F1445="")</f>
        <v>0</v>
      </c>
      <c r="G1445">
        <f>B1445*(hospitalityq!G1445="")</f>
        <v>0</v>
      </c>
      <c r="H1445">
        <f>B1445*(hospitalityq!H1445="")</f>
        <v>0</v>
      </c>
      <c r="I1445">
        <f>B1445*(hospitalityq!I1445="")</f>
        <v>0</v>
      </c>
      <c r="J1445">
        <f>B1445*(hospitalityq!J1445="")</f>
        <v>0</v>
      </c>
      <c r="K1445">
        <f>B1445*(hospitalityq!K1445="")</f>
        <v>0</v>
      </c>
      <c r="L1445">
        <f>B1445*(hospitalityq!L1445="")</f>
        <v>0</v>
      </c>
      <c r="M1445">
        <f>B1445*(hospitalityq!M1445="")</f>
        <v>0</v>
      </c>
      <c r="N1445">
        <f>B1445*(hospitalityq!N1445="")</f>
        <v>0</v>
      </c>
      <c r="O1445">
        <f>B1445*(hospitalityq!O1445="")</f>
        <v>0</v>
      </c>
      <c r="P1445">
        <f>B1445*(hospitalityq!P1445="")</f>
        <v>0</v>
      </c>
      <c r="Q1445">
        <f>B1445*(hospitalityq!Q1445="")</f>
        <v>0</v>
      </c>
      <c r="R1445">
        <f>B1445*(hospitalityq!R1445="")</f>
        <v>0</v>
      </c>
    </row>
    <row r="1446" spans="1:18" x14ac:dyDescent="0.25">
      <c r="A1446">
        <f t="shared" si="23"/>
        <v>0</v>
      </c>
      <c r="B1446" t="b">
        <f>SUMPRODUCT(LEN(hospitalityq!C1446:R1446))&gt;0</f>
        <v>0</v>
      </c>
      <c r="C1446">
        <f>B1446*(hospitalityq!C1446="")</f>
        <v>0</v>
      </c>
      <c r="E1446">
        <f>B1446*(hospitalityq!E1446="")</f>
        <v>0</v>
      </c>
      <c r="F1446">
        <f>B1446*(hospitalityq!F1446="")</f>
        <v>0</v>
      </c>
      <c r="G1446">
        <f>B1446*(hospitalityq!G1446="")</f>
        <v>0</v>
      </c>
      <c r="H1446">
        <f>B1446*(hospitalityq!H1446="")</f>
        <v>0</v>
      </c>
      <c r="I1446">
        <f>B1446*(hospitalityq!I1446="")</f>
        <v>0</v>
      </c>
      <c r="J1446">
        <f>B1446*(hospitalityq!J1446="")</f>
        <v>0</v>
      </c>
      <c r="K1446">
        <f>B1446*(hospitalityq!K1446="")</f>
        <v>0</v>
      </c>
      <c r="L1446">
        <f>B1446*(hospitalityq!L1446="")</f>
        <v>0</v>
      </c>
      <c r="M1446">
        <f>B1446*(hospitalityq!M1446="")</f>
        <v>0</v>
      </c>
      <c r="N1446">
        <f>B1446*(hospitalityq!N1446="")</f>
        <v>0</v>
      </c>
      <c r="O1446">
        <f>B1446*(hospitalityq!O1446="")</f>
        <v>0</v>
      </c>
      <c r="P1446">
        <f>B1446*(hospitalityq!P1446="")</f>
        <v>0</v>
      </c>
      <c r="Q1446">
        <f>B1446*(hospitalityq!Q1446="")</f>
        <v>0</v>
      </c>
      <c r="R1446">
        <f>B1446*(hospitalityq!R1446="")</f>
        <v>0</v>
      </c>
    </row>
    <row r="1447" spans="1:18" x14ac:dyDescent="0.25">
      <c r="A1447">
        <f t="shared" si="23"/>
        <v>0</v>
      </c>
      <c r="B1447" t="b">
        <f>SUMPRODUCT(LEN(hospitalityq!C1447:R1447))&gt;0</f>
        <v>0</v>
      </c>
      <c r="C1447">
        <f>B1447*(hospitalityq!C1447="")</f>
        <v>0</v>
      </c>
      <c r="E1447">
        <f>B1447*(hospitalityq!E1447="")</f>
        <v>0</v>
      </c>
      <c r="F1447">
        <f>B1447*(hospitalityq!F1447="")</f>
        <v>0</v>
      </c>
      <c r="G1447">
        <f>B1447*(hospitalityq!G1447="")</f>
        <v>0</v>
      </c>
      <c r="H1447">
        <f>B1447*(hospitalityq!H1447="")</f>
        <v>0</v>
      </c>
      <c r="I1447">
        <f>B1447*(hospitalityq!I1447="")</f>
        <v>0</v>
      </c>
      <c r="J1447">
        <f>B1447*(hospitalityq!J1447="")</f>
        <v>0</v>
      </c>
      <c r="K1447">
        <f>B1447*(hospitalityq!K1447="")</f>
        <v>0</v>
      </c>
      <c r="L1447">
        <f>B1447*(hospitalityq!L1447="")</f>
        <v>0</v>
      </c>
      <c r="M1447">
        <f>B1447*(hospitalityq!M1447="")</f>
        <v>0</v>
      </c>
      <c r="N1447">
        <f>B1447*(hospitalityq!N1447="")</f>
        <v>0</v>
      </c>
      <c r="O1447">
        <f>B1447*(hospitalityq!O1447="")</f>
        <v>0</v>
      </c>
      <c r="P1447">
        <f>B1447*(hospitalityq!P1447="")</f>
        <v>0</v>
      </c>
      <c r="Q1447">
        <f>B1447*(hospitalityq!Q1447="")</f>
        <v>0</v>
      </c>
      <c r="R1447">
        <f>B1447*(hospitalityq!R1447="")</f>
        <v>0</v>
      </c>
    </row>
    <row r="1448" spans="1:18" x14ac:dyDescent="0.25">
      <c r="A1448">
        <f t="shared" si="23"/>
        <v>0</v>
      </c>
      <c r="B1448" t="b">
        <f>SUMPRODUCT(LEN(hospitalityq!C1448:R1448))&gt;0</f>
        <v>0</v>
      </c>
      <c r="C1448">
        <f>B1448*(hospitalityq!C1448="")</f>
        <v>0</v>
      </c>
      <c r="E1448">
        <f>B1448*(hospitalityq!E1448="")</f>
        <v>0</v>
      </c>
      <c r="F1448">
        <f>B1448*(hospitalityq!F1448="")</f>
        <v>0</v>
      </c>
      <c r="G1448">
        <f>B1448*(hospitalityq!G1448="")</f>
        <v>0</v>
      </c>
      <c r="H1448">
        <f>B1448*(hospitalityq!H1448="")</f>
        <v>0</v>
      </c>
      <c r="I1448">
        <f>B1448*(hospitalityq!I1448="")</f>
        <v>0</v>
      </c>
      <c r="J1448">
        <f>B1448*(hospitalityq!J1448="")</f>
        <v>0</v>
      </c>
      <c r="K1448">
        <f>B1448*(hospitalityq!K1448="")</f>
        <v>0</v>
      </c>
      <c r="L1448">
        <f>B1448*(hospitalityq!L1448="")</f>
        <v>0</v>
      </c>
      <c r="M1448">
        <f>B1448*(hospitalityq!M1448="")</f>
        <v>0</v>
      </c>
      <c r="N1448">
        <f>B1448*(hospitalityq!N1448="")</f>
        <v>0</v>
      </c>
      <c r="O1448">
        <f>B1448*(hospitalityq!O1448="")</f>
        <v>0</v>
      </c>
      <c r="P1448">
        <f>B1448*(hospitalityq!P1448="")</f>
        <v>0</v>
      </c>
      <c r="Q1448">
        <f>B1448*(hospitalityq!Q1448="")</f>
        <v>0</v>
      </c>
      <c r="R1448">
        <f>B1448*(hospitalityq!R1448="")</f>
        <v>0</v>
      </c>
    </row>
    <row r="1449" spans="1:18" x14ac:dyDescent="0.25">
      <c r="A1449">
        <f t="shared" si="23"/>
        <v>0</v>
      </c>
      <c r="B1449" t="b">
        <f>SUMPRODUCT(LEN(hospitalityq!C1449:R1449))&gt;0</f>
        <v>0</v>
      </c>
      <c r="C1449">
        <f>B1449*(hospitalityq!C1449="")</f>
        <v>0</v>
      </c>
      <c r="E1449">
        <f>B1449*(hospitalityq!E1449="")</f>
        <v>0</v>
      </c>
      <c r="F1449">
        <f>B1449*(hospitalityq!F1449="")</f>
        <v>0</v>
      </c>
      <c r="G1449">
        <f>B1449*(hospitalityq!G1449="")</f>
        <v>0</v>
      </c>
      <c r="H1449">
        <f>B1449*(hospitalityq!H1449="")</f>
        <v>0</v>
      </c>
      <c r="I1449">
        <f>B1449*(hospitalityq!I1449="")</f>
        <v>0</v>
      </c>
      <c r="J1449">
        <f>B1449*(hospitalityq!J1449="")</f>
        <v>0</v>
      </c>
      <c r="K1449">
        <f>B1449*(hospitalityq!K1449="")</f>
        <v>0</v>
      </c>
      <c r="L1449">
        <f>B1449*(hospitalityq!L1449="")</f>
        <v>0</v>
      </c>
      <c r="M1449">
        <f>B1449*(hospitalityq!M1449="")</f>
        <v>0</v>
      </c>
      <c r="N1449">
        <f>B1449*(hospitalityq!N1449="")</f>
        <v>0</v>
      </c>
      <c r="O1449">
        <f>B1449*(hospitalityq!O1449="")</f>
        <v>0</v>
      </c>
      <c r="P1449">
        <f>B1449*(hospitalityq!P1449="")</f>
        <v>0</v>
      </c>
      <c r="Q1449">
        <f>B1449*(hospitalityq!Q1449="")</f>
        <v>0</v>
      </c>
      <c r="R1449">
        <f>B1449*(hospitalityq!R1449="")</f>
        <v>0</v>
      </c>
    </row>
    <row r="1450" spans="1:18" x14ac:dyDescent="0.25">
      <c r="A1450">
        <f t="shared" si="23"/>
        <v>0</v>
      </c>
      <c r="B1450" t="b">
        <f>SUMPRODUCT(LEN(hospitalityq!C1450:R1450))&gt;0</f>
        <v>0</v>
      </c>
      <c r="C1450">
        <f>B1450*(hospitalityq!C1450="")</f>
        <v>0</v>
      </c>
      <c r="E1450">
        <f>B1450*(hospitalityq!E1450="")</f>
        <v>0</v>
      </c>
      <c r="F1450">
        <f>B1450*(hospitalityq!F1450="")</f>
        <v>0</v>
      </c>
      <c r="G1450">
        <f>B1450*(hospitalityq!G1450="")</f>
        <v>0</v>
      </c>
      <c r="H1450">
        <f>B1450*(hospitalityq!H1450="")</f>
        <v>0</v>
      </c>
      <c r="I1450">
        <f>B1450*(hospitalityq!I1450="")</f>
        <v>0</v>
      </c>
      <c r="J1450">
        <f>B1450*(hospitalityq!J1450="")</f>
        <v>0</v>
      </c>
      <c r="K1450">
        <f>B1450*(hospitalityq!K1450="")</f>
        <v>0</v>
      </c>
      <c r="L1450">
        <f>B1450*(hospitalityq!L1450="")</f>
        <v>0</v>
      </c>
      <c r="M1450">
        <f>B1450*(hospitalityq!M1450="")</f>
        <v>0</v>
      </c>
      <c r="N1450">
        <f>B1450*(hospitalityq!N1450="")</f>
        <v>0</v>
      </c>
      <c r="O1450">
        <f>B1450*(hospitalityq!O1450="")</f>
        <v>0</v>
      </c>
      <c r="P1450">
        <f>B1450*(hospitalityq!P1450="")</f>
        <v>0</v>
      </c>
      <c r="Q1450">
        <f>B1450*(hospitalityq!Q1450="")</f>
        <v>0</v>
      </c>
      <c r="R1450">
        <f>B1450*(hospitalityq!R1450="")</f>
        <v>0</v>
      </c>
    </row>
    <row r="1451" spans="1:18" x14ac:dyDescent="0.25">
      <c r="A1451">
        <f t="shared" si="23"/>
        <v>0</v>
      </c>
      <c r="B1451" t="b">
        <f>SUMPRODUCT(LEN(hospitalityq!C1451:R1451))&gt;0</f>
        <v>0</v>
      </c>
      <c r="C1451">
        <f>B1451*(hospitalityq!C1451="")</f>
        <v>0</v>
      </c>
      <c r="E1451">
        <f>B1451*(hospitalityq!E1451="")</f>
        <v>0</v>
      </c>
      <c r="F1451">
        <f>B1451*(hospitalityq!F1451="")</f>
        <v>0</v>
      </c>
      <c r="G1451">
        <f>B1451*(hospitalityq!G1451="")</f>
        <v>0</v>
      </c>
      <c r="H1451">
        <f>B1451*(hospitalityq!H1451="")</f>
        <v>0</v>
      </c>
      <c r="I1451">
        <f>B1451*(hospitalityq!I1451="")</f>
        <v>0</v>
      </c>
      <c r="J1451">
        <f>B1451*(hospitalityq!J1451="")</f>
        <v>0</v>
      </c>
      <c r="K1451">
        <f>B1451*(hospitalityq!K1451="")</f>
        <v>0</v>
      </c>
      <c r="L1451">
        <f>B1451*(hospitalityq!L1451="")</f>
        <v>0</v>
      </c>
      <c r="M1451">
        <f>B1451*(hospitalityq!M1451="")</f>
        <v>0</v>
      </c>
      <c r="N1451">
        <f>B1451*(hospitalityq!N1451="")</f>
        <v>0</v>
      </c>
      <c r="O1451">
        <f>B1451*(hospitalityq!O1451="")</f>
        <v>0</v>
      </c>
      <c r="P1451">
        <f>B1451*(hospitalityq!P1451="")</f>
        <v>0</v>
      </c>
      <c r="Q1451">
        <f>B1451*(hospitalityq!Q1451="")</f>
        <v>0</v>
      </c>
      <c r="R1451">
        <f>B1451*(hospitalityq!R1451="")</f>
        <v>0</v>
      </c>
    </row>
    <row r="1452" spans="1:18" x14ac:dyDescent="0.25">
      <c r="A1452">
        <f t="shared" si="23"/>
        <v>0</v>
      </c>
      <c r="B1452" t="b">
        <f>SUMPRODUCT(LEN(hospitalityq!C1452:R1452))&gt;0</f>
        <v>0</v>
      </c>
      <c r="C1452">
        <f>B1452*(hospitalityq!C1452="")</f>
        <v>0</v>
      </c>
      <c r="E1452">
        <f>B1452*(hospitalityq!E1452="")</f>
        <v>0</v>
      </c>
      <c r="F1452">
        <f>B1452*(hospitalityq!F1452="")</f>
        <v>0</v>
      </c>
      <c r="G1452">
        <f>B1452*(hospitalityq!G1452="")</f>
        <v>0</v>
      </c>
      <c r="H1452">
        <f>B1452*(hospitalityq!H1452="")</f>
        <v>0</v>
      </c>
      <c r="I1452">
        <f>B1452*(hospitalityq!I1452="")</f>
        <v>0</v>
      </c>
      <c r="J1452">
        <f>B1452*(hospitalityq!J1452="")</f>
        <v>0</v>
      </c>
      <c r="K1452">
        <f>B1452*(hospitalityq!K1452="")</f>
        <v>0</v>
      </c>
      <c r="L1452">
        <f>B1452*(hospitalityq!L1452="")</f>
        <v>0</v>
      </c>
      <c r="M1452">
        <f>B1452*(hospitalityq!M1452="")</f>
        <v>0</v>
      </c>
      <c r="N1452">
        <f>B1452*(hospitalityq!N1452="")</f>
        <v>0</v>
      </c>
      <c r="O1452">
        <f>B1452*(hospitalityq!O1452="")</f>
        <v>0</v>
      </c>
      <c r="P1452">
        <f>B1452*(hospitalityq!P1452="")</f>
        <v>0</v>
      </c>
      <c r="Q1452">
        <f>B1452*(hospitalityq!Q1452="")</f>
        <v>0</v>
      </c>
      <c r="R1452">
        <f>B1452*(hospitalityq!R1452="")</f>
        <v>0</v>
      </c>
    </row>
    <row r="1453" spans="1:18" x14ac:dyDescent="0.25">
      <c r="A1453">
        <f t="shared" si="23"/>
        <v>0</v>
      </c>
      <c r="B1453" t="b">
        <f>SUMPRODUCT(LEN(hospitalityq!C1453:R1453))&gt;0</f>
        <v>0</v>
      </c>
      <c r="C1453">
        <f>B1453*(hospitalityq!C1453="")</f>
        <v>0</v>
      </c>
      <c r="E1453">
        <f>B1453*(hospitalityq!E1453="")</f>
        <v>0</v>
      </c>
      <c r="F1453">
        <f>B1453*(hospitalityq!F1453="")</f>
        <v>0</v>
      </c>
      <c r="G1453">
        <f>B1453*(hospitalityq!G1453="")</f>
        <v>0</v>
      </c>
      <c r="H1453">
        <f>B1453*(hospitalityq!H1453="")</f>
        <v>0</v>
      </c>
      <c r="I1453">
        <f>B1453*(hospitalityq!I1453="")</f>
        <v>0</v>
      </c>
      <c r="J1453">
        <f>B1453*(hospitalityq!J1453="")</f>
        <v>0</v>
      </c>
      <c r="K1453">
        <f>B1453*(hospitalityq!K1453="")</f>
        <v>0</v>
      </c>
      <c r="L1453">
        <f>B1453*(hospitalityq!L1453="")</f>
        <v>0</v>
      </c>
      <c r="M1453">
        <f>B1453*(hospitalityq!M1453="")</f>
        <v>0</v>
      </c>
      <c r="N1453">
        <f>B1453*(hospitalityq!N1453="")</f>
        <v>0</v>
      </c>
      <c r="O1453">
        <f>B1453*(hospitalityq!O1453="")</f>
        <v>0</v>
      </c>
      <c r="P1453">
        <f>B1453*(hospitalityq!P1453="")</f>
        <v>0</v>
      </c>
      <c r="Q1453">
        <f>B1453*(hospitalityq!Q1453="")</f>
        <v>0</v>
      </c>
      <c r="R1453">
        <f>B1453*(hospitalityq!R1453="")</f>
        <v>0</v>
      </c>
    </row>
    <row r="1454" spans="1:18" x14ac:dyDescent="0.25">
      <c r="A1454">
        <f t="shared" si="23"/>
        <v>0</v>
      </c>
      <c r="B1454" t="b">
        <f>SUMPRODUCT(LEN(hospitalityq!C1454:R1454))&gt;0</f>
        <v>0</v>
      </c>
      <c r="C1454">
        <f>B1454*(hospitalityq!C1454="")</f>
        <v>0</v>
      </c>
      <c r="E1454">
        <f>B1454*(hospitalityq!E1454="")</f>
        <v>0</v>
      </c>
      <c r="F1454">
        <f>B1454*(hospitalityq!F1454="")</f>
        <v>0</v>
      </c>
      <c r="G1454">
        <f>B1454*(hospitalityq!G1454="")</f>
        <v>0</v>
      </c>
      <c r="H1454">
        <f>B1454*(hospitalityq!H1454="")</f>
        <v>0</v>
      </c>
      <c r="I1454">
        <f>B1454*(hospitalityq!I1454="")</f>
        <v>0</v>
      </c>
      <c r="J1454">
        <f>B1454*(hospitalityq!J1454="")</f>
        <v>0</v>
      </c>
      <c r="K1454">
        <f>B1454*(hospitalityq!K1454="")</f>
        <v>0</v>
      </c>
      <c r="L1454">
        <f>B1454*(hospitalityq!L1454="")</f>
        <v>0</v>
      </c>
      <c r="M1454">
        <f>B1454*(hospitalityq!M1454="")</f>
        <v>0</v>
      </c>
      <c r="N1454">
        <f>B1454*(hospitalityq!N1454="")</f>
        <v>0</v>
      </c>
      <c r="O1454">
        <f>B1454*(hospitalityq!O1454="")</f>
        <v>0</v>
      </c>
      <c r="P1454">
        <f>B1454*(hospitalityq!P1454="")</f>
        <v>0</v>
      </c>
      <c r="Q1454">
        <f>B1454*(hospitalityq!Q1454="")</f>
        <v>0</v>
      </c>
      <c r="R1454">
        <f>B1454*(hospitalityq!R1454="")</f>
        <v>0</v>
      </c>
    </row>
    <row r="1455" spans="1:18" x14ac:dyDescent="0.25">
      <c r="A1455">
        <f t="shared" si="23"/>
        <v>0</v>
      </c>
      <c r="B1455" t="b">
        <f>SUMPRODUCT(LEN(hospitalityq!C1455:R1455))&gt;0</f>
        <v>0</v>
      </c>
      <c r="C1455">
        <f>B1455*(hospitalityq!C1455="")</f>
        <v>0</v>
      </c>
      <c r="E1455">
        <f>B1455*(hospitalityq!E1455="")</f>
        <v>0</v>
      </c>
      <c r="F1455">
        <f>B1455*(hospitalityq!F1455="")</f>
        <v>0</v>
      </c>
      <c r="G1455">
        <f>B1455*(hospitalityq!G1455="")</f>
        <v>0</v>
      </c>
      <c r="H1455">
        <f>B1455*(hospitalityq!H1455="")</f>
        <v>0</v>
      </c>
      <c r="I1455">
        <f>B1455*(hospitalityq!I1455="")</f>
        <v>0</v>
      </c>
      <c r="J1455">
        <f>B1455*(hospitalityq!J1455="")</f>
        <v>0</v>
      </c>
      <c r="K1455">
        <f>B1455*(hospitalityq!K1455="")</f>
        <v>0</v>
      </c>
      <c r="L1455">
        <f>B1455*(hospitalityq!L1455="")</f>
        <v>0</v>
      </c>
      <c r="M1455">
        <f>B1455*(hospitalityq!M1455="")</f>
        <v>0</v>
      </c>
      <c r="N1455">
        <f>B1455*(hospitalityq!N1455="")</f>
        <v>0</v>
      </c>
      <c r="O1455">
        <f>B1455*(hospitalityq!O1455="")</f>
        <v>0</v>
      </c>
      <c r="P1455">
        <f>B1455*(hospitalityq!P1455="")</f>
        <v>0</v>
      </c>
      <c r="Q1455">
        <f>B1455*(hospitalityq!Q1455="")</f>
        <v>0</v>
      </c>
      <c r="R1455">
        <f>B1455*(hospitalityq!R1455="")</f>
        <v>0</v>
      </c>
    </row>
    <row r="1456" spans="1:18" x14ac:dyDescent="0.25">
      <c r="A1456">
        <f t="shared" si="23"/>
        <v>0</v>
      </c>
      <c r="B1456" t="b">
        <f>SUMPRODUCT(LEN(hospitalityq!C1456:R1456))&gt;0</f>
        <v>0</v>
      </c>
      <c r="C1456">
        <f>B1456*(hospitalityq!C1456="")</f>
        <v>0</v>
      </c>
      <c r="E1456">
        <f>B1456*(hospitalityq!E1456="")</f>
        <v>0</v>
      </c>
      <c r="F1456">
        <f>B1456*(hospitalityq!F1456="")</f>
        <v>0</v>
      </c>
      <c r="G1456">
        <f>B1456*(hospitalityq!G1456="")</f>
        <v>0</v>
      </c>
      <c r="H1456">
        <f>B1456*(hospitalityq!H1456="")</f>
        <v>0</v>
      </c>
      <c r="I1456">
        <f>B1456*(hospitalityq!I1456="")</f>
        <v>0</v>
      </c>
      <c r="J1456">
        <f>B1456*(hospitalityq!J1456="")</f>
        <v>0</v>
      </c>
      <c r="K1456">
        <f>B1456*(hospitalityq!K1456="")</f>
        <v>0</v>
      </c>
      <c r="L1456">
        <f>B1456*(hospitalityq!L1456="")</f>
        <v>0</v>
      </c>
      <c r="M1456">
        <f>B1456*(hospitalityq!M1456="")</f>
        <v>0</v>
      </c>
      <c r="N1456">
        <f>B1456*(hospitalityq!N1456="")</f>
        <v>0</v>
      </c>
      <c r="O1456">
        <f>B1456*(hospitalityq!O1456="")</f>
        <v>0</v>
      </c>
      <c r="P1456">
        <f>B1456*(hospitalityq!P1456="")</f>
        <v>0</v>
      </c>
      <c r="Q1456">
        <f>B1456*(hospitalityq!Q1456="")</f>
        <v>0</v>
      </c>
      <c r="R1456">
        <f>B1456*(hospitalityq!R1456="")</f>
        <v>0</v>
      </c>
    </row>
    <row r="1457" spans="1:18" x14ac:dyDescent="0.25">
      <c r="A1457">
        <f t="shared" si="23"/>
        <v>0</v>
      </c>
      <c r="B1457" t="b">
        <f>SUMPRODUCT(LEN(hospitalityq!C1457:R1457))&gt;0</f>
        <v>0</v>
      </c>
      <c r="C1457">
        <f>B1457*(hospitalityq!C1457="")</f>
        <v>0</v>
      </c>
      <c r="E1457">
        <f>B1457*(hospitalityq!E1457="")</f>
        <v>0</v>
      </c>
      <c r="F1457">
        <f>B1457*(hospitalityq!F1457="")</f>
        <v>0</v>
      </c>
      <c r="G1457">
        <f>B1457*(hospitalityq!G1457="")</f>
        <v>0</v>
      </c>
      <c r="H1457">
        <f>B1457*(hospitalityq!H1457="")</f>
        <v>0</v>
      </c>
      <c r="I1457">
        <f>B1457*(hospitalityq!I1457="")</f>
        <v>0</v>
      </c>
      <c r="J1457">
        <f>B1457*(hospitalityq!J1457="")</f>
        <v>0</v>
      </c>
      <c r="K1457">
        <f>B1457*(hospitalityq!K1457="")</f>
        <v>0</v>
      </c>
      <c r="L1457">
        <f>B1457*(hospitalityq!L1457="")</f>
        <v>0</v>
      </c>
      <c r="M1457">
        <f>B1457*(hospitalityq!M1457="")</f>
        <v>0</v>
      </c>
      <c r="N1457">
        <f>B1457*(hospitalityq!N1457="")</f>
        <v>0</v>
      </c>
      <c r="O1457">
        <f>B1457*(hospitalityq!O1457="")</f>
        <v>0</v>
      </c>
      <c r="P1457">
        <f>B1457*(hospitalityq!P1457="")</f>
        <v>0</v>
      </c>
      <c r="Q1457">
        <f>B1457*(hospitalityq!Q1457="")</f>
        <v>0</v>
      </c>
      <c r="R1457">
        <f>B1457*(hospitalityq!R1457="")</f>
        <v>0</v>
      </c>
    </row>
    <row r="1458" spans="1:18" x14ac:dyDescent="0.25">
      <c r="A1458">
        <f t="shared" si="23"/>
        <v>0</v>
      </c>
      <c r="B1458" t="b">
        <f>SUMPRODUCT(LEN(hospitalityq!C1458:R1458))&gt;0</f>
        <v>0</v>
      </c>
      <c r="C1458">
        <f>B1458*(hospitalityq!C1458="")</f>
        <v>0</v>
      </c>
      <c r="E1458">
        <f>B1458*(hospitalityq!E1458="")</f>
        <v>0</v>
      </c>
      <c r="F1458">
        <f>B1458*(hospitalityq!F1458="")</f>
        <v>0</v>
      </c>
      <c r="G1458">
        <f>B1458*(hospitalityq!G1458="")</f>
        <v>0</v>
      </c>
      <c r="H1458">
        <f>B1458*(hospitalityq!H1458="")</f>
        <v>0</v>
      </c>
      <c r="I1458">
        <f>B1458*(hospitalityq!I1458="")</f>
        <v>0</v>
      </c>
      <c r="J1458">
        <f>B1458*(hospitalityq!J1458="")</f>
        <v>0</v>
      </c>
      <c r="K1458">
        <f>B1458*(hospitalityq!K1458="")</f>
        <v>0</v>
      </c>
      <c r="L1458">
        <f>B1458*(hospitalityq!L1458="")</f>
        <v>0</v>
      </c>
      <c r="M1458">
        <f>B1458*(hospitalityq!M1458="")</f>
        <v>0</v>
      </c>
      <c r="N1458">
        <f>B1458*(hospitalityq!N1458="")</f>
        <v>0</v>
      </c>
      <c r="O1458">
        <f>B1458*(hospitalityq!O1458="")</f>
        <v>0</v>
      </c>
      <c r="P1458">
        <f>B1458*(hospitalityq!P1458="")</f>
        <v>0</v>
      </c>
      <c r="Q1458">
        <f>B1458*(hospitalityq!Q1458="")</f>
        <v>0</v>
      </c>
      <c r="R1458">
        <f>B1458*(hospitalityq!R1458="")</f>
        <v>0</v>
      </c>
    </row>
    <row r="1459" spans="1:18" x14ac:dyDescent="0.25">
      <c r="A1459">
        <f t="shared" si="23"/>
        <v>0</v>
      </c>
      <c r="B1459" t="b">
        <f>SUMPRODUCT(LEN(hospitalityq!C1459:R1459))&gt;0</f>
        <v>0</v>
      </c>
      <c r="C1459">
        <f>B1459*(hospitalityq!C1459="")</f>
        <v>0</v>
      </c>
      <c r="E1459">
        <f>B1459*(hospitalityq!E1459="")</f>
        <v>0</v>
      </c>
      <c r="F1459">
        <f>B1459*(hospitalityq!F1459="")</f>
        <v>0</v>
      </c>
      <c r="G1459">
        <f>B1459*(hospitalityq!G1459="")</f>
        <v>0</v>
      </c>
      <c r="H1459">
        <f>B1459*(hospitalityq!H1459="")</f>
        <v>0</v>
      </c>
      <c r="I1459">
        <f>B1459*(hospitalityq!I1459="")</f>
        <v>0</v>
      </c>
      <c r="J1459">
        <f>B1459*(hospitalityq!J1459="")</f>
        <v>0</v>
      </c>
      <c r="K1459">
        <f>B1459*(hospitalityq!K1459="")</f>
        <v>0</v>
      </c>
      <c r="L1459">
        <f>B1459*(hospitalityq!L1459="")</f>
        <v>0</v>
      </c>
      <c r="M1459">
        <f>B1459*(hospitalityq!M1459="")</f>
        <v>0</v>
      </c>
      <c r="N1459">
        <f>B1459*(hospitalityq!N1459="")</f>
        <v>0</v>
      </c>
      <c r="O1459">
        <f>B1459*(hospitalityq!O1459="")</f>
        <v>0</v>
      </c>
      <c r="P1459">
        <f>B1459*(hospitalityq!P1459="")</f>
        <v>0</v>
      </c>
      <c r="Q1459">
        <f>B1459*(hospitalityq!Q1459="")</f>
        <v>0</v>
      </c>
      <c r="R1459">
        <f>B1459*(hospitalityq!R1459="")</f>
        <v>0</v>
      </c>
    </row>
    <row r="1460" spans="1:18" x14ac:dyDescent="0.25">
      <c r="A1460">
        <f t="shared" si="23"/>
        <v>0</v>
      </c>
      <c r="B1460" t="b">
        <f>SUMPRODUCT(LEN(hospitalityq!C1460:R1460))&gt;0</f>
        <v>0</v>
      </c>
      <c r="C1460">
        <f>B1460*(hospitalityq!C1460="")</f>
        <v>0</v>
      </c>
      <c r="E1460">
        <f>B1460*(hospitalityq!E1460="")</f>
        <v>0</v>
      </c>
      <c r="F1460">
        <f>B1460*(hospitalityq!F1460="")</f>
        <v>0</v>
      </c>
      <c r="G1460">
        <f>B1460*(hospitalityq!G1460="")</f>
        <v>0</v>
      </c>
      <c r="H1460">
        <f>B1460*(hospitalityq!H1460="")</f>
        <v>0</v>
      </c>
      <c r="I1460">
        <f>B1460*(hospitalityq!I1460="")</f>
        <v>0</v>
      </c>
      <c r="J1460">
        <f>B1460*(hospitalityq!J1460="")</f>
        <v>0</v>
      </c>
      <c r="K1460">
        <f>B1460*(hospitalityq!K1460="")</f>
        <v>0</v>
      </c>
      <c r="L1460">
        <f>B1460*(hospitalityq!L1460="")</f>
        <v>0</v>
      </c>
      <c r="M1460">
        <f>B1460*(hospitalityq!M1460="")</f>
        <v>0</v>
      </c>
      <c r="N1460">
        <f>B1460*(hospitalityq!N1460="")</f>
        <v>0</v>
      </c>
      <c r="O1460">
        <f>B1460*(hospitalityq!O1460="")</f>
        <v>0</v>
      </c>
      <c r="P1460">
        <f>B1460*(hospitalityq!P1460="")</f>
        <v>0</v>
      </c>
      <c r="Q1460">
        <f>B1460*(hospitalityq!Q1460="")</f>
        <v>0</v>
      </c>
      <c r="R1460">
        <f>B1460*(hospitalityq!R1460="")</f>
        <v>0</v>
      </c>
    </row>
    <row r="1461" spans="1:18" x14ac:dyDescent="0.25">
      <c r="A1461">
        <f t="shared" si="23"/>
        <v>0</v>
      </c>
      <c r="B1461" t="b">
        <f>SUMPRODUCT(LEN(hospitalityq!C1461:R1461))&gt;0</f>
        <v>0</v>
      </c>
      <c r="C1461">
        <f>B1461*(hospitalityq!C1461="")</f>
        <v>0</v>
      </c>
      <c r="E1461">
        <f>B1461*(hospitalityq!E1461="")</f>
        <v>0</v>
      </c>
      <c r="F1461">
        <f>B1461*(hospitalityq!F1461="")</f>
        <v>0</v>
      </c>
      <c r="G1461">
        <f>B1461*(hospitalityq!G1461="")</f>
        <v>0</v>
      </c>
      <c r="H1461">
        <f>B1461*(hospitalityq!H1461="")</f>
        <v>0</v>
      </c>
      <c r="I1461">
        <f>B1461*(hospitalityq!I1461="")</f>
        <v>0</v>
      </c>
      <c r="J1461">
        <f>B1461*(hospitalityq!J1461="")</f>
        <v>0</v>
      </c>
      <c r="K1461">
        <f>B1461*(hospitalityq!K1461="")</f>
        <v>0</v>
      </c>
      <c r="L1461">
        <f>B1461*(hospitalityq!L1461="")</f>
        <v>0</v>
      </c>
      <c r="M1461">
        <f>B1461*(hospitalityq!M1461="")</f>
        <v>0</v>
      </c>
      <c r="N1461">
        <f>B1461*(hospitalityq!N1461="")</f>
        <v>0</v>
      </c>
      <c r="O1461">
        <f>B1461*(hospitalityq!O1461="")</f>
        <v>0</v>
      </c>
      <c r="P1461">
        <f>B1461*(hospitalityq!P1461="")</f>
        <v>0</v>
      </c>
      <c r="Q1461">
        <f>B1461*(hospitalityq!Q1461="")</f>
        <v>0</v>
      </c>
      <c r="R1461">
        <f>B1461*(hospitalityq!R1461="")</f>
        <v>0</v>
      </c>
    </row>
    <row r="1462" spans="1:18" x14ac:dyDescent="0.25">
      <c r="A1462">
        <f t="shared" si="23"/>
        <v>0</v>
      </c>
      <c r="B1462" t="b">
        <f>SUMPRODUCT(LEN(hospitalityq!C1462:R1462))&gt;0</f>
        <v>0</v>
      </c>
      <c r="C1462">
        <f>B1462*(hospitalityq!C1462="")</f>
        <v>0</v>
      </c>
      <c r="E1462">
        <f>B1462*(hospitalityq!E1462="")</f>
        <v>0</v>
      </c>
      <c r="F1462">
        <f>B1462*(hospitalityq!F1462="")</f>
        <v>0</v>
      </c>
      <c r="G1462">
        <f>B1462*(hospitalityq!G1462="")</f>
        <v>0</v>
      </c>
      <c r="H1462">
        <f>B1462*(hospitalityq!H1462="")</f>
        <v>0</v>
      </c>
      <c r="I1462">
        <f>B1462*(hospitalityq!I1462="")</f>
        <v>0</v>
      </c>
      <c r="J1462">
        <f>B1462*(hospitalityq!J1462="")</f>
        <v>0</v>
      </c>
      <c r="K1462">
        <f>B1462*(hospitalityq!K1462="")</f>
        <v>0</v>
      </c>
      <c r="L1462">
        <f>B1462*(hospitalityq!L1462="")</f>
        <v>0</v>
      </c>
      <c r="M1462">
        <f>B1462*(hospitalityq!M1462="")</f>
        <v>0</v>
      </c>
      <c r="N1462">
        <f>B1462*(hospitalityq!N1462="")</f>
        <v>0</v>
      </c>
      <c r="O1462">
        <f>B1462*(hospitalityq!O1462="")</f>
        <v>0</v>
      </c>
      <c r="P1462">
        <f>B1462*(hospitalityq!P1462="")</f>
        <v>0</v>
      </c>
      <c r="Q1462">
        <f>B1462*(hospitalityq!Q1462="")</f>
        <v>0</v>
      </c>
      <c r="R1462">
        <f>B1462*(hospitalityq!R1462="")</f>
        <v>0</v>
      </c>
    </row>
    <row r="1463" spans="1:18" x14ac:dyDescent="0.25">
      <c r="A1463">
        <f t="shared" si="23"/>
        <v>0</v>
      </c>
      <c r="B1463" t="b">
        <f>SUMPRODUCT(LEN(hospitalityq!C1463:R1463))&gt;0</f>
        <v>0</v>
      </c>
      <c r="C1463">
        <f>B1463*(hospitalityq!C1463="")</f>
        <v>0</v>
      </c>
      <c r="E1463">
        <f>B1463*(hospitalityq!E1463="")</f>
        <v>0</v>
      </c>
      <c r="F1463">
        <f>B1463*(hospitalityq!F1463="")</f>
        <v>0</v>
      </c>
      <c r="G1463">
        <f>B1463*(hospitalityq!G1463="")</f>
        <v>0</v>
      </c>
      <c r="H1463">
        <f>B1463*(hospitalityq!H1463="")</f>
        <v>0</v>
      </c>
      <c r="I1463">
        <f>B1463*(hospitalityq!I1463="")</f>
        <v>0</v>
      </c>
      <c r="J1463">
        <f>B1463*(hospitalityq!J1463="")</f>
        <v>0</v>
      </c>
      <c r="K1463">
        <f>B1463*(hospitalityq!K1463="")</f>
        <v>0</v>
      </c>
      <c r="L1463">
        <f>B1463*(hospitalityq!L1463="")</f>
        <v>0</v>
      </c>
      <c r="M1463">
        <f>B1463*(hospitalityq!M1463="")</f>
        <v>0</v>
      </c>
      <c r="N1463">
        <f>B1463*(hospitalityq!N1463="")</f>
        <v>0</v>
      </c>
      <c r="O1463">
        <f>B1463*(hospitalityq!O1463="")</f>
        <v>0</v>
      </c>
      <c r="P1463">
        <f>B1463*(hospitalityq!P1463="")</f>
        <v>0</v>
      </c>
      <c r="Q1463">
        <f>B1463*(hospitalityq!Q1463="")</f>
        <v>0</v>
      </c>
      <c r="R1463">
        <f>B1463*(hospitalityq!R1463="")</f>
        <v>0</v>
      </c>
    </row>
    <row r="1464" spans="1:18" x14ac:dyDescent="0.25">
      <c r="A1464">
        <f t="shared" si="23"/>
        <v>0</v>
      </c>
      <c r="B1464" t="b">
        <f>SUMPRODUCT(LEN(hospitalityq!C1464:R1464))&gt;0</f>
        <v>0</v>
      </c>
      <c r="C1464">
        <f>B1464*(hospitalityq!C1464="")</f>
        <v>0</v>
      </c>
      <c r="E1464">
        <f>B1464*(hospitalityq!E1464="")</f>
        <v>0</v>
      </c>
      <c r="F1464">
        <f>B1464*(hospitalityq!F1464="")</f>
        <v>0</v>
      </c>
      <c r="G1464">
        <f>B1464*(hospitalityq!G1464="")</f>
        <v>0</v>
      </c>
      <c r="H1464">
        <f>B1464*(hospitalityq!H1464="")</f>
        <v>0</v>
      </c>
      <c r="I1464">
        <f>B1464*(hospitalityq!I1464="")</f>
        <v>0</v>
      </c>
      <c r="J1464">
        <f>B1464*(hospitalityq!J1464="")</f>
        <v>0</v>
      </c>
      <c r="K1464">
        <f>B1464*(hospitalityq!K1464="")</f>
        <v>0</v>
      </c>
      <c r="L1464">
        <f>B1464*(hospitalityq!L1464="")</f>
        <v>0</v>
      </c>
      <c r="M1464">
        <f>B1464*(hospitalityq!M1464="")</f>
        <v>0</v>
      </c>
      <c r="N1464">
        <f>B1464*(hospitalityq!N1464="")</f>
        <v>0</v>
      </c>
      <c r="O1464">
        <f>B1464*(hospitalityq!O1464="")</f>
        <v>0</v>
      </c>
      <c r="P1464">
        <f>B1464*(hospitalityq!P1464="")</f>
        <v>0</v>
      </c>
      <c r="Q1464">
        <f>B1464*(hospitalityq!Q1464="")</f>
        <v>0</v>
      </c>
      <c r="R1464">
        <f>B1464*(hospitalityq!R1464="")</f>
        <v>0</v>
      </c>
    </row>
    <row r="1465" spans="1:18" x14ac:dyDescent="0.25">
      <c r="A1465">
        <f t="shared" si="23"/>
        <v>0</v>
      </c>
      <c r="B1465" t="b">
        <f>SUMPRODUCT(LEN(hospitalityq!C1465:R1465))&gt;0</f>
        <v>0</v>
      </c>
      <c r="C1465">
        <f>B1465*(hospitalityq!C1465="")</f>
        <v>0</v>
      </c>
      <c r="E1465">
        <f>B1465*(hospitalityq!E1465="")</f>
        <v>0</v>
      </c>
      <c r="F1465">
        <f>B1465*(hospitalityq!F1465="")</f>
        <v>0</v>
      </c>
      <c r="G1465">
        <f>B1465*(hospitalityq!G1465="")</f>
        <v>0</v>
      </c>
      <c r="H1465">
        <f>B1465*(hospitalityq!H1465="")</f>
        <v>0</v>
      </c>
      <c r="I1465">
        <f>B1465*(hospitalityq!I1465="")</f>
        <v>0</v>
      </c>
      <c r="J1465">
        <f>B1465*(hospitalityq!J1465="")</f>
        <v>0</v>
      </c>
      <c r="K1465">
        <f>B1465*(hospitalityq!K1465="")</f>
        <v>0</v>
      </c>
      <c r="L1465">
        <f>B1465*(hospitalityq!L1465="")</f>
        <v>0</v>
      </c>
      <c r="M1465">
        <f>B1465*(hospitalityq!M1465="")</f>
        <v>0</v>
      </c>
      <c r="N1465">
        <f>B1465*(hospitalityq!N1465="")</f>
        <v>0</v>
      </c>
      <c r="O1465">
        <f>B1465*(hospitalityq!O1465="")</f>
        <v>0</v>
      </c>
      <c r="P1465">
        <f>B1465*(hospitalityq!P1465="")</f>
        <v>0</v>
      </c>
      <c r="Q1465">
        <f>B1465*(hospitalityq!Q1465="")</f>
        <v>0</v>
      </c>
      <c r="R1465">
        <f>B1465*(hospitalityq!R1465="")</f>
        <v>0</v>
      </c>
    </row>
    <row r="1466" spans="1:18" x14ac:dyDescent="0.25">
      <c r="A1466">
        <f t="shared" si="23"/>
        <v>0</v>
      </c>
      <c r="B1466" t="b">
        <f>SUMPRODUCT(LEN(hospitalityq!C1466:R1466))&gt;0</f>
        <v>0</v>
      </c>
      <c r="C1466">
        <f>B1466*(hospitalityq!C1466="")</f>
        <v>0</v>
      </c>
      <c r="E1466">
        <f>B1466*(hospitalityq!E1466="")</f>
        <v>0</v>
      </c>
      <c r="F1466">
        <f>B1466*(hospitalityq!F1466="")</f>
        <v>0</v>
      </c>
      <c r="G1466">
        <f>B1466*(hospitalityq!G1466="")</f>
        <v>0</v>
      </c>
      <c r="H1466">
        <f>B1466*(hospitalityq!H1466="")</f>
        <v>0</v>
      </c>
      <c r="I1466">
        <f>B1466*(hospitalityq!I1466="")</f>
        <v>0</v>
      </c>
      <c r="J1466">
        <f>B1466*(hospitalityq!J1466="")</f>
        <v>0</v>
      </c>
      <c r="K1466">
        <f>B1466*(hospitalityq!K1466="")</f>
        <v>0</v>
      </c>
      <c r="L1466">
        <f>B1466*(hospitalityq!L1466="")</f>
        <v>0</v>
      </c>
      <c r="M1466">
        <f>B1466*(hospitalityq!M1466="")</f>
        <v>0</v>
      </c>
      <c r="N1466">
        <f>B1466*(hospitalityq!N1466="")</f>
        <v>0</v>
      </c>
      <c r="O1466">
        <f>B1466*(hospitalityq!O1466="")</f>
        <v>0</v>
      </c>
      <c r="P1466">
        <f>B1466*(hospitalityq!P1466="")</f>
        <v>0</v>
      </c>
      <c r="Q1466">
        <f>B1466*(hospitalityq!Q1466="")</f>
        <v>0</v>
      </c>
      <c r="R1466">
        <f>B1466*(hospitalityq!R1466="")</f>
        <v>0</v>
      </c>
    </row>
    <row r="1467" spans="1:18" x14ac:dyDescent="0.25">
      <c r="A1467">
        <f t="shared" si="23"/>
        <v>0</v>
      </c>
      <c r="B1467" t="b">
        <f>SUMPRODUCT(LEN(hospitalityq!C1467:R1467))&gt;0</f>
        <v>0</v>
      </c>
      <c r="C1467">
        <f>B1467*(hospitalityq!C1467="")</f>
        <v>0</v>
      </c>
      <c r="E1467">
        <f>B1467*(hospitalityq!E1467="")</f>
        <v>0</v>
      </c>
      <c r="F1467">
        <f>B1467*(hospitalityq!F1467="")</f>
        <v>0</v>
      </c>
      <c r="G1467">
        <f>B1467*(hospitalityq!G1467="")</f>
        <v>0</v>
      </c>
      <c r="H1467">
        <f>B1467*(hospitalityq!H1467="")</f>
        <v>0</v>
      </c>
      <c r="I1467">
        <f>B1467*(hospitalityq!I1467="")</f>
        <v>0</v>
      </c>
      <c r="J1467">
        <f>B1467*(hospitalityq!J1467="")</f>
        <v>0</v>
      </c>
      <c r="K1467">
        <f>B1467*(hospitalityq!K1467="")</f>
        <v>0</v>
      </c>
      <c r="L1467">
        <f>B1467*(hospitalityq!L1467="")</f>
        <v>0</v>
      </c>
      <c r="M1467">
        <f>B1467*(hospitalityq!M1467="")</f>
        <v>0</v>
      </c>
      <c r="N1467">
        <f>B1467*(hospitalityq!N1467="")</f>
        <v>0</v>
      </c>
      <c r="O1467">
        <f>B1467*(hospitalityq!O1467="")</f>
        <v>0</v>
      </c>
      <c r="P1467">
        <f>B1467*(hospitalityq!P1467="")</f>
        <v>0</v>
      </c>
      <c r="Q1467">
        <f>B1467*(hospitalityq!Q1467="")</f>
        <v>0</v>
      </c>
      <c r="R1467">
        <f>B1467*(hospitalityq!R1467="")</f>
        <v>0</v>
      </c>
    </row>
    <row r="1468" spans="1:18" x14ac:dyDescent="0.25">
      <c r="A1468">
        <f t="shared" si="23"/>
        <v>0</v>
      </c>
      <c r="B1468" t="b">
        <f>SUMPRODUCT(LEN(hospitalityq!C1468:R1468))&gt;0</f>
        <v>0</v>
      </c>
      <c r="C1468">
        <f>B1468*(hospitalityq!C1468="")</f>
        <v>0</v>
      </c>
      <c r="E1468">
        <f>B1468*(hospitalityq!E1468="")</f>
        <v>0</v>
      </c>
      <c r="F1468">
        <f>B1468*(hospitalityq!F1468="")</f>
        <v>0</v>
      </c>
      <c r="G1468">
        <f>B1468*(hospitalityq!G1468="")</f>
        <v>0</v>
      </c>
      <c r="H1468">
        <f>B1468*(hospitalityq!H1468="")</f>
        <v>0</v>
      </c>
      <c r="I1468">
        <f>B1468*(hospitalityq!I1468="")</f>
        <v>0</v>
      </c>
      <c r="J1468">
        <f>B1468*(hospitalityq!J1468="")</f>
        <v>0</v>
      </c>
      <c r="K1468">
        <f>B1468*(hospitalityq!K1468="")</f>
        <v>0</v>
      </c>
      <c r="L1468">
        <f>B1468*(hospitalityq!L1468="")</f>
        <v>0</v>
      </c>
      <c r="M1468">
        <f>B1468*(hospitalityq!M1468="")</f>
        <v>0</v>
      </c>
      <c r="N1468">
        <f>B1468*(hospitalityq!N1468="")</f>
        <v>0</v>
      </c>
      <c r="O1468">
        <f>B1468*(hospitalityq!O1468="")</f>
        <v>0</v>
      </c>
      <c r="P1468">
        <f>B1468*(hospitalityq!P1468="")</f>
        <v>0</v>
      </c>
      <c r="Q1468">
        <f>B1468*(hospitalityq!Q1468="")</f>
        <v>0</v>
      </c>
      <c r="R1468">
        <f>B1468*(hospitalityq!R1468="")</f>
        <v>0</v>
      </c>
    </row>
    <row r="1469" spans="1:18" x14ac:dyDescent="0.25">
      <c r="A1469">
        <f t="shared" si="23"/>
        <v>0</v>
      </c>
      <c r="B1469" t="b">
        <f>SUMPRODUCT(LEN(hospitalityq!C1469:R1469))&gt;0</f>
        <v>0</v>
      </c>
      <c r="C1469">
        <f>B1469*(hospitalityq!C1469="")</f>
        <v>0</v>
      </c>
      <c r="E1469">
        <f>B1469*(hospitalityq!E1469="")</f>
        <v>0</v>
      </c>
      <c r="F1469">
        <f>B1469*(hospitalityq!F1469="")</f>
        <v>0</v>
      </c>
      <c r="G1469">
        <f>B1469*(hospitalityq!G1469="")</f>
        <v>0</v>
      </c>
      <c r="H1469">
        <f>B1469*(hospitalityq!H1469="")</f>
        <v>0</v>
      </c>
      <c r="I1469">
        <f>B1469*(hospitalityq!I1469="")</f>
        <v>0</v>
      </c>
      <c r="J1469">
        <f>B1469*(hospitalityq!J1469="")</f>
        <v>0</v>
      </c>
      <c r="K1469">
        <f>B1469*(hospitalityq!K1469="")</f>
        <v>0</v>
      </c>
      <c r="L1469">
        <f>B1469*(hospitalityq!L1469="")</f>
        <v>0</v>
      </c>
      <c r="M1469">
        <f>B1469*(hospitalityq!M1469="")</f>
        <v>0</v>
      </c>
      <c r="N1469">
        <f>B1469*(hospitalityq!N1469="")</f>
        <v>0</v>
      </c>
      <c r="O1469">
        <f>B1469*(hospitalityq!O1469="")</f>
        <v>0</v>
      </c>
      <c r="P1469">
        <f>B1469*(hospitalityq!P1469="")</f>
        <v>0</v>
      </c>
      <c r="Q1469">
        <f>B1469*(hospitalityq!Q1469="")</f>
        <v>0</v>
      </c>
      <c r="R1469">
        <f>B1469*(hospitalityq!R1469="")</f>
        <v>0</v>
      </c>
    </row>
    <row r="1470" spans="1:18" x14ac:dyDescent="0.25">
      <c r="A1470">
        <f t="shared" si="23"/>
        <v>0</v>
      </c>
      <c r="B1470" t="b">
        <f>SUMPRODUCT(LEN(hospitalityq!C1470:R1470))&gt;0</f>
        <v>0</v>
      </c>
      <c r="C1470">
        <f>B1470*(hospitalityq!C1470="")</f>
        <v>0</v>
      </c>
      <c r="E1470">
        <f>B1470*(hospitalityq!E1470="")</f>
        <v>0</v>
      </c>
      <c r="F1470">
        <f>B1470*(hospitalityq!F1470="")</f>
        <v>0</v>
      </c>
      <c r="G1470">
        <f>B1470*(hospitalityq!G1470="")</f>
        <v>0</v>
      </c>
      <c r="H1470">
        <f>B1470*(hospitalityq!H1470="")</f>
        <v>0</v>
      </c>
      <c r="I1470">
        <f>B1470*(hospitalityq!I1470="")</f>
        <v>0</v>
      </c>
      <c r="J1470">
        <f>B1470*(hospitalityq!J1470="")</f>
        <v>0</v>
      </c>
      <c r="K1470">
        <f>B1470*(hospitalityq!K1470="")</f>
        <v>0</v>
      </c>
      <c r="L1470">
        <f>B1470*(hospitalityq!L1470="")</f>
        <v>0</v>
      </c>
      <c r="M1470">
        <f>B1470*(hospitalityq!M1470="")</f>
        <v>0</v>
      </c>
      <c r="N1470">
        <f>B1470*(hospitalityq!N1470="")</f>
        <v>0</v>
      </c>
      <c r="O1470">
        <f>B1470*(hospitalityq!O1470="")</f>
        <v>0</v>
      </c>
      <c r="P1470">
        <f>B1470*(hospitalityq!P1470="")</f>
        <v>0</v>
      </c>
      <c r="Q1470">
        <f>B1470*(hospitalityq!Q1470="")</f>
        <v>0</v>
      </c>
      <c r="R1470">
        <f>B1470*(hospitalityq!R1470="")</f>
        <v>0</v>
      </c>
    </row>
    <row r="1471" spans="1:18" x14ac:dyDescent="0.25">
      <c r="A1471">
        <f t="shared" si="23"/>
        <v>0</v>
      </c>
      <c r="B1471" t="b">
        <f>SUMPRODUCT(LEN(hospitalityq!C1471:R1471))&gt;0</f>
        <v>0</v>
      </c>
      <c r="C1471">
        <f>B1471*(hospitalityq!C1471="")</f>
        <v>0</v>
      </c>
      <c r="E1471">
        <f>B1471*(hospitalityq!E1471="")</f>
        <v>0</v>
      </c>
      <c r="F1471">
        <f>B1471*(hospitalityq!F1471="")</f>
        <v>0</v>
      </c>
      <c r="G1471">
        <f>B1471*(hospitalityq!G1471="")</f>
        <v>0</v>
      </c>
      <c r="H1471">
        <f>B1471*(hospitalityq!H1471="")</f>
        <v>0</v>
      </c>
      <c r="I1471">
        <f>B1471*(hospitalityq!I1471="")</f>
        <v>0</v>
      </c>
      <c r="J1471">
        <f>B1471*(hospitalityq!J1471="")</f>
        <v>0</v>
      </c>
      <c r="K1471">
        <f>B1471*(hospitalityq!K1471="")</f>
        <v>0</v>
      </c>
      <c r="L1471">
        <f>B1471*(hospitalityq!L1471="")</f>
        <v>0</v>
      </c>
      <c r="M1471">
        <f>B1471*(hospitalityq!M1471="")</f>
        <v>0</v>
      </c>
      <c r="N1471">
        <f>B1471*(hospitalityq!N1471="")</f>
        <v>0</v>
      </c>
      <c r="O1471">
        <f>B1471*(hospitalityq!O1471="")</f>
        <v>0</v>
      </c>
      <c r="P1471">
        <f>B1471*(hospitalityq!P1471="")</f>
        <v>0</v>
      </c>
      <c r="Q1471">
        <f>B1471*(hospitalityq!Q1471="")</f>
        <v>0</v>
      </c>
      <c r="R1471">
        <f>B1471*(hospitalityq!R1471="")</f>
        <v>0</v>
      </c>
    </row>
    <row r="1472" spans="1:18" x14ac:dyDescent="0.25">
      <c r="A1472">
        <f t="shared" si="23"/>
        <v>0</v>
      </c>
      <c r="B1472" t="b">
        <f>SUMPRODUCT(LEN(hospitalityq!C1472:R1472))&gt;0</f>
        <v>0</v>
      </c>
      <c r="C1472">
        <f>B1472*(hospitalityq!C1472="")</f>
        <v>0</v>
      </c>
      <c r="E1472">
        <f>B1472*(hospitalityq!E1472="")</f>
        <v>0</v>
      </c>
      <c r="F1472">
        <f>B1472*(hospitalityq!F1472="")</f>
        <v>0</v>
      </c>
      <c r="G1472">
        <f>B1472*(hospitalityq!G1472="")</f>
        <v>0</v>
      </c>
      <c r="H1472">
        <f>B1472*(hospitalityq!H1472="")</f>
        <v>0</v>
      </c>
      <c r="I1472">
        <f>B1472*(hospitalityq!I1472="")</f>
        <v>0</v>
      </c>
      <c r="J1472">
        <f>B1472*(hospitalityq!J1472="")</f>
        <v>0</v>
      </c>
      <c r="K1472">
        <f>B1472*(hospitalityq!K1472="")</f>
        <v>0</v>
      </c>
      <c r="L1472">
        <f>B1472*(hospitalityq!L1472="")</f>
        <v>0</v>
      </c>
      <c r="M1472">
        <f>B1472*(hospitalityq!M1472="")</f>
        <v>0</v>
      </c>
      <c r="N1472">
        <f>B1472*(hospitalityq!N1472="")</f>
        <v>0</v>
      </c>
      <c r="O1472">
        <f>B1472*(hospitalityq!O1472="")</f>
        <v>0</v>
      </c>
      <c r="P1472">
        <f>B1472*(hospitalityq!P1472="")</f>
        <v>0</v>
      </c>
      <c r="Q1472">
        <f>B1472*(hospitalityq!Q1472="")</f>
        <v>0</v>
      </c>
      <c r="R1472">
        <f>B1472*(hospitalityq!R1472="")</f>
        <v>0</v>
      </c>
    </row>
    <row r="1473" spans="1:18" x14ac:dyDescent="0.25">
      <c r="A1473">
        <f t="shared" si="23"/>
        <v>0</v>
      </c>
      <c r="B1473" t="b">
        <f>SUMPRODUCT(LEN(hospitalityq!C1473:R1473))&gt;0</f>
        <v>0</v>
      </c>
      <c r="C1473">
        <f>B1473*(hospitalityq!C1473="")</f>
        <v>0</v>
      </c>
      <c r="E1473">
        <f>B1473*(hospitalityq!E1473="")</f>
        <v>0</v>
      </c>
      <c r="F1473">
        <f>B1473*(hospitalityq!F1473="")</f>
        <v>0</v>
      </c>
      <c r="G1473">
        <f>B1473*(hospitalityq!G1473="")</f>
        <v>0</v>
      </c>
      <c r="H1473">
        <f>B1473*(hospitalityq!H1473="")</f>
        <v>0</v>
      </c>
      <c r="I1473">
        <f>B1473*(hospitalityq!I1473="")</f>
        <v>0</v>
      </c>
      <c r="J1473">
        <f>B1473*(hospitalityq!J1473="")</f>
        <v>0</v>
      </c>
      <c r="K1473">
        <f>B1473*(hospitalityq!K1473="")</f>
        <v>0</v>
      </c>
      <c r="L1473">
        <f>B1473*(hospitalityq!L1473="")</f>
        <v>0</v>
      </c>
      <c r="M1473">
        <f>B1473*(hospitalityq!M1473="")</f>
        <v>0</v>
      </c>
      <c r="N1473">
        <f>B1473*(hospitalityq!N1473="")</f>
        <v>0</v>
      </c>
      <c r="O1473">
        <f>B1473*(hospitalityq!O1473="")</f>
        <v>0</v>
      </c>
      <c r="P1473">
        <f>B1473*(hospitalityq!P1473="")</f>
        <v>0</v>
      </c>
      <c r="Q1473">
        <f>B1473*(hospitalityq!Q1473="")</f>
        <v>0</v>
      </c>
      <c r="R1473">
        <f>B1473*(hospitalityq!R1473="")</f>
        <v>0</v>
      </c>
    </row>
    <row r="1474" spans="1:18" x14ac:dyDescent="0.25">
      <c r="A1474">
        <f t="shared" si="23"/>
        <v>0</v>
      </c>
      <c r="B1474" t="b">
        <f>SUMPRODUCT(LEN(hospitalityq!C1474:R1474))&gt;0</f>
        <v>0</v>
      </c>
      <c r="C1474">
        <f>B1474*(hospitalityq!C1474="")</f>
        <v>0</v>
      </c>
      <c r="E1474">
        <f>B1474*(hospitalityq!E1474="")</f>
        <v>0</v>
      </c>
      <c r="F1474">
        <f>B1474*(hospitalityq!F1474="")</f>
        <v>0</v>
      </c>
      <c r="G1474">
        <f>B1474*(hospitalityq!G1474="")</f>
        <v>0</v>
      </c>
      <c r="H1474">
        <f>B1474*(hospitalityq!H1474="")</f>
        <v>0</v>
      </c>
      <c r="I1474">
        <f>B1474*(hospitalityq!I1474="")</f>
        <v>0</v>
      </c>
      <c r="J1474">
        <f>B1474*(hospitalityq!J1474="")</f>
        <v>0</v>
      </c>
      <c r="K1474">
        <f>B1474*(hospitalityq!K1474="")</f>
        <v>0</v>
      </c>
      <c r="L1474">
        <f>B1474*(hospitalityq!L1474="")</f>
        <v>0</v>
      </c>
      <c r="M1474">
        <f>B1474*(hospitalityq!M1474="")</f>
        <v>0</v>
      </c>
      <c r="N1474">
        <f>B1474*(hospitalityq!N1474="")</f>
        <v>0</v>
      </c>
      <c r="O1474">
        <f>B1474*(hospitalityq!O1474="")</f>
        <v>0</v>
      </c>
      <c r="P1474">
        <f>B1474*(hospitalityq!P1474="")</f>
        <v>0</v>
      </c>
      <c r="Q1474">
        <f>B1474*(hospitalityq!Q1474="")</f>
        <v>0</v>
      </c>
      <c r="R1474">
        <f>B1474*(hospitalityq!R1474="")</f>
        <v>0</v>
      </c>
    </row>
    <row r="1475" spans="1:18" x14ac:dyDescent="0.25">
      <c r="A1475">
        <f t="shared" si="23"/>
        <v>0</v>
      </c>
      <c r="B1475" t="b">
        <f>SUMPRODUCT(LEN(hospitalityq!C1475:R1475))&gt;0</f>
        <v>0</v>
      </c>
      <c r="C1475">
        <f>B1475*(hospitalityq!C1475="")</f>
        <v>0</v>
      </c>
      <c r="E1475">
        <f>B1475*(hospitalityq!E1475="")</f>
        <v>0</v>
      </c>
      <c r="F1475">
        <f>B1475*(hospitalityq!F1475="")</f>
        <v>0</v>
      </c>
      <c r="G1475">
        <f>B1475*(hospitalityq!G1475="")</f>
        <v>0</v>
      </c>
      <c r="H1475">
        <f>B1475*(hospitalityq!H1475="")</f>
        <v>0</v>
      </c>
      <c r="I1475">
        <f>B1475*(hospitalityq!I1475="")</f>
        <v>0</v>
      </c>
      <c r="J1475">
        <f>B1475*(hospitalityq!J1475="")</f>
        <v>0</v>
      </c>
      <c r="K1475">
        <f>B1475*(hospitalityq!K1475="")</f>
        <v>0</v>
      </c>
      <c r="L1475">
        <f>B1475*(hospitalityq!L1475="")</f>
        <v>0</v>
      </c>
      <c r="M1475">
        <f>B1475*(hospitalityq!M1475="")</f>
        <v>0</v>
      </c>
      <c r="N1475">
        <f>B1475*(hospitalityq!N1475="")</f>
        <v>0</v>
      </c>
      <c r="O1475">
        <f>B1475*(hospitalityq!O1475="")</f>
        <v>0</v>
      </c>
      <c r="P1475">
        <f>B1475*(hospitalityq!P1475="")</f>
        <v>0</v>
      </c>
      <c r="Q1475">
        <f>B1475*(hospitalityq!Q1475="")</f>
        <v>0</v>
      </c>
      <c r="R1475">
        <f>B1475*(hospitalityq!R1475="")</f>
        <v>0</v>
      </c>
    </row>
    <row r="1476" spans="1:18" x14ac:dyDescent="0.25">
      <c r="A1476">
        <f t="shared" si="23"/>
        <v>0</v>
      </c>
      <c r="B1476" t="b">
        <f>SUMPRODUCT(LEN(hospitalityq!C1476:R1476))&gt;0</f>
        <v>0</v>
      </c>
      <c r="C1476">
        <f>B1476*(hospitalityq!C1476="")</f>
        <v>0</v>
      </c>
      <c r="E1476">
        <f>B1476*(hospitalityq!E1476="")</f>
        <v>0</v>
      </c>
      <c r="F1476">
        <f>B1476*(hospitalityq!F1476="")</f>
        <v>0</v>
      </c>
      <c r="G1476">
        <f>B1476*(hospitalityq!G1476="")</f>
        <v>0</v>
      </c>
      <c r="H1476">
        <f>B1476*(hospitalityq!H1476="")</f>
        <v>0</v>
      </c>
      <c r="I1476">
        <f>B1476*(hospitalityq!I1476="")</f>
        <v>0</v>
      </c>
      <c r="J1476">
        <f>B1476*(hospitalityq!J1476="")</f>
        <v>0</v>
      </c>
      <c r="K1476">
        <f>B1476*(hospitalityq!K1476="")</f>
        <v>0</v>
      </c>
      <c r="L1476">
        <f>B1476*(hospitalityq!L1476="")</f>
        <v>0</v>
      </c>
      <c r="M1476">
        <f>B1476*(hospitalityq!M1476="")</f>
        <v>0</v>
      </c>
      <c r="N1476">
        <f>B1476*(hospitalityq!N1476="")</f>
        <v>0</v>
      </c>
      <c r="O1476">
        <f>B1476*(hospitalityq!O1476="")</f>
        <v>0</v>
      </c>
      <c r="P1476">
        <f>B1476*(hospitalityq!P1476="")</f>
        <v>0</v>
      </c>
      <c r="Q1476">
        <f>B1476*(hospitalityq!Q1476="")</f>
        <v>0</v>
      </c>
      <c r="R1476">
        <f>B1476*(hospitalityq!R1476="")</f>
        <v>0</v>
      </c>
    </row>
    <row r="1477" spans="1:18" x14ac:dyDescent="0.25">
      <c r="A1477">
        <f t="shared" si="23"/>
        <v>0</v>
      </c>
      <c r="B1477" t="b">
        <f>SUMPRODUCT(LEN(hospitalityq!C1477:R1477))&gt;0</f>
        <v>0</v>
      </c>
      <c r="C1477">
        <f>B1477*(hospitalityq!C1477="")</f>
        <v>0</v>
      </c>
      <c r="E1477">
        <f>B1477*(hospitalityq!E1477="")</f>
        <v>0</v>
      </c>
      <c r="F1477">
        <f>B1477*(hospitalityq!F1477="")</f>
        <v>0</v>
      </c>
      <c r="G1477">
        <f>B1477*(hospitalityq!G1477="")</f>
        <v>0</v>
      </c>
      <c r="H1477">
        <f>B1477*(hospitalityq!H1477="")</f>
        <v>0</v>
      </c>
      <c r="I1477">
        <f>B1477*(hospitalityq!I1477="")</f>
        <v>0</v>
      </c>
      <c r="J1477">
        <f>B1477*(hospitalityq!J1477="")</f>
        <v>0</v>
      </c>
      <c r="K1477">
        <f>B1477*(hospitalityq!K1477="")</f>
        <v>0</v>
      </c>
      <c r="L1477">
        <f>B1477*(hospitalityq!L1477="")</f>
        <v>0</v>
      </c>
      <c r="M1477">
        <f>B1477*(hospitalityq!M1477="")</f>
        <v>0</v>
      </c>
      <c r="N1477">
        <f>B1477*(hospitalityq!N1477="")</f>
        <v>0</v>
      </c>
      <c r="O1477">
        <f>B1477*(hospitalityq!O1477="")</f>
        <v>0</v>
      </c>
      <c r="P1477">
        <f>B1477*(hospitalityq!P1477="")</f>
        <v>0</v>
      </c>
      <c r="Q1477">
        <f>B1477*(hospitalityq!Q1477="")</f>
        <v>0</v>
      </c>
      <c r="R1477">
        <f>B1477*(hospitalityq!R1477="")</f>
        <v>0</v>
      </c>
    </row>
    <row r="1478" spans="1:18" x14ac:dyDescent="0.25">
      <c r="A1478">
        <f t="shared" ref="A1478:A1541" si="24">IFERROR(MATCH(TRUE,INDEX(C1478:R1478&lt;&gt;0,),)+2,0)</f>
        <v>0</v>
      </c>
      <c r="B1478" t="b">
        <f>SUMPRODUCT(LEN(hospitalityq!C1478:R1478))&gt;0</f>
        <v>0</v>
      </c>
      <c r="C1478">
        <f>B1478*(hospitalityq!C1478="")</f>
        <v>0</v>
      </c>
      <c r="E1478">
        <f>B1478*(hospitalityq!E1478="")</f>
        <v>0</v>
      </c>
      <c r="F1478">
        <f>B1478*(hospitalityq!F1478="")</f>
        <v>0</v>
      </c>
      <c r="G1478">
        <f>B1478*(hospitalityq!G1478="")</f>
        <v>0</v>
      </c>
      <c r="H1478">
        <f>B1478*(hospitalityq!H1478="")</f>
        <v>0</v>
      </c>
      <c r="I1478">
        <f>B1478*(hospitalityq!I1478="")</f>
        <v>0</v>
      </c>
      <c r="J1478">
        <f>B1478*(hospitalityq!J1478="")</f>
        <v>0</v>
      </c>
      <c r="K1478">
        <f>B1478*(hospitalityq!K1478="")</f>
        <v>0</v>
      </c>
      <c r="L1478">
        <f>B1478*(hospitalityq!L1478="")</f>
        <v>0</v>
      </c>
      <c r="M1478">
        <f>B1478*(hospitalityq!M1478="")</f>
        <v>0</v>
      </c>
      <c r="N1478">
        <f>B1478*(hospitalityq!N1478="")</f>
        <v>0</v>
      </c>
      <c r="O1478">
        <f>B1478*(hospitalityq!O1478="")</f>
        <v>0</v>
      </c>
      <c r="P1478">
        <f>B1478*(hospitalityq!P1478="")</f>
        <v>0</v>
      </c>
      <c r="Q1478">
        <f>B1478*(hospitalityq!Q1478="")</f>
        <v>0</v>
      </c>
      <c r="R1478">
        <f>B1478*(hospitalityq!R1478="")</f>
        <v>0</v>
      </c>
    </row>
    <row r="1479" spans="1:18" x14ac:dyDescent="0.25">
      <c r="A1479">
        <f t="shared" si="24"/>
        <v>0</v>
      </c>
      <c r="B1479" t="b">
        <f>SUMPRODUCT(LEN(hospitalityq!C1479:R1479))&gt;0</f>
        <v>0</v>
      </c>
      <c r="C1479">
        <f>B1479*(hospitalityq!C1479="")</f>
        <v>0</v>
      </c>
      <c r="E1479">
        <f>B1479*(hospitalityq!E1479="")</f>
        <v>0</v>
      </c>
      <c r="F1479">
        <f>B1479*(hospitalityq!F1479="")</f>
        <v>0</v>
      </c>
      <c r="G1479">
        <f>B1479*(hospitalityq!G1479="")</f>
        <v>0</v>
      </c>
      <c r="H1479">
        <f>B1479*(hospitalityq!H1479="")</f>
        <v>0</v>
      </c>
      <c r="I1479">
        <f>B1479*(hospitalityq!I1479="")</f>
        <v>0</v>
      </c>
      <c r="J1479">
        <f>B1479*(hospitalityq!J1479="")</f>
        <v>0</v>
      </c>
      <c r="K1479">
        <f>B1479*(hospitalityq!K1479="")</f>
        <v>0</v>
      </c>
      <c r="L1479">
        <f>B1479*(hospitalityq!L1479="")</f>
        <v>0</v>
      </c>
      <c r="M1479">
        <f>B1479*(hospitalityq!M1479="")</f>
        <v>0</v>
      </c>
      <c r="N1479">
        <f>B1479*(hospitalityq!N1479="")</f>
        <v>0</v>
      </c>
      <c r="O1479">
        <f>B1479*(hospitalityq!O1479="")</f>
        <v>0</v>
      </c>
      <c r="P1479">
        <f>B1479*(hospitalityq!P1479="")</f>
        <v>0</v>
      </c>
      <c r="Q1479">
        <f>B1479*(hospitalityq!Q1479="")</f>
        <v>0</v>
      </c>
      <c r="R1479">
        <f>B1479*(hospitalityq!R1479="")</f>
        <v>0</v>
      </c>
    </row>
    <row r="1480" spans="1:18" x14ac:dyDescent="0.25">
      <c r="A1480">
        <f t="shared" si="24"/>
        <v>0</v>
      </c>
      <c r="B1480" t="b">
        <f>SUMPRODUCT(LEN(hospitalityq!C1480:R1480))&gt;0</f>
        <v>0</v>
      </c>
      <c r="C1480">
        <f>B1480*(hospitalityq!C1480="")</f>
        <v>0</v>
      </c>
      <c r="E1480">
        <f>B1480*(hospitalityq!E1480="")</f>
        <v>0</v>
      </c>
      <c r="F1480">
        <f>B1480*(hospitalityq!F1480="")</f>
        <v>0</v>
      </c>
      <c r="G1480">
        <f>B1480*(hospitalityq!G1480="")</f>
        <v>0</v>
      </c>
      <c r="H1480">
        <f>B1480*(hospitalityq!H1480="")</f>
        <v>0</v>
      </c>
      <c r="I1480">
        <f>B1480*(hospitalityq!I1480="")</f>
        <v>0</v>
      </c>
      <c r="J1480">
        <f>B1480*(hospitalityq!J1480="")</f>
        <v>0</v>
      </c>
      <c r="K1480">
        <f>B1480*(hospitalityq!K1480="")</f>
        <v>0</v>
      </c>
      <c r="L1480">
        <f>B1480*(hospitalityq!L1480="")</f>
        <v>0</v>
      </c>
      <c r="M1480">
        <f>B1480*(hospitalityq!M1480="")</f>
        <v>0</v>
      </c>
      <c r="N1480">
        <f>B1480*(hospitalityq!N1480="")</f>
        <v>0</v>
      </c>
      <c r="O1480">
        <f>B1480*(hospitalityq!O1480="")</f>
        <v>0</v>
      </c>
      <c r="P1480">
        <f>B1480*(hospitalityq!P1480="")</f>
        <v>0</v>
      </c>
      <c r="Q1480">
        <f>B1480*(hospitalityq!Q1480="")</f>
        <v>0</v>
      </c>
      <c r="R1480">
        <f>B1480*(hospitalityq!R1480="")</f>
        <v>0</v>
      </c>
    </row>
    <row r="1481" spans="1:18" x14ac:dyDescent="0.25">
      <c r="A1481">
        <f t="shared" si="24"/>
        <v>0</v>
      </c>
      <c r="B1481" t="b">
        <f>SUMPRODUCT(LEN(hospitalityq!C1481:R1481))&gt;0</f>
        <v>0</v>
      </c>
      <c r="C1481">
        <f>B1481*(hospitalityq!C1481="")</f>
        <v>0</v>
      </c>
      <c r="E1481">
        <f>B1481*(hospitalityq!E1481="")</f>
        <v>0</v>
      </c>
      <c r="F1481">
        <f>B1481*(hospitalityq!F1481="")</f>
        <v>0</v>
      </c>
      <c r="G1481">
        <f>B1481*(hospitalityq!G1481="")</f>
        <v>0</v>
      </c>
      <c r="H1481">
        <f>B1481*(hospitalityq!H1481="")</f>
        <v>0</v>
      </c>
      <c r="I1481">
        <f>B1481*(hospitalityq!I1481="")</f>
        <v>0</v>
      </c>
      <c r="J1481">
        <f>B1481*(hospitalityq!J1481="")</f>
        <v>0</v>
      </c>
      <c r="K1481">
        <f>B1481*(hospitalityq!K1481="")</f>
        <v>0</v>
      </c>
      <c r="L1481">
        <f>B1481*(hospitalityq!L1481="")</f>
        <v>0</v>
      </c>
      <c r="M1481">
        <f>B1481*(hospitalityq!M1481="")</f>
        <v>0</v>
      </c>
      <c r="N1481">
        <f>B1481*(hospitalityq!N1481="")</f>
        <v>0</v>
      </c>
      <c r="O1481">
        <f>B1481*(hospitalityq!O1481="")</f>
        <v>0</v>
      </c>
      <c r="P1481">
        <f>B1481*(hospitalityq!P1481="")</f>
        <v>0</v>
      </c>
      <c r="Q1481">
        <f>B1481*(hospitalityq!Q1481="")</f>
        <v>0</v>
      </c>
      <c r="R1481">
        <f>B1481*(hospitalityq!R1481="")</f>
        <v>0</v>
      </c>
    </row>
    <row r="1482" spans="1:18" x14ac:dyDescent="0.25">
      <c r="A1482">
        <f t="shared" si="24"/>
        <v>0</v>
      </c>
      <c r="B1482" t="b">
        <f>SUMPRODUCT(LEN(hospitalityq!C1482:R1482))&gt;0</f>
        <v>0</v>
      </c>
      <c r="C1482">
        <f>B1482*(hospitalityq!C1482="")</f>
        <v>0</v>
      </c>
      <c r="E1482">
        <f>B1482*(hospitalityq!E1482="")</f>
        <v>0</v>
      </c>
      <c r="F1482">
        <f>B1482*(hospitalityq!F1482="")</f>
        <v>0</v>
      </c>
      <c r="G1482">
        <f>B1482*(hospitalityq!G1482="")</f>
        <v>0</v>
      </c>
      <c r="H1482">
        <f>B1482*(hospitalityq!H1482="")</f>
        <v>0</v>
      </c>
      <c r="I1482">
        <f>B1482*(hospitalityq!I1482="")</f>
        <v>0</v>
      </c>
      <c r="J1482">
        <f>B1482*(hospitalityq!J1482="")</f>
        <v>0</v>
      </c>
      <c r="K1482">
        <f>B1482*(hospitalityq!K1482="")</f>
        <v>0</v>
      </c>
      <c r="L1482">
        <f>B1482*(hospitalityq!L1482="")</f>
        <v>0</v>
      </c>
      <c r="M1482">
        <f>B1482*(hospitalityq!M1482="")</f>
        <v>0</v>
      </c>
      <c r="N1482">
        <f>B1482*(hospitalityq!N1482="")</f>
        <v>0</v>
      </c>
      <c r="O1482">
        <f>B1482*(hospitalityq!O1482="")</f>
        <v>0</v>
      </c>
      <c r="P1482">
        <f>B1482*(hospitalityq!P1482="")</f>
        <v>0</v>
      </c>
      <c r="Q1482">
        <f>B1482*(hospitalityq!Q1482="")</f>
        <v>0</v>
      </c>
      <c r="R1482">
        <f>B1482*(hospitalityq!R1482="")</f>
        <v>0</v>
      </c>
    </row>
    <row r="1483" spans="1:18" x14ac:dyDescent="0.25">
      <c r="A1483">
        <f t="shared" si="24"/>
        <v>0</v>
      </c>
      <c r="B1483" t="b">
        <f>SUMPRODUCT(LEN(hospitalityq!C1483:R1483))&gt;0</f>
        <v>0</v>
      </c>
      <c r="C1483">
        <f>B1483*(hospitalityq!C1483="")</f>
        <v>0</v>
      </c>
      <c r="E1483">
        <f>B1483*(hospitalityq!E1483="")</f>
        <v>0</v>
      </c>
      <c r="F1483">
        <f>B1483*(hospitalityq!F1483="")</f>
        <v>0</v>
      </c>
      <c r="G1483">
        <f>B1483*(hospitalityq!G1483="")</f>
        <v>0</v>
      </c>
      <c r="H1483">
        <f>B1483*(hospitalityq!H1483="")</f>
        <v>0</v>
      </c>
      <c r="I1483">
        <f>B1483*(hospitalityq!I1483="")</f>
        <v>0</v>
      </c>
      <c r="J1483">
        <f>B1483*(hospitalityq!J1483="")</f>
        <v>0</v>
      </c>
      <c r="K1483">
        <f>B1483*(hospitalityq!K1483="")</f>
        <v>0</v>
      </c>
      <c r="L1483">
        <f>B1483*(hospitalityq!L1483="")</f>
        <v>0</v>
      </c>
      <c r="M1483">
        <f>B1483*(hospitalityq!M1483="")</f>
        <v>0</v>
      </c>
      <c r="N1483">
        <f>B1483*(hospitalityq!N1483="")</f>
        <v>0</v>
      </c>
      <c r="O1483">
        <f>B1483*(hospitalityq!O1483="")</f>
        <v>0</v>
      </c>
      <c r="P1483">
        <f>B1483*(hospitalityq!P1483="")</f>
        <v>0</v>
      </c>
      <c r="Q1483">
        <f>B1483*(hospitalityq!Q1483="")</f>
        <v>0</v>
      </c>
      <c r="R1483">
        <f>B1483*(hospitalityq!R1483="")</f>
        <v>0</v>
      </c>
    </row>
    <row r="1484" spans="1:18" x14ac:dyDescent="0.25">
      <c r="A1484">
        <f t="shared" si="24"/>
        <v>0</v>
      </c>
      <c r="B1484" t="b">
        <f>SUMPRODUCT(LEN(hospitalityq!C1484:R1484))&gt;0</f>
        <v>0</v>
      </c>
      <c r="C1484">
        <f>B1484*(hospitalityq!C1484="")</f>
        <v>0</v>
      </c>
      <c r="E1484">
        <f>B1484*(hospitalityq!E1484="")</f>
        <v>0</v>
      </c>
      <c r="F1484">
        <f>B1484*(hospitalityq!F1484="")</f>
        <v>0</v>
      </c>
      <c r="G1484">
        <f>B1484*(hospitalityq!G1484="")</f>
        <v>0</v>
      </c>
      <c r="H1484">
        <f>B1484*(hospitalityq!H1484="")</f>
        <v>0</v>
      </c>
      <c r="I1484">
        <f>B1484*(hospitalityq!I1484="")</f>
        <v>0</v>
      </c>
      <c r="J1484">
        <f>B1484*(hospitalityq!J1484="")</f>
        <v>0</v>
      </c>
      <c r="K1484">
        <f>B1484*(hospitalityq!K1484="")</f>
        <v>0</v>
      </c>
      <c r="L1484">
        <f>B1484*(hospitalityq!L1484="")</f>
        <v>0</v>
      </c>
      <c r="M1484">
        <f>B1484*(hospitalityq!M1484="")</f>
        <v>0</v>
      </c>
      <c r="N1484">
        <f>B1484*(hospitalityq!N1484="")</f>
        <v>0</v>
      </c>
      <c r="O1484">
        <f>B1484*(hospitalityq!O1484="")</f>
        <v>0</v>
      </c>
      <c r="P1484">
        <f>B1484*(hospitalityq!P1484="")</f>
        <v>0</v>
      </c>
      <c r="Q1484">
        <f>B1484*(hospitalityq!Q1484="")</f>
        <v>0</v>
      </c>
      <c r="R1484">
        <f>B1484*(hospitalityq!R1484="")</f>
        <v>0</v>
      </c>
    </row>
    <row r="1485" spans="1:18" x14ac:dyDescent="0.25">
      <c r="A1485">
        <f t="shared" si="24"/>
        <v>0</v>
      </c>
      <c r="B1485" t="b">
        <f>SUMPRODUCT(LEN(hospitalityq!C1485:R1485))&gt;0</f>
        <v>0</v>
      </c>
      <c r="C1485">
        <f>B1485*(hospitalityq!C1485="")</f>
        <v>0</v>
      </c>
      <c r="E1485">
        <f>B1485*(hospitalityq!E1485="")</f>
        <v>0</v>
      </c>
      <c r="F1485">
        <f>B1485*(hospitalityq!F1485="")</f>
        <v>0</v>
      </c>
      <c r="G1485">
        <f>B1485*(hospitalityq!G1485="")</f>
        <v>0</v>
      </c>
      <c r="H1485">
        <f>B1485*(hospitalityq!H1485="")</f>
        <v>0</v>
      </c>
      <c r="I1485">
        <f>B1485*(hospitalityq!I1485="")</f>
        <v>0</v>
      </c>
      <c r="J1485">
        <f>B1485*(hospitalityq!J1485="")</f>
        <v>0</v>
      </c>
      <c r="K1485">
        <f>B1485*(hospitalityq!K1485="")</f>
        <v>0</v>
      </c>
      <c r="L1485">
        <f>B1485*(hospitalityq!L1485="")</f>
        <v>0</v>
      </c>
      <c r="M1485">
        <f>B1485*(hospitalityq!M1485="")</f>
        <v>0</v>
      </c>
      <c r="N1485">
        <f>B1485*(hospitalityq!N1485="")</f>
        <v>0</v>
      </c>
      <c r="O1485">
        <f>B1485*(hospitalityq!O1485="")</f>
        <v>0</v>
      </c>
      <c r="P1485">
        <f>B1485*(hospitalityq!P1485="")</f>
        <v>0</v>
      </c>
      <c r="Q1485">
        <f>B1485*(hospitalityq!Q1485="")</f>
        <v>0</v>
      </c>
      <c r="R1485">
        <f>B1485*(hospitalityq!R1485="")</f>
        <v>0</v>
      </c>
    </row>
    <row r="1486" spans="1:18" x14ac:dyDescent="0.25">
      <c r="A1486">
        <f t="shared" si="24"/>
        <v>0</v>
      </c>
      <c r="B1486" t="b">
        <f>SUMPRODUCT(LEN(hospitalityq!C1486:R1486))&gt;0</f>
        <v>0</v>
      </c>
      <c r="C1486">
        <f>B1486*(hospitalityq!C1486="")</f>
        <v>0</v>
      </c>
      <c r="E1486">
        <f>B1486*(hospitalityq!E1486="")</f>
        <v>0</v>
      </c>
      <c r="F1486">
        <f>B1486*(hospitalityq!F1486="")</f>
        <v>0</v>
      </c>
      <c r="G1486">
        <f>B1486*(hospitalityq!G1486="")</f>
        <v>0</v>
      </c>
      <c r="H1486">
        <f>B1486*(hospitalityq!H1486="")</f>
        <v>0</v>
      </c>
      <c r="I1486">
        <f>B1486*(hospitalityq!I1486="")</f>
        <v>0</v>
      </c>
      <c r="J1486">
        <f>B1486*(hospitalityq!J1486="")</f>
        <v>0</v>
      </c>
      <c r="K1486">
        <f>B1486*(hospitalityq!K1486="")</f>
        <v>0</v>
      </c>
      <c r="L1486">
        <f>B1486*(hospitalityq!L1486="")</f>
        <v>0</v>
      </c>
      <c r="M1486">
        <f>B1486*(hospitalityq!M1486="")</f>
        <v>0</v>
      </c>
      <c r="N1486">
        <f>B1486*(hospitalityq!N1486="")</f>
        <v>0</v>
      </c>
      <c r="O1486">
        <f>B1486*(hospitalityq!O1486="")</f>
        <v>0</v>
      </c>
      <c r="P1486">
        <f>B1486*(hospitalityq!P1486="")</f>
        <v>0</v>
      </c>
      <c r="Q1486">
        <f>B1486*(hospitalityq!Q1486="")</f>
        <v>0</v>
      </c>
      <c r="R1486">
        <f>B1486*(hospitalityq!R1486="")</f>
        <v>0</v>
      </c>
    </row>
    <row r="1487" spans="1:18" x14ac:dyDescent="0.25">
      <c r="A1487">
        <f t="shared" si="24"/>
        <v>0</v>
      </c>
      <c r="B1487" t="b">
        <f>SUMPRODUCT(LEN(hospitalityq!C1487:R1487))&gt;0</f>
        <v>0</v>
      </c>
      <c r="C1487">
        <f>B1487*(hospitalityq!C1487="")</f>
        <v>0</v>
      </c>
      <c r="E1487">
        <f>B1487*(hospitalityq!E1487="")</f>
        <v>0</v>
      </c>
      <c r="F1487">
        <f>B1487*(hospitalityq!F1487="")</f>
        <v>0</v>
      </c>
      <c r="G1487">
        <f>B1487*(hospitalityq!G1487="")</f>
        <v>0</v>
      </c>
      <c r="H1487">
        <f>B1487*(hospitalityq!H1487="")</f>
        <v>0</v>
      </c>
      <c r="I1487">
        <f>B1487*(hospitalityq!I1487="")</f>
        <v>0</v>
      </c>
      <c r="J1487">
        <f>B1487*(hospitalityq!J1487="")</f>
        <v>0</v>
      </c>
      <c r="K1487">
        <f>B1487*(hospitalityq!K1487="")</f>
        <v>0</v>
      </c>
      <c r="L1487">
        <f>B1487*(hospitalityq!L1487="")</f>
        <v>0</v>
      </c>
      <c r="M1487">
        <f>B1487*(hospitalityq!M1487="")</f>
        <v>0</v>
      </c>
      <c r="N1487">
        <f>B1487*(hospitalityq!N1487="")</f>
        <v>0</v>
      </c>
      <c r="O1487">
        <f>B1487*(hospitalityq!O1487="")</f>
        <v>0</v>
      </c>
      <c r="P1487">
        <f>B1487*(hospitalityq!P1487="")</f>
        <v>0</v>
      </c>
      <c r="Q1487">
        <f>B1487*(hospitalityq!Q1487="")</f>
        <v>0</v>
      </c>
      <c r="R1487">
        <f>B1487*(hospitalityq!R1487="")</f>
        <v>0</v>
      </c>
    </row>
    <row r="1488" spans="1:18" x14ac:dyDescent="0.25">
      <c r="A1488">
        <f t="shared" si="24"/>
        <v>0</v>
      </c>
      <c r="B1488" t="b">
        <f>SUMPRODUCT(LEN(hospitalityq!C1488:R1488))&gt;0</f>
        <v>0</v>
      </c>
      <c r="C1488">
        <f>B1488*(hospitalityq!C1488="")</f>
        <v>0</v>
      </c>
      <c r="E1488">
        <f>B1488*(hospitalityq!E1488="")</f>
        <v>0</v>
      </c>
      <c r="F1488">
        <f>B1488*(hospitalityq!F1488="")</f>
        <v>0</v>
      </c>
      <c r="G1488">
        <f>B1488*(hospitalityq!G1488="")</f>
        <v>0</v>
      </c>
      <c r="H1488">
        <f>B1488*(hospitalityq!H1488="")</f>
        <v>0</v>
      </c>
      <c r="I1488">
        <f>B1488*(hospitalityq!I1488="")</f>
        <v>0</v>
      </c>
      <c r="J1488">
        <f>B1488*(hospitalityq!J1488="")</f>
        <v>0</v>
      </c>
      <c r="K1488">
        <f>B1488*(hospitalityq!K1488="")</f>
        <v>0</v>
      </c>
      <c r="L1488">
        <f>B1488*(hospitalityq!L1488="")</f>
        <v>0</v>
      </c>
      <c r="M1488">
        <f>B1488*(hospitalityq!M1488="")</f>
        <v>0</v>
      </c>
      <c r="N1488">
        <f>B1488*(hospitalityq!N1488="")</f>
        <v>0</v>
      </c>
      <c r="O1488">
        <f>B1488*(hospitalityq!O1488="")</f>
        <v>0</v>
      </c>
      <c r="P1488">
        <f>B1488*(hospitalityq!P1488="")</f>
        <v>0</v>
      </c>
      <c r="Q1488">
        <f>B1488*(hospitalityq!Q1488="")</f>
        <v>0</v>
      </c>
      <c r="R1488">
        <f>B1488*(hospitalityq!R1488="")</f>
        <v>0</v>
      </c>
    </row>
    <row r="1489" spans="1:18" x14ac:dyDescent="0.25">
      <c r="A1489">
        <f t="shared" si="24"/>
        <v>0</v>
      </c>
      <c r="B1489" t="b">
        <f>SUMPRODUCT(LEN(hospitalityq!C1489:R1489))&gt;0</f>
        <v>0</v>
      </c>
      <c r="C1489">
        <f>B1489*(hospitalityq!C1489="")</f>
        <v>0</v>
      </c>
      <c r="E1489">
        <f>B1489*(hospitalityq!E1489="")</f>
        <v>0</v>
      </c>
      <c r="F1489">
        <f>B1489*(hospitalityq!F1489="")</f>
        <v>0</v>
      </c>
      <c r="G1489">
        <f>B1489*(hospitalityq!G1489="")</f>
        <v>0</v>
      </c>
      <c r="H1489">
        <f>B1489*(hospitalityq!H1489="")</f>
        <v>0</v>
      </c>
      <c r="I1489">
        <f>B1489*(hospitalityq!I1489="")</f>
        <v>0</v>
      </c>
      <c r="J1489">
        <f>B1489*(hospitalityq!J1489="")</f>
        <v>0</v>
      </c>
      <c r="K1489">
        <f>B1489*(hospitalityq!K1489="")</f>
        <v>0</v>
      </c>
      <c r="L1489">
        <f>B1489*(hospitalityq!L1489="")</f>
        <v>0</v>
      </c>
      <c r="M1489">
        <f>B1489*(hospitalityq!M1489="")</f>
        <v>0</v>
      </c>
      <c r="N1489">
        <f>B1489*(hospitalityq!N1489="")</f>
        <v>0</v>
      </c>
      <c r="O1489">
        <f>B1489*(hospitalityq!O1489="")</f>
        <v>0</v>
      </c>
      <c r="P1489">
        <f>B1489*(hospitalityq!P1489="")</f>
        <v>0</v>
      </c>
      <c r="Q1489">
        <f>B1489*(hospitalityq!Q1489="")</f>
        <v>0</v>
      </c>
      <c r="R1489">
        <f>B1489*(hospitalityq!R1489="")</f>
        <v>0</v>
      </c>
    </row>
    <row r="1490" spans="1:18" x14ac:dyDescent="0.25">
      <c r="A1490">
        <f t="shared" si="24"/>
        <v>0</v>
      </c>
      <c r="B1490" t="b">
        <f>SUMPRODUCT(LEN(hospitalityq!C1490:R1490))&gt;0</f>
        <v>0</v>
      </c>
      <c r="C1490">
        <f>B1490*(hospitalityq!C1490="")</f>
        <v>0</v>
      </c>
      <c r="E1490">
        <f>B1490*(hospitalityq!E1490="")</f>
        <v>0</v>
      </c>
      <c r="F1490">
        <f>B1490*(hospitalityq!F1490="")</f>
        <v>0</v>
      </c>
      <c r="G1490">
        <f>B1490*(hospitalityq!G1490="")</f>
        <v>0</v>
      </c>
      <c r="H1490">
        <f>B1490*(hospitalityq!H1490="")</f>
        <v>0</v>
      </c>
      <c r="I1490">
        <f>B1490*(hospitalityq!I1490="")</f>
        <v>0</v>
      </c>
      <c r="J1490">
        <f>B1490*(hospitalityq!J1490="")</f>
        <v>0</v>
      </c>
      <c r="K1490">
        <f>B1490*(hospitalityq!K1490="")</f>
        <v>0</v>
      </c>
      <c r="L1490">
        <f>B1490*(hospitalityq!L1490="")</f>
        <v>0</v>
      </c>
      <c r="M1490">
        <f>B1490*(hospitalityq!M1490="")</f>
        <v>0</v>
      </c>
      <c r="N1490">
        <f>B1490*(hospitalityq!N1490="")</f>
        <v>0</v>
      </c>
      <c r="O1490">
        <f>B1490*(hospitalityq!O1490="")</f>
        <v>0</v>
      </c>
      <c r="P1490">
        <f>B1490*(hospitalityq!P1490="")</f>
        <v>0</v>
      </c>
      <c r="Q1490">
        <f>B1490*(hospitalityq!Q1490="")</f>
        <v>0</v>
      </c>
      <c r="R1490">
        <f>B1490*(hospitalityq!R1490="")</f>
        <v>0</v>
      </c>
    </row>
    <row r="1491" spans="1:18" x14ac:dyDescent="0.25">
      <c r="A1491">
        <f t="shared" si="24"/>
        <v>0</v>
      </c>
      <c r="B1491" t="b">
        <f>SUMPRODUCT(LEN(hospitalityq!C1491:R1491))&gt;0</f>
        <v>0</v>
      </c>
      <c r="C1491">
        <f>B1491*(hospitalityq!C1491="")</f>
        <v>0</v>
      </c>
      <c r="E1491">
        <f>B1491*(hospitalityq!E1491="")</f>
        <v>0</v>
      </c>
      <c r="F1491">
        <f>B1491*(hospitalityq!F1491="")</f>
        <v>0</v>
      </c>
      <c r="G1491">
        <f>B1491*(hospitalityq!G1491="")</f>
        <v>0</v>
      </c>
      <c r="H1491">
        <f>B1491*(hospitalityq!H1491="")</f>
        <v>0</v>
      </c>
      <c r="I1491">
        <f>B1491*(hospitalityq!I1491="")</f>
        <v>0</v>
      </c>
      <c r="J1491">
        <f>B1491*(hospitalityq!J1491="")</f>
        <v>0</v>
      </c>
      <c r="K1491">
        <f>B1491*(hospitalityq!K1491="")</f>
        <v>0</v>
      </c>
      <c r="L1491">
        <f>B1491*(hospitalityq!L1491="")</f>
        <v>0</v>
      </c>
      <c r="M1491">
        <f>B1491*(hospitalityq!M1491="")</f>
        <v>0</v>
      </c>
      <c r="N1491">
        <f>B1491*(hospitalityq!N1491="")</f>
        <v>0</v>
      </c>
      <c r="O1491">
        <f>B1491*(hospitalityq!O1491="")</f>
        <v>0</v>
      </c>
      <c r="P1491">
        <f>B1491*(hospitalityq!P1491="")</f>
        <v>0</v>
      </c>
      <c r="Q1491">
        <f>B1491*(hospitalityq!Q1491="")</f>
        <v>0</v>
      </c>
      <c r="R1491">
        <f>B1491*(hospitalityq!R1491="")</f>
        <v>0</v>
      </c>
    </row>
    <row r="1492" spans="1:18" x14ac:dyDescent="0.25">
      <c r="A1492">
        <f t="shared" si="24"/>
        <v>0</v>
      </c>
      <c r="B1492" t="b">
        <f>SUMPRODUCT(LEN(hospitalityq!C1492:R1492))&gt;0</f>
        <v>0</v>
      </c>
      <c r="C1492">
        <f>B1492*(hospitalityq!C1492="")</f>
        <v>0</v>
      </c>
      <c r="E1492">
        <f>B1492*(hospitalityq!E1492="")</f>
        <v>0</v>
      </c>
      <c r="F1492">
        <f>B1492*(hospitalityq!F1492="")</f>
        <v>0</v>
      </c>
      <c r="G1492">
        <f>B1492*(hospitalityq!G1492="")</f>
        <v>0</v>
      </c>
      <c r="H1492">
        <f>B1492*(hospitalityq!H1492="")</f>
        <v>0</v>
      </c>
      <c r="I1492">
        <f>B1492*(hospitalityq!I1492="")</f>
        <v>0</v>
      </c>
      <c r="J1492">
        <f>B1492*(hospitalityq!J1492="")</f>
        <v>0</v>
      </c>
      <c r="K1492">
        <f>B1492*(hospitalityq!K1492="")</f>
        <v>0</v>
      </c>
      <c r="L1492">
        <f>B1492*(hospitalityq!L1492="")</f>
        <v>0</v>
      </c>
      <c r="M1492">
        <f>B1492*(hospitalityq!M1492="")</f>
        <v>0</v>
      </c>
      <c r="N1492">
        <f>B1492*(hospitalityq!N1492="")</f>
        <v>0</v>
      </c>
      <c r="O1492">
        <f>B1492*(hospitalityq!O1492="")</f>
        <v>0</v>
      </c>
      <c r="P1492">
        <f>B1492*(hospitalityq!P1492="")</f>
        <v>0</v>
      </c>
      <c r="Q1492">
        <f>B1492*(hospitalityq!Q1492="")</f>
        <v>0</v>
      </c>
      <c r="R1492">
        <f>B1492*(hospitalityq!R1492="")</f>
        <v>0</v>
      </c>
    </row>
    <row r="1493" spans="1:18" x14ac:dyDescent="0.25">
      <c r="A1493">
        <f t="shared" si="24"/>
        <v>0</v>
      </c>
      <c r="B1493" t="b">
        <f>SUMPRODUCT(LEN(hospitalityq!C1493:R1493))&gt;0</f>
        <v>0</v>
      </c>
      <c r="C1493">
        <f>B1493*(hospitalityq!C1493="")</f>
        <v>0</v>
      </c>
      <c r="E1493">
        <f>B1493*(hospitalityq!E1493="")</f>
        <v>0</v>
      </c>
      <c r="F1493">
        <f>B1493*(hospitalityq!F1493="")</f>
        <v>0</v>
      </c>
      <c r="G1493">
        <f>B1493*(hospitalityq!G1493="")</f>
        <v>0</v>
      </c>
      <c r="H1493">
        <f>B1493*(hospitalityq!H1493="")</f>
        <v>0</v>
      </c>
      <c r="I1493">
        <f>B1493*(hospitalityq!I1493="")</f>
        <v>0</v>
      </c>
      <c r="J1493">
        <f>B1493*(hospitalityq!J1493="")</f>
        <v>0</v>
      </c>
      <c r="K1493">
        <f>B1493*(hospitalityq!K1493="")</f>
        <v>0</v>
      </c>
      <c r="L1493">
        <f>B1493*(hospitalityq!L1493="")</f>
        <v>0</v>
      </c>
      <c r="M1493">
        <f>B1493*(hospitalityq!M1493="")</f>
        <v>0</v>
      </c>
      <c r="N1493">
        <f>B1493*(hospitalityq!N1493="")</f>
        <v>0</v>
      </c>
      <c r="O1493">
        <f>B1493*(hospitalityq!O1493="")</f>
        <v>0</v>
      </c>
      <c r="P1493">
        <f>B1493*(hospitalityq!P1493="")</f>
        <v>0</v>
      </c>
      <c r="Q1493">
        <f>B1493*(hospitalityq!Q1493="")</f>
        <v>0</v>
      </c>
      <c r="R1493">
        <f>B1493*(hospitalityq!R1493="")</f>
        <v>0</v>
      </c>
    </row>
    <row r="1494" spans="1:18" x14ac:dyDescent="0.25">
      <c r="A1494">
        <f t="shared" si="24"/>
        <v>0</v>
      </c>
      <c r="B1494" t="b">
        <f>SUMPRODUCT(LEN(hospitalityq!C1494:R1494))&gt;0</f>
        <v>0</v>
      </c>
      <c r="C1494">
        <f>B1494*(hospitalityq!C1494="")</f>
        <v>0</v>
      </c>
      <c r="E1494">
        <f>B1494*(hospitalityq!E1494="")</f>
        <v>0</v>
      </c>
      <c r="F1494">
        <f>B1494*(hospitalityq!F1494="")</f>
        <v>0</v>
      </c>
      <c r="G1494">
        <f>B1494*(hospitalityq!G1494="")</f>
        <v>0</v>
      </c>
      <c r="H1494">
        <f>B1494*(hospitalityq!H1494="")</f>
        <v>0</v>
      </c>
      <c r="I1494">
        <f>B1494*(hospitalityq!I1494="")</f>
        <v>0</v>
      </c>
      <c r="J1494">
        <f>B1494*(hospitalityq!J1494="")</f>
        <v>0</v>
      </c>
      <c r="K1494">
        <f>B1494*(hospitalityq!K1494="")</f>
        <v>0</v>
      </c>
      <c r="L1494">
        <f>B1494*(hospitalityq!L1494="")</f>
        <v>0</v>
      </c>
      <c r="M1494">
        <f>B1494*(hospitalityq!M1494="")</f>
        <v>0</v>
      </c>
      <c r="N1494">
        <f>B1494*(hospitalityq!N1494="")</f>
        <v>0</v>
      </c>
      <c r="O1494">
        <f>B1494*(hospitalityq!O1494="")</f>
        <v>0</v>
      </c>
      <c r="P1494">
        <f>B1494*(hospitalityq!P1494="")</f>
        <v>0</v>
      </c>
      <c r="Q1494">
        <f>B1494*(hospitalityq!Q1494="")</f>
        <v>0</v>
      </c>
      <c r="R1494">
        <f>B1494*(hospitalityq!R1494="")</f>
        <v>0</v>
      </c>
    </row>
    <row r="1495" spans="1:18" x14ac:dyDescent="0.25">
      <c r="A1495">
        <f t="shared" si="24"/>
        <v>0</v>
      </c>
      <c r="B1495" t="b">
        <f>SUMPRODUCT(LEN(hospitalityq!C1495:R1495))&gt;0</f>
        <v>0</v>
      </c>
      <c r="C1495">
        <f>B1495*(hospitalityq!C1495="")</f>
        <v>0</v>
      </c>
      <c r="E1495">
        <f>B1495*(hospitalityq!E1495="")</f>
        <v>0</v>
      </c>
      <c r="F1495">
        <f>B1495*(hospitalityq!F1495="")</f>
        <v>0</v>
      </c>
      <c r="G1495">
        <f>B1495*(hospitalityq!G1495="")</f>
        <v>0</v>
      </c>
      <c r="H1495">
        <f>B1495*(hospitalityq!H1495="")</f>
        <v>0</v>
      </c>
      <c r="I1495">
        <f>B1495*(hospitalityq!I1495="")</f>
        <v>0</v>
      </c>
      <c r="J1495">
        <f>B1495*(hospitalityq!J1495="")</f>
        <v>0</v>
      </c>
      <c r="K1495">
        <f>B1495*(hospitalityq!K1495="")</f>
        <v>0</v>
      </c>
      <c r="L1495">
        <f>B1495*(hospitalityq!L1495="")</f>
        <v>0</v>
      </c>
      <c r="M1495">
        <f>B1495*(hospitalityq!M1495="")</f>
        <v>0</v>
      </c>
      <c r="N1495">
        <f>B1495*(hospitalityq!N1495="")</f>
        <v>0</v>
      </c>
      <c r="O1495">
        <f>B1495*(hospitalityq!O1495="")</f>
        <v>0</v>
      </c>
      <c r="P1495">
        <f>B1495*(hospitalityq!P1495="")</f>
        <v>0</v>
      </c>
      <c r="Q1495">
        <f>B1495*(hospitalityq!Q1495="")</f>
        <v>0</v>
      </c>
      <c r="R1495">
        <f>B1495*(hospitalityq!R1495="")</f>
        <v>0</v>
      </c>
    </row>
    <row r="1496" spans="1:18" x14ac:dyDescent="0.25">
      <c r="A1496">
        <f t="shared" si="24"/>
        <v>0</v>
      </c>
      <c r="B1496" t="b">
        <f>SUMPRODUCT(LEN(hospitalityq!C1496:R1496))&gt;0</f>
        <v>0</v>
      </c>
      <c r="C1496">
        <f>B1496*(hospitalityq!C1496="")</f>
        <v>0</v>
      </c>
      <c r="E1496">
        <f>B1496*(hospitalityq!E1496="")</f>
        <v>0</v>
      </c>
      <c r="F1496">
        <f>B1496*(hospitalityq!F1496="")</f>
        <v>0</v>
      </c>
      <c r="G1496">
        <f>B1496*(hospitalityq!G1496="")</f>
        <v>0</v>
      </c>
      <c r="H1496">
        <f>B1496*(hospitalityq!H1496="")</f>
        <v>0</v>
      </c>
      <c r="I1496">
        <f>B1496*(hospitalityq!I1496="")</f>
        <v>0</v>
      </c>
      <c r="J1496">
        <f>B1496*(hospitalityq!J1496="")</f>
        <v>0</v>
      </c>
      <c r="K1496">
        <f>B1496*(hospitalityq!K1496="")</f>
        <v>0</v>
      </c>
      <c r="L1496">
        <f>B1496*(hospitalityq!L1496="")</f>
        <v>0</v>
      </c>
      <c r="M1496">
        <f>B1496*(hospitalityq!M1496="")</f>
        <v>0</v>
      </c>
      <c r="N1496">
        <f>B1496*(hospitalityq!N1496="")</f>
        <v>0</v>
      </c>
      <c r="O1496">
        <f>B1496*(hospitalityq!O1496="")</f>
        <v>0</v>
      </c>
      <c r="P1496">
        <f>B1496*(hospitalityq!P1496="")</f>
        <v>0</v>
      </c>
      <c r="Q1496">
        <f>B1496*(hospitalityq!Q1496="")</f>
        <v>0</v>
      </c>
      <c r="R1496">
        <f>B1496*(hospitalityq!R1496="")</f>
        <v>0</v>
      </c>
    </row>
    <row r="1497" spans="1:18" x14ac:dyDescent="0.25">
      <c r="A1497">
        <f t="shared" si="24"/>
        <v>0</v>
      </c>
      <c r="B1497" t="b">
        <f>SUMPRODUCT(LEN(hospitalityq!C1497:R1497))&gt;0</f>
        <v>0</v>
      </c>
      <c r="C1497">
        <f>B1497*(hospitalityq!C1497="")</f>
        <v>0</v>
      </c>
      <c r="E1497">
        <f>B1497*(hospitalityq!E1497="")</f>
        <v>0</v>
      </c>
      <c r="F1497">
        <f>B1497*(hospitalityq!F1497="")</f>
        <v>0</v>
      </c>
      <c r="G1497">
        <f>B1497*(hospitalityq!G1497="")</f>
        <v>0</v>
      </c>
      <c r="H1497">
        <f>B1497*(hospitalityq!H1497="")</f>
        <v>0</v>
      </c>
      <c r="I1497">
        <f>B1497*(hospitalityq!I1497="")</f>
        <v>0</v>
      </c>
      <c r="J1497">
        <f>B1497*(hospitalityq!J1497="")</f>
        <v>0</v>
      </c>
      <c r="K1497">
        <f>B1497*(hospitalityq!K1497="")</f>
        <v>0</v>
      </c>
      <c r="L1497">
        <f>B1497*(hospitalityq!L1497="")</f>
        <v>0</v>
      </c>
      <c r="M1497">
        <f>B1497*(hospitalityq!M1497="")</f>
        <v>0</v>
      </c>
      <c r="N1497">
        <f>B1497*(hospitalityq!N1497="")</f>
        <v>0</v>
      </c>
      <c r="O1497">
        <f>B1497*(hospitalityq!O1497="")</f>
        <v>0</v>
      </c>
      <c r="P1497">
        <f>B1497*(hospitalityq!P1497="")</f>
        <v>0</v>
      </c>
      <c r="Q1497">
        <f>B1497*(hospitalityq!Q1497="")</f>
        <v>0</v>
      </c>
      <c r="R1497">
        <f>B1497*(hospitalityq!R1497="")</f>
        <v>0</v>
      </c>
    </row>
    <row r="1498" spans="1:18" x14ac:dyDescent="0.25">
      <c r="A1498">
        <f t="shared" si="24"/>
        <v>0</v>
      </c>
      <c r="B1498" t="b">
        <f>SUMPRODUCT(LEN(hospitalityq!C1498:R1498))&gt;0</f>
        <v>0</v>
      </c>
      <c r="C1498">
        <f>B1498*(hospitalityq!C1498="")</f>
        <v>0</v>
      </c>
      <c r="E1498">
        <f>B1498*(hospitalityq!E1498="")</f>
        <v>0</v>
      </c>
      <c r="F1498">
        <f>B1498*(hospitalityq!F1498="")</f>
        <v>0</v>
      </c>
      <c r="G1498">
        <f>B1498*(hospitalityq!G1498="")</f>
        <v>0</v>
      </c>
      <c r="H1498">
        <f>B1498*(hospitalityq!H1498="")</f>
        <v>0</v>
      </c>
      <c r="I1498">
        <f>B1498*(hospitalityq!I1498="")</f>
        <v>0</v>
      </c>
      <c r="J1498">
        <f>B1498*(hospitalityq!J1498="")</f>
        <v>0</v>
      </c>
      <c r="K1498">
        <f>B1498*(hospitalityq!K1498="")</f>
        <v>0</v>
      </c>
      <c r="L1498">
        <f>B1498*(hospitalityq!L1498="")</f>
        <v>0</v>
      </c>
      <c r="M1498">
        <f>B1498*(hospitalityq!M1498="")</f>
        <v>0</v>
      </c>
      <c r="N1498">
        <f>B1498*(hospitalityq!N1498="")</f>
        <v>0</v>
      </c>
      <c r="O1498">
        <f>B1498*(hospitalityq!O1498="")</f>
        <v>0</v>
      </c>
      <c r="P1498">
        <f>B1498*(hospitalityq!P1498="")</f>
        <v>0</v>
      </c>
      <c r="Q1498">
        <f>B1498*(hospitalityq!Q1498="")</f>
        <v>0</v>
      </c>
      <c r="R1498">
        <f>B1498*(hospitalityq!R1498="")</f>
        <v>0</v>
      </c>
    </row>
    <row r="1499" spans="1:18" x14ac:dyDescent="0.25">
      <c r="A1499">
        <f t="shared" si="24"/>
        <v>0</v>
      </c>
      <c r="B1499" t="b">
        <f>SUMPRODUCT(LEN(hospitalityq!C1499:R1499))&gt;0</f>
        <v>0</v>
      </c>
      <c r="C1499">
        <f>B1499*(hospitalityq!C1499="")</f>
        <v>0</v>
      </c>
      <c r="E1499">
        <f>B1499*(hospitalityq!E1499="")</f>
        <v>0</v>
      </c>
      <c r="F1499">
        <f>B1499*(hospitalityq!F1499="")</f>
        <v>0</v>
      </c>
      <c r="G1499">
        <f>B1499*(hospitalityq!G1499="")</f>
        <v>0</v>
      </c>
      <c r="H1499">
        <f>B1499*(hospitalityq!H1499="")</f>
        <v>0</v>
      </c>
      <c r="I1499">
        <f>B1499*(hospitalityq!I1499="")</f>
        <v>0</v>
      </c>
      <c r="J1499">
        <f>B1499*(hospitalityq!J1499="")</f>
        <v>0</v>
      </c>
      <c r="K1499">
        <f>B1499*(hospitalityq!K1499="")</f>
        <v>0</v>
      </c>
      <c r="L1499">
        <f>B1499*(hospitalityq!L1499="")</f>
        <v>0</v>
      </c>
      <c r="M1499">
        <f>B1499*(hospitalityq!M1499="")</f>
        <v>0</v>
      </c>
      <c r="N1499">
        <f>B1499*(hospitalityq!N1499="")</f>
        <v>0</v>
      </c>
      <c r="O1499">
        <f>B1499*(hospitalityq!O1499="")</f>
        <v>0</v>
      </c>
      <c r="P1499">
        <f>B1499*(hospitalityq!P1499="")</f>
        <v>0</v>
      </c>
      <c r="Q1499">
        <f>B1499*(hospitalityq!Q1499="")</f>
        <v>0</v>
      </c>
      <c r="R1499">
        <f>B1499*(hospitalityq!R1499="")</f>
        <v>0</v>
      </c>
    </row>
    <row r="1500" spans="1:18" x14ac:dyDescent="0.25">
      <c r="A1500">
        <f t="shared" si="24"/>
        <v>0</v>
      </c>
      <c r="B1500" t="b">
        <f>SUMPRODUCT(LEN(hospitalityq!C1500:R1500))&gt;0</f>
        <v>0</v>
      </c>
      <c r="C1500">
        <f>B1500*(hospitalityq!C1500="")</f>
        <v>0</v>
      </c>
      <c r="E1500">
        <f>B1500*(hospitalityq!E1500="")</f>
        <v>0</v>
      </c>
      <c r="F1500">
        <f>B1500*(hospitalityq!F1500="")</f>
        <v>0</v>
      </c>
      <c r="G1500">
        <f>B1500*(hospitalityq!G1500="")</f>
        <v>0</v>
      </c>
      <c r="H1500">
        <f>B1500*(hospitalityq!H1500="")</f>
        <v>0</v>
      </c>
      <c r="I1500">
        <f>B1500*(hospitalityq!I1500="")</f>
        <v>0</v>
      </c>
      <c r="J1500">
        <f>B1500*(hospitalityq!J1500="")</f>
        <v>0</v>
      </c>
      <c r="K1500">
        <f>B1500*(hospitalityq!K1500="")</f>
        <v>0</v>
      </c>
      <c r="L1500">
        <f>B1500*(hospitalityq!L1500="")</f>
        <v>0</v>
      </c>
      <c r="M1500">
        <f>B1500*(hospitalityq!M1500="")</f>
        <v>0</v>
      </c>
      <c r="N1500">
        <f>B1500*(hospitalityq!N1500="")</f>
        <v>0</v>
      </c>
      <c r="O1500">
        <f>B1500*(hospitalityq!O1500="")</f>
        <v>0</v>
      </c>
      <c r="P1500">
        <f>B1500*(hospitalityq!P1500="")</f>
        <v>0</v>
      </c>
      <c r="Q1500">
        <f>B1500*(hospitalityq!Q1500="")</f>
        <v>0</v>
      </c>
      <c r="R1500">
        <f>B1500*(hospitalityq!R1500="")</f>
        <v>0</v>
      </c>
    </row>
    <row r="1501" spans="1:18" x14ac:dyDescent="0.25">
      <c r="A1501">
        <f t="shared" si="24"/>
        <v>0</v>
      </c>
      <c r="B1501" t="b">
        <f>SUMPRODUCT(LEN(hospitalityq!C1501:R1501))&gt;0</f>
        <v>0</v>
      </c>
      <c r="C1501">
        <f>B1501*(hospitalityq!C1501="")</f>
        <v>0</v>
      </c>
      <c r="E1501">
        <f>B1501*(hospitalityq!E1501="")</f>
        <v>0</v>
      </c>
      <c r="F1501">
        <f>B1501*(hospitalityq!F1501="")</f>
        <v>0</v>
      </c>
      <c r="G1501">
        <f>B1501*(hospitalityq!G1501="")</f>
        <v>0</v>
      </c>
      <c r="H1501">
        <f>B1501*(hospitalityq!H1501="")</f>
        <v>0</v>
      </c>
      <c r="I1501">
        <f>B1501*(hospitalityq!I1501="")</f>
        <v>0</v>
      </c>
      <c r="J1501">
        <f>B1501*(hospitalityq!J1501="")</f>
        <v>0</v>
      </c>
      <c r="K1501">
        <f>B1501*(hospitalityq!K1501="")</f>
        <v>0</v>
      </c>
      <c r="L1501">
        <f>B1501*(hospitalityq!L1501="")</f>
        <v>0</v>
      </c>
      <c r="M1501">
        <f>B1501*(hospitalityq!M1501="")</f>
        <v>0</v>
      </c>
      <c r="N1501">
        <f>B1501*(hospitalityq!N1501="")</f>
        <v>0</v>
      </c>
      <c r="O1501">
        <f>B1501*(hospitalityq!O1501="")</f>
        <v>0</v>
      </c>
      <c r="P1501">
        <f>B1501*(hospitalityq!P1501="")</f>
        <v>0</v>
      </c>
      <c r="Q1501">
        <f>B1501*(hospitalityq!Q1501="")</f>
        <v>0</v>
      </c>
      <c r="R1501">
        <f>B1501*(hospitalityq!R1501="")</f>
        <v>0</v>
      </c>
    </row>
    <row r="1502" spans="1:18" x14ac:dyDescent="0.25">
      <c r="A1502">
        <f t="shared" si="24"/>
        <v>0</v>
      </c>
      <c r="B1502" t="b">
        <f>SUMPRODUCT(LEN(hospitalityq!C1502:R1502))&gt;0</f>
        <v>0</v>
      </c>
      <c r="C1502">
        <f>B1502*(hospitalityq!C1502="")</f>
        <v>0</v>
      </c>
      <c r="E1502">
        <f>B1502*(hospitalityq!E1502="")</f>
        <v>0</v>
      </c>
      <c r="F1502">
        <f>B1502*(hospitalityq!F1502="")</f>
        <v>0</v>
      </c>
      <c r="G1502">
        <f>B1502*(hospitalityq!G1502="")</f>
        <v>0</v>
      </c>
      <c r="H1502">
        <f>B1502*(hospitalityq!H1502="")</f>
        <v>0</v>
      </c>
      <c r="I1502">
        <f>B1502*(hospitalityq!I1502="")</f>
        <v>0</v>
      </c>
      <c r="J1502">
        <f>B1502*(hospitalityq!J1502="")</f>
        <v>0</v>
      </c>
      <c r="K1502">
        <f>B1502*(hospitalityq!K1502="")</f>
        <v>0</v>
      </c>
      <c r="L1502">
        <f>B1502*(hospitalityq!L1502="")</f>
        <v>0</v>
      </c>
      <c r="M1502">
        <f>B1502*(hospitalityq!M1502="")</f>
        <v>0</v>
      </c>
      <c r="N1502">
        <f>B1502*(hospitalityq!N1502="")</f>
        <v>0</v>
      </c>
      <c r="O1502">
        <f>B1502*(hospitalityq!O1502="")</f>
        <v>0</v>
      </c>
      <c r="P1502">
        <f>B1502*(hospitalityq!P1502="")</f>
        <v>0</v>
      </c>
      <c r="Q1502">
        <f>B1502*(hospitalityq!Q1502="")</f>
        <v>0</v>
      </c>
      <c r="R1502">
        <f>B1502*(hospitalityq!R1502="")</f>
        <v>0</v>
      </c>
    </row>
    <row r="1503" spans="1:18" x14ac:dyDescent="0.25">
      <c r="A1503">
        <f t="shared" si="24"/>
        <v>0</v>
      </c>
      <c r="B1503" t="b">
        <f>SUMPRODUCT(LEN(hospitalityq!C1503:R1503))&gt;0</f>
        <v>0</v>
      </c>
      <c r="C1503">
        <f>B1503*(hospitalityq!C1503="")</f>
        <v>0</v>
      </c>
      <c r="E1503">
        <f>B1503*(hospitalityq!E1503="")</f>
        <v>0</v>
      </c>
      <c r="F1503">
        <f>B1503*(hospitalityq!F1503="")</f>
        <v>0</v>
      </c>
      <c r="G1503">
        <f>B1503*(hospitalityq!G1503="")</f>
        <v>0</v>
      </c>
      <c r="H1503">
        <f>B1503*(hospitalityq!H1503="")</f>
        <v>0</v>
      </c>
      <c r="I1503">
        <f>B1503*(hospitalityq!I1503="")</f>
        <v>0</v>
      </c>
      <c r="J1503">
        <f>B1503*(hospitalityq!J1503="")</f>
        <v>0</v>
      </c>
      <c r="K1503">
        <f>B1503*(hospitalityq!K1503="")</f>
        <v>0</v>
      </c>
      <c r="L1503">
        <f>B1503*(hospitalityq!L1503="")</f>
        <v>0</v>
      </c>
      <c r="M1503">
        <f>B1503*(hospitalityq!M1503="")</f>
        <v>0</v>
      </c>
      <c r="N1503">
        <f>B1503*(hospitalityq!N1503="")</f>
        <v>0</v>
      </c>
      <c r="O1503">
        <f>B1503*(hospitalityq!O1503="")</f>
        <v>0</v>
      </c>
      <c r="P1503">
        <f>B1503*(hospitalityq!P1503="")</f>
        <v>0</v>
      </c>
      <c r="Q1503">
        <f>B1503*(hospitalityq!Q1503="")</f>
        <v>0</v>
      </c>
      <c r="R1503">
        <f>B1503*(hospitalityq!R1503="")</f>
        <v>0</v>
      </c>
    </row>
    <row r="1504" spans="1:18" x14ac:dyDescent="0.25">
      <c r="A1504">
        <f t="shared" si="24"/>
        <v>0</v>
      </c>
      <c r="B1504" t="b">
        <f>SUMPRODUCT(LEN(hospitalityq!C1504:R1504))&gt;0</f>
        <v>0</v>
      </c>
      <c r="C1504">
        <f>B1504*(hospitalityq!C1504="")</f>
        <v>0</v>
      </c>
      <c r="E1504">
        <f>B1504*(hospitalityq!E1504="")</f>
        <v>0</v>
      </c>
      <c r="F1504">
        <f>B1504*(hospitalityq!F1504="")</f>
        <v>0</v>
      </c>
      <c r="G1504">
        <f>B1504*(hospitalityq!G1504="")</f>
        <v>0</v>
      </c>
      <c r="H1504">
        <f>B1504*(hospitalityq!H1504="")</f>
        <v>0</v>
      </c>
      <c r="I1504">
        <f>B1504*(hospitalityq!I1504="")</f>
        <v>0</v>
      </c>
      <c r="J1504">
        <f>B1504*(hospitalityq!J1504="")</f>
        <v>0</v>
      </c>
      <c r="K1504">
        <f>B1504*(hospitalityq!K1504="")</f>
        <v>0</v>
      </c>
      <c r="L1504">
        <f>B1504*(hospitalityq!L1504="")</f>
        <v>0</v>
      </c>
      <c r="M1504">
        <f>B1504*(hospitalityq!M1504="")</f>
        <v>0</v>
      </c>
      <c r="N1504">
        <f>B1504*(hospitalityq!N1504="")</f>
        <v>0</v>
      </c>
      <c r="O1504">
        <f>B1504*(hospitalityq!O1504="")</f>
        <v>0</v>
      </c>
      <c r="P1504">
        <f>B1504*(hospitalityq!P1504="")</f>
        <v>0</v>
      </c>
      <c r="Q1504">
        <f>B1504*(hospitalityq!Q1504="")</f>
        <v>0</v>
      </c>
      <c r="R1504">
        <f>B1504*(hospitalityq!R1504="")</f>
        <v>0</v>
      </c>
    </row>
    <row r="1505" spans="1:18" x14ac:dyDescent="0.25">
      <c r="A1505">
        <f t="shared" si="24"/>
        <v>0</v>
      </c>
      <c r="B1505" t="b">
        <f>SUMPRODUCT(LEN(hospitalityq!C1505:R1505))&gt;0</f>
        <v>0</v>
      </c>
      <c r="C1505">
        <f>B1505*(hospitalityq!C1505="")</f>
        <v>0</v>
      </c>
      <c r="E1505">
        <f>B1505*(hospitalityq!E1505="")</f>
        <v>0</v>
      </c>
      <c r="F1505">
        <f>B1505*(hospitalityq!F1505="")</f>
        <v>0</v>
      </c>
      <c r="G1505">
        <f>B1505*(hospitalityq!G1505="")</f>
        <v>0</v>
      </c>
      <c r="H1505">
        <f>B1505*(hospitalityq!H1505="")</f>
        <v>0</v>
      </c>
      <c r="I1505">
        <f>B1505*(hospitalityq!I1505="")</f>
        <v>0</v>
      </c>
      <c r="J1505">
        <f>B1505*(hospitalityq!J1505="")</f>
        <v>0</v>
      </c>
      <c r="K1505">
        <f>B1505*(hospitalityq!K1505="")</f>
        <v>0</v>
      </c>
      <c r="L1505">
        <f>B1505*(hospitalityq!L1505="")</f>
        <v>0</v>
      </c>
      <c r="M1505">
        <f>B1505*(hospitalityq!M1505="")</f>
        <v>0</v>
      </c>
      <c r="N1505">
        <f>B1505*(hospitalityq!N1505="")</f>
        <v>0</v>
      </c>
      <c r="O1505">
        <f>B1505*(hospitalityq!O1505="")</f>
        <v>0</v>
      </c>
      <c r="P1505">
        <f>B1505*(hospitalityq!P1505="")</f>
        <v>0</v>
      </c>
      <c r="Q1505">
        <f>B1505*(hospitalityq!Q1505="")</f>
        <v>0</v>
      </c>
      <c r="R1505">
        <f>B1505*(hospitalityq!R1505="")</f>
        <v>0</v>
      </c>
    </row>
    <row r="1506" spans="1:18" x14ac:dyDescent="0.25">
      <c r="A1506">
        <f t="shared" si="24"/>
        <v>0</v>
      </c>
      <c r="B1506" t="b">
        <f>SUMPRODUCT(LEN(hospitalityq!C1506:R1506))&gt;0</f>
        <v>0</v>
      </c>
      <c r="C1506">
        <f>B1506*(hospitalityq!C1506="")</f>
        <v>0</v>
      </c>
      <c r="E1506">
        <f>B1506*(hospitalityq!E1506="")</f>
        <v>0</v>
      </c>
      <c r="F1506">
        <f>B1506*(hospitalityq!F1506="")</f>
        <v>0</v>
      </c>
      <c r="G1506">
        <f>B1506*(hospitalityq!G1506="")</f>
        <v>0</v>
      </c>
      <c r="H1506">
        <f>B1506*(hospitalityq!H1506="")</f>
        <v>0</v>
      </c>
      <c r="I1506">
        <f>B1506*(hospitalityq!I1506="")</f>
        <v>0</v>
      </c>
      <c r="J1506">
        <f>B1506*(hospitalityq!J1506="")</f>
        <v>0</v>
      </c>
      <c r="K1506">
        <f>B1506*(hospitalityq!K1506="")</f>
        <v>0</v>
      </c>
      <c r="L1506">
        <f>B1506*(hospitalityq!L1506="")</f>
        <v>0</v>
      </c>
      <c r="M1506">
        <f>B1506*(hospitalityq!M1506="")</f>
        <v>0</v>
      </c>
      <c r="N1506">
        <f>B1506*(hospitalityq!N1506="")</f>
        <v>0</v>
      </c>
      <c r="O1506">
        <f>B1506*(hospitalityq!O1506="")</f>
        <v>0</v>
      </c>
      <c r="P1506">
        <f>B1506*(hospitalityq!P1506="")</f>
        <v>0</v>
      </c>
      <c r="Q1506">
        <f>B1506*(hospitalityq!Q1506="")</f>
        <v>0</v>
      </c>
      <c r="R1506">
        <f>B1506*(hospitalityq!R1506="")</f>
        <v>0</v>
      </c>
    </row>
    <row r="1507" spans="1:18" x14ac:dyDescent="0.25">
      <c r="A1507">
        <f t="shared" si="24"/>
        <v>0</v>
      </c>
      <c r="B1507" t="b">
        <f>SUMPRODUCT(LEN(hospitalityq!C1507:R1507))&gt;0</f>
        <v>0</v>
      </c>
      <c r="C1507">
        <f>B1507*(hospitalityq!C1507="")</f>
        <v>0</v>
      </c>
      <c r="E1507">
        <f>B1507*(hospitalityq!E1507="")</f>
        <v>0</v>
      </c>
      <c r="F1507">
        <f>B1507*(hospitalityq!F1507="")</f>
        <v>0</v>
      </c>
      <c r="G1507">
        <f>B1507*(hospitalityq!G1507="")</f>
        <v>0</v>
      </c>
      <c r="H1507">
        <f>B1507*(hospitalityq!H1507="")</f>
        <v>0</v>
      </c>
      <c r="I1507">
        <f>B1507*(hospitalityq!I1507="")</f>
        <v>0</v>
      </c>
      <c r="J1507">
        <f>B1507*(hospitalityq!J1507="")</f>
        <v>0</v>
      </c>
      <c r="K1507">
        <f>B1507*(hospitalityq!K1507="")</f>
        <v>0</v>
      </c>
      <c r="L1507">
        <f>B1507*(hospitalityq!L1507="")</f>
        <v>0</v>
      </c>
      <c r="M1507">
        <f>B1507*(hospitalityq!M1507="")</f>
        <v>0</v>
      </c>
      <c r="N1507">
        <f>B1507*(hospitalityq!N1507="")</f>
        <v>0</v>
      </c>
      <c r="O1507">
        <f>B1507*(hospitalityq!O1507="")</f>
        <v>0</v>
      </c>
      <c r="P1507">
        <f>B1507*(hospitalityq!P1507="")</f>
        <v>0</v>
      </c>
      <c r="Q1507">
        <f>B1507*(hospitalityq!Q1507="")</f>
        <v>0</v>
      </c>
      <c r="R1507">
        <f>B1507*(hospitalityq!R1507="")</f>
        <v>0</v>
      </c>
    </row>
    <row r="1508" spans="1:18" x14ac:dyDescent="0.25">
      <c r="A1508">
        <f t="shared" si="24"/>
        <v>0</v>
      </c>
      <c r="B1508" t="b">
        <f>SUMPRODUCT(LEN(hospitalityq!C1508:R1508))&gt;0</f>
        <v>0</v>
      </c>
      <c r="C1508">
        <f>B1508*(hospitalityq!C1508="")</f>
        <v>0</v>
      </c>
      <c r="E1508">
        <f>B1508*(hospitalityq!E1508="")</f>
        <v>0</v>
      </c>
      <c r="F1508">
        <f>B1508*(hospitalityq!F1508="")</f>
        <v>0</v>
      </c>
      <c r="G1508">
        <f>B1508*(hospitalityq!G1508="")</f>
        <v>0</v>
      </c>
      <c r="H1508">
        <f>B1508*(hospitalityq!H1508="")</f>
        <v>0</v>
      </c>
      <c r="I1508">
        <f>B1508*(hospitalityq!I1508="")</f>
        <v>0</v>
      </c>
      <c r="J1508">
        <f>B1508*(hospitalityq!J1508="")</f>
        <v>0</v>
      </c>
      <c r="K1508">
        <f>B1508*(hospitalityq!K1508="")</f>
        <v>0</v>
      </c>
      <c r="L1508">
        <f>B1508*(hospitalityq!L1508="")</f>
        <v>0</v>
      </c>
      <c r="M1508">
        <f>B1508*(hospitalityq!M1508="")</f>
        <v>0</v>
      </c>
      <c r="N1508">
        <f>B1508*(hospitalityq!N1508="")</f>
        <v>0</v>
      </c>
      <c r="O1508">
        <f>B1508*(hospitalityq!O1508="")</f>
        <v>0</v>
      </c>
      <c r="P1508">
        <f>B1508*(hospitalityq!P1508="")</f>
        <v>0</v>
      </c>
      <c r="Q1508">
        <f>B1508*(hospitalityq!Q1508="")</f>
        <v>0</v>
      </c>
      <c r="R1508">
        <f>B1508*(hospitalityq!R1508="")</f>
        <v>0</v>
      </c>
    </row>
    <row r="1509" spans="1:18" x14ac:dyDescent="0.25">
      <c r="A1509">
        <f t="shared" si="24"/>
        <v>0</v>
      </c>
      <c r="B1509" t="b">
        <f>SUMPRODUCT(LEN(hospitalityq!C1509:R1509))&gt;0</f>
        <v>0</v>
      </c>
      <c r="C1509">
        <f>B1509*(hospitalityq!C1509="")</f>
        <v>0</v>
      </c>
      <c r="E1509">
        <f>B1509*(hospitalityq!E1509="")</f>
        <v>0</v>
      </c>
      <c r="F1509">
        <f>B1509*(hospitalityq!F1509="")</f>
        <v>0</v>
      </c>
      <c r="G1509">
        <f>B1509*(hospitalityq!G1509="")</f>
        <v>0</v>
      </c>
      <c r="H1509">
        <f>B1509*(hospitalityq!H1509="")</f>
        <v>0</v>
      </c>
      <c r="I1509">
        <f>B1509*(hospitalityq!I1509="")</f>
        <v>0</v>
      </c>
      <c r="J1509">
        <f>B1509*(hospitalityq!J1509="")</f>
        <v>0</v>
      </c>
      <c r="K1509">
        <f>B1509*(hospitalityq!K1509="")</f>
        <v>0</v>
      </c>
      <c r="L1509">
        <f>B1509*(hospitalityq!L1509="")</f>
        <v>0</v>
      </c>
      <c r="M1509">
        <f>B1509*(hospitalityq!M1509="")</f>
        <v>0</v>
      </c>
      <c r="N1509">
        <f>B1509*(hospitalityq!N1509="")</f>
        <v>0</v>
      </c>
      <c r="O1509">
        <f>B1509*(hospitalityq!O1509="")</f>
        <v>0</v>
      </c>
      <c r="P1509">
        <f>B1509*(hospitalityq!P1509="")</f>
        <v>0</v>
      </c>
      <c r="Q1509">
        <f>B1509*(hospitalityq!Q1509="")</f>
        <v>0</v>
      </c>
      <c r="R1509">
        <f>B1509*(hospitalityq!R1509="")</f>
        <v>0</v>
      </c>
    </row>
    <row r="1510" spans="1:18" x14ac:dyDescent="0.25">
      <c r="A1510">
        <f t="shared" si="24"/>
        <v>0</v>
      </c>
      <c r="B1510" t="b">
        <f>SUMPRODUCT(LEN(hospitalityq!C1510:R1510))&gt;0</f>
        <v>0</v>
      </c>
      <c r="C1510">
        <f>B1510*(hospitalityq!C1510="")</f>
        <v>0</v>
      </c>
      <c r="E1510">
        <f>B1510*(hospitalityq!E1510="")</f>
        <v>0</v>
      </c>
      <c r="F1510">
        <f>B1510*(hospitalityq!F1510="")</f>
        <v>0</v>
      </c>
      <c r="G1510">
        <f>B1510*(hospitalityq!G1510="")</f>
        <v>0</v>
      </c>
      <c r="H1510">
        <f>B1510*(hospitalityq!H1510="")</f>
        <v>0</v>
      </c>
      <c r="I1510">
        <f>B1510*(hospitalityq!I1510="")</f>
        <v>0</v>
      </c>
      <c r="J1510">
        <f>B1510*(hospitalityq!J1510="")</f>
        <v>0</v>
      </c>
      <c r="K1510">
        <f>B1510*(hospitalityq!K1510="")</f>
        <v>0</v>
      </c>
      <c r="L1510">
        <f>B1510*(hospitalityq!L1510="")</f>
        <v>0</v>
      </c>
      <c r="M1510">
        <f>B1510*(hospitalityq!M1510="")</f>
        <v>0</v>
      </c>
      <c r="N1510">
        <f>B1510*(hospitalityq!N1510="")</f>
        <v>0</v>
      </c>
      <c r="O1510">
        <f>B1510*(hospitalityq!O1510="")</f>
        <v>0</v>
      </c>
      <c r="P1510">
        <f>B1510*(hospitalityq!P1510="")</f>
        <v>0</v>
      </c>
      <c r="Q1510">
        <f>B1510*(hospitalityq!Q1510="")</f>
        <v>0</v>
      </c>
      <c r="R1510">
        <f>B1510*(hospitalityq!R1510="")</f>
        <v>0</v>
      </c>
    </row>
    <row r="1511" spans="1:18" x14ac:dyDescent="0.25">
      <c r="A1511">
        <f t="shared" si="24"/>
        <v>0</v>
      </c>
      <c r="B1511" t="b">
        <f>SUMPRODUCT(LEN(hospitalityq!C1511:R1511))&gt;0</f>
        <v>0</v>
      </c>
      <c r="C1511">
        <f>B1511*(hospitalityq!C1511="")</f>
        <v>0</v>
      </c>
      <c r="E1511">
        <f>B1511*(hospitalityq!E1511="")</f>
        <v>0</v>
      </c>
      <c r="F1511">
        <f>B1511*(hospitalityq!F1511="")</f>
        <v>0</v>
      </c>
      <c r="G1511">
        <f>B1511*(hospitalityq!G1511="")</f>
        <v>0</v>
      </c>
      <c r="H1511">
        <f>B1511*(hospitalityq!H1511="")</f>
        <v>0</v>
      </c>
      <c r="I1511">
        <f>B1511*(hospitalityq!I1511="")</f>
        <v>0</v>
      </c>
      <c r="J1511">
        <f>B1511*(hospitalityq!J1511="")</f>
        <v>0</v>
      </c>
      <c r="K1511">
        <f>B1511*(hospitalityq!K1511="")</f>
        <v>0</v>
      </c>
      <c r="L1511">
        <f>B1511*(hospitalityq!L1511="")</f>
        <v>0</v>
      </c>
      <c r="M1511">
        <f>B1511*(hospitalityq!M1511="")</f>
        <v>0</v>
      </c>
      <c r="N1511">
        <f>B1511*(hospitalityq!N1511="")</f>
        <v>0</v>
      </c>
      <c r="O1511">
        <f>B1511*(hospitalityq!O1511="")</f>
        <v>0</v>
      </c>
      <c r="P1511">
        <f>B1511*(hospitalityq!P1511="")</f>
        <v>0</v>
      </c>
      <c r="Q1511">
        <f>B1511*(hospitalityq!Q1511="")</f>
        <v>0</v>
      </c>
      <c r="R1511">
        <f>B1511*(hospitalityq!R1511="")</f>
        <v>0</v>
      </c>
    </row>
    <row r="1512" spans="1:18" x14ac:dyDescent="0.25">
      <c r="A1512">
        <f t="shared" si="24"/>
        <v>0</v>
      </c>
      <c r="B1512" t="b">
        <f>SUMPRODUCT(LEN(hospitalityq!C1512:R1512))&gt;0</f>
        <v>0</v>
      </c>
      <c r="C1512">
        <f>B1512*(hospitalityq!C1512="")</f>
        <v>0</v>
      </c>
      <c r="E1512">
        <f>B1512*(hospitalityq!E1512="")</f>
        <v>0</v>
      </c>
      <c r="F1512">
        <f>B1512*(hospitalityq!F1512="")</f>
        <v>0</v>
      </c>
      <c r="G1512">
        <f>B1512*(hospitalityq!G1512="")</f>
        <v>0</v>
      </c>
      <c r="H1512">
        <f>B1512*(hospitalityq!H1512="")</f>
        <v>0</v>
      </c>
      <c r="I1512">
        <f>B1512*(hospitalityq!I1512="")</f>
        <v>0</v>
      </c>
      <c r="J1512">
        <f>B1512*(hospitalityq!J1512="")</f>
        <v>0</v>
      </c>
      <c r="K1512">
        <f>B1512*(hospitalityq!K1512="")</f>
        <v>0</v>
      </c>
      <c r="L1512">
        <f>B1512*(hospitalityq!L1512="")</f>
        <v>0</v>
      </c>
      <c r="M1512">
        <f>B1512*(hospitalityq!M1512="")</f>
        <v>0</v>
      </c>
      <c r="N1512">
        <f>B1512*(hospitalityq!N1512="")</f>
        <v>0</v>
      </c>
      <c r="O1512">
        <f>B1512*(hospitalityq!O1512="")</f>
        <v>0</v>
      </c>
      <c r="P1512">
        <f>B1512*(hospitalityq!P1512="")</f>
        <v>0</v>
      </c>
      <c r="Q1512">
        <f>B1512*(hospitalityq!Q1512="")</f>
        <v>0</v>
      </c>
      <c r="R1512">
        <f>B1512*(hospitalityq!R1512="")</f>
        <v>0</v>
      </c>
    </row>
    <row r="1513" spans="1:18" x14ac:dyDescent="0.25">
      <c r="A1513">
        <f t="shared" si="24"/>
        <v>0</v>
      </c>
      <c r="B1513" t="b">
        <f>SUMPRODUCT(LEN(hospitalityq!C1513:R1513))&gt;0</f>
        <v>0</v>
      </c>
      <c r="C1513">
        <f>B1513*(hospitalityq!C1513="")</f>
        <v>0</v>
      </c>
      <c r="E1513">
        <f>B1513*(hospitalityq!E1513="")</f>
        <v>0</v>
      </c>
      <c r="F1513">
        <f>B1513*(hospitalityq!F1513="")</f>
        <v>0</v>
      </c>
      <c r="G1513">
        <f>B1513*(hospitalityq!G1513="")</f>
        <v>0</v>
      </c>
      <c r="H1513">
        <f>B1513*(hospitalityq!H1513="")</f>
        <v>0</v>
      </c>
      <c r="I1513">
        <f>B1513*(hospitalityq!I1513="")</f>
        <v>0</v>
      </c>
      <c r="J1513">
        <f>B1513*(hospitalityq!J1513="")</f>
        <v>0</v>
      </c>
      <c r="K1513">
        <f>B1513*(hospitalityq!K1513="")</f>
        <v>0</v>
      </c>
      <c r="L1513">
        <f>B1513*(hospitalityq!L1513="")</f>
        <v>0</v>
      </c>
      <c r="M1513">
        <f>B1513*(hospitalityq!M1513="")</f>
        <v>0</v>
      </c>
      <c r="N1513">
        <f>B1513*(hospitalityq!N1513="")</f>
        <v>0</v>
      </c>
      <c r="O1513">
        <f>B1513*(hospitalityq!O1513="")</f>
        <v>0</v>
      </c>
      <c r="P1513">
        <f>B1513*(hospitalityq!P1513="")</f>
        <v>0</v>
      </c>
      <c r="Q1513">
        <f>B1513*(hospitalityq!Q1513="")</f>
        <v>0</v>
      </c>
      <c r="R1513">
        <f>B1513*(hospitalityq!R1513="")</f>
        <v>0</v>
      </c>
    </row>
    <row r="1514" spans="1:18" x14ac:dyDescent="0.25">
      <c r="A1514">
        <f t="shared" si="24"/>
        <v>0</v>
      </c>
      <c r="B1514" t="b">
        <f>SUMPRODUCT(LEN(hospitalityq!C1514:R1514))&gt;0</f>
        <v>0</v>
      </c>
      <c r="C1514">
        <f>B1514*(hospitalityq!C1514="")</f>
        <v>0</v>
      </c>
      <c r="E1514">
        <f>B1514*(hospitalityq!E1514="")</f>
        <v>0</v>
      </c>
      <c r="F1514">
        <f>B1514*(hospitalityq!F1514="")</f>
        <v>0</v>
      </c>
      <c r="G1514">
        <f>B1514*(hospitalityq!G1514="")</f>
        <v>0</v>
      </c>
      <c r="H1514">
        <f>B1514*(hospitalityq!H1514="")</f>
        <v>0</v>
      </c>
      <c r="I1514">
        <f>B1514*(hospitalityq!I1514="")</f>
        <v>0</v>
      </c>
      <c r="J1514">
        <f>B1514*(hospitalityq!J1514="")</f>
        <v>0</v>
      </c>
      <c r="K1514">
        <f>B1514*(hospitalityq!K1514="")</f>
        <v>0</v>
      </c>
      <c r="L1514">
        <f>B1514*(hospitalityq!L1514="")</f>
        <v>0</v>
      </c>
      <c r="M1514">
        <f>B1514*(hospitalityq!M1514="")</f>
        <v>0</v>
      </c>
      <c r="N1514">
        <f>B1514*(hospitalityq!N1514="")</f>
        <v>0</v>
      </c>
      <c r="O1514">
        <f>B1514*(hospitalityq!O1514="")</f>
        <v>0</v>
      </c>
      <c r="P1514">
        <f>B1514*(hospitalityq!P1514="")</f>
        <v>0</v>
      </c>
      <c r="Q1514">
        <f>B1514*(hospitalityq!Q1514="")</f>
        <v>0</v>
      </c>
      <c r="R1514">
        <f>B1514*(hospitalityq!R1514="")</f>
        <v>0</v>
      </c>
    </row>
    <row r="1515" spans="1:18" x14ac:dyDescent="0.25">
      <c r="A1515">
        <f t="shared" si="24"/>
        <v>0</v>
      </c>
      <c r="B1515" t="b">
        <f>SUMPRODUCT(LEN(hospitalityq!C1515:R1515))&gt;0</f>
        <v>0</v>
      </c>
      <c r="C1515">
        <f>B1515*(hospitalityq!C1515="")</f>
        <v>0</v>
      </c>
      <c r="E1515">
        <f>B1515*(hospitalityq!E1515="")</f>
        <v>0</v>
      </c>
      <c r="F1515">
        <f>B1515*(hospitalityq!F1515="")</f>
        <v>0</v>
      </c>
      <c r="G1515">
        <f>B1515*(hospitalityq!G1515="")</f>
        <v>0</v>
      </c>
      <c r="H1515">
        <f>B1515*(hospitalityq!H1515="")</f>
        <v>0</v>
      </c>
      <c r="I1515">
        <f>B1515*(hospitalityq!I1515="")</f>
        <v>0</v>
      </c>
      <c r="J1515">
        <f>B1515*(hospitalityq!J1515="")</f>
        <v>0</v>
      </c>
      <c r="K1515">
        <f>B1515*(hospitalityq!K1515="")</f>
        <v>0</v>
      </c>
      <c r="L1515">
        <f>B1515*(hospitalityq!L1515="")</f>
        <v>0</v>
      </c>
      <c r="M1515">
        <f>B1515*(hospitalityq!M1515="")</f>
        <v>0</v>
      </c>
      <c r="N1515">
        <f>B1515*(hospitalityq!N1515="")</f>
        <v>0</v>
      </c>
      <c r="O1515">
        <f>B1515*(hospitalityq!O1515="")</f>
        <v>0</v>
      </c>
      <c r="P1515">
        <f>B1515*(hospitalityq!P1515="")</f>
        <v>0</v>
      </c>
      <c r="Q1515">
        <f>B1515*(hospitalityq!Q1515="")</f>
        <v>0</v>
      </c>
      <c r="R1515">
        <f>B1515*(hospitalityq!R1515="")</f>
        <v>0</v>
      </c>
    </row>
    <row r="1516" spans="1:18" x14ac:dyDescent="0.25">
      <c r="A1516">
        <f t="shared" si="24"/>
        <v>0</v>
      </c>
      <c r="B1516" t="b">
        <f>SUMPRODUCT(LEN(hospitalityq!C1516:R1516))&gt;0</f>
        <v>0</v>
      </c>
      <c r="C1516">
        <f>B1516*(hospitalityq!C1516="")</f>
        <v>0</v>
      </c>
      <c r="E1516">
        <f>B1516*(hospitalityq!E1516="")</f>
        <v>0</v>
      </c>
      <c r="F1516">
        <f>B1516*(hospitalityq!F1516="")</f>
        <v>0</v>
      </c>
      <c r="G1516">
        <f>B1516*(hospitalityq!G1516="")</f>
        <v>0</v>
      </c>
      <c r="H1516">
        <f>B1516*(hospitalityq!H1516="")</f>
        <v>0</v>
      </c>
      <c r="I1516">
        <f>B1516*(hospitalityq!I1516="")</f>
        <v>0</v>
      </c>
      <c r="J1516">
        <f>B1516*(hospitalityq!J1516="")</f>
        <v>0</v>
      </c>
      <c r="K1516">
        <f>B1516*(hospitalityq!K1516="")</f>
        <v>0</v>
      </c>
      <c r="L1516">
        <f>B1516*(hospitalityq!L1516="")</f>
        <v>0</v>
      </c>
      <c r="M1516">
        <f>B1516*(hospitalityq!M1516="")</f>
        <v>0</v>
      </c>
      <c r="N1516">
        <f>B1516*(hospitalityq!N1516="")</f>
        <v>0</v>
      </c>
      <c r="O1516">
        <f>B1516*(hospitalityq!O1516="")</f>
        <v>0</v>
      </c>
      <c r="P1516">
        <f>B1516*(hospitalityq!P1516="")</f>
        <v>0</v>
      </c>
      <c r="Q1516">
        <f>B1516*(hospitalityq!Q1516="")</f>
        <v>0</v>
      </c>
      <c r="R1516">
        <f>B1516*(hospitalityq!R1516="")</f>
        <v>0</v>
      </c>
    </row>
    <row r="1517" spans="1:18" x14ac:dyDescent="0.25">
      <c r="A1517">
        <f t="shared" si="24"/>
        <v>0</v>
      </c>
      <c r="B1517" t="b">
        <f>SUMPRODUCT(LEN(hospitalityq!C1517:R1517))&gt;0</f>
        <v>0</v>
      </c>
      <c r="C1517">
        <f>B1517*(hospitalityq!C1517="")</f>
        <v>0</v>
      </c>
      <c r="E1517">
        <f>B1517*(hospitalityq!E1517="")</f>
        <v>0</v>
      </c>
      <c r="F1517">
        <f>B1517*(hospitalityq!F1517="")</f>
        <v>0</v>
      </c>
      <c r="G1517">
        <f>B1517*(hospitalityq!G1517="")</f>
        <v>0</v>
      </c>
      <c r="H1517">
        <f>B1517*(hospitalityq!H1517="")</f>
        <v>0</v>
      </c>
      <c r="I1517">
        <f>B1517*(hospitalityq!I1517="")</f>
        <v>0</v>
      </c>
      <c r="J1517">
        <f>B1517*(hospitalityq!J1517="")</f>
        <v>0</v>
      </c>
      <c r="K1517">
        <f>B1517*(hospitalityq!K1517="")</f>
        <v>0</v>
      </c>
      <c r="L1517">
        <f>B1517*(hospitalityq!L1517="")</f>
        <v>0</v>
      </c>
      <c r="M1517">
        <f>B1517*(hospitalityq!M1517="")</f>
        <v>0</v>
      </c>
      <c r="N1517">
        <f>B1517*(hospitalityq!N1517="")</f>
        <v>0</v>
      </c>
      <c r="O1517">
        <f>B1517*(hospitalityq!O1517="")</f>
        <v>0</v>
      </c>
      <c r="P1517">
        <f>B1517*(hospitalityq!P1517="")</f>
        <v>0</v>
      </c>
      <c r="Q1517">
        <f>B1517*(hospitalityq!Q1517="")</f>
        <v>0</v>
      </c>
      <c r="R1517">
        <f>B1517*(hospitalityq!R1517="")</f>
        <v>0</v>
      </c>
    </row>
    <row r="1518" spans="1:18" x14ac:dyDescent="0.25">
      <c r="A1518">
        <f t="shared" si="24"/>
        <v>0</v>
      </c>
      <c r="B1518" t="b">
        <f>SUMPRODUCT(LEN(hospitalityq!C1518:R1518))&gt;0</f>
        <v>0</v>
      </c>
      <c r="C1518">
        <f>B1518*(hospitalityq!C1518="")</f>
        <v>0</v>
      </c>
      <c r="E1518">
        <f>B1518*(hospitalityq!E1518="")</f>
        <v>0</v>
      </c>
      <c r="F1518">
        <f>B1518*(hospitalityq!F1518="")</f>
        <v>0</v>
      </c>
      <c r="G1518">
        <f>B1518*(hospitalityq!G1518="")</f>
        <v>0</v>
      </c>
      <c r="H1518">
        <f>B1518*(hospitalityq!H1518="")</f>
        <v>0</v>
      </c>
      <c r="I1518">
        <f>B1518*(hospitalityq!I1518="")</f>
        <v>0</v>
      </c>
      <c r="J1518">
        <f>B1518*(hospitalityq!J1518="")</f>
        <v>0</v>
      </c>
      <c r="K1518">
        <f>B1518*(hospitalityq!K1518="")</f>
        <v>0</v>
      </c>
      <c r="L1518">
        <f>B1518*(hospitalityq!L1518="")</f>
        <v>0</v>
      </c>
      <c r="M1518">
        <f>B1518*(hospitalityq!M1518="")</f>
        <v>0</v>
      </c>
      <c r="N1518">
        <f>B1518*(hospitalityq!N1518="")</f>
        <v>0</v>
      </c>
      <c r="O1518">
        <f>B1518*(hospitalityq!O1518="")</f>
        <v>0</v>
      </c>
      <c r="P1518">
        <f>B1518*(hospitalityq!P1518="")</f>
        <v>0</v>
      </c>
      <c r="Q1518">
        <f>B1518*(hospitalityq!Q1518="")</f>
        <v>0</v>
      </c>
      <c r="R1518">
        <f>B1518*(hospitalityq!R1518="")</f>
        <v>0</v>
      </c>
    </row>
    <row r="1519" spans="1:18" x14ac:dyDescent="0.25">
      <c r="A1519">
        <f t="shared" si="24"/>
        <v>0</v>
      </c>
      <c r="B1519" t="b">
        <f>SUMPRODUCT(LEN(hospitalityq!C1519:R1519))&gt;0</f>
        <v>0</v>
      </c>
      <c r="C1519">
        <f>B1519*(hospitalityq!C1519="")</f>
        <v>0</v>
      </c>
      <c r="E1519">
        <f>B1519*(hospitalityq!E1519="")</f>
        <v>0</v>
      </c>
      <c r="F1519">
        <f>B1519*(hospitalityq!F1519="")</f>
        <v>0</v>
      </c>
      <c r="G1519">
        <f>B1519*(hospitalityq!G1519="")</f>
        <v>0</v>
      </c>
      <c r="H1519">
        <f>B1519*(hospitalityq!H1519="")</f>
        <v>0</v>
      </c>
      <c r="I1519">
        <f>B1519*(hospitalityq!I1519="")</f>
        <v>0</v>
      </c>
      <c r="J1519">
        <f>B1519*(hospitalityq!J1519="")</f>
        <v>0</v>
      </c>
      <c r="K1519">
        <f>B1519*(hospitalityq!K1519="")</f>
        <v>0</v>
      </c>
      <c r="L1519">
        <f>B1519*(hospitalityq!L1519="")</f>
        <v>0</v>
      </c>
      <c r="M1519">
        <f>B1519*(hospitalityq!M1519="")</f>
        <v>0</v>
      </c>
      <c r="N1519">
        <f>B1519*(hospitalityq!N1519="")</f>
        <v>0</v>
      </c>
      <c r="O1519">
        <f>B1519*(hospitalityq!O1519="")</f>
        <v>0</v>
      </c>
      <c r="P1519">
        <f>B1519*(hospitalityq!P1519="")</f>
        <v>0</v>
      </c>
      <c r="Q1519">
        <f>B1519*(hospitalityq!Q1519="")</f>
        <v>0</v>
      </c>
      <c r="R1519">
        <f>B1519*(hospitalityq!R1519="")</f>
        <v>0</v>
      </c>
    </row>
    <row r="1520" spans="1:18" x14ac:dyDescent="0.25">
      <c r="A1520">
        <f t="shared" si="24"/>
        <v>0</v>
      </c>
      <c r="B1520" t="b">
        <f>SUMPRODUCT(LEN(hospitalityq!C1520:R1520))&gt;0</f>
        <v>0</v>
      </c>
      <c r="C1520">
        <f>B1520*(hospitalityq!C1520="")</f>
        <v>0</v>
      </c>
      <c r="E1520">
        <f>B1520*(hospitalityq!E1520="")</f>
        <v>0</v>
      </c>
      <c r="F1520">
        <f>B1520*(hospitalityq!F1520="")</f>
        <v>0</v>
      </c>
      <c r="G1520">
        <f>B1520*(hospitalityq!G1520="")</f>
        <v>0</v>
      </c>
      <c r="H1520">
        <f>B1520*(hospitalityq!H1520="")</f>
        <v>0</v>
      </c>
      <c r="I1520">
        <f>B1520*(hospitalityq!I1520="")</f>
        <v>0</v>
      </c>
      <c r="J1520">
        <f>B1520*(hospitalityq!J1520="")</f>
        <v>0</v>
      </c>
      <c r="K1520">
        <f>B1520*(hospitalityq!K1520="")</f>
        <v>0</v>
      </c>
      <c r="L1520">
        <f>B1520*(hospitalityq!L1520="")</f>
        <v>0</v>
      </c>
      <c r="M1520">
        <f>B1520*(hospitalityq!M1520="")</f>
        <v>0</v>
      </c>
      <c r="N1520">
        <f>B1520*(hospitalityq!N1520="")</f>
        <v>0</v>
      </c>
      <c r="O1520">
        <f>B1520*(hospitalityq!O1520="")</f>
        <v>0</v>
      </c>
      <c r="P1520">
        <f>B1520*(hospitalityq!P1520="")</f>
        <v>0</v>
      </c>
      <c r="Q1520">
        <f>B1520*(hospitalityq!Q1520="")</f>
        <v>0</v>
      </c>
      <c r="R1520">
        <f>B1520*(hospitalityq!R1520="")</f>
        <v>0</v>
      </c>
    </row>
    <row r="1521" spans="1:18" x14ac:dyDescent="0.25">
      <c r="A1521">
        <f t="shared" si="24"/>
        <v>0</v>
      </c>
      <c r="B1521" t="b">
        <f>SUMPRODUCT(LEN(hospitalityq!C1521:R1521))&gt;0</f>
        <v>0</v>
      </c>
      <c r="C1521">
        <f>B1521*(hospitalityq!C1521="")</f>
        <v>0</v>
      </c>
      <c r="E1521">
        <f>B1521*(hospitalityq!E1521="")</f>
        <v>0</v>
      </c>
      <c r="F1521">
        <f>B1521*(hospitalityq!F1521="")</f>
        <v>0</v>
      </c>
      <c r="G1521">
        <f>B1521*(hospitalityq!G1521="")</f>
        <v>0</v>
      </c>
      <c r="H1521">
        <f>B1521*(hospitalityq!H1521="")</f>
        <v>0</v>
      </c>
      <c r="I1521">
        <f>B1521*(hospitalityq!I1521="")</f>
        <v>0</v>
      </c>
      <c r="J1521">
        <f>B1521*(hospitalityq!J1521="")</f>
        <v>0</v>
      </c>
      <c r="K1521">
        <f>B1521*(hospitalityq!K1521="")</f>
        <v>0</v>
      </c>
      <c r="L1521">
        <f>B1521*(hospitalityq!L1521="")</f>
        <v>0</v>
      </c>
      <c r="M1521">
        <f>B1521*(hospitalityq!M1521="")</f>
        <v>0</v>
      </c>
      <c r="N1521">
        <f>B1521*(hospitalityq!N1521="")</f>
        <v>0</v>
      </c>
      <c r="O1521">
        <f>B1521*(hospitalityq!O1521="")</f>
        <v>0</v>
      </c>
      <c r="P1521">
        <f>B1521*(hospitalityq!P1521="")</f>
        <v>0</v>
      </c>
      <c r="Q1521">
        <f>B1521*(hospitalityq!Q1521="")</f>
        <v>0</v>
      </c>
      <c r="R1521">
        <f>B1521*(hospitalityq!R1521="")</f>
        <v>0</v>
      </c>
    </row>
    <row r="1522" spans="1:18" x14ac:dyDescent="0.25">
      <c r="A1522">
        <f t="shared" si="24"/>
        <v>0</v>
      </c>
      <c r="B1522" t="b">
        <f>SUMPRODUCT(LEN(hospitalityq!C1522:R1522))&gt;0</f>
        <v>0</v>
      </c>
      <c r="C1522">
        <f>B1522*(hospitalityq!C1522="")</f>
        <v>0</v>
      </c>
      <c r="E1522">
        <f>B1522*(hospitalityq!E1522="")</f>
        <v>0</v>
      </c>
      <c r="F1522">
        <f>B1522*(hospitalityq!F1522="")</f>
        <v>0</v>
      </c>
      <c r="G1522">
        <f>B1522*(hospitalityq!G1522="")</f>
        <v>0</v>
      </c>
      <c r="H1522">
        <f>B1522*(hospitalityq!H1522="")</f>
        <v>0</v>
      </c>
      <c r="I1522">
        <f>B1522*(hospitalityq!I1522="")</f>
        <v>0</v>
      </c>
      <c r="J1522">
        <f>B1522*(hospitalityq!J1522="")</f>
        <v>0</v>
      </c>
      <c r="K1522">
        <f>B1522*(hospitalityq!K1522="")</f>
        <v>0</v>
      </c>
      <c r="L1522">
        <f>B1522*(hospitalityq!L1522="")</f>
        <v>0</v>
      </c>
      <c r="M1522">
        <f>B1522*(hospitalityq!M1522="")</f>
        <v>0</v>
      </c>
      <c r="N1522">
        <f>B1522*(hospitalityq!N1522="")</f>
        <v>0</v>
      </c>
      <c r="O1522">
        <f>B1522*(hospitalityq!O1522="")</f>
        <v>0</v>
      </c>
      <c r="P1522">
        <f>B1522*(hospitalityq!P1522="")</f>
        <v>0</v>
      </c>
      <c r="Q1522">
        <f>B1522*(hospitalityq!Q1522="")</f>
        <v>0</v>
      </c>
      <c r="R1522">
        <f>B1522*(hospitalityq!R1522="")</f>
        <v>0</v>
      </c>
    </row>
    <row r="1523" spans="1:18" x14ac:dyDescent="0.25">
      <c r="A1523">
        <f t="shared" si="24"/>
        <v>0</v>
      </c>
      <c r="B1523" t="b">
        <f>SUMPRODUCT(LEN(hospitalityq!C1523:R1523))&gt;0</f>
        <v>0</v>
      </c>
      <c r="C1523">
        <f>B1523*(hospitalityq!C1523="")</f>
        <v>0</v>
      </c>
      <c r="E1523">
        <f>B1523*(hospitalityq!E1523="")</f>
        <v>0</v>
      </c>
      <c r="F1523">
        <f>B1523*(hospitalityq!F1523="")</f>
        <v>0</v>
      </c>
      <c r="G1523">
        <f>B1523*(hospitalityq!G1523="")</f>
        <v>0</v>
      </c>
      <c r="H1523">
        <f>B1523*(hospitalityq!H1523="")</f>
        <v>0</v>
      </c>
      <c r="I1523">
        <f>B1523*(hospitalityq!I1523="")</f>
        <v>0</v>
      </c>
      <c r="J1523">
        <f>B1523*(hospitalityq!J1523="")</f>
        <v>0</v>
      </c>
      <c r="K1523">
        <f>B1523*(hospitalityq!K1523="")</f>
        <v>0</v>
      </c>
      <c r="L1523">
        <f>B1523*(hospitalityq!L1523="")</f>
        <v>0</v>
      </c>
      <c r="M1523">
        <f>B1523*(hospitalityq!M1523="")</f>
        <v>0</v>
      </c>
      <c r="N1523">
        <f>B1523*(hospitalityq!N1523="")</f>
        <v>0</v>
      </c>
      <c r="O1523">
        <f>B1523*(hospitalityq!O1523="")</f>
        <v>0</v>
      </c>
      <c r="P1523">
        <f>B1523*(hospitalityq!P1523="")</f>
        <v>0</v>
      </c>
      <c r="Q1523">
        <f>B1523*(hospitalityq!Q1523="")</f>
        <v>0</v>
      </c>
      <c r="R1523">
        <f>B1523*(hospitalityq!R1523="")</f>
        <v>0</v>
      </c>
    </row>
    <row r="1524" spans="1:18" x14ac:dyDescent="0.25">
      <c r="A1524">
        <f t="shared" si="24"/>
        <v>0</v>
      </c>
      <c r="B1524" t="b">
        <f>SUMPRODUCT(LEN(hospitalityq!C1524:R1524))&gt;0</f>
        <v>0</v>
      </c>
      <c r="C1524">
        <f>B1524*(hospitalityq!C1524="")</f>
        <v>0</v>
      </c>
      <c r="E1524">
        <f>B1524*(hospitalityq!E1524="")</f>
        <v>0</v>
      </c>
      <c r="F1524">
        <f>B1524*(hospitalityq!F1524="")</f>
        <v>0</v>
      </c>
      <c r="G1524">
        <f>B1524*(hospitalityq!G1524="")</f>
        <v>0</v>
      </c>
      <c r="H1524">
        <f>B1524*(hospitalityq!H1524="")</f>
        <v>0</v>
      </c>
      <c r="I1524">
        <f>B1524*(hospitalityq!I1524="")</f>
        <v>0</v>
      </c>
      <c r="J1524">
        <f>B1524*(hospitalityq!J1524="")</f>
        <v>0</v>
      </c>
      <c r="K1524">
        <f>B1524*(hospitalityq!K1524="")</f>
        <v>0</v>
      </c>
      <c r="L1524">
        <f>B1524*(hospitalityq!L1524="")</f>
        <v>0</v>
      </c>
      <c r="M1524">
        <f>B1524*(hospitalityq!M1524="")</f>
        <v>0</v>
      </c>
      <c r="N1524">
        <f>B1524*(hospitalityq!N1524="")</f>
        <v>0</v>
      </c>
      <c r="O1524">
        <f>B1524*(hospitalityq!O1524="")</f>
        <v>0</v>
      </c>
      <c r="P1524">
        <f>B1524*(hospitalityq!P1524="")</f>
        <v>0</v>
      </c>
      <c r="Q1524">
        <f>B1524*(hospitalityq!Q1524="")</f>
        <v>0</v>
      </c>
      <c r="R1524">
        <f>B1524*(hospitalityq!R1524="")</f>
        <v>0</v>
      </c>
    </row>
    <row r="1525" spans="1:18" x14ac:dyDescent="0.25">
      <c r="A1525">
        <f t="shared" si="24"/>
        <v>0</v>
      </c>
      <c r="B1525" t="b">
        <f>SUMPRODUCT(LEN(hospitalityq!C1525:R1525))&gt;0</f>
        <v>0</v>
      </c>
      <c r="C1525">
        <f>B1525*(hospitalityq!C1525="")</f>
        <v>0</v>
      </c>
      <c r="E1525">
        <f>B1525*(hospitalityq!E1525="")</f>
        <v>0</v>
      </c>
      <c r="F1525">
        <f>B1525*(hospitalityq!F1525="")</f>
        <v>0</v>
      </c>
      <c r="G1525">
        <f>B1525*(hospitalityq!G1525="")</f>
        <v>0</v>
      </c>
      <c r="H1525">
        <f>B1525*(hospitalityq!H1525="")</f>
        <v>0</v>
      </c>
      <c r="I1525">
        <f>B1525*(hospitalityq!I1525="")</f>
        <v>0</v>
      </c>
      <c r="J1525">
        <f>B1525*(hospitalityq!J1525="")</f>
        <v>0</v>
      </c>
      <c r="K1525">
        <f>B1525*(hospitalityq!K1525="")</f>
        <v>0</v>
      </c>
      <c r="L1525">
        <f>B1525*(hospitalityq!L1525="")</f>
        <v>0</v>
      </c>
      <c r="M1525">
        <f>B1525*(hospitalityq!M1525="")</f>
        <v>0</v>
      </c>
      <c r="N1525">
        <f>B1525*(hospitalityq!N1525="")</f>
        <v>0</v>
      </c>
      <c r="O1525">
        <f>B1525*(hospitalityq!O1525="")</f>
        <v>0</v>
      </c>
      <c r="P1525">
        <f>B1525*(hospitalityq!P1525="")</f>
        <v>0</v>
      </c>
      <c r="Q1525">
        <f>B1525*(hospitalityq!Q1525="")</f>
        <v>0</v>
      </c>
      <c r="R1525">
        <f>B1525*(hospitalityq!R1525="")</f>
        <v>0</v>
      </c>
    </row>
    <row r="1526" spans="1:18" x14ac:dyDescent="0.25">
      <c r="A1526">
        <f t="shared" si="24"/>
        <v>0</v>
      </c>
      <c r="B1526" t="b">
        <f>SUMPRODUCT(LEN(hospitalityq!C1526:R1526))&gt;0</f>
        <v>0</v>
      </c>
      <c r="C1526">
        <f>B1526*(hospitalityq!C1526="")</f>
        <v>0</v>
      </c>
      <c r="E1526">
        <f>B1526*(hospitalityq!E1526="")</f>
        <v>0</v>
      </c>
      <c r="F1526">
        <f>B1526*(hospitalityq!F1526="")</f>
        <v>0</v>
      </c>
      <c r="G1526">
        <f>B1526*(hospitalityq!G1526="")</f>
        <v>0</v>
      </c>
      <c r="H1526">
        <f>B1526*(hospitalityq!H1526="")</f>
        <v>0</v>
      </c>
      <c r="I1526">
        <f>B1526*(hospitalityq!I1526="")</f>
        <v>0</v>
      </c>
      <c r="J1526">
        <f>B1526*(hospitalityq!J1526="")</f>
        <v>0</v>
      </c>
      <c r="K1526">
        <f>B1526*(hospitalityq!K1526="")</f>
        <v>0</v>
      </c>
      <c r="L1526">
        <f>B1526*(hospitalityq!L1526="")</f>
        <v>0</v>
      </c>
      <c r="M1526">
        <f>B1526*(hospitalityq!M1526="")</f>
        <v>0</v>
      </c>
      <c r="N1526">
        <f>B1526*(hospitalityq!N1526="")</f>
        <v>0</v>
      </c>
      <c r="O1526">
        <f>B1526*(hospitalityq!O1526="")</f>
        <v>0</v>
      </c>
      <c r="P1526">
        <f>B1526*(hospitalityq!P1526="")</f>
        <v>0</v>
      </c>
      <c r="Q1526">
        <f>B1526*(hospitalityq!Q1526="")</f>
        <v>0</v>
      </c>
      <c r="R1526">
        <f>B1526*(hospitalityq!R1526="")</f>
        <v>0</v>
      </c>
    </row>
    <row r="1527" spans="1:18" x14ac:dyDescent="0.25">
      <c r="A1527">
        <f t="shared" si="24"/>
        <v>0</v>
      </c>
      <c r="B1527" t="b">
        <f>SUMPRODUCT(LEN(hospitalityq!C1527:R1527))&gt;0</f>
        <v>0</v>
      </c>
      <c r="C1527">
        <f>B1527*(hospitalityq!C1527="")</f>
        <v>0</v>
      </c>
      <c r="E1527">
        <f>B1527*(hospitalityq!E1527="")</f>
        <v>0</v>
      </c>
      <c r="F1527">
        <f>B1527*(hospitalityq!F1527="")</f>
        <v>0</v>
      </c>
      <c r="G1527">
        <f>B1527*(hospitalityq!G1527="")</f>
        <v>0</v>
      </c>
      <c r="H1527">
        <f>B1527*(hospitalityq!H1527="")</f>
        <v>0</v>
      </c>
      <c r="I1527">
        <f>B1527*(hospitalityq!I1527="")</f>
        <v>0</v>
      </c>
      <c r="J1527">
        <f>B1527*(hospitalityq!J1527="")</f>
        <v>0</v>
      </c>
      <c r="K1527">
        <f>B1527*(hospitalityq!K1527="")</f>
        <v>0</v>
      </c>
      <c r="L1527">
        <f>B1527*(hospitalityq!L1527="")</f>
        <v>0</v>
      </c>
      <c r="M1527">
        <f>B1527*(hospitalityq!M1527="")</f>
        <v>0</v>
      </c>
      <c r="N1527">
        <f>B1527*(hospitalityq!N1527="")</f>
        <v>0</v>
      </c>
      <c r="O1527">
        <f>B1527*(hospitalityq!O1527="")</f>
        <v>0</v>
      </c>
      <c r="P1527">
        <f>B1527*(hospitalityq!P1527="")</f>
        <v>0</v>
      </c>
      <c r="Q1527">
        <f>B1527*(hospitalityq!Q1527="")</f>
        <v>0</v>
      </c>
      <c r="R1527">
        <f>B1527*(hospitalityq!R1527="")</f>
        <v>0</v>
      </c>
    </row>
    <row r="1528" spans="1:18" x14ac:dyDescent="0.25">
      <c r="A1528">
        <f t="shared" si="24"/>
        <v>0</v>
      </c>
      <c r="B1528" t="b">
        <f>SUMPRODUCT(LEN(hospitalityq!C1528:R1528))&gt;0</f>
        <v>0</v>
      </c>
      <c r="C1528">
        <f>B1528*(hospitalityq!C1528="")</f>
        <v>0</v>
      </c>
      <c r="E1528">
        <f>B1528*(hospitalityq!E1528="")</f>
        <v>0</v>
      </c>
      <c r="F1528">
        <f>B1528*(hospitalityq!F1528="")</f>
        <v>0</v>
      </c>
      <c r="G1528">
        <f>B1528*(hospitalityq!G1528="")</f>
        <v>0</v>
      </c>
      <c r="H1528">
        <f>B1528*(hospitalityq!H1528="")</f>
        <v>0</v>
      </c>
      <c r="I1528">
        <f>B1528*(hospitalityq!I1528="")</f>
        <v>0</v>
      </c>
      <c r="J1528">
        <f>B1528*(hospitalityq!J1528="")</f>
        <v>0</v>
      </c>
      <c r="K1528">
        <f>B1528*(hospitalityq!K1528="")</f>
        <v>0</v>
      </c>
      <c r="L1528">
        <f>B1528*(hospitalityq!L1528="")</f>
        <v>0</v>
      </c>
      <c r="M1528">
        <f>B1528*(hospitalityq!M1528="")</f>
        <v>0</v>
      </c>
      <c r="N1528">
        <f>B1528*(hospitalityq!N1528="")</f>
        <v>0</v>
      </c>
      <c r="O1528">
        <f>B1528*(hospitalityq!O1528="")</f>
        <v>0</v>
      </c>
      <c r="P1528">
        <f>B1528*(hospitalityq!P1528="")</f>
        <v>0</v>
      </c>
      <c r="Q1528">
        <f>B1528*(hospitalityq!Q1528="")</f>
        <v>0</v>
      </c>
      <c r="R1528">
        <f>B1528*(hospitalityq!R1528="")</f>
        <v>0</v>
      </c>
    </row>
    <row r="1529" spans="1:18" x14ac:dyDescent="0.25">
      <c r="A1529">
        <f t="shared" si="24"/>
        <v>0</v>
      </c>
      <c r="B1529" t="b">
        <f>SUMPRODUCT(LEN(hospitalityq!C1529:R1529))&gt;0</f>
        <v>0</v>
      </c>
      <c r="C1529">
        <f>B1529*(hospitalityq!C1529="")</f>
        <v>0</v>
      </c>
      <c r="E1529">
        <f>B1529*(hospitalityq!E1529="")</f>
        <v>0</v>
      </c>
      <c r="F1529">
        <f>B1529*(hospitalityq!F1529="")</f>
        <v>0</v>
      </c>
      <c r="G1529">
        <f>B1529*(hospitalityq!G1529="")</f>
        <v>0</v>
      </c>
      <c r="H1529">
        <f>B1529*(hospitalityq!H1529="")</f>
        <v>0</v>
      </c>
      <c r="I1529">
        <f>B1529*(hospitalityq!I1529="")</f>
        <v>0</v>
      </c>
      <c r="J1529">
        <f>B1529*(hospitalityq!J1529="")</f>
        <v>0</v>
      </c>
      <c r="K1529">
        <f>B1529*(hospitalityq!K1529="")</f>
        <v>0</v>
      </c>
      <c r="L1529">
        <f>B1529*(hospitalityq!L1529="")</f>
        <v>0</v>
      </c>
      <c r="M1529">
        <f>B1529*(hospitalityq!M1529="")</f>
        <v>0</v>
      </c>
      <c r="N1529">
        <f>B1529*(hospitalityq!N1529="")</f>
        <v>0</v>
      </c>
      <c r="O1529">
        <f>B1529*(hospitalityq!O1529="")</f>
        <v>0</v>
      </c>
      <c r="P1529">
        <f>B1529*(hospitalityq!P1529="")</f>
        <v>0</v>
      </c>
      <c r="Q1529">
        <f>B1529*(hospitalityq!Q1529="")</f>
        <v>0</v>
      </c>
      <c r="R1529">
        <f>B1529*(hospitalityq!R1529="")</f>
        <v>0</v>
      </c>
    </row>
    <row r="1530" spans="1:18" x14ac:dyDescent="0.25">
      <c r="A1530">
        <f t="shared" si="24"/>
        <v>0</v>
      </c>
      <c r="B1530" t="b">
        <f>SUMPRODUCT(LEN(hospitalityq!C1530:R1530))&gt;0</f>
        <v>0</v>
      </c>
      <c r="C1530">
        <f>B1530*(hospitalityq!C1530="")</f>
        <v>0</v>
      </c>
      <c r="E1530">
        <f>B1530*(hospitalityq!E1530="")</f>
        <v>0</v>
      </c>
      <c r="F1530">
        <f>B1530*(hospitalityq!F1530="")</f>
        <v>0</v>
      </c>
      <c r="G1530">
        <f>B1530*(hospitalityq!G1530="")</f>
        <v>0</v>
      </c>
      <c r="H1530">
        <f>B1530*(hospitalityq!H1530="")</f>
        <v>0</v>
      </c>
      <c r="I1530">
        <f>B1530*(hospitalityq!I1530="")</f>
        <v>0</v>
      </c>
      <c r="J1530">
        <f>B1530*(hospitalityq!J1530="")</f>
        <v>0</v>
      </c>
      <c r="K1530">
        <f>B1530*(hospitalityq!K1530="")</f>
        <v>0</v>
      </c>
      <c r="L1530">
        <f>B1530*(hospitalityq!L1530="")</f>
        <v>0</v>
      </c>
      <c r="M1530">
        <f>B1530*(hospitalityq!M1530="")</f>
        <v>0</v>
      </c>
      <c r="N1530">
        <f>B1530*(hospitalityq!N1530="")</f>
        <v>0</v>
      </c>
      <c r="O1530">
        <f>B1530*(hospitalityq!O1530="")</f>
        <v>0</v>
      </c>
      <c r="P1530">
        <f>B1530*(hospitalityq!P1530="")</f>
        <v>0</v>
      </c>
      <c r="Q1530">
        <f>B1530*(hospitalityq!Q1530="")</f>
        <v>0</v>
      </c>
      <c r="R1530">
        <f>B1530*(hospitalityq!R1530="")</f>
        <v>0</v>
      </c>
    </row>
    <row r="1531" spans="1:18" x14ac:dyDescent="0.25">
      <c r="A1531">
        <f t="shared" si="24"/>
        <v>0</v>
      </c>
      <c r="B1531" t="b">
        <f>SUMPRODUCT(LEN(hospitalityq!C1531:R1531))&gt;0</f>
        <v>0</v>
      </c>
      <c r="C1531">
        <f>B1531*(hospitalityq!C1531="")</f>
        <v>0</v>
      </c>
      <c r="E1531">
        <f>B1531*(hospitalityq!E1531="")</f>
        <v>0</v>
      </c>
      <c r="F1531">
        <f>B1531*(hospitalityq!F1531="")</f>
        <v>0</v>
      </c>
      <c r="G1531">
        <f>B1531*(hospitalityq!G1531="")</f>
        <v>0</v>
      </c>
      <c r="H1531">
        <f>B1531*(hospitalityq!H1531="")</f>
        <v>0</v>
      </c>
      <c r="I1531">
        <f>B1531*(hospitalityq!I1531="")</f>
        <v>0</v>
      </c>
      <c r="J1531">
        <f>B1531*(hospitalityq!J1531="")</f>
        <v>0</v>
      </c>
      <c r="K1531">
        <f>B1531*(hospitalityq!K1531="")</f>
        <v>0</v>
      </c>
      <c r="L1531">
        <f>B1531*(hospitalityq!L1531="")</f>
        <v>0</v>
      </c>
      <c r="M1531">
        <f>B1531*(hospitalityq!M1531="")</f>
        <v>0</v>
      </c>
      <c r="N1531">
        <f>B1531*(hospitalityq!N1531="")</f>
        <v>0</v>
      </c>
      <c r="O1531">
        <f>B1531*(hospitalityq!O1531="")</f>
        <v>0</v>
      </c>
      <c r="P1531">
        <f>B1531*(hospitalityq!P1531="")</f>
        <v>0</v>
      </c>
      <c r="Q1531">
        <f>B1531*(hospitalityq!Q1531="")</f>
        <v>0</v>
      </c>
      <c r="R1531">
        <f>B1531*(hospitalityq!R1531="")</f>
        <v>0</v>
      </c>
    </row>
    <row r="1532" spans="1:18" x14ac:dyDescent="0.25">
      <c r="A1532">
        <f t="shared" si="24"/>
        <v>0</v>
      </c>
      <c r="B1532" t="b">
        <f>SUMPRODUCT(LEN(hospitalityq!C1532:R1532))&gt;0</f>
        <v>0</v>
      </c>
      <c r="C1532">
        <f>B1532*(hospitalityq!C1532="")</f>
        <v>0</v>
      </c>
      <c r="E1532">
        <f>B1532*(hospitalityq!E1532="")</f>
        <v>0</v>
      </c>
      <c r="F1532">
        <f>B1532*(hospitalityq!F1532="")</f>
        <v>0</v>
      </c>
      <c r="G1532">
        <f>B1532*(hospitalityq!G1532="")</f>
        <v>0</v>
      </c>
      <c r="H1532">
        <f>B1532*(hospitalityq!H1532="")</f>
        <v>0</v>
      </c>
      <c r="I1532">
        <f>B1532*(hospitalityq!I1532="")</f>
        <v>0</v>
      </c>
      <c r="J1532">
        <f>B1532*(hospitalityq!J1532="")</f>
        <v>0</v>
      </c>
      <c r="K1532">
        <f>B1532*(hospitalityq!K1532="")</f>
        <v>0</v>
      </c>
      <c r="L1532">
        <f>B1532*(hospitalityq!L1532="")</f>
        <v>0</v>
      </c>
      <c r="M1532">
        <f>B1532*(hospitalityq!M1532="")</f>
        <v>0</v>
      </c>
      <c r="N1532">
        <f>B1532*(hospitalityq!N1532="")</f>
        <v>0</v>
      </c>
      <c r="O1532">
        <f>B1532*(hospitalityq!O1532="")</f>
        <v>0</v>
      </c>
      <c r="P1532">
        <f>B1532*(hospitalityq!P1532="")</f>
        <v>0</v>
      </c>
      <c r="Q1532">
        <f>B1532*(hospitalityq!Q1532="")</f>
        <v>0</v>
      </c>
      <c r="R1532">
        <f>B1532*(hospitalityq!R1532="")</f>
        <v>0</v>
      </c>
    </row>
    <row r="1533" spans="1:18" x14ac:dyDescent="0.25">
      <c r="A1533">
        <f t="shared" si="24"/>
        <v>0</v>
      </c>
      <c r="B1533" t="b">
        <f>SUMPRODUCT(LEN(hospitalityq!C1533:R1533))&gt;0</f>
        <v>0</v>
      </c>
      <c r="C1533">
        <f>B1533*(hospitalityq!C1533="")</f>
        <v>0</v>
      </c>
      <c r="E1533">
        <f>B1533*(hospitalityq!E1533="")</f>
        <v>0</v>
      </c>
      <c r="F1533">
        <f>B1533*(hospitalityq!F1533="")</f>
        <v>0</v>
      </c>
      <c r="G1533">
        <f>B1533*(hospitalityq!G1533="")</f>
        <v>0</v>
      </c>
      <c r="H1533">
        <f>B1533*(hospitalityq!H1533="")</f>
        <v>0</v>
      </c>
      <c r="I1533">
        <f>B1533*(hospitalityq!I1533="")</f>
        <v>0</v>
      </c>
      <c r="J1533">
        <f>B1533*(hospitalityq!J1533="")</f>
        <v>0</v>
      </c>
      <c r="K1533">
        <f>B1533*(hospitalityq!K1533="")</f>
        <v>0</v>
      </c>
      <c r="L1533">
        <f>B1533*(hospitalityq!L1533="")</f>
        <v>0</v>
      </c>
      <c r="M1533">
        <f>B1533*(hospitalityq!M1533="")</f>
        <v>0</v>
      </c>
      <c r="N1533">
        <f>B1533*(hospitalityq!N1533="")</f>
        <v>0</v>
      </c>
      <c r="O1533">
        <f>B1533*(hospitalityq!O1533="")</f>
        <v>0</v>
      </c>
      <c r="P1533">
        <f>B1533*(hospitalityq!P1533="")</f>
        <v>0</v>
      </c>
      <c r="Q1533">
        <f>B1533*(hospitalityq!Q1533="")</f>
        <v>0</v>
      </c>
      <c r="R1533">
        <f>B1533*(hospitalityq!R1533="")</f>
        <v>0</v>
      </c>
    </row>
    <row r="1534" spans="1:18" x14ac:dyDescent="0.25">
      <c r="A1534">
        <f t="shared" si="24"/>
        <v>0</v>
      </c>
      <c r="B1534" t="b">
        <f>SUMPRODUCT(LEN(hospitalityq!C1534:R1534))&gt;0</f>
        <v>0</v>
      </c>
      <c r="C1534">
        <f>B1534*(hospitalityq!C1534="")</f>
        <v>0</v>
      </c>
      <c r="E1534">
        <f>B1534*(hospitalityq!E1534="")</f>
        <v>0</v>
      </c>
      <c r="F1534">
        <f>B1534*(hospitalityq!F1534="")</f>
        <v>0</v>
      </c>
      <c r="G1534">
        <f>B1534*(hospitalityq!G1534="")</f>
        <v>0</v>
      </c>
      <c r="H1534">
        <f>B1534*(hospitalityq!H1534="")</f>
        <v>0</v>
      </c>
      <c r="I1534">
        <f>B1534*(hospitalityq!I1534="")</f>
        <v>0</v>
      </c>
      <c r="J1534">
        <f>B1534*(hospitalityq!J1534="")</f>
        <v>0</v>
      </c>
      <c r="K1534">
        <f>B1534*(hospitalityq!K1534="")</f>
        <v>0</v>
      </c>
      <c r="L1534">
        <f>B1534*(hospitalityq!L1534="")</f>
        <v>0</v>
      </c>
      <c r="M1534">
        <f>B1534*(hospitalityq!M1534="")</f>
        <v>0</v>
      </c>
      <c r="N1534">
        <f>B1534*(hospitalityq!N1534="")</f>
        <v>0</v>
      </c>
      <c r="O1534">
        <f>B1534*(hospitalityq!O1534="")</f>
        <v>0</v>
      </c>
      <c r="P1534">
        <f>B1534*(hospitalityq!P1534="")</f>
        <v>0</v>
      </c>
      <c r="Q1534">
        <f>B1534*(hospitalityq!Q1534="")</f>
        <v>0</v>
      </c>
      <c r="R1534">
        <f>B1534*(hospitalityq!R1534="")</f>
        <v>0</v>
      </c>
    </row>
    <row r="1535" spans="1:18" x14ac:dyDescent="0.25">
      <c r="A1535">
        <f t="shared" si="24"/>
        <v>0</v>
      </c>
      <c r="B1535" t="b">
        <f>SUMPRODUCT(LEN(hospitalityq!C1535:R1535))&gt;0</f>
        <v>0</v>
      </c>
      <c r="C1535">
        <f>B1535*(hospitalityq!C1535="")</f>
        <v>0</v>
      </c>
      <c r="E1535">
        <f>B1535*(hospitalityq!E1535="")</f>
        <v>0</v>
      </c>
      <c r="F1535">
        <f>B1535*(hospitalityq!F1535="")</f>
        <v>0</v>
      </c>
      <c r="G1535">
        <f>B1535*(hospitalityq!G1535="")</f>
        <v>0</v>
      </c>
      <c r="H1535">
        <f>B1535*(hospitalityq!H1535="")</f>
        <v>0</v>
      </c>
      <c r="I1535">
        <f>B1535*(hospitalityq!I1535="")</f>
        <v>0</v>
      </c>
      <c r="J1535">
        <f>B1535*(hospitalityq!J1535="")</f>
        <v>0</v>
      </c>
      <c r="K1535">
        <f>B1535*(hospitalityq!K1535="")</f>
        <v>0</v>
      </c>
      <c r="L1535">
        <f>B1535*(hospitalityq!L1535="")</f>
        <v>0</v>
      </c>
      <c r="M1535">
        <f>B1535*(hospitalityq!M1535="")</f>
        <v>0</v>
      </c>
      <c r="N1535">
        <f>B1535*(hospitalityq!N1535="")</f>
        <v>0</v>
      </c>
      <c r="O1535">
        <f>B1535*(hospitalityq!O1535="")</f>
        <v>0</v>
      </c>
      <c r="P1535">
        <f>B1535*(hospitalityq!P1535="")</f>
        <v>0</v>
      </c>
      <c r="Q1535">
        <f>B1535*(hospitalityq!Q1535="")</f>
        <v>0</v>
      </c>
      <c r="R1535">
        <f>B1535*(hospitalityq!R1535="")</f>
        <v>0</v>
      </c>
    </row>
    <row r="1536" spans="1:18" x14ac:dyDescent="0.25">
      <c r="A1536">
        <f t="shared" si="24"/>
        <v>0</v>
      </c>
      <c r="B1536" t="b">
        <f>SUMPRODUCT(LEN(hospitalityq!C1536:R1536))&gt;0</f>
        <v>0</v>
      </c>
      <c r="C1536">
        <f>B1536*(hospitalityq!C1536="")</f>
        <v>0</v>
      </c>
      <c r="E1536">
        <f>B1536*(hospitalityq!E1536="")</f>
        <v>0</v>
      </c>
      <c r="F1536">
        <f>B1536*(hospitalityq!F1536="")</f>
        <v>0</v>
      </c>
      <c r="G1536">
        <f>B1536*(hospitalityq!G1536="")</f>
        <v>0</v>
      </c>
      <c r="H1536">
        <f>B1536*(hospitalityq!H1536="")</f>
        <v>0</v>
      </c>
      <c r="I1536">
        <f>B1536*(hospitalityq!I1536="")</f>
        <v>0</v>
      </c>
      <c r="J1536">
        <f>B1536*(hospitalityq!J1536="")</f>
        <v>0</v>
      </c>
      <c r="K1536">
        <f>B1536*(hospitalityq!K1536="")</f>
        <v>0</v>
      </c>
      <c r="L1536">
        <f>B1536*(hospitalityq!L1536="")</f>
        <v>0</v>
      </c>
      <c r="M1536">
        <f>B1536*(hospitalityq!M1536="")</f>
        <v>0</v>
      </c>
      <c r="N1536">
        <f>B1536*(hospitalityq!N1536="")</f>
        <v>0</v>
      </c>
      <c r="O1536">
        <f>B1536*(hospitalityq!O1536="")</f>
        <v>0</v>
      </c>
      <c r="P1536">
        <f>B1536*(hospitalityq!P1536="")</f>
        <v>0</v>
      </c>
      <c r="Q1536">
        <f>B1536*(hospitalityq!Q1536="")</f>
        <v>0</v>
      </c>
      <c r="R1536">
        <f>B1536*(hospitalityq!R1536="")</f>
        <v>0</v>
      </c>
    </row>
    <row r="1537" spans="1:18" x14ac:dyDescent="0.25">
      <c r="A1537">
        <f t="shared" si="24"/>
        <v>0</v>
      </c>
      <c r="B1537" t="b">
        <f>SUMPRODUCT(LEN(hospitalityq!C1537:R1537))&gt;0</f>
        <v>0</v>
      </c>
      <c r="C1537">
        <f>B1537*(hospitalityq!C1537="")</f>
        <v>0</v>
      </c>
      <c r="E1537">
        <f>B1537*(hospitalityq!E1537="")</f>
        <v>0</v>
      </c>
      <c r="F1537">
        <f>B1537*(hospitalityq!F1537="")</f>
        <v>0</v>
      </c>
      <c r="G1537">
        <f>B1537*(hospitalityq!G1537="")</f>
        <v>0</v>
      </c>
      <c r="H1537">
        <f>B1537*(hospitalityq!H1537="")</f>
        <v>0</v>
      </c>
      <c r="I1537">
        <f>B1537*(hospitalityq!I1537="")</f>
        <v>0</v>
      </c>
      <c r="J1537">
        <f>B1537*(hospitalityq!J1537="")</f>
        <v>0</v>
      </c>
      <c r="K1537">
        <f>B1537*(hospitalityq!K1537="")</f>
        <v>0</v>
      </c>
      <c r="L1537">
        <f>B1537*(hospitalityq!L1537="")</f>
        <v>0</v>
      </c>
      <c r="M1537">
        <f>B1537*(hospitalityq!M1537="")</f>
        <v>0</v>
      </c>
      <c r="N1537">
        <f>B1537*(hospitalityq!N1537="")</f>
        <v>0</v>
      </c>
      <c r="O1537">
        <f>B1537*(hospitalityq!O1537="")</f>
        <v>0</v>
      </c>
      <c r="P1537">
        <f>B1537*(hospitalityq!P1537="")</f>
        <v>0</v>
      </c>
      <c r="Q1537">
        <f>B1537*(hospitalityq!Q1537="")</f>
        <v>0</v>
      </c>
      <c r="R1537">
        <f>B1537*(hospitalityq!R1537="")</f>
        <v>0</v>
      </c>
    </row>
    <row r="1538" spans="1:18" x14ac:dyDescent="0.25">
      <c r="A1538">
        <f t="shared" si="24"/>
        <v>0</v>
      </c>
      <c r="B1538" t="b">
        <f>SUMPRODUCT(LEN(hospitalityq!C1538:R1538))&gt;0</f>
        <v>0</v>
      </c>
      <c r="C1538">
        <f>B1538*(hospitalityq!C1538="")</f>
        <v>0</v>
      </c>
      <c r="E1538">
        <f>B1538*(hospitalityq!E1538="")</f>
        <v>0</v>
      </c>
      <c r="F1538">
        <f>B1538*(hospitalityq!F1538="")</f>
        <v>0</v>
      </c>
      <c r="G1538">
        <f>B1538*(hospitalityq!G1538="")</f>
        <v>0</v>
      </c>
      <c r="H1538">
        <f>B1538*(hospitalityq!H1538="")</f>
        <v>0</v>
      </c>
      <c r="I1538">
        <f>B1538*(hospitalityq!I1538="")</f>
        <v>0</v>
      </c>
      <c r="J1538">
        <f>B1538*(hospitalityq!J1538="")</f>
        <v>0</v>
      </c>
      <c r="K1538">
        <f>B1538*(hospitalityq!K1538="")</f>
        <v>0</v>
      </c>
      <c r="L1538">
        <f>B1538*(hospitalityq!L1538="")</f>
        <v>0</v>
      </c>
      <c r="M1538">
        <f>B1538*(hospitalityq!M1538="")</f>
        <v>0</v>
      </c>
      <c r="N1538">
        <f>B1538*(hospitalityq!N1538="")</f>
        <v>0</v>
      </c>
      <c r="O1538">
        <f>B1538*(hospitalityq!O1538="")</f>
        <v>0</v>
      </c>
      <c r="P1538">
        <f>B1538*(hospitalityq!P1538="")</f>
        <v>0</v>
      </c>
      <c r="Q1538">
        <f>B1538*(hospitalityq!Q1538="")</f>
        <v>0</v>
      </c>
      <c r="R1538">
        <f>B1538*(hospitalityq!R1538="")</f>
        <v>0</v>
      </c>
    </row>
    <row r="1539" spans="1:18" x14ac:dyDescent="0.25">
      <c r="A1539">
        <f t="shared" si="24"/>
        <v>0</v>
      </c>
      <c r="B1539" t="b">
        <f>SUMPRODUCT(LEN(hospitalityq!C1539:R1539))&gt;0</f>
        <v>0</v>
      </c>
      <c r="C1539">
        <f>B1539*(hospitalityq!C1539="")</f>
        <v>0</v>
      </c>
      <c r="E1539">
        <f>B1539*(hospitalityq!E1539="")</f>
        <v>0</v>
      </c>
      <c r="F1539">
        <f>B1539*(hospitalityq!F1539="")</f>
        <v>0</v>
      </c>
      <c r="G1539">
        <f>B1539*(hospitalityq!G1539="")</f>
        <v>0</v>
      </c>
      <c r="H1539">
        <f>B1539*(hospitalityq!H1539="")</f>
        <v>0</v>
      </c>
      <c r="I1539">
        <f>B1539*(hospitalityq!I1539="")</f>
        <v>0</v>
      </c>
      <c r="J1539">
        <f>B1539*(hospitalityq!J1539="")</f>
        <v>0</v>
      </c>
      <c r="K1539">
        <f>B1539*(hospitalityq!K1539="")</f>
        <v>0</v>
      </c>
      <c r="L1539">
        <f>B1539*(hospitalityq!L1539="")</f>
        <v>0</v>
      </c>
      <c r="M1539">
        <f>B1539*(hospitalityq!M1539="")</f>
        <v>0</v>
      </c>
      <c r="N1539">
        <f>B1539*(hospitalityq!N1539="")</f>
        <v>0</v>
      </c>
      <c r="O1539">
        <f>B1539*(hospitalityq!O1539="")</f>
        <v>0</v>
      </c>
      <c r="P1539">
        <f>B1539*(hospitalityq!P1539="")</f>
        <v>0</v>
      </c>
      <c r="Q1539">
        <f>B1539*(hospitalityq!Q1539="")</f>
        <v>0</v>
      </c>
      <c r="R1539">
        <f>B1539*(hospitalityq!R1539="")</f>
        <v>0</v>
      </c>
    </row>
    <row r="1540" spans="1:18" x14ac:dyDescent="0.25">
      <c r="A1540">
        <f t="shared" si="24"/>
        <v>0</v>
      </c>
      <c r="B1540" t="b">
        <f>SUMPRODUCT(LEN(hospitalityq!C1540:R1540))&gt;0</f>
        <v>0</v>
      </c>
      <c r="C1540">
        <f>B1540*(hospitalityq!C1540="")</f>
        <v>0</v>
      </c>
      <c r="E1540">
        <f>B1540*(hospitalityq!E1540="")</f>
        <v>0</v>
      </c>
      <c r="F1540">
        <f>B1540*(hospitalityq!F1540="")</f>
        <v>0</v>
      </c>
      <c r="G1540">
        <f>B1540*(hospitalityq!G1540="")</f>
        <v>0</v>
      </c>
      <c r="H1540">
        <f>B1540*(hospitalityq!H1540="")</f>
        <v>0</v>
      </c>
      <c r="I1540">
        <f>B1540*(hospitalityq!I1540="")</f>
        <v>0</v>
      </c>
      <c r="J1540">
        <f>B1540*(hospitalityq!J1540="")</f>
        <v>0</v>
      </c>
      <c r="K1540">
        <f>B1540*(hospitalityq!K1540="")</f>
        <v>0</v>
      </c>
      <c r="L1540">
        <f>B1540*(hospitalityq!L1540="")</f>
        <v>0</v>
      </c>
      <c r="M1540">
        <f>B1540*(hospitalityq!M1540="")</f>
        <v>0</v>
      </c>
      <c r="N1540">
        <f>B1540*(hospitalityq!N1540="")</f>
        <v>0</v>
      </c>
      <c r="O1540">
        <f>B1540*(hospitalityq!O1540="")</f>
        <v>0</v>
      </c>
      <c r="P1540">
        <f>B1540*(hospitalityq!P1540="")</f>
        <v>0</v>
      </c>
      <c r="Q1540">
        <f>B1540*(hospitalityq!Q1540="")</f>
        <v>0</v>
      </c>
      <c r="R1540">
        <f>B1540*(hospitalityq!R1540="")</f>
        <v>0</v>
      </c>
    </row>
    <row r="1541" spans="1:18" x14ac:dyDescent="0.25">
      <c r="A1541">
        <f t="shared" si="24"/>
        <v>0</v>
      </c>
      <c r="B1541" t="b">
        <f>SUMPRODUCT(LEN(hospitalityq!C1541:R1541))&gt;0</f>
        <v>0</v>
      </c>
      <c r="C1541">
        <f>B1541*(hospitalityq!C1541="")</f>
        <v>0</v>
      </c>
      <c r="E1541">
        <f>B1541*(hospitalityq!E1541="")</f>
        <v>0</v>
      </c>
      <c r="F1541">
        <f>B1541*(hospitalityq!F1541="")</f>
        <v>0</v>
      </c>
      <c r="G1541">
        <f>B1541*(hospitalityq!G1541="")</f>
        <v>0</v>
      </c>
      <c r="H1541">
        <f>B1541*(hospitalityq!H1541="")</f>
        <v>0</v>
      </c>
      <c r="I1541">
        <f>B1541*(hospitalityq!I1541="")</f>
        <v>0</v>
      </c>
      <c r="J1541">
        <f>B1541*(hospitalityq!J1541="")</f>
        <v>0</v>
      </c>
      <c r="K1541">
        <f>B1541*(hospitalityq!K1541="")</f>
        <v>0</v>
      </c>
      <c r="L1541">
        <f>B1541*(hospitalityq!L1541="")</f>
        <v>0</v>
      </c>
      <c r="M1541">
        <f>B1541*(hospitalityq!M1541="")</f>
        <v>0</v>
      </c>
      <c r="N1541">
        <f>B1541*(hospitalityq!N1541="")</f>
        <v>0</v>
      </c>
      <c r="O1541">
        <f>B1541*(hospitalityq!O1541="")</f>
        <v>0</v>
      </c>
      <c r="P1541">
        <f>B1541*(hospitalityq!P1541="")</f>
        <v>0</v>
      </c>
      <c r="Q1541">
        <f>B1541*(hospitalityq!Q1541="")</f>
        <v>0</v>
      </c>
      <c r="R1541">
        <f>B1541*(hospitalityq!R1541="")</f>
        <v>0</v>
      </c>
    </row>
    <row r="1542" spans="1:18" x14ac:dyDescent="0.25">
      <c r="A1542">
        <f t="shared" ref="A1542:A1605" si="25">IFERROR(MATCH(TRUE,INDEX(C1542:R1542&lt;&gt;0,),)+2,0)</f>
        <v>0</v>
      </c>
      <c r="B1542" t="b">
        <f>SUMPRODUCT(LEN(hospitalityq!C1542:R1542))&gt;0</f>
        <v>0</v>
      </c>
      <c r="C1542">
        <f>B1542*(hospitalityq!C1542="")</f>
        <v>0</v>
      </c>
      <c r="E1542">
        <f>B1542*(hospitalityq!E1542="")</f>
        <v>0</v>
      </c>
      <c r="F1542">
        <f>B1542*(hospitalityq!F1542="")</f>
        <v>0</v>
      </c>
      <c r="G1542">
        <f>B1542*(hospitalityq!G1542="")</f>
        <v>0</v>
      </c>
      <c r="H1542">
        <f>B1542*(hospitalityq!H1542="")</f>
        <v>0</v>
      </c>
      <c r="I1542">
        <f>B1542*(hospitalityq!I1542="")</f>
        <v>0</v>
      </c>
      <c r="J1542">
        <f>B1542*(hospitalityq!J1542="")</f>
        <v>0</v>
      </c>
      <c r="K1542">
        <f>B1542*(hospitalityq!K1542="")</f>
        <v>0</v>
      </c>
      <c r="L1542">
        <f>B1542*(hospitalityq!L1542="")</f>
        <v>0</v>
      </c>
      <c r="M1542">
        <f>B1542*(hospitalityq!M1542="")</f>
        <v>0</v>
      </c>
      <c r="N1542">
        <f>B1542*(hospitalityq!N1542="")</f>
        <v>0</v>
      </c>
      <c r="O1542">
        <f>B1542*(hospitalityq!O1542="")</f>
        <v>0</v>
      </c>
      <c r="P1542">
        <f>B1542*(hospitalityq!P1542="")</f>
        <v>0</v>
      </c>
      <c r="Q1542">
        <f>B1542*(hospitalityq!Q1542="")</f>
        <v>0</v>
      </c>
      <c r="R1542">
        <f>B1542*(hospitalityq!R1542="")</f>
        <v>0</v>
      </c>
    </row>
    <row r="1543" spans="1:18" x14ac:dyDescent="0.25">
      <c r="A1543">
        <f t="shared" si="25"/>
        <v>0</v>
      </c>
      <c r="B1543" t="b">
        <f>SUMPRODUCT(LEN(hospitalityq!C1543:R1543))&gt;0</f>
        <v>0</v>
      </c>
      <c r="C1543">
        <f>B1543*(hospitalityq!C1543="")</f>
        <v>0</v>
      </c>
      <c r="E1543">
        <f>B1543*(hospitalityq!E1543="")</f>
        <v>0</v>
      </c>
      <c r="F1543">
        <f>B1543*(hospitalityq!F1543="")</f>
        <v>0</v>
      </c>
      <c r="G1543">
        <f>B1543*(hospitalityq!G1543="")</f>
        <v>0</v>
      </c>
      <c r="H1543">
        <f>B1543*(hospitalityq!H1543="")</f>
        <v>0</v>
      </c>
      <c r="I1543">
        <f>B1543*(hospitalityq!I1543="")</f>
        <v>0</v>
      </c>
      <c r="J1543">
        <f>B1543*(hospitalityq!J1543="")</f>
        <v>0</v>
      </c>
      <c r="K1543">
        <f>B1543*(hospitalityq!K1543="")</f>
        <v>0</v>
      </c>
      <c r="L1543">
        <f>B1543*(hospitalityq!L1543="")</f>
        <v>0</v>
      </c>
      <c r="M1543">
        <f>B1543*(hospitalityq!M1543="")</f>
        <v>0</v>
      </c>
      <c r="N1543">
        <f>B1543*(hospitalityq!N1543="")</f>
        <v>0</v>
      </c>
      <c r="O1543">
        <f>B1543*(hospitalityq!O1543="")</f>
        <v>0</v>
      </c>
      <c r="P1543">
        <f>B1543*(hospitalityq!P1543="")</f>
        <v>0</v>
      </c>
      <c r="Q1543">
        <f>B1543*(hospitalityq!Q1543="")</f>
        <v>0</v>
      </c>
      <c r="R1543">
        <f>B1543*(hospitalityq!R1543="")</f>
        <v>0</v>
      </c>
    </row>
    <row r="1544" spans="1:18" x14ac:dyDescent="0.25">
      <c r="A1544">
        <f t="shared" si="25"/>
        <v>0</v>
      </c>
      <c r="B1544" t="b">
        <f>SUMPRODUCT(LEN(hospitalityq!C1544:R1544))&gt;0</f>
        <v>0</v>
      </c>
      <c r="C1544">
        <f>B1544*(hospitalityq!C1544="")</f>
        <v>0</v>
      </c>
      <c r="E1544">
        <f>B1544*(hospitalityq!E1544="")</f>
        <v>0</v>
      </c>
      <c r="F1544">
        <f>B1544*(hospitalityq!F1544="")</f>
        <v>0</v>
      </c>
      <c r="G1544">
        <f>B1544*(hospitalityq!G1544="")</f>
        <v>0</v>
      </c>
      <c r="H1544">
        <f>B1544*(hospitalityq!H1544="")</f>
        <v>0</v>
      </c>
      <c r="I1544">
        <f>B1544*(hospitalityq!I1544="")</f>
        <v>0</v>
      </c>
      <c r="J1544">
        <f>B1544*(hospitalityq!J1544="")</f>
        <v>0</v>
      </c>
      <c r="K1544">
        <f>B1544*(hospitalityq!K1544="")</f>
        <v>0</v>
      </c>
      <c r="L1544">
        <f>B1544*(hospitalityq!L1544="")</f>
        <v>0</v>
      </c>
      <c r="M1544">
        <f>B1544*(hospitalityq!M1544="")</f>
        <v>0</v>
      </c>
      <c r="N1544">
        <f>B1544*(hospitalityq!N1544="")</f>
        <v>0</v>
      </c>
      <c r="O1544">
        <f>B1544*(hospitalityq!O1544="")</f>
        <v>0</v>
      </c>
      <c r="P1544">
        <f>B1544*(hospitalityq!P1544="")</f>
        <v>0</v>
      </c>
      <c r="Q1544">
        <f>B1544*(hospitalityq!Q1544="")</f>
        <v>0</v>
      </c>
      <c r="R1544">
        <f>B1544*(hospitalityq!R1544="")</f>
        <v>0</v>
      </c>
    </row>
    <row r="1545" spans="1:18" x14ac:dyDescent="0.25">
      <c r="A1545">
        <f t="shared" si="25"/>
        <v>0</v>
      </c>
      <c r="B1545" t="b">
        <f>SUMPRODUCT(LEN(hospitalityq!C1545:R1545))&gt;0</f>
        <v>0</v>
      </c>
      <c r="C1545">
        <f>B1545*(hospitalityq!C1545="")</f>
        <v>0</v>
      </c>
      <c r="E1545">
        <f>B1545*(hospitalityq!E1545="")</f>
        <v>0</v>
      </c>
      <c r="F1545">
        <f>B1545*(hospitalityq!F1545="")</f>
        <v>0</v>
      </c>
      <c r="G1545">
        <f>B1545*(hospitalityq!G1545="")</f>
        <v>0</v>
      </c>
      <c r="H1545">
        <f>B1545*(hospitalityq!H1545="")</f>
        <v>0</v>
      </c>
      <c r="I1545">
        <f>B1545*(hospitalityq!I1545="")</f>
        <v>0</v>
      </c>
      <c r="J1545">
        <f>B1545*(hospitalityq!J1545="")</f>
        <v>0</v>
      </c>
      <c r="K1545">
        <f>B1545*(hospitalityq!K1545="")</f>
        <v>0</v>
      </c>
      <c r="L1545">
        <f>B1545*(hospitalityq!L1545="")</f>
        <v>0</v>
      </c>
      <c r="M1545">
        <f>B1545*(hospitalityq!M1545="")</f>
        <v>0</v>
      </c>
      <c r="N1545">
        <f>B1545*(hospitalityq!N1545="")</f>
        <v>0</v>
      </c>
      <c r="O1545">
        <f>B1545*(hospitalityq!O1545="")</f>
        <v>0</v>
      </c>
      <c r="P1545">
        <f>B1545*(hospitalityq!P1545="")</f>
        <v>0</v>
      </c>
      <c r="Q1545">
        <f>B1545*(hospitalityq!Q1545="")</f>
        <v>0</v>
      </c>
      <c r="R1545">
        <f>B1545*(hospitalityq!R1545="")</f>
        <v>0</v>
      </c>
    </row>
    <row r="1546" spans="1:18" x14ac:dyDescent="0.25">
      <c r="A1546">
        <f t="shared" si="25"/>
        <v>0</v>
      </c>
      <c r="B1546" t="b">
        <f>SUMPRODUCT(LEN(hospitalityq!C1546:R1546))&gt;0</f>
        <v>0</v>
      </c>
      <c r="C1546">
        <f>B1546*(hospitalityq!C1546="")</f>
        <v>0</v>
      </c>
      <c r="E1546">
        <f>B1546*(hospitalityq!E1546="")</f>
        <v>0</v>
      </c>
      <c r="F1546">
        <f>B1546*(hospitalityq!F1546="")</f>
        <v>0</v>
      </c>
      <c r="G1546">
        <f>B1546*(hospitalityq!G1546="")</f>
        <v>0</v>
      </c>
      <c r="H1546">
        <f>B1546*(hospitalityq!H1546="")</f>
        <v>0</v>
      </c>
      <c r="I1546">
        <f>B1546*(hospitalityq!I1546="")</f>
        <v>0</v>
      </c>
      <c r="J1546">
        <f>B1546*(hospitalityq!J1546="")</f>
        <v>0</v>
      </c>
      <c r="K1546">
        <f>B1546*(hospitalityq!K1546="")</f>
        <v>0</v>
      </c>
      <c r="L1546">
        <f>B1546*(hospitalityq!L1546="")</f>
        <v>0</v>
      </c>
      <c r="M1546">
        <f>B1546*(hospitalityq!M1546="")</f>
        <v>0</v>
      </c>
      <c r="N1546">
        <f>B1546*(hospitalityq!N1546="")</f>
        <v>0</v>
      </c>
      <c r="O1546">
        <f>B1546*(hospitalityq!O1546="")</f>
        <v>0</v>
      </c>
      <c r="P1546">
        <f>B1546*(hospitalityq!P1546="")</f>
        <v>0</v>
      </c>
      <c r="Q1546">
        <f>B1546*(hospitalityq!Q1546="")</f>
        <v>0</v>
      </c>
      <c r="R1546">
        <f>B1546*(hospitalityq!R1546="")</f>
        <v>0</v>
      </c>
    </row>
    <row r="1547" spans="1:18" x14ac:dyDescent="0.25">
      <c r="A1547">
        <f t="shared" si="25"/>
        <v>0</v>
      </c>
      <c r="B1547" t="b">
        <f>SUMPRODUCT(LEN(hospitalityq!C1547:R1547))&gt;0</f>
        <v>0</v>
      </c>
      <c r="C1547">
        <f>B1547*(hospitalityq!C1547="")</f>
        <v>0</v>
      </c>
      <c r="E1547">
        <f>B1547*(hospitalityq!E1547="")</f>
        <v>0</v>
      </c>
      <c r="F1547">
        <f>B1547*(hospitalityq!F1547="")</f>
        <v>0</v>
      </c>
      <c r="G1547">
        <f>B1547*(hospitalityq!G1547="")</f>
        <v>0</v>
      </c>
      <c r="H1547">
        <f>B1547*(hospitalityq!H1547="")</f>
        <v>0</v>
      </c>
      <c r="I1547">
        <f>B1547*(hospitalityq!I1547="")</f>
        <v>0</v>
      </c>
      <c r="J1547">
        <f>B1547*(hospitalityq!J1547="")</f>
        <v>0</v>
      </c>
      <c r="K1547">
        <f>B1547*(hospitalityq!K1547="")</f>
        <v>0</v>
      </c>
      <c r="L1547">
        <f>B1547*(hospitalityq!L1547="")</f>
        <v>0</v>
      </c>
      <c r="M1547">
        <f>B1547*(hospitalityq!M1547="")</f>
        <v>0</v>
      </c>
      <c r="N1547">
        <f>B1547*(hospitalityq!N1547="")</f>
        <v>0</v>
      </c>
      <c r="O1547">
        <f>B1547*(hospitalityq!O1547="")</f>
        <v>0</v>
      </c>
      <c r="P1547">
        <f>B1547*(hospitalityq!P1547="")</f>
        <v>0</v>
      </c>
      <c r="Q1547">
        <f>B1547*(hospitalityq!Q1547="")</f>
        <v>0</v>
      </c>
      <c r="R1547">
        <f>B1547*(hospitalityq!R1547="")</f>
        <v>0</v>
      </c>
    </row>
    <row r="1548" spans="1:18" x14ac:dyDescent="0.25">
      <c r="A1548">
        <f t="shared" si="25"/>
        <v>0</v>
      </c>
      <c r="B1548" t="b">
        <f>SUMPRODUCT(LEN(hospitalityq!C1548:R1548))&gt;0</f>
        <v>0</v>
      </c>
      <c r="C1548">
        <f>B1548*(hospitalityq!C1548="")</f>
        <v>0</v>
      </c>
      <c r="E1548">
        <f>B1548*(hospitalityq!E1548="")</f>
        <v>0</v>
      </c>
      <c r="F1548">
        <f>B1548*(hospitalityq!F1548="")</f>
        <v>0</v>
      </c>
      <c r="G1548">
        <f>B1548*(hospitalityq!G1548="")</f>
        <v>0</v>
      </c>
      <c r="H1548">
        <f>B1548*(hospitalityq!H1548="")</f>
        <v>0</v>
      </c>
      <c r="I1548">
        <f>B1548*(hospitalityq!I1548="")</f>
        <v>0</v>
      </c>
      <c r="J1548">
        <f>B1548*(hospitalityq!J1548="")</f>
        <v>0</v>
      </c>
      <c r="K1548">
        <f>B1548*(hospitalityq!K1548="")</f>
        <v>0</v>
      </c>
      <c r="L1548">
        <f>B1548*(hospitalityq!L1548="")</f>
        <v>0</v>
      </c>
      <c r="M1548">
        <f>B1548*(hospitalityq!M1548="")</f>
        <v>0</v>
      </c>
      <c r="N1548">
        <f>B1548*(hospitalityq!N1548="")</f>
        <v>0</v>
      </c>
      <c r="O1548">
        <f>B1548*(hospitalityq!O1548="")</f>
        <v>0</v>
      </c>
      <c r="P1548">
        <f>B1548*(hospitalityq!P1548="")</f>
        <v>0</v>
      </c>
      <c r="Q1548">
        <f>B1548*(hospitalityq!Q1548="")</f>
        <v>0</v>
      </c>
      <c r="R1548">
        <f>B1548*(hospitalityq!R1548="")</f>
        <v>0</v>
      </c>
    </row>
    <row r="1549" spans="1:18" x14ac:dyDescent="0.25">
      <c r="A1549">
        <f t="shared" si="25"/>
        <v>0</v>
      </c>
      <c r="B1549" t="b">
        <f>SUMPRODUCT(LEN(hospitalityq!C1549:R1549))&gt;0</f>
        <v>0</v>
      </c>
      <c r="C1549">
        <f>B1549*(hospitalityq!C1549="")</f>
        <v>0</v>
      </c>
      <c r="E1549">
        <f>B1549*(hospitalityq!E1549="")</f>
        <v>0</v>
      </c>
      <c r="F1549">
        <f>B1549*(hospitalityq!F1549="")</f>
        <v>0</v>
      </c>
      <c r="G1549">
        <f>B1549*(hospitalityq!G1549="")</f>
        <v>0</v>
      </c>
      <c r="H1549">
        <f>B1549*(hospitalityq!H1549="")</f>
        <v>0</v>
      </c>
      <c r="I1549">
        <f>B1549*(hospitalityq!I1549="")</f>
        <v>0</v>
      </c>
      <c r="J1549">
        <f>B1549*(hospitalityq!J1549="")</f>
        <v>0</v>
      </c>
      <c r="K1549">
        <f>B1549*(hospitalityq!K1549="")</f>
        <v>0</v>
      </c>
      <c r="L1549">
        <f>B1549*(hospitalityq!L1549="")</f>
        <v>0</v>
      </c>
      <c r="M1549">
        <f>B1549*(hospitalityq!M1549="")</f>
        <v>0</v>
      </c>
      <c r="N1549">
        <f>B1549*(hospitalityq!N1549="")</f>
        <v>0</v>
      </c>
      <c r="O1549">
        <f>B1549*(hospitalityq!O1549="")</f>
        <v>0</v>
      </c>
      <c r="P1549">
        <f>B1549*(hospitalityq!P1549="")</f>
        <v>0</v>
      </c>
      <c r="Q1549">
        <f>B1549*(hospitalityq!Q1549="")</f>
        <v>0</v>
      </c>
      <c r="R1549">
        <f>B1549*(hospitalityq!R1549="")</f>
        <v>0</v>
      </c>
    </row>
    <row r="1550" spans="1:18" x14ac:dyDescent="0.25">
      <c r="A1550">
        <f t="shared" si="25"/>
        <v>0</v>
      </c>
      <c r="B1550" t="b">
        <f>SUMPRODUCT(LEN(hospitalityq!C1550:R1550))&gt;0</f>
        <v>0</v>
      </c>
      <c r="C1550">
        <f>B1550*(hospitalityq!C1550="")</f>
        <v>0</v>
      </c>
      <c r="E1550">
        <f>B1550*(hospitalityq!E1550="")</f>
        <v>0</v>
      </c>
      <c r="F1550">
        <f>B1550*(hospitalityq!F1550="")</f>
        <v>0</v>
      </c>
      <c r="G1550">
        <f>B1550*(hospitalityq!G1550="")</f>
        <v>0</v>
      </c>
      <c r="H1550">
        <f>B1550*(hospitalityq!H1550="")</f>
        <v>0</v>
      </c>
      <c r="I1550">
        <f>B1550*(hospitalityq!I1550="")</f>
        <v>0</v>
      </c>
      <c r="J1550">
        <f>B1550*(hospitalityq!J1550="")</f>
        <v>0</v>
      </c>
      <c r="K1550">
        <f>B1550*(hospitalityq!K1550="")</f>
        <v>0</v>
      </c>
      <c r="L1550">
        <f>B1550*(hospitalityq!L1550="")</f>
        <v>0</v>
      </c>
      <c r="M1550">
        <f>B1550*(hospitalityq!M1550="")</f>
        <v>0</v>
      </c>
      <c r="N1550">
        <f>B1550*(hospitalityq!N1550="")</f>
        <v>0</v>
      </c>
      <c r="O1550">
        <f>B1550*(hospitalityq!O1550="")</f>
        <v>0</v>
      </c>
      <c r="P1550">
        <f>B1550*(hospitalityq!P1550="")</f>
        <v>0</v>
      </c>
      <c r="Q1550">
        <f>B1550*(hospitalityq!Q1550="")</f>
        <v>0</v>
      </c>
      <c r="R1550">
        <f>B1550*(hospitalityq!R1550="")</f>
        <v>0</v>
      </c>
    </row>
    <row r="1551" spans="1:18" x14ac:dyDescent="0.25">
      <c r="A1551">
        <f t="shared" si="25"/>
        <v>0</v>
      </c>
      <c r="B1551" t="b">
        <f>SUMPRODUCT(LEN(hospitalityq!C1551:R1551))&gt;0</f>
        <v>0</v>
      </c>
      <c r="C1551">
        <f>B1551*(hospitalityq!C1551="")</f>
        <v>0</v>
      </c>
      <c r="E1551">
        <f>B1551*(hospitalityq!E1551="")</f>
        <v>0</v>
      </c>
      <c r="F1551">
        <f>B1551*(hospitalityq!F1551="")</f>
        <v>0</v>
      </c>
      <c r="G1551">
        <f>B1551*(hospitalityq!G1551="")</f>
        <v>0</v>
      </c>
      <c r="H1551">
        <f>B1551*(hospitalityq!H1551="")</f>
        <v>0</v>
      </c>
      <c r="I1551">
        <f>B1551*(hospitalityq!I1551="")</f>
        <v>0</v>
      </c>
      <c r="J1551">
        <f>B1551*(hospitalityq!J1551="")</f>
        <v>0</v>
      </c>
      <c r="K1551">
        <f>B1551*(hospitalityq!K1551="")</f>
        <v>0</v>
      </c>
      <c r="L1551">
        <f>B1551*(hospitalityq!L1551="")</f>
        <v>0</v>
      </c>
      <c r="M1551">
        <f>B1551*(hospitalityq!M1551="")</f>
        <v>0</v>
      </c>
      <c r="N1551">
        <f>B1551*(hospitalityq!N1551="")</f>
        <v>0</v>
      </c>
      <c r="O1551">
        <f>B1551*(hospitalityq!O1551="")</f>
        <v>0</v>
      </c>
      <c r="P1551">
        <f>B1551*(hospitalityq!P1551="")</f>
        <v>0</v>
      </c>
      <c r="Q1551">
        <f>B1551*(hospitalityq!Q1551="")</f>
        <v>0</v>
      </c>
      <c r="R1551">
        <f>B1551*(hospitalityq!R1551="")</f>
        <v>0</v>
      </c>
    </row>
    <row r="1552" spans="1:18" x14ac:dyDescent="0.25">
      <c r="A1552">
        <f t="shared" si="25"/>
        <v>0</v>
      </c>
      <c r="B1552" t="b">
        <f>SUMPRODUCT(LEN(hospitalityq!C1552:R1552))&gt;0</f>
        <v>0</v>
      </c>
      <c r="C1552">
        <f>B1552*(hospitalityq!C1552="")</f>
        <v>0</v>
      </c>
      <c r="E1552">
        <f>B1552*(hospitalityq!E1552="")</f>
        <v>0</v>
      </c>
      <c r="F1552">
        <f>B1552*(hospitalityq!F1552="")</f>
        <v>0</v>
      </c>
      <c r="G1552">
        <f>B1552*(hospitalityq!G1552="")</f>
        <v>0</v>
      </c>
      <c r="H1552">
        <f>B1552*(hospitalityq!H1552="")</f>
        <v>0</v>
      </c>
      <c r="I1552">
        <f>B1552*(hospitalityq!I1552="")</f>
        <v>0</v>
      </c>
      <c r="J1552">
        <f>B1552*(hospitalityq!J1552="")</f>
        <v>0</v>
      </c>
      <c r="K1552">
        <f>B1552*(hospitalityq!K1552="")</f>
        <v>0</v>
      </c>
      <c r="L1552">
        <f>B1552*(hospitalityq!L1552="")</f>
        <v>0</v>
      </c>
      <c r="M1552">
        <f>B1552*(hospitalityq!M1552="")</f>
        <v>0</v>
      </c>
      <c r="N1552">
        <f>B1552*(hospitalityq!N1552="")</f>
        <v>0</v>
      </c>
      <c r="O1552">
        <f>B1552*(hospitalityq!O1552="")</f>
        <v>0</v>
      </c>
      <c r="P1552">
        <f>B1552*(hospitalityq!P1552="")</f>
        <v>0</v>
      </c>
      <c r="Q1552">
        <f>B1552*(hospitalityq!Q1552="")</f>
        <v>0</v>
      </c>
      <c r="R1552">
        <f>B1552*(hospitalityq!R1552="")</f>
        <v>0</v>
      </c>
    </row>
    <row r="1553" spans="1:18" x14ac:dyDescent="0.25">
      <c r="A1553">
        <f t="shared" si="25"/>
        <v>0</v>
      </c>
      <c r="B1553" t="b">
        <f>SUMPRODUCT(LEN(hospitalityq!C1553:R1553))&gt;0</f>
        <v>0</v>
      </c>
      <c r="C1553">
        <f>B1553*(hospitalityq!C1553="")</f>
        <v>0</v>
      </c>
      <c r="E1553">
        <f>B1553*(hospitalityq!E1553="")</f>
        <v>0</v>
      </c>
      <c r="F1553">
        <f>B1553*(hospitalityq!F1553="")</f>
        <v>0</v>
      </c>
      <c r="G1553">
        <f>B1553*(hospitalityq!G1553="")</f>
        <v>0</v>
      </c>
      <c r="H1553">
        <f>B1553*(hospitalityq!H1553="")</f>
        <v>0</v>
      </c>
      <c r="I1553">
        <f>B1553*(hospitalityq!I1553="")</f>
        <v>0</v>
      </c>
      <c r="J1553">
        <f>B1553*(hospitalityq!J1553="")</f>
        <v>0</v>
      </c>
      <c r="K1553">
        <f>B1553*(hospitalityq!K1553="")</f>
        <v>0</v>
      </c>
      <c r="L1553">
        <f>B1553*(hospitalityq!L1553="")</f>
        <v>0</v>
      </c>
      <c r="M1553">
        <f>B1553*(hospitalityq!M1553="")</f>
        <v>0</v>
      </c>
      <c r="N1553">
        <f>B1553*(hospitalityq!N1553="")</f>
        <v>0</v>
      </c>
      <c r="O1553">
        <f>B1553*(hospitalityq!O1553="")</f>
        <v>0</v>
      </c>
      <c r="P1553">
        <f>B1553*(hospitalityq!P1553="")</f>
        <v>0</v>
      </c>
      <c r="Q1553">
        <f>B1553*(hospitalityq!Q1553="")</f>
        <v>0</v>
      </c>
      <c r="R1553">
        <f>B1553*(hospitalityq!R1553="")</f>
        <v>0</v>
      </c>
    </row>
    <row r="1554" spans="1:18" x14ac:dyDescent="0.25">
      <c r="A1554">
        <f t="shared" si="25"/>
        <v>0</v>
      </c>
      <c r="B1554" t="b">
        <f>SUMPRODUCT(LEN(hospitalityq!C1554:R1554))&gt;0</f>
        <v>0</v>
      </c>
      <c r="C1554">
        <f>B1554*(hospitalityq!C1554="")</f>
        <v>0</v>
      </c>
      <c r="E1554">
        <f>B1554*(hospitalityq!E1554="")</f>
        <v>0</v>
      </c>
      <c r="F1554">
        <f>B1554*(hospitalityq!F1554="")</f>
        <v>0</v>
      </c>
      <c r="G1554">
        <f>B1554*(hospitalityq!G1554="")</f>
        <v>0</v>
      </c>
      <c r="H1554">
        <f>B1554*(hospitalityq!H1554="")</f>
        <v>0</v>
      </c>
      <c r="I1554">
        <f>B1554*(hospitalityq!I1554="")</f>
        <v>0</v>
      </c>
      <c r="J1554">
        <f>B1554*(hospitalityq!J1554="")</f>
        <v>0</v>
      </c>
      <c r="K1554">
        <f>B1554*(hospitalityq!K1554="")</f>
        <v>0</v>
      </c>
      <c r="L1554">
        <f>B1554*(hospitalityq!L1554="")</f>
        <v>0</v>
      </c>
      <c r="M1554">
        <f>B1554*(hospitalityq!M1554="")</f>
        <v>0</v>
      </c>
      <c r="N1554">
        <f>B1554*(hospitalityq!N1554="")</f>
        <v>0</v>
      </c>
      <c r="O1554">
        <f>B1554*(hospitalityq!O1554="")</f>
        <v>0</v>
      </c>
      <c r="P1554">
        <f>B1554*(hospitalityq!P1554="")</f>
        <v>0</v>
      </c>
      <c r="Q1554">
        <f>B1554*(hospitalityq!Q1554="")</f>
        <v>0</v>
      </c>
      <c r="R1554">
        <f>B1554*(hospitalityq!R1554="")</f>
        <v>0</v>
      </c>
    </row>
    <row r="1555" spans="1:18" x14ac:dyDescent="0.25">
      <c r="A1555">
        <f t="shared" si="25"/>
        <v>0</v>
      </c>
      <c r="B1555" t="b">
        <f>SUMPRODUCT(LEN(hospitalityq!C1555:R1555))&gt;0</f>
        <v>0</v>
      </c>
      <c r="C1555">
        <f>B1555*(hospitalityq!C1555="")</f>
        <v>0</v>
      </c>
      <c r="E1555">
        <f>B1555*(hospitalityq!E1555="")</f>
        <v>0</v>
      </c>
      <c r="F1555">
        <f>B1555*(hospitalityq!F1555="")</f>
        <v>0</v>
      </c>
      <c r="G1555">
        <f>B1555*(hospitalityq!G1555="")</f>
        <v>0</v>
      </c>
      <c r="H1555">
        <f>B1555*(hospitalityq!H1555="")</f>
        <v>0</v>
      </c>
      <c r="I1555">
        <f>B1555*(hospitalityq!I1555="")</f>
        <v>0</v>
      </c>
      <c r="J1555">
        <f>B1555*(hospitalityq!J1555="")</f>
        <v>0</v>
      </c>
      <c r="K1555">
        <f>B1555*(hospitalityq!K1555="")</f>
        <v>0</v>
      </c>
      <c r="L1555">
        <f>B1555*(hospitalityq!L1555="")</f>
        <v>0</v>
      </c>
      <c r="M1555">
        <f>B1555*(hospitalityq!M1555="")</f>
        <v>0</v>
      </c>
      <c r="N1555">
        <f>B1555*(hospitalityq!N1555="")</f>
        <v>0</v>
      </c>
      <c r="O1555">
        <f>B1555*(hospitalityq!O1555="")</f>
        <v>0</v>
      </c>
      <c r="P1555">
        <f>B1555*(hospitalityq!P1555="")</f>
        <v>0</v>
      </c>
      <c r="Q1555">
        <f>B1555*(hospitalityq!Q1555="")</f>
        <v>0</v>
      </c>
      <c r="R1555">
        <f>B1555*(hospitalityq!R1555="")</f>
        <v>0</v>
      </c>
    </row>
    <row r="1556" spans="1:18" x14ac:dyDescent="0.25">
      <c r="A1556">
        <f t="shared" si="25"/>
        <v>0</v>
      </c>
      <c r="B1556" t="b">
        <f>SUMPRODUCT(LEN(hospitalityq!C1556:R1556))&gt;0</f>
        <v>0</v>
      </c>
      <c r="C1556">
        <f>B1556*(hospitalityq!C1556="")</f>
        <v>0</v>
      </c>
      <c r="E1556">
        <f>B1556*(hospitalityq!E1556="")</f>
        <v>0</v>
      </c>
      <c r="F1556">
        <f>B1556*(hospitalityq!F1556="")</f>
        <v>0</v>
      </c>
      <c r="G1556">
        <f>B1556*(hospitalityq!G1556="")</f>
        <v>0</v>
      </c>
      <c r="H1556">
        <f>B1556*(hospitalityq!H1556="")</f>
        <v>0</v>
      </c>
      <c r="I1556">
        <f>B1556*(hospitalityq!I1556="")</f>
        <v>0</v>
      </c>
      <c r="J1556">
        <f>B1556*(hospitalityq!J1556="")</f>
        <v>0</v>
      </c>
      <c r="K1556">
        <f>B1556*(hospitalityq!K1556="")</f>
        <v>0</v>
      </c>
      <c r="L1556">
        <f>B1556*(hospitalityq!L1556="")</f>
        <v>0</v>
      </c>
      <c r="M1556">
        <f>B1556*(hospitalityq!M1556="")</f>
        <v>0</v>
      </c>
      <c r="N1556">
        <f>B1556*(hospitalityq!N1556="")</f>
        <v>0</v>
      </c>
      <c r="O1556">
        <f>B1556*(hospitalityq!O1556="")</f>
        <v>0</v>
      </c>
      <c r="P1556">
        <f>B1556*(hospitalityq!P1556="")</f>
        <v>0</v>
      </c>
      <c r="Q1556">
        <f>B1556*(hospitalityq!Q1556="")</f>
        <v>0</v>
      </c>
      <c r="R1556">
        <f>B1556*(hospitalityq!R1556="")</f>
        <v>0</v>
      </c>
    </row>
    <row r="1557" spans="1:18" x14ac:dyDescent="0.25">
      <c r="A1557">
        <f t="shared" si="25"/>
        <v>0</v>
      </c>
      <c r="B1557" t="b">
        <f>SUMPRODUCT(LEN(hospitalityq!C1557:R1557))&gt;0</f>
        <v>0</v>
      </c>
      <c r="C1557">
        <f>B1557*(hospitalityq!C1557="")</f>
        <v>0</v>
      </c>
      <c r="E1557">
        <f>B1557*(hospitalityq!E1557="")</f>
        <v>0</v>
      </c>
      <c r="F1557">
        <f>B1557*(hospitalityq!F1557="")</f>
        <v>0</v>
      </c>
      <c r="G1557">
        <f>B1557*(hospitalityq!G1557="")</f>
        <v>0</v>
      </c>
      <c r="H1557">
        <f>B1557*(hospitalityq!H1557="")</f>
        <v>0</v>
      </c>
      <c r="I1557">
        <f>B1557*(hospitalityq!I1557="")</f>
        <v>0</v>
      </c>
      <c r="J1557">
        <f>B1557*(hospitalityq!J1557="")</f>
        <v>0</v>
      </c>
      <c r="K1557">
        <f>B1557*(hospitalityq!K1557="")</f>
        <v>0</v>
      </c>
      <c r="L1557">
        <f>B1557*(hospitalityq!L1557="")</f>
        <v>0</v>
      </c>
      <c r="M1557">
        <f>B1557*(hospitalityq!M1557="")</f>
        <v>0</v>
      </c>
      <c r="N1557">
        <f>B1557*(hospitalityq!N1557="")</f>
        <v>0</v>
      </c>
      <c r="O1557">
        <f>B1557*(hospitalityq!O1557="")</f>
        <v>0</v>
      </c>
      <c r="P1557">
        <f>B1557*(hospitalityq!P1557="")</f>
        <v>0</v>
      </c>
      <c r="Q1557">
        <f>B1557*(hospitalityq!Q1557="")</f>
        <v>0</v>
      </c>
      <c r="R1557">
        <f>B1557*(hospitalityq!R1557="")</f>
        <v>0</v>
      </c>
    </row>
    <row r="1558" spans="1:18" x14ac:dyDescent="0.25">
      <c r="A1558">
        <f t="shared" si="25"/>
        <v>0</v>
      </c>
      <c r="B1558" t="b">
        <f>SUMPRODUCT(LEN(hospitalityq!C1558:R1558))&gt;0</f>
        <v>0</v>
      </c>
      <c r="C1558">
        <f>B1558*(hospitalityq!C1558="")</f>
        <v>0</v>
      </c>
      <c r="E1558">
        <f>B1558*(hospitalityq!E1558="")</f>
        <v>0</v>
      </c>
      <c r="F1558">
        <f>B1558*(hospitalityq!F1558="")</f>
        <v>0</v>
      </c>
      <c r="G1558">
        <f>B1558*(hospitalityq!G1558="")</f>
        <v>0</v>
      </c>
      <c r="H1558">
        <f>B1558*(hospitalityq!H1558="")</f>
        <v>0</v>
      </c>
      <c r="I1558">
        <f>B1558*(hospitalityq!I1558="")</f>
        <v>0</v>
      </c>
      <c r="J1558">
        <f>B1558*(hospitalityq!J1558="")</f>
        <v>0</v>
      </c>
      <c r="K1558">
        <f>B1558*(hospitalityq!K1558="")</f>
        <v>0</v>
      </c>
      <c r="L1558">
        <f>B1558*(hospitalityq!L1558="")</f>
        <v>0</v>
      </c>
      <c r="M1558">
        <f>B1558*(hospitalityq!M1558="")</f>
        <v>0</v>
      </c>
      <c r="N1558">
        <f>B1558*(hospitalityq!N1558="")</f>
        <v>0</v>
      </c>
      <c r="O1558">
        <f>B1558*(hospitalityq!O1558="")</f>
        <v>0</v>
      </c>
      <c r="P1558">
        <f>B1558*(hospitalityq!P1558="")</f>
        <v>0</v>
      </c>
      <c r="Q1558">
        <f>B1558*(hospitalityq!Q1558="")</f>
        <v>0</v>
      </c>
      <c r="R1558">
        <f>B1558*(hospitalityq!R1558="")</f>
        <v>0</v>
      </c>
    </row>
    <row r="1559" spans="1:18" x14ac:dyDescent="0.25">
      <c r="A1559">
        <f t="shared" si="25"/>
        <v>0</v>
      </c>
      <c r="B1559" t="b">
        <f>SUMPRODUCT(LEN(hospitalityq!C1559:R1559))&gt;0</f>
        <v>0</v>
      </c>
      <c r="C1559">
        <f>B1559*(hospitalityq!C1559="")</f>
        <v>0</v>
      </c>
      <c r="E1559">
        <f>B1559*(hospitalityq!E1559="")</f>
        <v>0</v>
      </c>
      <c r="F1559">
        <f>B1559*(hospitalityq!F1559="")</f>
        <v>0</v>
      </c>
      <c r="G1559">
        <f>B1559*(hospitalityq!G1559="")</f>
        <v>0</v>
      </c>
      <c r="H1559">
        <f>B1559*(hospitalityq!H1559="")</f>
        <v>0</v>
      </c>
      <c r="I1559">
        <f>B1559*(hospitalityq!I1559="")</f>
        <v>0</v>
      </c>
      <c r="J1559">
        <f>B1559*(hospitalityq!J1559="")</f>
        <v>0</v>
      </c>
      <c r="K1559">
        <f>B1559*(hospitalityq!K1559="")</f>
        <v>0</v>
      </c>
      <c r="L1559">
        <f>B1559*(hospitalityq!L1559="")</f>
        <v>0</v>
      </c>
      <c r="M1559">
        <f>B1559*(hospitalityq!M1559="")</f>
        <v>0</v>
      </c>
      <c r="N1559">
        <f>B1559*(hospitalityq!N1559="")</f>
        <v>0</v>
      </c>
      <c r="O1559">
        <f>B1559*(hospitalityq!O1559="")</f>
        <v>0</v>
      </c>
      <c r="P1559">
        <f>B1559*(hospitalityq!P1559="")</f>
        <v>0</v>
      </c>
      <c r="Q1559">
        <f>B1559*(hospitalityq!Q1559="")</f>
        <v>0</v>
      </c>
      <c r="R1559">
        <f>B1559*(hospitalityq!R1559="")</f>
        <v>0</v>
      </c>
    </row>
    <row r="1560" spans="1:18" x14ac:dyDescent="0.25">
      <c r="A1560">
        <f t="shared" si="25"/>
        <v>0</v>
      </c>
      <c r="B1560" t="b">
        <f>SUMPRODUCT(LEN(hospitalityq!C1560:R1560))&gt;0</f>
        <v>0</v>
      </c>
      <c r="C1560">
        <f>B1560*(hospitalityq!C1560="")</f>
        <v>0</v>
      </c>
      <c r="E1560">
        <f>B1560*(hospitalityq!E1560="")</f>
        <v>0</v>
      </c>
      <c r="F1560">
        <f>B1560*(hospitalityq!F1560="")</f>
        <v>0</v>
      </c>
      <c r="G1560">
        <f>B1560*(hospitalityq!G1560="")</f>
        <v>0</v>
      </c>
      <c r="H1560">
        <f>B1560*(hospitalityq!H1560="")</f>
        <v>0</v>
      </c>
      <c r="I1560">
        <f>B1560*(hospitalityq!I1560="")</f>
        <v>0</v>
      </c>
      <c r="J1560">
        <f>B1560*(hospitalityq!J1560="")</f>
        <v>0</v>
      </c>
      <c r="K1560">
        <f>B1560*(hospitalityq!K1560="")</f>
        <v>0</v>
      </c>
      <c r="L1560">
        <f>B1560*(hospitalityq!L1560="")</f>
        <v>0</v>
      </c>
      <c r="M1560">
        <f>B1560*(hospitalityq!M1560="")</f>
        <v>0</v>
      </c>
      <c r="N1560">
        <f>B1560*(hospitalityq!N1560="")</f>
        <v>0</v>
      </c>
      <c r="O1560">
        <f>B1560*(hospitalityq!O1560="")</f>
        <v>0</v>
      </c>
      <c r="P1560">
        <f>B1560*(hospitalityq!P1560="")</f>
        <v>0</v>
      </c>
      <c r="Q1560">
        <f>B1560*(hospitalityq!Q1560="")</f>
        <v>0</v>
      </c>
      <c r="R1560">
        <f>B1560*(hospitalityq!R1560="")</f>
        <v>0</v>
      </c>
    </row>
    <row r="1561" spans="1:18" x14ac:dyDescent="0.25">
      <c r="A1561">
        <f t="shared" si="25"/>
        <v>0</v>
      </c>
      <c r="B1561" t="b">
        <f>SUMPRODUCT(LEN(hospitalityq!C1561:R1561))&gt;0</f>
        <v>0</v>
      </c>
      <c r="C1561">
        <f>B1561*(hospitalityq!C1561="")</f>
        <v>0</v>
      </c>
      <c r="E1561">
        <f>B1561*(hospitalityq!E1561="")</f>
        <v>0</v>
      </c>
      <c r="F1561">
        <f>B1561*(hospitalityq!F1561="")</f>
        <v>0</v>
      </c>
      <c r="G1561">
        <f>B1561*(hospitalityq!G1561="")</f>
        <v>0</v>
      </c>
      <c r="H1561">
        <f>B1561*(hospitalityq!H1561="")</f>
        <v>0</v>
      </c>
      <c r="I1561">
        <f>B1561*(hospitalityq!I1561="")</f>
        <v>0</v>
      </c>
      <c r="J1561">
        <f>B1561*(hospitalityq!J1561="")</f>
        <v>0</v>
      </c>
      <c r="K1561">
        <f>B1561*(hospitalityq!K1561="")</f>
        <v>0</v>
      </c>
      <c r="L1561">
        <f>B1561*(hospitalityq!L1561="")</f>
        <v>0</v>
      </c>
      <c r="M1561">
        <f>B1561*(hospitalityq!M1561="")</f>
        <v>0</v>
      </c>
      <c r="N1561">
        <f>B1561*(hospitalityq!N1561="")</f>
        <v>0</v>
      </c>
      <c r="O1561">
        <f>B1561*(hospitalityq!O1561="")</f>
        <v>0</v>
      </c>
      <c r="P1561">
        <f>B1561*(hospitalityq!P1561="")</f>
        <v>0</v>
      </c>
      <c r="Q1561">
        <f>B1561*(hospitalityq!Q1561="")</f>
        <v>0</v>
      </c>
      <c r="R1561">
        <f>B1561*(hospitalityq!R1561="")</f>
        <v>0</v>
      </c>
    </row>
    <row r="1562" spans="1:18" x14ac:dyDescent="0.25">
      <c r="A1562">
        <f t="shared" si="25"/>
        <v>0</v>
      </c>
      <c r="B1562" t="b">
        <f>SUMPRODUCT(LEN(hospitalityq!C1562:R1562))&gt;0</f>
        <v>0</v>
      </c>
      <c r="C1562">
        <f>B1562*(hospitalityq!C1562="")</f>
        <v>0</v>
      </c>
      <c r="E1562">
        <f>B1562*(hospitalityq!E1562="")</f>
        <v>0</v>
      </c>
      <c r="F1562">
        <f>B1562*(hospitalityq!F1562="")</f>
        <v>0</v>
      </c>
      <c r="G1562">
        <f>B1562*(hospitalityq!G1562="")</f>
        <v>0</v>
      </c>
      <c r="H1562">
        <f>B1562*(hospitalityq!H1562="")</f>
        <v>0</v>
      </c>
      <c r="I1562">
        <f>B1562*(hospitalityq!I1562="")</f>
        <v>0</v>
      </c>
      <c r="J1562">
        <f>B1562*(hospitalityq!J1562="")</f>
        <v>0</v>
      </c>
      <c r="K1562">
        <f>B1562*(hospitalityq!K1562="")</f>
        <v>0</v>
      </c>
      <c r="L1562">
        <f>B1562*(hospitalityq!L1562="")</f>
        <v>0</v>
      </c>
      <c r="M1562">
        <f>B1562*(hospitalityq!M1562="")</f>
        <v>0</v>
      </c>
      <c r="N1562">
        <f>B1562*(hospitalityq!N1562="")</f>
        <v>0</v>
      </c>
      <c r="O1562">
        <f>B1562*(hospitalityq!O1562="")</f>
        <v>0</v>
      </c>
      <c r="P1562">
        <f>B1562*(hospitalityq!P1562="")</f>
        <v>0</v>
      </c>
      <c r="Q1562">
        <f>B1562*(hospitalityq!Q1562="")</f>
        <v>0</v>
      </c>
      <c r="R1562">
        <f>B1562*(hospitalityq!R1562="")</f>
        <v>0</v>
      </c>
    </row>
    <row r="1563" spans="1:18" x14ac:dyDescent="0.25">
      <c r="A1563">
        <f t="shared" si="25"/>
        <v>0</v>
      </c>
      <c r="B1563" t="b">
        <f>SUMPRODUCT(LEN(hospitalityq!C1563:R1563))&gt;0</f>
        <v>0</v>
      </c>
      <c r="C1563">
        <f>B1563*(hospitalityq!C1563="")</f>
        <v>0</v>
      </c>
      <c r="E1563">
        <f>B1563*(hospitalityq!E1563="")</f>
        <v>0</v>
      </c>
      <c r="F1563">
        <f>B1563*(hospitalityq!F1563="")</f>
        <v>0</v>
      </c>
      <c r="G1563">
        <f>B1563*(hospitalityq!G1563="")</f>
        <v>0</v>
      </c>
      <c r="H1563">
        <f>B1563*(hospitalityq!H1563="")</f>
        <v>0</v>
      </c>
      <c r="I1563">
        <f>B1563*(hospitalityq!I1563="")</f>
        <v>0</v>
      </c>
      <c r="J1563">
        <f>B1563*(hospitalityq!J1563="")</f>
        <v>0</v>
      </c>
      <c r="K1563">
        <f>B1563*(hospitalityq!K1563="")</f>
        <v>0</v>
      </c>
      <c r="L1563">
        <f>B1563*(hospitalityq!L1563="")</f>
        <v>0</v>
      </c>
      <c r="M1563">
        <f>B1563*(hospitalityq!M1563="")</f>
        <v>0</v>
      </c>
      <c r="N1563">
        <f>B1563*(hospitalityq!N1563="")</f>
        <v>0</v>
      </c>
      <c r="O1563">
        <f>B1563*(hospitalityq!O1563="")</f>
        <v>0</v>
      </c>
      <c r="P1563">
        <f>B1563*(hospitalityq!P1563="")</f>
        <v>0</v>
      </c>
      <c r="Q1563">
        <f>B1563*(hospitalityq!Q1563="")</f>
        <v>0</v>
      </c>
      <c r="R1563">
        <f>B1563*(hospitalityq!R1563="")</f>
        <v>0</v>
      </c>
    </row>
    <row r="1564" spans="1:18" x14ac:dyDescent="0.25">
      <c r="A1564">
        <f t="shared" si="25"/>
        <v>0</v>
      </c>
      <c r="B1564" t="b">
        <f>SUMPRODUCT(LEN(hospitalityq!C1564:R1564))&gt;0</f>
        <v>0</v>
      </c>
      <c r="C1564">
        <f>B1564*(hospitalityq!C1564="")</f>
        <v>0</v>
      </c>
      <c r="E1564">
        <f>B1564*(hospitalityq!E1564="")</f>
        <v>0</v>
      </c>
      <c r="F1564">
        <f>B1564*(hospitalityq!F1564="")</f>
        <v>0</v>
      </c>
      <c r="G1564">
        <f>B1564*(hospitalityq!G1564="")</f>
        <v>0</v>
      </c>
      <c r="H1564">
        <f>B1564*(hospitalityq!H1564="")</f>
        <v>0</v>
      </c>
      <c r="I1564">
        <f>B1564*(hospitalityq!I1564="")</f>
        <v>0</v>
      </c>
      <c r="J1564">
        <f>B1564*(hospitalityq!J1564="")</f>
        <v>0</v>
      </c>
      <c r="K1564">
        <f>B1564*(hospitalityq!K1564="")</f>
        <v>0</v>
      </c>
      <c r="L1564">
        <f>B1564*(hospitalityq!L1564="")</f>
        <v>0</v>
      </c>
      <c r="M1564">
        <f>B1564*(hospitalityq!M1564="")</f>
        <v>0</v>
      </c>
      <c r="N1564">
        <f>B1564*(hospitalityq!N1564="")</f>
        <v>0</v>
      </c>
      <c r="O1564">
        <f>B1564*(hospitalityq!O1564="")</f>
        <v>0</v>
      </c>
      <c r="P1564">
        <f>B1564*(hospitalityq!P1564="")</f>
        <v>0</v>
      </c>
      <c r="Q1564">
        <f>B1564*(hospitalityq!Q1564="")</f>
        <v>0</v>
      </c>
      <c r="R1564">
        <f>B1564*(hospitalityq!R1564="")</f>
        <v>0</v>
      </c>
    </row>
    <row r="1565" spans="1:18" x14ac:dyDescent="0.25">
      <c r="A1565">
        <f t="shared" si="25"/>
        <v>0</v>
      </c>
      <c r="B1565" t="b">
        <f>SUMPRODUCT(LEN(hospitalityq!C1565:R1565))&gt;0</f>
        <v>0</v>
      </c>
      <c r="C1565">
        <f>B1565*(hospitalityq!C1565="")</f>
        <v>0</v>
      </c>
      <c r="E1565">
        <f>B1565*(hospitalityq!E1565="")</f>
        <v>0</v>
      </c>
      <c r="F1565">
        <f>B1565*(hospitalityq!F1565="")</f>
        <v>0</v>
      </c>
      <c r="G1565">
        <f>B1565*(hospitalityq!G1565="")</f>
        <v>0</v>
      </c>
      <c r="H1565">
        <f>B1565*(hospitalityq!H1565="")</f>
        <v>0</v>
      </c>
      <c r="I1565">
        <f>B1565*(hospitalityq!I1565="")</f>
        <v>0</v>
      </c>
      <c r="J1565">
        <f>B1565*(hospitalityq!J1565="")</f>
        <v>0</v>
      </c>
      <c r="K1565">
        <f>B1565*(hospitalityq!K1565="")</f>
        <v>0</v>
      </c>
      <c r="L1565">
        <f>B1565*(hospitalityq!L1565="")</f>
        <v>0</v>
      </c>
      <c r="M1565">
        <f>B1565*(hospitalityq!M1565="")</f>
        <v>0</v>
      </c>
      <c r="N1565">
        <f>B1565*(hospitalityq!N1565="")</f>
        <v>0</v>
      </c>
      <c r="O1565">
        <f>B1565*(hospitalityq!O1565="")</f>
        <v>0</v>
      </c>
      <c r="P1565">
        <f>B1565*(hospitalityq!P1565="")</f>
        <v>0</v>
      </c>
      <c r="Q1565">
        <f>B1565*(hospitalityq!Q1565="")</f>
        <v>0</v>
      </c>
      <c r="R1565">
        <f>B1565*(hospitalityq!R1565="")</f>
        <v>0</v>
      </c>
    </row>
    <row r="1566" spans="1:18" x14ac:dyDescent="0.25">
      <c r="A1566">
        <f t="shared" si="25"/>
        <v>0</v>
      </c>
      <c r="B1566" t="b">
        <f>SUMPRODUCT(LEN(hospitalityq!C1566:R1566))&gt;0</f>
        <v>0</v>
      </c>
      <c r="C1566">
        <f>B1566*(hospitalityq!C1566="")</f>
        <v>0</v>
      </c>
      <c r="E1566">
        <f>B1566*(hospitalityq!E1566="")</f>
        <v>0</v>
      </c>
      <c r="F1566">
        <f>B1566*(hospitalityq!F1566="")</f>
        <v>0</v>
      </c>
      <c r="G1566">
        <f>B1566*(hospitalityq!G1566="")</f>
        <v>0</v>
      </c>
      <c r="H1566">
        <f>B1566*(hospitalityq!H1566="")</f>
        <v>0</v>
      </c>
      <c r="I1566">
        <f>B1566*(hospitalityq!I1566="")</f>
        <v>0</v>
      </c>
      <c r="J1566">
        <f>B1566*(hospitalityq!J1566="")</f>
        <v>0</v>
      </c>
      <c r="K1566">
        <f>B1566*(hospitalityq!K1566="")</f>
        <v>0</v>
      </c>
      <c r="L1566">
        <f>B1566*(hospitalityq!L1566="")</f>
        <v>0</v>
      </c>
      <c r="M1566">
        <f>B1566*(hospitalityq!M1566="")</f>
        <v>0</v>
      </c>
      <c r="N1566">
        <f>B1566*(hospitalityq!N1566="")</f>
        <v>0</v>
      </c>
      <c r="O1566">
        <f>B1566*(hospitalityq!O1566="")</f>
        <v>0</v>
      </c>
      <c r="P1566">
        <f>B1566*(hospitalityq!P1566="")</f>
        <v>0</v>
      </c>
      <c r="Q1566">
        <f>B1566*(hospitalityq!Q1566="")</f>
        <v>0</v>
      </c>
      <c r="R1566">
        <f>B1566*(hospitalityq!R1566="")</f>
        <v>0</v>
      </c>
    </row>
    <row r="1567" spans="1:18" x14ac:dyDescent="0.25">
      <c r="A1567">
        <f t="shared" si="25"/>
        <v>0</v>
      </c>
      <c r="B1567" t="b">
        <f>SUMPRODUCT(LEN(hospitalityq!C1567:R1567))&gt;0</f>
        <v>0</v>
      </c>
      <c r="C1567">
        <f>B1567*(hospitalityq!C1567="")</f>
        <v>0</v>
      </c>
      <c r="E1567">
        <f>B1567*(hospitalityq!E1567="")</f>
        <v>0</v>
      </c>
      <c r="F1567">
        <f>B1567*(hospitalityq!F1567="")</f>
        <v>0</v>
      </c>
      <c r="G1567">
        <f>B1567*(hospitalityq!G1567="")</f>
        <v>0</v>
      </c>
      <c r="H1567">
        <f>B1567*(hospitalityq!H1567="")</f>
        <v>0</v>
      </c>
      <c r="I1567">
        <f>B1567*(hospitalityq!I1567="")</f>
        <v>0</v>
      </c>
      <c r="J1567">
        <f>B1567*(hospitalityq!J1567="")</f>
        <v>0</v>
      </c>
      <c r="K1567">
        <f>B1567*(hospitalityq!K1567="")</f>
        <v>0</v>
      </c>
      <c r="L1567">
        <f>B1567*(hospitalityq!L1567="")</f>
        <v>0</v>
      </c>
      <c r="M1567">
        <f>B1567*(hospitalityq!M1567="")</f>
        <v>0</v>
      </c>
      <c r="N1567">
        <f>B1567*(hospitalityq!N1567="")</f>
        <v>0</v>
      </c>
      <c r="O1567">
        <f>B1567*(hospitalityq!O1567="")</f>
        <v>0</v>
      </c>
      <c r="P1567">
        <f>B1567*(hospitalityq!P1567="")</f>
        <v>0</v>
      </c>
      <c r="Q1567">
        <f>B1567*(hospitalityq!Q1567="")</f>
        <v>0</v>
      </c>
      <c r="R1567">
        <f>B1567*(hospitalityq!R1567="")</f>
        <v>0</v>
      </c>
    </row>
    <row r="1568" spans="1:18" x14ac:dyDescent="0.25">
      <c r="A1568">
        <f t="shared" si="25"/>
        <v>0</v>
      </c>
      <c r="B1568" t="b">
        <f>SUMPRODUCT(LEN(hospitalityq!C1568:R1568))&gt;0</f>
        <v>0</v>
      </c>
      <c r="C1568">
        <f>B1568*(hospitalityq!C1568="")</f>
        <v>0</v>
      </c>
      <c r="E1568">
        <f>B1568*(hospitalityq!E1568="")</f>
        <v>0</v>
      </c>
      <c r="F1568">
        <f>B1568*(hospitalityq!F1568="")</f>
        <v>0</v>
      </c>
      <c r="G1568">
        <f>B1568*(hospitalityq!G1568="")</f>
        <v>0</v>
      </c>
      <c r="H1568">
        <f>B1568*(hospitalityq!H1568="")</f>
        <v>0</v>
      </c>
      <c r="I1568">
        <f>B1568*(hospitalityq!I1568="")</f>
        <v>0</v>
      </c>
      <c r="J1568">
        <f>B1568*(hospitalityq!J1568="")</f>
        <v>0</v>
      </c>
      <c r="K1568">
        <f>B1568*(hospitalityq!K1568="")</f>
        <v>0</v>
      </c>
      <c r="L1568">
        <f>B1568*(hospitalityq!L1568="")</f>
        <v>0</v>
      </c>
      <c r="M1568">
        <f>B1568*(hospitalityq!M1568="")</f>
        <v>0</v>
      </c>
      <c r="N1568">
        <f>B1568*(hospitalityq!N1568="")</f>
        <v>0</v>
      </c>
      <c r="O1568">
        <f>B1568*(hospitalityq!O1568="")</f>
        <v>0</v>
      </c>
      <c r="P1568">
        <f>B1568*(hospitalityq!P1568="")</f>
        <v>0</v>
      </c>
      <c r="Q1568">
        <f>B1568*(hospitalityq!Q1568="")</f>
        <v>0</v>
      </c>
      <c r="R1568">
        <f>B1568*(hospitalityq!R1568="")</f>
        <v>0</v>
      </c>
    </row>
    <row r="1569" spans="1:18" x14ac:dyDescent="0.25">
      <c r="A1569">
        <f t="shared" si="25"/>
        <v>0</v>
      </c>
      <c r="B1569" t="b">
        <f>SUMPRODUCT(LEN(hospitalityq!C1569:R1569))&gt;0</f>
        <v>0</v>
      </c>
      <c r="C1569">
        <f>B1569*(hospitalityq!C1569="")</f>
        <v>0</v>
      </c>
      <c r="E1569">
        <f>B1569*(hospitalityq!E1569="")</f>
        <v>0</v>
      </c>
      <c r="F1569">
        <f>B1569*(hospitalityq!F1569="")</f>
        <v>0</v>
      </c>
      <c r="G1569">
        <f>B1569*(hospitalityq!G1569="")</f>
        <v>0</v>
      </c>
      <c r="H1569">
        <f>B1569*(hospitalityq!H1569="")</f>
        <v>0</v>
      </c>
      <c r="I1569">
        <f>B1569*(hospitalityq!I1569="")</f>
        <v>0</v>
      </c>
      <c r="J1569">
        <f>B1569*(hospitalityq!J1569="")</f>
        <v>0</v>
      </c>
      <c r="K1569">
        <f>B1569*(hospitalityq!K1569="")</f>
        <v>0</v>
      </c>
      <c r="L1569">
        <f>B1569*(hospitalityq!L1569="")</f>
        <v>0</v>
      </c>
      <c r="M1569">
        <f>B1569*(hospitalityq!M1569="")</f>
        <v>0</v>
      </c>
      <c r="N1569">
        <f>B1569*(hospitalityq!N1569="")</f>
        <v>0</v>
      </c>
      <c r="O1569">
        <f>B1569*(hospitalityq!O1569="")</f>
        <v>0</v>
      </c>
      <c r="P1569">
        <f>B1569*(hospitalityq!P1569="")</f>
        <v>0</v>
      </c>
      <c r="Q1569">
        <f>B1569*(hospitalityq!Q1569="")</f>
        <v>0</v>
      </c>
      <c r="R1569">
        <f>B1569*(hospitalityq!R1569="")</f>
        <v>0</v>
      </c>
    </row>
    <row r="1570" spans="1:18" x14ac:dyDescent="0.25">
      <c r="A1570">
        <f t="shared" si="25"/>
        <v>0</v>
      </c>
      <c r="B1570" t="b">
        <f>SUMPRODUCT(LEN(hospitalityq!C1570:R1570))&gt;0</f>
        <v>0</v>
      </c>
      <c r="C1570">
        <f>B1570*(hospitalityq!C1570="")</f>
        <v>0</v>
      </c>
      <c r="E1570">
        <f>B1570*(hospitalityq!E1570="")</f>
        <v>0</v>
      </c>
      <c r="F1570">
        <f>B1570*(hospitalityq!F1570="")</f>
        <v>0</v>
      </c>
      <c r="G1570">
        <f>B1570*(hospitalityq!G1570="")</f>
        <v>0</v>
      </c>
      <c r="H1570">
        <f>B1570*(hospitalityq!H1570="")</f>
        <v>0</v>
      </c>
      <c r="I1570">
        <f>B1570*(hospitalityq!I1570="")</f>
        <v>0</v>
      </c>
      <c r="J1570">
        <f>B1570*(hospitalityq!J1570="")</f>
        <v>0</v>
      </c>
      <c r="K1570">
        <f>B1570*(hospitalityq!K1570="")</f>
        <v>0</v>
      </c>
      <c r="L1570">
        <f>B1570*(hospitalityq!L1570="")</f>
        <v>0</v>
      </c>
      <c r="M1570">
        <f>B1570*(hospitalityq!M1570="")</f>
        <v>0</v>
      </c>
      <c r="N1570">
        <f>B1570*(hospitalityq!N1570="")</f>
        <v>0</v>
      </c>
      <c r="O1570">
        <f>B1570*(hospitalityq!O1570="")</f>
        <v>0</v>
      </c>
      <c r="P1570">
        <f>B1570*(hospitalityq!P1570="")</f>
        <v>0</v>
      </c>
      <c r="Q1570">
        <f>B1570*(hospitalityq!Q1570="")</f>
        <v>0</v>
      </c>
      <c r="R1570">
        <f>B1570*(hospitalityq!R1570="")</f>
        <v>0</v>
      </c>
    </row>
    <row r="1571" spans="1:18" x14ac:dyDescent="0.25">
      <c r="A1571">
        <f t="shared" si="25"/>
        <v>0</v>
      </c>
      <c r="B1571" t="b">
        <f>SUMPRODUCT(LEN(hospitalityq!C1571:R1571))&gt;0</f>
        <v>0</v>
      </c>
      <c r="C1571">
        <f>B1571*(hospitalityq!C1571="")</f>
        <v>0</v>
      </c>
      <c r="E1571">
        <f>B1571*(hospitalityq!E1571="")</f>
        <v>0</v>
      </c>
      <c r="F1571">
        <f>B1571*(hospitalityq!F1571="")</f>
        <v>0</v>
      </c>
      <c r="G1571">
        <f>B1571*(hospitalityq!G1571="")</f>
        <v>0</v>
      </c>
      <c r="H1571">
        <f>B1571*(hospitalityq!H1571="")</f>
        <v>0</v>
      </c>
      <c r="I1571">
        <f>B1571*(hospitalityq!I1571="")</f>
        <v>0</v>
      </c>
      <c r="J1571">
        <f>B1571*(hospitalityq!J1571="")</f>
        <v>0</v>
      </c>
      <c r="K1571">
        <f>B1571*(hospitalityq!K1571="")</f>
        <v>0</v>
      </c>
      <c r="L1571">
        <f>B1571*(hospitalityq!L1571="")</f>
        <v>0</v>
      </c>
      <c r="M1571">
        <f>B1571*(hospitalityq!M1571="")</f>
        <v>0</v>
      </c>
      <c r="N1571">
        <f>B1571*(hospitalityq!N1571="")</f>
        <v>0</v>
      </c>
      <c r="O1571">
        <f>B1571*(hospitalityq!O1571="")</f>
        <v>0</v>
      </c>
      <c r="P1571">
        <f>B1571*(hospitalityq!P1571="")</f>
        <v>0</v>
      </c>
      <c r="Q1571">
        <f>B1571*(hospitalityq!Q1571="")</f>
        <v>0</v>
      </c>
      <c r="R1571">
        <f>B1571*(hospitalityq!R1571="")</f>
        <v>0</v>
      </c>
    </row>
    <row r="1572" spans="1:18" x14ac:dyDescent="0.25">
      <c r="A1572">
        <f t="shared" si="25"/>
        <v>0</v>
      </c>
      <c r="B1572" t="b">
        <f>SUMPRODUCT(LEN(hospitalityq!C1572:R1572))&gt;0</f>
        <v>0</v>
      </c>
      <c r="C1572">
        <f>B1572*(hospitalityq!C1572="")</f>
        <v>0</v>
      </c>
      <c r="E1572">
        <f>B1572*(hospitalityq!E1572="")</f>
        <v>0</v>
      </c>
      <c r="F1572">
        <f>B1572*(hospitalityq!F1572="")</f>
        <v>0</v>
      </c>
      <c r="G1572">
        <f>B1572*(hospitalityq!G1572="")</f>
        <v>0</v>
      </c>
      <c r="H1572">
        <f>B1572*(hospitalityq!H1572="")</f>
        <v>0</v>
      </c>
      <c r="I1572">
        <f>B1572*(hospitalityq!I1572="")</f>
        <v>0</v>
      </c>
      <c r="J1572">
        <f>B1572*(hospitalityq!J1572="")</f>
        <v>0</v>
      </c>
      <c r="K1572">
        <f>B1572*(hospitalityq!K1572="")</f>
        <v>0</v>
      </c>
      <c r="L1572">
        <f>B1572*(hospitalityq!L1572="")</f>
        <v>0</v>
      </c>
      <c r="M1572">
        <f>B1572*(hospitalityq!M1572="")</f>
        <v>0</v>
      </c>
      <c r="N1572">
        <f>B1572*(hospitalityq!N1572="")</f>
        <v>0</v>
      </c>
      <c r="O1572">
        <f>B1572*(hospitalityq!O1572="")</f>
        <v>0</v>
      </c>
      <c r="P1572">
        <f>B1572*(hospitalityq!P1572="")</f>
        <v>0</v>
      </c>
      <c r="Q1572">
        <f>B1572*(hospitalityq!Q1572="")</f>
        <v>0</v>
      </c>
      <c r="R1572">
        <f>B1572*(hospitalityq!R1572="")</f>
        <v>0</v>
      </c>
    </row>
    <row r="1573" spans="1:18" x14ac:dyDescent="0.25">
      <c r="A1573">
        <f t="shared" si="25"/>
        <v>0</v>
      </c>
      <c r="B1573" t="b">
        <f>SUMPRODUCT(LEN(hospitalityq!C1573:R1573))&gt;0</f>
        <v>0</v>
      </c>
      <c r="C1573">
        <f>B1573*(hospitalityq!C1573="")</f>
        <v>0</v>
      </c>
      <c r="E1573">
        <f>B1573*(hospitalityq!E1573="")</f>
        <v>0</v>
      </c>
      <c r="F1573">
        <f>B1573*(hospitalityq!F1573="")</f>
        <v>0</v>
      </c>
      <c r="G1573">
        <f>B1573*(hospitalityq!G1573="")</f>
        <v>0</v>
      </c>
      <c r="H1573">
        <f>B1573*(hospitalityq!H1573="")</f>
        <v>0</v>
      </c>
      <c r="I1573">
        <f>B1573*(hospitalityq!I1573="")</f>
        <v>0</v>
      </c>
      <c r="J1573">
        <f>B1573*(hospitalityq!J1573="")</f>
        <v>0</v>
      </c>
      <c r="K1573">
        <f>B1573*(hospitalityq!K1573="")</f>
        <v>0</v>
      </c>
      <c r="L1573">
        <f>B1573*(hospitalityq!L1573="")</f>
        <v>0</v>
      </c>
      <c r="M1573">
        <f>B1573*(hospitalityq!M1573="")</f>
        <v>0</v>
      </c>
      <c r="N1573">
        <f>B1573*(hospitalityq!N1573="")</f>
        <v>0</v>
      </c>
      <c r="O1573">
        <f>B1573*(hospitalityq!O1573="")</f>
        <v>0</v>
      </c>
      <c r="P1573">
        <f>B1573*(hospitalityq!P1573="")</f>
        <v>0</v>
      </c>
      <c r="Q1573">
        <f>B1573*(hospitalityq!Q1573="")</f>
        <v>0</v>
      </c>
      <c r="R1573">
        <f>B1573*(hospitalityq!R1573="")</f>
        <v>0</v>
      </c>
    </row>
    <row r="1574" spans="1:18" x14ac:dyDescent="0.25">
      <c r="A1574">
        <f t="shared" si="25"/>
        <v>0</v>
      </c>
      <c r="B1574" t="b">
        <f>SUMPRODUCT(LEN(hospitalityq!C1574:R1574))&gt;0</f>
        <v>0</v>
      </c>
      <c r="C1574">
        <f>B1574*(hospitalityq!C1574="")</f>
        <v>0</v>
      </c>
      <c r="E1574">
        <f>B1574*(hospitalityq!E1574="")</f>
        <v>0</v>
      </c>
      <c r="F1574">
        <f>B1574*(hospitalityq!F1574="")</f>
        <v>0</v>
      </c>
      <c r="G1574">
        <f>B1574*(hospitalityq!G1574="")</f>
        <v>0</v>
      </c>
      <c r="H1574">
        <f>B1574*(hospitalityq!H1574="")</f>
        <v>0</v>
      </c>
      <c r="I1574">
        <f>B1574*(hospitalityq!I1574="")</f>
        <v>0</v>
      </c>
      <c r="J1574">
        <f>B1574*(hospitalityq!J1574="")</f>
        <v>0</v>
      </c>
      <c r="K1574">
        <f>B1574*(hospitalityq!K1574="")</f>
        <v>0</v>
      </c>
      <c r="L1574">
        <f>B1574*(hospitalityq!L1574="")</f>
        <v>0</v>
      </c>
      <c r="M1574">
        <f>B1574*(hospitalityq!M1574="")</f>
        <v>0</v>
      </c>
      <c r="N1574">
        <f>B1574*(hospitalityq!N1574="")</f>
        <v>0</v>
      </c>
      <c r="O1574">
        <f>B1574*(hospitalityq!O1574="")</f>
        <v>0</v>
      </c>
      <c r="P1574">
        <f>B1574*(hospitalityq!P1574="")</f>
        <v>0</v>
      </c>
      <c r="Q1574">
        <f>B1574*(hospitalityq!Q1574="")</f>
        <v>0</v>
      </c>
      <c r="R1574">
        <f>B1574*(hospitalityq!R1574="")</f>
        <v>0</v>
      </c>
    </row>
    <row r="1575" spans="1:18" x14ac:dyDescent="0.25">
      <c r="A1575">
        <f t="shared" si="25"/>
        <v>0</v>
      </c>
      <c r="B1575" t="b">
        <f>SUMPRODUCT(LEN(hospitalityq!C1575:R1575))&gt;0</f>
        <v>0</v>
      </c>
      <c r="C1575">
        <f>B1575*(hospitalityq!C1575="")</f>
        <v>0</v>
      </c>
      <c r="E1575">
        <f>B1575*(hospitalityq!E1575="")</f>
        <v>0</v>
      </c>
      <c r="F1575">
        <f>B1575*(hospitalityq!F1575="")</f>
        <v>0</v>
      </c>
      <c r="G1575">
        <f>B1575*(hospitalityq!G1575="")</f>
        <v>0</v>
      </c>
      <c r="H1575">
        <f>B1575*(hospitalityq!H1575="")</f>
        <v>0</v>
      </c>
      <c r="I1575">
        <f>B1575*(hospitalityq!I1575="")</f>
        <v>0</v>
      </c>
      <c r="J1575">
        <f>B1575*(hospitalityq!J1575="")</f>
        <v>0</v>
      </c>
      <c r="K1575">
        <f>B1575*(hospitalityq!K1575="")</f>
        <v>0</v>
      </c>
      <c r="L1575">
        <f>B1575*(hospitalityq!L1575="")</f>
        <v>0</v>
      </c>
      <c r="M1575">
        <f>B1575*(hospitalityq!M1575="")</f>
        <v>0</v>
      </c>
      <c r="N1575">
        <f>B1575*(hospitalityq!N1575="")</f>
        <v>0</v>
      </c>
      <c r="O1575">
        <f>B1575*(hospitalityq!O1575="")</f>
        <v>0</v>
      </c>
      <c r="P1575">
        <f>B1575*(hospitalityq!P1575="")</f>
        <v>0</v>
      </c>
      <c r="Q1575">
        <f>B1575*(hospitalityq!Q1575="")</f>
        <v>0</v>
      </c>
      <c r="R1575">
        <f>B1575*(hospitalityq!R1575="")</f>
        <v>0</v>
      </c>
    </row>
    <row r="1576" spans="1:18" x14ac:dyDescent="0.25">
      <c r="A1576">
        <f t="shared" si="25"/>
        <v>0</v>
      </c>
      <c r="B1576" t="b">
        <f>SUMPRODUCT(LEN(hospitalityq!C1576:R1576))&gt;0</f>
        <v>0</v>
      </c>
      <c r="C1576">
        <f>B1576*(hospitalityq!C1576="")</f>
        <v>0</v>
      </c>
      <c r="E1576">
        <f>B1576*(hospitalityq!E1576="")</f>
        <v>0</v>
      </c>
      <c r="F1576">
        <f>B1576*(hospitalityq!F1576="")</f>
        <v>0</v>
      </c>
      <c r="G1576">
        <f>B1576*(hospitalityq!G1576="")</f>
        <v>0</v>
      </c>
      <c r="H1576">
        <f>B1576*(hospitalityq!H1576="")</f>
        <v>0</v>
      </c>
      <c r="I1576">
        <f>B1576*(hospitalityq!I1576="")</f>
        <v>0</v>
      </c>
      <c r="J1576">
        <f>B1576*(hospitalityq!J1576="")</f>
        <v>0</v>
      </c>
      <c r="K1576">
        <f>B1576*(hospitalityq!K1576="")</f>
        <v>0</v>
      </c>
      <c r="L1576">
        <f>B1576*(hospitalityq!L1576="")</f>
        <v>0</v>
      </c>
      <c r="M1576">
        <f>B1576*(hospitalityq!M1576="")</f>
        <v>0</v>
      </c>
      <c r="N1576">
        <f>B1576*(hospitalityq!N1576="")</f>
        <v>0</v>
      </c>
      <c r="O1576">
        <f>B1576*(hospitalityq!O1576="")</f>
        <v>0</v>
      </c>
      <c r="P1576">
        <f>B1576*(hospitalityq!P1576="")</f>
        <v>0</v>
      </c>
      <c r="Q1576">
        <f>B1576*(hospitalityq!Q1576="")</f>
        <v>0</v>
      </c>
      <c r="R1576">
        <f>B1576*(hospitalityq!R1576="")</f>
        <v>0</v>
      </c>
    </row>
    <row r="1577" spans="1:18" x14ac:dyDescent="0.25">
      <c r="A1577">
        <f t="shared" si="25"/>
        <v>0</v>
      </c>
      <c r="B1577" t="b">
        <f>SUMPRODUCT(LEN(hospitalityq!C1577:R1577))&gt;0</f>
        <v>0</v>
      </c>
      <c r="C1577">
        <f>B1577*(hospitalityq!C1577="")</f>
        <v>0</v>
      </c>
      <c r="E1577">
        <f>B1577*(hospitalityq!E1577="")</f>
        <v>0</v>
      </c>
      <c r="F1577">
        <f>B1577*(hospitalityq!F1577="")</f>
        <v>0</v>
      </c>
      <c r="G1577">
        <f>B1577*(hospitalityq!G1577="")</f>
        <v>0</v>
      </c>
      <c r="H1577">
        <f>B1577*(hospitalityq!H1577="")</f>
        <v>0</v>
      </c>
      <c r="I1577">
        <f>B1577*(hospitalityq!I1577="")</f>
        <v>0</v>
      </c>
      <c r="J1577">
        <f>B1577*(hospitalityq!J1577="")</f>
        <v>0</v>
      </c>
      <c r="K1577">
        <f>B1577*(hospitalityq!K1577="")</f>
        <v>0</v>
      </c>
      <c r="L1577">
        <f>B1577*(hospitalityq!L1577="")</f>
        <v>0</v>
      </c>
      <c r="M1577">
        <f>B1577*(hospitalityq!M1577="")</f>
        <v>0</v>
      </c>
      <c r="N1577">
        <f>B1577*(hospitalityq!N1577="")</f>
        <v>0</v>
      </c>
      <c r="O1577">
        <f>B1577*(hospitalityq!O1577="")</f>
        <v>0</v>
      </c>
      <c r="P1577">
        <f>B1577*(hospitalityq!P1577="")</f>
        <v>0</v>
      </c>
      <c r="Q1577">
        <f>B1577*(hospitalityq!Q1577="")</f>
        <v>0</v>
      </c>
      <c r="R1577">
        <f>B1577*(hospitalityq!R1577="")</f>
        <v>0</v>
      </c>
    </row>
    <row r="1578" spans="1:18" x14ac:dyDescent="0.25">
      <c r="A1578">
        <f t="shared" si="25"/>
        <v>0</v>
      </c>
      <c r="B1578" t="b">
        <f>SUMPRODUCT(LEN(hospitalityq!C1578:R1578))&gt;0</f>
        <v>0</v>
      </c>
      <c r="C1578">
        <f>B1578*(hospitalityq!C1578="")</f>
        <v>0</v>
      </c>
      <c r="E1578">
        <f>B1578*(hospitalityq!E1578="")</f>
        <v>0</v>
      </c>
      <c r="F1578">
        <f>B1578*(hospitalityq!F1578="")</f>
        <v>0</v>
      </c>
      <c r="G1578">
        <f>B1578*(hospitalityq!G1578="")</f>
        <v>0</v>
      </c>
      <c r="H1578">
        <f>B1578*(hospitalityq!H1578="")</f>
        <v>0</v>
      </c>
      <c r="I1578">
        <f>B1578*(hospitalityq!I1578="")</f>
        <v>0</v>
      </c>
      <c r="J1578">
        <f>B1578*(hospitalityq!J1578="")</f>
        <v>0</v>
      </c>
      <c r="K1578">
        <f>B1578*(hospitalityq!K1578="")</f>
        <v>0</v>
      </c>
      <c r="L1578">
        <f>B1578*(hospitalityq!L1578="")</f>
        <v>0</v>
      </c>
      <c r="M1578">
        <f>B1578*(hospitalityq!M1578="")</f>
        <v>0</v>
      </c>
      <c r="N1578">
        <f>B1578*(hospitalityq!N1578="")</f>
        <v>0</v>
      </c>
      <c r="O1578">
        <f>B1578*(hospitalityq!O1578="")</f>
        <v>0</v>
      </c>
      <c r="P1578">
        <f>B1578*(hospitalityq!P1578="")</f>
        <v>0</v>
      </c>
      <c r="Q1578">
        <f>B1578*(hospitalityq!Q1578="")</f>
        <v>0</v>
      </c>
      <c r="R1578">
        <f>B1578*(hospitalityq!R1578="")</f>
        <v>0</v>
      </c>
    </row>
    <row r="1579" spans="1:18" x14ac:dyDescent="0.25">
      <c r="A1579">
        <f t="shared" si="25"/>
        <v>0</v>
      </c>
      <c r="B1579" t="b">
        <f>SUMPRODUCT(LEN(hospitalityq!C1579:R1579))&gt;0</f>
        <v>0</v>
      </c>
      <c r="C1579">
        <f>B1579*(hospitalityq!C1579="")</f>
        <v>0</v>
      </c>
      <c r="E1579">
        <f>B1579*(hospitalityq!E1579="")</f>
        <v>0</v>
      </c>
      <c r="F1579">
        <f>B1579*(hospitalityq!F1579="")</f>
        <v>0</v>
      </c>
      <c r="G1579">
        <f>B1579*(hospitalityq!G1579="")</f>
        <v>0</v>
      </c>
      <c r="H1579">
        <f>B1579*(hospitalityq!H1579="")</f>
        <v>0</v>
      </c>
      <c r="I1579">
        <f>B1579*(hospitalityq!I1579="")</f>
        <v>0</v>
      </c>
      <c r="J1579">
        <f>B1579*(hospitalityq!J1579="")</f>
        <v>0</v>
      </c>
      <c r="K1579">
        <f>B1579*(hospitalityq!K1579="")</f>
        <v>0</v>
      </c>
      <c r="L1579">
        <f>B1579*(hospitalityq!L1579="")</f>
        <v>0</v>
      </c>
      <c r="M1579">
        <f>B1579*(hospitalityq!M1579="")</f>
        <v>0</v>
      </c>
      <c r="N1579">
        <f>B1579*(hospitalityq!N1579="")</f>
        <v>0</v>
      </c>
      <c r="O1579">
        <f>B1579*(hospitalityq!O1579="")</f>
        <v>0</v>
      </c>
      <c r="P1579">
        <f>B1579*(hospitalityq!P1579="")</f>
        <v>0</v>
      </c>
      <c r="Q1579">
        <f>B1579*(hospitalityq!Q1579="")</f>
        <v>0</v>
      </c>
      <c r="R1579">
        <f>B1579*(hospitalityq!R1579="")</f>
        <v>0</v>
      </c>
    </row>
    <row r="1580" spans="1:18" x14ac:dyDescent="0.25">
      <c r="A1580">
        <f t="shared" si="25"/>
        <v>0</v>
      </c>
      <c r="B1580" t="b">
        <f>SUMPRODUCT(LEN(hospitalityq!C1580:R1580))&gt;0</f>
        <v>0</v>
      </c>
      <c r="C1580">
        <f>B1580*(hospitalityq!C1580="")</f>
        <v>0</v>
      </c>
      <c r="E1580">
        <f>B1580*(hospitalityq!E1580="")</f>
        <v>0</v>
      </c>
      <c r="F1580">
        <f>B1580*(hospitalityq!F1580="")</f>
        <v>0</v>
      </c>
      <c r="G1580">
        <f>B1580*(hospitalityq!G1580="")</f>
        <v>0</v>
      </c>
      <c r="H1580">
        <f>B1580*(hospitalityq!H1580="")</f>
        <v>0</v>
      </c>
      <c r="I1580">
        <f>B1580*(hospitalityq!I1580="")</f>
        <v>0</v>
      </c>
      <c r="J1580">
        <f>B1580*(hospitalityq!J1580="")</f>
        <v>0</v>
      </c>
      <c r="K1580">
        <f>B1580*(hospitalityq!K1580="")</f>
        <v>0</v>
      </c>
      <c r="L1580">
        <f>B1580*(hospitalityq!L1580="")</f>
        <v>0</v>
      </c>
      <c r="M1580">
        <f>B1580*(hospitalityq!M1580="")</f>
        <v>0</v>
      </c>
      <c r="N1580">
        <f>B1580*(hospitalityq!N1580="")</f>
        <v>0</v>
      </c>
      <c r="O1580">
        <f>B1580*(hospitalityq!O1580="")</f>
        <v>0</v>
      </c>
      <c r="P1580">
        <f>B1580*(hospitalityq!P1580="")</f>
        <v>0</v>
      </c>
      <c r="Q1580">
        <f>B1580*(hospitalityq!Q1580="")</f>
        <v>0</v>
      </c>
      <c r="R1580">
        <f>B1580*(hospitalityq!R1580="")</f>
        <v>0</v>
      </c>
    </row>
    <row r="1581" spans="1:18" x14ac:dyDescent="0.25">
      <c r="A1581">
        <f t="shared" si="25"/>
        <v>0</v>
      </c>
      <c r="B1581" t="b">
        <f>SUMPRODUCT(LEN(hospitalityq!C1581:R1581))&gt;0</f>
        <v>0</v>
      </c>
      <c r="C1581">
        <f>B1581*(hospitalityq!C1581="")</f>
        <v>0</v>
      </c>
      <c r="E1581">
        <f>B1581*(hospitalityq!E1581="")</f>
        <v>0</v>
      </c>
      <c r="F1581">
        <f>B1581*(hospitalityq!F1581="")</f>
        <v>0</v>
      </c>
      <c r="G1581">
        <f>B1581*(hospitalityq!G1581="")</f>
        <v>0</v>
      </c>
      <c r="H1581">
        <f>B1581*(hospitalityq!H1581="")</f>
        <v>0</v>
      </c>
      <c r="I1581">
        <f>B1581*(hospitalityq!I1581="")</f>
        <v>0</v>
      </c>
      <c r="J1581">
        <f>B1581*(hospitalityq!J1581="")</f>
        <v>0</v>
      </c>
      <c r="K1581">
        <f>B1581*(hospitalityq!K1581="")</f>
        <v>0</v>
      </c>
      <c r="L1581">
        <f>B1581*(hospitalityq!L1581="")</f>
        <v>0</v>
      </c>
      <c r="M1581">
        <f>B1581*(hospitalityq!M1581="")</f>
        <v>0</v>
      </c>
      <c r="N1581">
        <f>B1581*(hospitalityq!N1581="")</f>
        <v>0</v>
      </c>
      <c r="O1581">
        <f>B1581*(hospitalityq!O1581="")</f>
        <v>0</v>
      </c>
      <c r="P1581">
        <f>B1581*(hospitalityq!P1581="")</f>
        <v>0</v>
      </c>
      <c r="Q1581">
        <f>B1581*(hospitalityq!Q1581="")</f>
        <v>0</v>
      </c>
      <c r="R1581">
        <f>B1581*(hospitalityq!R1581="")</f>
        <v>0</v>
      </c>
    </row>
    <row r="1582" spans="1:18" x14ac:dyDescent="0.25">
      <c r="A1582">
        <f t="shared" si="25"/>
        <v>0</v>
      </c>
      <c r="B1582" t="b">
        <f>SUMPRODUCT(LEN(hospitalityq!C1582:R1582))&gt;0</f>
        <v>0</v>
      </c>
      <c r="C1582">
        <f>B1582*(hospitalityq!C1582="")</f>
        <v>0</v>
      </c>
      <c r="E1582">
        <f>B1582*(hospitalityq!E1582="")</f>
        <v>0</v>
      </c>
      <c r="F1582">
        <f>B1582*(hospitalityq!F1582="")</f>
        <v>0</v>
      </c>
      <c r="G1582">
        <f>B1582*(hospitalityq!G1582="")</f>
        <v>0</v>
      </c>
      <c r="H1582">
        <f>B1582*(hospitalityq!H1582="")</f>
        <v>0</v>
      </c>
      <c r="I1582">
        <f>B1582*(hospitalityq!I1582="")</f>
        <v>0</v>
      </c>
      <c r="J1582">
        <f>B1582*(hospitalityq!J1582="")</f>
        <v>0</v>
      </c>
      <c r="K1582">
        <f>B1582*(hospitalityq!K1582="")</f>
        <v>0</v>
      </c>
      <c r="L1582">
        <f>B1582*(hospitalityq!L1582="")</f>
        <v>0</v>
      </c>
      <c r="M1582">
        <f>B1582*(hospitalityq!M1582="")</f>
        <v>0</v>
      </c>
      <c r="N1582">
        <f>B1582*(hospitalityq!N1582="")</f>
        <v>0</v>
      </c>
      <c r="O1582">
        <f>B1582*(hospitalityq!O1582="")</f>
        <v>0</v>
      </c>
      <c r="P1582">
        <f>B1582*(hospitalityq!P1582="")</f>
        <v>0</v>
      </c>
      <c r="Q1582">
        <f>B1582*(hospitalityq!Q1582="")</f>
        <v>0</v>
      </c>
      <c r="R1582">
        <f>B1582*(hospitalityq!R1582="")</f>
        <v>0</v>
      </c>
    </row>
    <row r="1583" spans="1:18" x14ac:dyDescent="0.25">
      <c r="A1583">
        <f t="shared" si="25"/>
        <v>0</v>
      </c>
      <c r="B1583" t="b">
        <f>SUMPRODUCT(LEN(hospitalityq!C1583:R1583))&gt;0</f>
        <v>0</v>
      </c>
      <c r="C1583">
        <f>B1583*(hospitalityq!C1583="")</f>
        <v>0</v>
      </c>
      <c r="E1583">
        <f>B1583*(hospitalityq!E1583="")</f>
        <v>0</v>
      </c>
      <c r="F1583">
        <f>B1583*(hospitalityq!F1583="")</f>
        <v>0</v>
      </c>
      <c r="G1583">
        <f>B1583*(hospitalityq!G1583="")</f>
        <v>0</v>
      </c>
      <c r="H1583">
        <f>B1583*(hospitalityq!H1583="")</f>
        <v>0</v>
      </c>
      <c r="I1583">
        <f>B1583*(hospitalityq!I1583="")</f>
        <v>0</v>
      </c>
      <c r="J1583">
        <f>B1583*(hospitalityq!J1583="")</f>
        <v>0</v>
      </c>
      <c r="K1583">
        <f>B1583*(hospitalityq!K1583="")</f>
        <v>0</v>
      </c>
      <c r="L1583">
        <f>B1583*(hospitalityq!L1583="")</f>
        <v>0</v>
      </c>
      <c r="M1583">
        <f>B1583*(hospitalityq!M1583="")</f>
        <v>0</v>
      </c>
      <c r="N1583">
        <f>B1583*(hospitalityq!N1583="")</f>
        <v>0</v>
      </c>
      <c r="O1583">
        <f>B1583*(hospitalityq!O1583="")</f>
        <v>0</v>
      </c>
      <c r="P1583">
        <f>B1583*(hospitalityq!P1583="")</f>
        <v>0</v>
      </c>
      <c r="Q1583">
        <f>B1583*(hospitalityq!Q1583="")</f>
        <v>0</v>
      </c>
      <c r="R1583">
        <f>B1583*(hospitalityq!R1583="")</f>
        <v>0</v>
      </c>
    </row>
    <row r="1584" spans="1:18" x14ac:dyDescent="0.25">
      <c r="A1584">
        <f t="shared" si="25"/>
        <v>0</v>
      </c>
      <c r="B1584" t="b">
        <f>SUMPRODUCT(LEN(hospitalityq!C1584:R1584))&gt;0</f>
        <v>0</v>
      </c>
      <c r="C1584">
        <f>B1584*(hospitalityq!C1584="")</f>
        <v>0</v>
      </c>
      <c r="E1584">
        <f>B1584*(hospitalityq!E1584="")</f>
        <v>0</v>
      </c>
      <c r="F1584">
        <f>B1584*(hospitalityq!F1584="")</f>
        <v>0</v>
      </c>
      <c r="G1584">
        <f>B1584*(hospitalityq!G1584="")</f>
        <v>0</v>
      </c>
      <c r="H1584">
        <f>B1584*(hospitalityq!H1584="")</f>
        <v>0</v>
      </c>
      <c r="I1584">
        <f>B1584*(hospitalityq!I1584="")</f>
        <v>0</v>
      </c>
      <c r="J1584">
        <f>B1584*(hospitalityq!J1584="")</f>
        <v>0</v>
      </c>
      <c r="K1584">
        <f>B1584*(hospitalityq!K1584="")</f>
        <v>0</v>
      </c>
      <c r="L1584">
        <f>B1584*(hospitalityq!L1584="")</f>
        <v>0</v>
      </c>
      <c r="M1584">
        <f>B1584*(hospitalityq!M1584="")</f>
        <v>0</v>
      </c>
      <c r="N1584">
        <f>B1584*(hospitalityq!N1584="")</f>
        <v>0</v>
      </c>
      <c r="O1584">
        <f>B1584*(hospitalityq!O1584="")</f>
        <v>0</v>
      </c>
      <c r="P1584">
        <f>B1584*(hospitalityq!P1584="")</f>
        <v>0</v>
      </c>
      <c r="Q1584">
        <f>B1584*(hospitalityq!Q1584="")</f>
        <v>0</v>
      </c>
      <c r="R1584">
        <f>B1584*(hospitalityq!R1584="")</f>
        <v>0</v>
      </c>
    </row>
    <row r="1585" spans="1:18" x14ac:dyDescent="0.25">
      <c r="A1585">
        <f t="shared" si="25"/>
        <v>0</v>
      </c>
      <c r="B1585" t="b">
        <f>SUMPRODUCT(LEN(hospitalityq!C1585:R1585))&gt;0</f>
        <v>0</v>
      </c>
      <c r="C1585">
        <f>B1585*(hospitalityq!C1585="")</f>
        <v>0</v>
      </c>
      <c r="E1585">
        <f>B1585*(hospitalityq!E1585="")</f>
        <v>0</v>
      </c>
      <c r="F1585">
        <f>B1585*(hospitalityq!F1585="")</f>
        <v>0</v>
      </c>
      <c r="G1585">
        <f>B1585*(hospitalityq!G1585="")</f>
        <v>0</v>
      </c>
      <c r="H1585">
        <f>B1585*(hospitalityq!H1585="")</f>
        <v>0</v>
      </c>
      <c r="I1585">
        <f>B1585*(hospitalityq!I1585="")</f>
        <v>0</v>
      </c>
      <c r="J1585">
        <f>B1585*(hospitalityq!J1585="")</f>
        <v>0</v>
      </c>
      <c r="K1585">
        <f>B1585*(hospitalityq!K1585="")</f>
        <v>0</v>
      </c>
      <c r="L1585">
        <f>B1585*(hospitalityq!L1585="")</f>
        <v>0</v>
      </c>
      <c r="M1585">
        <f>B1585*(hospitalityq!M1585="")</f>
        <v>0</v>
      </c>
      <c r="N1585">
        <f>B1585*(hospitalityq!N1585="")</f>
        <v>0</v>
      </c>
      <c r="O1585">
        <f>B1585*(hospitalityq!O1585="")</f>
        <v>0</v>
      </c>
      <c r="P1585">
        <f>B1585*(hospitalityq!P1585="")</f>
        <v>0</v>
      </c>
      <c r="Q1585">
        <f>B1585*(hospitalityq!Q1585="")</f>
        <v>0</v>
      </c>
      <c r="R1585">
        <f>B1585*(hospitalityq!R1585="")</f>
        <v>0</v>
      </c>
    </row>
    <row r="1586" spans="1:18" x14ac:dyDescent="0.25">
      <c r="A1586">
        <f t="shared" si="25"/>
        <v>0</v>
      </c>
      <c r="B1586" t="b">
        <f>SUMPRODUCT(LEN(hospitalityq!C1586:R1586))&gt;0</f>
        <v>0</v>
      </c>
      <c r="C1586">
        <f>B1586*(hospitalityq!C1586="")</f>
        <v>0</v>
      </c>
      <c r="E1586">
        <f>B1586*(hospitalityq!E1586="")</f>
        <v>0</v>
      </c>
      <c r="F1586">
        <f>B1586*(hospitalityq!F1586="")</f>
        <v>0</v>
      </c>
      <c r="G1586">
        <f>B1586*(hospitalityq!G1586="")</f>
        <v>0</v>
      </c>
      <c r="H1586">
        <f>B1586*(hospitalityq!H1586="")</f>
        <v>0</v>
      </c>
      <c r="I1586">
        <f>B1586*(hospitalityq!I1586="")</f>
        <v>0</v>
      </c>
      <c r="J1586">
        <f>B1586*(hospitalityq!J1586="")</f>
        <v>0</v>
      </c>
      <c r="K1586">
        <f>B1586*(hospitalityq!K1586="")</f>
        <v>0</v>
      </c>
      <c r="L1586">
        <f>B1586*(hospitalityq!L1586="")</f>
        <v>0</v>
      </c>
      <c r="M1586">
        <f>B1586*(hospitalityq!M1586="")</f>
        <v>0</v>
      </c>
      <c r="N1586">
        <f>B1586*(hospitalityq!N1586="")</f>
        <v>0</v>
      </c>
      <c r="O1586">
        <f>B1586*(hospitalityq!O1586="")</f>
        <v>0</v>
      </c>
      <c r="P1586">
        <f>B1586*(hospitalityq!P1586="")</f>
        <v>0</v>
      </c>
      <c r="Q1586">
        <f>B1586*(hospitalityq!Q1586="")</f>
        <v>0</v>
      </c>
      <c r="R1586">
        <f>B1586*(hospitalityq!R1586="")</f>
        <v>0</v>
      </c>
    </row>
    <row r="1587" spans="1:18" x14ac:dyDescent="0.25">
      <c r="A1587">
        <f t="shared" si="25"/>
        <v>0</v>
      </c>
      <c r="B1587" t="b">
        <f>SUMPRODUCT(LEN(hospitalityq!C1587:R1587))&gt;0</f>
        <v>0</v>
      </c>
      <c r="C1587">
        <f>B1587*(hospitalityq!C1587="")</f>
        <v>0</v>
      </c>
      <c r="E1587">
        <f>B1587*(hospitalityq!E1587="")</f>
        <v>0</v>
      </c>
      <c r="F1587">
        <f>B1587*(hospitalityq!F1587="")</f>
        <v>0</v>
      </c>
      <c r="G1587">
        <f>B1587*(hospitalityq!G1587="")</f>
        <v>0</v>
      </c>
      <c r="H1587">
        <f>B1587*(hospitalityq!H1587="")</f>
        <v>0</v>
      </c>
      <c r="I1587">
        <f>B1587*(hospitalityq!I1587="")</f>
        <v>0</v>
      </c>
      <c r="J1587">
        <f>B1587*(hospitalityq!J1587="")</f>
        <v>0</v>
      </c>
      <c r="K1587">
        <f>B1587*(hospitalityq!K1587="")</f>
        <v>0</v>
      </c>
      <c r="L1587">
        <f>B1587*(hospitalityq!L1587="")</f>
        <v>0</v>
      </c>
      <c r="M1587">
        <f>B1587*(hospitalityq!M1587="")</f>
        <v>0</v>
      </c>
      <c r="N1587">
        <f>B1587*(hospitalityq!N1587="")</f>
        <v>0</v>
      </c>
      <c r="O1587">
        <f>B1587*(hospitalityq!O1587="")</f>
        <v>0</v>
      </c>
      <c r="P1587">
        <f>B1587*(hospitalityq!P1587="")</f>
        <v>0</v>
      </c>
      <c r="Q1587">
        <f>B1587*(hospitalityq!Q1587="")</f>
        <v>0</v>
      </c>
      <c r="R1587">
        <f>B1587*(hospitalityq!R1587="")</f>
        <v>0</v>
      </c>
    </row>
    <row r="1588" spans="1:18" x14ac:dyDescent="0.25">
      <c r="A1588">
        <f t="shared" si="25"/>
        <v>0</v>
      </c>
      <c r="B1588" t="b">
        <f>SUMPRODUCT(LEN(hospitalityq!C1588:R1588))&gt;0</f>
        <v>0</v>
      </c>
      <c r="C1588">
        <f>B1588*(hospitalityq!C1588="")</f>
        <v>0</v>
      </c>
      <c r="E1588">
        <f>B1588*(hospitalityq!E1588="")</f>
        <v>0</v>
      </c>
      <c r="F1588">
        <f>B1588*(hospitalityq!F1588="")</f>
        <v>0</v>
      </c>
      <c r="G1588">
        <f>B1588*(hospitalityq!G1588="")</f>
        <v>0</v>
      </c>
      <c r="H1588">
        <f>B1588*(hospitalityq!H1588="")</f>
        <v>0</v>
      </c>
      <c r="I1588">
        <f>B1588*(hospitalityq!I1588="")</f>
        <v>0</v>
      </c>
      <c r="J1588">
        <f>B1588*(hospitalityq!J1588="")</f>
        <v>0</v>
      </c>
      <c r="K1588">
        <f>B1588*(hospitalityq!K1588="")</f>
        <v>0</v>
      </c>
      <c r="L1588">
        <f>B1588*(hospitalityq!L1588="")</f>
        <v>0</v>
      </c>
      <c r="M1588">
        <f>B1588*(hospitalityq!M1588="")</f>
        <v>0</v>
      </c>
      <c r="N1588">
        <f>B1588*(hospitalityq!N1588="")</f>
        <v>0</v>
      </c>
      <c r="O1588">
        <f>B1588*(hospitalityq!O1588="")</f>
        <v>0</v>
      </c>
      <c r="P1588">
        <f>B1588*(hospitalityq!P1588="")</f>
        <v>0</v>
      </c>
      <c r="Q1588">
        <f>B1588*(hospitalityq!Q1588="")</f>
        <v>0</v>
      </c>
      <c r="R1588">
        <f>B1588*(hospitalityq!R1588="")</f>
        <v>0</v>
      </c>
    </row>
    <row r="1589" spans="1:18" x14ac:dyDescent="0.25">
      <c r="A1589">
        <f t="shared" si="25"/>
        <v>0</v>
      </c>
      <c r="B1589" t="b">
        <f>SUMPRODUCT(LEN(hospitalityq!C1589:R1589))&gt;0</f>
        <v>0</v>
      </c>
      <c r="C1589">
        <f>B1589*(hospitalityq!C1589="")</f>
        <v>0</v>
      </c>
      <c r="E1589">
        <f>B1589*(hospitalityq!E1589="")</f>
        <v>0</v>
      </c>
      <c r="F1589">
        <f>B1589*(hospitalityq!F1589="")</f>
        <v>0</v>
      </c>
      <c r="G1589">
        <f>B1589*(hospitalityq!G1589="")</f>
        <v>0</v>
      </c>
      <c r="H1589">
        <f>B1589*(hospitalityq!H1589="")</f>
        <v>0</v>
      </c>
      <c r="I1589">
        <f>B1589*(hospitalityq!I1589="")</f>
        <v>0</v>
      </c>
      <c r="J1589">
        <f>B1589*(hospitalityq!J1589="")</f>
        <v>0</v>
      </c>
      <c r="K1589">
        <f>B1589*(hospitalityq!K1589="")</f>
        <v>0</v>
      </c>
      <c r="L1589">
        <f>B1589*(hospitalityq!L1589="")</f>
        <v>0</v>
      </c>
      <c r="M1589">
        <f>B1589*(hospitalityq!M1589="")</f>
        <v>0</v>
      </c>
      <c r="N1589">
        <f>B1589*(hospitalityq!N1589="")</f>
        <v>0</v>
      </c>
      <c r="O1589">
        <f>B1589*(hospitalityq!O1589="")</f>
        <v>0</v>
      </c>
      <c r="P1589">
        <f>B1589*(hospitalityq!P1589="")</f>
        <v>0</v>
      </c>
      <c r="Q1589">
        <f>B1589*(hospitalityq!Q1589="")</f>
        <v>0</v>
      </c>
      <c r="R1589">
        <f>B1589*(hospitalityq!R1589="")</f>
        <v>0</v>
      </c>
    </row>
    <row r="1590" spans="1:18" x14ac:dyDescent="0.25">
      <c r="A1590">
        <f t="shared" si="25"/>
        <v>0</v>
      </c>
      <c r="B1590" t="b">
        <f>SUMPRODUCT(LEN(hospitalityq!C1590:R1590))&gt;0</f>
        <v>0</v>
      </c>
      <c r="C1590">
        <f>B1590*(hospitalityq!C1590="")</f>
        <v>0</v>
      </c>
      <c r="E1590">
        <f>B1590*(hospitalityq!E1590="")</f>
        <v>0</v>
      </c>
      <c r="F1590">
        <f>B1590*(hospitalityq!F1590="")</f>
        <v>0</v>
      </c>
      <c r="G1590">
        <f>B1590*(hospitalityq!G1590="")</f>
        <v>0</v>
      </c>
      <c r="H1590">
        <f>B1590*(hospitalityq!H1590="")</f>
        <v>0</v>
      </c>
      <c r="I1590">
        <f>B1590*(hospitalityq!I1590="")</f>
        <v>0</v>
      </c>
      <c r="J1590">
        <f>B1590*(hospitalityq!J1590="")</f>
        <v>0</v>
      </c>
      <c r="K1590">
        <f>B1590*(hospitalityq!K1590="")</f>
        <v>0</v>
      </c>
      <c r="L1590">
        <f>B1590*(hospitalityq!L1590="")</f>
        <v>0</v>
      </c>
      <c r="M1590">
        <f>B1590*(hospitalityq!M1590="")</f>
        <v>0</v>
      </c>
      <c r="N1590">
        <f>B1590*(hospitalityq!N1590="")</f>
        <v>0</v>
      </c>
      <c r="O1590">
        <f>B1590*(hospitalityq!O1590="")</f>
        <v>0</v>
      </c>
      <c r="P1590">
        <f>B1590*(hospitalityq!P1590="")</f>
        <v>0</v>
      </c>
      <c r="Q1590">
        <f>B1590*(hospitalityq!Q1590="")</f>
        <v>0</v>
      </c>
      <c r="R1590">
        <f>B1590*(hospitalityq!R1590="")</f>
        <v>0</v>
      </c>
    </row>
    <row r="1591" spans="1:18" x14ac:dyDescent="0.25">
      <c r="A1591">
        <f t="shared" si="25"/>
        <v>0</v>
      </c>
      <c r="B1591" t="b">
        <f>SUMPRODUCT(LEN(hospitalityq!C1591:R1591))&gt;0</f>
        <v>0</v>
      </c>
      <c r="C1591">
        <f>B1591*(hospitalityq!C1591="")</f>
        <v>0</v>
      </c>
      <c r="E1591">
        <f>B1591*(hospitalityq!E1591="")</f>
        <v>0</v>
      </c>
      <c r="F1591">
        <f>B1591*(hospitalityq!F1591="")</f>
        <v>0</v>
      </c>
      <c r="G1591">
        <f>B1591*(hospitalityq!G1591="")</f>
        <v>0</v>
      </c>
      <c r="H1591">
        <f>B1591*(hospitalityq!H1591="")</f>
        <v>0</v>
      </c>
      <c r="I1591">
        <f>B1591*(hospitalityq!I1591="")</f>
        <v>0</v>
      </c>
      <c r="J1591">
        <f>B1591*(hospitalityq!J1591="")</f>
        <v>0</v>
      </c>
      <c r="K1591">
        <f>B1591*(hospitalityq!K1591="")</f>
        <v>0</v>
      </c>
      <c r="L1591">
        <f>B1591*(hospitalityq!L1591="")</f>
        <v>0</v>
      </c>
      <c r="M1591">
        <f>B1591*(hospitalityq!M1591="")</f>
        <v>0</v>
      </c>
      <c r="N1591">
        <f>B1591*(hospitalityq!N1591="")</f>
        <v>0</v>
      </c>
      <c r="O1591">
        <f>B1591*(hospitalityq!O1591="")</f>
        <v>0</v>
      </c>
      <c r="P1591">
        <f>B1591*(hospitalityq!P1591="")</f>
        <v>0</v>
      </c>
      <c r="Q1591">
        <f>B1591*(hospitalityq!Q1591="")</f>
        <v>0</v>
      </c>
      <c r="R1591">
        <f>B1591*(hospitalityq!R1591="")</f>
        <v>0</v>
      </c>
    </row>
    <row r="1592" spans="1:18" x14ac:dyDescent="0.25">
      <c r="A1592">
        <f t="shared" si="25"/>
        <v>0</v>
      </c>
      <c r="B1592" t="b">
        <f>SUMPRODUCT(LEN(hospitalityq!C1592:R1592))&gt;0</f>
        <v>0</v>
      </c>
      <c r="C1592">
        <f>B1592*(hospitalityq!C1592="")</f>
        <v>0</v>
      </c>
      <c r="E1592">
        <f>B1592*(hospitalityq!E1592="")</f>
        <v>0</v>
      </c>
      <c r="F1592">
        <f>B1592*(hospitalityq!F1592="")</f>
        <v>0</v>
      </c>
      <c r="G1592">
        <f>B1592*(hospitalityq!G1592="")</f>
        <v>0</v>
      </c>
      <c r="H1592">
        <f>B1592*(hospitalityq!H1592="")</f>
        <v>0</v>
      </c>
      <c r="I1592">
        <f>B1592*(hospitalityq!I1592="")</f>
        <v>0</v>
      </c>
      <c r="J1592">
        <f>B1592*(hospitalityq!J1592="")</f>
        <v>0</v>
      </c>
      <c r="K1592">
        <f>B1592*(hospitalityq!K1592="")</f>
        <v>0</v>
      </c>
      <c r="L1592">
        <f>B1592*(hospitalityq!L1592="")</f>
        <v>0</v>
      </c>
      <c r="M1592">
        <f>B1592*(hospitalityq!M1592="")</f>
        <v>0</v>
      </c>
      <c r="N1592">
        <f>B1592*(hospitalityq!N1592="")</f>
        <v>0</v>
      </c>
      <c r="O1592">
        <f>B1592*(hospitalityq!O1592="")</f>
        <v>0</v>
      </c>
      <c r="P1592">
        <f>B1592*(hospitalityq!P1592="")</f>
        <v>0</v>
      </c>
      <c r="Q1592">
        <f>B1592*(hospitalityq!Q1592="")</f>
        <v>0</v>
      </c>
      <c r="R1592">
        <f>B1592*(hospitalityq!R1592="")</f>
        <v>0</v>
      </c>
    </row>
    <row r="1593" spans="1:18" x14ac:dyDescent="0.25">
      <c r="A1593">
        <f t="shared" si="25"/>
        <v>0</v>
      </c>
      <c r="B1593" t="b">
        <f>SUMPRODUCT(LEN(hospitalityq!C1593:R1593))&gt;0</f>
        <v>0</v>
      </c>
      <c r="C1593">
        <f>B1593*(hospitalityq!C1593="")</f>
        <v>0</v>
      </c>
      <c r="E1593">
        <f>B1593*(hospitalityq!E1593="")</f>
        <v>0</v>
      </c>
      <c r="F1593">
        <f>B1593*(hospitalityq!F1593="")</f>
        <v>0</v>
      </c>
      <c r="G1593">
        <f>B1593*(hospitalityq!G1593="")</f>
        <v>0</v>
      </c>
      <c r="H1593">
        <f>B1593*(hospitalityq!H1593="")</f>
        <v>0</v>
      </c>
      <c r="I1593">
        <f>B1593*(hospitalityq!I1593="")</f>
        <v>0</v>
      </c>
      <c r="J1593">
        <f>B1593*(hospitalityq!J1593="")</f>
        <v>0</v>
      </c>
      <c r="K1593">
        <f>B1593*(hospitalityq!K1593="")</f>
        <v>0</v>
      </c>
      <c r="L1593">
        <f>B1593*(hospitalityq!L1593="")</f>
        <v>0</v>
      </c>
      <c r="M1593">
        <f>B1593*(hospitalityq!M1593="")</f>
        <v>0</v>
      </c>
      <c r="N1593">
        <f>B1593*(hospitalityq!N1593="")</f>
        <v>0</v>
      </c>
      <c r="O1593">
        <f>B1593*(hospitalityq!O1593="")</f>
        <v>0</v>
      </c>
      <c r="P1593">
        <f>B1593*(hospitalityq!P1593="")</f>
        <v>0</v>
      </c>
      <c r="Q1593">
        <f>B1593*(hospitalityq!Q1593="")</f>
        <v>0</v>
      </c>
      <c r="R1593">
        <f>B1593*(hospitalityq!R1593="")</f>
        <v>0</v>
      </c>
    </row>
    <row r="1594" spans="1:18" x14ac:dyDescent="0.25">
      <c r="A1594">
        <f t="shared" si="25"/>
        <v>0</v>
      </c>
      <c r="B1594" t="b">
        <f>SUMPRODUCT(LEN(hospitalityq!C1594:R1594))&gt;0</f>
        <v>0</v>
      </c>
      <c r="C1594">
        <f>B1594*(hospitalityq!C1594="")</f>
        <v>0</v>
      </c>
      <c r="E1594">
        <f>B1594*(hospitalityq!E1594="")</f>
        <v>0</v>
      </c>
      <c r="F1594">
        <f>B1594*(hospitalityq!F1594="")</f>
        <v>0</v>
      </c>
      <c r="G1594">
        <f>B1594*(hospitalityq!G1594="")</f>
        <v>0</v>
      </c>
      <c r="H1594">
        <f>B1594*(hospitalityq!H1594="")</f>
        <v>0</v>
      </c>
      <c r="I1594">
        <f>B1594*(hospitalityq!I1594="")</f>
        <v>0</v>
      </c>
      <c r="J1594">
        <f>B1594*(hospitalityq!J1594="")</f>
        <v>0</v>
      </c>
      <c r="K1594">
        <f>B1594*(hospitalityq!K1594="")</f>
        <v>0</v>
      </c>
      <c r="L1594">
        <f>B1594*(hospitalityq!L1594="")</f>
        <v>0</v>
      </c>
      <c r="M1594">
        <f>B1594*(hospitalityq!M1594="")</f>
        <v>0</v>
      </c>
      <c r="N1594">
        <f>B1594*(hospitalityq!N1594="")</f>
        <v>0</v>
      </c>
      <c r="O1594">
        <f>B1594*(hospitalityq!O1594="")</f>
        <v>0</v>
      </c>
      <c r="P1594">
        <f>B1594*(hospitalityq!P1594="")</f>
        <v>0</v>
      </c>
      <c r="Q1594">
        <f>B1594*(hospitalityq!Q1594="")</f>
        <v>0</v>
      </c>
      <c r="R1594">
        <f>B1594*(hospitalityq!R1594="")</f>
        <v>0</v>
      </c>
    </row>
    <row r="1595" spans="1:18" x14ac:dyDescent="0.25">
      <c r="A1595">
        <f t="shared" si="25"/>
        <v>0</v>
      </c>
      <c r="B1595" t="b">
        <f>SUMPRODUCT(LEN(hospitalityq!C1595:R1595))&gt;0</f>
        <v>0</v>
      </c>
      <c r="C1595">
        <f>B1595*(hospitalityq!C1595="")</f>
        <v>0</v>
      </c>
      <c r="E1595">
        <f>B1595*(hospitalityq!E1595="")</f>
        <v>0</v>
      </c>
      <c r="F1595">
        <f>B1595*(hospitalityq!F1595="")</f>
        <v>0</v>
      </c>
      <c r="G1595">
        <f>B1595*(hospitalityq!G1595="")</f>
        <v>0</v>
      </c>
      <c r="H1595">
        <f>B1595*(hospitalityq!H1595="")</f>
        <v>0</v>
      </c>
      <c r="I1595">
        <f>B1595*(hospitalityq!I1595="")</f>
        <v>0</v>
      </c>
      <c r="J1595">
        <f>B1595*(hospitalityq!J1595="")</f>
        <v>0</v>
      </c>
      <c r="K1595">
        <f>B1595*(hospitalityq!K1595="")</f>
        <v>0</v>
      </c>
      <c r="L1595">
        <f>B1595*(hospitalityq!L1595="")</f>
        <v>0</v>
      </c>
      <c r="M1595">
        <f>B1595*(hospitalityq!M1595="")</f>
        <v>0</v>
      </c>
      <c r="N1595">
        <f>B1595*(hospitalityq!N1595="")</f>
        <v>0</v>
      </c>
      <c r="O1595">
        <f>B1595*(hospitalityq!O1595="")</f>
        <v>0</v>
      </c>
      <c r="P1595">
        <f>B1595*(hospitalityq!P1595="")</f>
        <v>0</v>
      </c>
      <c r="Q1595">
        <f>B1595*(hospitalityq!Q1595="")</f>
        <v>0</v>
      </c>
      <c r="R1595">
        <f>B1595*(hospitalityq!R1595="")</f>
        <v>0</v>
      </c>
    </row>
    <row r="1596" spans="1:18" x14ac:dyDescent="0.25">
      <c r="A1596">
        <f t="shared" si="25"/>
        <v>0</v>
      </c>
      <c r="B1596" t="b">
        <f>SUMPRODUCT(LEN(hospitalityq!C1596:R1596))&gt;0</f>
        <v>0</v>
      </c>
      <c r="C1596">
        <f>B1596*(hospitalityq!C1596="")</f>
        <v>0</v>
      </c>
      <c r="E1596">
        <f>B1596*(hospitalityq!E1596="")</f>
        <v>0</v>
      </c>
      <c r="F1596">
        <f>B1596*(hospitalityq!F1596="")</f>
        <v>0</v>
      </c>
      <c r="G1596">
        <f>B1596*(hospitalityq!G1596="")</f>
        <v>0</v>
      </c>
      <c r="H1596">
        <f>B1596*(hospitalityq!H1596="")</f>
        <v>0</v>
      </c>
      <c r="I1596">
        <f>B1596*(hospitalityq!I1596="")</f>
        <v>0</v>
      </c>
      <c r="J1596">
        <f>B1596*(hospitalityq!J1596="")</f>
        <v>0</v>
      </c>
      <c r="K1596">
        <f>B1596*(hospitalityq!K1596="")</f>
        <v>0</v>
      </c>
      <c r="L1596">
        <f>B1596*(hospitalityq!L1596="")</f>
        <v>0</v>
      </c>
      <c r="M1596">
        <f>B1596*(hospitalityq!M1596="")</f>
        <v>0</v>
      </c>
      <c r="N1596">
        <f>B1596*(hospitalityq!N1596="")</f>
        <v>0</v>
      </c>
      <c r="O1596">
        <f>B1596*(hospitalityq!O1596="")</f>
        <v>0</v>
      </c>
      <c r="P1596">
        <f>B1596*(hospitalityq!P1596="")</f>
        <v>0</v>
      </c>
      <c r="Q1596">
        <f>B1596*(hospitalityq!Q1596="")</f>
        <v>0</v>
      </c>
      <c r="R1596">
        <f>B1596*(hospitalityq!R1596="")</f>
        <v>0</v>
      </c>
    </row>
    <row r="1597" spans="1:18" x14ac:dyDescent="0.25">
      <c r="A1597">
        <f t="shared" si="25"/>
        <v>0</v>
      </c>
      <c r="B1597" t="b">
        <f>SUMPRODUCT(LEN(hospitalityq!C1597:R1597))&gt;0</f>
        <v>0</v>
      </c>
      <c r="C1597">
        <f>B1597*(hospitalityq!C1597="")</f>
        <v>0</v>
      </c>
      <c r="E1597">
        <f>B1597*(hospitalityq!E1597="")</f>
        <v>0</v>
      </c>
      <c r="F1597">
        <f>B1597*(hospitalityq!F1597="")</f>
        <v>0</v>
      </c>
      <c r="G1597">
        <f>B1597*(hospitalityq!G1597="")</f>
        <v>0</v>
      </c>
      <c r="H1597">
        <f>B1597*(hospitalityq!H1597="")</f>
        <v>0</v>
      </c>
      <c r="I1597">
        <f>B1597*(hospitalityq!I1597="")</f>
        <v>0</v>
      </c>
      <c r="J1597">
        <f>B1597*(hospitalityq!J1597="")</f>
        <v>0</v>
      </c>
      <c r="K1597">
        <f>B1597*(hospitalityq!K1597="")</f>
        <v>0</v>
      </c>
      <c r="L1597">
        <f>B1597*(hospitalityq!L1597="")</f>
        <v>0</v>
      </c>
      <c r="M1597">
        <f>B1597*(hospitalityq!M1597="")</f>
        <v>0</v>
      </c>
      <c r="N1597">
        <f>B1597*(hospitalityq!N1597="")</f>
        <v>0</v>
      </c>
      <c r="O1597">
        <f>B1597*(hospitalityq!O1597="")</f>
        <v>0</v>
      </c>
      <c r="P1597">
        <f>B1597*(hospitalityq!P1597="")</f>
        <v>0</v>
      </c>
      <c r="Q1597">
        <f>B1597*(hospitalityq!Q1597="")</f>
        <v>0</v>
      </c>
      <c r="R1597">
        <f>B1597*(hospitalityq!R1597="")</f>
        <v>0</v>
      </c>
    </row>
    <row r="1598" spans="1:18" x14ac:dyDescent="0.25">
      <c r="A1598">
        <f t="shared" si="25"/>
        <v>0</v>
      </c>
      <c r="B1598" t="b">
        <f>SUMPRODUCT(LEN(hospitalityq!C1598:R1598))&gt;0</f>
        <v>0</v>
      </c>
      <c r="C1598">
        <f>B1598*(hospitalityq!C1598="")</f>
        <v>0</v>
      </c>
      <c r="E1598">
        <f>B1598*(hospitalityq!E1598="")</f>
        <v>0</v>
      </c>
      <c r="F1598">
        <f>B1598*(hospitalityq!F1598="")</f>
        <v>0</v>
      </c>
      <c r="G1598">
        <f>B1598*(hospitalityq!G1598="")</f>
        <v>0</v>
      </c>
      <c r="H1598">
        <f>B1598*(hospitalityq!H1598="")</f>
        <v>0</v>
      </c>
      <c r="I1598">
        <f>B1598*(hospitalityq!I1598="")</f>
        <v>0</v>
      </c>
      <c r="J1598">
        <f>B1598*(hospitalityq!J1598="")</f>
        <v>0</v>
      </c>
      <c r="K1598">
        <f>B1598*(hospitalityq!K1598="")</f>
        <v>0</v>
      </c>
      <c r="L1598">
        <f>B1598*(hospitalityq!L1598="")</f>
        <v>0</v>
      </c>
      <c r="M1598">
        <f>B1598*(hospitalityq!M1598="")</f>
        <v>0</v>
      </c>
      <c r="N1598">
        <f>B1598*(hospitalityq!N1598="")</f>
        <v>0</v>
      </c>
      <c r="O1598">
        <f>B1598*(hospitalityq!O1598="")</f>
        <v>0</v>
      </c>
      <c r="P1598">
        <f>B1598*(hospitalityq!P1598="")</f>
        <v>0</v>
      </c>
      <c r="Q1598">
        <f>B1598*(hospitalityq!Q1598="")</f>
        <v>0</v>
      </c>
      <c r="R1598">
        <f>B1598*(hospitalityq!R1598="")</f>
        <v>0</v>
      </c>
    </row>
    <row r="1599" spans="1:18" x14ac:dyDescent="0.25">
      <c r="A1599">
        <f t="shared" si="25"/>
        <v>0</v>
      </c>
      <c r="B1599" t="b">
        <f>SUMPRODUCT(LEN(hospitalityq!C1599:R1599))&gt;0</f>
        <v>0</v>
      </c>
      <c r="C1599">
        <f>B1599*(hospitalityq!C1599="")</f>
        <v>0</v>
      </c>
      <c r="E1599">
        <f>B1599*(hospitalityq!E1599="")</f>
        <v>0</v>
      </c>
      <c r="F1599">
        <f>B1599*(hospitalityq!F1599="")</f>
        <v>0</v>
      </c>
      <c r="G1599">
        <f>B1599*(hospitalityq!G1599="")</f>
        <v>0</v>
      </c>
      <c r="H1599">
        <f>B1599*(hospitalityq!H1599="")</f>
        <v>0</v>
      </c>
      <c r="I1599">
        <f>B1599*(hospitalityq!I1599="")</f>
        <v>0</v>
      </c>
      <c r="J1599">
        <f>B1599*(hospitalityq!J1599="")</f>
        <v>0</v>
      </c>
      <c r="K1599">
        <f>B1599*(hospitalityq!K1599="")</f>
        <v>0</v>
      </c>
      <c r="L1599">
        <f>B1599*(hospitalityq!L1599="")</f>
        <v>0</v>
      </c>
      <c r="M1599">
        <f>B1599*(hospitalityq!M1599="")</f>
        <v>0</v>
      </c>
      <c r="N1599">
        <f>B1599*(hospitalityq!N1599="")</f>
        <v>0</v>
      </c>
      <c r="O1599">
        <f>B1599*(hospitalityq!O1599="")</f>
        <v>0</v>
      </c>
      <c r="P1599">
        <f>B1599*(hospitalityq!P1599="")</f>
        <v>0</v>
      </c>
      <c r="Q1599">
        <f>B1599*(hospitalityq!Q1599="")</f>
        <v>0</v>
      </c>
      <c r="R1599">
        <f>B1599*(hospitalityq!R1599="")</f>
        <v>0</v>
      </c>
    </row>
    <row r="1600" spans="1:18" x14ac:dyDescent="0.25">
      <c r="A1600">
        <f t="shared" si="25"/>
        <v>0</v>
      </c>
      <c r="B1600" t="b">
        <f>SUMPRODUCT(LEN(hospitalityq!C1600:R1600))&gt;0</f>
        <v>0</v>
      </c>
      <c r="C1600">
        <f>B1600*(hospitalityq!C1600="")</f>
        <v>0</v>
      </c>
      <c r="E1600">
        <f>B1600*(hospitalityq!E1600="")</f>
        <v>0</v>
      </c>
      <c r="F1600">
        <f>B1600*(hospitalityq!F1600="")</f>
        <v>0</v>
      </c>
      <c r="G1600">
        <f>B1600*(hospitalityq!G1600="")</f>
        <v>0</v>
      </c>
      <c r="H1600">
        <f>B1600*(hospitalityq!H1600="")</f>
        <v>0</v>
      </c>
      <c r="I1600">
        <f>B1600*(hospitalityq!I1600="")</f>
        <v>0</v>
      </c>
      <c r="J1600">
        <f>B1600*(hospitalityq!J1600="")</f>
        <v>0</v>
      </c>
      <c r="K1600">
        <f>B1600*(hospitalityq!K1600="")</f>
        <v>0</v>
      </c>
      <c r="L1600">
        <f>B1600*(hospitalityq!L1600="")</f>
        <v>0</v>
      </c>
      <c r="M1600">
        <f>B1600*(hospitalityq!M1600="")</f>
        <v>0</v>
      </c>
      <c r="N1600">
        <f>B1600*(hospitalityq!N1600="")</f>
        <v>0</v>
      </c>
      <c r="O1600">
        <f>B1600*(hospitalityq!O1600="")</f>
        <v>0</v>
      </c>
      <c r="P1600">
        <f>B1600*(hospitalityq!P1600="")</f>
        <v>0</v>
      </c>
      <c r="Q1600">
        <f>B1600*(hospitalityq!Q1600="")</f>
        <v>0</v>
      </c>
      <c r="R1600">
        <f>B1600*(hospitalityq!R1600="")</f>
        <v>0</v>
      </c>
    </row>
    <row r="1601" spans="1:18" x14ac:dyDescent="0.25">
      <c r="A1601">
        <f t="shared" si="25"/>
        <v>0</v>
      </c>
      <c r="B1601" t="b">
        <f>SUMPRODUCT(LEN(hospitalityq!C1601:R1601))&gt;0</f>
        <v>0</v>
      </c>
      <c r="C1601">
        <f>B1601*(hospitalityq!C1601="")</f>
        <v>0</v>
      </c>
      <c r="E1601">
        <f>B1601*(hospitalityq!E1601="")</f>
        <v>0</v>
      </c>
      <c r="F1601">
        <f>B1601*(hospitalityq!F1601="")</f>
        <v>0</v>
      </c>
      <c r="G1601">
        <f>B1601*(hospitalityq!G1601="")</f>
        <v>0</v>
      </c>
      <c r="H1601">
        <f>B1601*(hospitalityq!H1601="")</f>
        <v>0</v>
      </c>
      <c r="I1601">
        <f>B1601*(hospitalityq!I1601="")</f>
        <v>0</v>
      </c>
      <c r="J1601">
        <f>B1601*(hospitalityq!J1601="")</f>
        <v>0</v>
      </c>
      <c r="K1601">
        <f>B1601*(hospitalityq!K1601="")</f>
        <v>0</v>
      </c>
      <c r="L1601">
        <f>B1601*(hospitalityq!L1601="")</f>
        <v>0</v>
      </c>
      <c r="M1601">
        <f>B1601*(hospitalityq!M1601="")</f>
        <v>0</v>
      </c>
      <c r="N1601">
        <f>B1601*(hospitalityq!N1601="")</f>
        <v>0</v>
      </c>
      <c r="O1601">
        <f>B1601*(hospitalityq!O1601="")</f>
        <v>0</v>
      </c>
      <c r="P1601">
        <f>B1601*(hospitalityq!P1601="")</f>
        <v>0</v>
      </c>
      <c r="Q1601">
        <f>B1601*(hospitalityq!Q1601="")</f>
        <v>0</v>
      </c>
      <c r="R1601">
        <f>B1601*(hospitalityq!R1601="")</f>
        <v>0</v>
      </c>
    </row>
    <row r="1602" spans="1:18" x14ac:dyDescent="0.25">
      <c r="A1602">
        <f t="shared" si="25"/>
        <v>0</v>
      </c>
      <c r="B1602" t="b">
        <f>SUMPRODUCT(LEN(hospitalityq!C1602:R1602))&gt;0</f>
        <v>0</v>
      </c>
      <c r="C1602">
        <f>B1602*(hospitalityq!C1602="")</f>
        <v>0</v>
      </c>
      <c r="E1602">
        <f>B1602*(hospitalityq!E1602="")</f>
        <v>0</v>
      </c>
      <c r="F1602">
        <f>B1602*(hospitalityq!F1602="")</f>
        <v>0</v>
      </c>
      <c r="G1602">
        <f>B1602*(hospitalityq!G1602="")</f>
        <v>0</v>
      </c>
      <c r="H1602">
        <f>B1602*(hospitalityq!H1602="")</f>
        <v>0</v>
      </c>
      <c r="I1602">
        <f>B1602*(hospitalityq!I1602="")</f>
        <v>0</v>
      </c>
      <c r="J1602">
        <f>B1602*(hospitalityq!J1602="")</f>
        <v>0</v>
      </c>
      <c r="K1602">
        <f>B1602*(hospitalityq!K1602="")</f>
        <v>0</v>
      </c>
      <c r="L1602">
        <f>B1602*(hospitalityq!L1602="")</f>
        <v>0</v>
      </c>
      <c r="M1602">
        <f>B1602*(hospitalityq!M1602="")</f>
        <v>0</v>
      </c>
      <c r="N1602">
        <f>B1602*(hospitalityq!N1602="")</f>
        <v>0</v>
      </c>
      <c r="O1602">
        <f>B1602*(hospitalityq!O1602="")</f>
        <v>0</v>
      </c>
      <c r="P1602">
        <f>B1602*(hospitalityq!P1602="")</f>
        <v>0</v>
      </c>
      <c r="Q1602">
        <f>B1602*(hospitalityq!Q1602="")</f>
        <v>0</v>
      </c>
      <c r="R1602">
        <f>B1602*(hospitalityq!R1602="")</f>
        <v>0</v>
      </c>
    </row>
    <row r="1603" spans="1:18" x14ac:dyDescent="0.25">
      <c r="A1603">
        <f t="shared" si="25"/>
        <v>0</v>
      </c>
      <c r="B1603" t="b">
        <f>SUMPRODUCT(LEN(hospitalityq!C1603:R1603))&gt;0</f>
        <v>0</v>
      </c>
      <c r="C1603">
        <f>B1603*(hospitalityq!C1603="")</f>
        <v>0</v>
      </c>
      <c r="E1603">
        <f>B1603*(hospitalityq!E1603="")</f>
        <v>0</v>
      </c>
      <c r="F1603">
        <f>B1603*(hospitalityq!F1603="")</f>
        <v>0</v>
      </c>
      <c r="G1603">
        <f>B1603*(hospitalityq!G1603="")</f>
        <v>0</v>
      </c>
      <c r="H1603">
        <f>B1603*(hospitalityq!H1603="")</f>
        <v>0</v>
      </c>
      <c r="I1603">
        <f>B1603*(hospitalityq!I1603="")</f>
        <v>0</v>
      </c>
      <c r="J1603">
        <f>B1603*(hospitalityq!J1603="")</f>
        <v>0</v>
      </c>
      <c r="K1603">
        <f>B1603*(hospitalityq!K1603="")</f>
        <v>0</v>
      </c>
      <c r="L1603">
        <f>B1603*(hospitalityq!L1603="")</f>
        <v>0</v>
      </c>
      <c r="M1603">
        <f>B1603*(hospitalityq!M1603="")</f>
        <v>0</v>
      </c>
      <c r="N1603">
        <f>B1603*(hospitalityq!N1603="")</f>
        <v>0</v>
      </c>
      <c r="O1603">
        <f>B1603*(hospitalityq!O1603="")</f>
        <v>0</v>
      </c>
      <c r="P1603">
        <f>B1603*(hospitalityq!P1603="")</f>
        <v>0</v>
      </c>
      <c r="Q1603">
        <f>B1603*(hospitalityq!Q1603="")</f>
        <v>0</v>
      </c>
      <c r="R1603">
        <f>B1603*(hospitalityq!R1603="")</f>
        <v>0</v>
      </c>
    </row>
    <row r="1604" spans="1:18" x14ac:dyDescent="0.25">
      <c r="A1604">
        <f t="shared" si="25"/>
        <v>0</v>
      </c>
      <c r="B1604" t="b">
        <f>SUMPRODUCT(LEN(hospitalityq!C1604:R1604))&gt;0</f>
        <v>0</v>
      </c>
      <c r="C1604">
        <f>B1604*(hospitalityq!C1604="")</f>
        <v>0</v>
      </c>
      <c r="E1604">
        <f>B1604*(hospitalityq!E1604="")</f>
        <v>0</v>
      </c>
      <c r="F1604">
        <f>B1604*(hospitalityq!F1604="")</f>
        <v>0</v>
      </c>
      <c r="G1604">
        <f>B1604*(hospitalityq!G1604="")</f>
        <v>0</v>
      </c>
      <c r="H1604">
        <f>B1604*(hospitalityq!H1604="")</f>
        <v>0</v>
      </c>
      <c r="I1604">
        <f>B1604*(hospitalityq!I1604="")</f>
        <v>0</v>
      </c>
      <c r="J1604">
        <f>B1604*(hospitalityq!J1604="")</f>
        <v>0</v>
      </c>
      <c r="K1604">
        <f>B1604*(hospitalityq!K1604="")</f>
        <v>0</v>
      </c>
      <c r="L1604">
        <f>B1604*(hospitalityq!L1604="")</f>
        <v>0</v>
      </c>
      <c r="M1604">
        <f>B1604*(hospitalityq!M1604="")</f>
        <v>0</v>
      </c>
      <c r="N1604">
        <f>B1604*(hospitalityq!N1604="")</f>
        <v>0</v>
      </c>
      <c r="O1604">
        <f>B1604*(hospitalityq!O1604="")</f>
        <v>0</v>
      </c>
      <c r="P1604">
        <f>B1604*(hospitalityq!P1604="")</f>
        <v>0</v>
      </c>
      <c r="Q1604">
        <f>B1604*(hospitalityq!Q1604="")</f>
        <v>0</v>
      </c>
      <c r="R1604">
        <f>B1604*(hospitalityq!R1604="")</f>
        <v>0</v>
      </c>
    </row>
    <row r="1605" spans="1:18" x14ac:dyDescent="0.25">
      <c r="A1605">
        <f t="shared" si="25"/>
        <v>0</v>
      </c>
      <c r="B1605" t="b">
        <f>SUMPRODUCT(LEN(hospitalityq!C1605:R1605))&gt;0</f>
        <v>0</v>
      </c>
      <c r="C1605">
        <f>B1605*(hospitalityq!C1605="")</f>
        <v>0</v>
      </c>
      <c r="E1605">
        <f>B1605*(hospitalityq!E1605="")</f>
        <v>0</v>
      </c>
      <c r="F1605">
        <f>B1605*(hospitalityq!F1605="")</f>
        <v>0</v>
      </c>
      <c r="G1605">
        <f>B1605*(hospitalityq!G1605="")</f>
        <v>0</v>
      </c>
      <c r="H1605">
        <f>B1605*(hospitalityq!H1605="")</f>
        <v>0</v>
      </c>
      <c r="I1605">
        <f>B1605*(hospitalityq!I1605="")</f>
        <v>0</v>
      </c>
      <c r="J1605">
        <f>B1605*(hospitalityq!J1605="")</f>
        <v>0</v>
      </c>
      <c r="K1605">
        <f>B1605*(hospitalityq!K1605="")</f>
        <v>0</v>
      </c>
      <c r="L1605">
        <f>B1605*(hospitalityq!L1605="")</f>
        <v>0</v>
      </c>
      <c r="M1605">
        <f>B1605*(hospitalityq!M1605="")</f>
        <v>0</v>
      </c>
      <c r="N1605">
        <f>B1605*(hospitalityq!N1605="")</f>
        <v>0</v>
      </c>
      <c r="O1605">
        <f>B1605*(hospitalityq!O1605="")</f>
        <v>0</v>
      </c>
      <c r="P1605">
        <f>B1605*(hospitalityq!P1605="")</f>
        <v>0</v>
      </c>
      <c r="Q1605">
        <f>B1605*(hospitalityq!Q1605="")</f>
        <v>0</v>
      </c>
      <c r="R1605">
        <f>B1605*(hospitalityq!R1605="")</f>
        <v>0</v>
      </c>
    </row>
    <row r="1606" spans="1:18" x14ac:dyDescent="0.25">
      <c r="A1606">
        <f t="shared" ref="A1606:A1669" si="26">IFERROR(MATCH(TRUE,INDEX(C1606:R1606&lt;&gt;0,),)+2,0)</f>
        <v>0</v>
      </c>
      <c r="B1606" t="b">
        <f>SUMPRODUCT(LEN(hospitalityq!C1606:R1606))&gt;0</f>
        <v>0</v>
      </c>
      <c r="C1606">
        <f>B1606*(hospitalityq!C1606="")</f>
        <v>0</v>
      </c>
      <c r="E1606">
        <f>B1606*(hospitalityq!E1606="")</f>
        <v>0</v>
      </c>
      <c r="F1606">
        <f>B1606*(hospitalityq!F1606="")</f>
        <v>0</v>
      </c>
      <c r="G1606">
        <f>B1606*(hospitalityq!G1606="")</f>
        <v>0</v>
      </c>
      <c r="H1606">
        <f>B1606*(hospitalityq!H1606="")</f>
        <v>0</v>
      </c>
      <c r="I1606">
        <f>B1606*(hospitalityq!I1606="")</f>
        <v>0</v>
      </c>
      <c r="J1606">
        <f>B1606*(hospitalityq!J1606="")</f>
        <v>0</v>
      </c>
      <c r="K1606">
        <f>B1606*(hospitalityq!K1606="")</f>
        <v>0</v>
      </c>
      <c r="L1606">
        <f>B1606*(hospitalityq!L1606="")</f>
        <v>0</v>
      </c>
      <c r="M1606">
        <f>B1606*(hospitalityq!M1606="")</f>
        <v>0</v>
      </c>
      <c r="N1606">
        <f>B1606*(hospitalityq!N1606="")</f>
        <v>0</v>
      </c>
      <c r="O1606">
        <f>B1606*(hospitalityq!O1606="")</f>
        <v>0</v>
      </c>
      <c r="P1606">
        <f>B1606*(hospitalityq!P1606="")</f>
        <v>0</v>
      </c>
      <c r="Q1606">
        <f>B1606*(hospitalityq!Q1606="")</f>
        <v>0</v>
      </c>
      <c r="R1606">
        <f>B1606*(hospitalityq!R1606="")</f>
        <v>0</v>
      </c>
    </row>
    <row r="1607" spans="1:18" x14ac:dyDescent="0.25">
      <c r="A1607">
        <f t="shared" si="26"/>
        <v>0</v>
      </c>
      <c r="B1607" t="b">
        <f>SUMPRODUCT(LEN(hospitalityq!C1607:R1607))&gt;0</f>
        <v>0</v>
      </c>
      <c r="C1607">
        <f>B1607*(hospitalityq!C1607="")</f>
        <v>0</v>
      </c>
      <c r="E1607">
        <f>B1607*(hospitalityq!E1607="")</f>
        <v>0</v>
      </c>
      <c r="F1607">
        <f>B1607*(hospitalityq!F1607="")</f>
        <v>0</v>
      </c>
      <c r="G1607">
        <f>B1607*(hospitalityq!G1607="")</f>
        <v>0</v>
      </c>
      <c r="H1607">
        <f>B1607*(hospitalityq!H1607="")</f>
        <v>0</v>
      </c>
      <c r="I1607">
        <f>B1607*(hospitalityq!I1607="")</f>
        <v>0</v>
      </c>
      <c r="J1607">
        <f>B1607*(hospitalityq!J1607="")</f>
        <v>0</v>
      </c>
      <c r="K1607">
        <f>B1607*(hospitalityq!K1607="")</f>
        <v>0</v>
      </c>
      <c r="L1607">
        <f>B1607*(hospitalityq!L1607="")</f>
        <v>0</v>
      </c>
      <c r="M1607">
        <f>B1607*(hospitalityq!M1607="")</f>
        <v>0</v>
      </c>
      <c r="N1607">
        <f>B1607*(hospitalityq!N1607="")</f>
        <v>0</v>
      </c>
      <c r="O1607">
        <f>B1607*(hospitalityq!O1607="")</f>
        <v>0</v>
      </c>
      <c r="P1607">
        <f>B1607*(hospitalityq!P1607="")</f>
        <v>0</v>
      </c>
      <c r="Q1607">
        <f>B1607*(hospitalityq!Q1607="")</f>
        <v>0</v>
      </c>
      <c r="R1607">
        <f>B1607*(hospitalityq!R1607="")</f>
        <v>0</v>
      </c>
    </row>
    <row r="1608" spans="1:18" x14ac:dyDescent="0.25">
      <c r="A1608">
        <f t="shared" si="26"/>
        <v>0</v>
      </c>
      <c r="B1608" t="b">
        <f>SUMPRODUCT(LEN(hospitalityq!C1608:R1608))&gt;0</f>
        <v>0</v>
      </c>
      <c r="C1608">
        <f>B1608*(hospitalityq!C1608="")</f>
        <v>0</v>
      </c>
      <c r="E1608">
        <f>B1608*(hospitalityq!E1608="")</f>
        <v>0</v>
      </c>
      <c r="F1608">
        <f>B1608*(hospitalityq!F1608="")</f>
        <v>0</v>
      </c>
      <c r="G1608">
        <f>B1608*(hospitalityq!G1608="")</f>
        <v>0</v>
      </c>
      <c r="H1608">
        <f>B1608*(hospitalityq!H1608="")</f>
        <v>0</v>
      </c>
      <c r="I1608">
        <f>B1608*(hospitalityq!I1608="")</f>
        <v>0</v>
      </c>
      <c r="J1608">
        <f>B1608*(hospitalityq!J1608="")</f>
        <v>0</v>
      </c>
      <c r="K1608">
        <f>B1608*(hospitalityq!K1608="")</f>
        <v>0</v>
      </c>
      <c r="L1608">
        <f>B1608*(hospitalityq!L1608="")</f>
        <v>0</v>
      </c>
      <c r="M1608">
        <f>B1608*(hospitalityq!M1608="")</f>
        <v>0</v>
      </c>
      <c r="N1608">
        <f>B1608*(hospitalityq!N1608="")</f>
        <v>0</v>
      </c>
      <c r="O1608">
        <f>B1608*(hospitalityq!O1608="")</f>
        <v>0</v>
      </c>
      <c r="P1608">
        <f>B1608*(hospitalityq!P1608="")</f>
        <v>0</v>
      </c>
      <c r="Q1608">
        <f>B1608*(hospitalityq!Q1608="")</f>
        <v>0</v>
      </c>
      <c r="R1608">
        <f>B1608*(hospitalityq!R1608="")</f>
        <v>0</v>
      </c>
    </row>
    <row r="1609" spans="1:18" x14ac:dyDescent="0.25">
      <c r="A1609">
        <f t="shared" si="26"/>
        <v>0</v>
      </c>
      <c r="B1609" t="b">
        <f>SUMPRODUCT(LEN(hospitalityq!C1609:R1609))&gt;0</f>
        <v>0</v>
      </c>
      <c r="C1609">
        <f>B1609*(hospitalityq!C1609="")</f>
        <v>0</v>
      </c>
      <c r="E1609">
        <f>B1609*(hospitalityq!E1609="")</f>
        <v>0</v>
      </c>
      <c r="F1609">
        <f>B1609*(hospitalityq!F1609="")</f>
        <v>0</v>
      </c>
      <c r="G1609">
        <f>B1609*(hospitalityq!G1609="")</f>
        <v>0</v>
      </c>
      <c r="H1609">
        <f>B1609*(hospitalityq!H1609="")</f>
        <v>0</v>
      </c>
      <c r="I1609">
        <f>B1609*(hospitalityq!I1609="")</f>
        <v>0</v>
      </c>
      <c r="J1609">
        <f>B1609*(hospitalityq!J1609="")</f>
        <v>0</v>
      </c>
      <c r="K1609">
        <f>B1609*(hospitalityq!K1609="")</f>
        <v>0</v>
      </c>
      <c r="L1609">
        <f>B1609*(hospitalityq!L1609="")</f>
        <v>0</v>
      </c>
      <c r="M1609">
        <f>B1609*(hospitalityq!M1609="")</f>
        <v>0</v>
      </c>
      <c r="N1609">
        <f>B1609*(hospitalityq!N1609="")</f>
        <v>0</v>
      </c>
      <c r="O1609">
        <f>B1609*(hospitalityq!O1609="")</f>
        <v>0</v>
      </c>
      <c r="P1609">
        <f>B1609*(hospitalityq!P1609="")</f>
        <v>0</v>
      </c>
      <c r="Q1609">
        <f>B1609*(hospitalityq!Q1609="")</f>
        <v>0</v>
      </c>
      <c r="R1609">
        <f>B1609*(hospitalityq!R1609="")</f>
        <v>0</v>
      </c>
    </row>
    <row r="1610" spans="1:18" x14ac:dyDescent="0.25">
      <c r="A1610">
        <f t="shared" si="26"/>
        <v>0</v>
      </c>
      <c r="B1610" t="b">
        <f>SUMPRODUCT(LEN(hospitalityq!C1610:R1610))&gt;0</f>
        <v>0</v>
      </c>
      <c r="C1610">
        <f>B1610*(hospitalityq!C1610="")</f>
        <v>0</v>
      </c>
      <c r="E1610">
        <f>B1610*(hospitalityq!E1610="")</f>
        <v>0</v>
      </c>
      <c r="F1610">
        <f>B1610*(hospitalityq!F1610="")</f>
        <v>0</v>
      </c>
      <c r="G1610">
        <f>B1610*(hospitalityq!G1610="")</f>
        <v>0</v>
      </c>
      <c r="H1610">
        <f>B1610*(hospitalityq!H1610="")</f>
        <v>0</v>
      </c>
      <c r="I1610">
        <f>B1610*(hospitalityq!I1610="")</f>
        <v>0</v>
      </c>
      <c r="J1610">
        <f>B1610*(hospitalityq!J1610="")</f>
        <v>0</v>
      </c>
      <c r="K1610">
        <f>B1610*(hospitalityq!K1610="")</f>
        <v>0</v>
      </c>
      <c r="L1610">
        <f>B1610*(hospitalityq!L1610="")</f>
        <v>0</v>
      </c>
      <c r="M1610">
        <f>B1610*(hospitalityq!M1610="")</f>
        <v>0</v>
      </c>
      <c r="N1610">
        <f>B1610*(hospitalityq!N1610="")</f>
        <v>0</v>
      </c>
      <c r="O1610">
        <f>B1610*(hospitalityq!O1610="")</f>
        <v>0</v>
      </c>
      <c r="P1610">
        <f>B1610*(hospitalityq!P1610="")</f>
        <v>0</v>
      </c>
      <c r="Q1610">
        <f>B1610*(hospitalityq!Q1610="")</f>
        <v>0</v>
      </c>
      <c r="R1610">
        <f>B1610*(hospitalityq!R1610="")</f>
        <v>0</v>
      </c>
    </row>
    <row r="1611" spans="1:18" x14ac:dyDescent="0.25">
      <c r="A1611">
        <f t="shared" si="26"/>
        <v>0</v>
      </c>
      <c r="B1611" t="b">
        <f>SUMPRODUCT(LEN(hospitalityq!C1611:R1611))&gt;0</f>
        <v>0</v>
      </c>
      <c r="C1611">
        <f>B1611*(hospitalityq!C1611="")</f>
        <v>0</v>
      </c>
      <c r="E1611">
        <f>B1611*(hospitalityq!E1611="")</f>
        <v>0</v>
      </c>
      <c r="F1611">
        <f>B1611*(hospitalityq!F1611="")</f>
        <v>0</v>
      </c>
      <c r="G1611">
        <f>B1611*(hospitalityq!G1611="")</f>
        <v>0</v>
      </c>
      <c r="H1611">
        <f>B1611*(hospitalityq!H1611="")</f>
        <v>0</v>
      </c>
      <c r="I1611">
        <f>B1611*(hospitalityq!I1611="")</f>
        <v>0</v>
      </c>
      <c r="J1611">
        <f>B1611*(hospitalityq!J1611="")</f>
        <v>0</v>
      </c>
      <c r="K1611">
        <f>B1611*(hospitalityq!K1611="")</f>
        <v>0</v>
      </c>
      <c r="L1611">
        <f>B1611*(hospitalityq!L1611="")</f>
        <v>0</v>
      </c>
      <c r="M1611">
        <f>B1611*(hospitalityq!M1611="")</f>
        <v>0</v>
      </c>
      <c r="N1611">
        <f>B1611*(hospitalityq!N1611="")</f>
        <v>0</v>
      </c>
      <c r="O1611">
        <f>B1611*(hospitalityq!O1611="")</f>
        <v>0</v>
      </c>
      <c r="P1611">
        <f>B1611*(hospitalityq!P1611="")</f>
        <v>0</v>
      </c>
      <c r="Q1611">
        <f>B1611*(hospitalityq!Q1611="")</f>
        <v>0</v>
      </c>
      <c r="R1611">
        <f>B1611*(hospitalityq!R1611="")</f>
        <v>0</v>
      </c>
    </row>
    <row r="1612" spans="1:18" x14ac:dyDescent="0.25">
      <c r="A1612">
        <f t="shared" si="26"/>
        <v>0</v>
      </c>
      <c r="B1612" t="b">
        <f>SUMPRODUCT(LEN(hospitalityq!C1612:R1612))&gt;0</f>
        <v>0</v>
      </c>
      <c r="C1612">
        <f>B1612*(hospitalityq!C1612="")</f>
        <v>0</v>
      </c>
      <c r="E1612">
        <f>B1612*(hospitalityq!E1612="")</f>
        <v>0</v>
      </c>
      <c r="F1612">
        <f>B1612*(hospitalityq!F1612="")</f>
        <v>0</v>
      </c>
      <c r="G1612">
        <f>B1612*(hospitalityq!G1612="")</f>
        <v>0</v>
      </c>
      <c r="H1612">
        <f>B1612*(hospitalityq!H1612="")</f>
        <v>0</v>
      </c>
      <c r="I1612">
        <f>B1612*(hospitalityq!I1612="")</f>
        <v>0</v>
      </c>
      <c r="J1612">
        <f>B1612*(hospitalityq!J1612="")</f>
        <v>0</v>
      </c>
      <c r="K1612">
        <f>B1612*(hospitalityq!K1612="")</f>
        <v>0</v>
      </c>
      <c r="L1612">
        <f>B1612*(hospitalityq!L1612="")</f>
        <v>0</v>
      </c>
      <c r="M1612">
        <f>B1612*(hospitalityq!M1612="")</f>
        <v>0</v>
      </c>
      <c r="N1612">
        <f>B1612*(hospitalityq!N1612="")</f>
        <v>0</v>
      </c>
      <c r="O1612">
        <f>B1612*(hospitalityq!O1612="")</f>
        <v>0</v>
      </c>
      <c r="P1612">
        <f>B1612*(hospitalityq!P1612="")</f>
        <v>0</v>
      </c>
      <c r="Q1612">
        <f>B1612*(hospitalityq!Q1612="")</f>
        <v>0</v>
      </c>
      <c r="R1612">
        <f>B1612*(hospitalityq!R1612="")</f>
        <v>0</v>
      </c>
    </row>
    <row r="1613" spans="1:18" x14ac:dyDescent="0.25">
      <c r="A1613">
        <f t="shared" si="26"/>
        <v>0</v>
      </c>
      <c r="B1613" t="b">
        <f>SUMPRODUCT(LEN(hospitalityq!C1613:R1613))&gt;0</f>
        <v>0</v>
      </c>
      <c r="C1613">
        <f>B1613*(hospitalityq!C1613="")</f>
        <v>0</v>
      </c>
      <c r="E1613">
        <f>B1613*(hospitalityq!E1613="")</f>
        <v>0</v>
      </c>
      <c r="F1613">
        <f>B1613*(hospitalityq!F1613="")</f>
        <v>0</v>
      </c>
      <c r="G1613">
        <f>B1613*(hospitalityq!G1613="")</f>
        <v>0</v>
      </c>
      <c r="H1613">
        <f>B1613*(hospitalityq!H1613="")</f>
        <v>0</v>
      </c>
      <c r="I1613">
        <f>B1613*(hospitalityq!I1613="")</f>
        <v>0</v>
      </c>
      <c r="J1613">
        <f>B1613*(hospitalityq!J1613="")</f>
        <v>0</v>
      </c>
      <c r="K1613">
        <f>B1613*(hospitalityq!K1613="")</f>
        <v>0</v>
      </c>
      <c r="L1613">
        <f>B1613*(hospitalityq!L1613="")</f>
        <v>0</v>
      </c>
      <c r="M1613">
        <f>B1613*(hospitalityq!M1613="")</f>
        <v>0</v>
      </c>
      <c r="N1613">
        <f>B1613*(hospitalityq!N1613="")</f>
        <v>0</v>
      </c>
      <c r="O1613">
        <f>B1613*(hospitalityq!O1613="")</f>
        <v>0</v>
      </c>
      <c r="P1613">
        <f>B1613*(hospitalityq!P1613="")</f>
        <v>0</v>
      </c>
      <c r="Q1613">
        <f>B1613*(hospitalityq!Q1613="")</f>
        <v>0</v>
      </c>
      <c r="R1613">
        <f>B1613*(hospitalityq!R1613="")</f>
        <v>0</v>
      </c>
    </row>
    <row r="1614" spans="1:18" x14ac:dyDescent="0.25">
      <c r="A1614">
        <f t="shared" si="26"/>
        <v>0</v>
      </c>
      <c r="B1614" t="b">
        <f>SUMPRODUCT(LEN(hospitalityq!C1614:R1614))&gt;0</f>
        <v>0</v>
      </c>
      <c r="C1614">
        <f>B1614*(hospitalityq!C1614="")</f>
        <v>0</v>
      </c>
      <c r="E1614">
        <f>B1614*(hospitalityq!E1614="")</f>
        <v>0</v>
      </c>
      <c r="F1614">
        <f>B1614*(hospitalityq!F1614="")</f>
        <v>0</v>
      </c>
      <c r="G1614">
        <f>B1614*(hospitalityq!G1614="")</f>
        <v>0</v>
      </c>
      <c r="H1614">
        <f>B1614*(hospitalityq!H1614="")</f>
        <v>0</v>
      </c>
      <c r="I1614">
        <f>B1614*(hospitalityq!I1614="")</f>
        <v>0</v>
      </c>
      <c r="J1614">
        <f>B1614*(hospitalityq!J1614="")</f>
        <v>0</v>
      </c>
      <c r="K1614">
        <f>B1614*(hospitalityq!K1614="")</f>
        <v>0</v>
      </c>
      <c r="L1614">
        <f>B1614*(hospitalityq!L1614="")</f>
        <v>0</v>
      </c>
      <c r="M1614">
        <f>B1614*(hospitalityq!M1614="")</f>
        <v>0</v>
      </c>
      <c r="N1614">
        <f>B1614*(hospitalityq!N1614="")</f>
        <v>0</v>
      </c>
      <c r="O1614">
        <f>B1614*(hospitalityq!O1614="")</f>
        <v>0</v>
      </c>
      <c r="P1614">
        <f>B1614*(hospitalityq!P1614="")</f>
        <v>0</v>
      </c>
      <c r="Q1614">
        <f>B1614*(hospitalityq!Q1614="")</f>
        <v>0</v>
      </c>
      <c r="R1614">
        <f>B1614*(hospitalityq!R1614="")</f>
        <v>0</v>
      </c>
    </row>
    <row r="1615" spans="1:18" x14ac:dyDescent="0.25">
      <c r="A1615">
        <f t="shared" si="26"/>
        <v>0</v>
      </c>
      <c r="B1615" t="b">
        <f>SUMPRODUCT(LEN(hospitalityq!C1615:R1615))&gt;0</f>
        <v>0</v>
      </c>
      <c r="C1615">
        <f>B1615*(hospitalityq!C1615="")</f>
        <v>0</v>
      </c>
      <c r="E1615">
        <f>B1615*(hospitalityq!E1615="")</f>
        <v>0</v>
      </c>
      <c r="F1615">
        <f>B1615*(hospitalityq!F1615="")</f>
        <v>0</v>
      </c>
      <c r="G1615">
        <f>B1615*(hospitalityq!G1615="")</f>
        <v>0</v>
      </c>
      <c r="H1615">
        <f>B1615*(hospitalityq!H1615="")</f>
        <v>0</v>
      </c>
      <c r="I1615">
        <f>B1615*(hospitalityq!I1615="")</f>
        <v>0</v>
      </c>
      <c r="J1615">
        <f>B1615*(hospitalityq!J1615="")</f>
        <v>0</v>
      </c>
      <c r="K1615">
        <f>B1615*(hospitalityq!K1615="")</f>
        <v>0</v>
      </c>
      <c r="L1615">
        <f>B1615*(hospitalityq!L1615="")</f>
        <v>0</v>
      </c>
      <c r="M1615">
        <f>B1615*(hospitalityq!M1615="")</f>
        <v>0</v>
      </c>
      <c r="N1615">
        <f>B1615*(hospitalityq!N1615="")</f>
        <v>0</v>
      </c>
      <c r="O1615">
        <f>B1615*(hospitalityq!O1615="")</f>
        <v>0</v>
      </c>
      <c r="P1615">
        <f>B1615*(hospitalityq!P1615="")</f>
        <v>0</v>
      </c>
      <c r="Q1615">
        <f>B1615*(hospitalityq!Q1615="")</f>
        <v>0</v>
      </c>
      <c r="R1615">
        <f>B1615*(hospitalityq!R1615="")</f>
        <v>0</v>
      </c>
    </row>
    <row r="1616" spans="1:18" x14ac:dyDescent="0.25">
      <c r="A1616">
        <f t="shared" si="26"/>
        <v>0</v>
      </c>
      <c r="B1616" t="b">
        <f>SUMPRODUCT(LEN(hospitalityq!C1616:R1616))&gt;0</f>
        <v>0</v>
      </c>
      <c r="C1616">
        <f>B1616*(hospitalityq!C1616="")</f>
        <v>0</v>
      </c>
      <c r="E1616">
        <f>B1616*(hospitalityq!E1616="")</f>
        <v>0</v>
      </c>
      <c r="F1616">
        <f>B1616*(hospitalityq!F1616="")</f>
        <v>0</v>
      </c>
      <c r="G1616">
        <f>B1616*(hospitalityq!G1616="")</f>
        <v>0</v>
      </c>
      <c r="H1616">
        <f>B1616*(hospitalityq!H1616="")</f>
        <v>0</v>
      </c>
      <c r="I1616">
        <f>B1616*(hospitalityq!I1616="")</f>
        <v>0</v>
      </c>
      <c r="J1616">
        <f>B1616*(hospitalityq!J1616="")</f>
        <v>0</v>
      </c>
      <c r="K1616">
        <f>B1616*(hospitalityq!K1616="")</f>
        <v>0</v>
      </c>
      <c r="L1616">
        <f>B1616*(hospitalityq!L1616="")</f>
        <v>0</v>
      </c>
      <c r="M1616">
        <f>B1616*(hospitalityq!M1616="")</f>
        <v>0</v>
      </c>
      <c r="N1616">
        <f>B1616*(hospitalityq!N1616="")</f>
        <v>0</v>
      </c>
      <c r="O1616">
        <f>B1616*(hospitalityq!O1616="")</f>
        <v>0</v>
      </c>
      <c r="P1616">
        <f>B1616*(hospitalityq!P1616="")</f>
        <v>0</v>
      </c>
      <c r="Q1616">
        <f>B1616*(hospitalityq!Q1616="")</f>
        <v>0</v>
      </c>
      <c r="R1616">
        <f>B1616*(hospitalityq!R1616="")</f>
        <v>0</v>
      </c>
    </row>
    <row r="1617" spans="1:18" x14ac:dyDescent="0.25">
      <c r="A1617">
        <f t="shared" si="26"/>
        <v>0</v>
      </c>
      <c r="B1617" t="b">
        <f>SUMPRODUCT(LEN(hospitalityq!C1617:R1617))&gt;0</f>
        <v>0</v>
      </c>
      <c r="C1617">
        <f>B1617*(hospitalityq!C1617="")</f>
        <v>0</v>
      </c>
      <c r="E1617">
        <f>B1617*(hospitalityq!E1617="")</f>
        <v>0</v>
      </c>
      <c r="F1617">
        <f>B1617*(hospitalityq!F1617="")</f>
        <v>0</v>
      </c>
      <c r="G1617">
        <f>B1617*(hospitalityq!G1617="")</f>
        <v>0</v>
      </c>
      <c r="H1617">
        <f>B1617*(hospitalityq!H1617="")</f>
        <v>0</v>
      </c>
      <c r="I1617">
        <f>B1617*(hospitalityq!I1617="")</f>
        <v>0</v>
      </c>
      <c r="J1617">
        <f>B1617*(hospitalityq!J1617="")</f>
        <v>0</v>
      </c>
      <c r="K1617">
        <f>B1617*(hospitalityq!K1617="")</f>
        <v>0</v>
      </c>
      <c r="L1617">
        <f>B1617*(hospitalityq!L1617="")</f>
        <v>0</v>
      </c>
      <c r="M1617">
        <f>B1617*(hospitalityq!M1617="")</f>
        <v>0</v>
      </c>
      <c r="N1617">
        <f>B1617*(hospitalityq!N1617="")</f>
        <v>0</v>
      </c>
      <c r="O1617">
        <f>B1617*(hospitalityq!O1617="")</f>
        <v>0</v>
      </c>
      <c r="P1617">
        <f>B1617*(hospitalityq!P1617="")</f>
        <v>0</v>
      </c>
      <c r="Q1617">
        <f>B1617*(hospitalityq!Q1617="")</f>
        <v>0</v>
      </c>
      <c r="R1617">
        <f>B1617*(hospitalityq!R1617="")</f>
        <v>0</v>
      </c>
    </row>
    <row r="1618" spans="1:18" x14ac:dyDescent="0.25">
      <c r="A1618">
        <f t="shared" si="26"/>
        <v>0</v>
      </c>
      <c r="B1618" t="b">
        <f>SUMPRODUCT(LEN(hospitalityq!C1618:R1618))&gt;0</f>
        <v>0</v>
      </c>
      <c r="C1618">
        <f>B1618*(hospitalityq!C1618="")</f>
        <v>0</v>
      </c>
      <c r="E1618">
        <f>B1618*(hospitalityq!E1618="")</f>
        <v>0</v>
      </c>
      <c r="F1618">
        <f>B1618*(hospitalityq!F1618="")</f>
        <v>0</v>
      </c>
      <c r="G1618">
        <f>B1618*(hospitalityq!G1618="")</f>
        <v>0</v>
      </c>
      <c r="H1618">
        <f>B1618*(hospitalityq!H1618="")</f>
        <v>0</v>
      </c>
      <c r="I1618">
        <f>B1618*(hospitalityq!I1618="")</f>
        <v>0</v>
      </c>
      <c r="J1618">
        <f>B1618*(hospitalityq!J1618="")</f>
        <v>0</v>
      </c>
      <c r="K1618">
        <f>B1618*(hospitalityq!K1618="")</f>
        <v>0</v>
      </c>
      <c r="L1618">
        <f>B1618*(hospitalityq!L1618="")</f>
        <v>0</v>
      </c>
      <c r="M1618">
        <f>B1618*(hospitalityq!M1618="")</f>
        <v>0</v>
      </c>
      <c r="N1618">
        <f>B1618*(hospitalityq!N1618="")</f>
        <v>0</v>
      </c>
      <c r="O1618">
        <f>B1618*(hospitalityq!O1618="")</f>
        <v>0</v>
      </c>
      <c r="P1618">
        <f>B1618*(hospitalityq!P1618="")</f>
        <v>0</v>
      </c>
      <c r="Q1618">
        <f>B1618*(hospitalityq!Q1618="")</f>
        <v>0</v>
      </c>
      <c r="R1618">
        <f>B1618*(hospitalityq!R1618="")</f>
        <v>0</v>
      </c>
    </row>
    <row r="1619" spans="1:18" x14ac:dyDescent="0.25">
      <c r="A1619">
        <f t="shared" si="26"/>
        <v>0</v>
      </c>
      <c r="B1619" t="b">
        <f>SUMPRODUCT(LEN(hospitalityq!C1619:R1619))&gt;0</f>
        <v>0</v>
      </c>
      <c r="C1619">
        <f>B1619*(hospitalityq!C1619="")</f>
        <v>0</v>
      </c>
      <c r="E1619">
        <f>B1619*(hospitalityq!E1619="")</f>
        <v>0</v>
      </c>
      <c r="F1619">
        <f>B1619*(hospitalityq!F1619="")</f>
        <v>0</v>
      </c>
      <c r="G1619">
        <f>B1619*(hospitalityq!G1619="")</f>
        <v>0</v>
      </c>
      <c r="H1619">
        <f>B1619*(hospitalityq!H1619="")</f>
        <v>0</v>
      </c>
      <c r="I1619">
        <f>B1619*(hospitalityq!I1619="")</f>
        <v>0</v>
      </c>
      <c r="J1619">
        <f>B1619*(hospitalityq!J1619="")</f>
        <v>0</v>
      </c>
      <c r="K1619">
        <f>B1619*(hospitalityq!K1619="")</f>
        <v>0</v>
      </c>
      <c r="L1619">
        <f>B1619*(hospitalityq!L1619="")</f>
        <v>0</v>
      </c>
      <c r="M1619">
        <f>B1619*(hospitalityq!M1619="")</f>
        <v>0</v>
      </c>
      <c r="N1619">
        <f>B1619*(hospitalityq!N1619="")</f>
        <v>0</v>
      </c>
      <c r="O1619">
        <f>B1619*(hospitalityq!O1619="")</f>
        <v>0</v>
      </c>
      <c r="P1619">
        <f>B1619*(hospitalityq!P1619="")</f>
        <v>0</v>
      </c>
      <c r="Q1619">
        <f>B1619*(hospitalityq!Q1619="")</f>
        <v>0</v>
      </c>
      <c r="R1619">
        <f>B1619*(hospitalityq!R1619="")</f>
        <v>0</v>
      </c>
    </row>
    <row r="1620" spans="1:18" x14ac:dyDescent="0.25">
      <c r="A1620">
        <f t="shared" si="26"/>
        <v>0</v>
      </c>
      <c r="B1620" t="b">
        <f>SUMPRODUCT(LEN(hospitalityq!C1620:R1620))&gt;0</f>
        <v>0</v>
      </c>
      <c r="C1620">
        <f>B1620*(hospitalityq!C1620="")</f>
        <v>0</v>
      </c>
      <c r="E1620">
        <f>B1620*(hospitalityq!E1620="")</f>
        <v>0</v>
      </c>
      <c r="F1620">
        <f>B1620*(hospitalityq!F1620="")</f>
        <v>0</v>
      </c>
      <c r="G1620">
        <f>B1620*(hospitalityq!G1620="")</f>
        <v>0</v>
      </c>
      <c r="H1620">
        <f>B1620*(hospitalityq!H1620="")</f>
        <v>0</v>
      </c>
      <c r="I1620">
        <f>B1620*(hospitalityq!I1620="")</f>
        <v>0</v>
      </c>
      <c r="J1620">
        <f>B1620*(hospitalityq!J1620="")</f>
        <v>0</v>
      </c>
      <c r="K1620">
        <f>B1620*(hospitalityq!K1620="")</f>
        <v>0</v>
      </c>
      <c r="L1620">
        <f>B1620*(hospitalityq!L1620="")</f>
        <v>0</v>
      </c>
      <c r="M1620">
        <f>B1620*(hospitalityq!M1620="")</f>
        <v>0</v>
      </c>
      <c r="N1620">
        <f>B1620*(hospitalityq!N1620="")</f>
        <v>0</v>
      </c>
      <c r="O1620">
        <f>B1620*(hospitalityq!O1620="")</f>
        <v>0</v>
      </c>
      <c r="P1620">
        <f>B1620*(hospitalityq!P1620="")</f>
        <v>0</v>
      </c>
      <c r="Q1620">
        <f>B1620*(hospitalityq!Q1620="")</f>
        <v>0</v>
      </c>
      <c r="R1620">
        <f>B1620*(hospitalityq!R1620="")</f>
        <v>0</v>
      </c>
    </row>
    <row r="1621" spans="1:18" x14ac:dyDescent="0.25">
      <c r="A1621">
        <f t="shared" si="26"/>
        <v>0</v>
      </c>
      <c r="B1621" t="b">
        <f>SUMPRODUCT(LEN(hospitalityq!C1621:R1621))&gt;0</f>
        <v>0</v>
      </c>
      <c r="C1621">
        <f>B1621*(hospitalityq!C1621="")</f>
        <v>0</v>
      </c>
      <c r="E1621">
        <f>B1621*(hospitalityq!E1621="")</f>
        <v>0</v>
      </c>
      <c r="F1621">
        <f>B1621*(hospitalityq!F1621="")</f>
        <v>0</v>
      </c>
      <c r="G1621">
        <f>B1621*(hospitalityq!G1621="")</f>
        <v>0</v>
      </c>
      <c r="H1621">
        <f>B1621*(hospitalityq!H1621="")</f>
        <v>0</v>
      </c>
      <c r="I1621">
        <f>B1621*(hospitalityq!I1621="")</f>
        <v>0</v>
      </c>
      <c r="J1621">
        <f>B1621*(hospitalityq!J1621="")</f>
        <v>0</v>
      </c>
      <c r="K1621">
        <f>B1621*(hospitalityq!K1621="")</f>
        <v>0</v>
      </c>
      <c r="L1621">
        <f>B1621*(hospitalityq!L1621="")</f>
        <v>0</v>
      </c>
      <c r="M1621">
        <f>B1621*(hospitalityq!M1621="")</f>
        <v>0</v>
      </c>
      <c r="N1621">
        <f>B1621*(hospitalityq!N1621="")</f>
        <v>0</v>
      </c>
      <c r="O1621">
        <f>B1621*(hospitalityq!O1621="")</f>
        <v>0</v>
      </c>
      <c r="P1621">
        <f>B1621*(hospitalityq!P1621="")</f>
        <v>0</v>
      </c>
      <c r="Q1621">
        <f>B1621*(hospitalityq!Q1621="")</f>
        <v>0</v>
      </c>
      <c r="R1621">
        <f>B1621*(hospitalityq!R1621="")</f>
        <v>0</v>
      </c>
    </row>
    <row r="1622" spans="1:18" x14ac:dyDescent="0.25">
      <c r="A1622">
        <f t="shared" si="26"/>
        <v>0</v>
      </c>
      <c r="B1622" t="b">
        <f>SUMPRODUCT(LEN(hospitalityq!C1622:R1622))&gt;0</f>
        <v>0</v>
      </c>
      <c r="C1622">
        <f>B1622*(hospitalityq!C1622="")</f>
        <v>0</v>
      </c>
      <c r="E1622">
        <f>B1622*(hospitalityq!E1622="")</f>
        <v>0</v>
      </c>
      <c r="F1622">
        <f>B1622*(hospitalityq!F1622="")</f>
        <v>0</v>
      </c>
      <c r="G1622">
        <f>B1622*(hospitalityq!G1622="")</f>
        <v>0</v>
      </c>
      <c r="H1622">
        <f>B1622*(hospitalityq!H1622="")</f>
        <v>0</v>
      </c>
      <c r="I1622">
        <f>B1622*(hospitalityq!I1622="")</f>
        <v>0</v>
      </c>
      <c r="J1622">
        <f>B1622*(hospitalityq!J1622="")</f>
        <v>0</v>
      </c>
      <c r="K1622">
        <f>B1622*(hospitalityq!K1622="")</f>
        <v>0</v>
      </c>
      <c r="L1622">
        <f>B1622*(hospitalityq!L1622="")</f>
        <v>0</v>
      </c>
      <c r="M1622">
        <f>B1622*(hospitalityq!M1622="")</f>
        <v>0</v>
      </c>
      <c r="N1622">
        <f>B1622*(hospitalityq!N1622="")</f>
        <v>0</v>
      </c>
      <c r="O1622">
        <f>B1622*(hospitalityq!O1622="")</f>
        <v>0</v>
      </c>
      <c r="P1622">
        <f>B1622*(hospitalityq!P1622="")</f>
        <v>0</v>
      </c>
      <c r="Q1622">
        <f>B1622*(hospitalityq!Q1622="")</f>
        <v>0</v>
      </c>
      <c r="R1622">
        <f>B1622*(hospitalityq!R1622="")</f>
        <v>0</v>
      </c>
    </row>
    <row r="1623" spans="1:18" x14ac:dyDescent="0.25">
      <c r="A1623">
        <f t="shared" si="26"/>
        <v>0</v>
      </c>
      <c r="B1623" t="b">
        <f>SUMPRODUCT(LEN(hospitalityq!C1623:R1623))&gt;0</f>
        <v>0</v>
      </c>
      <c r="C1623">
        <f>B1623*(hospitalityq!C1623="")</f>
        <v>0</v>
      </c>
      <c r="E1623">
        <f>B1623*(hospitalityq!E1623="")</f>
        <v>0</v>
      </c>
      <c r="F1623">
        <f>B1623*(hospitalityq!F1623="")</f>
        <v>0</v>
      </c>
      <c r="G1623">
        <f>B1623*(hospitalityq!G1623="")</f>
        <v>0</v>
      </c>
      <c r="H1623">
        <f>B1623*(hospitalityq!H1623="")</f>
        <v>0</v>
      </c>
      <c r="I1623">
        <f>B1623*(hospitalityq!I1623="")</f>
        <v>0</v>
      </c>
      <c r="J1623">
        <f>B1623*(hospitalityq!J1623="")</f>
        <v>0</v>
      </c>
      <c r="K1623">
        <f>B1623*(hospitalityq!K1623="")</f>
        <v>0</v>
      </c>
      <c r="L1623">
        <f>B1623*(hospitalityq!L1623="")</f>
        <v>0</v>
      </c>
      <c r="M1623">
        <f>B1623*(hospitalityq!M1623="")</f>
        <v>0</v>
      </c>
      <c r="N1623">
        <f>B1623*(hospitalityq!N1623="")</f>
        <v>0</v>
      </c>
      <c r="O1623">
        <f>B1623*(hospitalityq!O1623="")</f>
        <v>0</v>
      </c>
      <c r="P1623">
        <f>B1623*(hospitalityq!P1623="")</f>
        <v>0</v>
      </c>
      <c r="Q1623">
        <f>B1623*(hospitalityq!Q1623="")</f>
        <v>0</v>
      </c>
      <c r="R1623">
        <f>B1623*(hospitalityq!R1623="")</f>
        <v>0</v>
      </c>
    </row>
    <row r="1624" spans="1:18" x14ac:dyDescent="0.25">
      <c r="A1624">
        <f t="shared" si="26"/>
        <v>0</v>
      </c>
      <c r="B1624" t="b">
        <f>SUMPRODUCT(LEN(hospitalityq!C1624:R1624))&gt;0</f>
        <v>0</v>
      </c>
      <c r="C1624">
        <f>B1624*(hospitalityq!C1624="")</f>
        <v>0</v>
      </c>
      <c r="E1624">
        <f>B1624*(hospitalityq!E1624="")</f>
        <v>0</v>
      </c>
      <c r="F1624">
        <f>B1624*(hospitalityq!F1624="")</f>
        <v>0</v>
      </c>
      <c r="G1624">
        <f>B1624*(hospitalityq!G1624="")</f>
        <v>0</v>
      </c>
      <c r="H1624">
        <f>B1624*(hospitalityq!H1624="")</f>
        <v>0</v>
      </c>
      <c r="I1624">
        <f>B1624*(hospitalityq!I1624="")</f>
        <v>0</v>
      </c>
      <c r="J1624">
        <f>B1624*(hospitalityq!J1624="")</f>
        <v>0</v>
      </c>
      <c r="K1624">
        <f>B1624*(hospitalityq!K1624="")</f>
        <v>0</v>
      </c>
      <c r="L1624">
        <f>B1624*(hospitalityq!L1624="")</f>
        <v>0</v>
      </c>
      <c r="M1624">
        <f>B1624*(hospitalityq!M1624="")</f>
        <v>0</v>
      </c>
      <c r="N1624">
        <f>B1624*(hospitalityq!N1624="")</f>
        <v>0</v>
      </c>
      <c r="O1624">
        <f>B1624*(hospitalityq!O1624="")</f>
        <v>0</v>
      </c>
      <c r="P1624">
        <f>B1624*(hospitalityq!P1624="")</f>
        <v>0</v>
      </c>
      <c r="Q1624">
        <f>B1624*(hospitalityq!Q1624="")</f>
        <v>0</v>
      </c>
      <c r="R1624">
        <f>B1624*(hospitalityq!R1624="")</f>
        <v>0</v>
      </c>
    </row>
    <row r="1625" spans="1:18" x14ac:dyDescent="0.25">
      <c r="A1625">
        <f t="shared" si="26"/>
        <v>0</v>
      </c>
      <c r="B1625" t="b">
        <f>SUMPRODUCT(LEN(hospitalityq!C1625:R1625))&gt;0</f>
        <v>0</v>
      </c>
      <c r="C1625">
        <f>B1625*(hospitalityq!C1625="")</f>
        <v>0</v>
      </c>
      <c r="E1625">
        <f>B1625*(hospitalityq!E1625="")</f>
        <v>0</v>
      </c>
      <c r="F1625">
        <f>B1625*(hospitalityq!F1625="")</f>
        <v>0</v>
      </c>
      <c r="G1625">
        <f>B1625*(hospitalityq!G1625="")</f>
        <v>0</v>
      </c>
      <c r="H1625">
        <f>B1625*(hospitalityq!H1625="")</f>
        <v>0</v>
      </c>
      <c r="I1625">
        <f>B1625*(hospitalityq!I1625="")</f>
        <v>0</v>
      </c>
      <c r="J1625">
        <f>B1625*(hospitalityq!J1625="")</f>
        <v>0</v>
      </c>
      <c r="K1625">
        <f>B1625*(hospitalityq!K1625="")</f>
        <v>0</v>
      </c>
      <c r="L1625">
        <f>B1625*(hospitalityq!L1625="")</f>
        <v>0</v>
      </c>
      <c r="M1625">
        <f>B1625*(hospitalityq!M1625="")</f>
        <v>0</v>
      </c>
      <c r="N1625">
        <f>B1625*(hospitalityq!N1625="")</f>
        <v>0</v>
      </c>
      <c r="O1625">
        <f>B1625*(hospitalityq!O1625="")</f>
        <v>0</v>
      </c>
      <c r="P1625">
        <f>B1625*(hospitalityq!P1625="")</f>
        <v>0</v>
      </c>
      <c r="Q1625">
        <f>B1625*(hospitalityq!Q1625="")</f>
        <v>0</v>
      </c>
      <c r="R1625">
        <f>B1625*(hospitalityq!R1625="")</f>
        <v>0</v>
      </c>
    </row>
    <row r="1626" spans="1:18" x14ac:dyDescent="0.25">
      <c r="A1626">
        <f t="shared" si="26"/>
        <v>0</v>
      </c>
      <c r="B1626" t="b">
        <f>SUMPRODUCT(LEN(hospitalityq!C1626:R1626))&gt;0</f>
        <v>0</v>
      </c>
      <c r="C1626">
        <f>B1626*(hospitalityq!C1626="")</f>
        <v>0</v>
      </c>
      <c r="E1626">
        <f>B1626*(hospitalityq!E1626="")</f>
        <v>0</v>
      </c>
      <c r="F1626">
        <f>B1626*(hospitalityq!F1626="")</f>
        <v>0</v>
      </c>
      <c r="G1626">
        <f>B1626*(hospitalityq!G1626="")</f>
        <v>0</v>
      </c>
      <c r="H1626">
        <f>B1626*(hospitalityq!H1626="")</f>
        <v>0</v>
      </c>
      <c r="I1626">
        <f>B1626*(hospitalityq!I1626="")</f>
        <v>0</v>
      </c>
      <c r="J1626">
        <f>B1626*(hospitalityq!J1626="")</f>
        <v>0</v>
      </c>
      <c r="K1626">
        <f>B1626*(hospitalityq!K1626="")</f>
        <v>0</v>
      </c>
      <c r="L1626">
        <f>B1626*(hospitalityq!L1626="")</f>
        <v>0</v>
      </c>
      <c r="M1626">
        <f>B1626*(hospitalityq!M1626="")</f>
        <v>0</v>
      </c>
      <c r="N1626">
        <f>B1626*(hospitalityq!N1626="")</f>
        <v>0</v>
      </c>
      <c r="O1626">
        <f>B1626*(hospitalityq!O1626="")</f>
        <v>0</v>
      </c>
      <c r="P1626">
        <f>B1626*(hospitalityq!P1626="")</f>
        <v>0</v>
      </c>
      <c r="Q1626">
        <f>B1626*(hospitalityq!Q1626="")</f>
        <v>0</v>
      </c>
      <c r="R1626">
        <f>B1626*(hospitalityq!R1626="")</f>
        <v>0</v>
      </c>
    </row>
    <row r="1627" spans="1:18" x14ac:dyDescent="0.25">
      <c r="A1627">
        <f t="shared" si="26"/>
        <v>0</v>
      </c>
      <c r="B1627" t="b">
        <f>SUMPRODUCT(LEN(hospitalityq!C1627:R1627))&gt;0</f>
        <v>0</v>
      </c>
      <c r="C1627">
        <f>B1627*(hospitalityq!C1627="")</f>
        <v>0</v>
      </c>
      <c r="E1627">
        <f>B1627*(hospitalityq!E1627="")</f>
        <v>0</v>
      </c>
      <c r="F1627">
        <f>B1627*(hospitalityq!F1627="")</f>
        <v>0</v>
      </c>
      <c r="G1627">
        <f>B1627*(hospitalityq!G1627="")</f>
        <v>0</v>
      </c>
      <c r="H1627">
        <f>B1627*(hospitalityq!H1627="")</f>
        <v>0</v>
      </c>
      <c r="I1627">
        <f>B1627*(hospitalityq!I1627="")</f>
        <v>0</v>
      </c>
      <c r="J1627">
        <f>B1627*(hospitalityq!J1627="")</f>
        <v>0</v>
      </c>
      <c r="K1627">
        <f>B1627*(hospitalityq!K1627="")</f>
        <v>0</v>
      </c>
      <c r="L1627">
        <f>B1627*(hospitalityq!L1627="")</f>
        <v>0</v>
      </c>
      <c r="M1627">
        <f>B1627*(hospitalityq!M1627="")</f>
        <v>0</v>
      </c>
      <c r="N1627">
        <f>B1627*(hospitalityq!N1627="")</f>
        <v>0</v>
      </c>
      <c r="O1627">
        <f>B1627*(hospitalityq!O1627="")</f>
        <v>0</v>
      </c>
      <c r="P1627">
        <f>B1627*(hospitalityq!P1627="")</f>
        <v>0</v>
      </c>
      <c r="Q1627">
        <f>B1627*(hospitalityq!Q1627="")</f>
        <v>0</v>
      </c>
      <c r="R1627">
        <f>B1627*(hospitalityq!R1627="")</f>
        <v>0</v>
      </c>
    </row>
    <row r="1628" spans="1:18" x14ac:dyDescent="0.25">
      <c r="A1628">
        <f t="shared" si="26"/>
        <v>0</v>
      </c>
      <c r="B1628" t="b">
        <f>SUMPRODUCT(LEN(hospitalityq!C1628:R1628))&gt;0</f>
        <v>0</v>
      </c>
      <c r="C1628">
        <f>B1628*(hospitalityq!C1628="")</f>
        <v>0</v>
      </c>
      <c r="E1628">
        <f>B1628*(hospitalityq!E1628="")</f>
        <v>0</v>
      </c>
      <c r="F1628">
        <f>B1628*(hospitalityq!F1628="")</f>
        <v>0</v>
      </c>
      <c r="G1628">
        <f>B1628*(hospitalityq!G1628="")</f>
        <v>0</v>
      </c>
      <c r="H1628">
        <f>B1628*(hospitalityq!H1628="")</f>
        <v>0</v>
      </c>
      <c r="I1628">
        <f>B1628*(hospitalityq!I1628="")</f>
        <v>0</v>
      </c>
      <c r="J1628">
        <f>B1628*(hospitalityq!J1628="")</f>
        <v>0</v>
      </c>
      <c r="K1628">
        <f>B1628*(hospitalityq!K1628="")</f>
        <v>0</v>
      </c>
      <c r="L1628">
        <f>B1628*(hospitalityq!L1628="")</f>
        <v>0</v>
      </c>
      <c r="M1628">
        <f>B1628*(hospitalityq!M1628="")</f>
        <v>0</v>
      </c>
      <c r="N1628">
        <f>B1628*(hospitalityq!N1628="")</f>
        <v>0</v>
      </c>
      <c r="O1628">
        <f>B1628*(hospitalityq!O1628="")</f>
        <v>0</v>
      </c>
      <c r="P1628">
        <f>B1628*(hospitalityq!P1628="")</f>
        <v>0</v>
      </c>
      <c r="Q1628">
        <f>B1628*(hospitalityq!Q1628="")</f>
        <v>0</v>
      </c>
      <c r="R1628">
        <f>B1628*(hospitalityq!R1628="")</f>
        <v>0</v>
      </c>
    </row>
    <row r="1629" spans="1:18" x14ac:dyDescent="0.25">
      <c r="A1629">
        <f t="shared" si="26"/>
        <v>0</v>
      </c>
      <c r="B1629" t="b">
        <f>SUMPRODUCT(LEN(hospitalityq!C1629:R1629))&gt;0</f>
        <v>0</v>
      </c>
      <c r="C1629">
        <f>B1629*(hospitalityq!C1629="")</f>
        <v>0</v>
      </c>
      <c r="E1629">
        <f>B1629*(hospitalityq!E1629="")</f>
        <v>0</v>
      </c>
      <c r="F1629">
        <f>B1629*(hospitalityq!F1629="")</f>
        <v>0</v>
      </c>
      <c r="G1629">
        <f>B1629*(hospitalityq!G1629="")</f>
        <v>0</v>
      </c>
      <c r="H1629">
        <f>B1629*(hospitalityq!H1629="")</f>
        <v>0</v>
      </c>
      <c r="I1629">
        <f>B1629*(hospitalityq!I1629="")</f>
        <v>0</v>
      </c>
      <c r="J1629">
        <f>B1629*(hospitalityq!J1629="")</f>
        <v>0</v>
      </c>
      <c r="K1629">
        <f>B1629*(hospitalityq!K1629="")</f>
        <v>0</v>
      </c>
      <c r="L1629">
        <f>B1629*(hospitalityq!L1629="")</f>
        <v>0</v>
      </c>
      <c r="M1629">
        <f>B1629*(hospitalityq!M1629="")</f>
        <v>0</v>
      </c>
      <c r="N1629">
        <f>B1629*(hospitalityq!N1629="")</f>
        <v>0</v>
      </c>
      <c r="O1629">
        <f>B1629*(hospitalityq!O1629="")</f>
        <v>0</v>
      </c>
      <c r="P1629">
        <f>B1629*(hospitalityq!P1629="")</f>
        <v>0</v>
      </c>
      <c r="Q1629">
        <f>B1629*(hospitalityq!Q1629="")</f>
        <v>0</v>
      </c>
      <c r="R1629">
        <f>B1629*(hospitalityq!R1629="")</f>
        <v>0</v>
      </c>
    </row>
    <row r="1630" spans="1:18" x14ac:dyDescent="0.25">
      <c r="A1630">
        <f t="shared" si="26"/>
        <v>0</v>
      </c>
      <c r="B1630" t="b">
        <f>SUMPRODUCT(LEN(hospitalityq!C1630:R1630))&gt;0</f>
        <v>0</v>
      </c>
      <c r="C1630">
        <f>B1630*(hospitalityq!C1630="")</f>
        <v>0</v>
      </c>
      <c r="E1630">
        <f>B1630*(hospitalityq!E1630="")</f>
        <v>0</v>
      </c>
      <c r="F1630">
        <f>B1630*(hospitalityq!F1630="")</f>
        <v>0</v>
      </c>
      <c r="G1630">
        <f>B1630*(hospitalityq!G1630="")</f>
        <v>0</v>
      </c>
      <c r="H1630">
        <f>B1630*(hospitalityq!H1630="")</f>
        <v>0</v>
      </c>
      <c r="I1630">
        <f>B1630*(hospitalityq!I1630="")</f>
        <v>0</v>
      </c>
      <c r="J1630">
        <f>B1630*(hospitalityq!J1630="")</f>
        <v>0</v>
      </c>
      <c r="K1630">
        <f>B1630*(hospitalityq!K1630="")</f>
        <v>0</v>
      </c>
      <c r="L1630">
        <f>B1630*(hospitalityq!L1630="")</f>
        <v>0</v>
      </c>
      <c r="M1630">
        <f>B1630*(hospitalityq!M1630="")</f>
        <v>0</v>
      </c>
      <c r="N1630">
        <f>B1630*(hospitalityq!N1630="")</f>
        <v>0</v>
      </c>
      <c r="O1630">
        <f>B1630*(hospitalityq!O1630="")</f>
        <v>0</v>
      </c>
      <c r="P1630">
        <f>B1630*(hospitalityq!P1630="")</f>
        <v>0</v>
      </c>
      <c r="Q1630">
        <f>B1630*(hospitalityq!Q1630="")</f>
        <v>0</v>
      </c>
      <c r="R1630">
        <f>B1630*(hospitalityq!R1630="")</f>
        <v>0</v>
      </c>
    </row>
    <row r="1631" spans="1:18" x14ac:dyDescent="0.25">
      <c r="A1631">
        <f t="shared" si="26"/>
        <v>0</v>
      </c>
      <c r="B1631" t="b">
        <f>SUMPRODUCT(LEN(hospitalityq!C1631:R1631))&gt;0</f>
        <v>0</v>
      </c>
      <c r="C1631">
        <f>B1631*(hospitalityq!C1631="")</f>
        <v>0</v>
      </c>
      <c r="E1631">
        <f>B1631*(hospitalityq!E1631="")</f>
        <v>0</v>
      </c>
      <c r="F1631">
        <f>B1631*(hospitalityq!F1631="")</f>
        <v>0</v>
      </c>
      <c r="G1631">
        <f>B1631*(hospitalityq!G1631="")</f>
        <v>0</v>
      </c>
      <c r="H1631">
        <f>B1631*(hospitalityq!H1631="")</f>
        <v>0</v>
      </c>
      <c r="I1631">
        <f>B1631*(hospitalityq!I1631="")</f>
        <v>0</v>
      </c>
      <c r="J1631">
        <f>B1631*(hospitalityq!J1631="")</f>
        <v>0</v>
      </c>
      <c r="K1631">
        <f>B1631*(hospitalityq!K1631="")</f>
        <v>0</v>
      </c>
      <c r="L1631">
        <f>B1631*(hospitalityq!L1631="")</f>
        <v>0</v>
      </c>
      <c r="M1631">
        <f>B1631*(hospitalityq!M1631="")</f>
        <v>0</v>
      </c>
      <c r="N1631">
        <f>B1631*(hospitalityq!N1631="")</f>
        <v>0</v>
      </c>
      <c r="O1631">
        <f>B1631*(hospitalityq!O1631="")</f>
        <v>0</v>
      </c>
      <c r="P1631">
        <f>B1631*(hospitalityq!P1631="")</f>
        <v>0</v>
      </c>
      <c r="Q1631">
        <f>B1631*(hospitalityq!Q1631="")</f>
        <v>0</v>
      </c>
      <c r="R1631">
        <f>B1631*(hospitalityq!R1631="")</f>
        <v>0</v>
      </c>
    </row>
    <row r="1632" spans="1:18" x14ac:dyDescent="0.25">
      <c r="A1632">
        <f t="shared" si="26"/>
        <v>0</v>
      </c>
      <c r="B1632" t="b">
        <f>SUMPRODUCT(LEN(hospitalityq!C1632:R1632))&gt;0</f>
        <v>0</v>
      </c>
      <c r="C1632">
        <f>B1632*(hospitalityq!C1632="")</f>
        <v>0</v>
      </c>
      <c r="E1632">
        <f>B1632*(hospitalityq!E1632="")</f>
        <v>0</v>
      </c>
      <c r="F1632">
        <f>B1632*(hospitalityq!F1632="")</f>
        <v>0</v>
      </c>
      <c r="G1632">
        <f>B1632*(hospitalityq!G1632="")</f>
        <v>0</v>
      </c>
      <c r="H1632">
        <f>B1632*(hospitalityq!H1632="")</f>
        <v>0</v>
      </c>
      <c r="I1632">
        <f>B1632*(hospitalityq!I1632="")</f>
        <v>0</v>
      </c>
      <c r="J1632">
        <f>B1632*(hospitalityq!J1632="")</f>
        <v>0</v>
      </c>
      <c r="K1632">
        <f>B1632*(hospitalityq!K1632="")</f>
        <v>0</v>
      </c>
      <c r="L1632">
        <f>B1632*(hospitalityq!L1632="")</f>
        <v>0</v>
      </c>
      <c r="M1632">
        <f>B1632*(hospitalityq!M1632="")</f>
        <v>0</v>
      </c>
      <c r="N1632">
        <f>B1632*(hospitalityq!N1632="")</f>
        <v>0</v>
      </c>
      <c r="O1632">
        <f>B1632*(hospitalityq!O1632="")</f>
        <v>0</v>
      </c>
      <c r="P1632">
        <f>B1632*(hospitalityq!P1632="")</f>
        <v>0</v>
      </c>
      <c r="Q1632">
        <f>B1632*(hospitalityq!Q1632="")</f>
        <v>0</v>
      </c>
      <c r="R1632">
        <f>B1632*(hospitalityq!R1632="")</f>
        <v>0</v>
      </c>
    </row>
    <row r="1633" spans="1:18" x14ac:dyDescent="0.25">
      <c r="A1633">
        <f t="shared" si="26"/>
        <v>0</v>
      </c>
      <c r="B1633" t="b">
        <f>SUMPRODUCT(LEN(hospitalityq!C1633:R1633))&gt;0</f>
        <v>0</v>
      </c>
      <c r="C1633">
        <f>B1633*(hospitalityq!C1633="")</f>
        <v>0</v>
      </c>
      <c r="E1633">
        <f>B1633*(hospitalityq!E1633="")</f>
        <v>0</v>
      </c>
      <c r="F1633">
        <f>B1633*(hospitalityq!F1633="")</f>
        <v>0</v>
      </c>
      <c r="G1633">
        <f>B1633*(hospitalityq!G1633="")</f>
        <v>0</v>
      </c>
      <c r="H1633">
        <f>B1633*(hospitalityq!H1633="")</f>
        <v>0</v>
      </c>
      <c r="I1633">
        <f>B1633*(hospitalityq!I1633="")</f>
        <v>0</v>
      </c>
      <c r="J1633">
        <f>B1633*(hospitalityq!J1633="")</f>
        <v>0</v>
      </c>
      <c r="K1633">
        <f>B1633*(hospitalityq!K1633="")</f>
        <v>0</v>
      </c>
      <c r="L1633">
        <f>B1633*(hospitalityq!L1633="")</f>
        <v>0</v>
      </c>
      <c r="M1633">
        <f>B1633*(hospitalityq!M1633="")</f>
        <v>0</v>
      </c>
      <c r="N1633">
        <f>B1633*(hospitalityq!N1633="")</f>
        <v>0</v>
      </c>
      <c r="O1633">
        <f>B1633*(hospitalityq!O1633="")</f>
        <v>0</v>
      </c>
      <c r="P1633">
        <f>B1633*(hospitalityq!P1633="")</f>
        <v>0</v>
      </c>
      <c r="Q1633">
        <f>B1633*(hospitalityq!Q1633="")</f>
        <v>0</v>
      </c>
      <c r="R1633">
        <f>B1633*(hospitalityq!R1633="")</f>
        <v>0</v>
      </c>
    </row>
    <row r="1634" spans="1:18" x14ac:dyDescent="0.25">
      <c r="A1634">
        <f t="shared" si="26"/>
        <v>0</v>
      </c>
      <c r="B1634" t="b">
        <f>SUMPRODUCT(LEN(hospitalityq!C1634:R1634))&gt;0</f>
        <v>0</v>
      </c>
      <c r="C1634">
        <f>B1634*(hospitalityq!C1634="")</f>
        <v>0</v>
      </c>
      <c r="E1634">
        <f>B1634*(hospitalityq!E1634="")</f>
        <v>0</v>
      </c>
      <c r="F1634">
        <f>B1634*(hospitalityq!F1634="")</f>
        <v>0</v>
      </c>
      <c r="G1634">
        <f>B1634*(hospitalityq!G1634="")</f>
        <v>0</v>
      </c>
      <c r="H1634">
        <f>B1634*(hospitalityq!H1634="")</f>
        <v>0</v>
      </c>
      <c r="I1634">
        <f>B1634*(hospitalityq!I1634="")</f>
        <v>0</v>
      </c>
      <c r="J1634">
        <f>B1634*(hospitalityq!J1634="")</f>
        <v>0</v>
      </c>
      <c r="K1634">
        <f>B1634*(hospitalityq!K1634="")</f>
        <v>0</v>
      </c>
      <c r="L1634">
        <f>B1634*(hospitalityq!L1634="")</f>
        <v>0</v>
      </c>
      <c r="M1634">
        <f>B1634*(hospitalityq!M1634="")</f>
        <v>0</v>
      </c>
      <c r="N1634">
        <f>B1634*(hospitalityq!N1634="")</f>
        <v>0</v>
      </c>
      <c r="O1634">
        <f>B1634*(hospitalityq!O1634="")</f>
        <v>0</v>
      </c>
      <c r="P1634">
        <f>B1634*(hospitalityq!P1634="")</f>
        <v>0</v>
      </c>
      <c r="Q1634">
        <f>B1634*(hospitalityq!Q1634="")</f>
        <v>0</v>
      </c>
      <c r="R1634">
        <f>B1634*(hospitalityq!R1634="")</f>
        <v>0</v>
      </c>
    </row>
    <row r="1635" spans="1:18" x14ac:dyDescent="0.25">
      <c r="A1635">
        <f t="shared" si="26"/>
        <v>0</v>
      </c>
      <c r="B1635" t="b">
        <f>SUMPRODUCT(LEN(hospitalityq!C1635:R1635))&gt;0</f>
        <v>0</v>
      </c>
      <c r="C1635">
        <f>B1635*(hospitalityq!C1635="")</f>
        <v>0</v>
      </c>
      <c r="E1635">
        <f>B1635*(hospitalityq!E1635="")</f>
        <v>0</v>
      </c>
      <c r="F1635">
        <f>B1635*(hospitalityq!F1635="")</f>
        <v>0</v>
      </c>
      <c r="G1635">
        <f>B1635*(hospitalityq!G1635="")</f>
        <v>0</v>
      </c>
      <c r="H1635">
        <f>B1635*(hospitalityq!H1635="")</f>
        <v>0</v>
      </c>
      <c r="I1635">
        <f>B1635*(hospitalityq!I1635="")</f>
        <v>0</v>
      </c>
      <c r="J1635">
        <f>B1635*(hospitalityq!J1635="")</f>
        <v>0</v>
      </c>
      <c r="K1635">
        <f>B1635*(hospitalityq!K1635="")</f>
        <v>0</v>
      </c>
      <c r="L1635">
        <f>B1635*(hospitalityq!L1635="")</f>
        <v>0</v>
      </c>
      <c r="M1635">
        <f>B1635*(hospitalityq!M1635="")</f>
        <v>0</v>
      </c>
      <c r="N1635">
        <f>B1635*(hospitalityq!N1635="")</f>
        <v>0</v>
      </c>
      <c r="O1635">
        <f>B1635*(hospitalityq!O1635="")</f>
        <v>0</v>
      </c>
      <c r="P1635">
        <f>B1635*(hospitalityq!P1635="")</f>
        <v>0</v>
      </c>
      <c r="Q1635">
        <f>B1635*(hospitalityq!Q1635="")</f>
        <v>0</v>
      </c>
      <c r="R1635">
        <f>B1635*(hospitalityq!R1635="")</f>
        <v>0</v>
      </c>
    </row>
    <row r="1636" spans="1:18" x14ac:dyDescent="0.25">
      <c r="A1636">
        <f t="shared" si="26"/>
        <v>0</v>
      </c>
      <c r="B1636" t="b">
        <f>SUMPRODUCT(LEN(hospitalityq!C1636:R1636))&gt;0</f>
        <v>0</v>
      </c>
      <c r="C1636">
        <f>B1636*(hospitalityq!C1636="")</f>
        <v>0</v>
      </c>
      <c r="E1636">
        <f>B1636*(hospitalityq!E1636="")</f>
        <v>0</v>
      </c>
      <c r="F1636">
        <f>B1636*(hospitalityq!F1636="")</f>
        <v>0</v>
      </c>
      <c r="G1636">
        <f>B1636*(hospitalityq!G1636="")</f>
        <v>0</v>
      </c>
      <c r="H1636">
        <f>B1636*(hospitalityq!H1636="")</f>
        <v>0</v>
      </c>
      <c r="I1636">
        <f>B1636*(hospitalityq!I1636="")</f>
        <v>0</v>
      </c>
      <c r="J1636">
        <f>B1636*(hospitalityq!J1636="")</f>
        <v>0</v>
      </c>
      <c r="K1636">
        <f>B1636*(hospitalityq!K1636="")</f>
        <v>0</v>
      </c>
      <c r="L1636">
        <f>B1636*(hospitalityq!L1636="")</f>
        <v>0</v>
      </c>
      <c r="M1636">
        <f>B1636*(hospitalityq!M1636="")</f>
        <v>0</v>
      </c>
      <c r="N1636">
        <f>B1636*(hospitalityq!N1636="")</f>
        <v>0</v>
      </c>
      <c r="O1636">
        <f>B1636*(hospitalityq!O1636="")</f>
        <v>0</v>
      </c>
      <c r="P1636">
        <f>B1636*(hospitalityq!P1636="")</f>
        <v>0</v>
      </c>
      <c r="Q1636">
        <f>B1636*(hospitalityq!Q1636="")</f>
        <v>0</v>
      </c>
      <c r="R1636">
        <f>B1636*(hospitalityq!R1636="")</f>
        <v>0</v>
      </c>
    </row>
    <row r="1637" spans="1:18" x14ac:dyDescent="0.25">
      <c r="A1637">
        <f t="shared" si="26"/>
        <v>0</v>
      </c>
      <c r="B1637" t="b">
        <f>SUMPRODUCT(LEN(hospitalityq!C1637:R1637))&gt;0</f>
        <v>0</v>
      </c>
      <c r="C1637">
        <f>B1637*(hospitalityq!C1637="")</f>
        <v>0</v>
      </c>
      <c r="E1637">
        <f>B1637*(hospitalityq!E1637="")</f>
        <v>0</v>
      </c>
      <c r="F1637">
        <f>B1637*(hospitalityq!F1637="")</f>
        <v>0</v>
      </c>
      <c r="G1637">
        <f>B1637*(hospitalityq!G1637="")</f>
        <v>0</v>
      </c>
      <c r="H1637">
        <f>B1637*(hospitalityq!H1637="")</f>
        <v>0</v>
      </c>
      <c r="I1637">
        <f>B1637*(hospitalityq!I1637="")</f>
        <v>0</v>
      </c>
      <c r="J1637">
        <f>B1637*(hospitalityq!J1637="")</f>
        <v>0</v>
      </c>
      <c r="K1637">
        <f>B1637*(hospitalityq!K1637="")</f>
        <v>0</v>
      </c>
      <c r="L1637">
        <f>B1637*(hospitalityq!L1637="")</f>
        <v>0</v>
      </c>
      <c r="M1637">
        <f>B1637*(hospitalityq!M1637="")</f>
        <v>0</v>
      </c>
      <c r="N1637">
        <f>B1637*(hospitalityq!N1637="")</f>
        <v>0</v>
      </c>
      <c r="O1637">
        <f>B1637*(hospitalityq!O1637="")</f>
        <v>0</v>
      </c>
      <c r="P1637">
        <f>B1637*(hospitalityq!P1637="")</f>
        <v>0</v>
      </c>
      <c r="Q1637">
        <f>B1637*(hospitalityq!Q1637="")</f>
        <v>0</v>
      </c>
      <c r="R1637">
        <f>B1637*(hospitalityq!R1637="")</f>
        <v>0</v>
      </c>
    </row>
    <row r="1638" spans="1:18" x14ac:dyDescent="0.25">
      <c r="A1638">
        <f t="shared" si="26"/>
        <v>0</v>
      </c>
      <c r="B1638" t="b">
        <f>SUMPRODUCT(LEN(hospitalityq!C1638:R1638))&gt;0</f>
        <v>0</v>
      </c>
      <c r="C1638">
        <f>B1638*(hospitalityq!C1638="")</f>
        <v>0</v>
      </c>
      <c r="E1638">
        <f>B1638*(hospitalityq!E1638="")</f>
        <v>0</v>
      </c>
      <c r="F1638">
        <f>B1638*(hospitalityq!F1638="")</f>
        <v>0</v>
      </c>
      <c r="G1638">
        <f>B1638*(hospitalityq!G1638="")</f>
        <v>0</v>
      </c>
      <c r="H1638">
        <f>B1638*(hospitalityq!H1638="")</f>
        <v>0</v>
      </c>
      <c r="I1638">
        <f>B1638*(hospitalityq!I1638="")</f>
        <v>0</v>
      </c>
      <c r="J1638">
        <f>B1638*(hospitalityq!J1638="")</f>
        <v>0</v>
      </c>
      <c r="K1638">
        <f>B1638*(hospitalityq!K1638="")</f>
        <v>0</v>
      </c>
      <c r="L1638">
        <f>B1638*(hospitalityq!L1638="")</f>
        <v>0</v>
      </c>
      <c r="M1638">
        <f>B1638*(hospitalityq!M1638="")</f>
        <v>0</v>
      </c>
      <c r="N1638">
        <f>B1638*(hospitalityq!N1638="")</f>
        <v>0</v>
      </c>
      <c r="O1638">
        <f>B1638*(hospitalityq!O1638="")</f>
        <v>0</v>
      </c>
      <c r="P1638">
        <f>B1638*(hospitalityq!P1638="")</f>
        <v>0</v>
      </c>
      <c r="Q1638">
        <f>B1638*(hospitalityq!Q1638="")</f>
        <v>0</v>
      </c>
      <c r="R1638">
        <f>B1638*(hospitalityq!R1638="")</f>
        <v>0</v>
      </c>
    </row>
    <row r="1639" spans="1:18" x14ac:dyDescent="0.25">
      <c r="A1639">
        <f t="shared" si="26"/>
        <v>0</v>
      </c>
      <c r="B1639" t="b">
        <f>SUMPRODUCT(LEN(hospitalityq!C1639:R1639))&gt;0</f>
        <v>0</v>
      </c>
      <c r="C1639">
        <f>B1639*(hospitalityq!C1639="")</f>
        <v>0</v>
      </c>
      <c r="E1639">
        <f>B1639*(hospitalityq!E1639="")</f>
        <v>0</v>
      </c>
      <c r="F1639">
        <f>B1639*(hospitalityq!F1639="")</f>
        <v>0</v>
      </c>
      <c r="G1639">
        <f>B1639*(hospitalityq!G1639="")</f>
        <v>0</v>
      </c>
      <c r="H1639">
        <f>B1639*(hospitalityq!H1639="")</f>
        <v>0</v>
      </c>
      <c r="I1639">
        <f>B1639*(hospitalityq!I1639="")</f>
        <v>0</v>
      </c>
      <c r="J1639">
        <f>B1639*(hospitalityq!J1639="")</f>
        <v>0</v>
      </c>
      <c r="K1639">
        <f>B1639*(hospitalityq!K1639="")</f>
        <v>0</v>
      </c>
      <c r="L1639">
        <f>B1639*(hospitalityq!L1639="")</f>
        <v>0</v>
      </c>
      <c r="M1639">
        <f>B1639*(hospitalityq!M1639="")</f>
        <v>0</v>
      </c>
      <c r="N1639">
        <f>B1639*(hospitalityq!N1639="")</f>
        <v>0</v>
      </c>
      <c r="O1639">
        <f>B1639*(hospitalityq!O1639="")</f>
        <v>0</v>
      </c>
      <c r="P1639">
        <f>B1639*(hospitalityq!P1639="")</f>
        <v>0</v>
      </c>
      <c r="Q1639">
        <f>B1639*(hospitalityq!Q1639="")</f>
        <v>0</v>
      </c>
      <c r="R1639">
        <f>B1639*(hospitalityq!R1639="")</f>
        <v>0</v>
      </c>
    </row>
    <row r="1640" spans="1:18" x14ac:dyDescent="0.25">
      <c r="A1640">
        <f t="shared" si="26"/>
        <v>0</v>
      </c>
      <c r="B1640" t="b">
        <f>SUMPRODUCT(LEN(hospitalityq!C1640:R1640))&gt;0</f>
        <v>0</v>
      </c>
      <c r="C1640">
        <f>B1640*(hospitalityq!C1640="")</f>
        <v>0</v>
      </c>
      <c r="E1640">
        <f>B1640*(hospitalityq!E1640="")</f>
        <v>0</v>
      </c>
      <c r="F1640">
        <f>B1640*(hospitalityq!F1640="")</f>
        <v>0</v>
      </c>
      <c r="G1640">
        <f>B1640*(hospitalityq!G1640="")</f>
        <v>0</v>
      </c>
      <c r="H1640">
        <f>B1640*(hospitalityq!H1640="")</f>
        <v>0</v>
      </c>
      <c r="I1640">
        <f>B1640*(hospitalityq!I1640="")</f>
        <v>0</v>
      </c>
      <c r="J1640">
        <f>B1640*(hospitalityq!J1640="")</f>
        <v>0</v>
      </c>
      <c r="K1640">
        <f>B1640*(hospitalityq!K1640="")</f>
        <v>0</v>
      </c>
      <c r="L1640">
        <f>B1640*(hospitalityq!L1640="")</f>
        <v>0</v>
      </c>
      <c r="M1640">
        <f>B1640*(hospitalityq!M1640="")</f>
        <v>0</v>
      </c>
      <c r="N1640">
        <f>B1640*(hospitalityq!N1640="")</f>
        <v>0</v>
      </c>
      <c r="O1640">
        <f>B1640*(hospitalityq!O1640="")</f>
        <v>0</v>
      </c>
      <c r="P1640">
        <f>B1640*(hospitalityq!P1640="")</f>
        <v>0</v>
      </c>
      <c r="Q1640">
        <f>B1640*(hospitalityq!Q1640="")</f>
        <v>0</v>
      </c>
      <c r="R1640">
        <f>B1640*(hospitalityq!R1640="")</f>
        <v>0</v>
      </c>
    </row>
    <row r="1641" spans="1:18" x14ac:dyDescent="0.25">
      <c r="A1641">
        <f t="shared" si="26"/>
        <v>0</v>
      </c>
      <c r="B1641" t="b">
        <f>SUMPRODUCT(LEN(hospitalityq!C1641:R1641))&gt;0</f>
        <v>0</v>
      </c>
      <c r="C1641">
        <f>B1641*(hospitalityq!C1641="")</f>
        <v>0</v>
      </c>
      <c r="E1641">
        <f>B1641*(hospitalityq!E1641="")</f>
        <v>0</v>
      </c>
      <c r="F1641">
        <f>B1641*(hospitalityq!F1641="")</f>
        <v>0</v>
      </c>
      <c r="G1641">
        <f>B1641*(hospitalityq!G1641="")</f>
        <v>0</v>
      </c>
      <c r="H1641">
        <f>B1641*(hospitalityq!H1641="")</f>
        <v>0</v>
      </c>
      <c r="I1641">
        <f>B1641*(hospitalityq!I1641="")</f>
        <v>0</v>
      </c>
      <c r="J1641">
        <f>B1641*(hospitalityq!J1641="")</f>
        <v>0</v>
      </c>
      <c r="K1641">
        <f>B1641*(hospitalityq!K1641="")</f>
        <v>0</v>
      </c>
      <c r="L1641">
        <f>B1641*(hospitalityq!L1641="")</f>
        <v>0</v>
      </c>
      <c r="M1641">
        <f>B1641*(hospitalityq!M1641="")</f>
        <v>0</v>
      </c>
      <c r="N1641">
        <f>B1641*(hospitalityq!N1641="")</f>
        <v>0</v>
      </c>
      <c r="O1641">
        <f>B1641*(hospitalityq!O1641="")</f>
        <v>0</v>
      </c>
      <c r="P1641">
        <f>B1641*(hospitalityq!P1641="")</f>
        <v>0</v>
      </c>
      <c r="Q1641">
        <f>B1641*(hospitalityq!Q1641="")</f>
        <v>0</v>
      </c>
      <c r="R1641">
        <f>B1641*(hospitalityq!R1641="")</f>
        <v>0</v>
      </c>
    </row>
    <row r="1642" spans="1:18" x14ac:dyDescent="0.25">
      <c r="A1642">
        <f t="shared" si="26"/>
        <v>0</v>
      </c>
      <c r="B1642" t="b">
        <f>SUMPRODUCT(LEN(hospitalityq!C1642:R1642))&gt;0</f>
        <v>0</v>
      </c>
      <c r="C1642">
        <f>B1642*(hospitalityq!C1642="")</f>
        <v>0</v>
      </c>
      <c r="E1642">
        <f>B1642*(hospitalityq!E1642="")</f>
        <v>0</v>
      </c>
      <c r="F1642">
        <f>B1642*(hospitalityq!F1642="")</f>
        <v>0</v>
      </c>
      <c r="G1642">
        <f>B1642*(hospitalityq!G1642="")</f>
        <v>0</v>
      </c>
      <c r="H1642">
        <f>B1642*(hospitalityq!H1642="")</f>
        <v>0</v>
      </c>
      <c r="I1642">
        <f>B1642*(hospitalityq!I1642="")</f>
        <v>0</v>
      </c>
      <c r="J1642">
        <f>B1642*(hospitalityq!J1642="")</f>
        <v>0</v>
      </c>
      <c r="K1642">
        <f>B1642*(hospitalityq!K1642="")</f>
        <v>0</v>
      </c>
      <c r="L1642">
        <f>B1642*(hospitalityq!L1642="")</f>
        <v>0</v>
      </c>
      <c r="M1642">
        <f>B1642*(hospitalityq!M1642="")</f>
        <v>0</v>
      </c>
      <c r="N1642">
        <f>B1642*(hospitalityq!N1642="")</f>
        <v>0</v>
      </c>
      <c r="O1642">
        <f>B1642*(hospitalityq!O1642="")</f>
        <v>0</v>
      </c>
      <c r="P1642">
        <f>B1642*(hospitalityq!P1642="")</f>
        <v>0</v>
      </c>
      <c r="Q1642">
        <f>B1642*(hospitalityq!Q1642="")</f>
        <v>0</v>
      </c>
      <c r="R1642">
        <f>B1642*(hospitalityq!R1642="")</f>
        <v>0</v>
      </c>
    </row>
    <row r="1643" spans="1:18" x14ac:dyDescent="0.25">
      <c r="A1643">
        <f t="shared" si="26"/>
        <v>0</v>
      </c>
      <c r="B1643" t="b">
        <f>SUMPRODUCT(LEN(hospitalityq!C1643:R1643))&gt;0</f>
        <v>0</v>
      </c>
      <c r="C1643">
        <f>B1643*(hospitalityq!C1643="")</f>
        <v>0</v>
      </c>
      <c r="E1643">
        <f>B1643*(hospitalityq!E1643="")</f>
        <v>0</v>
      </c>
      <c r="F1643">
        <f>B1643*(hospitalityq!F1643="")</f>
        <v>0</v>
      </c>
      <c r="G1643">
        <f>B1643*(hospitalityq!G1643="")</f>
        <v>0</v>
      </c>
      <c r="H1643">
        <f>B1643*(hospitalityq!H1643="")</f>
        <v>0</v>
      </c>
      <c r="I1643">
        <f>B1643*(hospitalityq!I1643="")</f>
        <v>0</v>
      </c>
      <c r="J1643">
        <f>B1643*(hospitalityq!J1643="")</f>
        <v>0</v>
      </c>
      <c r="K1643">
        <f>B1643*(hospitalityq!K1643="")</f>
        <v>0</v>
      </c>
      <c r="L1643">
        <f>B1643*(hospitalityq!L1643="")</f>
        <v>0</v>
      </c>
      <c r="M1643">
        <f>B1643*(hospitalityq!M1643="")</f>
        <v>0</v>
      </c>
      <c r="N1643">
        <f>B1643*(hospitalityq!N1643="")</f>
        <v>0</v>
      </c>
      <c r="O1643">
        <f>B1643*(hospitalityq!O1643="")</f>
        <v>0</v>
      </c>
      <c r="P1643">
        <f>B1643*(hospitalityq!P1643="")</f>
        <v>0</v>
      </c>
      <c r="Q1643">
        <f>B1643*(hospitalityq!Q1643="")</f>
        <v>0</v>
      </c>
      <c r="R1643">
        <f>B1643*(hospitalityq!R1643="")</f>
        <v>0</v>
      </c>
    </row>
    <row r="1644" spans="1:18" x14ac:dyDescent="0.25">
      <c r="A1644">
        <f t="shared" si="26"/>
        <v>0</v>
      </c>
      <c r="B1644" t="b">
        <f>SUMPRODUCT(LEN(hospitalityq!C1644:R1644))&gt;0</f>
        <v>0</v>
      </c>
      <c r="C1644">
        <f>B1644*(hospitalityq!C1644="")</f>
        <v>0</v>
      </c>
      <c r="E1644">
        <f>B1644*(hospitalityq!E1644="")</f>
        <v>0</v>
      </c>
      <c r="F1644">
        <f>B1644*(hospitalityq!F1644="")</f>
        <v>0</v>
      </c>
      <c r="G1644">
        <f>B1644*(hospitalityq!G1644="")</f>
        <v>0</v>
      </c>
      <c r="H1644">
        <f>B1644*(hospitalityq!H1644="")</f>
        <v>0</v>
      </c>
      <c r="I1644">
        <f>B1644*(hospitalityq!I1644="")</f>
        <v>0</v>
      </c>
      <c r="J1644">
        <f>B1644*(hospitalityq!J1644="")</f>
        <v>0</v>
      </c>
      <c r="K1644">
        <f>B1644*(hospitalityq!K1644="")</f>
        <v>0</v>
      </c>
      <c r="L1644">
        <f>B1644*(hospitalityq!L1644="")</f>
        <v>0</v>
      </c>
      <c r="M1644">
        <f>B1644*(hospitalityq!M1644="")</f>
        <v>0</v>
      </c>
      <c r="N1644">
        <f>B1644*(hospitalityq!N1644="")</f>
        <v>0</v>
      </c>
      <c r="O1644">
        <f>B1644*(hospitalityq!O1644="")</f>
        <v>0</v>
      </c>
      <c r="P1644">
        <f>B1644*(hospitalityq!P1644="")</f>
        <v>0</v>
      </c>
      <c r="Q1644">
        <f>B1644*(hospitalityq!Q1644="")</f>
        <v>0</v>
      </c>
      <c r="R1644">
        <f>B1644*(hospitalityq!R1644="")</f>
        <v>0</v>
      </c>
    </row>
    <row r="1645" spans="1:18" x14ac:dyDescent="0.25">
      <c r="A1645">
        <f t="shared" si="26"/>
        <v>0</v>
      </c>
      <c r="B1645" t="b">
        <f>SUMPRODUCT(LEN(hospitalityq!C1645:R1645))&gt;0</f>
        <v>0</v>
      </c>
      <c r="C1645">
        <f>B1645*(hospitalityq!C1645="")</f>
        <v>0</v>
      </c>
      <c r="E1645">
        <f>B1645*(hospitalityq!E1645="")</f>
        <v>0</v>
      </c>
      <c r="F1645">
        <f>B1645*(hospitalityq!F1645="")</f>
        <v>0</v>
      </c>
      <c r="G1645">
        <f>B1645*(hospitalityq!G1645="")</f>
        <v>0</v>
      </c>
      <c r="H1645">
        <f>B1645*(hospitalityq!H1645="")</f>
        <v>0</v>
      </c>
      <c r="I1645">
        <f>B1645*(hospitalityq!I1645="")</f>
        <v>0</v>
      </c>
      <c r="J1645">
        <f>B1645*(hospitalityq!J1645="")</f>
        <v>0</v>
      </c>
      <c r="K1645">
        <f>B1645*(hospitalityq!K1645="")</f>
        <v>0</v>
      </c>
      <c r="L1645">
        <f>B1645*(hospitalityq!L1645="")</f>
        <v>0</v>
      </c>
      <c r="M1645">
        <f>B1645*(hospitalityq!M1645="")</f>
        <v>0</v>
      </c>
      <c r="N1645">
        <f>B1645*(hospitalityq!N1645="")</f>
        <v>0</v>
      </c>
      <c r="O1645">
        <f>B1645*(hospitalityq!O1645="")</f>
        <v>0</v>
      </c>
      <c r="P1645">
        <f>B1645*(hospitalityq!P1645="")</f>
        <v>0</v>
      </c>
      <c r="Q1645">
        <f>B1645*(hospitalityq!Q1645="")</f>
        <v>0</v>
      </c>
      <c r="R1645">
        <f>B1645*(hospitalityq!R1645="")</f>
        <v>0</v>
      </c>
    </row>
    <row r="1646" spans="1:18" x14ac:dyDescent="0.25">
      <c r="A1646">
        <f t="shared" si="26"/>
        <v>0</v>
      </c>
      <c r="B1646" t="b">
        <f>SUMPRODUCT(LEN(hospitalityq!C1646:R1646))&gt;0</f>
        <v>0</v>
      </c>
      <c r="C1646">
        <f>B1646*(hospitalityq!C1646="")</f>
        <v>0</v>
      </c>
      <c r="E1646">
        <f>B1646*(hospitalityq!E1646="")</f>
        <v>0</v>
      </c>
      <c r="F1646">
        <f>B1646*(hospitalityq!F1646="")</f>
        <v>0</v>
      </c>
      <c r="G1646">
        <f>B1646*(hospitalityq!G1646="")</f>
        <v>0</v>
      </c>
      <c r="H1646">
        <f>B1646*(hospitalityq!H1646="")</f>
        <v>0</v>
      </c>
      <c r="I1646">
        <f>B1646*(hospitalityq!I1646="")</f>
        <v>0</v>
      </c>
      <c r="J1646">
        <f>B1646*(hospitalityq!J1646="")</f>
        <v>0</v>
      </c>
      <c r="K1646">
        <f>B1646*(hospitalityq!K1646="")</f>
        <v>0</v>
      </c>
      <c r="L1646">
        <f>B1646*(hospitalityq!L1646="")</f>
        <v>0</v>
      </c>
      <c r="M1646">
        <f>B1646*(hospitalityq!M1646="")</f>
        <v>0</v>
      </c>
      <c r="N1646">
        <f>B1646*(hospitalityq!N1646="")</f>
        <v>0</v>
      </c>
      <c r="O1646">
        <f>B1646*(hospitalityq!O1646="")</f>
        <v>0</v>
      </c>
      <c r="P1646">
        <f>B1646*(hospitalityq!P1646="")</f>
        <v>0</v>
      </c>
      <c r="Q1646">
        <f>B1646*(hospitalityq!Q1646="")</f>
        <v>0</v>
      </c>
      <c r="R1646">
        <f>B1646*(hospitalityq!R1646="")</f>
        <v>0</v>
      </c>
    </row>
    <row r="1647" spans="1:18" x14ac:dyDescent="0.25">
      <c r="A1647">
        <f t="shared" si="26"/>
        <v>0</v>
      </c>
      <c r="B1647" t="b">
        <f>SUMPRODUCT(LEN(hospitalityq!C1647:R1647))&gt;0</f>
        <v>0</v>
      </c>
      <c r="C1647">
        <f>B1647*(hospitalityq!C1647="")</f>
        <v>0</v>
      </c>
      <c r="E1647">
        <f>B1647*(hospitalityq!E1647="")</f>
        <v>0</v>
      </c>
      <c r="F1647">
        <f>B1647*(hospitalityq!F1647="")</f>
        <v>0</v>
      </c>
      <c r="G1647">
        <f>B1647*(hospitalityq!G1647="")</f>
        <v>0</v>
      </c>
      <c r="H1647">
        <f>B1647*(hospitalityq!H1647="")</f>
        <v>0</v>
      </c>
      <c r="I1647">
        <f>B1647*(hospitalityq!I1647="")</f>
        <v>0</v>
      </c>
      <c r="J1647">
        <f>B1647*(hospitalityq!J1647="")</f>
        <v>0</v>
      </c>
      <c r="K1647">
        <f>B1647*(hospitalityq!K1647="")</f>
        <v>0</v>
      </c>
      <c r="L1647">
        <f>B1647*(hospitalityq!L1647="")</f>
        <v>0</v>
      </c>
      <c r="M1647">
        <f>B1647*(hospitalityq!M1647="")</f>
        <v>0</v>
      </c>
      <c r="N1647">
        <f>B1647*(hospitalityq!N1647="")</f>
        <v>0</v>
      </c>
      <c r="O1647">
        <f>B1647*(hospitalityq!O1647="")</f>
        <v>0</v>
      </c>
      <c r="P1647">
        <f>B1647*(hospitalityq!P1647="")</f>
        <v>0</v>
      </c>
      <c r="Q1647">
        <f>B1647*(hospitalityq!Q1647="")</f>
        <v>0</v>
      </c>
      <c r="R1647">
        <f>B1647*(hospitalityq!R1647="")</f>
        <v>0</v>
      </c>
    </row>
    <row r="1648" spans="1:18" x14ac:dyDescent="0.25">
      <c r="A1648">
        <f t="shared" si="26"/>
        <v>0</v>
      </c>
      <c r="B1648" t="b">
        <f>SUMPRODUCT(LEN(hospitalityq!C1648:R1648))&gt;0</f>
        <v>0</v>
      </c>
      <c r="C1648">
        <f>B1648*(hospitalityq!C1648="")</f>
        <v>0</v>
      </c>
      <c r="E1648">
        <f>B1648*(hospitalityq!E1648="")</f>
        <v>0</v>
      </c>
      <c r="F1648">
        <f>B1648*(hospitalityq!F1648="")</f>
        <v>0</v>
      </c>
      <c r="G1648">
        <f>B1648*(hospitalityq!G1648="")</f>
        <v>0</v>
      </c>
      <c r="H1648">
        <f>B1648*(hospitalityq!H1648="")</f>
        <v>0</v>
      </c>
      <c r="I1648">
        <f>B1648*(hospitalityq!I1648="")</f>
        <v>0</v>
      </c>
      <c r="J1648">
        <f>B1648*(hospitalityq!J1648="")</f>
        <v>0</v>
      </c>
      <c r="K1648">
        <f>B1648*(hospitalityq!K1648="")</f>
        <v>0</v>
      </c>
      <c r="L1648">
        <f>B1648*(hospitalityq!L1648="")</f>
        <v>0</v>
      </c>
      <c r="M1648">
        <f>B1648*(hospitalityq!M1648="")</f>
        <v>0</v>
      </c>
      <c r="N1648">
        <f>B1648*(hospitalityq!N1648="")</f>
        <v>0</v>
      </c>
      <c r="O1648">
        <f>B1648*(hospitalityq!O1648="")</f>
        <v>0</v>
      </c>
      <c r="P1648">
        <f>B1648*(hospitalityq!P1648="")</f>
        <v>0</v>
      </c>
      <c r="Q1648">
        <f>B1648*(hospitalityq!Q1648="")</f>
        <v>0</v>
      </c>
      <c r="R1648">
        <f>B1648*(hospitalityq!R1648="")</f>
        <v>0</v>
      </c>
    </row>
    <row r="1649" spans="1:18" x14ac:dyDescent="0.25">
      <c r="A1649">
        <f t="shared" si="26"/>
        <v>0</v>
      </c>
      <c r="B1649" t="b">
        <f>SUMPRODUCT(LEN(hospitalityq!C1649:R1649))&gt;0</f>
        <v>0</v>
      </c>
      <c r="C1649">
        <f>B1649*(hospitalityq!C1649="")</f>
        <v>0</v>
      </c>
      <c r="E1649">
        <f>B1649*(hospitalityq!E1649="")</f>
        <v>0</v>
      </c>
      <c r="F1649">
        <f>B1649*(hospitalityq!F1649="")</f>
        <v>0</v>
      </c>
      <c r="G1649">
        <f>B1649*(hospitalityq!G1649="")</f>
        <v>0</v>
      </c>
      <c r="H1649">
        <f>B1649*(hospitalityq!H1649="")</f>
        <v>0</v>
      </c>
      <c r="I1649">
        <f>B1649*(hospitalityq!I1649="")</f>
        <v>0</v>
      </c>
      <c r="J1649">
        <f>B1649*(hospitalityq!J1649="")</f>
        <v>0</v>
      </c>
      <c r="K1649">
        <f>B1649*(hospitalityq!K1649="")</f>
        <v>0</v>
      </c>
      <c r="L1649">
        <f>B1649*(hospitalityq!L1649="")</f>
        <v>0</v>
      </c>
      <c r="M1649">
        <f>B1649*(hospitalityq!M1649="")</f>
        <v>0</v>
      </c>
      <c r="N1649">
        <f>B1649*(hospitalityq!N1649="")</f>
        <v>0</v>
      </c>
      <c r="O1649">
        <f>B1649*(hospitalityq!O1649="")</f>
        <v>0</v>
      </c>
      <c r="P1649">
        <f>B1649*(hospitalityq!P1649="")</f>
        <v>0</v>
      </c>
      <c r="Q1649">
        <f>B1649*(hospitalityq!Q1649="")</f>
        <v>0</v>
      </c>
      <c r="R1649">
        <f>B1649*(hospitalityq!R1649="")</f>
        <v>0</v>
      </c>
    </row>
    <row r="1650" spans="1:18" x14ac:dyDescent="0.25">
      <c r="A1650">
        <f t="shared" si="26"/>
        <v>0</v>
      </c>
      <c r="B1650" t="b">
        <f>SUMPRODUCT(LEN(hospitalityq!C1650:R1650))&gt;0</f>
        <v>0</v>
      </c>
      <c r="C1650">
        <f>B1650*(hospitalityq!C1650="")</f>
        <v>0</v>
      </c>
      <c r="E1650">
        <f>B1650*(hospitalityq!E1650="")</f>
        <v>0</v>
      </c>
      <c r="F1650">
        <f>B1650*(hospitalityq!F1650="")</f>
        <v>0</v>
      </c>
      <c r="G1650">
        <f>B1650*(hospitalityq!G1650="")</f>
        <v>0</v>
      </c>
      <c r="H1650">
        <f>B1650*(hospitalityq!H1650="")</f>
        <v>0</v>
      </c>
      <c r="I1650">
        <f>B1650*(hospitalityq!I1650="")</f>
        <v>0</v>
      </c>
      <c r="J1650">
        <f>B1650*(hospitalityq!J1650="")</f>
        <v>0</v>
      </c>
      <c r="K1650">
        <f>B1650*(hospitalityq!K1650="")</f>
        <v>0</v>
      </c>
      <c r="L1650">
        <f>B1650*(hospitalityq!L1650="")</f>
        <v>0</v>
      </c>
      <c r="M1650">
        <f>B1650*(hospitalityq!M1650="")</f>
        <v>0</v>
      </c>
      <c r="N1650">
        <f>B1650*(hospitalityq!N1650="")</f>
        <v>0</v>
      </c>
      <c r="O1650">
        <f>B1650*(hospitalityq!O1650="")</f>
        <v>0</v>
      </c>
      <c r="P1650">
        <f>B1650*(hospitalityq!P1650="")</f>
        <v>0</v>
      </c>
      <c r="Q1650">
        <f>B1650*(hospitalityq!Q1650="")</f>
        <v>0</v>
      </c>
      <c r="R1650">
        <f>B1650*(hospitalityq!R1650="")</f>
        <v>0</v>
      </c>
    </row>
    <row r="1651" spans="1:18" x14ac:dyDescent="0.25">
      <c r="A1651">
        <f t="shared" si="26"/>
        <v>0</v>
      </c>
      <c r="B1651" t="b">
        <f>SUMPRODUCT(LEN(hospitalityq!C1651:R1651))&gt;0</f>
        <v>0</v>
      </c>
      <c r="C1651">
        <f>B1651*(hospitalityq!C1651="")</f>
        <v>0</v>
      </c>
      <c r="E1651">
        <f>B1651*(hospitalityq!E1651="")</f>
        <v>0</v>
      </c>
      <c r="F1651">
        <f>B1651*(hospitalityq!F1651="")</f>
        <v>0</v>
      </c>
      <c r="G1651">
        <f>B1651*(hospitalityq!G1651="")</f>
        <v>0</v>
      </c>
      <c r="H1651">
        <f>B1651*(hospitalityq!H1651="")</f>
        <v>0</v>
      </c>
      <c r="I1651">
        <f>B1651*(hospitalityq!I1651="")</f>
        <v>0</v>
      </c>
      <c r="J1651">
        <f>B1651*(hospitalityq!J1651="")</f>
        <v>0</v>
      </c>
      <c r="K1651">
        <f>B1651*(hospitalityq!K1651="")</f>
        <v>0</v>
      </c>
      <c r="L1651">
        <f>B1651*(hospitalityq!L1651="")</f>
        <v>0</v>
      </c>
      <c r="M1651">
        <f>B1651*(hospitalityq!M1651="")</f>
        <v>0</v>
      </c>
      <c r="N1651">
        <f>B1651*(hospitalityq!N1651="")</f>
        <v>0</v>
      </c>
      <c r="O1651">
        <f>B1651*(hospitalityq!O1651="")</f>
        <v>0</v>
      </c>
      <c r="P1651">
        <f>B1651*(hospitalityq!P1651="")</f>
        <v>0</v>
      </c>
      <c r="Q1651">
        <f>B1651*(hospitalityq!Q1651="")</f>
        <v>0</v>
      </c>
      <c r="R1651">
        <f>B1651*(hospitalityq!R1651="")</f>
        <v>0</v>
      </c>
    </row>
    <row r="1652" spans="1:18" x14ac:dyDescent="0.25">
      <c r="A1652">
        <f t="shared" si="26"/>
        <v>0</v>
      </c>
      <c r="B1652" t="b">
        <f>SUMPRODUCT(LEN(hospitalityq!C1652:R1652))&gt;0</f>
        <v>0</v>
      </c>
      <c r="C1652">
        <f>B1652*(hospitalityq!C1652="")</f>
        <v>0</v>
      </c>
      <c r="E1652">
        <f>B1652*(hospitalityq!E1652="")</f>
        <v>0</v>
      </c>
      <c r="F1652">
        <f>B1652*(hospitalityq!F1652="")</f>
        <v>0</v>
      </c>
      <c r="G1652">
        <f>B1652*(hospitalityq!G1652="")</f>
        <v>0</v>
      </c>
      <c r="H1652">
        <f>B1652*(hospitalityq!H1652="")</f>
        <v>0</v>
      </c>
      <c r="I1652">
        <f>B1652*(hospitalityq!I1652="")</f>
        <v>0</v>
      </c>
      <c r="J1652">
        <f>B1652*(hospitalityq!J1652="")</f>
        <v>0</v>
      </c>
      <c r="K1652">
        <f>B1652*(hospitalityq!K1652="")</f>
        <v>0</v>
      </c>
      <c r="L1652">
        <f>B1652*(hospitalityq!L1652="")</f>
        <v>0</v>
      </c>
      <c r="M1652">
        <f>B1652*(hospitalityq!M1652="")</f>
        <v>0</v>
      </c>
      <c r="N1652">
        <f>B1652*(hospitalityq!N1652="")</f>
        <v>0</v>
      </c>
      <c r="O1652">
        <f>B1652*(hospitalityq!O1652="")</f>
        <v>0</v>
      </c>
      <c r="P1652">
        <f>B1652*(hospitalityq!P1652="")</f>
        <v>0</v>
      </c>
      <c r="Q1652">
        <f>B1652*(hospitalityq!Q1652="")</f>
        <v>0</v>
      </c>
      <c r="R1652">
        <f>B1652*(hospitalityq!R1652="")</f>
        <v>0</v>
      </c>
    </row>
    <row r="1653" spans="1:18" x14ac:dyDescent="0.25">
      <c r="A1653">
        <f t="shared" si="26"/>
        <v>0</v>
      </c>
      <c r="B1653" t="b">
        <f>SUMPRODUCT(LEN(hospitalityq!C1653:R1653))&gt;0</f>
        <v>0</v>
      </c>
      <c r="C1653">
        <f>B1653*(hospitalityq!C1653="")</f>
        <v>0</v>
      </c>
      <c r="E1653">
        <f>B1653*(hospitalityq!E1653="")</f>
        <v>0</v>
      </c>
      <c r="F1653">
        <f>B1653*(hospitalityq!F1653="")</f>
        <v>0</v>
      </c>
      <c r="G1653">
        <f>B1653*(hospitalityq!G1653="")</f>
        <v>0</v>
      </c>
      <c r="H1653">
        <f>B1653*(hospitalityq!H1653="")</f>
        <v>0</v>
      </c>
      <c r="I1653">
        <f>B1653*(hospitalityq!I1653="")</f>
        <v>0</v>
      </c>
      <c r="J1653">
        <f>B1653*(hospitalityq!J1653="")</f>
        <v>0</v>
      </c>
      <c r="K1653">
        <f>B1653*(hospitalityq!K1653="")</f>
        <v>0</v>
      </c>
      <c r="L1653">
        <f>B1653*(hospitalityq!L1653="")</f>
        <v>0</v>
      </c>
      <c r="M1653">
        <f>B1653*(hospitalityq!M1653="")</f>
        <v>0</v>
      </c>
      <c r="N1653">
        <f>B1653*(hospitalityq!N1653="")</f>
        <v>0</v>
      </c>
      <c r="O1653">
        <f>B1653*(hospitalityq!O1653="")</f>
        <v>0</v>
      </c>
      <c r="P1653">
        <f>B1653*(hospitalityq!P1653="")</f>
        <v>0</v>
      </c>
      <c r="Q1653">
        <f>B1653*(hospitalityq!Q1653="")</f>
        <v>0</v>
      </c>
      <c r="R1653">
        <f>B1653*(hospitalityq!R1653="")</f>
        <v>0</v>
      </c>
    </row>
    <row r="1654" spans="1:18" x14ac:dyDescent="0.25">
      <c r="A1654">
        <f t="shared" si="26"/>
        <v>0</v>
      </c>
      <c r="B1654" t="b">
        <f>SUMPRODUCT(LEN(hospitalityq!C1654:R1654))&gt;0</f>
        <v>0</v>
      </c>
      <c r="C1654">
        <f>B1654*(hospitalityq!C1654="")</f>
        <v>0</v>
      </c>
      <c r="E1654">
        <f>B1654*(hospitalityq!E1654="")</f>
        <v>0</v>
      </c>
      <c r="F1654">
        <f>B1654*(hospitalityq!F1654="")</f>
        <v>0</v>
      </c>
      <c r="G1654">
        <f>B1654*(hospitalityq!G1654="")</f>
        <v>0</v>
      </c>
      <c r="H1654">
        <f>B1654*(hospitalityq!H1654="")</f>
        <v>0</v>
      </c>
      <c r="I1654">
        <f>B1654*(hospitalityq!I1654="")</f>
        <v>0</v>
      </c>
      <c r="J1654">
        <f>B1654*(hospitalityq!J1654="")</f>
        <v>0</v>
      </c>
      <c r="K1654">
        <f>B1654*(hospitalityq!K1654="")</f>
        <v>0</v>
      </c>
      <c r="L1654">
        <f>B1654*(hospitalityq!L1654="")</f>
        <v>0</v>
      </c>
      <c r="M1654">
        <f>B1654*(hospitalityq!M1654="")</f>
        <v>0</v>
      </c>
      <c r="N1654">
        <f>B1654*(hospitalityq!N1654="")</f>
        <v>0</v>
      </c>
      <c r="O1654">
        <f>B1654*(hospitalityq!O1654="")</f>
        <v>0</v>
      </c>
      <c r="P1654">
        <f>B1654*(hospitalityq!P1654="")</f>
        <v>0</v>
      </c>
      <c r="Q1654">
        <f>B1654*(hospitalityq!Q1654="")</f>
        <v>0</v>
      </c>
      <c r="R1654">
        <f>B1654*(hospitalityq!R1654="")</f>
        <v>0</v>
      </c>
    </row>
    <row r="1655" spans="1:18" x14ac:dyDescent="0.25">
      <c r="A1655">
        <f t="shared" si="26"/>
        <v>0</v>
      </c>
      <c r="B1655" t="b">
        <f>SUMPRODUCT(LEN(hospitalityq!C1655:R1655))&gt;0</f>
        <v>0</v>
      </c>
      <c r="C1655">
        <f>B1655*(hospitalityq!C1655="")</f>
        <v>0</v>
      </c>
      <c r="E1655">
        <f>B1655*(hospitalityq!E1655="")</f>
        <v>0</v>
      </c>
      <c r="F1655">
        <f>B1655*(hospitalityq!F1655="")</f>
        <v>0</v>
      </c>
      <c r="G1655">
        <f>B1655*(hospitalityq!G1655="")</f>
        <v>0</v>
      </c>
      <c r="H1655">
        <f>B1655*(hospitalityq!H1655="")</f>
        <v>0</v>
      </c>
      <c r="I1655">
        <f>B1655*(hospitalityq!I1655="")</f>
        <v>0</v>
      </c>
      <c r="J1655">
        <f>B1655*(hospitalityq!J1655="")</f>
        <v>0</v>
      </c>
      <c r="K1655">
        <f>B1655*(hospitalityq!K1655="")</f>
        <v>0</v>
      </c>
      <c r="L1655">
        <f>B1655*(hospitalityq!L1655="")</f>
        <v>0</v>
      </c>
      <c r="M1655">
        <f>B1655*(hospitalityq!M1655="")</f>
        <v>0</v>
      </c>
      <c r="N1655">
        <f>B1655*(hospitalityq!N1655="")</f>
        <v>0</v>
      </c>
      <c r="O1655">
        <f>B1655*(hospitalityq!O1655="")</f>
        <v>0</v>
      </c>
      <c r="P1655">
        <f>B1655*(hospitalityq!P1655="")</f>
        <v>0</v>
      </c>
      <c r="Q1655">
        <f>B1655*(hospitalityq!Q1655="")</f>
        <v>0</v>
      </c>
      <c r="R1655">
        <f>B1655*(hospitalityq!R1655="")</f>
        <v>0</v>
      </c>
    </row>
    <row r="1656" spans="1:18" x14ac:dyDescent="0.25">
      <c r="A1656">
        <f t="shared" si="26"/>
        <v>0</v>
      </c>
      <c r="B1656" t="b">
        <f>SUMPRODUCT(LEN(hospitalityq!C1656:R1656))&gt;0</f>
        <v>0</v>
      </c>
      <c r="C1656">
        <f>B1656*(hospitalityq!C1656="")</f>
        <v>0</v>
      </c>
      <c r="E1656">
        <f>B1656*(hospitalityq!E1656="")</f>
        <v>0</v>
      </c>
      <c r="F1656">
        <f>B1656*(hospitalityq!F1656="")</f>
        <v>0</v>
      </c>
      <c r="G1656">
        <f>B1656*(hospitalityq!G1656="")</f>
        <v>0</v>
      </c>
      <c r="H1656">
        <f>B1656*(hospitalityq!H1656="")</f>
        <v>0</v>
      </c>
      <c r="I1656">
        <f>B1656*(hospitalityq!I1656="")</f>
        <v>0</v>
      </c>
      <c r="J1656">
        <f>B1656*(hospitalityq!J1656="")</f>
        <v>0</v>
      </c>
      <c r="K1656">
        <f>B1656*(hospitalityq!K1656="")</f>
        <v>0</v>
      </c>
      <c r="L1656">
        <f>B1656*(hospitalityq!L1656="")</f>
        <v>0</v>
      </c>
      <c r="M1656">
        <f>B1656*(hospitalityq!M1656="")</f>
        <v>0</v>
      </c>
      <c r="N1656">
        <f>B1656*(hospitalityq!N1656="")</f>
        <v>0</v>
      </c>
      <c r="O1656">
        <f>B1656*(hospitalityq!O1656="")</f>
        <v>0</v>
      </c>
      <c r="P1656">
        <f>B1656*(hospitalityq!P1656="")</f>
        <v>0</v>
      </c>
      <c r="Q1656">
        <f>B1656*(hospitalityq!Q1656="")</f>
        <v>0</v>
      </c>
      <c r="R1656">
        <f>B1656*(hospitalityq!R1656="")</f>
        <v>0</v>
      </c>
    </row>
    <row r="1657" spans="1:18" x14ac:dyDescent="0.25">
      <c r="A1657">
        <f t="shared" si="26"/>
        <v>0</v>
      </c>
      <c r="B1657" t="b">
        <f>SUMPRODUCT(LEN(hospitalityq!C1657:R1657))&gt;0</f>
        <v>0</v>
      </c>
      <c r="C1657">
        <f>B1657*(hospitalityq!C1657="")</f>
        <v>0</v>
      </c>
      <c r="E1657">
        <f>B1657*(hospitalityq!E1657="")</f>
        <v>0</v>
      </c>
      <c r="F1657">
        <f>B1657*(hospitalityq!F1657="")</f>
        <v>0</v>
      </c>
      <c r="G1657">
        <f>B1657*(hospitalityq!G1657="")</f>
        <v>0</v>
      </c>
      <c r="H1657">
        <f>B1657*(hospitalityq!H1657="")</f>
        <v>0</v>
      </c>
      <c r="I1657">
        <f>B1657*(hospitalityq!I1657="")</f>
        <v>0</v>
      </c>
      <c r="J1657">
        <f>B1657*(hospitalityq!J1657="")</f>
        <v>0</v>
      </c>
      <c r="K1657">
        <f>B1657*(hospitalityq!K1657="")</f>
        <v>0</v>
      </c>
      <c r="L1657">
        <f>B1657*(hospitalityq!L1657="")</f>
        <v>0</v>
      </c>
      <c r="M1657">
        <f>B1657*(hospitalityq!M1657="")</f>
        <v>0</v>
      </c>
      <c r="N1657">
        <f>B1657*(hospitalityq!N1657="")</f>
        <v>0</v>
      </c>
      <c r="O1657">
        <f>B1657*(hospitalityq!O1657="")</f>
        <v>0</v>
      </c>
      <c r="P1657">
        <f>B1657*(hospitalityq!P1657="")</f>
        <v>0</v>
      </c>
      <c r="Q1657">
        <f>B1657*(hospitalityq!Q1657="")</f>
        <v>0</v>
      </c>
      <c r="R1657">
        <f>B1657*(hospitalityq!R1657="")</f>
        <v>0</v>
      </c>
    </row>
    <row r="1658" spans="1:18" x14ac:dyDescent="0.25">
      <c r="A1658">
        <f t="shared" si="26"/>
        <v>0</v>
      </c>
      <c r="B1658" t="b">
        <f>SUMPRODUCT(LEN(hospitalityq!C1658:R1658))&gt;0</f>
        <v>0</v>
      </c>
      <c r="C1658">
        <f>B1658*(hospitalityq!C1658="")</f>
        <v>0</v>
      </c>
      <c r="E1658">
        <f>B1658*(hospitalityq!E1658="")</f>
        <v>0</v>
      </c>
      <c r="F1658">
        <f>B1658*(hospitalityq!F1658="")</f>
        <v>0</v>
      </c>
      <c r="G1658">
        <f>B1658*(hospitalityq!G1658="")</f>
        <v>0</v>
      </c>
      <c r="H1658">
        <f>B1658*(hospitalityq!H1658="")</f>
        <v>0</v>
      </c>
      <c r="I1658">
        <f>B1658*(hospitalityq!I1658="")</f>
        <v>0</v>
      </c>
      <c r="J1658">
        <f>B1658*(hospitalityq!J1658="")</f>
        <v>0</v>
      </c>
      <c r="K1658">
        <f>B1658*(hospitalityq!K1658="")</f>
        <v>0</v>
      </c>
      <c r="L1658">
        <f>B1658*(hospitalityq!L1658="")</f>
        <v>0</v>
      </c>
      <c r="M1658">
        <f>B1658*(hospitalityq!M1658="")</f>
        <v>0</v>
      </c>
      <c r="N1658">
        <f>B1658*(hospitalityq!N1658="")</f>
        <v>0</v>
      </c>
      <c r="O1658">
        <f>B1658*(hospitalityq!O1658="")</f>
        <v>0</v>
      </c>
      <c r="P1658">
        <f>B1658*(hospitalityq!P1658="")</f>
        <v>0</v>
      </c>
      <c r="Q1658">
        <f>B1658*(hospitalityq!Q1658="")</f>
        <v>0</v>
      </c>
      <c r="R1658">
        <f>B1658*(hospitalityq!R1658="")</f>
        <v>0</v>
      </c>
    </row>
    <row r="1659" spans="1:18" x14ac:dyDescent="0.25">
      <c r="A1659">
        <f t="shared" si="26"/>
        <v>0</v>
      </c>
      <c r="B1659" t="b">
        <f>SUMPRODUCT(LEN(hospitalityq!C1659:R1659))&gt;0</f>
        <v>0</v>
      </c>
      <c r="C1659">
        <f>B1659*(hospitalityq!C1659="")</f>
        <v>0</v>
      </c>
      <c r="E1659">
        <f>B1659*(hospitalityq!E1659="")</f>
        <v>0</v>
      </c>
      <c r="F1659">
        <f>B1659*(hospitalityq!F1659="")</f>
        <v>0</v>
      </c>
      <c r="G1659">
        <f>B1659*(hospitalityq!G1659="")</f>
        <v>0</v>
      </c>
      <c r="H1659">
        <f>B1659*(hospitalityq!H1659="")</f>
        <v>0</v>
      </c>
      <c r="I1659">
        <f>B1659*(hospitalityq!I1659="")</f>
        <v>0</v>
      </c>
      <c r="J1659">
        <f>B1659*(hospitalityq!J1659="")</f>
        <v>0</v>
      </c>
      <c r="K1659">
        <f>B1659*(hospitalityq!K1659="")</f>
        <v>0</v>
      </c>
      <c r="L1659">
        <f>B1659*(hospitalityq!L1659="")</f>
        <v>0</v>
      </c>
      <c r="M1659">
        <f>B1659*(hospitalityq!M1659="")</f>
        <v>0</v>
      </c>
      <c r="N1659">
        <f>B1659*(hospitalityq!N1659="")</f>
        <v>0</v>
      </c>
      <c r="O1659">
        <f>B1659*(hospitalityq!O1659="")</f>
        <v>0</v>
      </c>
      <c r="P1659">
        <f>B1659*(hospitalityq!P1659="")</f>
        <v>0</v>
      </c>
      <c r="Q1659">
        <f>B1659*(hospitalityq!Q1659="")</f>
        <v>0</v>
      </c>
      <c r="R1659">
        <f>B1659*(hospitalityq!R1659="")</f>
        <v>0</v>
      </c>
    </row>
    <row r="1660" spans="1:18" x14ac:dyDescent="0.25">
      <c r="A1660">
        <f t="shared" si="26"/>
        <v>0</v>
      </c>
      <c r="B1660" t="b">
        <f>SUMPRODUCT(LEN(hospitalityq!C1660:R1660))&gt;0</f>
        <v>0</v>
      </c>
      <c r="C1660">
        <f>B1660*(hospitalityq!C1660="")</f>
        <v>0</v>
      </c>
      <c r="E1660">
        <f>B1660*(hospitalityq!E1660="")</f>
        <v>0</v>
      </c>
      <c r="F1660">
        <f>B1660*(hospitalityq!F1660="")</f>
        <v>0</v>
      </c>
      <c r="G1660">
        <f>B1660*(hospitalityq!G1660="")</f>
        <v>0</v>
      </c>
      <c r="H1660">
        <f>B1660*(hospitalityq!H1660="")</f>
        <v>0</v>
      </c>
      <c r="I1660">
        <f>B1660*(hospitalityq!I1660="")</f>
        <v>0</v>
      </c>
      <c r="J1660">
        <f>B1660*(hospitalityq!J1660="")</f>
        <v>0</v>
      </c>
      <c r="K1660">
        <f>B1660*(hospitalityq!K1660="")</f>
        <v>0</v>
      </c>
      <c r="L1660">
        <f>B1660*(hospitalityq!L1660="")</f>
        <v>0</v>
      </c>
      <c r="M1660">
        <f>B1660*(hospitalityq!M1660="")</f>
        <v>0</v>
      </c>
      <c r="N1660">
        <f>B1660*(hospitalityq!N1660="")</f>
        <v>0</v>
      </c>
      <c r="O1660">
        <f>B1660*(hospitalityq!O1660="")</f>
        <v>0</v>
      </c>
      <c r="P1660">
        <f>B1660*(hospitalityq!P1660="")</f>
        <v>0</v>
      </c>
      <c r="Q1660">
        <f>B1660*(hospitalityq!Q1660="")</f>
        <v>0</v>
      </c>
      <c r="R1660">
        <f>B1660*(hospitalityq!R1660="")</f>
        <v>0</v>
      </c>
    </row>
    <row r="1661" spans="1:18" x14ac:dyDescent="0.25">
      <c r="A1661">
        <f t="shared" si="26"/>
        <v>0</v>
      </c>
      <c r="B1661" t="b">
        <f>SUMPRODUCT(LEN(hospitalityq!C1661:R1661))&gt;0</f>
        <v>0</v>
      </c>
      <c r="C1661">
        <f>B1661*(hospitalityq!C1661="")</f>
        <v>0</v>
      </c>
      <c r="E1661">
        <f>B1661*(hospitalityq!E1661="")</f>
        <v>0</v>
      </c>
      <c r="F1661">
        <f>B1661*(hospitalityq!F1661="")</f>
        <v>0</v>
      </c>
      <c r="G1661">
        <f>B1661*(hospitalityq!G1661="")</f>
        <v>0</v>
      </c>
      <c r="H1661">
        <f>B1661*(hospitalityq!H1661="")</f>
        <v>0</v>
      </c>
      <c r="I1661">
        <f>B1661*(hospitalityq!I1661="")</f>
        <v>0</v>
      </c>
      <c r="J1661">
        <f>B1661*(hospitalityq!J1661="")</f>
        <v>0</v>
      </c>
      <c r="K1661">
        <f>B1661*(hospitalityq!K1661="")</f>
        <v>0</v>
      </c>
      <c r="L1661">
        <f>B1661*(hospitalityq!L1661="")</f>
        <v>0</v>
      </c>
      <c r="M1661">
        <f>B1661*(hospitalityq!M1661="")</f>
        <v>0</v>
      </c>
      <c r="N1661">
        <f>B1661*(hospitalityq!N1661="")</f>
        <v>0</v>
      </c>
      <c r="O1661">
        <f>B1661*(hospitalityq!O1661="")</f>
        <v>0</v>
      </c>
      <c r="P1661">
        <f>B1661*(hospitalityq!P1661="")</f>
        <v>0</v>
      </c>
      <c r="Q1661">
        <f>B1661*(hospitalityq!Q1661="")</f>
        <v>0</v>
      </c>
      <c r="R1661">
        <f>B1661*(hospitalityq!R1661="")</f>
        <v>0</v>
      </c>
    </row>
    <row r="1662" spans="1:18" x14ac:dyDescent="0.25">
      <c r="A1662">
        <f t="shared" si="26"/>
        <v>0</v>
      </c>
      <c r="B1662" t="b">
        <f>SUMPRODUCT(LEN(hospitalityq!C1662:R1662))&gt;0</f>
        <v>0</v>
      </c>
      <c r="C1662">
        <f>B1662*(hospitalityq!C1662="")</f>
        <v>0</v>
      </c>
      <c r="E1662">
        <f>B1662*(hospitalityq!E1662="")</f>
        <v>0</v>
      </c>
      <c r="F1662">
        <f>B1662*(hospitalityq!F1662="")</f>
        <v>0</v>
      </c>
      <c r="G1662">
        <f>B1662*(hospitalityq!G1662="")</f>
        <v>0</v>
      </c>
      <c r="H1662">
        <f>B1662*(hospitalityq!H1662="")</f>
        <v>0</v>
      </c>
      <c r="I1662">
        <f>B1662*(hospitalityq!I1662="")</f>
        <v>0</v>
      </c>
      <c r="J1662">
        <f>B1662*(hospitalityq!J1662="")</f>
        <v>0</v>
      </c>
      <c r="K1662">
        <f>B1662*(hospitalityq!K1662="")</f>
        <v>0</v>
      </c>
      <c r="L1662">
        <f>B1662*(hospitalityq!L1662="")</f>
        <v>0</v>
      </c>
      <c r="M1662">
        <f>B1662*(hospitalityq!M1662="")</f>
        <v>0</v>
      </c>
      <c r="N1662">
        <f>B1662*(hospitalityq!N1662="")</f>
        <v>0</v>
      </c>
      <c r="O1662">
        <f>B1662*(hospitalityq!O1662="")</f>
        <v>0</v>
      </c>
      <c r="P1662">
        <f>B1662*(hospitalityq!P1662="")</f>
        <v>0</v>
      </c>
      <c r="Q1662">
        <f>B1662*(hospitalityq!Q1662="")</f>
        <v>0</v>
      </c>
      <c r="R1662">
        <f>B1662*(hospitalityq!R1662="")</f>
        <v>0</v>
      </c>
    </row>
    <row r="1663" spans="1:18" x14ac:dyDescent="0.25">
      <c r="A1663">
        <f t="shared" si="26"/>
        <v>0</v>
      </c>
      <c r="B1663" t="b">
        <f>SUMPRODUCT(LEN(hospitalityq!C1663:R1663))&gt;0</f>
        <v>0</v>
      </c>
      <c r="C1663">
        <f>B1663*(hospitalityq!C1663="")</f>
        <v>0</v>
      </c>
      <c r="E1663">
        <f>B1663*(hospitalityq!E1663="")</f>
        <v>0</v>
      </c>
      <c r="F1663">
        <f>B1663*(hospitalityq!F1663="")</f>
        <v>0</v>
      </c>
      <c r="G1663">
        <f>B1663*(hospitalityq!G1663="")</f>
        <v>0</v>
      </c>
      <c r="H1663">
        <f>B1663*(hospitalityq!H1663="")</f>
        <v>0</v>
      </c>
      <c r="I1663">
        <f>B1663*(hospitalityq!I1663="")</f>
        <v>0</v>
      </c>
      <c r="J1663">
        <f>B1663*(hospitalityq!J1663="")</f>
        <v>0</v>
      </c>
      <c r="K1663">
        <f>B1663*(hospitalityq!K1663="")</f>
        <v>0</v>
      </c>
      <c r="L1663">
        <f>B1663*(hospitalityq!L1663="")</f>
        <v>0</v>
      </c>
      <c r="M1663">
        <f>B1663*(hospitalityq!M1663="")</f>
        <v>0</v>
      </c>
      <c r="N1663">
        <f>B1663*(hospitalityq!N1663="")</f>
        <v>0</v>
      </c>
      <c r="O1663">
        <f>B1663*(hospitalityq!O1663="")</f>
        <v>0</v>
      </c>
      <c r="P1663">
        <f>B1663*(hospitalityq!P1663="")</f>
        <v>0</v>
      </c>
      <c r="Q1663">
        <f>B1663*(hospitalityq!Q1663="")</f>
        <v>0</v>
      </c>
      <c r="R1663">
        <f>B1663*(hospitalityq!R1663="")</f>
        <v>0</v>
      </c>
    </row>
    <row r="1664" spans="1:18" x14ac:dyDescent="0.25">
      <c r="A1664">
        <f t="shared" si="26"/>
        <v>0</v>
      </c>
      <c r="B1664" t="b">
        <f>SUMPRODUCT(LEN(hospitalityq!C1664:R1664))&gt;0</f>
        <v>0</v>
      </c>
      <c r="C1664">
        <f>B1664*(hospitalityq!C1664="")</f>
        <v>0</v>
      </c>
      <c r="E1664">
        <f>B1664*(hospitalityq!E1664="")</f>
        <v>0</v>
      </c>
      <c r="F1664">
        <f>B1664*(hospitalityq!F1664="")</f>
        <v>0</v>
      </c>
      <c r="G1664">
        <f>B1664*(hospitalityq!G1664="")</f>
        <v>0</v>
      </c>
      <c r="H1664">
        <f>B1664*(hospitalityq!H1664="")</f>
        <v>0</v>
      </c>
      <c r="I1664">
        <f>B1664*(hospitalityq!I1664="")</f>
        <v>0</v>
      </c>
      <c r="J1664">
        <f>B1664*(hospitalityq!J1664="")</f>
        <v>0</v>
      </c>
      <c r="K1664">
        <f>B1664*(hospitalityq!K1664="")</f>
        <v>0</v>
      </c>
      <c r="L1664">
        <f>B1664*(hospitalityq!L1664="")</f>
        <v>0</v>
      </c>
      <c r="M1664">
        <f>B1664*(hospitalityq!M1664="")</f>
        <v>0</v>
      </c>
      <c r="N1664">
        <f>B1664*(hospitalityq!N1664="")</f>
        <v>0</v>
      </c>
      <c r="O1664">
        <f>B1664*(hospitalityq!O1664="")</f>
        <v>0</v>
      </c>
      <c r="P1664">
        <f>B1664*(hospitalityq!P1664="")</f>
        <v>0</v>
      </c>
      <c r="Q1664">
        <f>B1664*(hospitalityq!Q1664="")</f>
        <v>0</v>
      </c>
      <c r="R1664">
        <f>B1664*(hospitalityq!R1664="")</f>
        <v>0</v>
      </c>
    </row>
    <row r="1665" spans="1:18" x14ac:dyDescent="0.25">
      <c r="A1665">
        <f t="shared" si="26"/>
        <v>0</v>
      </c>
      <c r="B1665" t="b">
        <f>SUMPRODUCT(LEN(hospitalityq!C1665:R1665))&gt;0</f>
        <v>0</v>
      </c>
      <c r="C1665">
        <f>B1665*(hospitalityq!C1665="")</f>
        <v>0</v>
      </c>
      <c r="E1665">
        <f>B1665*(hospitalityq!E1665="")</f>
        <v>0</v>
      </c>
      <c r="F1665">
        <f>B1665*(hospitalityq!F1665="")</f>
        <v>0</v>
      </c>
      <c r="G1665">
        <f>B1665*(hospitalityq!G1665="")</f>
        <v>0</v>
      </c>
      <c r="H1665">
        <f>B1665*(hospitalityq!H1665="")</f>
        <v>0</v>
      </c>
      <c r="I1665">
        <f>B1665*(hospitalityq!I1665="")</f>
        <v>0</v>
      </c>
      <c r="J1665">
        <f>B1665*(hospitalityq!J1665="")</f>
        <v>0</v>
      </c>
      <c r="K1665">
        <f>B1665*(hospitalityq!K1665="")</f>
        <v>0</v>
      </c>
      <c r="L1665">
        <f>B1665*(hospitalityq!L1665="")</f>
        <v>0</v>
      </c>
      <c r="M1665">
        <f>B1665*(hospitalityq!M1665="")</f>
        <v>0</v>
      </c>
      <c r="N1665">
        <f>B1665*(hospitalityq!N1665="")</f>
        <v>0</v>
      </c>
      <c r="O1665">
        <f>B1665*(hospitalityq!O1665="")</f>
        <v>0</v>
      </c>
      <c r="P1665">
        <f>B1665*(hospitalityq!P1665="")</f>
        <v>0</v>
      </c>
      <c r="Q1665">
        <f>B1665*(hospitalityq!Q1665="")</f>
        <v>0</v>
      </c>
      <c r="R1665">
        <f>B1665*(hospitalityq!R1665="")</f>
        <v>0</v>
      </c>
    </row>
    <row r="1666" spans="1:18" x14ac:dyDescent="0.25">
      <c r="A1666">
        <f t="shared" si="26"/>
        <v>0</v>
      </c>
      <c r="B1666" t="b">
        <f>SUMPRODUCT(LEN(hospitalityq!C1666:R1666))&gt;0</f>
        <v>0</v>
      </c>
      <c r="C1666">
        <f>B1666*(hospitalityq!C1666="")</f>
        <v>0</v>
      </c>
      <c r="E1666">
        <f>B1666*(hospitalityq!E1666="")</f>
        <v>0</v>
      </c>
      <c r="F1666">
        <f>B1666*(hospitalityq!F1666="")</f>
        <v>0</v>
      </c>
      <c r="G1666">
        <f>B1666*(hospitalityq!G1666="")</f>
        <v>0</v>
      </c>
      <c r="H1666">
        <f>B1666*(hospitalityq!H1666="")</f>
        <v>0</v>
      </c>
      <c r="I1666">
        <f>B1666*(hospitalityq!I1666="")</f>
        <v>0</v>
      </c>
      <c r="J1666">
        <f>B1666*(hospitalityq!J1666="")</f>
        <v>0</v>
      </c>
      <c r="K1666">
        <f>B1666*(hospitalityq!K1666="")</f>
        <v>0</v>
      </c>
      <c r="L1666">
        <f>B1666*(hospitalityq!L1666="")</f>
        <v>0</v>
      </c>
      <c r="M1666">
        <f>B1666*(hospitalityq!M1666="")</f>
        <v>0</v>
      </c>
      <c r="N1666">
        <f>B1666*(hospitalityq!N1666="")</f>
        <v>0</v>
      </c>
      <c r="O1666">
        <f>B1666*(hospitalityq!O1666="")</f>
        <v>0</v>
      </c>
      <c r="P1666">
        <f>B1666*(hospitalityq!P1666="")</f>
        <v>0</v>
      </c>
      <c r="Q1666">
        <f>B1666*(hospitalityq!Q1666="")</f>
        <v>0</v>
      </c>
      <c r="R1666">
        <f>B1666*(hospitalityq!R1666="")</f>
        <v>0</v>
      </c>
    </row>
    <row r="1667" spans="1:18" x14ac:dyDescent="0.25">
      <c r="A1667">
        <f t="shared" si="26"/>
        <v>0</v>
      </c>
      <c r="B1667" t="b">
        <f>SUMPRODUCT(LEN(hospitalityq!C1667:R1667))&gt;0</f>
        <v>0</v>
      </c>
      <c r="C1667">
        <f>B1667*(hospitalityq!C1667="")</f>
        <v>0</v>
      </c>
      <c r="E1667">
        <f>B1667*(hospitalityq!E1667="")</f>
        <v>0</v>
      </c>
      <c r="F1667">
        <f>B1667*(hospitalityq!F1667="")</f>
        <v>0</v>
      </c>
      <c r="G1667">
        <f>B1667*(hospitalityq!G1667="")</f>
        <v>0</v>
      </c>
      <c r="H1667">
        <f>B1667*(hospitalityq!H1667="")</f>
        <v>0</v>
      </c>
      <c r="I1667">
        <f>B1667*(hospitalityq!I1667="")</f>
        <v>0</v>
      </c>
      <c r="J1667">
        <f>B1667*(hospitalityq!J1667="")</f>
        <v>0</v>
      </c>
      <c r="K1667">
        <f>B1667*(hospitalityq!K1667="")</f>
        <v>0</v>
      </c>
      <c r="L1667">
        <f>B1667*(hospitalityq!L1667="")</f>
        <v>0</v>
      </c>
      <c r="M1667">
        <f>B1667*(hospitalityq!M1667="")</f>
        <v>0</v>
      </c>
      <c r="N1667">
        <f>B1667*(hospitalityq!N1667="")</f>
        <v>0</v>
      </c>
      <c r="O1667">
        <f>B1667*(hospitalityq!O1667="")</f>
        <v>0</v>
      </c>
      <c r="P1667">
        <f>B1667*(hospitalityq!P1667="")</f>
        <v>0</v>
      </c>
      <c r="Q1667">
        <f>B1667*(hospitalityq!Q1667="")</f>
        <v>0</v>
      </c>
      <c r="R1667">
        <f>B1667*(hospitalityq!R1667="")</f>
        <v>0</v>
      </c>
    </row>
    <row r="1668" spans="1:18" x14ac:dyDescent="0.25">
      <c r="A1668">
        <f t="shared" si="26"/>
        <v>0</v>
      </c>
      <c r="B1668" t="b">
        <f>SUMPRODUCT(LEN(hospitalityq!C1668:R1668))&gt;0</f>
        <v>0</v>
      </c>
      <c r="C1668">
        <f>B1668*(hospitalityq!C1668="")</f>
        <v>0</v>
      </c>
      <c r="E1668">
        <f>B1668*(hospitalityq!E1668="")</f>
        <v>0</v>
      </c>
      <c r="F1668">
        <f>B1668*(hospitalityq!F1668="")</f>
        <v>0</v>
      </c>
      <c r="G1668">
        <f>B1668*(hospitalityq!G1668="")</f>
        <v>0</v>
      </c>
      <c r="H1668">
        <f>B1668*(hospitalityq!H1668="")</f>
        <v>0</v>
      </c>
      <c r="I1668">
        <f>B1668*(hospitalityq!I1668="")</f>
        <v>0</v>
      </c>
      <c r="J1668">
        <f>B1668*(hospitalityq!J1668="")</f>
        <v>0</v>
      </c>
      <c r="K1668">
        <f>B1668*(hospitalityq!K1668="")</f>
        <v>0</v>
      </c>
      <c r="L1668">
        <f>B1668*(hospitalityq!L1668="")</f>
        <v>0</v>
      </c>
      <c r="M1668">
        <f>B1668*(hospitalityq!M1668="")</f>
        <v>0</v>
      </c>
      <c r="N1668">
        <f>B1668*(hospitalityq!N1668="")</f>
        <v>0</v>
      </c>
      <c r="O1668">
        <f>B1668*(hospitalityq!O1668="")</f>
        <v>0</v>
      </c>
      <c r="P1668">
        <f>B1668*(hospitalityq!P1668="")</f>
        <v>0</v>
      </c>
      <c r="Q1668">
        <f>B1668*(hospitalityq!Q1668="")</f>
        <v>0</v>
      </c>
      <c r="R1668">
        <f>B1668*(hospitalityq!R1668="")</f>
        <v>0</v>
      </c>
    </row>
    <row r="1669" spans="1:18" x14ac:dyDescent="0.25">
      <c r="A1669">
        <f t="shared" si="26"/>
        <v>0</v>
      </c>
      <c r="B1669" t="b">
        <f>SUMPRODUCT(LEN(hospitalityq!C1669:R1669))&gt;0</f>
        <v>0</v>
      </c>
      <c r="C1669">
        <f>B1669*(hospitalityq!C1669="")</f>
        <v>0</v>
      </c>
      <c r="E1669">
        <f>B1669*(hospitalityq!E1669="")</f>
        <v>0</v>
      </c>
      <c r="F1669">
        <f>B1669*(hospitalityq!F1669="")</f>
        <v>0</v>
      </c>
      <c r="G1669">
        <f>B1669*(hospitalityq!G1669="")</f>
        <v>0</v>
      </c>
      <c r="H1669">
        <f>B1669*(hospitalityq!H1669="")</f>
        <v>0</v>
      </c>
      <c r="I1669">
        <f>B1669*(hospitalityq!I1669="")</f>
        <v>0</v>
      </c>
      <c r="J1669">
        <f>B1669*(hospitalityq!J1669="")</f>
        <v>0</v>
      </c>
      <c r="K1669">
        <f>B1669*(hospitalityq!K1669="")</f>
        <v>0</v>
      </c>
      <c r="L1669">
        <f>B1669*(hospitalityq!L1669="")</f>
        <v>0</v>
      </c>
      <c r="M1669">
        <f>B1669*(hospitalityq!M1669="")</f>
        <v>0</v>
      </c>
      <c r="N1669">
        <f>B1669*(hospitalityq!N1669="")</f>
        <v>0</v>
      </c>
      <c r="O1669">
        <f>B1669*(hospitalityq!O1669="")</f>
        <v>0</v>
      </c>
      <c r="P1669">
        <f>B1669*(hospitalityq!P1669="")</f>
        <v>0</v>
      </c>
      <c r="Q1669">
        <f>B1669*(hospitalityq!Q1669="")</f>
        <v>0</v>
      </c>
      <c r="R1669">
        <f>B1669*(hospitalityq!R1669="")</f>
        <v>0</v>
      </c>
    </row>
    <row r="1670" spans="1:18" x14ac:dyDescent="0.25">
      <c r="A1670">
        <f t="shared" ref="A1670:A1733" si="27">IFERROR(MATCH(TRUE,INDEX(C1670:R1670&lt;&gt;0,),)+2,0)</f>
        <v>0</v>
      </c>
      <c r="B1670" t="b">
        <f>SUMPRODUCT(LEN(hospitalityq!C1670:R1670))&gt;0</f>
        <v>0</v>
      </c>
      <c r="C1670">
        <f>B1670*(hospitalityq!C1670="")</f>
        <v>0</v>
      </c>
      <c r="E1670">
        <f>B1670*(hospitalityq!E1670="")</f>
        <v>0</v>
      </c>
      <c r="F1670">
        <f>B1670*(hospitalityq!F1670="")</f>
        <v>0</v>
      </c>
      <c r="G1670">
        <f>B1670*(hospitalityq!G1670="")</f>
        <v>0</v>
      </c>
      <c r="H1670">
        <f>B1670*(hospitalityq!H1670="")</f>
        <v>0</v>
      </c>
      <c r="I1670">
        <f>B1670*(hospitalityq!I1670="")</f>
        <v>0</v>
      </c>
      <c r="J1670">
        <f>B1670*(hospitalityq!J1670="")</f>
        <v>0</v>
      </c>
      <c r="K1670">
        <f>B1670*(hospitalityq!K1670="")</f>
        <v>0</v>
      </c>
      <c r="L1670">
        <f>B1670*(hospitalityq!L1670="")</f>
        <v>0</v>
      </c>
      <c r="M1670">
        <f>B1670*(hospitalityq!M1670="")</f>
        <v>0</v>
      </c>
      <c r="N1670">
        <f>B1670*(hospitalityq!N1670="")</f>
        <v>0</v>
      </c>
      <c r="O1670">
        <f>B1670*(hospitalityq!O1670="")</f>
        <v>0</v>
      </c>
      <c r="P1670">
        <f>B1670*(hospitalityq!P1670="")</f>
        <v>0</v>
      </c>
      <c r="Q1670">
        <f>B1670*(hospitalityq!Q1670="")</f>
        <v>0</v>
      </c>
      <c r="R1670">
        <f>B1670*(hospitalityq!R1670="")</f>
        <v>0</v>
      </c>
    </row>
    <row r="1671" spans="1:18" x14ac:dyDescent="0.25">
      <c r="A1671">
        <f t="shared" si="27"/>
        <v>0</v>
      </c>
      <c r="B1671" t="b">
        <f>SUMPRODUCT(LEN(hospitalityq!C1671:R1671))&gt;0</f>
        <v>0</v>
      </c>
      <c r="C1671">
        <f>B1671*(hospitalityq!C1671="")</f>
        <v>0</v>
      </c>
      <c r="E1671">
        <f>B1671*(hospitalityq!E1671="")</f>
        <v>0</v>
      </c>
      <c r="F1671">
        <f>B1671*(hospitalityq!F1671="")</f>
        <v>0</v>
      </c>
      <c r="G1671">
        <f>B1671*(hospitalityq!G1671="")</f>
        <v>0</v>
      </c>
      <c r="H1671">
        <f>B1671*(hospitalityq!H1671="")</f>
        <v>0</v>
      </c>
      <c r="I1671">
        <f>B1671*(hospitalityq!I1671="")</f>
        <v>0</v>
      </c>
      <c r="J1671">
        <f>B1671*(hospitalityq!J1671="")</f>
        <v>0</v>
      </c>
      <c r="K1671">
        <f>B1671*(hospitalityq!K1671="")</f>
        <v>0</v>
      </c>
      <c r="L1671">
        <f>B1671*(hospitalityq!L1671="")</f>
        <v>0</v>
      </c>
      <c r="M1671">
        <f>B1671*(hospitalityq!M1671="")</f>
        <v>0</v>
      </c>
      <c r="N1671">
        <f>B1671*(hospitalityq!N1671="")</f>
        <v>0</v>
      </c>
      <c r="O1671">
        <f>B1671*(hospitalityq!O1671="")</f>
        <v>0</v>
      </c>
      <c r="P1671">
        <f>B1671*(hospitalityq!P1671="")</f>
        <v>0</v>
      </c>
      <c r="Q1671">
        <f>B1671*(hospitalityq!Q1671="")</f>
        <v>0</v>
      </c>
      <c r="R1671">
        <f>B1671*(hospitalityq!R1671="")</f>
        <v>0</v>
      </c>
    </row>
    <row r="1672" spans="1:18" x14ac:dyDescent="0.25">
      <c r="A1672">
        <f t="shared" si="27"/>
        <v>0</v>
      </c>
      <c r="B1672" t="b">
        <f>SUMPRODUCT(LEN(hospitalityq!C1672:R1672))&gt;0</f>
        <v>0</v>
      </c>
      <c r="C1672">
        <f>B1672*(hospitalityq!C1672="")</f>
        <v>0</v>
      </c>
      <c r="E1672">
        <f>B1672*(hospitalityq!E1672="")</f>
        <v>0</v>
      </c>
      <c r="F1672">
        <f>B1672*(hospitalityq!F1672="")</f>
        <v>0</v>
      </c>
      <c r="G1672">
        <f>B1672*(hospitalityq!G1672="")</f>
        <v>0</v>
      </c>
      <c r="H1672">
        <f>B1672*(hospitalityq!H1672="")</f>
        <v>0</v>
      </c>
      <c r="I1672">
        <f>B1672*(hospitalityq!I1672="")</f>
        <v>0</v>
      </c>
      <c r="J1672">
        <f>B1672*(hospitalityq!J1672="")</f>
        <v>0</v>
      </c>
      <c r="K1672">
        <f>B1672*(hospitalityq!K1672="")</f>
        <v>0</v>
      </c>
      <c r="L1672">
        <f>B1672*(hospitalityq!L1672="")</f>
        <v>0</v>
      </c>
      <c r="M1672">
        <f>B1672*(hospitalityq!M1672="")</f>
        <v>0</v>
      </c>
      <c r="N1672">
        <f>B1672*(hospitalityq!N1672="")</f>
        <v>0</v>
      </c>
      <c r="O1672">
        <f>B1672*(hospitalityq!O1672="")</f>
        <v>0</v>
      </c>
      <c r="P1672">
        <f>B1672*(hospitalityq!P1672="")</f>
        <v>0</v>
      </c>
      <c r="Q1672">
        <f>B1672*(hospitalityq!Q1672="")</f>
        <v>0</v>
      </c>
      <c r="R1672">
        <f>B1672*(hospitalityq!R1672="")</f>
        <v>0</v>
      </c>
    </row>
    <row r="1673" spans="1:18" x14ac:dyDescent="0.25">
      <c r="A1673">
        <f t="shared" si="27"/>
        <v>0</v>
      </c>
      <c r="B1673" t="b">
        <f>SUMPRODUCT(LEN(hospitalityq!C1673:R1673))&gt;0</f>
        <v>0</v>
      </c>
      <c r="C1673">
        <f>B1673*(hospitalityq!C1673="")</f>
        <v>0</v>
      </c>
      <c r="E1673">
        <f>B1673*(hospitalityq!E1673="")</f>
        <v>0</v>
      </c>
      <c r="F1673">
        <f>B1673*(hospitalityq!F1673="")</f>
        <v>0</v>
      </c>
      <c r="G1673">
        <f>B1673*(hospitalityq!G1673="")</f>
        <v>0</v>
      </c>
      <c r="H1673">
        <f>B1673*(hospitalityq!H1673="")</f>
        <v>0</v>
      </c>
      <c r="I1673">
        <f>B1673*(hospitalityq!I1673="")</f>
        <v>0</v>
      </c>
      <c r="J1673">
        <f>B1673*(hospitalityq!J1673="")</f>
        <v>0</v>
      </c>
      <c r="K1673">
        <f>B1673*(hospitalityq!K1673="")</f>
        <v>0</v>
      </c>
      <c r="L1673">
        <f>B1673*(hospitalityq!L1673="")</f>
        <v>0</v>
      </c>
      <c r="M1673">
        <f>B1673*(hospitalityq!M1673="")</f>
        <v>0</v>
      </c>
      <c r="N1673">
        <f>B1673*(hospitalityq!N1673="")</f>
        <v>0</v>
      </c>
      <c r="O1673">
        <f>B1673*(hospitalityq!O1673="")</f>
        <v>0</v>
      </c>
      <c r="P1673">
        <f>B1673*(hospitalityq!P1673="")</f>
        <v>0</v>
      </c>
      <c r="Q1673">
        <f>B1673*(hospitalityq!Q1673="")</f>
        <v>0</v>
      </c>
      <c r="R1673">
        <f>B1673*(hospitalityq!R1673="")</f>
        <v>0</v>
      </c>
    </row>
    <row r="1674" spans="1:18" x14ac:dyDescent="0.25">
      <c r="A1674">
        <f t="shared" si="27"/>
        <v>0</v>
      </c>
      <c r="B1674" t="b">
        <f>SUMPRODUCT(LEN(hospitalityq!C1674:R1674))&gt;0</f>
        <v>0</v>
      </c>
      <c r="C1674">
        <f>B1674*(hospitalityq!C1674="")</f>
        <v>0</v>
      </c>
      <c r="E1674">
        <f>B1674*(hospitalityq!E1674="")</f>
        <v>0</v>
      </c>
      <c r="F1674">
        <f>B1674*(hospitalityq!F1674="")</f>
        <v>0</v>
      </c>
      <c r="G1674">
        <f>B1674*(hospitalityq!G1674="")</f>
        <v>0</v>
      </c>
      <c r="H1674">
        <f>B1674*(hospitalityq!H1674="")</f>
        <v>0</v>
      </c>
      <c r="I1674">
        <f>B1674*(hospitalityq!I1674="")</f>
        <v>0</v>
      </c>
      <c r="J1674">
        <f>B1674*(hospitalityq!J1674="")</f>
        <v>0</v>
      </c>
      <c r="K1674">
        <f>B1674*(hospitalityq!K1674="")</f>
        <v>0</v>
      </c>
      <c r="L1674">
        <f>B1674*(hospitalityq!L1674="")</f>
        <v>0</v>
      </c>
      <c r="M1674">
        <f>B1674*(hospitalityq!M1674="")</f>
        <v>0</v>
      </c>
      <c r="N1674">
        <f>B1674*(hospitalityq!N1674="")</f>
        <v>0</v>
      </c>
      <c r="O1674">
        <f>B1674*(hospitalityq!O1674="")</f>
        <v>0</v>
      </c>
      <c r="P1674">
        <f>B1674*(hospitalityq!P1674="")</f>
        <v>0</v>
      </c>
      <c r="Q1674">
        <f>B1674*(hospitalityq!Q1674="")</f>
        <v>0</v>
      </c>
      <c r="R1674">
        <f>B1674*(hospitalityq!R1674="")</f>
        <v>0</v>
      </c>
    </row>
    <row r="1675" spans="1:18" x14ac:dyDescent="0.25">
      <c r="A1675">
        <f t="shared" si="27"/>
        <v>0</v>
      </c>
      <c r="B1675" t="b">
        <f>SUMPRODUCT(LEN(hospitalityq!C1675:R1675))&gt;0</f>
        <v>0</v>
      </c>
      <c r="C1675">
        <f>B1675*(hospitalityq!C1675="")</f>
        <v>0</v>
      </c>
      <c r="E1675">
        <f>B1675*(hospitalityq!E1675="")</f>
        <v>0</v>
      </c>
      <c r="F1675">
        <f>B1675*(hospitalityq!F1675="")</f>
        <v>0</v>
      </c>
      <c r="G1675">
        <f>B1675*(hospitalityq!G1675="")</f>
        <v>0</v>
      </c>
      <c r="H1675">
        <f>B1675*(hospitalityq!H1675="")</f>
        <v>0</v>
      </c>
      <c r="I1675">
        <f>B1675*(hospitalityq!I1675="")</f>
        <v>0</v>
      </c>
      <c r="J1675">
        <f>B1675*(hospitalityq!J1675="")</f>
        <v>0</v>
      </c>
      <c r="K1675">
        <f>B1675*(hospitalityq!K1675="")</f>
        <v>0</v>
      </c>
      <c r="L1675">
        <f>B1675*(hospitalityq!L1675="")</f>
        <v>0</v>
      </c>
      <c r="M1675">
        <f>B1675*(hospitalityq!M1675="")</f>
        <v>0</v>
      </c>
      <c r="N1675">
        <f>B1675*(hospitalityq!N1675="")</f>
        <v>0</v>
      </c>
      <c r="O1675">
        <f>B1675*(hospitalityq!O1675="")</f>
        <v>0</v>
      </c>
      <c r="P1675">
        <f>B1675*(hospitalityq!P1675="")</f>
        <v>0</v>
      </c>
      <c r="Q1675">
        <f>B1675*(hospitalityq!Q1675="")</f>
        <v>0</v>
      </c>
      <c r="R1675">
        <f>B1675*(hospitalityq!R1675="")</f>
        <v>0</v>
      </c>
    </row>
    <row r="1676" spans="1:18" x14ac:dyDescent="0.25">
      <c r="A1676">
        <f t="shared" si="27"/>
        <v>0</v>
      </c>
      <c r="B1676" t="b">
        <f>SUMPRODUCT(LEN(hospitalityq!C1676:R1676))&gt;0</f>
        <v>0</v>
      </c>
      <c r="C1676">
        <f>B1676*(hospitalityq!C1676="")</f>
        <v>0</v>
      </c>
      <c r="E1676">
        <f>B1676*(hospitalityq!E1676="")</f>
        <v>0</v>
      </c>
      <c r="F1676">
        <f>B1676*(hospitalityq!F1676="")</f>
        <v>0</v>
      </c>
      <c r="G1676">
        <f>B1676*(hospitalityq!G1676="")</f>
        <v>0</v>
      </c>
      <c r="H1676">
        <f>B1676*(hospitalityq!H1676="")</f>
        <v>0</v>
      </c>
      <c r="I1676">
        <f>B1676*(hospitalityq!I1676="")</f>
        <v>0</v>
      </c>
      <c r="J1676">
        <f>B1676*(hospitalityq!J1676="")</f>
        <v>0</v>
      </c>
      <c r="K1676">
        <f>B1676*(hospitalityq!K1676="")</f>
        <v>0</v>
      </c>
      <c r="L1676">
        <f>B1676*(hospitalityq!L1676="")</f>
        <v>0</v>
      </c>
      <c r="M1676">
        <f>B1676*(hospitalityq!M1676="")</f>
        <v>0</v>
      </c>
      <c r="N1676">
        <f>B1676*(hospitalityq!N1676="")</f>
        <v>0</v>
      </c>
      <c r="O1676">
        <f>B1676*(hospitalityq!O1676="")</f>
        <v>0</v>
      </c>
      <c r="P1676">
        <f>B1676*(hospitalityq!P1676="")</f>
        <v>0</v>
      </c>
      <c r="Q1676">
        <f>B1676*(hospitalityq!Q1676="")</f>
        <v>0</v>
      </c>
      <c r="R1676">
        <f>B1676*(hospitalityq!R1676="")</f>
        <v>0</v>
      </c>
    </row>
    <row r="1677" spans="1:18" x14ac:dyDescent="0.25">
      <c r="A1677">
        <f t="shared" si="27"/>
        <v>0</v>
      </c>
      <c r="B1677" t="b">
        <f>SUMPRODUCT(LEN(hospitalityq!C1677:R1677))&gt;0</f>
        <v>0</v>
      </c>
      <c r="C1677">
        <f>B1677*(hospitalityq!C1677="")</f>
        <v>0</v>
      </c>
      <c r="E1677">
        <f>B1677*(hospitalityq!E1677="")</f>
        <v>0</v>
      </c>
      <c r="F1677">
        <f>B1677*(hospitalityq!F1677="")</f>
        <v>0</v>
      </c>
      <c r="G1677">
        <f>B1677*(hospitalityq!G1677="")</f>
        <v>0</v>
      </c>
      <c r="H1677">
        <f>B1677*(hospitalityq!H1677="")</f>
        <v>0</v>
      </c>
      <c r="I1677">
        <f>B1677*(hospitalityq!I1677="")</f>
        <v>0</v>
      </c>
      <c r="J1677">
        <f>B1677*(hospitalityq!J1677="")</f>
        <v>0</v>
      </c>
      <c r="K1677">
        <f>B1677*(hospitalityq!K1677="")</f>
        <v>0</v>
      </c>
      <c r="L1677">
        <f>B1677*(hospitalityq!L1677="")</f>
        <v>0</v>
      </c>
      <c r="M1677">
        <f>B1677*(hospitalityq!M1677="")</f>
        <v>0</v>
      </c>
      <c r="N1677">
        <f>B1677*(hospitalityq!N1677="")</f>
        <v>0</v>
      </c>
      <c r="O1677">
        <f>B1677*(hospitalityq!O1677="")</f>
        <v>0</v>
      </c>
      <c r="P1677">
        <f>B1677*(hospitalityq!P1677="")</f>
        <v>0</v>
      </c>
      <c r="Q1677">
        <f>B1677*(hospitalityq!Q1677="")</f>
        <v>0</v>
      </c>
      <c r="R1677">
        <f>B1677*(hospitalityq!R1677="")</f>
        <v>0</v>
      </c>
    </row>
    <row r="1678" spans="1:18" x14ac:dyDescent="0.25">
      <c r="A1678">
        <f t="shared" si="27"/>
        <v>0</v>
      </c>
      <c r="B1678" t="b">
        <f>SUMPRODUCT(LEN(hospitalityq!C1678:R1678))&gt;0</f>
        <v>0</v>
      </c>
      <c r="C1678">
        <f>B1678*(hospitalityq!C1678="")</f>
        <v>0</v>
      </c>
      <c r="E1678">
        <f>B1678*(hospitalityq!E1678="")</f>
        <v>0</v>
      </c>
      <c r="F1678">
        <f>B1678*(hospitalityq!F1678="")</f>
        <v>0</v>
      </c>
      <c r="G1678">
        <f>B1678*(hospitalityq!G1678="")</f>
        <v>0</v>
      </c>
      <c r="H1678">
        <f>B1678*(hospitalityq!H1678="")</f>
        <v>0</v>
      </c>
      <c r="I1678">
        <f>B1678*(hospitalityq!I1678="")</f>
        <v>0</v>
      </c>
      <c r="J1678">
        <f>B1678*(hospitalityq!J1678="")</f>
        <v>0</v>
      </c>
      <c r="K1678">
        <f>B1678*(hospitalityq!K1678="")</f>
        <v>0</v>
      </c>
      <c r="L1678">
        <f>B1678*(hospitalityq!L1678="")</f>
        <v>0</v>
      </c>
      <c r="M1678">
        <f>B1678*(hospitalityq!M1678="")</f>
        <v>0</v>
      </c>
      <c r="N1678">
        <f>B1678*(hospitalityq!N1678="")</f>
        <v>0</v>
      </c>
      <c r="O1678">
        <f>B1678*(hospitalityq!O1678="")</f>
        <v>0</v>
      </c>
      <c r="P1678">
        <f>B1678*(hospitalityq!P1678="")</f>
        <v>0</v>
      </c>
      <c r="Q1678">
        <f>B1678*(hospitalityq!Q1678="")</f>
        <v>0</v>
      </c>
      <c r="R1678">
        <f>B1678*(hospitalityq!R1678="")</f>
        <v>0</v>
      </c>
    </row>
    <row r="1679" spans="1:18" x14ac:dyDescent="0.25">
      <c r="A1679">
        <f t="shared" si="27"/>
        <v>0</v>
      </c>
      <c r="B1679" t="b">
        <f>SUMPRODUCT(LEN(hospitalityq!C1679:R1679))&gt;0</f>
        <v>0</v>
      </c>
      <c r="C1679">
        <f>B1679*(hospitalityq!C1679="")</f>
        <v>0</v>
      </c>
      <c r="E1679">
        <f>B1679*(hospitalityq!E1679="")</f>
        <v>0</v>
      </c>
      <c r="F1679">
        <f>B1679*(hospitalityq!F1679="")</f>
        <v>0</v>
      </c>
      <c r="G1679">
        <f>B1679*(hospitalityq!G1679="")</f>
        <v>0</v>
      </c>
      <c r="H1679">
        <f>B1679*(hospitalityq!H1679="")</f>
        <v>0</v>
      </c>
      <c r="I1679">
        <f>B1679*(hospitalityq!I1679="")</f>
        <v>0</v>
      </c>
      <c r="J1679">
        <f>B1679*(hospitalityq!J1679="")</f>
        <v>0</v>
      </c>
      <c r="K1679">
        <f>B1679*(hospitalityq!K1679="")</f>
        <v>0</v>
      </c>
      <c r="L1679">
        <f>B1679*(hospitalityq!L1679="")</f>
        <v>0</v>
      </c>
      <c r="M1679">
        <f>B1679*(hospitalityq!M1679="")</f>
        <v>0</v>
      </c>
      <c r="N1679">
        <f>B1679*(hospitalityq!N1679="")</f>
        <v>0</v>
      </c>
      <c r="O1679">
        <f>B1679*(hospitalityq!O1679="")</f>
        <v>0</v>
      </c>
      <c r="P1679">
        <f>B1679*(hospitalityq!P1679="")</f>
        <v>0</v>
      </c>
      <c r="Q1679">
        <f>B1679*(hospitalityq!Q1679="")</f>
        <v>0</v>
      </c>
      <c r="R1679">
        <f>B1679*(hospitalityq!R1679="")</f>
        <v>0</v>
      </c>
    </row>
    <row r="1680" spans="1:18" x14ac:dyDescent="0.25">
      <c r="A1680">
        <f t="shared" si="27"/>
        <v>0</v>
      </c>
      <c r="B1680" t="b">
        <f>SUMPRODUCT(LEN(hospitalityq!C1680:R1680))&gt;0</f>
        <v>0</v>
      </c>
      <c r="C1680">
        <f>B1680*(hospitalityq!C1680="")</f>
        <v>0</v>
      </c>
      <c r="E1680">
        <f>B1680*(hospitalityq!E1680="")</f>
        <v>0</v>
      </c>
      <c r="F1680">
        <f>B1680*(hospitalityq!F1680="")</f>
        <v>0</v>
      </c>
      <c r="G1680">
        <f>B1680*(hospitalityq!G1680="")</f>
        <v>0</v>
      </c>
      <c r="H1680">
        <f>B1680*(hospitalityq!H1680="")</f>
        <v>0</v>
      </c>
      <c r="I1680">
        <f>B1680*(hospitalityq!I1680="")</f>
        <v>0</v>
      </c>
      <c r="J1680">
        <f>B1680*(hospitalityq!J1680="")</f>
        <v>0</v>
      </c>
      <c r="K1680">
        <f>B1680*(hospitalityq!K1680="")</f>
        <v>0</v>
      </c>
      <c r="L1680">
        <f>B1680*(hospitalityq!L1680="")</f>
        <v>0</v>
      </c>
      <c r="M1680">
        <f>B1680*(hospitalityq!M1680="")</f>
        <v>0</v>
      </c>
      <c r="N1680">
        <f>B1680*(hospitalityq!N1680="")</f>
        <v>0</v>
      </c>
      <c r="O1680">
        <f>B1680*(hospitalityq!O1680="")</f>
        <v>0</v>
      </c>
      <c r="P1680">
        <f>B1680*(hospitalityq!P1680="")</f>
        <v>0</v>
      </c>
      <c r="Q1680">
        <f>B1680*(hospitalityq!Q1680="")</f>
        <v>0</v>
      </c>
      <c r="R1680">
        <f>B1680*(hospitalityq!R1680="")</f>
        <v>0</v>
      </c>
    </row>
    <row r="1681" spans="1:18" x14ac:dyDescent="0.25">
      <c r="A1681">
        <f t="shared" si="27"/>
        <v>0</v>
      </c>
      <c r="B1681" t="b">
        <f>SUMPRODUCT(LEN(hospitalityq!C1681:R1681))&gt;0</f>
        <v>0</v>
      </c>
      <c r="C1681">
        <f>B1681*(hospitalityq!C1681="")</f>
        <v>0</v>
      </c>
      <c r="E1681">
        <f>B1681*(hospitalityq!E1681="")</f>
        <v>0</v>
      </c>
      <c r="F1681">
        <f>B1681*(hospitalityq!F1681="")</f>
        <v>0</v>
      </c>
      <c r="G1681">
        <f>B1681*(hospitalityq!G1681="")</f>
        <v>0</v>
      </c>
      <c r="H1681">
        <f>B1681*(hospitalityq!H1681="")</f>
        <v>0</v>
      </c>
      <c r="I1681">
        <f>B1681*(hospitalityq!I1681="")</f>
        <v>0</v>
      </c>
      <c r="J1681">
        <f>B1681*(hospitalityq!J1681="")</f>
        <v>0</v>
      </c>
      <c r="K1681">
        <f>B1681*(hospitalityq!K1681="")</f>
        <v>0</v>
      </c>
      <c r="L1681">
        <f>B1681*(hospitalityq!L1681="")</f>
        <v>0</v>
      </c>
      <c r="M1681">
        <f>B1681*(hospitalityq!M1681="")</f>
        <v>0</v>
      </c>
      <c r="N1681">
        <f>B1681*(hospitalityq!N1681="")</f>
        <v>0</v>
      </c>
      <c r="O1681">
        <f>B1681*(hospitalityq!O1681="")</f>
        <v>0</v>
      </c>
      <c r="P1681">
        <f>B1681*(hospitalityq!P1681="")</f>
        <v>0</v>
      </c>
      <c r="Q1681">
        <f>B1681*(hospitalityq!Q1681="")</f>
        <v>0</v>
      </c>
      <c r="R1681">
        <f>B1681*(hospitalityq!R1681="")</f>
        <v>0</v>
      </c>
    </row>
    <row r="1682" spans="1:18" x14ac:dyDescent="0.25">
      <c r="A1682">
        <f t="shared" si="27"/>
        <v>0</v>
      </c>
      <c r="B1682" t="b">
        <f>SUMPRODUCT(LEN(hospitalityq!C1682:R1682))&gt;0</f>
        <v>0</v>
      </c>
      <c r="C1682">
        <f>B1682*(hospitalityq!C1682="")</f>
        <v>0</v>
      </c>
      <c r="E1682">
        <f>B1682*(hospitalityq!E1682="")</f>
        <v>0</v>
      </c>
      <c r="F1682">
        <f>B1682*(hospitalityq!F1682="")</f>
        <v>0</v>
      </c>
      <c r="G1682">
        <f>B1682*(hospitalityq!G1682="")</f>
        <v>0</v>
      </c>
      <c r="H1682">
        <f>B1682*(hospitalityq!H1682="")</f>
        <v>0</v>
      </c>
      <c r="I1682">
        <f>B1682*(hospitalityq!I1682="")</f>
        <v>0</v>
      </c>
      <c r="J1682">
        <f>B1682*(hospitalityq!J1682="")</f>
        <v>0</v>
      </c>
      <c r="K1682">
        <f>B1682*(hospitalityq!K1682="")</f>
        <v>0</v>
      </c>
      <c r="L1682">
        <f>B1682*(hospitalityq!L1682="")</f>
        <v>0</v>
      </c>
      <c r="M1682">
        <f>B1682*(hospitalityq!M1682="")</f>
        <v>0</v>
      </c>
      <c r="N1682">
        <f>B1682*(hospitalityq!N1682="")</f>
        <v>0</v>
      </c>
      <c r="O1682">
        <f>B1682*(hospitalityq!O1682="")</f>
        <v>0</v>
      </c>
      <c r="P1682">
        <f>B1682*(hospitalityq!P1682="")</f>
        <v>0</v>
      </c>
      <c r="Q1682">
        <f>B1682*(hospitalityq!Q1682="")</f>
        <v>0</v>
      </c>
      <c r="R1682">
        <f>B1682*(hospitalityq!R1682="")</f>
        <v>0</v>
      </c>
    </row>
    <row r="1683" spans="1:18" x14ac:dyDescent="0.25">
      <c r="A1683">
        <f t="shared" si="27"/>
        <v>0</v>
      </c>
      <c r="B1683" t="b">
        <f>SUMPRODUCT(LEN(hospitalityq!C1683:R1683))&gt;0</f>
        <v>0</v>
      </c>
      <c r="C1683">
        <f>B1683*(hospitalityq!C1683="")</f>
        <v>0</v>
      </c>
      <c r="E1683">
        <f>B1683*(hospitalityq!E1683="")</f>
        <v>0</v>
      </c>
      <c r="F1683">
        <f>B1683*(hospitalityq!F1683="")</f>
        <v>0</v>
      </c>
      <c r="G1683">
        <f>B1683*(hospitalityq!G1683="")</f>
        <v>0</v>
      </c>
      <c r="H1683">
        <f>B1683*(hospitalityq!H1683="")</f>
        <v>0</v>
      </c>
      <c r="I1683">
        <f>B1683*(hospitalityq!I1683="")</f>
        <v>0</v>
      </c>
      <c r="J1683">
        <f>B1683*(hospitalityq!J1683="")</f>
        <v>0</v>
      </c>
      <c r="K1683">
        <f>B1683*(hospitalityq!K1683="")</f>
        <v>0</v>
      </c>
      <c r="L1683">
        <f>B1683*(hospitalityq!L1683="")</f>
        <v>0</v>
      </c>
      <c r="M1683">
        <f>B1683*(hospitalityq!M1683="")</f>
        <v>0</v>
      </c>
      <c r="N1683">
        <f>B1683*(hospitalityq!N1683="")</f>
        <v>0</v>
      </c>
      <c r="O1683">
        <f>B1683*(hospitalityq!O1683="")</f>
        <v>0</v>
      </c>
      <c r="P1683">
        <f>B1683*(hospitalityq!P1683="")</f>
        <v>0</v>
      </c>
      <c r="Q1683">
        <f>B1683*(hospitalityq!Q1683="")</f>
        <v>0</v>
      </c>
      <c r="R1683">
        <f>B1683*(hospitalityq!R1683="")</f>
        <v>0</v>
      </c>
    </row>
    <row r="1684" spans="1:18" x14ac:dyDescent="0.25">
      <c r="A1684">
        <f t="shared" si="27"/>
        <v>0</v>
      </c>
      <c r="B1684" t="b">
        <f>SUMPRODUCT(LEN(hospitalityq!C1684:R1684))&gt;0</f>
        <v>0</v>
      </c>
      <c r="C1684">
        <f>B1684*(hospitalityq!C1684="")</f>
        <v>0</v>
      </c>
      <c r="E1684">
        <f>B1684*(hospitalityq!E1684="")</f>
        <v>0</v>
      </c>
      <c r="F1684">
        <f>B1684*(hospitalityq!F1684="")</f>
        <v>0</v>
      </c>
      <c r="G1684">
        <f>B1684*(hospitalityq!G1684="")</f>
        <v>0</v>
      </c>
      <c r="H1684">
        <f>B1684*(hospitalityq!H1684="")</f>
        <v>0</v>
      </c>
      <c r="I1684">
        <f>B1684*(hospitalityq!I1684="")</f>
        <v>0</v>
      </c>
      <c r="J1684">
        <f>B1684*(hospitalityq!J1684="")</f>
        <v>0</v>
      </c>
      <c r="K1684">
        <f>B1684*(hospitalityq!K1684="")</f>
        <v>0</v>
      </c>
      <c r="L1684">
        <f>B1684*(hospitalityq!L1684="")</f>
        <v>0</v>
      </c>
      <c r="M1684">
        <f>B1684*(hospitalityq!M1684="")</f>
        <v>0</v>
      </c>
      <c r="N1684">
        <f>B1684*(hospitalityq!N1684="")</f>
        <v>0</v>
      </c>
      <c r="O1684">
        <f>B1684*(hospitalityq!O1684="")</f>
        <v>0</v>
      </c>
      <c r="P1684">
        <f>B1684*(hospitalityq!P1684="")</f>
        <v>0</v>
      </c>
      <c r="Q1684">
        <f>B1684*(hospitalityq!Q1684="")</f>
        <v>0</v>
      </c>
      <c r="R1684">
        <f>B1684*(hospitalityq!R1684="")</f>
        <v>0</v>
      </c>
    </row>
    <row r="1685" spans="1:18" x14ac:dyDescent="0.25">
      <c r="A1685">
        <f t="shared" si="27"/>
        <v>0</v>
      </c>
      <c r="B1685" t="b">
        <f>SUMPRODUCT(LEN(hospitalityq!C1685:R1685))&gt;0</f>
        <v>0</v>
      </c>
      <c r="C1685">
        <f>B1685*(hospitalityq!C1685="")</f>
        <v>0</v>
      </c>
      <c r="E1685">
        <f>B1685*(hospitalityq!E1685="")</f>
        <v>0</v>
      </c>
      <c r="F1685">
        <f>B1685*(hospitalityq!F1685="")</f>
        <v>0</v>
      </c>
      <c r="G1685">
        <f>B1685*(hospitalityq!G1685="")</f>
        <v>0</v>
      </c>
      <c r="H1685">
        <f>B1685*(hospitalityq!H1685="")</f>
        <v>0</v>
      </c>
      <c r="I1685">
        <f>B1685*(hospitalityq!I1685="")</f>
        <v>0</v>
      </c>
      <c r="J1685">
        <f>B1685*(hospitalityq!J1685="")</f>
        <v>0</v>
      </c>
      <c r="K1685">
        <f>B1685*(hospitalityq!K1685="")</f>
        <v>0</v>
      </c>
      <c r="L1685">
        <f>B1685*(hospitalityq!L1685="")</f>
        <v>0</v>
      </c>
      <c r="M1685">
        <f>B1685*(hospitalityq!M1685="")</f>
        <v>0</v>
      </c>
      <c r="N1685">
        <f>B1685*(hospitalityq!N1685="")</f>
        <v>0</v>
      </c>
      <c r="O1685">
        <f>B1685*(hospitalityq!O1685="")</f>
        <v>0</v>
      </c>
      <c r="P1685">
        <f>B1685*(hospitalityq!P1685="")</f>
        <v>0</v>
      </c>
      <c r="Q1685">
        <f>B1685*(hospitalityq!Q1685="")</f>
        <v>0</v>
      </c>
      <c r="R1685">
        <f>B1685*(hospitalityq!R1685="")</f>
        <v>0</v>
      </c>
    </row>
    <row r="1686" spans="1:18" x14ac:dyDescent="0.25">
      <c r="A1686">
        <f t="shared" si="27"/>
        <v>0</v>
      </c>
      <c r="B1686" t="b">
        <f>SUMPRODUCT(LEN(hospitalityq!C1686:R1686))&gt;0</f>
        <v>0</v>
      </c>
      <c r="C1686">
        <f>B1686*(hospitalityq!C1686="")</f>
        <v>0</v>
      </c>
      <c r="E1686">
        <f>B1686*(hospitalityq!E1686="")</f>
        <v>0</v>
      </c>
      <c r="F1686">
        <f>B1686*(hospitalityq!F1686="")</f>
        <v>0</v>
      </c>
      <c r="G1686">
        <f>B1686*(hospitalityq!G1686="")</f>
        <v>0</v>
      </c>
      <c r="H1686">
        <f>B1686*(hospitalityq!H1686="")</f>
        <v>0</v>
      </c>
      <c r="I1686">
        <f>B1686*(hospitalityq!I1686="")</f>
        <v>0</v>
      </c>
      <c r="J1686">
        <f>B1686*(hospitalityq!J1686="")</f>
        <v>0</v>
      </c>
      <c r="K1686">
        <f>B1686*(hospitalityq!K1686="")</f>
        <v>0</v>
      </c>
      <c r="L1686">
        <f>B1686*(hospitalityq!L1686="")</f>
        <v>0</v>
      </c>
      <c r="M1686">
        <f>B1686*(hospitalityq!M1686="")</f>
        <v>0</v>
      </c>
      <c r="N1686">
        <f>B1686*(hospitalityq!N1686="")</f>
        <v>0</v>
      </c>
      <c r="O1686">
        <f>B1686*(hospitalityq!O1686="")</f>
        <v>0</v>
      </c>
      <c r="P1686">
        <f>B1686*(hospitalityq!P1686="")</f>
        <v>0</v>
      </c>
      <c r="Q1686">
        <f>B1686*(hospitalityq!Q1686="")</f>
        <v>0</v>
      </c>
      <c r="R1686">
        <f>B1686*(hospitalityq!R1686="")</f>
        <v>0</v>
      </c>
    </row>
    <row r="1687" spans="1:18" x14ac:dyDescent="0.25">
      <c r="A1687">
        <f t="shared" si="27"/>
        <v>0</v>
      </c>
      <c r="B1687" t="b">
        <f>SUMPRODUCT(LEN(hospitalityq!C1687:R1687))&gt;0</f>
        <v>0</v>
      </c>
      <c r="C1687">
        <f>B1687*(hospitalityq!C1687="")</f>
        <v>0</v>
      </c>
      <c r="E1687">
        <f>B1687*(hospitalityq!E1687="")</f>
        <v>0</v>
      </c>
      <c r="F1687">
        <f>B1687*(hospitalityq!F1687="")</f>
        <v>0</v>
      </c>
      <c r="G1687">
        <f>B1687*(hospitalityq!G1687="")</f>
        <v>0</v>
      </c>
      <c r="H1687">
        <f>B1687*(hospitalityq!H1687="")</f>
        <v>0</v>
      </c>
      <c r="I1687">
        <f>B1687*(hospitalityq!I1687="")</f>
        <v>0</v>
      </c>
      <c r="J1687">
        <f>B1687*(hospitalityq!J1687="")</f>
        <v>0</v>
      </c>
      <c r="K1687">
        <f>B1687*(hospitalityq!K1687="")</f>
        <v>0</v>
      </c>
      <c r="L1687">
        <f>B1687*(hospitalityq!L1687="")</f>
        <v>0</v>
      </c>
      <c r="M1687">
        <f>B1687*(hospitalityq!M1687="")</f>
        <v>0</v>
      </c>
      <c r="N1687">
        <f>B1687*(hospitalityq!N1687="")</f>
        <v>0</v>
      </c>
      <c r="O1687">
        <f>B1687*(hospitalityq!O1687="")</f>
        <v>0</v>
      </c>
      <c r="P1687">
        <f>B1687*(hospitalityq!P1687="")</f>
        <v>0</v>
      </c>
      <c r="Q1687">
        <f>B1687*(hospitalityq!Q1687="")</f>
        <v>0</v>
      </c>
      <c r="R1687">
        <f>B1687*(hospitalityq!R1687="")</f>
        <v>0</v>
      </c>
    </row>
    <row r="1688" spans="1:18" x14ac:dyDescent="0.25">
      <c r="A1688">
        <f t="shared" si="27"/>
        <v>0</v>
      </c>
      <c r="B1688" t="b">
        <f>SUMPRODUCT(LEN(hospitalityq!C1688:R1688))&gt;0</f>
        <v>0</v>
      </c>
      <c r="C1688">
        <f>B1688*(hospitalityq!C1688="")</f>
        <v>0</v>
      </c>
      <c r="E1688">
        <f>B1688*(hospitalityq!E1688="")</f>
        <v>0</v>
      </c>
      <c r="F1688">
        <f>B1688*(hospitalityq!F1688="")</f>
        <v>0</v>
      </c>
      <c r="G1688">
        <f>B1688*(hospitalityq!G1688="")</f>
        <v>0</v>
      </c>
      <c r="H1688">
        <f>B1688*(hospitalityq!H1688="")</f>
        <v>0</v>
      </c>
      <c r="I1688">
        <f>B1688*(hospitalityq!I1688="")</f>
        <v>0</v>
      </c>
      <c r="J1688">
        <f>B1688*(hospitalityq!J1688="")</f>
        <v>0</v>
      </c>
      <c r="K1688">
        <f>B1688*(hospitalityq!K1688="")</f>
        <v>0</v>
      </c>
      <c r="L1688">
        <f>B1688*(hospitalityq!L1688="")</f>
        <v>0</v>
      </c>
      <c r="M1688">
        <f>B1688*(hospitalityq!M1688="")</f>
        <v>0</v>
      </c>
      <c r="N1688">
        <f>B1688*(hospitalityq!N1688="")</f>
        <v>0</v>
      </c>
      <c r="O1688">
        <f>B1688*(hospitalityq!O1688="")</f>
        <v>0</v>
      </c>
      <c r="P1688">
        <f>B1688*(hospitalityq!P1688="")</f>
        <v>0</v>
      </c>
      <c r="Q1688">
        <f>B1688*(hospitalityq!Q1688="")</f>
        <v>0</v>
      </c>
      <c r="R1688">
        <f>B1688*(hospitalityq!R1688="")</f>
        <v>0</v>
      </c>
    </row>
    <row r="1689" spans="1:18" x14ac:dyDescent="0.25">
      <c r="A1689">
        <f t="shared" si="27"/>
        <v>0</v>
      </c>
      <c r="B1689" t="b">
        <f>SUMPRODUCT(LEN(hospitalityq!C1689:R1689))&gt;0</f>
        <v>0</v>
      </c>
      <c r="C1689">
        <f>B1689*(hospitalityq!C1689="")</f>
        <v>0</v>
      </c>
      <c r="E1689">
        <f>B1689*(hospitalityq!E1689="")</f>
        <v>0</v>
      </c>
      <c r="F1689">
        <f>B1689*(hospitalityq!F1689="")</f>
        <v>0</v>
      </c>
      <c r="G1689">
        <f>B1689*(hospitalityq!G1689="")</f>
        <v>0</v>
      </c>
      <c r="H1689">
        <f>B1689*(hospitalityq!H1689="")</f>
        <v>0</v>
      </c>
      <c r="I1689">
        <f>B1689*(hospitalityq!I1689="")</f>
        <v>0</v>
      </c>
      <c r="J1689">
        <f>B1689*(hospitalityq!J1689="")</f>
        <v>0</v>
      </c>
      <c r="K1689">
        <f>B1689*(hospitalityq!K1689="")</f>
        <v>0</v>
      </c>
      <c r="L1689">
        <f>B1689*(hospitalityq!L1689="")</f>
        <v>0</v>
      </c>
      <c r="M1689">
        <f>B1689*(hospitalityq!M1689="")</f>
        <v>0</v>
      </c>
      <c r="N1689">
        <f>B1689*(hospitalityq!N1689="")</f>
        <v>0</v>
      </c>
      <c r="O1689">
        <f>B1689*(hospitalityq!O1689="")</f>
        <v>0</v>
      </c>
      <c r="P1689">
        <f>B1689*(hospitalityq!P1689="")</f>
        <v>0</v>
      </c>
      <c r="Q1689">
        <f>B1689*(hospitalityq!Q1689="")</f>
        <v>0</v>
      </c>
      <c r="R1689">
        <f>B1689*(hospitalityq!R1689="")</f>
        <v>0</v>
      </c>
    </row>
    <row r="1690" spans="1:18" x14ac:dyDescent="0.25">
      <c r="A1690">
        <f t="shared" si="27"/>
        <v>0</v>
      </c>
      <c r="B1690" t="b">
        <f>SUMPRODUCT(LEN(hospitalityq!C1690:R1690))&gt;0</f>
        <v>0</v>
      </c>
      <c r="C1690">
        <f>B1690*(hospitalityq!C1690="")</f>
        <v>0</v>
      </c>
      <c r="E1690">
        <f>B1690*(hospitalityq!E1690="")</f>
        <v>0</v>
      </c>
      <c r="F1690">
        <f>B1690*(hospitalityq!F1690="")</f>
        <v>0</v>
      </c>
      <c r="G1690">
        <f>B1690*(hospitalityq!G1690="")</f>
        <v>0</v>
      </c>
      <c r="H1690">
        <f>B1690*(hospitalityq!H1690="")</f>
        <v>0</v>
      </c>
      <c r="I1690">
        <f>B1690*(hospitalityq!I1690="")</f>
        <v>0</v>
      </c>
      <c r="J1690">
        <f>B1690*(hospitalityq!J1690="")</f>
        <v>0</v>
      </c>
      <c r="K1690">
        <f>B1690*(hospitalityq!K1690="")</f>
        <v>0</v>
      </c>
      <c r="L1690">
        <f>B1690*(hospitalityq!L1690="")</f>
        <v>0</v>
      </c>
      <c r="M1690">
        <f>B1690*(hospitalityq!M1690="")</f>
        <v>0</v>
      </c>
      <c r="N1690">
        <f>B1690*(hospitalityq!N1690="")</f>
        <v>0</v>
      </c>
      <c r="O1690">
        <f>B1690*(hospitalityq!O1690="")</f>
        <v>0</v>
      </c>
      <c r="P1690">
        <f>B1690*(hospitalityq!P1690="")</f>
        <v>0</v>
      </c>
      <c r="Q1690">
        <f>B1690*(hospitalityq!Q1690="")</f>
        <v>0</v>
      </c>
      <c r="R1690">
        <f>B1690*(hospitalityq!R1690="")</f>
        <v>0</v>
      </c>
    </row>
    <row r="1691" spans="1:18" x14ac:dyDescent="0.25">
      <c r="A1691">
        <f t="shared" si="27"/>
        <v>0</v>
      </c>
      <c r="B1691" t="b">
        <f>SUMPRODUCT(LEN(hospitalityq!C1691:R1691))&gt;0</f>
        <v>0</v>
      </c>
      <c r="C1691">
        <f>B1691*(hospitalityq!C1691="")</f>
        <v>0</v>
      </c>
      <c r="E1691">
        <f>B1691*(hospitalityq!E1691="")</f>
        <v>0</v>
      </c>
      <c r="F1691">
        <f>B1691*(hospitalityq!F1691="")</f>
        <v>0</v>
      </c>
      <c r="G1691">
        <f>B1691*(hospitalityq!G1691="")</f>
        <v>0</v>
      </c>
      <c r="H1691">
        <f>B1691*(hospitalityq!H1691="")</f>
        <v>0</v>
      </c>
      <c r="I1691">
        <f>B1691*(hospitalityq!I1691="")</f>
        <v>0</v>
      </c>
      <c r="J1691">
        <f>B1691*(hospitalityq!J1691="")</f>
        <v>0</v>
      </c>
      <c r="K1691">
        <f>B1691*(hospitalityq!K1691="")</f>
        <v>0</v>
      </c>
      <c r="L1691">
        <f>B1691*(hospitalityq!L1691="")</f>
        <v>0</v>
      </c>
      <c r="M1691">
        <f>B1691*(hospitalityq!M1691="")</f>
        <v>0</v>
      </c>
      <c r="N1691">
        <f>B1691*(hospitalityq!N1691="")</f>
        <v>0</v>
      </c>
      <c r="O1691">
        <f>B1691*(hospitalityq!O1691="")</f>
        <v>0</v>
      </c>
      <c r="P1691">
        <f>B1691*(hospitalityq!P1691="")</f>
        <v>0</v>
      </c>
      <c r="Q1691">
        <f>B1691*(hospitalityq!Q1691="")</f>
        <v>0</v>
      </c>
      <c r="R1691">
        <f>B1691*(hospitalityq!R1691="")</f>
        <v>0</v>
      </c>
    </row>
    <row r="1692" spans="1:18" x14ac:dyDescent="0.25">
      <c r="A1692">
        <f t="shared" si="27"/>
        <v>0</v>
      </c>
      <c r="B1692" t="b">
        <f>SUMPRODUCT(LEN(hospitalityq!C1692:R1692))&gt;0</f>
        <v>0</v>
      </c>
      <c r="C1692">
        <f>B1692*(hospitalityq!C1692="")</f>
        <v>0</v>
      </c>
      <c r="E1692">
        <f>B1692*(hospitalityq!E1692="")</f>
        <v>0</v>
      </c>
      <c r="F1692">
        <f>B1692*(hospitalityq!F1692="")</f>
        <v>0</v>
      </c>
      <c r="G1692">
        <f>B1692*(hospitalityq!G1692="")</f>
        <v>0</v>
      </c>
      <c r="H1692">
        <f>B1692*(hospitalityq!H1692="")</f>
        <v>0</v>
      </c>
      <c r="I1692">
        <f>B1692*(hospitalityq!I1692="")</f>
        <v>0</v>
      </c>
      <c r="J1692">
        <f>B1692*(hospitalityq!J1692="")</f>
        <v>0</v>
      </c>
      <c r="K1692">
        <f>B1692*(hospitalityq!K1692="")</f>
        <v>0</v>
      </c>
      <c r="L1692">
        <f>B1692*(hospitalityq!L1692="")</f>
        <v>0</v>
      </c>
      <c r="M1692">
        <f>B1692*(hospitalityq!M1692="")</f>
        <v>0</v>
      </c>
      <c r="N1692">
        <f>B1692*(hospitalityq!N1692="")</f>
        <v>0</v>
      </c>
      <c r="O1692">
        <f>B1692*(hospitalityq!O1692="")</f>
        <v>0</v>
      </c>
      <c r="P1692">
        <f>B1692*(hospitalityq!P1692="")</f>
        <v>0</v>
      </c>
      <c r="Q1692">
        <f>B1692*(hospitalityq!Q1692="")</f>
        <v>0</v>
      </c>
      <c r="R1692">
        <f>B1692*(hospitalityq!R1692="")</f>
        <v>0</v>
      </c>
    </row>
    <row r="1693" spans="1:18" x14ac:dyDescent="0.25">
      <c r="A1693">
        <f t="shared" si="27"/>
        <v>0</v>
      </c>
      <c r="B1693" t="b">
        <f>SUMPRODUCT(LEN(hospitalityq!C1693:R1693))&gt;0</f>
        <v>0</v>
      </c>
      <c r="C1693">
        <f>B1693*(hospitalityq!C1693="")</f>
        <v>0</v>
      </c>
      <c r="E1693">
        <f>B1693*(hospitalityq!E1693="")</f>
        <v>0</v>
      </c>
      <c r="F1693">
        <f>B1693*(hospitalityq!F1693="")</f>
        <v>0</v>
      </c>
      <c r="G1693">
        <f>B1693*(hospitalityq!G1693="")</f>
        <v>0</v>
      </c>
      <c r="H1693">
        <f>B1693*(hospitalityq!H1693="")</f>
        <v>0</v>
      </c>
      <c r="I1693">
        <f>B1693*(hospitalityq!I1693="")</f>
        <v>0</v>
      </c>
      <c r="J1693">
        <f>B1693*(hospitalityq!J1693="")</f>
        <v>0</v>
      </c>
      <c r="K1693">
        <f>B1693*(hospitalityq!K1693="")</f>
        <v>0</v>
      </c>
      <c r="L1693">
        <f>B1693*(hospitalityq!L1693="")</f>
        <v>0</v>
      </c>
      <c r="M1693">
        <f>B1693*(hospitalityq!M1693="")</f>
        <v>0</v>
      </c>
      <c r="N1693">
        <f>B1693*(hospitalityq!N1693="")</f>
        <v>0</v>
      </c>
      <c r="O1693">
        <f>B1693*(hospitalityq!O1693="")</f>
        <v>0</v>
      </c>
      <c r="P1693">
        <f>B1693*(hospitalityq!P1693="")</f>
        <v>0</v>
      </c>
      <c r="Q1693">
        <f>B1693*(hospitalityq!Q1693="")</f>
        <v>0</v>
      </c>
      <c r="R1693">
        <f>B1693*(hospitalityq!R1693="")</f>
        <v>0</v>
      </c>
    </row>
    <row r="1694" spans="1:18" x14ac:dyDescent="0.25">
      <c r="A1694">
        <f t="shared" si="27"/>
        <v>0</v>
      </c>
      <c r="B1694" t="b">
        <f>SUMPRODUCT(LEN(hospitalityq!C1694:R1694))&gt;0</f>
        <v>0</v>
      </c>
      <c r="C1694">
        <f>B1694*(hospitalityq!C1694="")</f>
        <v>0</v>
      </c>
      <c r="E1694">
        <f>B1694*(hospitalityq!E1694="")</f>
        <v>0</v>
      </c>
      <c r="F1694">
        <f>B1694*(hospitalityq!F1694="")</f>
        <v>0</v>
      </c>
      <c r="G1694">
        <f>B1694*(hospitalityq!G1694="")</f>
        <v>0</v>
      </c>
      <c r="H1694">
        <f>B1694*(hospitalityq!H1694="")</f>
        <v>0</v>
      </c>
      <c r="I1694">
        <f>B1694*(hospitalityq!I1694="")</f>
        <v>0</v>
      </c>
      <c r="J1694">
        <f>B1694*(hospitalityq!J1694="")</f>
        <v>0</v>
      </c>
      <c r="K1694">
        <f>B1694*(hospitalityq!K1694="")</f>
        <v>0</v>
      </c>
      <c r="L1694">
        <f>B1694*(hospitalityq!L1694="")</f>
        <v>0</v>
      </c>
      <c r="M1694">
        <f>B1694*(hospitalityq!M1694="")</f>
        <v>0</v>
      </c>
      <c r="N1694">
        <f>B1694*(hospitalityq!N1694="")</f>
        <v>0</v>
      </c>
      <c r="O1694">
        <f>B1694*(hospitalityq!O1694="")</f>
        <v>0</v>
      </c>
      <c r="P1694">
        <f>B1694*(hospitalityq!P1694="")</f>
        <v>0</v>
      </c>
      <c r="Q1694">
        <f>B1694*(hospitalityq!Q1694="")</f>
        <v>0</v>
      </c>
      <c r="R1694">
        <f>B1694*(hospitalityq!R1694="")</f>
        <v>0</v>
      </c>
    </row>
    <row r="1695" spans="1:18" x14ac:dyDescent="0.25">
      <c r="A1695">
        <f t="shared" si="27"/>
        <v>0</v>
      </c>
      <c r="B1695" t="b">
        <f>SUMPRODUCT(LEN(hospitalityq!C1695:R1695))&gt;0</f>
        <v>0</v>
      </c>
      <c r="C1695">
        <f>B1695*(hospitalityq!C1695="")</f>
        <v>0</v>
      </c>
      <c r="E1695">
        <f>B1695*(hospitalityq!E1695="")</f>
        <v>0</v>
      </c>
      <c r="F1695">
        <f>B1695*(hospitalityq!F1695="")</f>
        <v>0</v>
      </c>
      <c r="G1695">
        <f>B1695*(hospitalityq!G1695="")</f>
        <v>0</v>
      </c>
      <c r="H1695">
        <f>B1695*(hospitalityq!H1695="")</f>
        <v>0</v>
      </c>
      <c r="I1695">
        <f>B1695*(hospitalityq!I1695="")</f>
        <v>0</v>
      </c>
      <c r="J1695">
        <f>B1695*(hospitalityq!J1695="")</f>
        <v>0</v>
      </c>
      <c r="K1695">
        <f>B1695*(hospitalityq!K1695="")</f>
        <v>0</v>
      </c>
      <c r="L1695">
        <f>B1695*(hospitalityq!L1695="")</f>
        <v>0</v>
      </c>
      <c r="M1695">
        <f>B1695*(hospitalityq!M1695="")</f>
        <v>0</v>
      </c>
      <c r="N1695">
        <f>B1695*(hospitalityq!N1695="")</f>
        <v>0</v>
      </c>
      <c r="O1695">
        <f>B1695*(hospitalityq!O1695="")</f>
        <v>0</v>
      </c>
      <c r="P1695">
        <f>B1695*(hospitalityq!P1695="")</f>
        <v>0</v>
      </c>
      <c r="Q1695">
        <f>B1695*(hospitalityq!Q1695="")</f>
        <v>0</v>
      </c>
      <c r="R1695">
        <f>B1695*(hospitalityq!R1695="")</f>
        <v>0</v>
      </c>
    </row>
    <row r="1696" spans="1:18" x14ac:dyDescent="0.25">
      <c r="A1696">
        <f t="shared" si="27"/>
        <v>0</v>
      </c>
      <c r="B1696" t="b">
        <f>SUMPRODUCT(LEN(hospitalityq!C1696:R1696))&gt;0</f>
        <v>0</v>
      </c>
      <c r="C1696">
        <f>B1696*(hospitalityq!C1696="")</f>
        <v>0</v>
      </c>
      <c r="E1696">
        <f>B1696*(hospitalityq!E1696="")</f>
        <v>0</v>
      </c>
      <c r="F1696">
        <f>B1696*(hospitalityq!F1696="")</f>
        <v>0</v>
      </c>
      <c r="G1696">
        <f>B1696*(hospitalityq!G1696="")</f>
        <v>0</v>
      </c>
      <c r="H1696">
        <f>B1696*(hospitalityq!H1696="")</f>
        <v>0</v>
      </c>
      <c r="I1696">
        <f>B1696*(hospitalityq!I1696="")</f>
        <v>0</v>
      </c>
      <c r="J1696">
        <f>B1696*(hospitalityq!J1696="")</f>
        <v>0</v>
      </c>
      <c r="K1696">
        <f>B1696*(hospitalityq!K1696="")</f>
        <v>0</v>
      </c>
      <c r="L1696">
        <f>B1696*(hospitalityq!L1696="")</f>
        <v>0</v>
      </c>
      <c r="M1696">
        <f>B1696*(hospitalityq!M1696="")</f>
        <v>0</v>
      </c>
      <c r="N1696">
        <f>B1696*(hospitalityq!N1696="")</f>
        <v>0</v>
      </c>
      <c r="O1696">
        <f>B1696*(hospitalityq!O1696="")</f>
        <v>0</v>
      </c>
      <c r="P1696">
        <f>B1696*(hospitalityq!P1696="")</f>
        <v>0</v>
      </c>
      <c r="Q1696">
        <f>B1696*(hospitalityq!Q1696="")</f>
        <v>0</v>
      </c>
      <c r="R1696">
        <f>B1696*(hospitalityq!R1696="")</f>
        <v>0</v>
      </c>
    </row>
    <row r="1697" spans="1:18" x14ac:dyDescent="0.25">
      <c r="A1697">
        <f t="shared" si="27"/>
        <v>0</v>
      </c>
      <c r="B1697" t="b">
        <f>SUMPRODUCT(LEN(hospitalityq!C1697:R1697))&gt;0</f>
        <v>0</v>
      </c>
      <c r="C1697">
        <f>B1697*(hospitalityq!C1697="")</f>
        <v>0</v>
      </c>
      <c r="E1697">
        <f>B1697*(hospitalityq!E1697="")</f>
        <v>0</v>
      </c>
      <c r="F1697">
        <f>B1697*(hospitalityq!F1697="")</f>
        <v>0</v>
      </c>
      <c r="G1697">
        <f>B1697*(hospitalityq!G1697="")</f>
        <v>0</v>
      </c>
      <c r="H1697">
        <f>B1697*(hospitalityq!H1697="")</f>
        <v>0</v>
      </c>
      <c r="I1697">
        <f>B1697*(hospitalityq!I1697="")</f>
        <v>0</v>
      </c>
      <c r="J1697">
        <f>B1697*(hospitalityq!J1697="")</f>
        <v>0</v>
      </c>
      <c r="K1697">
        <f>B1697*(hospitalityq!K1697="")</f>
        <v>0</v>
      </c>
      <c r="L1697">
        <f>B1697*(hospitalityq!L1697="")</f>
        <v>0</v>
      </c>
      <c r="M1697">
        <f>B1697*(hospitalityq!M1697="")</f>
        <v>0</v>
      </c>
      <c r="N1697">
        <f>B1697*(hospitalityq!N1697="")</f>
        <v>0</v>
      </c>
      <c r="O1697">
        <f>B1697*(hospitalityq!O1697="")</f>
        <v>0</v>
      </c>
      <c r="P1697">
        <f>B1697*(hospitalityq!P1697="")</f>
        <v>0</v>
      </c>
      <c r="Q1697">
        <f>B1697*(hospitalityq!Q1697="")</f>
        <v>0</v>
      </c>
      <c r="R1697">
        <f>B1697*(hospitalityq!R1697="")</f>
        <v>0</v>
      </c>
    </row>
    <row r="1698" spans="1:18" x14ac:dyDescent="0.25">
      <c r="A1698">
        <f t="shared" si="27"/>
        <v>0</v>
      </c>
      <c r="B1698" t="b">
        <f>SUMPRODUCT(LEN(hospitalityq!C1698:R1698))&gt;0</f>
        <v>0</v>
      </c>
      <c r="C1698">
        <f>B1698*(hospitalityq!C1698="")</f>
        <v>0</v>
      </c>
      <c r="E1698">
        <f>B1698*(hospitalityq!E1698="")</f>
        <v>0</v>
      </c>
      <c r="F1698">
        <f>B1698*(hospitalityq!F1698="")</f>
        <v>0</v>
      </c>
      <c r="G1698">
        <f>B1698*(hospitalityq!G1698="")</f>
        <v>0</v>
      </c>
      <c r="H1698">
        <f>B1698*(hospitalityq!H1698="")</f>
        <v>0</v>
      </c>
      <c r="I1698">
        <f>B1698*(hospitalityq!I1698="")</f>
        <v>0</v>
      </c>
      <c r="J1698">
        <f>B1698*(hospitalityq!J1698="")</f>
        <v>0</v>
      </c>
      <c r="K1698">
        <f>B1698*(hospitalityq!K1698="")</f>
        <v>0</v>
      </c>
      <c r="L1698">
        <f>B1698*(hospitalityq!L1698="")</f>
        <v>0</v>
      </c>
      <c r="M1698">
        <f>B1698*(hospitalityq!M1698="")</f>
        <v>0</v>
      </c>
      <c r="N1698">
        <f>B1698*(hospitalityq!N1698="")</f>
        <v>0</v>
      </c>
      <c r="O1698">
        <f>B1698*(hospitalityq!O1698="")</f>
        <v>0</v>
      </c>
      <c r="P1698">
        <f>B1698*(hospitalityq!P1698="")</f>
        <v>0</v>
      </c>
      <c r="Q1698">
        <f>B1698*(hospitalityq!Q1698="")</f>
        <v>0</v>
      </c>
      <c r="R1698">
        <f>B1698*(hospitalityq!R1698="")</f>
        <v>0</v>
      </c>
    </row>
    <row r="1699" spans="1:18" x14ac:dyDescent="0.25">
      <c r="A1699">
        <f t="shared" si="27"/>
        <v>0</v>
      </c>
      <c r="B1699" t="b">
        <f>SUMPRODUCT(LEN(hospitalityq!C1699:R1699))&gt;0</f>
        <v>0</v>
      </c>
      <c r="C1699">
        <f>B1699*(hospitalityq!C1699="")</f>
        <v>0</v>
      </c>
      <c r="E1699">
        <f>B1699*(hospitalityq!E1699="")</f>
        <v>0</v>
      </c>
      <c r="F1699">
        <f>B1699*(hospitalityq!F1699="")</f>
        <v>0</v>
      </c>
      <c r="G1699">
        <f>B1699*(hospitalityq!G1699="")</f>
        <v>0</v>
      </c>
      <c r="H1699">
        <f>B1699*(hospitalityq!H1699="")</f>
        <v>0</v>
      </c>
      <c r="I1699">
        <f>B1699*(hospitalityq!I1699="")</f>
        <v>0</v>
      </c>
      <c r="J1699">
        <f>B1699*(hospitalityq!J1699="")</f>
        <v>0</v>
      </c>
      <c r="K1699">
        <f>B1699*(hospitalityq!K1699="")</f>
        <v>0</v>
      </c>
      <c r="L1699">
        <f>B1699*(hospitalityq!L1699="")</f>
        <v>0</v>
      </c>
      <c r="M1699">
        <f>B1699*(hospitalityq!M1699="")</f>
        <v>0</v>
      </c>
      <c r="N1699">
        <f>B1699*(hospitalityq!N1699="")</f>
        <v>0</v>
      </c>
      <c r="O1699">
        <f>B1699*(hospitalityq!O1699="")</f>
        <v>0</v>
      </c>
      <c r="P1699">
        <f>B1699*(hospitalityq!P1699="")</f>
        <v>0</v>
      </c>
      <c r="Q1699">
        <f>B1699*(hospitalityq!Q1699="")</f>
        <v>0</v>
      </c>
      <c r="R1699">
        <f>B1699*(hospitalityq!R1699="")</f>
        <v>0</v>
      </c>
    </row>
    <row r="1700" spans="1:18" x14ac:dyDescent="0.25">
      <c r="A1700">
        <f t="shared" si="27"/>
        <v>0</v>
      </c>
      <c r="B1700" t="b">
        <f>SUMPRODUCT(LEN(hospitalityq!C1700:R1700))&gt;0</f>
        <v>0</v>
      </c>
      <c r="C1700">
        <f>B1700*(hospitalityq!C1700="")</f>
        <v>0</v>
      </c>
      <c r="E1700">
        <f>B1700*(hospitalityq!E1700="")</f>
        <v>0</v>
      </c>
      <c r="F1700">
        <f>B1700*(hospitalityq!F1700="")</f>
        <v>0</v>
      </c>
      <c r="G1700">
        <f>B1700*(hospitalityq!G1700="")</f>
        <v>0</v>
      </c>
      <c r="H1700">
        <f>B1700*(hospitalityq!H1700="")</f>
        <v>0</v>
      </c>
      <c r="I1700">
        <f>B1700*(hospitalityq!I1700="")</f>
        <v>0</v>
      </c>
      <c r="J1700">
        <f>B1700*(hospitalityq!J1700="")</f>
        <v>0</v>
      </c>
      <c r="K1700">
        <f>B1700*(hospitalityq!K1700="")</f>
        <v>0</v>
      </c>
      <c r="L1700">
        <f>B1700*(hospitalityq!L1700="")</f>
        <v>0</v>
      </c>
      <c r="M1700">
        <f>B1700*(hospitalityq!M1700="")</f>
        <v>0</v>
      </c>
      <c r="N1700">
        <f>B1700*(hospitalityq!N1700="")</f>
        <v>0</v>
      </c>
      <c r="O1700">
        <f>B1700*(hospitalityq!O1700="")</f>
        <v>0</v>
      </c>
      <c r="P1700">
        <f>B1700*(hospitalityq!P1700="")</f>
        <v>0</v>
      </c>
      <c r="Q1700">
        <f>B1700*(hospitalityq!Q1700="")</f>
        <v>0</v>
      </c>
      <c r="R1700">
        <f>B1700*(hospitalityq!R1700="")</f>
        <v>0</v>
      </c>
    </row>
    <row r="1701" spans="1:18" x14ac:dyDescent="0.25">
      <c r="A1701">
        <f t="shared" si="27"/>
        <v>0</v>
      </c>
      <c r="B1701" t="b">
        <f>SUMPRODUCT(LEN(hospitalityq!C1701:R1701))&gt;0</f>
        <v>0</v>
      </c>
      <c r="C1701">
        <f>B1701*(hospitalityq!C1701="")</f>
        <v>0</v>
      </c>
      <c r="E1701">
        <f>B1701*(hospitalityq!E1701="")</f>
        <v>0</v>
      </c>
      <c r="F1701">
        <f>B1701*(hospitalityq!F1701="")</f>
        <v>0</v>
      </c>
      <c r="G1701">
        <f>B1701*(hospitalityq!G1701="")</f>
        <v>0</v>
      </c>
      <c r="H1701">
        <f>B1701*(hospitalityq!H1701="")</f>
        <v>0</v>
      </c>
      <c r="I1701">
        <f>B1701*(hospitalityq!I1701="")</f>
        <v>0</v>
      </c>
      <c r="J1701">
        <f>B1701*(hospitalityq!J1701="")</f>
        <v>0</v>
      </c>
      <c r="K1701">
        <f>B1701*(hospitalityq!K1701="")</f>
        <v>0</v>
      </c>
      <c r="L1701">
        <f>B1701*(hospitalityq!L1701="")</f>
        <v>0</v>
      </c>
      <c r="M1701">
        <f>B1701*(hospitalityq!M1701="")</f>
        <v>0</v>
      </c>
      <c r="N1701">
        <f>B1701*(hospitalityq!N1701="")</f>
        <v>0</v>
      </c>
      <c r="O1701">
        <f>B1701*(hospitalityq!O1701="")</f>
        <v>0</v>
      </c>
      <c r="P1701">
        <f>B1701*(hospitalityq!P1701="")</f>
        <v>0</v>
      </c>
      <c r="Q1701">
        <f>B1701*(hospitalityq!Q1701="")</f>
        <v>0</v>
      </c>
      <c r="R1701">
        <f>B1701*(hospitalityq!R1701="")</f>
        <v>0</v>
      </c>
    </row>
    <row r="1702" spans="1:18" x14ac:dyDescent="0.25">
      <c r="A1702">
        <f t="shared" si="27"/>
        <v>0</v>
      </c>
      <c r="B1702" t="b">
        <f>SUMPRODUCT(LEN(hospitalityq!C1702:R1702))&gt;0</f>
        <v>0</v>
      </c>
      <c r="C1702">
        <f>B1702*(hospitalityq!C1702="")</f>
        <v>0</v>
      </c>
      <c r="E1702">
        <f>B1702*(hospitalityq!E1702="")</f>
        <v>0</v>
      </c>
      <c r="F1702">
        <f>B1702*(hospitalityq!F1702="")</f>
        <v>0</v>
      </c>
      <c r="G1702">
        <f>B1702*(hospitalityq!G1702="")</f>
        <v>0</v>
      </c>
      <c r="H1702">
        <f>B1702*(hospitalityq!H1702="")</f>
        <v>0</v>
      </c>
      <c r="I1702">
        <f>B1702*(hospitalityq!I1702="")</f>
        <v>0</v>
      </c>
      <c r="J1702">
        <f>B1702*(hospitalityq!J1702="")</f>
        <v>0</v>
      </c>
      <c r="K1702">
        <f>B1702*(hospitalityq!K1702="")</f>
        <v>0</v>
      </c>
      <c r="L1702">
        <f>B1702*(hospitalityq!L1702="")</f>
        <v>0</v>
      </c>
      <c r="M1702">
        <f>B1702*(hospitalityq!M1702="")</f>
        <v>0</v>
      </c>
      <c r="N1702">
        <f>B1702*(hospitalityq!N1702="")</f>
        <v>0</v>
      </c>
      <c r="O1702">
        <f>B1702*(hospitalityq!O1702="")</f>
        <v>0</v>
      </c>
      <c r="P1702">
        <f>B1702*(hospitalityq!P1702="")</f>
        <v>0</v>
      </c>
      <c r="Q1702">
        <f>B1702*(hospitalityq!Q1702="")</f>
        <v>0</v>
      </c>
      <c r="R1702">
        <f>B1702*(hospitalityq!R1702="")</f>
        <v>0</v>
      </c>
    </row>
    <row r="1703" spans="1:18" x14ac:dyDescent="0.25">
      <c r="A1703">
        <f t="shared" si="27"/>
        <v>0</v>
      </c>
      <c r="B1703" t="b">
        <f>SUMPRODUCT(LEN(hospitalityq!C1703:R1703))&gt;0</f>
        <v>0</v>
      </c>
      <c r="C1703">
        <f>B1703*(hospitalityq!C1703="")</f>
        <v>0</v>
      </c>
      <c r="E1703">
        <f>B1703*(hospitalityq!E1703="")</f>
        <v>0</v>
      </c>
      <c r="F1703">
        <f>B1703*(hospitalityq!F1703="")</f>
        <v>0</v>
      </c>
      <c r="G1703">
        <f>B1703*(hospitalityq!G1703="")</f>
        <v>0</v>
      </c>
      <c r="H1703">
        <f>B1703*(hospitalityq!H1703="")</f>
        <v>0</v>
      </c>
      <c r="I1703">
        <f>B1703*(hospitalityq!I1703="")</f>
        <v>0</v>
      </c>
      <c r="J1703">
        <f>B1703*(hospitalityq!J1703="")</f>
        <v>0</v>
      </c>
      <c r="K1703">
        <f>B1703*(hospitalityq!K1703="")</f>
        <v>0</v>
      </c>
      <c r="L1703">
        <f>B1703*(hospitalityq!L1703="")</f>
        <v>0</v>
      </c>
      <c r="M1703">
        <f>B1703*(hospitalityq!M1703="")</f>
        <v>0</v>
      </c>
      <c r="N1703">
        <f>B1703*(hospitalityq!N1703="")</f>
        <v>0</v>
      </c>
      <c r="O1703">
        <f>B1703*(hospitalityq!O1703="")</f>
        <v>0</v>
      </c>
      <c r="P1703">
        <f>B1703*(hospitalityq!P1703="")</f>
        <v>0</v>
      </c>
      <c r="Q1703">
        <f>B1703*(hospitalityq!Q1703="")</f>
        <v>0</v>
      </c>
      <c r="R1703">
        <f>B1703*(hospitalityq!R1703="")</f>
        <v>0</v>
      </c>
    </row>
    <row r="1704" spans="1:18" x14ac:dyDescent="0.25">
      <c r="A1704">
        <f t="shared" si="27"/>
        <v>0</v>
      </c>
      <c r="B1704" t="b">
        <f>SUMPRODUCT(LEN(hospitalityq!C1704:R1704))&gt;0</f>
        <v>0</v>
      </c>
      <c r="C1704">
        <f>B1704*(hospitalityq!C1704="")</f>
        <v>0</v>
      </c>
      <c r="E1704">
        <f>B1704*(hospitalityq!E1704="")</f>
        <v>0</v>
      </c>
      <c r="F1704">
        <f>B1704*(hospitalityq!F1704="")</f>
        <v>0</v>
      </c>
      <c r="G1704">
        <f>B1704*(hospitalityq!G1704="")</f>
        <v>0</v>
      </c>
      <c r="H1704">
        <f>B1704*(hospitalityq!H1704="")</f>
        <v>0</v>
      </c>
      <c r="I1704">
        <f>B1704*(hospitalityq!I1704="")</f>
        <v>0</v>
      </c>
      <c r="J1704">
        <f>B1704*(hospitalityq!J1704="")</f>
        <v>0</v>
      </c>
      <c r="K1704">
        <f>B1704*(hospitalityq!K1704="")</f>
        <v>0</v>
      </c>
      <c r="L1704">
        <f>B1704*(hospitalityq!L1704="")</f>
        <v>0</v>
      </c>
      <c r="M1704">
        <f>B1704*(hospitalityq!M1704="")</f>
        <v>0</v>
      </c>
      <c r="N1704">
        <f>B1704*(hospitalityq!N1704="")</f>
        <v>0</v>
      </c>
      <c r="O1704">
        <f>B1704*(hospitalityq!O1704="")</f>
        <v>0</v>
      </c>
      <c r="P1704">
        <f>B1704*(hospitalityq!P1704="")</f>
        <v>0</v>
      </c>
      <c r="Q1704">
        <f>B1704*(hospitalityq!Q1704="")</f>
        <v>0</v>
      </c>
      <c r="R1704">
        <f>B1704*(hospitalityq!R1704="")</f>
        <v>0</v>
      </c>
    </row>
    <row r="1705" spans="1:18" x14ac:dyDescent="0.25">
      <c r="A1705">
        <f t="shared" si="27"/>
        <v>0</v>
      </c>
      <c r="B1705" t="b">
        <f>SUMPRODUCT(LEN(hospitalityq!C1705:R1705))&gt;0</f>
        <v>0</v>
      </c>
      <c r="C1705">
        <f>B1705*(hospitalityq!C1705="")</f>
        <v>0</v>
      </c>
      <c r="E1705">
        <f>B1705*(hospitalityq!E1705="")</f>
        <v>0</v>
      </c>
      <c r="F1705">
        <f>B1705*(hospitalityq!F1705="")</f>
        <v>0</v>
      </c>
      <c r="G1705">
        <f>B1705*(hospitalityq!G1705="")</f>
        <v>0</v>
      </c>
      <c r="H1705">
        <f>B1705*(hospitalityq!H1705="")</f>
        <v>0</v>
      </c>
      <c r="I1705">
        <f>B1705*(hospitalityq!I1705="")</f>
        <v>0</v>
      </c>
      <c r="J1705">
        <f>B1705*(hospitalityq!J1705="")</f>
        <v>0</v>
      </c>
      <c r="K1705">
        <f>B1705*(hospitalityq!K1705="")</f>
        <v>0</v>
      </c>
      <c r="L1705">
        <f>B1705*(hospitalityq!L1705="")</f>
        <v>0</v>
      </c>
      <c r="M1705">
        <f>B1705*(hospitalityq!M1705="")</f>
        <v>0</v>
      </c>
      <c r="N1705">
        <f>B1705*(hospitalityq!N1705="")</f>
        <v>0</v>
      </c>
      <c r="O1705">
        <f>B1705*(hospitalityq!O1705="")</f>
        <v>0</v>
      </c>
      <c r="P1705">
        <f>B1705*(hospitalityq!P1705="")</f>
        <v>0</v>
      </c>
      <c r="Q1705">
        <f>B1705*(hospitalityq!Q1705="")</f>
        <v>0</v>
      </c>
      <c r="R1705">
        <f>B1705*(hospitalityq!R1705="")</f>
        <v>0</v>
      </c>
    </row>
    <row r="1706" spans="1:18" x14ac:dyDescent="0.25">
      <c r="A1706">
        <f t="shared" si="27"/>
        <v>0</v>
      </c>
      <c r="B1706" t="b">
        <f>SUMPRODUCT(LEN(hospitalityq!C1706:R1706))&gt;0</f>
        <v>0</v>
      </c>
      <c r="C1706">
        <f>B1706*(hospitalityq!C1706="")</f>
        <v>0</v>
      </c>
      <c r="E1706">
        <f>B1706*(hospitalityq!E1706="")</f>
        <v>0</v>
      </c>
      <c r="F1706">
        <f>B1706*(hospitalityq!F1706="")</f>
        <v>0</v>
      </c>
      <c r="G1706">
        <f>B1706*(hospitalityq!G1706="")</f>
        <v>0</v>
      </c>
      <c r="H1706">
        <f>B1706*(hospitalityq!H1706="")</f>
        <v>0</v>
      </c>
      <c r="I1706">
        <f>B1706*(hospitalityq!I1706="")</f>
        <v>0</v>
      </c>
      <c r="J1706">
        <f>B1706*(hospitalityq!J1706="")</f>
        <v>0</v>
      </c>
      <c r="K1706">
        <f>B1706*(hospitalityq!K1706="")</f>
        <v>0</v>
      </c>
      <c r="L1706">
        <f>B1706*(hospitalityq!L1706="")</f>
        <v>0</v>
      </c>
      <c r="M1706">
        <f>B1706*(hospitalityq!M1706="")</f>
        <v>0</v>
      </c>
      <c r="N1706">
        <f>B1706*(hospitalityq!N1706="")</f>
        <v>0</v>
      </c>
      <c r="O1706">
        <f>B1706*(hospitalityq!O1706="")</f>
        <v>0</v>
      </c>
      <c r="P1706">
        <f>B1706*(hospitalityq!P1706="")</f>
        <v>0</v>
      </c>
      <c r="Q1706">
        <f>B1706*(hospitalityq!Q1706="")</f>
        <v>0</v>
      </c>
      <c r="R1706">
        <f>B1706*(hospitalityq!R1706="")</f>
        <v>0</v>
      </c>
    </row>
    <row r="1707" spans="1:18" x14ac:dyDescent="0.25">
      <c r="A1707">
        <f t="shared" si="27"/>
        <v>0</v>
      </c>
      <c r="B1707" t="b">
        <f>SUMPRODUCT(LEN(hospitalityq!C1707:R1707))&gt;0</f>
        <v>0</v>
      </c>
      <c r="C1707">
        <f>B1707*(hospitalityq!C1707="")</f>
        <v>0</v>
      </c>
      <c r="E1707">
        <f>B1707*(hospitalityq!E1707="")</f>
        <v>0</v>
      </c>
      <c r="F1707">
        <f>B1707*(hospitalityq!F1707="")</f>
        <v>0</v>
      </c>
      <c r="G1707">
        <f>B1707*(hospitalityq!G1707="")</f>
        <v>0</v>
      </c>
      <c r="H1707">
        <f>B1707*(hospitalityq!H1707="")</f>
        <v>0</v>
      </c>
      <c r="I1707">
        <f>B1707*(hospitalityq!I1707="")</f>
        <v>0</v>
      </c>
      <c r="J1707">
        <f>B1707*(hospitalityq!J1707="")</f>
        <v>0</v>
      </c>
      <c r="K1707">
        <f>B1707*(hospitalityq!K1707="")</f>
        <v>0</v>
      </c>
      <c r="L1707">
        <f>B1707*(hospitalityq!L1707="")</f>
        <v>0</v>
      </c>
      <c r="M1707">
        <f>B1707*(hospitalityq!M1707="")</f>
        <v>0</v>
      </c>
      <c r="N1707">
        <f>B1707*(hospitalityq!N1707="")</f>
        <v>0</v>
      </c>
      <c r="O1707">
        <f>B1707*(hospitalityq!O1707="")</f>
        <v>0</v>
      </c>
      <c r="P1707">
        <f>B1707*(hospitalityq!P1707="")</f>
        <v>0</v>
      </c>
      <c r="Q1707">
        <f>B1707*(hospitalityq!Q1707="")</f>
        <v>0</v>
      </c>
      <c r="R1707">
        <f>B1707*(hospitalityq!R1707="")</f>
        <v>0</v>
      </c>
    </row>
    <row r="1708" spans="1:18" x14ac:dyDescent="0.25">
      <c r="A1708">
        <f t="shared" si="27"/>
        <v>0</v>
      </c>
      <c r="B1708" t="b">
        <f>SUMPRODUCT(LEN(hospitalityq!C1708:R1708))&gt;0</f>
        <v>0</v>
      </c>
      <c r="C1708">
        <f>B1708*(hospitalityq!C1708="")</f>
        <v>0</v>
      </c>
      <c r="E1708">
        <f>B1708*(hospitalityq!E1708="")</f>
        <v>0</v>
      </c>
      <c r="F1708">
        <f>B1708*(hospitalityq!F1708="")</f>
        <v>0</v>
      </c>
      <c r="G1708">
        <f>B1708*(hospitalityq!G1708="")</f>
        <v>0</v>
      </c>
      <c r="H1708">
        <f>B1708*(hospitalityq!H1708="")</f>
        <v>0</v>
      </c>
      <c r="I1708">
        <f>B1708*(hospitalityq!I1708="")</f>
        <v>0</v>
      </c>
      <c r="J1708">
        <f>B1708*(hospitalityq!J1708="")</f>
        <v>0</v>
      </c>
      <c r="K1708">
        <f>B1708*(hospitalityq!K1708="")</f>
        <v>0</v>
      </c>
      <c r="L1708">
        <f>B1708*(hospitalityq!L1708="")</f>
        <v>0</v>
      </c>
      <c r="M1708">
        <f>B1708*(hospitalityq!M1708="")</f>
        <v>0</v>
      </c>
      <c r="N1708">
        <f>B1708*(hospitalityq!N1708="")</f>
        <v>0</v>
      </c>
      <c r="O1708">
        <f>B1708*(hospitalityq!O1708="")</f>
        <v>0</v>
      </c>
      <c r="P1708">
        <f>B1708*(hospitalityq!P1708="")</f>
        <v>0</v>
      </c>
      <c r="Q1708">
        <f>B1708*(hospitalityq!Q1708="")</f>
        <v>0</v>
      </c>
      <c r="R1708">
        <f>B1708*(hospitalityq!R1708="")</f>
        <v>0</v>
      </c>
    </row>
    <row r="1709" spans="1:18" x14ac:dyDescent="0.25">
      <c r="A1709">
        <f t="shared" si="27"/>
        <v>0</v>
      </c>
      <c r="B1709" t="b">
        <f>SUMPRODUCT(LEN(hospitalityq!C1709:R1709))&gt;0</f>
        <v>0</v>
      </c>
      <c r="C1709">
        <f>B1709*(hospitalityq!C1709="")</f>
        <v>0</v>
      </c>
      <c r="E1709">
        <f>B1709*(hospitalityq!E1709="")</f>
        <v>0</v>
      </c>
      <c r="F1709">
        <f>B1709*(hospitalityq!F1709="")</f>
        <v>0</v>
      </c>
      <c r="G1709">
        <f>B1709*(hospitalityq!G1709="")</f>
        <v>0</v>
      </c>
      <c r="H1709">
        <f>B1709*(hospitalityq!H1709="")</f>
        <v>0</v>
      </c>
      <c r="I1709">
        <f>B1709*(hospitalityq!I1709="")</f>
        <v>0</v>
      </c>
      <c r="J1709">
        <f>B1709*(hospitalityq!J1709="")</f>
        <v>0</v>
      </c>
      <c r="K1709">
        <f>B1709*(hospitalityq!K1709="")</f>
        <v>0</v>
      </c>
      <c r="L1709">
        <f>B1709*(hospitalityq!L1709="")</f>
        <v>0</v>
      </c>
      <c r="M1709">
        <f>B1709*(hospitalityq!M1709="")</f>
        <v>0</v>
      </c>
      <c r="N1709">
        <f>B1709*(hospitalityq!N1709="")</f>
        <v>0</v>
      </c>
      <c r="O1709">
        <f>B1709*(hospitalityq!O1709="")</f>
        <v>0</v>
      </c>
      <c r="P1709">
        <f>B1709*(hospitalityq!P1709="")</f>
        <v>0</v>
      </c>
      <c r="Q1709">
        <f>B1709*(hospitalityq!Q1709="")</f>
        <v>0</v>
      </c>
      <c r="R1709">
        <f>B1709*(hospitalityq!R1709="")</f>
        <v>0</v>
      </c>
    </row>
    <row r="1710" spans="1:18" x14ac:dyDescent="0.25">
      <c r="A1710">
        <f t="shared" si="27"/>
        <v>0</v>
      </c>
      <c r="B1710" t="b">
        <f>SUMPRODUCT(LEN(hospitalityq!C1710:R1710))&gt;0</f>
        <v>0</v>
      </c>
      <c r="C1710">
        <f>B1710*(hospitalityq!C1710="")</f>
        <v>0</v>
      </c>
      <c r="E1710">
        <f>B1710*(hospitalityq!E1710="")</f>
        <v>0</v>
      </c>
      <c r="F1710">
        <f>B1710*(hospitalityq!F1710="")</f>
        <v>0</v>
      </c>
      <c r="G1710">
        <f>B1710*(hospitalityq!G1710="")</f>
        <v>0</v>
      </c>
      <c r="H1710">
        <f>B1710*(hospitalityq!H1710="")</f>
        <v>0</v>
      </c>
      <c r="I1710">
        <f>B1710*(hospitalityq!I1710="")</f>
        <v>0</v>
      </c>
      <c r="J1710">
        <f>B1710*(hospitalityq!J1710="")</f>
        <v>0</v>
      </c>
      <c r="K1710">
        <f>B1710*(hospitalityq!K1710="")</f>
        <v>0</v>
      </c>
      <c r="L1710">
        <f>B1710*(hospitalityq!L1710="")</f>
        <v>0</v>
      </c>
      <c r="M1710">
        <f>B1710*(hospitalityq!M1710="")</f>
        <v>0</v>
      </c>
      <c r="N1710">
        <f>B1710*(hospitalityq!N1710="")</f>
        <v>0</v>
      </c>
      <c r="O1710">
        <f>B1710*(hospitalityq!O1710="")</f>
        <v>0</v>
      </c>
      <c r="P1710">
        <f>B1710*(hospitalityq!P1710="")</f>
        <v>0</v>
      </c>
      <c r="Q1710">
        <f>B1710*(hospitalityq!Q1710="")</f>
        <v>0</v>
      </c>
      <c r="R1710">
        <f>B1710*(hospitalityq!R1710="")</f>
        <v>0</v>
      </c>
    </row>
    <row r="1711" spans="1:18" x14ac:dyDescent="0.25">
      <c r="A1711">
        <f t="shared" si="27"/>
        <v>0</v>
      </c>
      <c r="B1711" t="b">
        <f>SUMPRODUCT(LEN(hospitalityq!C1711:R1711))&gt;0</f>
        <v>0</v>
      </c>
      <c r="C1711">
        <f>B1711*(hospitalityq!C1711="")</f>
        <v>0</v>
      </c>
      <c r="E1711">
        <f>B1711*(hospitalityq!E1711="")</f>
        <v>0</v>
      </c>
      <c r="F1711">
        <f>B1711*(hospitalityq!F1711="")</f>
        <v>0</v>
      </c>
      <c r="G1711">
        <f>B1711*(hospitalityq!G1711="")</f>
        <v>0</v>
      </c>
      <c r="H1711">
        <f>B1711*(hospitalityq!H1711="")</f>
        <v>0</v>
      </c>
      <c r="I1711">
        <f>B1711*(hospitalityq!I1711="")</f>
        <v>0</v>
      </c>
      <c r="J1711">
        <f>B1711*(hospitalityq!J1711="")</f>
        <v>0</v>
      </c>
      <c r="K1711">
        <f>B1711*(hospitalityq!K1711="")</f>
        <v>0</v>
      </c>
      <c r="L1711">
        <f>B1711*(hospitalityq!L1711="")</f>
        <v>0</v>
      </c>
      <c r="M1711">
        <f>B1711*(hospitalityq!M1711="")</f>
        <v>0</v>
      </c>
      <c r="N1711">
        <f>B1711*(hospitalityq!N1711="")</f>
        <v>0</v>
      </c>
      <c r="O1711">
        <f>B1711*(hospitalityq!O1711="")</f>
        <v>0</v>
      </c>
      <c r="P1711">
        <f>B1711*(hospitalityq!P1711="")</f>
        <v>0</v>
      </c>
      <c r="Q1711">
        <f>B1711*(hospitalityq!Q1711="")</f>
        <v>0</v>
      </c>
      <c r="R1711">
        <f>B1711*(hospitalityq!R1711="")</f>
        <v>0</v>
      </c>
    </row>
    <row r="1712" spans="1:18" x14ac:dyDescent="0.25">
      <c r="A1712">
        <f t="shared" si="27"/>
        <v>0</v>
      </c>
      <c r="B1712" t="b">
        <f>SUMPRODUCT(LEN(hospitalityq!C1712:R1712))&gt;0</f>
        <v>0</v>
      </c>
      <c r="C1712">
        <f>B1712*(hospitalityq!C1712="")</f>
        <v>0</v>
      </c>
      <c r="E1712">
        <f>B1712*(hospitalityq!E1712="")</f>
        <v>0</v>
      </c>
      <c r="F1712">
        <f>B1712*(hospitalityq!F1712="")</f>
        <v>0</v>
      </c>
      <c r="G1712">
        <f>B1712*(hospitalityq!G1712="")</f>
        <v>0</v>
      </c>
      <c r="H1712">
        <f>B1712*(hospitalityq!H1712="")</f>
        <v>0</v>
      </c>
      <c r="I1712">
        <f>B1712*(hospitalityq!I1712="")</f>
        <v>0</v>
      </c>
      <c r="J1712">
        <f>B1712*(hospitalityq!J1712="")</f>
        <v>0</v>
      </c>
      <c r="K1712">
        <f>B1712*(hospitalityq!K1712="")</f>
        <v>0</v>
      </c>
      <c r="L1712">
        <f>B1712*(hospitalityq!L1712="")</f>
        <v>0</v>
      </c>
      <c r="M1712">
        <f>B1712*(hospitalityq!M1712="")</f>
        <v>0</v>
      </c>
      <c r="N1712">
        <f>B1712*(hospitalityq!N1712="")</f>
        <v>0</v>
      </c>
      <c r="O1712">
        <f>B1712*(hospitalityq!O1712="")</f>
        <v>0</v>
      </c>
      <c r="P1712">
        <f>B1712*(hospitalityq!P1712="")</f>
        <v>0</v>
      </c>
      <c r="Q1712">
        <f>B1712*(hospitalityq!Q1712="")</f>
        <v>0</v>
      </c>
      <c r="R1712">
        <f>B1712*(hospitalityq!R1712="")</f>
        <v>0</v>
      </c>
    </row>
    <row r="1713" spans="1:18" x14ac:dyDescent="0.25">
      <c r="A1713">
        <f t="shared" si="27"/>
        <v>0</v>
      </c>
      <c r="B1713" t="b">
        <f>SUMPRODUCT(LEN(hospitalityq!C1713:R1713))&gt;0</f>
        <v>0</v>
      </c>
      <c r="C1713">
        <f>B1713*(hospitalityq!C1713="")</f>
        <v>0</v>
      </c>
      <c r="E1713">
        <f>B1713*(hospitalityq!E1713="")</f>
        <v>0</v>
      </c>
      <c r="F1713">
        <f>B1713*(hospitalityq!F1713="")</f>
        <v>0</v>
      </c>
      <c r="G1713">
        <f>B1713*(hospitalityq!G1713="")</f>
        <v>0</v>
      </c>
      <c r="H1713">
        <f>B1713*(hospitalityq!H1713="")</f>
        <v>0</v>
      </c>
      <c r="I1713">
        <f>B1713*(hospitalityq!I1713="")</f>
        <v>0</v>
      </c>
      <c r="J1713">
        <f>B1713*(hospitalityq!J1713="")</f>
        <v>0</v>
      </c>
      <c r="K1713">
        <f>B1713*(hospitalityq!K1713="")</f>
        <v>0</v>
      </c>
      <c r="L1713">
        <f>B1713*(hospitalityq!L1713="")</f>
        <v>0</v>
      </c>
      <c r="M1713">
        <f>B1713*(hospitalityq!M1713="")</f>
        <v>0</v>
      </c>
      <c r="N1713">
        <f>B1713*(hospitalityq!N1713="")</f>
        <v>0</v>
      </c>
      <c r="O1713">
        <f>B1713*(hospitalityq!O1713="")</f>
        <v>0</v>
      </c>
      <c r="P1713">
        <f>B1713*(hospitalityq!P1713="")</f>
        <v>0</v>
      </c>
      <c r="Q1713">
        <f>B1713*(hospitalityq!Q1713="")</f>
        <v>0</v>
      </c>
      <c r="R1713">
        <f>B1713*(hospitalityq!R1713="")</f>
        <v>0</v>
      </c>
    </row>
    <row r="1714" spans="1:18" x14ac:dyDescent="0.25">
      <c r="A1714">
        <f t="shared" si="27"/>
        <v>0</v>
      </c>
      <c r="B1714" t="b">
        <f>SUMPRODUCT(LEN(hospitalityq!C1714:R1714))&gt;0</f>
        <v>0</v>
      </c>
      <c r="C1714">
        <f>B1714*(hospitalityq!C1714="")</f>
        <v>0</v>
      </c>
      <c r="E1714">
        <f>B1714*(hospitalityq!E1714="")</f>
        <v>0</v>
      </c>
      <c r="F1714">
        <f>B1714*(hospitalityq!F1714="")</f>
        <v>0</v>
      </c>
      <c r="G1714">
        <f>B1714*(hospitalityq!G1714="")</f>
        <v>0</v>
      </c>
      <c r="H1714">
        <f>B1714*(hospitalityq!H1714="")</f>
        <v>0</v>
      </c>
      <c r="I1714">
        <f>B1714*(hospitalityq!I1714="")</f>
        <v>0</v>
      </c>
      <c r="J1714">
        <f>B1714*(hospitalityq!J1714="")</f>
        <v>0</v>
      </c>
      <c r="K1714">
        <f>B1714*(hospitalityq!K1714="")</f>
        <v>0</v>
      </c>
      <c r="L1714">
        <f>B1714*(hospitalityq!L1714="")</f>
        <v>0</v>
      </c>
      <c r="M1714">
        <f>B1714*(hospitalityq!M1714="")</f>
        <v>0</v>
      </c>
      <c r="N1714">
        <f>B1714*(hospitalityq!N1714="")</f>
        <v>0</v>
      </c>
      <c r="O1714">
        <f>B1714*(hospitalityq!O1714="")</f>
        <v>0</v>
      </c>
      <c r="P1714">
        <f>B1714*(hospitalityq!P1714="")</f>
        <v>0</v>
      </c>
      <c r="Q1714">
        <f>B1714*(hospitalityq!Q1714="")</f>
        <v>0</v>
      </c>
      <c r="R1714">
        <f>B1714*(hospitalityq!R1714="")</f>
        <v>0</v>
      </c>
    </row>
    <row r="1715" spans="1:18" x14ac:dyDescent="0.25">
      <c r="A1715">
        <f t="shared" si="27"/>
        <v>0</v>
      </c>
      <c r="B1715" t="b">
        <f>SUMPRODUCT(LEN(hospitalityq!C1715:R1715))&gt;0</f>
        <v>0</v>
      </c>
      <c r="C1715">
        <f>B1715*(hospitalityq!C1715="")</f>
        <v>0</v>
      </c>
      <c r="E1715">
        <f>B1715*(hospitalityq!E1715="")</f>
        <v>0</v>
      </c>
      <c r="F1715">
        <f>B1715*(hospitalityq!F1715="")</f>
        <v>0</v>
      </c>
      <c r="G1715">
        <f>B1715*(hospitalityq!G1715="")</f>
        <v>0</v>
      </c>
      <c r="H1715">
        <f>B1715*(hospitalityq!H1715="")</f>
        <v>0</v>
      </c>
      <c r="I1715">
        <f>B1715*(hospitalityq!I1715="")</f>
        <v>0</v>
      </c>
      <c r="J1715">
        <f>B1715*(hospitalityq!J1715="")</f>
        <v>0</v>
      </c>
      <c r="K1715">
        <f>B1715*(hospitalityq!K1715="")</f>
        <v>0</v>
      </c>
      <c r="L1715">
        <f>B1715*(hospitalityq!L1715="")</f>
        <v>0</v>
      </c>
      <c r="M1715">
        <f>B1715*(hospitalityq!M1715="")</f>
        <v>0</v>
      </c>
      <c r="N1715">
        <f>B1715*(hospitalityq!N1715="")</f>
        <v>0</v>
      </c>
      <c r="O1715">
        <f>B1715*(hospitalityq!O1715="")</f>
        <v>0</v>
      </c>
      <c r="P1715">
        <f>B1715*(hospitalityq!P1715="")</f>
        <v>0</v>
      </c>
      <c r="Q1715">
        <f>B1715*(hospitalityq!Q1715="")</f>
        <v>0</v>
      </c>
      <c r="R1715">
        <f>B1715*(hospitalityq!R1715="")</f>
        <v>0</v>
      </c>
    </row>
    <row r="1716" spans="1:18" x14ac:dyDescent="0.25">
      <c r="A1716">
        <f t="shared" si="27"/>
        <v>0</v>
      </c>
      <c r="B1716" t="b">
        <f>SUMPRODUCT(LEN(hospitalityq!C1716:R1716))&gt;0</f>
        <v>0</v>
      </c>
      <c r="C1716">
        <f>B1716*(hospitalityq!C1716="")</f>
        <v>0</v>
      </c>
      <c r="E1716">
        <f>B1716*(hospitalityq!E1716="")</f>
        <v>0</v>
      </c>
      <c r="F1716">
        <f>B1716*(hospitalityq!F1716="")</f>
        <v>0</v>
      </c>
      <c r="G1716">
        <f>B1716*(hospitalityq!G1716="")</f>
        <v>0</v>
      </c>
      <c r="H1716">
        <f>B1716*(hospitalityq!H1716="")</f>
        <v>0</v>
      </c>
      <c r="I1716">
        <f>B1716*(hospitalityq!I1716="")</f>
        <v>0</v>
      </c>
      <c r="J1716">
        <f>B1716*(hospitalityq!J1716="")</f>
        <v>0</v>
      </c>
      <c r="K1716">
        <f>B1716*(hospitalityq!K1716="")</f>
        <v>0</v>
      </c>
      <c r="L1716">
        <f>B1716*(hospitalityq!L1716="")</f>
        <v>0</v>
      </c>
      <c r="M1716">
        <f>B1716*(hospitalityq!M1716="")</f>
        <v>0</v>
      </c>
      <c r="N1716">
        <f>B1716*(hospitalityq!N1716="")</f>
        <v>0</v>
      </c>
      <c r="O1716">
        <f>B1716*(hospitalityq!O1716="")</f>
        <v>0</v>
      </c>
      <c r="P1716">
        <f>B1716*(hospitalityq!P1716="")</f>
        <v>0</v>
      </c>
      <c r="Q1716">
        <f>B1716*(hospitalityq!Q1716="")</f>
        <v>0</v>
      </c>
      <c r="R1716">
        <f>B1716*(hospitalityq!R1716="")</f>
        <v>0</v>
      </c>
    </row>
    <row r="1717" spans="1:18" x14ac:dyDescent="0.25">
      <c r="A1717">
        <f t="shared" si="27"/>
        <v>0</v>
      </c>
      <c r="B1717" t="b">
        <f>SUMPRODUCT(LEN(hospitalityq!C1717:R1717))&gt;0</f>
        <v>0</v>
      </c>
      <c r="C1717">
        <f>B1717*(hospitalityq!C1717="")</f>
        <v>0</v>
      </c>
      <c r="E1717">
        <f>B1717*(hospitalityq!E1717="")</f>
        <v>0</v>
      </c>
      <c r="F1717">
        <f>B1717*(hospitalityq!F1717="")</f>
        <v>0</v>
      </c>
      <c r="G1717">
        <f>B1717*(hospitalityq!G1717="")</f>
        <v>0</v>
      </c>
      <c r="H1717">
        <f>B1717*(hospitalityq!H1717="")</f>
        <v>0</v>
      </c>
      <c r="I1717">
        <f>B1717*(hospitalityq!I1717="")</f>
        <v>0</v>
      </c>
      <c r="J1717">
        <f>B1717*(hospitalityq!J1717="")</f>
        <v>0</v>
      </c>
      <c r="K1717">
        <f>B1717*(hospitalityq!K1717="")</f>
        <v>0</v>
      </c>
      <c r="L1717">
        <f>B1717*(hospitalityq!L1717="")</f>
        <v>0</v>
      </c>
      <c r="M1717">
        <f>B1717*(hospitalityq!M1717="")</f>
        <v>0</v>
      </c>
      <c r="N1717">
        <f>B1717*(hospitalityq!N1717="")</f>
        <v>0</v>
      </c>
      <c r="O1717">
        <f>B1717*(hospitalityq!O1717="")</f>
        <v>0</v>
      </c>
      <c r="P1717">
        <f>B1717*(hospitalityq!P1717="")</f>
        <v>0</v>
      </c>
      <c r="Q1717">
        <f>B1717*(hospitalityq!Q1717="")</f>
        <v>0</v>
      </c>
      <c r="R1717">
        <f>B1717*(hospitalityq!R1717="")</f>
        <v>0</v>
      </c>
    </row>
    <row r="1718" spans="1:18" x14ac:dyDescent="0.25">
      <c r="A1718">
        <f t="shared" si="27"/>
        <v>0</v>
      </c>
      <c r="B1718" t="b">
        <f>SUMPRODUCT(LEN(hospitalityq!C1718:R1718))&gt;0</f>
        <v>0</v>
      </c>
      <c r="C1718">
        <f>B1718*(hospitalityq!C1718="")</f>
        <v>0</v>
      </c>
      <c r="E1718">
        <f>B1718*(hospitalityq!E1718="")</f>
        <v>0</v>
      </c>
      <c r="F1718">
        <f>B1718*(hospitalityq!F1718="")</f>
        <v>0</v>
      </c>
      <c r="G1718">
        <f>B1718*(hospitalityq!G1718="")</f>
        <v>0</v>
      </c>
      <c r="H1718">
        <f>B1718*(hospitalityq!H1718="")</f>
        <v>0</v>
      </c>
      <c r="I1718">
        <f>B1718*(hospitalityq!I1718="")</f>
        <v>0</v>
      </c>
      <c r="J1718">
        <f>B1718*(hospitalityq!J1718="")</f>
        <v>0</v>
      </c>
      <c r="K1718">
        <f>B1718*(hospitalityq!K1718="")</f>
        <v>0</v>
      </c>
      <c r="L1718">
        <f>B1718*(hospitalityq!L1718="")</f>
        <v>0</v>
      </c>
      <c r="M1718">
        <f>B1718*(hospitalityq!M1718="")</f>
        <v>0</v>
      </c>
      <c r="N1718">
        <f>B1718*(hospitalityq!N1718="")</f>
        <v>0</v>
      </c>
      <c r="O1718">
        <f>B1718*(hospitalityq!O1718="")</f>
        <v>0</v>
      </c>
      <c r="P1718">
        <f>B1718*(hospitalityq!P1718="")</f>
        <v>0</v>
      </c>
      <c r="Q1718">
        <f>B1718*(hospitalityq!Q1718="")</f>
        <v>0</v>
      </c>
      <c r="R1718">
        <f>B1718*(hospitalityq!R1718="")</f>
        <v>0</v>
      </c>
    </row>
    <row r="1719" spans="1:18" x14ac:dyDescent="0.25">
      <c r="A1719">
        <f t="shared" si="27"/>
        <v>0</v>
      </c>
      <c r="B1719" t="b">
        <f>SUMPRODUCT(LEN(hospitalityq!C1719:R1719))&gt;0</f>
        <v>0</v>
      </c>
      <c r="C1719">
        <f>B1719*(hospitalityq!C1719="")</f>
        <v>0</v>
      </c>
      <c r="E1719">
        <f>B1719*(hospitalityq!E1719="")</f>
        <v>0</v>
      </c>
      <c r="F1719">
        <f>B1719*(hospitalityq!F1719="")</f>
        <v>0</v>
      </c>
      <c r="G1719">
        <f>B1719*(hospitalityq!G1719="")</f>
        <v>0</v>
      </c>
      <c r="H1719">
        <f>B1719*(hospitalityq!H1719="")</f>
        <v>0</v>
      </c>
      <c r="I1719">
        <f>B1719*(hospitalityq!I1719="")</f>
        <v>0</v>
      </c>
      <c r="J1719">
        <f>B1719*(hospitalityq!J1719="")</f>
        <v>0</v>
      </c>
      <c r="K1719">
        <f>B1719*(hospitalityq!K1719="")</f>
        <v>0</v>
      </c>
      <c r="L1719">
        <f>B1719*(hospitalityq!L1719="")</f>
        <v>0</v>
      </c>
      <c r="M1719">
        <f>B1719*(hospitalityq!M1719="")</f>
        <v>0</v>
      </c>
      <c r="N1719">
        <f>B1719*(hospitalityq!N1719="")</f>
        <v>0</v>
      </c>
      <c r="O1719">
        <f>B1719*(hospitalityq!O1719="")</f>
        <v>0</v>
      </c>
      <c r="P1719">
        <f>B1719*(hospitalityq!P1719="")</f>
        <v>0</v>
      </c>
      <c r="Q1719">
        <f>B1719*(hospitalityq!Q1719="")</f>
        <v>0</v>
      </c>
      <c r="R1719">
        <f>B1719*(hospitalityq!R1719="")</f>
        <v>0</v>
      </c>
    </row>
    <row r="1720" spans="1:18" x14ac:dyDescent="0.25">
      <c r="A1720">
        <f t="shared" si="27"/>
        <v>0</v>
      </c>
      <c r="B1720" t="b">
        <f>SUMPRODUCT(LEN(hospitalityq!C1720:R1720))&gt;0</f>
        <v>0</v>
      </c>
      <c r="C1720">
        <f>B1720*(hospitalityq!C1720="")</f>
        <v>0</v>
      </c>
      <c r="E1720">
        <f>B1720*(hospitalityq!E1720="")</f>
        <v>0</v>
      </c>
      <c r="F1720">
        <f>B1720*(hospitalityq!F1720="")</f>
        <v>0</v>
      </c>
      <c r="G1720">
        <f>B1720*(hospitalityq!G1720="")</f>
        <v>0</v>
      </c>
      <c r="H1720">
        <f>B1720*(hospitalityq!H1720="")</f>
        <v>0</v>
      </c>
      <c r="I1720">
        <f>B1720*(hospitalityq!I1720="")</f>
        <v>0</v>
      </c>
      <c r="J1720">
        <f>B1720*(hospitalityq!J1720="")</f>
        <v>0</v>
      </c>
      <c r="K1720">
        <f>B1720*(hospitalityq!K1720="")</f>
        <v>0</v>
      </c>
      <c r="L1720">
        <f>B1720*(hospitalityq!L1720="")</f>
        <v>0</v>
      </c>
      <c r="M1720">
        <f>B1720*(hospitalityq!M1720="")</f>
        <v>0</v>
      </c>
      <c r="N1720">
        <f>B1720*(hospitalityq!N1720="")</f>
        <v>0</v>
      </c>
      <c r="O1720">
        <f>B1720*(hospitalityq!O1720="")</f>
        <v>0</v>
      </c>
      <c r="P1720">
        <f>B1720*(hospitalityq!P1720="")</f>
        <v>0</v>
      </c>
      <c r="Q1720">
        <f>B1720*(hospitalityq!Q1720="")</f>
        <v>0</v>
      </c>
      <c r="R1720">
        <f>B1720*(hospitalityq!R1720="")</f>
        <v>0</v>
      </c>
    </row>
    <row r="1721" spans="1:18" x14ac:dyDescent="0.25">
      <c r="A1721">
        <f t="shared" si="27"/>
        <v>0</v>
      </c>
      <c r="B1721" t="b">
        <f>SUMPRODUCT(LEN(hospitalityq!C1721:R1721))&gt;0</f>
        <v>0</v>
      </c>
      <c r="C1721">
        <f>B1721*(hospitalityq!C1721="")</f>
        <v>0</v>
      </c>
      <c r="E1721">
        <f>B1721*(hospitalityq!E1721="")</f>
        <v>0</v>
      </c>
      <c r="F1721">
        <f>B1721*(hospitalityq!F1721="")</f>
        <v>0</v>
      </c>
      <c r="G1721">
        <f>B1721*(hospitalityq!G1721="")</f>
        <v>0</v>
      </c>
      <c r="H1721">
        <f>B1721*(hospitalityq!H1721="")</f>
        <v>0</v>
      </c>
      <c r="I1721">
        <f>B1721*(hospitalityq!I1721="")</f>
        <v>0</v>
      </c>
      <c r="J1721">
        <f>B1721*(hospitalityq!J1721="")</f>
        <v>0</v>
      </c>
      <c r="K1721">
        <f>B1721*(hospitalityq!K1721="")</f>
        <v>0</v>
      </c>
      <c r="L1721">
        <f>B1721*(hospitalityq!L1721="")</f>
        <v>0</v>
      </c>
      <c r="M1721">
        <f>B1721*(hospitalityq!M1721="")</f>
        <v>0</v>
      </c>
      <c r="N1721">
        <f>B1721*(hospitalityq!N1721="")</f>
        <v>0</v>
      </c>
      <c r="O1721">
        <f>B1721*(hospitalityq!O1721="")</f>
        <v>0</v>
      </c>
      <c r="P1721">
        <f>B1721*(hospitalityq!P1721="")</f>
        <v>0</v>
      </c>
      <c r="Q1721">
        <f>B1721*(hospitalityq!Q1721="")</f>
        <v>0</v>
      </c>
      <c r="R1721">
        <f>B1721*(hospitalityq!R1721="")</f>
        <v>0</v>
      </c>
    </row>
    <row r="1722" spans="1:18" x14ac:dyDescent="0.25">
      <c r="A1722">
        <f t="shared" si="27"/>
        <v>0</v>
      </c>
      <c r="B1722" t="b">
        <f>SUMPRODUCT(LEN(hospitalityq!C1722:R1722))&gt;0</f>
        <v>0</v>
      </c>
      <c r="C1722">
        <f>B1722*(hospitalityq!C1722="")</f>
        <v>0</v>
      </c>
      <c r="E1722">
        <f>B1722*(hospitalityq!E1722="")</f>
        <v>0</v>
      </c>
      <c r="F1722">
        <f>B1722*(hospitalityq!F1722="")</f>
        <v>0</v>
      </c>
      <c r="G1722">
        <f>B1722*(hospitalityq!G1722="")</f>
        <v>0</v>
      </c>
      <c r="H1722">
        <f>B1722*(hospitalityq!H1722="")</f>
        <v>0</v>
      </c>
      <c r="I1722">
        <f>B1722*(hospitalityq!I1722="")</f>
        <v>0</v>
      </c>
      <c r="J1722">
        <f>B1722*(hospitalityq!J1722="")</f>
        <v>0</v>
      </c>
      <c r="K1722">
        <f>B1722*(hospitalityq!K1722="")</f>
        <v>0</v>
      </c>
      <c r="L1722">
        <f>B1722*(hospitalityq!L1722="")</f>
        <v>0</v>
      </c>
      <c r="M1722">
        <f>B1722*(hospitalityq!M1722="")</f>
        <v>0</v>
      </c>
      <c r="N1722">
        <f>B1722*(hospitalityq!N1722="")</f>
        <v>0</v>
      </c>
      <c r="O1722">
        <f>B1722*(hospitalityq!O1722="")</f>
        <v>0</v>
      </c>
      <c r="P1722">
        <f>B1722*(hospitalityq!P1722="")</f>
        <v>0</v>
      </c>
      <c r="Q1722">
        <f>B1722*(hospitalityq!Q1722="")</f>
        <v>0</v>
      </c>
      <c r="R1722">
        <f>B1722*(hospitalityq!R1722="")</f>
        <v>0</v>
      </c>
    </row>
    <row r="1723" spans="1:18" x14ac:dyDescent="0.25">
      <c r="A1723">
        <f t="shared" si="27"/>
        <v>0</v>
      </c>
      <c r="B1723" t="b">
        <f>SUMPRODUCT(LEN(hospitalityq!C1723:R1723))&gt;0</f>
        <v>0</v>
      </c>
      <c r="C1723">
        <f>B1723*(hospitalityq!C1723="")</f>
        <v>0</v>
      </c>
      <c r="E1723">
        <f>B1723*(hospitalityq!E1723="")</f>
        <v>0</v>
      </c>
      <c r="F1723">
        <f>B1723*(hospitalityq!F1723="")</f>
        <v>0</v>
      </c>
      <c r="G1723">
        <f>B1723*(hospitalityq!G1723="")</f>
        <v>0</v>
      </c>
      <c r="H1723">
        <f>B1723*(hospitalityq!H1723="")</f>
        <v>0</v>
      </c>
      <c r="I1723">
        <f>B1723*(hospitalityq!I1723="")</f>
        <v>0</v>
      </c>
      <c r="J1723">
        <f>B1723*(hospitalityq!J1723="")</f>
        <v>0</v>
      </c>
      <c r="K1723">
        <f>B1723*(hospitalityq!K1723="")</f>
        <v>0</v>
      </c>
      <c r="L1723">
        <f>B1723*(hospitalityq!L1723="")</f>
        <v>0</v>
      </c>
      <c r="M1723">
        <f>B1723*(hospitalityq!M1723="")</f>
        <v>0</v>
      </c>
      <c r="N1723">
        <f>B1723*(hospitalityq!N1723="")</f>
        <v>0</v>
      </c>
      <c r="O1723">
        <f>B1723*(hospitalityq!O1723="")</f>
        <v>0</v>
      </c>
      <c r="P1723">
        <f>B1723*(hospitalityq!P1723="")</f>
        <v>0</v>
      </c>
      <c r="Q1723">
        <f>B1723*(hospitalityq!Q1723="")</f>
        <v>0</v>
      </c>
      <c r="R1723">
        <f>B1723*(hospitalityq!R1723="")</f>
        <v>0</v>
      </c>
    </row>
    <row r="1724" spans="1:18" x14ac:dyDescent="0.25">
      <c r="A1724">
        <f t="shared" si="27"/>
        <v>0</v>
      </c>
      <c r="B1724" t="b">
        <f>SUMPRODUCT(LEN(hospitalityq!C1724:R1724))&gt;0</f>
        <v>0</v>
      </c>
      <c r="C1724">
        <f>B1724*(hospitalityq!C1724="")</f>
        <v>0</v>
      </c>
      <c r="E1724">
        <f>B1724*(hospitalityq!E1724="")</f>
        <v>0</v>
      </c>
      <c r="F1724">
        <f>B1724*(hospitalityq!F1724="")</f>
        <v>0</v>
      </c>
      <c r="G1724">
        <f>B1724*(hospitalityq!G1724="")</f>
        <v>0</v>
      </c>
      <c r="H1724">
        <f>B1724*(hospitalityq!H1724="")</f>
        <v>0</v>
      </c>
      <c r="I1724">
        <f>B1724*(hospitalityq!I1724="")</f>
        <v>0</v>
      </c>
      <c r="J1724">
        <f>B1724*(hospitalityq!J1724="")</f>
        <v>0</v>
      </c>
      <c r="K1724">
        <f>B1724*(hospitalityq!K1724="")</f>
        <v>0</v>
      </c>
      <c r="L1724">
        <f>B1724*(hospitalityq!L1724="")</f>
        <v>0</v>
      </c>
      <c r="M1724">
        <f>B1724*(hospitalityq!M1724="")</f>
        <v>0</v>
      </c>
      <c r="N1724">
        <f>B1724*(hospitalityq!N1724="")</f>
        <v>0</v>
      </c>
      <c r="O1724">
        <f>B1724*(hospitalityq!O1724="")</f>
        <v>0</v>
      </c>
      <c r="P1724">
        <f>B1724*(hospitalityq!P1724="")</f>
        <v>0</v>
      </c>
      <c r="Q1724">
        <f>B1724*(hospitalityq!Q1724="")</f>
        <v>0</v>
      </c>
      <c r="R1724">
        <f>B1724*(hospitalityq!R1724="")</f>
        <v>0</v>
      </c>
    </row>
    <row r="1725" spans="1:18" x14ac:dyDescent="0.25">
      <c r="A1725">
        <f t="shared" si="27"/>
        <v>0</v>
      </c>
      <c r="B1725" t="b">
        <f>SUMPRODUCT(LEN(hospitalityq!C1725:R1725))&gt;0</f>
        <v>0</v>
      </c>
      <c r="C1725">
        <f>B1725*(hospitalityq!C1725="")</f>
        <v>0</v>
      </c>
      <c r="E1725">
        <f>B1725*(hospitalityq!E1725="")</f>
        <v>0</v>
      </c>
      <c r="F1725">
        <f>B1725*(hospitalityq!F1725="")</f>
        <v>0</v>
      </c>
      <c r="G1725">
        <f>B1725*(hospitalityq!G1725="")</f>
        <v>0</v>
      </c>
      <c r="H1725">
        <f>B1725*(hospitalityq!H1725="")</f>
        <v>0</v>
      </c>
      <c r="I1725">
        <f>B1725*(hospitalityq!I1725="")</f>
        <v>0</v>
      </c>
      <c r="J1725">
        <f>B1725*(hospitalityq!J1725="")</f>
        <v>0</v>
      </c>
      <c r="K1725">
        <f>B1725*(hospitalityq!K1725="")</f>
        <v>0</v>
      </c>
      <c r="L1725">
        <f>B1725*(hospitalityq!L1725="")</f>
        <v>0</v>
      </c>
      <c r="M1725">
        <f>B1725*(hospitalityq!M1725="")</f>
        <v>0</v>
      </c>
      <c r="N1725">
        <f>B1725*(hospitalityq!N1725="")</f>
        <v>0</v>
      </c>
      <c r="O1725">
        <f>B1725*(hospitalityq!O1725="")</f>
        <v>0</v>
      </c>
      <c r="P1725">
        <f>B1725*(hospitalityq!P1725="")</f>
        <v>0</v>
      </c>
      <c r="Q1725">
        <f>B1725*(hospitalityq!Q1725="")</f>
        <v>0</v>
      </c>
      <c r="R1725">
        <f>B1725*(hospitalityq!R1725="")</f>
        <v>0</v>
      </c>
    </row>
    <row r="1726" spans="1:18" x14ac:dyDescent="0.25">
      <c r="A1726">
        <f t="shared" si="27"/>
        <v>0</v>
      </c>
      <c r="B1726" t="b">
        <f>SUMPRODUCT(LEN(hospitalityq!C1726:R1726))&gt;0</f>
        <v>0</v>
      </c>
      <c r="C1726">
        <f>B1726*(hospitalityq!C1726="")</f>
        <v>0</v>
      </c>
      <c r="E1726">
        <f>B1726*(hospitalityq!E1726="")</f>
        <v>0</v>
      </c>
      <c r="F1726">
        <f>B1726*(hospitalityq!F1726="")</f>
        <v>0</v>
      </c>
      <c r="G1726">
        <f>B1726*(hospitalityq!G1726="")</f>
        <v>0</v>
      </c>
      <c r="H1726">
        <f>B1726*(hospitalityq!H1726="")</f>
        <v>0</v>
      </c>
      <c r="I1726">
        <f>B1726*(hospitalityq!I1726="")</f>
        <v>0</v>
      </c>
      <c r="J1726">
        <f>B1726*(hospitalityq!J1726="")</f>
        <v>0</v>
      </c>
      <c r="K1726">
        <f>B1726*(hospitalityq!K1726="")</f>
        <v>0</v>
      </c>
      <c r="L1726">
        <f>B1726*(hospitalityq!L1726="")</f>
        <v>0</v>
      </c>
      <c r="M1726">
        <f>B1726*(hospitalityq!M1726="")</f>
        <v>0</v>
      </c>
      <c r="N1726">
        <f>B1726*(hospitalityq!N1726="")</f>
        <v>0</v>
      </c>
      <c r="O1726">
        <f>B1726*(hospitalityq!O1726="")</f>
        <v>0</v>
      </c>
      <c r="P1726">
        <f>B1726*(hospitalityq!P1726="")</f>
        <v>0</v>
      </c>
      <c r="Q1726">
        <f>B1726*(hospitalityq!Q1726="")</f>
        <v>0</v>
      </c>
      <c r="R1726">
        <f>B1726*(hospitalityq!R1726="")</f>
        <v>0</v>
      </c>
    </row>
    <row r="1727" spans="1:18" x14ac:dyDescent="0.25">
      <c r="A1727">
        <f t="shared" si="27"/>
        <v>0</v>
      </c>
      <c r="B1727" t="b">
        <f>SUMPRODUCT(LEN(hospitalityq!C1727:R1727))&gt;0</f>
        <v>0</v>
      </c>
      <c r="C1727">
        <f>B1727*(hospitalityq!C1727="")</f>
        <v>0</v>
      </c>
      <c r="E1727">
        <f>B1727*(hospitalityq!E1727="")</f>
        <v>0</v>
      </c>
      <c r="F1727">
        <f>B1727*(hospitalityq!F1727="")</f>
        <v>0</v>
      </c>
      <c r="G1727">
        <f>B1727*(hospitalityq!G1727="")</f>
        <v>0</v>
      </c>
      <c r="H1727">
        <f>B1727*(hospitalityq!H1727="")</f>
        <v>0</v>
      </c>
      <c r="I1727">
        <f>B1727*(hospitalityq!I1727="")</f>
        <v>0</v>
      </c>
      <c r="J1727">
        <f>B1727*(hospitalityq!J1727="")</f>
        <v>0</v>
      </c>
      <c r="K1727">
        <f>B1727*(hospitalityq!K1727="")</f>
        <v>0</v>
      </c>
      <c r="L1727">
        <f>B1727*(hospitalityq!L1727="")</f>
        <v>0</v>
      </c>
      <c r="M1727">
        <f>B1727*(hospitalityq!M1727="")</f>
        <v>0</v>
      </c>
      <c r="N1727">
        <f>B1727*(hospitalityq!N1727="")</f>
        <v>0</v>
      </c>
      <c r="O1727">
        <f>B1727*(hospitalityq!O1727="")</f>
        <v>0</v>
      </c>
      <c r="P1727">
        <f>B1727*(hospitalityq!P1727="")</f>
        <v>0</v>
      </c>
      <c r="Q1727">
        <f>B1727*(hospitalityq!Q1727="")</f>
        <v>0</v>
      </c>
      <c r="R1727">
        <f>B1727*(hospitalityq!R1727="")</f>
        <v>0</v>
      </c>
    </row>
    <row r="1728" spans="1:18" x14ac:dyDescent="0.25">
      <c r="A1728">
        <f t="shared" si="27"/>
        <v>0</v>
      </c>
      <c r="B1728" t="b">
        <f>SUMPRODUCT(LEN(hospitalityq!C1728:R1728))&gt;0</f>
        <v>0</v>
      </c>
      <c r="C1728">
        <f>B1728*(hospitalityq!C1728="")</f>
        <v>0</v>
      </c>
      <c r="E1728">
        <f>B1728*(hospitalityq!E1728="")</f>
        <v>0</v>
      </c>
      <c r="F1728">
        <f>B1728*(hospitalityq!F1728="")</f>
        <v>0</v>
      </c>
      <c r="G1728">
        <f>B1728*(hospitalityq!G1728="")</f>
        <v>0</v>
      </c>
      <c r="H1728">
        <f>B1728*(hospitalityq!H1728="")</f>
        <v>0</v>
      </c>
      <c r="I1728">
        <f>B1728*(hospitalityq!I1728="")</f>
        <v>0</v>
      </c>
      <c r="J1728">
        <f>B1728*(hospitalityq!J1728="")</f>
        <v>0</v>
      </c>
      <c r="K1728">
        <f>B1728*(hospitalityq!K1728="")</f>
        <v>0</v>
      </c>
      <c r="L1728">
        <f>B1728*(hospitalityq!L1728="")</f>
        <v>0</v>
      </c>
      <c r="M1728">
        <f>B1728*(hospitalityq!M1728="")</f>
        <v>0</v>
      </c>
      <c r="N1728">
        <f>B1728*(hospitalityq!N1728="")</f>
        <v>0</v>
      </c>
      <c r="O1728">
        <f>B1728*(hospitalityq!O1728="")</f>
        <v>0</v>
      </c>
      <c r="P1728">
        <f>B1728*(hospitalityq!P1728="")</f>
        <v>0</v>
      </c>
      <c r="Q1728">
        <f>B1728*(hospitalityq!Q1728="")</f>
        <v>0</v>
      </c>
      <c r="R1728">
        <f>B1728*(hospitalityq!R1728="")</f>
        <v>0</v>
      </c>
    </row>
    <row r="1729" spans="1:18" x14ac:dyDescent="0.25">
      <c r="A1729">
        <f t="shared" si="27"/>
        <v>0</v>
      </c>
      <c r="B1729" t="b">
        <f>SUMPRODUCT(LEN(hospitalityq!C1729:R1729))&gt;0</f>
        <v>0</v>
      </c>
      <c r="C1729">
        <f>B1729*(hospitalityq!C1729="")</f>
        <v>0</v>
      </c>
      <c r="E1729">
        <f>B1729*(hospitalityq!E1729="")</f>
        <v>0</v>
      </c>
      <c r="F1729">
        <f>B1729*(hospitalityq!F1729="")</f>
        <v>0</v>
      </c>
      <c r="G1729">
        <f>B1729*(hospitalityq!G1729="")</f>
        <v>0</v>
      </c>
      <c r="H1729">
        <f>B1729*(hospitalityq!H1729="")</f>
        <v>0</v>
      </c>
      <c r="I1729">
        <f>B1729*(hospitalityq!I1729="")</f>
        <v>0</v>
      </c>
      <c r="J1729">
        <f>B1729*(hospitalityq!J1729="")</f>
        <v>0</v>
      </c>
      <c r="K1729">
        <f>B1729*(hospitalityq!K1729="")</f>
        <v>0</v>
      </c>
      <c r="L1729">
        <f>B1729*(hospitalityq!L1729="")</f>
        <v>0</v>
      </c>
      <c r="M1729">
        <f>B1729*(hospitalityq!M1729="")</f>
        <v>0</v>
      </c>
      <c r="N1729">
        <f>B1729*(hospitalityq!N1729="")</f>
        <v>0</v>
      </c>
      <c r="O1729">
        <f>B1729*(hospitalityq!O1729="")</f>
        <v>0</v>
      </c>
      <c r="P1729">
        <f>B1729*(hospitalityq!P1729="")</f>
        <v>0</v>
      </c>
      <c r="Q1729">
        <f>B1729*(hospitalityq!Q1729="")</f>
        <v>0</v>
      </c>
      <c r="R1729">
        <f>B1729*(hospitalityq!R1729="")</f>
        <v>0</v>
      </c>
    </row>
    <row r="1730" spans="1:18" x14ac:dyDescent="0.25">
      <c r="A1730">
        <f t="shared" si="27"/>
        <v>0</v>
      </c>
      <c r="B1730" t="b">
        <f>SUMPRODUCT(LEN(hospitalityq!C1730:R1730))&gt;0</f>
        <v>0</v>
      </c>
      <c r="C1730">
        <f>B1730*(hospitalityq!C1730="")</f>
        <v>0</v>
      </c>
      <c r="E1730">
        <f>B1730*(hospitalityq!E1730="")</f>
        <v>0</v>
      </c>
      <c r="F1730">
        <f>B1730*(hospitalityq!F1730="")</f>
        <v>0</v>
      </c>
      <c r="G1730">
        <f>B1730*(hospitalityq!G1730="")</f>
        <v>0</v>
      </c>
      <c r="H1730">
        <f>B1730*(hospitalityq!H1730="")</f>
        <v>0</v>
      </c>
      <c r="I1730">
        <f>B1730*(hospitalityq!I1730="")</f>
        <v>0</v>
      </c>
      <c r="J1730">
        <f>B1730*(hospitalityq!J1730="")</f>
        <v>0</v>
      </c>
      <c r="K1730">
        <f>B1730*(hospitalityq!K1730="")</f>
        <v>0</v>
      </c>
      <c r="L1730">
        <f>B1730*(hospitalityq!L1730="")</f>
        <v>0</v>
      </c>
      <c r="M1730">
        <f>B1730*(hospitalityq!M1730="")</f>
        <v>0</v>
      </c>
      <c r="N1730">
        <f>B1730*(hospitalityq!N1730="")</f>
        <v>0</v>
      </c>
      <c r="O1730">
        <f>B1730*(hospitalityq!O1730="")</f>
        <v>0</v>
      </c>
      <c r="P1730">
        <f>B1730*(hospitalityq!P1730="")</f>
        <v>0</v>
      </c>
      <c r="Q1730">
        <f>B1730*(hospitalityq!Q1730="")</f>
        <v>0</v>
      </c>
      <c r="R1730">
        <f>B1730*(hospitalityq!R1730="")</f>
        <v>0</v>
      </c>
    </row>
    <row r="1731" spans="1:18" x14ac:dyDescent="0.25">
      <c r="A1731">
        <f t="shared" si="27"/>
        <v>0</v>
      </c>
      <c r="B1731" t="b">
        <f>SUMPRODUCT(LEN(hospitalityq!C1731:R1731))&gt;0</f>
        <v>0</v>
      </c>
      <c r="C1731">
        <f>B1731*(hospitalityq!C1731="")</f>
        <v>0</v>
      </c>
      <c r="E1731">
        <f>B1731*(hospitalityq!E1731="")</f>
        <v>0</v>
      </c>
      <c r="F1731">
        <f>B1731*(hospitalityq!F1731="")</f>
        <v>0</v>
      </c>
      <c r="G1731">
        <f>B1731*(hospitalityq!G1731="")</f>
        <v>0</v>
      </c>
      <c r="H1731">
        <f>B1731*(hospitalityq!H1731="")</f>
        <v>0</v>
      </c>
      <c r="I1731">
        <f>B1731*(hospitalityq!I1731="")</f>
        <v>0</v>
      </c>
      <c r="J1731">
        <f>B1731*(hospitalityq!J1731="")</f>
        <v>0</v>
      </c>
      <c r="K1731">
        <f>B1731*(hospitalityq!K1731="")</f>
        <v>0</v>
      </c>
      <c r="L1731">
        <f>B1731*(hospitalityq!L1731="")</f>
        <v>0</v>
      </c>
      <c r="M1731">
        <f>B1731*(hospitalityq!M1731="")</f>
        <v>0</v>
      </c>
      <c r="N1731">
        <f>B1731*(hospitalityq!N1731="")</f>
        <v>0</v>
      </c>
      <c r="O1731">
        <f>B1731*(hospitalityq!O1731="")</f>
        <v>0</v>
      </c>
      <c r="P1731">
        <f>B1731*(hospitalityq!P1731="")</f>
        <v>0</v>
      </c>
      <c r="Q1731">
        <f>B1731*(hospitalityq!Q1731="")</f>
        <v>0</v>
      </c>
      <c r="R1731">
        <f>B1731*(hospitalityq!R1731="")</f>
        <v>0</v>
      </c>
    </row>
    <row r="1732" spans="1:18" x14ac:dyDescent="0.25">
      <c r="A1732">
        <f t="shared" si="27"/>
        <v>0</v>
      </c>
      <c r="B1732" t="b">
        <f>SUMPRODUCT(LEN(hospitalityq!C1732:R1732))&gt;0</f>
        <v>0</v>
      </c>
      <c r="C1732">
        <f>B1732*(hospitalityq!C1732="")</f>
        <v>0</v>
      </c>
      <c r="E1732">
        <f>B1732*(hospitalityq!E1732="")</f>
        <v>0</v>
      </c>
      <c r="F1732">
        <f>B1732*(hospitalityq!F1732="")</f>
        <v>0</v>
      </c>
      <c r="G1732">
        <f>B1732*(hospitalityq!G1732="")</f>
        <v>0</v>
      </c>
      <c r="H1732">
        <f>B1732*(hospitalityq!H1732="")</f>
        <v>0</v>
      </c>
      <c r="I1732">
        <f>B1732*(hospitalityq!I1732="")</f>
        <v>0</v>
      </c>
      <c r="J1732">
        <f>B1732*(hospitalityq!J1732="")</f>
        <v>0</v>
      </c>
      <c r="K1732">
        <f>B1732*(hospitalityq!K1732="")</f>
        <v>0</v>
      </c>
      <c r="L1732">
        <f>B1732*(hospitalityq!L1732="")</f>
        <v>0</v>
      </c>
      <c r="M1732">
        <f>B1732*(hospitalityq!M1732="")</f>
        <v>0</v>
      </c>
      <c r="N1732">
        <f>B1732*(hospitalityq!N1732="")</f>
        <v>0</v>
      </c>
      <c r="O1732">
        <f>B1732*(hospitalityq!O1732="")</f>
        <v>0</v>
      </c>
      <c r="P1732">
        <f>B1732*(hospitalityq!P1732="")</f>
        <v>0</v>
      </c>
      <c r="Q1732">
        <f>B1732*(hospitalityq!Q1732="")</f>
        <v>0</v>
      </c>
      <c r="R1732">
        <f>B1732*(hospitalityq!R1732="")</f>
        <v>0</v>
      </c>
    </row>
    <row r="1733" spans="1:18" x14ac:dyDescent="0.25">
      <c r="A1733">
        <f t="shared" si="27"/>
        <v>0</v>
      </c>
      <c r="B1733" t="b">
        <f>SUMPRODUCT(LEN(hospitalityq!C1733:R1733))&gt;0</f>
        <v>0</v>
      </c>
      <c r="C1733">
        <f>B1733*(hospitalityq!C1733="")</f>
        <v>0</v>
      </c>
      <c r="E1733">
        <f>B1733*(hospitalityq!E1733="")</f>
        <v>0</v>
      </c>
      <c r="F1733">
        <f>B1733*(hospitalityq!F1733="")</f>
        <v>0</v>
      </c>
      <c r="G1733">
        <f>B1733*(hospitalityq!G1733="")</f>
        <v>0</v>
      </c>
      <c r="H1733">
        <f>B1733*(hospitalityq!H1733="")</f>
        <v>0</v>
      </c>
      <c r="I1733">
        <f>B1733*(hospitalityq!I1733="")</f>
        <v>0</v>
      </c>
      <c r="J1733">
        <f>B1733*(hospitalityq!J1733="")</f>
        <v>0</v>
      </c>
      <c r="K1733">
        <f>B1733*(hospitalityq!K1733="")</f>
        <v>0</v>
      </c>
      <c r="L1733">
        <f>B1733*(hospitalityq!L1733="")</f>
        <v>0</v>
      </c>
      <c r="M1733">
        <f>B1733*(hospitalityq!M1733="")</f>
        <v>0</v>
      </c>
      <c r="N1733">
        <f>B1733*(hospitalityq!N1733="")</f>
        <v>0</v>
      </c>
      <c r="O1733">
        <f>B1733*(hospitalityq!O1733="")</f>
        <v>0</v>
      </c>
      <c r="P1733">
        <f>B1733*(hospitalityq!P1733="")</f>
        <v>0</v>
      </c>
      <c r="Q1733">
        <f>B1733*(hospitalityq!Q1733="")</f>
        <v>0</v>
      </c>
      <c r="R1733">
        <f>B1733*(hospitalityq!R1733="")</f>
        <v>0</v>
      </c>
    </row>
    <row r="1734" spans="1:18" x14ac:dyDescent="0.25">
      <c r="A1734">
        <f t="shared" ref="A1734:A1797" si="28">IFERROR(MATCH(TRUE,INDEX(C1734:R1734&lt;&gt;0,),)+2,0)</f>
        <v>0</v>
      </c>
      <c r="B1734" t="b">
        <f>SUMPRODUCT(LEN(hospitalityq!C1734:R1734))&gt;0</f>
        <v>0</v>
      </c>
      <c r="C1734">
        <f>B1734*(hospitalityq!C1734="")</f>
        <v>0</v>
      </c>
      <c r="E1734">
        <f>B1734*(hospitalityq!E1734="")</f>
        <v>0</v>
      </c>
      <c r="F1734">
        <f>B1734*(hospitalityq!F1734="")</f>
        <v>0</v>
      </c>
      <c r="G1734">
        <f>B1734*(hospitalityq!G1734="")</f>
        <v>0</v>
      </c>
      <c r="H1734">
        <f>B1734*(hospitalityq!H1734="")</f>
        <v>0</v>
      </c>
      <c r="I1734">
        <f>B1734*(hospitalityq!I1734="")</f>
        <v>0</v>
      </c>
      <c r="J1734">
        <f>B1734*(hospitalityq!J1734="")</f>
        <v>0</v>
      </c>
      <c r="K1734">
        <f>B1734*(hospitalityq!K1734="")</f>
        <v>0</v>
      </c>
      <c r="L1734">
        <f>B1734*(hospitalityq!L1734="")</f>
        <v>0</v>
      </c>
      <c r="M1734">
        <f>B1734*(hospitalityq!M1734="")</f>
        <v>0</v>
      </c>
      <c r="N1734">
        <f>B1734*(hospitalityq!N1734="")</f>
        <v>0</v>
      </c>
      <c r="O1734">
        <f>B1734*(hospitalityq!O1734="")</f>
        <v>0</v>
      </c>
      <c r="P1734">
        <f>B1734*(hospitalityq!P1734="")</f>
        <v>0</v>
      </c>
      <c r="Q1734">
        <f>B1734*(hospitalityq!Q1734="")</f>
        <v>0</v>
      </c>
      <c r="R1734">
        <f>B1734*(hospitalityq!R1734="")</f>
        <v>0</v>
      </c>
    </row>
    <row r="1735" spans="1:18" x14ac:dyDescent="0.25">
      <c r="A1735">
        <f t="shared" si="28"/>
        <v>0</v>
      </c>
      <c r="B1735" t="b">
        <f>SUMPRODUCT(LEN(hospitalityq!C1735:R1735))&gt;0</f>
        <v>0</v>
      </c>
      <c r="C1735">
        <f>B1735*(hospitalityq!C1735="")</f>
        <v>0</v>
      </c>
      <c r="E1735">
        <f>B1735*(hospitalityq!E1735="")</f>
        <v>0</v>
      </c>
      <c r="F1735">
        <f>B1735*(hospitalityq!F1735="")</f>
        <v>0</v>
      </c>
      <c r="G1735">
        <f>B1735*(hospitalityq!G1735="")</f>
        <v>0</v>
      </c>
      <c r="H1735">
        <f>B1735*(hospitalityq!H1735="")</f>
        <v>0</v>
      </c>
      <c r="I1735">
        <f>B1735*(hospitalityq!I1735="")</f>
        <v>0</v>
      </c>
      <c r="J1735">
        <f>B1735*(hospitalityq!J1735="")</f>
        <v>0</v>
      </c>
      <c r="K1735">
        <f>B1735*(hospitalityq!K1735="")</f>
        <v>0</v>
      </c>
      <c r="L1735">
        <f>B1735*(hospitalityq!L1735="")</f>
        <v>0</v>
      </c>
      <c r="M1735">
        <f>B1735*(hospitalityq!M1735="")</f>
        <v>0</v>
      </c>
      <c r="N1735">
        <f>B1735*(hospitalityq!N1735="")</f>
        <v>0</v>
      </c>
      <c r="O1735">
        <f>B1735*(hospitalityq!O1735="")</f>
        <v>0</v>
      </c>
      <c r="P1735">
        <f>B1735*(hospitalityq!P1735="")</f>
        <v>0</v>
      </c>
      <c r="Q1735">
        <f>B1735*(hospitalityq!Q1735="")</f>
        <v>0</v>
      </c>
      <c r="R1735">
        <f>B1735*(hospitalityq!R1735="")</f>
        <v>0</v>
      </c>
    </row>
    <row r="1736" spans="1:18" x14ac:dyDescent="0.25">
      <c r="A1736">
        <f t="shared" si="28"/>
        <v>0</v>
      </c>
      <c r="B1736" t="b">
        <f>SUMPRODUCT(LEN(hospitalityq!C1736:R1736))&gt;0</f>
        <v>0</v>
      </c>
      <c r="C1736">
        <f>B1736*(hospitalityq!C1736="")</f>
        <v>0</v>
      </c>
      <c r="E1736">
        <f>B1736*(hospitalityq!E1736="")</f>
        <v>0</v>
      </c>
      <c r="F1736">
        <f>B1736*(hospitalityq!F1736="")</f>
        <v>0</v>
      </c>
      <c r="G1736">
        <f>B1736*(hospitalityq!G1736="")</f>
        <v>0</v>
      </c>
      <c r="H1736">
        <f>B1736*(hospitalityq!H1736="")</f>
        <v>0</v>
      </c>
      <c r="I1736">
        <f>B1736*(hospitalityq!I1736="")</f>
        <v>0</v>
      </c>
      <c r="J1736">
        <f>B1736*(hospitalityq!J1736="")</f>
        <v>0</v>
      </c>
      <c r="K1736">
        <f>B1736*(hospitalityq!K1736="")</f>
        <v>0</v>
      </c>
      <c r="L1736">
        <f>B1736*(hospitalityq!L1736="")</f>
        <v>0</v>
      </c>
      <c r="M1736">
        <f>B1736*(hospitalityq!M1736="")</f>
        <v>0</v>
      </c>
      <c r="N1736">
        <f>B1736*(hospitalityq!N1736="")</f>
        <v>0</v>
      </c>
      <c r="O1736">
        <f>B1736*(hospitalityq!O1736="")</f>
        <v>0</v>
      </c>
      <c r="P1736">
        <f>B1736*(hospitalityq!P1736="")</f>
        <v>0</v>
      </c>
      <c r="Q1736">
        <f>B1736*(hospitalityq!Q1736="")</f>
        <v>0</v>
      </c>
      <c r="R1736">
        <f>B1736*(hospitalityq!R1736="")</f>
        <v>0</v>
      </c>
    </row>
    <row r="1737" spans="1:18" x14ac:dyDescent="0.25">
      <c r="A1737">
        <f t="shared" si="28"/>
        <v>0</v>
      </c>
      <c r="B1737" t="b">
        <f>SUMPRODUCT(LEN(hospitalityq!C1737:R1737))&gt;0</f>
        <v>0</v>
      </c>
      <c r="C1737">
        <f>B1737*(hospitalityq!C1737="")</f>
        <v>0</v>
      </c>
      <c r="E1737">
        <f>B1737*(hospitalityq!E1737="")</f>
        <v>0</v>
      </c>
      <c r="F1737">
        <f>B1737*(hospitalityq!F1737="")</f>
        <v>0</v>
      </c>
      <c r="G1737">
        <f>B1737*(hospitalityq!G1737="")</f>
        <v>0</v>
      </c>
      <c r="H1737">
        <f>B1737*(hospitalityq!H1737="")</f>
        <v>0</v>
      </c>
      <c r="I1737">
        <f>B1737*(hospitalityq!I1737="")</f>
        <v>0</v>
      </c>
      <c r="J1737">
        <f>B1737*(hospitalityq!J1737="")</f>
        <v>0</v>
      </c>
      <c r="K1737">
        <f>B1737*(hospitalityq!K1737="")</f>
        <v>0</v>
      </c>
      <c r="L1737">
        <f>B1737*(hospitalityq!L1737="")</f>
        <v>0</v>
      </c>
      <c r="M1737">
        <f>B1737*(hospitalityq!M1737="")</f>
        <v>0</v>
      </c>
      <c r="N1737">
        <f>B1737*(hospitalityq!N1737="")</f>
        <v>0</v>
      </c>
      <c r="O1737">
        <f>B1737*(hospitalityq!O1737="")</f>
        <v>0</v>
      </c>
      <c r="P1737">
        <f>B1737*(hospitalityq!P1737="")</f>
        <v>0</v>
      </c>
      <c r="Q1737">
        <f>B1737*(hospitalityq!Q1737="")</f>
        <v>0</v>
      </c>
      <c r="R1737">
        <f>B1737*(hospitalityq!R1737="")</f>
        <v>0</v>
      </c>
    </row>
    <row r="1738" spans="1:18" x14ac:dyDescent="0.25">
      <c r="A1738">
        <f t="shared" si="28"/>
        <v>0</v>
      </c>
      <c r="B1738" t="b">
        <f>SUMPRODUCT(LEN(hospitalityq!C1738:R1738))&gt;0</f>
        <v>0</v>
      </c>
      <c r="C1738">
        <f>B1738*(hospitalityq!C1738="")</f>
        <v>0</v>
      </c>
      <c r="E1738">
        <f>B1738*(hospitalityq!E1738="")</f>
        <v>0</v>
      </c>
      <c r="F1738">
        <f>B1738*(hospitalityq!F1738="")</f>
        <v>0</v>
      </c>
      <c r="G1738">
        <f>B1738*(hospitalityq!G1738="")</f>
        <v>0</v>
      </c>
      <c r="H1738">
        <f>B1738*(hospitalityq!H1738="")</f>
        <v>0</v>
      </c>
      <c r="I1738">
        <f>B1738*(hospitalityq!I1738="")</f>
        <v>0</v>
      </c>
      <c r="J1738">
        <f>B1738*(hospitalityq!J1738="")</f>
        <v>0</v>
      </c>
      <c r="K1738">
        <f>B1738*(hospitalityq!K1738="")</f>
        <v>0</v>
      </c>
      <c r="L1738">
        <f>B1738*(hospitalityq!L1738="")</f>
        <v>0</v>
      </c>
      <c r="M1738">
        <f>B1738*(hospitalityq!M1738="")</f>
        <v>0</v>
      </c>
      <c r="N1738">
        <f>B1738*(hospitalityq!N1738="")</f>
        <v>0</v>
      </c>
      <c r="O1738">
        <f>B1738*(hospitalityq!O1738="")</f>
        <v>0</v>
      </c>
      <c r="P1738">
        <f>B1738*(hospitalityq!P1738="")</f>
        <v>0</v>
      </c>
      <c r="Q1738">
        <f>B1738*(hospitalityq!Q1738="")</f>
        <v>0</v>
      </c>
      <c r="R1738">
        <f>B1738*(hospitalityq!R1738="")</f>
        <v>0</v>
      </c>
    </row>
    <row r="1739" spans="1:18" x14ac:dyDescent="0.25">
      <c r="A1739">
        <f t="shared" si="28"/>
        <v>0</v>
      </c>
      <c r="B1739" t="b">
        <f>SUMPRODUCT(LEN(hospitalityq!C1739:R1739))&gt;0</f>
        <v>0</v>
      </c>
      <c r="C1739">
        <f>B1739*(hospitalityq!C1739="")</f>
        <v>0</v>
      </c>
      <c r="E1739">
        <f>B1739*(hospitalityq!E1739="")</f>
        <v>0</v>
      </c>
      <c r="F1739">
        <f>B1739*(hospitalityq!F1739="")</f>
        <v>0</v>
      </c>
      <c r="G1739">
        <f>B1739*(hospitalityq!G1739="")</f>
        <v>0</v>
      </c>
      <c r="H1739">
        <f>B1739*(hospitalityq!H1739="")</f>
        <v>0</v>
      </c>
      <c r="I1739">
        <f>B1739*(hospitalityq!I1739="")</f>
        <v>0</v>
      </c>
      <c r="J1739">
        <f>B1739*(hospitalityq!J1739="")</f>
        <v>0</v>
      </c>
      <c r="K1739">
        <f>B1739*(hospitalityq!K1739="")</f>
        <v>0</v>
      </c>
      <c r="L1739">
        <f>B1739*(hospitalityq!L1739="")</f>
        <v>0</v>
      </c>
      <c r="M1739">
        <f>B1739*(hospitalityq!M1739="")</f>
        <v>0</v>
      </c>
      <c r="N1739">
        <f>B1739*(hospitalityq!N1739="")</f>
        <v>0</v>
      </c>
      <c r="O1739">
        <f>B1739*(hospitalityq!O1739="")</f>
        <v>0</v>
      </c>
      <c r="P1739">
        <f>B1739*(hospitalityq!P1739="")</f>
        <v>0</v>
      </c>
      <c r="Q1739">
        <f>B1739*(hospitalityq!Q1739="")</f>
        <v>0</v>
      </c>
      <c r="R1739">
        <f>B1739*(hospitalityq!R1739="")</f>
        <v>0</v>
      </c>
    </row>
    <row r="1740" spans="1:18" x14ac:dyDescent="0.25">
      <c r="A1740">
        <f t="shared" si="28"/>
        <v>0</v>
      </c>
      <c r="B1740" t="b">
        <f>SUMPRODUCT(LEN(hospitalityq!C1740:R1740))&gt;0</f>
        <v>0</v>
      </c>
      <c r="C1740">
        <f>B1740*(hospitalityq!C1740="")</f>
        <v>0</v>
      </c>
      <c r="E1740">
        <f>B1740*(hospitalityq!E1740="")</f>
        <v>0</v>
      </c>
      <c r="F1740">
        <f>B1740*(hospitalityq!F1740="")</f>
        <v>0</v>
      </c>
      <c r="G1740">
        <f>B1740*(hospitalityq!G1740="")</f>
        <v>0</v>
      </c>
      <c r="H1740">
        <f>B1740*(hospitalityq!H1740="")</f>
        <v>0</v>
      </c>
      <c r="I1740">
        <f>B1740*(hospitalityq!I1740="")</f>
        <v>0</v>
      </c>
      <c r="J1740">
        <f>B1740*(hospitalityq!J1740="")</f>
        <v>0</v>
      </c>
      <c r="K1740">
        <f>B1740*(hospitalityq!K1740="")</f>
        <v>0</v>
      </c>
      <c r="L1740">
        <f>B1740*(hospitalityq!L1740="")</f>
        <v>0</v>
      </c>
      <c r="M1740">
        <f>B1740*(hospitalityq!M1740="")</f>
        <v>0</v>
      </c>
      <c r="N1740">
        <f>B1740*(hospitalityq!N1740="")</f>
        <v>0</v>
      </c>
      <c r="O1740">
        <f>B1740*(hospitalityq!O1740="")</f>
        <v>0</v>
      </c>
      <c r="P1740">
        <f>B1740*(hospitalityq!P1740="")</f>
        <v>0</v>
      </c>
      <c r="Q1740">
        <f>B1740*(hospitalityq!Q1740="")</f>
        <v>0</v>
      </c>
      <c r="R1740">
        <f>B1740*(hospitalityq!R1740="")</f>
        <v>0</v>
      </c>
    </row>
    <row r="1741" spans="1:18" x14ac:dyDescent="0.25">
      <c r="A1741">
        <f t="shared" si="28"/>
        <v>0</v>
      </c>
      <c r="B1741" t="b">
        <f>SUMPRODUCT(LEN(hospitalityq!C1741:R1741))&gt;0</f>
        <v>0</v>
      </c>
      <c r="C1741">
        <f>B1741*(hospitalityq!C1741="")</f>
        <v>0</v>
      </c>
      <c r="E1741">
        <f>B1741*(hospitalityq!E1741="")</f>
        <v>0</v>
      </c>
      <c r="F1741">
        <f>B1741*(hospitalityq!F1741="")</f>
        <v>0</v>
      </c>
      <c r="G1741">
        <f>B1741*(hospitalityq!G1741="")</f>
        <v>0</v>
      </c>
      <c r="H1741">
        <f>B1741*(hospitalityq!H1741="")</f>
        <v>0</v>
      </c>
      <c r="I1741">
        <f>B1741*(hospitalityq!I1741="")</f>
        <v>0</v>
      </c>
      <c r="J1741">
        <f>B1741*(hospitalityq!J1741="")</f>
        <v>0</v>
      </c>
      <c r="K1741">
        <f>B1741*(hospitalityq!K1741="")</f>
        <v>0</v>
      </c>
      <c r="L1741">
        <f>B1741*(hospitalityq!L1741="")</f>
        <v>0</v>
      </c>
      <c r="M1741">
        <f>B1741*(hospitalityq!M1741="")</f>
        <v>0</v>
      </c>
      <c r="N1741">
        <f>B1741*(hospitalityq!N1741="")</f>
        <v>0</v>
      </c>
      <c r="O1741">
        <f>B1741*(hospitalityq!O1741="")</f>
        <v>0</v>
      </c>
      <c r="P1741">
        <f>B1741*(hospitalityq!P1741="")</f>
        <v>0</v>
      </c>
      <c r="Q1741">
        <f>B1741*(hospitalityq!Q1741="")</f>
        <v>0</v>
      </c>
      <c r="R1741">
        <f>B1741*(hospitalityq!R1741="")</f>
        <v>0</v>
      </c>
    </row>
    <row r="1742" spans="1:18" x14ac:dyDescent="0.25">
      <c r="A1742">
        <f t="shared" si="28"/>
        <v>0</v>
      </c>
      <c r="B1742" t="b">
        <f>SUMPRODUCT(LEN(hospitalityq!C1742:R1742))&gt;0</f>
        <v>0</v>
      </c>
      <c r="C1742">
        <f>B1742*(hospitalityq!C1742="")</f>
        <v>0</v>
      </c>
      <c r="E1742">
        <f>B1742*(hospitalityq!E1742="")</f>
        <v>0</v>
      </c>
      <c r="F1742">
        <f>B1742*(hospitalityq!F1742="")</f>
        <v>0</v>
      </c>
      <c r="G1742">
        <f>B1742*(hospitalityq!G1742="")</f>
        <v>0</v>
      </c>
      <c r="H1742">
        <f>B1742*(hospitalityq!H1742="")</f>
        <v>0</v>
      </c>
      <c r="I1742">
        <f>B1742*(hospitalityq!I1742="")</f>
        <v>0</v>
      </c>
      <c r="J1742">
        <f>B1742*(hospitalityq!J1742="")</f>
        <v>0</v>
      </c>
      <c r="K1742">
        <f>B1742*(hospitalityq!K1742="")</f>
        <v>0</v>
      </c>
      <c r="L1742">
        <f>B1742*(hospitalityq!L1742="")</f>
        <v>0</v>
      </c>
      <c r="M1742">
        <f>B1742*(hospitalityq!M1742="")</f>
        <v>0</v>
      </c>
      <c r="N1742">
        <f>B1742*(hospitalityq!N1742="")</f>
        <v>0</v>
      </c>
      <c r="O1742">
        <f>B1742*(hospitalityq!O1742="")</f>
        <v>0</v>
      </c>
      <c r="P1742">
        <f>B1742*(hospitalityq!P1742="")</f>
        <v>0</v>
      </c>
      <c r="Q1742">
        <f>B1742*(hospitalityq!Q1742="")</f>
        <v>0</v>
      </c>
      <c r="R1742">
        <f>B1742*(hospitalityq!R1742="")</f>
        <v>0</v>
      </c>
    </row>
    <row r="1743" spans="1:18" x14ac:dyDescent="0.25">
      <c r="A1743">
        <f t="shared" si="28"/>
        <v>0</v>
      </c>
      <c r="B1743" t="b">
        <f>SUMPRODUCT(LEN(hospitalityq!C1743:R1743))&gt;0</f>
        <v>0</v>
      </c>
      <c r="C1743">
        <f>B1743*(hospitalityq!C1743="")</f>
        <v>0</v>
      </c>
      <c r="E1743">
        <f>B1743*(hospitalityq!E1743="")</f>
        <v>0</v>
      </c>
      <c r="F1743">
        <f>B1743*(hospitalityq!F1743="")</f>
        <v>0</v>
      </c>
      <c r="G1743">
        <f>B1743*(hospitalityq!G1743="")</f>
        <v>0</v>
      </c>
      <c r="H1743">
        <f>B1743*(hospitalityq!H1743="")</f>
        <v>0</v>
      </c>
      <c r="I1743">
        <f>B1743*(hospitalityq!I1743="")</f>
        <v>0</v>
      </c>
      <c r="J1743">
        <f>B1743*(hospitalityq!J1743="")</f>
        <v>0</v>
      </c>
      <c r="K1743">
        <f>B1743*(hospitalityq!K1743="")</f>
        <v>0</v>
      </c>
      <c r="L1743">
        <f>B1743*(hospitalityq!L1743="")</f>
        <v>0</v>
      </c>
      <c r="M1743">
        <f>B1743*(hospitalityq!M1743="")</f>
        <v>0</v>
      </c>
      <c r="N1743">
        <f>B1743*(hospitalityq!N1743="")</f>
        <v>0</v>
      </c>
      <c r="O1743">
        <f>B1743*(hospitalityq!O1743="")</f>
        <v>0</v>
      </c>
      <c r="P1743">
        <f>B1743*(hospitalityq!P1743="")</f>
        <v>0</v>
      </c>
      <c r="Q1743">
        <f>B1743*(hospitalityq!Q1743="")</f>
        <v>0</v>
      </c>
      <c r="R1743">
        <f>B1743*(hospitalityq!R1743="")</f>
        <v>0</v>
      </c>
    </row>
    <row r="1744" spans="1:18" x14ac:dyDescent="0.25">
      <c r="A1744">
        <f t="shared" si="28"/>
        <v>0</v>
      </c>
      <c r="B1744" t="b">
        <f>SUMPRODUCT(LEN(hospitalityq!C1744:R1744))&gt;0</f>
        <v>0</v>
      </c>
      <c r="C1744">
        <f>B1744*(hospitalityq!C1744="")</f>
        <v>0</v>
      </c>
      <c r="E1744">
        <f>B1744*(hospitalityq!E1744="")</f>
        <v>0</v>
      </c>
      <c r="F1744">
        <f>B1744*(hospitalityq!F1744="")</f>
        <v>0</v>
      </c>
      <c r="G1744">
        <f>B1744*(hospitalityq!G1744="")</f>
        <v>0</v>
      </c>
      <c r="H1744">
        <f>B1744*(hospitalityq!H1744="")</f>
        <v>0</v>
      </c>
      <c r="I1744">
        <f>B1744*(hospitalityq!I1744="")</f>
        <v>0</v>
      </c>
      <c r="J1744">
        <f>B1744*(hospitalityq!J1744="")</f>
        <v>0</v>
      </c>
      <c r="K1744">
        <f>B1744*(hospitalityq!K1744="")</f>
        <v>0</v>
      </c>
      <c r="L1744">
        <f>B1744*(hospitalityq!L1744="")</f>
        <v>0</v>
      </c>
      <c r="M1744">
        <f>B1744*(hospitalityq!M1744="")</f>
        <v>0</v>
      </c>
      <c r="N1744">
        <f>B1744*(hospitalityq!N1744="")</f>
        <v>0</v>
      </c>
      <c r="O1744">
        <f>B1744*(hospitalityq!O1744="")</f>
        <v>0</v>
      </c>
      <c r="P1744">
        <f>B1744*(hospitalityq!P1744="")</f>
        <v>0</v>
      </c>
      <c r="Q1744">
        <f>B1744*(hospitalityq!Q1744="")</f>
        <v>0</v>
      </c>
      <c r="R1744">
        <f>B1744*(hospitalityq!R1744="")</f>
        <v>0</v>
      </c>
    </row>
    <row r="1745" spans="1:18" x14ac:dyDescent="0.25">
      <c r="A1745">
        <f t="shared" si="28"/>
        <v>0</v>
      </c>
      <c r="B1745" t="b">
        <f>SUMPRODUCT(LEN(hospitalityq!C1745:R1745))&gt;0</f>
        <v>0</v>
      </c>
      <c r="C1745">
        <f>B1745*(hospitalityq!C1745="")</f>
        <v>0</v>
      </c>
      <c r="E1745">
        <f>B1745*(hospitalityq!E1745="")</f>
        <v>0</v>
      </c>
      <c r="F1745">
        <f>B1745*(hospitalityq!F1745="")</f>
        <v>0</v>
      </c>
      <c r="G1745">
        <f>B1745*(hospitalityq!G1745="")</f>
        <v>0</v>
      </c>
      <c r="H1745">
        <f>B1745*(hospitalityq!H1745="")</f>
        <v>0</v>
      </c>
      <c r="I1745">
        <f>B1745*(hospitalityq!I1745="")</f>
        <v>0</v>
      </c>
      <c r="J1745">
        <f>B1745*(hospitalityq!J1745="")</f>
        <v>0</v>
      </c>
      <c r="K1745">
        <f>B1745*(hospitalityq!K1745="")</f>
        <v>0</v>
      </c>
      <c r="L1745">
        <f>B1745*(hospitalityq!L1745="")</f>
        <v>0</v>
      </c>
      <c r="M1745">
        <f>B1745*(hospitalityq!M1745="")</f>
        <v>0</v>
      </c>
      <c r="N1745">
        <f>B1745*(hospitalityq!N1745="")</f>
        <v>0</v>
      </c>
      <c r="O1745">
        <f>B1745*(hospitalityq!O1745="")</f>
        <v>0</v>
      </c>
      <c r="P1745">
        <f>B1745*(hospitalityq!P1745="")</f>
        <v>0</v>
      </c>
      <c r="Q1745">
        <f>B1745*(hospitalityq!Q1745="")</f>
        <v>0</v>
      </c>
      <c r="R1745">
        <f>B1745*(hospitalityq!R1745="")</f>
        <v>0</v>
      </c>
    </row>
    <row r="1746" spans="1:18" x14ac:dyDescent="0.25">
      <c r="A1746">
        <f t="shared" si="28"/>
        <v>0</v>
      </c>
      <c r="B1746" t="b">
        <f>SUMPRODUCT(LEN(hospitalityq!C1746:R1746))&gt;0</f>
        <v>0</v>
      </c>
      <c r="C1746">
        <f>B1746*(hospitalityq!C1746="")</f>
        <v>0</v>
      </c>
      <c r="E1746">
        <f>B1746*(hospitalityq!E1746="")</f>
        <v>0</v>
      </c>
      <c r="F1746">
        <f>B1746*(hospitalityq!F1746="")</f>
        <v>0</v>
      </c>
      <c r="G1746">
        <f>B1746*(hospitalityq!G1746="")</f>
        <v>0</v>
      </c>
      <c r="H1746">
        <f>B1746*(hospitalityq!H1746="")</f>
        <v>0</v>
      </c>
      <c r="I1746">
        <f>B1746*(hospitalityq!I1746="")</f>
        <v>0</v>
      </c>
      <c r="J1746">
        <f>B1746*(hospitalityq!J1746="")</f>
        <v>0</v>
      </c>
      <c r="K1746">
        <f>B1746*(hospitalityq!K1746="")</f>
        <v>0</v>
      </c>
      <c r="L1746">
        <f>B1746*(hospitalityq!L1746="")</f>
        <v>0</v>
      </c>
      <c r="M1746">
        <f>B1746*(hospitalityq!M1746="")</f>
        <v>0</v>
      </c>
      <c r="N1746">
        <f>B1746*(hospitalityq!N1746="")</f>
        <v>0</v>
      </c>
      <c r="O1746">
        <f>B1746*(hospitalityq!O1746="")</f>
        <v>0</v>
      </c>
      <c r="P1746">
        <f>B1746*(hospitalityq!P1746="")</f>
        <v>0</v>
      </c>
      <c r="Q1746">
        <f>B1746*(hospitalityq!Q1746="")</f>
        <v>0</v>
      </c>
      <c r="R1746">
        <f>B1746*(hospitalityq!R1746="")</f>
        <v>0</v>
      </c>
    </row>
    <row r="1747" spans="1:18" x14ac:dyDescent="0.25">
      <c r="A1747">
        <f t="shared" si="28"/>
        <v>0</v>
      </c>
      <c r="B1747" t="b">
        <f>SUMPRODUCT(LEN(hospitalityq!C1747:R1747))&gt;0</f>
        <v>0</v>
      </c>
      <c r="C1747">
        <f>B1747*(hospitalityq!C1747="")</f>
        <v>0</v>
      </c>
      <c r="E1747">
        <f>B1747*(hospitalityq!E1747="")</f>
        <v>0</v>
      </c>
      <c r="F1747">
        <f>B1747*(hospitalityq!F1747="")</f>
        <v>0</v>
      </c>
      <c r="G1747">
        <f>B1747*(hospitalityq!G1747="")</f>
        <v>0</v>
      </c>
      <c r="H1747">
        <f>B1747*(hospitalityq!H1747="")</f>
        <v>0</v>
      </c>
      <c r="I1747">
        <f>B1747*(hospitalityq!I1747="")</f>
        <v>0</v>
      </c>
      <c r="J1747">
        <f>B1747*(hospitalityq!J1747="")</f>
        <v>0</v>
      </c>
      <c r="K1747">
        <f>B1747*(hospitalityq!K1747="")</f>
        <v>0</v>
      </c>
      <c r="L1747">
        <f>B1747*(hospitalityq!L1747="")</f>
        <v>0</v>
      </c>
      <c r="M1747">
        <f>B1747*(hospitalityq!M1747="")</f>
        <v>0</v>
      </c>
      <c r="N1747">
        <f>B1747*(hospitalityq!N1747="")</f>
        <v>0</v>
      </c>
      <c r="O1747">
        <f>B1747*(hospitalityq!O1747="")</f>
        <v>0</v>
      </c>
      <c r="P1747">
        <f>B1747*(hospitalityq!P1747="")</f>
        <v>0</v>
      </c>
      <c r="Q1747">
        <f>B1747*(hospitalityq!Q1747="")</f>
        <v>0</v>
      </c>
      <c r="R1747">
        <f>B1747*(hospitalityq!R1747="")</f>
        <v>0</v>
      </c>
    </row>
    <row r="1748" spans="1:18" x14ac:dyDescent="0.25">
      <c r="A1748">
        <f t="shared" si="28"/>
        <v>0</v>
      </c>
      <c r="B1748" t="b">
        <f>SUMPRODUCT(LEN(hospitalityq!C1748:R1748))&gt;0</f>
        <v>0</v>
      </c>
      <c r="C1748">
        <f>B1748*(hospitalityq!C1748="")</f>
        <v>0</v>
      </c>
      <c r="E1748">
        <f>B1748*(hospitalityq!E1748="")</f>
        <v>0</v>
      </c>
      <c r="F1748">
        <f>B1748*(hospitalityq!F1748="")</f>
        <v>0</v>
      </c>
      <c r="G1748">
        <f>B1748*(hospitalityq!G1748="")</f>
        <v>0</v>
      </c>
      <c r="H1748">
        <f>B1748*(hospitalityq!H1748="")</f>
        <v>0</v>
      </c>
      <c r="I1748">
        <f>B1748*(hospitalityq!I1748="")</f>
        <v>0</v>
      </c>
      <c r="J1748">
        <f>B1748*(hospitalityq!J1748="")</f>
        <v>0</v>
      </c>
      <c r="K1748">
        <f>B1748*(hospitalityq!K1748="")</f>
        <v>0</v>
      </c>
      <c r="L1748">
        <f>B1748*(hospitalityq!L1748="")</f>
        <v>0</v>
      </c>
      <c r="M1748">
        <f>B1748*(hospitalityq!M1748="")</f>
        <v>0</v>
      </c>
      <c r="N1748">
        <f>B1748*(hospitalityq!N1748="")</f>
        <v>0</v>
      </c>
      <c r="O1748">
        <f>B1748*(hospitalityq!O1748="")</f>
        <v>0</v>
      </c>
      <c r="P1748">
        <f>B1748*(hospitalityq!P1748="")</f>
        <v>0</v>
      </c>
      <c r="Q1748">
        <f>B1748*(hospitalityq!Q1748="")</f>
        <v>0</v>
      </c>
      <c r="R1748">
        <f>B1748*(hospitalityq!R1748="")</f>
        <v>0</v>
      </c>
    </row>
    <row r="1749" spans="1:18" x14ac:dyDescent="0.25">
      <c r="A1749">
        <f t="shared" si="28"/>
        <v>0</v>
      </c>
      <c r="B1749" t="b">
        <f>SUMPRODUCT(LEN(hospitalityq!C1749:R1749))&gt;0</f>
        <v>0</v>
      </c>
      <c r="C1749">
        <f>B1749*(hospitalityq!C1749="")</f>
        <v>0</v>
      </c>
      <c r="E1749">
        <f>B1749*(hospitalityq!E1749="")</f>
        <v>0</v>
      </c>
      <c r="F1749">
        <f>B1749*(hospitalityq!F1749="")</f>
        <v>0</v>
      </c>
      <c r="G1749">
        <f>B1749*(hospitalityq!G1749="")</f>
        <v>0</v>
      </c>
      <c r="H1749">
        <f>B1749*(hospitalityq!H1749="")</f>
        <v>0</v>
      </c>
      <c r="I1749">
        <f>B1749*(hospitalityq!I1749="")</f>
        <v>0</v>
      </c>
      <c r="J1749">
        <f>B1749*(hospitalityq!J1749="")</f>
        <v>0</v>
      </c>
      <c r="K1749">
        <f>B1749*(hospitalityq!K1749="")</f>
        <v>0</v>
      </c>
      <c r="L1749">
        <f>B1749*(hospitalityq!L1749="")</f>
        <v>0</v>
      </c>
      <c r="M1749">
        <f>B1749*(hospitalityq!M1749="")</f>
        <v>0</v>
      </c>
      <c r="N1749">
        <f>B1749*(hospitalityq!N1749="")</f>
        <v>0</v>
      </c>
      <c r="O1749">
        <f>B1749*(hospitalityq!O1749="")</f>
        <v>0</v>
      </c>
      <c r="P1749">
        <f>B1749*(hospitalityq!P1749="")</f>
        <v>0</v>
      </c>
      <c r="Q1749">
        <f>B1749*(hospitalityq!Q1749="")</f>
        <v>0</v>
      </c>
      <c r="R1749">
        <f>B1749*(hospitalityq!R1749="")</f>
        <v>0</v>
      </c>
    </row>
    <row r="1750" spans="1:18" x14ac:dyDescent="0.25">
      <c r="A1750">
        <f t="shared" si="28"/>
        <v>0</v>
      </c>
      <c r="B1750" t="b">
        <f>SUMPRODUCT(LEN(hospitalityq!C1750:R1750))&gt;0</f>
        <v>0</v>
      </c>
      <c r="C1750">
        <f>B1750*(hospitalityq!C1750="")</f>
        <v>0</v>
      </c>
      <c r="E1750">
        <f>B1750*(hospitalityq!E1750="")</f>
        <v>0</v>
      </c>
      <c r="F1750">
        <f>B1750*(hospitalityq!F1750="")</f>
        <v>0</v>
      </c>
      <c r="G1750">
        <f>B1750*(hospitalityq!G1750="")</f>
        <v>0</v>
      </c>
      <c r="H1750">
        <f>B1750*(hospitalityq!H1750="")</f>
        <v>0</v>
      </c>
      <c r="I1750">
        <f>B1750*(hospitalityq!I1750="")</f>
        <v>0</v>
      </c>
      <c r="J1750">
        <f>B1750*(hospitalityq!J1750="")</f>
        <v>0</v>
      </c>
      <c r="K1750">
        <f>B1750*(hospitalityq!K1750="")</f>
        <v>0</v>
      </c>
      <c r="L1750">
        <f>B1750*(hospitalityq!L1750="")</f>
        <v>0</v>
      </c>
      <c r="M1750">
        <f>B1750*(hospitalityq!M1750="")</f>
        <v>0</v>
      </c>
      <c r="N1750">
        <f>B1750*(hospitalityq!N1750="")</f>
        <v>0</v>
      </c>
      <c r="O1750">
        <f>B1750*(hospitalityq!O1750="")</f>
        <v>0</v>
      </c>
      <c r="P1750">
        <f>B1750*(hospitalityq!P1750="")</f>
        <v>0</v>
      </c>
      <c r="Q1750">
        <f>B1750*(hospitalityq!Q1750="")</f>
        <v>0</v>
      </c>
      <c r="R1750">
        <f>B1750*(hospitalityq!R1750="")</f>
        <v>0</v>
      </c>
    </row>
    <row r="1751" spans="1:18" x14ac:dyDescent="0.25">
      <c r="A1751">
        <f t="shared" si="28"/>
        <v>0</v>
      </c>
      <c r="B1751" t="b">
        <f>SUMPRODUCT(LEN(hospitalityq!C1751:R1751))&gt;0</f>
        <v>0</v>
      </c>
      <c r="C1751">
        <f>B1751*(hospitalityq!C1751="")</f>
        <v>0</v>
      </c>
      <c r="E1751">
        <f>B1751*(hospitalityq!E1751="")</f>
        <v>0</v>
      </c>
      <c r="F1751">
        <f>B1751*(hospitalityq!F1751="")</f>
        <v>0</v>
      </c>
      <c r="G1751">
        <f>B1751*(hospitalityq!G1751="")</f>
        <v>0</v>
      </c>
      <c r="H1751">
        <f>B1751*(hospitalityq!H1751="")</f>
        <v>0</v>
      </c>
      <c r="I1751">
        <f>B1751*(hospitalityq!I1751="")</f>
        <v>0</v>
      </c>
      <c r="J1751">
        <f>B1751*(hospitalityq!J1751="")</f>
        <v>0</v>
      </c>
      <c r="K1751">
        <f>B1751*(hospitalityq!K1751="")</f>
        <v>0</v>
      </c>
      <c r="L1751">
        <f>B1751*(hospitalityq!L1751="")</f>
        <v>0</v>
      </c>
      <c r="M1751">
        <f>B1751*(hospitalityq!M1751="")</f>
        <v>0</v>
      </c>
      <c r="N1751">
        <f>B1751*(hospitalityq!N1751="")</f>
        <v>0</v>
      </c>
      <c r="O1751">
        <f>B1751*(hospitalityq!O1751="")</f>
        <v>0</v>
      </c>
      <c r="P1751">
        <f>B1751*(hospitalityq!P1751="")</f>
        <v>0</v>
      </c>
      <c r="Q1751">
        <f>B1751*(hospitalityq!Q1751="")</f>
        <v>0</v>
      </c>
      <c r="R1751">
        <f>B1751*(hospitalityq!R1751="")</f>
        <v>0</v>
      </c>
    </row>
    <row r="1752" spans="1:18" x14ac:dyDescent="0.25">
      <c r="A1752">
        <f t="shared" si="28"/>
        <v>0</v>
      </c>
      <c r="B1752" t="b">
        <f>SUMPRODUCT(LEN(hospitalityq!C1752:R1752))&gt;0</f>
        <v>0</v>
      </c>
      <c r="C1752">
        <f>B1752*(hospitalityq!C1752="")</f>
        <v>0</v>
      </c>
      <c r="E1752">
        <f>B1752*(hospitalityq!E1752="")</f>
        <v>0</v>
      </c>
      <c r="F1752">
        <f>B1752*(hospitalityq!F1752="")</f>
        <v>0</v>
      </c>
      <c r="G1752">
        <f>B1752*(hospitalityq!G1752="")</f>
        <v>0</v>
      </c>
      <c r="H1752">
        <f>B1752*(hospitalityq!H1752="")</f>
        <v>0</v>
      </c>
      <c r="I1752">
        <f>B1752*(hospitalityq!I1752="")</f>
        <v>0</v>
      </c>
      <c r="J1752">
        <f>B1752*(hospitalityq!J1752="")</f>
        <v>0</v>
      </c>
      <c r="K1752">
        <f>B1752*(hospitalityq!K1752="")</f>
        <v>0</v>
      </c>
      <c r="L1752">
        <f>B1752*(hospitalityq!L1752="")</f>
        <v>0</v>
      </c>
      <c r="M1752">
        <f>B1752*(hospitalityq!M1752="")</f>
        <v>0</v>
      </c>
      <c r="N1752">
        <f>B1752*(hospitalityq!N1752="")</f>
        <v>0</v>
      </c>
      <c r="O1752">
        <f>B1752*(hospitalityq!O1752="")</f>
        <v>0</v>
      </c>
      <c r="P1752">
        <f>B1752*(hospitalityq!P1752="")</f>
        <v>0</v>
      </c>
      <c r="Q1752">
        <f>B1752*(hospitalityq!Q1752="")</f>
        <v>0</v>
      </c>
      <c r="R1752">
        <f>B1752*(hospitalityq!R1752="")</f>
        <v>0</v>
      </c>
    </row>
    <row r="1753" spans="1:18" x14ac:dyDescent="0.25">
      <c r="A1753">
        <f t="shared" si="28"/>
        <v>0</v>
      </c>
      <c r="B1753" t="b">
        <f>SUMPRODUCT(LEN(hospitalityq!C1753:R1753))&gt;0</f>
        <v>0</v>
      </c>
      <c r="C1753">
        <f>B1753*(hospitalityq!C1753="")</f>
        <v>0</v>
      </c>
      <c r="E1753">
        <f>B1753*(hospitalityq!E1753="")</f>
        <v>0</v>
      </c>
      <c r="F1753">
        <f>B1753*(hospitalityq!F1753="")</f>
        <v>0</v>
      </c>
      <c r="G1753">
        <f>B1753*(hospitalityq!G1753="")</f>
        <v>0</v>
      </c>
      <c r="H1753">
        <f>B1753*(hospitalityq!H1753="")</f>
        <v>0</v>
      </c>
      <c r="I1753">
        <f>B1753*(hospitalityq!I1753="")</f>
        <v>0</v>
      </c>
      <c r="J1753">
        <f>B1753*(hospitalityq!J1753="")</f>
        <v>0</v>
      </c>
      <c r="K1753">
        <f>B1753*(hospitalityq!K1753="")</f>
        <v>0</v>
      </c>
      <c r="L1753">
        <f>B1753*(hospitalityq!L1753="")</f>
        <v>0</v>
      </c>
      <c r="M1753">
        <f>B1753*(hospitalityq!M1753="")</f>
        <v>0</v>
      </c>
      <c r="N1753">
        <f>B1753*(hospitalityq!N1753="")</f>
        <v>0</v>
      </c>
      <c r="O1753">
        <f>B1753*(hospitalityq!O1753="")</f>
        <v>0</v>
      </c>
      <c r="P1753">
        <f>B1753*(hospitalityq!P1753="")</f>
        <v>0</v>
      </c>
      <c r="Q1753">
        <f>B1753*(hospitalityq!Q1753="")</f>
        <v>0</v>
      </c>
      <c r="R1753">
        <f>B1753*(hospitalityq!R1753="")</f>
        <v>0</v>
      </c>
    </row>
    <row r="1754" spans="1:18" x14ac:dyDescent="0.25">
      <c r="A1754">
        <f t="shared" si="28"/>
        <v>0</v>
      </c>
      <c r="B1754" t="b">
        <f>SUMPRODUCT(LEN(hospitalityq!C1754:R1754))&gt;0</f>
        <v>0</v>
      </c>
      <c r="C1754">
        <f>B1754*(hospitalityq!C1754="")</f>
        <v>0</v>
      </c>
      <c r="E1754">
        <f>B1754*(hospitalityq!E1754="")</f>
        <v>0</v>
      </c>
      <c r="F1754">
        <f>B1754*(hospitalityq!F1754="")</f>
        <v>0</v>
      </c>
      <c r="G1754">
        <f>B1754*(hospitalityq!G1754="")</f>
        <v>0</v>
      </c>
      <c r="H1754">
        <f>B1754*(hospitalityq!H1754="")</f>
        <v>0</v>
      </c>
      <c r="I1754">
        <f>B1754*(hospitalityq!I1754="")</f>
        <v>0</v>
      </c>
      <c r="J1754">
        <f>B1754*(hospitalityq!J1754="")</f>
        <v>0</v>
      </c>
      <c r="K1754">
        <f>B1754*(hospitalityq!K1754="")</f>
        <v>0</v>
      </c>
      <c r="L1754">
        <f>B1754*(hospitalityq!L1754="")</f>
        <v>0</v>
      </c>
      <c r="M1754">
        <f>B1754*(hospitalityq!M1754="")</f>
        <v>0</v>
      </c>
      <c r="N1754">
        <f>B1754*(hospitalityq!N1754="")</f>
        <v>0</v>
      </c>
      <c r="O1754">
        <f>B1754*(hospitalityq!O1754="")</f>
        <v>0</v>
      </c>
      <c r="P1754">
        <f>B1754*(hospitalityq!P1754="")</f>
        <v>0</v>
      </c>
      <c r="Q1754">
        <f>B1754*(hospitalityq!Q1754="")</f>
        <v>0</v>
      </c>
      <c r="R1754">
        <f>B1754*(hospitalityq!R1754="")</f>
        <v>0</v>
      </c>
    </row>
    <row r="1755" spans="1:18" x14ac:dyDescent="0.25">
      <c r="A1755">
        <f t="shared" si="28"/>
        <v>0</v>
      </c>
      <c r="B1755" t="b">
        <f>SUMPRODUCT(LEN(hospitalityq!C1755:R1755))&gt;0</f>
        <v>0</v>
      </c>
      <c r="C1755">
        <f>B1755*(hospitalityq!C1755="")</f>
        <v>0</v>
      </c>
      <c r="E1755">
        <f>B1755*(hospitalityq!E1755="")</f>
        <v>0</v>
      </c>
      <c r="F1755">
        <f>B1755*(hospitalityq!F1755="")</f>
        <v>0</v>
      </c>
      <c r="G1755">
        <f>B1755*(hospitalityq!G1755="")</f>
        <v>0</v>
      </c>
      <c r="H1755">
        <f>B1755*(hospitalityq!H1755="")</f>
        <v>0</v>
      </c>
      <c r="I1755">
        <f>B1755*(hospitalityq!I1755="")</f>
        <v>0</v>
      </c>
      <c r="J1755">
        <f>B1755*(hospitalityq!J1755="")</f>
        <v>0</v>
      </c>
      <c r="K1755">
        <f>B1755*(hospitalityq!K1755="")</f>
        <v>0</v>
      </c>
      <c r="L1755">
        <f>B1755*(hospitalityq!L1755="")</f>
        <v>0</v>
      </c>
      <c r="M1755">
        <f>B1755*(hospitalityq!M1755="")</f>
        <v>0</v>
      </c>
      <c r="N1755">
        <f>B1755*(hospitalityq!N1755="")</f>
        <v>0</v>
      </c>
      <c r="O1755">
        <f>B1755*(hospitalityq!O1755="")</f>
        <v>0</v>
      </c>
      <c r="P1755">
        <f>B1755*(hospitalityq!P1755="")</f>
        <v>0</v>
      </c>
      <c r="Q1755">
        <f>B1755*(hospitalityq!Q1755="")</f>
        <v>0</v>
      </c>
      <c r="R1755">
        <f>B1755*(hospitalityq!R1755="")</f>
        <v>0</v>
      </c>
    </row>
    <row r="1756" spans="1:18" x14ac:dyDescent="0.25">
      <c r="A1756">
        <f t="shared" si="28"/>
        <v>0</v>
      </c>
      <c r="B1756" t="b">
        <f>SUMPRODUCT(LEN(hospitalityq!C1756:R1756))&gt;0</f>
        <v>0</v>
      </c>
      <c r="C1756">
        <f>B1756*(hospitalityq!C1756="")</f>
        <v>0</v>
      </c>
      <c r="E1756">
        <f>B1756*(hospitalityq!E1756="")</f>
        <v>0</v>
      </c>
      <c r="F1756">
        <f>B1756*(hospitalityq!F1756="")</f>
        <v>0</v>
      </c>
      <c r="G1756">
        <f>B1756*(hospitalityq!G1756="")</f>
        <v>0</v>
      </c>
      <c r="H1756">
        <f>B1756*(hospitalityq!H1756="")</f>
        <v>0</v>
      </c>
      <c r="I1756">
        <f>B1756*(hospitalityq!I1756="")</f>
        <v>0</v>
      </c>
      <c r="J1756">
        <f>B1756*(hospitalityq!J1756="")</f>
        <v>0</v>
      </c>
      <c r="K1756">
        <f>B1756*(hospitalityq!K1756="")</f>
        <v>0</v>
      </c>
      <c r="L1756">
        <f>B1756*(hospitalityq!L1756="")</f>
        <v>0</v>
      </c>
      <c r="M1756">
        <f>B1756*(hospitalityq!M1756="")</f>
        <v>0</v>
      </c>
      <c r="N1756">
        <f>B1756*(hospitalityq!N1756="")</f>
        <v>0</v>
      </c>
      <c r="O1756">
        <f>B1756*(hospitalityq!O1756="")</f>
        <v>0</v>
      </c>
      <c r="P1756">
        <f>B1756*(hospitalityq!P1756="")</f>
        <v>0</v>
      </c>
      <c r="Q1756">
        <f>B1756*(hospitalityq!Q1756="")</f>
        <v>0</v>
      </c>
      <c r="R1756">
        <f>B1756*(hospitalityq!R1756="")</f>
        <v>0</v>
      </c>
    </row>
    <row r="1757" spans="1:18" x14ac:dyDescent="0.25">
      <c r="A1757">
        <f t="shared" si="28"/>
        <v>0</v>
      </c>
      <c r="B1757" t="b">
        <f>SUMPRODUCT(LEN(hospitalityq!C1757:R1757))&gt;0</f>
        <v>0</v>
      </c>
      <c r="C1757">
        <f>B1757*(hospitalityq!C1757="")</f>
        <v>0</v>
      </c>
      <c r="E1757">
        <f>B1757*(hospitalityq!E1757="")</f>
        <v>0</v>
      </c>
      <c r="F1757">
        <f>B1757*(hospitalityq!F1757="")</f>
        <v>0</v>
      </c>
      <c r="G1757">
        <f>B1757*(hospitalityq!G1757="")</f>
        <v>0</v>
      </c>
      <c r="H1757">
        <f>B1757*(hospitalityq!H1757="")</f>
        <v>0</v>
      </c>
      <c r="I1757">
        <f>B1757*(hospitalityq!I1757="")</f>
        <v>0</v>
      </c>
      <c r="J1757">
        <f>B1757*(hospitalityq!J1757="")</f>
        <v>0</v>
      </c>
      <c r="K1757">
        <f>B1757*(hospitalityq!K1757="")</f>
        <v>0</v>
      </c>
      <c r="L1757">
        <f>B1757*(hospitalityq!L1757="")</f>
        <v>0</v>
      </c>
      <c r="M1757">
        <f>B1757*(hospitalityq!M1757="")</f>
        <v>0</v>
      </c>
      <c r="N1757">
        <f>B1757*(hospitalityq!N1757="")</f>
        <v>0</v>
      </c>
      <c r="O1757">
        <f>B1757*(hospitalityq!O1757="")</f>
        <v>0</v>
      </c>
      <c r="P1757">
        <f>B1757*(hospitalityq!P1757="")</f>
        <v>0</v>
      </c>
      <c r="Q1757">
        <f>B1757*(hospitalityq!Q1757="")</f>
        <v>0</v>
      </c>
      <c r="R1757">
        <f>B1757*(hospitalityq!R1757="")</f>
        <v>0</v>
      </c>
    </row>
    <row r="1758" spans="1:18" x14ac:dyDescent="0.25">
      <c r="A1758">
        <f t="shared" si="28"/>
        <v>0</v>
      </c>
      <c r="B1758" t="b">
        <f>SUMPRODUCT(LEN(hospitalityq!C1758:R1758))&gt;0</f>
        <v>0</v>
      </c>
      <c r="C1758">
        <f>B1758*(hospitalityq!C1758="")</f>
        <v>0</v>
      </c>
      <c r="E1758">
        <f>B1758*(hospitalityq!E1758="")</f>
        <v>0</v>
      </c>
      <c r="F1758">
        <f>B1758*(hospitalityq!F1758="")</f>
        <v>0</v>
      </c>
      <c r="G1758">
        <f>B1758*(hospitalityq!G1758="")</f>
        <v>0</v>
      </c>
      <c r="H1758">
        <f>B1758*(hospitalityq!H1758="")</f>
        <v>0</v>
      </c>
      <c r="I1758">
        <f>B1758*(hospitalityq!I1758="")</f>
        <v>0</v>
      </c>
      <c r="J1758">
        <f>B1758*(hospitalityq!J1758="")</f>
        <v>0</v>
      </c>
      <c r="K1758">
        <f>B1758*(hospitalityq!K1758="")</f>
        <v>0</v>
      </c>
      <c r="L1758">
        <f>B1758*(hospitalityq!L1758="")</f>
        <v>0</v>
      </c>
      <c r="M1758">
        <f>B1758*(hospitalityq!M1758="")</f>
        <v>0</v>
      </c>
      <c r="N1758">
        <f>B1758*(hospitalityq!N1758="")</f>
        <v>0</v>
      </c>
      <c r="O1758">
        <f>B1758*(hospitalityq!O1758="")</f>
        <v>0</v>
      </c>
      <c r="P1758">
        <f>B1758*(hospitalityq!P1758="")</f>
        <v>0</v>
      </c>
      <c r="Q1758">
        <f>B1758*(hospitalityq!Q1758="")</f>
        <v>0</v>
      </c>
      <c r="R1758">
        <f>B1758*(hospitalityq!R1758="")</f>
        <v>0</v>
      </c>
    </row>
    <row r="1759" spans="1:18" x14ac:dyDescent="0.25">
      <c r="A1759">
        <f t="shared" si="28"/>
        <v>0</v>
      </c>
      <c r="B1759" t="b">
        <f>SUMPRODUCT(LEN(hospitalityq!C1759:R1759))&gt;0</f>
        <v>0</v>
      </c>
      <c r="C1759">
        <f>B1759*(hospitalityq!C1759="")</f>
        <v>0</v>
      </c>
      <c r="E1759">
        <f>B1759*(hospitalityq!E1759="")</f>
        <v>0</v>
      </c>
      <c r="F1759">
        <f>B1759*(hospitalityq!F1759="")</f>
        <v>0</v>
      </c>
      <c r="G1759">
        <f>B1759*(hospitalityq!G1759="")</f>
        <v>0</v>
      </c>
      <c r="H1759">
        <f>B1759*(hospitalityq!H1759="")</f>
        <v>0</v>
      </c>
      <c r="I1759">
        <f>B1759*(hospitalityq!I1759="")</f>
        <v>0</v>
      </c>
      <c r="J1759">
        <f>B1759*(hospitalityq!J1759="")</f>
        <v>0</v>
      </c>
      <c r="K1759">
        <f>B1759*(hospitalityq!K1759="")</f>
        <v>0</v>
      </c>
      <c r="L1759">
        <f>B1759*(hospitalityq!L1759="")</f>
        <v>0</v>
      </c>
      <c r="M1759">
        <f>B1759*(hospitalityq!M1759="")</f>
        <v>0</v>
      </c>
      <c r="N1759">
        <f>B1759*(hospitalityq!N1759="")</f>
        <v>0</v>
      </c>
      <c r="O1759">
        <f>B1759*(hospitalityq!O1759="")</f>
        <v>0</v>
      </c>
      <c r="P1759">
        <f>B1759*(hospitalityq!P1759="")</f>
        <v>0</v>
      </c>
      <c r="Q1759">
        <f>B1759*(hospitalityq!Q1759="")</f>
        <v>0</v>
      </c>
      <c r="R1759">
        <f>B1759*(hospitalityq!R1759="")</f>
        <v>0</v>
      </c>
    </row>
    <row r="1760" spans="1:18" x14ac:dyDescent="0.25">
      <c r="A1760">
        <f t="shared" si="28"/>
        <v>0</v>
      </c>
      <c r="B1760" t="b">
        <f>SUMPRODUCT(LEN(hospitalityq!C1760:R1760))&gt;0</f>
        <v>0</v>
      </c>
      <c r="C1760">
        <f>B1760*(hospitalityq!C1760="")</f>
        <v>0</v>
      </c>
      <c r="E1760">
        <f>B1760*(hospitalityq!E1760="")</f>
        <v>0</v>
      </c>
      <c r="F1760">
        <f>B1760*(hospitalityq!F1760="")</f>
        <v>0</v>
      </c>
      <c r="G1760">
        <f>B1760*(hospitalityq!G1760="")</f>
        <v>0</v>
      </c>
      <c r="H1760">
        <f>B1760*(hospitalityq!H1760="")</f>
        <v>0</v>
      </c>
      <c r="I1760">
        <f>B1760*(hospitalityq!I1760="")</f>
        <v>0</v>
      </c>
      <c r="J1760">
        <f>B1760*(hospitalityq!J1760="")</f>
        <v>0</v>
      </c>
      <c r="K1760">
        <f>B1760*(hospitalityq!K1760="")</f>
        <v>0</v>
      </c>
      <c r="L1760">
        <f>B1760*(hospitalityq!L1760="")</f>
        <v>0</v>
      </c>
      <c r="M1760">
        <f>B1760*(hospitalityq!M1760="")</f>
        <v>0</v>
      </c>
      <c r="N1760">
        <f>B1760*(hospitalityq!N1760="")</f>
        <v>0</v>
      </c>
      <c r="O1760">
        <f>B1760*(hospitalityq!O1760="")</f>
        <v>0</v>
      </c>
      <c r="P1760">
        <f>B1760*(hospitalityq!P1760="")</f>
        <v>0</v>
      </c>
      <c r="Q1760">
        <f>B1760*(hospitalityq!Q1760="")</f>
        <v>0</v>
      </c>
      <c r="R1760">
        <f>B1760*(hospitalityq!R1760="")</f>
        <v>0</v>
      </c>
    </row>
    <row r="1761" spans="1:18" x14ac:dyDescent="0.25">
      <c r="A1761">
        <f t="shared" si="28"/>
        <v>0</v>
      </c>
      <c r="B1761" t="b">
        <f>SUMPRODUCT(LEN(hospitalityq!C1761:R1761))&gt;0</f>
        <v>0</v>
      </c>
      <c r="C1761">
        <f>B1761*(hospitalityq!C1761="")</f>
        <v>0</v>
      </c>
      <c r="E1761">
        <f>B1761*(hospitalityq!E1761="")</f>
        <v>0</v>
      </c>
      <c r="F1761">
        <f>B1761*(hospitalityq!F1761="")</f>
        <v>0</v>
      </c>
      <c r="G1761">
        <f>B1761*(hospitalityq!G1761="")</f>
        <v>0</v>
      </c>
      <c r="H1761">
        <f>B1761*(hospitalityq!H1761="")</f>
        <v>0</v>
      </c>
      <c r="I1761">
        <f>B1761*(hospitalityq!I1761="")</f>
        <v>0</v>
      </c>
      <c r="J1761">
        <f>B1761*(hospitalityq!J1761="")</f>
        <v>0</v>
      </c>
      <c r="K1761">
        <f>B1761*(hospitalityq!K1761="")</f>
        <v>0</v>
      </c>
      <c r="L1761">
        <f>B1761*(hospitalityq!L1761="")</f>
        <v>0</v>
      </c>
      <c r="M1761">
        <f>B1761*(hospitalityq!M1761="")</f>
        <v>0</v>
      </c>
      <c r="N1761">
        <f>B1761*(hospitalityq!N1761="")</f>
        <v>0</v>
      </c>
      <c r="O1761">
        <f>B1761*(hospitalityq!O1761="")</f>
        <v>0</v>
      </c>
      <c r="P1761">
        <f>B1761*(hospitalityq!P1761="")</f>
        <v>0</v>
      </c>
      <c r="Q1761">
        <f>B1761*(hospitalityq!Q1761="")</f>
        <v>0</v>
      </c>
      <c r="R1761">
        <f>B1761*(hospitalityq!R1761="")</f>
        <v>0</v>
      </c>
    </row>
    <row r="1762" spans="1:18" x14ac:dyDescent="0.25">
      <c r="A1762">
        <f t="shared" si="28"/>
        <v>0</v>
      </c>
      <c r="B1762" t="b">
        <f>SUMPRODUCT(LEN(hospitalityq!C1762:R1762))&gt;0</f>
        <v>0</v>
      </c>
      <c r="C1762">
        <f>B1762*(hospitalityq!C1762="")</f>
        <v>0</v>
      </c>
      <c r="E1762">
        <f>B1762*(hospitalityq!E1762="")</f>
        <v>0</v>
      </c>
      <c r="F1762">
        <f>B1762*(hospitalityq!F1762="")</f>
        <v>0</v>
      </c>
      <c r="G1762">
        <f>B1762*(hospitalityq!G1762="")</f>
        <v>0</v>
      </c>
      <c r="H1762">
        <f>B1762*(hospitalityq!H1762="")</f>
        <v>0</v>
      </c>
      <c r="I1762">
        <f>B1762*(hospitalityq!I1762="")</f>
        <v>0</v>
      </c>
      <c r="J1762">
        <f>B1762*(hospitalityq!J1762="")</f>
        <v>0</v>
      </c>
      <c r="K1762">
        <f>B1762*(hospitalityq!K1762="")</f>
        <v>0</v>
      </c>
      <c r="L1762">
        <f>B1762*(hospitalityq!L1762="")</f>
        <v>0</v>
      </c>
      <c r="M1762">
        <f>B1762*(hospitalityq!M1762="")</f>
        <v>0</v>
      </c>
      <c r="N1762">
        <f>B1762*(hospitalityq!N1762="")</f>
        <v>0</v>
      </c>
      <c r="O1762">
        <f>B1762*(hospitalityq!O1762="")</f>
        <v>0</v>
      </c>
      <c r="P1762">
        <f>B1762*(hospitalityq!P1762="")</f>
        <v>0</v>
      </c>
      <c r="Q1762">
        <f>B1762*(hospitalityq!Q1762="")</f>
        <v>0</v>
      </c>
      <c r="R1762">
        <f>B1762*(hospitalityq!R1762="")</f>
        <v>0</v>
      </c>
    </row>
    <row r="1763" spans="1:18" x14ac:dyDescent="0.25">
      <c r="A1763">
        <f t="shared" si="28"/>
        <v>0</v>
      </c>
      <c r="B1763" t="b">
        <f>SUMPRODUCT(LEN(hospitalityq!C1763:R1763))&gt;0</f>
        <v>0</v>
      </c>
      <c r="C1763">
        <f>B1763*(hospitalityq!C1763="")</f>
        <v>0</v>
      </c>
      <c r="E1763">
        <f>B1763*(hospitalityq!E1763="")</f>
        <v>0</v>
      </c>
      <c r="F1763">
        <f>B1763*(hospitalityq!F1763="")</f>
        <v>0</v>
      </c>
      <c r="G1763">
        <f>B1763*(hospitalityq!G1763="")</f>
        <v>0</v>
      </c>
      <c r="H1763">
        <f>B1763*(hospitalityq!H1763="")</f>
        <v>0</v>
      </c>
      <c r="I1763">
        <f>B1763*(hospitalityq!I1763="")</f>
        <v>0</v>
      </c>
      <c r="J1763">
        <f>B1763*(hospitalityq!J1763="")</f>
        <v>0</v>
      </c>
      <c r="K1763">
        <f>B1763*(hospitalityq!K1763="")</f>
        <v>0</v>
      </c>
      <c r="L1763">
        <f>B1763*(hospitalityq!L1763="")</f>
        <v>0</v>
      </c>
      <c r="M1763">
        <f>B1763*(hospitalityq!M1763="")</f>
        <v>0</v>
      </c>
      <c r="N1763">
        <f>B1763*(hospitalityq!N1763="")</f>
        <v>0</v>
      </c>
      <c r="O1763">
        <f>B1763*(hospitalityq!O1763="")</f>
        <v>0</v>
      </c>
      <c r="P1763">
        <f>B1763*(hospitalityq!P1763="")</f>
        <v>0</v>
      </c>
      <c r="Q1763">
        <f>B1763*(hospitalityq!Q1763="")</f>
        <v>0</v>
      </c>
      <c r="R1763">
        <f>B1763*(hospitalityq!R1763="")</f>
        <v>0</v>
      </c>
    </row>
    <row r="1764" spans="1:18" x14ac:dyDescent="0.25">
      <c r="A1764">
        <f t="shared" si="28"/>
        <v>0</v>
      </c>
      <c r="B1764" t="b">
        <f>SUMPRODUCT(LEN(hospitalityq!C1764:R1764))&gt;0</f>
        <v>0</v>
      </c>
      <c r="C1764">
        <f>B1764*(hospitalityq!C1764="")</f>
        <v>0</v>
      </c>
      <c r="E1764">
        <f>B1764*(hospitalityq!E1764="")</f>
        <v>0</v>
      </c>
      <c r="F1764">
        <f>B1764*(hospitalityq!F1764="")</f>
        <v>0</v>
      </c>
      <c r="G1764">
        <f>B1764*(hospitalityq!G1764="")</f>
        <v>0</v>
      </c>
      <c r="H1764">
        <f>B1764*(hospitalityq!H1764="")</f>
        <v>0</v>
      </c>
      <c r="I1764">
        <f>B1764*(hospitalityq!I1764="")</f>
        <v>0</v>
      </c>
      <c r="J1764">
        <f>B1764*(hospitalityq!J1764="")</f>
        <v>0</v>
      </c>
      <c r="K1764">
        <f>B1764*(hospitalityq!K1764="")</f>
        <v>0</v>
      </c>
      <c r="L1764">
        <f>B1764*(hospitalityq!L1764="")</f>
        <v>0</v>
      </c>
      <c r="M1764">
        <f>B1764*(hospitalityq!M1764="")</f>
        <v>0</v>
      </c>
      <c r="N1764">
        <f>B1764*(hospitalityq!N1764="")</f>
        <v>0</v>
      </c>
      <c r="O1764">
        <f>B1764*(hospitalityq!O1764="")</f>
        <v>0</v>
      </c>
      <c r="P1764">
        <f>B1764*(hospitalityq!P1764="")</f>
        <v>0</v>
      </c>
      <c r="Q1764">
        <f>B1764*(hospitalityq!Q1764="")</f>
        <v>0</v>
      </c>
      <c r="R1764">
        <f>B1764*(hospitalityq!R1764="")</f>
        <v>0</v>
      </c>
    </row>
    <row r="1765" spans="1:18" x14ac:dyDescent="0.25">
      <c r="A1765">
        <f t="shared" si="28"/>
        <v>0</v>
      </c>
      <c r="B1765" t="b">
        <f>SUMPRODUCT(LEN(hospitalityq!C1765:R1765))&gt;0</f>
        <v>0</v>
      </c>
      <c r="C1765">
        <f>B1765*(hospitalityq!C1765="")</f>
        <v>0</v>
      </c>
      <c r="E1765">
        <f>B1765*(hospitalityq!E1765="")</f>
        <v>0</v>
      </c>
      <c r="F1765">
        <f>B1765*(hospitalityq!F1765="")</f>
        <v>0</v>
      </c>
      <c r="G1765">
        <f>B1765*(hospitalityq!G1765="")</f>
        <v>0</v>
      </c>
      <c r="H1765">
        <f>B1765*(hospitalityq!H1765="")</f>
        <v>0</v>
      </c>
      <c r="I1765">
        <f>B1765*(hospitalityq!I1765="")</f>
        <v>0</v>
      </c>
      <c r="J1765">
        <f>B1765*(hospitalityq!J1765="")</f>
        <v>0</v>
      </c>
      <c r="K1765">
        <f>B1765*(hospitalityq!K1765="")</f>
        <v>0</v>
      </c>
      <c r="L1765">
        <f>B1765*(hospitalityq!L1765="")</f>
        <v>0</v>
      </c>
      <c r="M1765">
        <f>B1765*(hospitalityq!M1765="")</f>
        <v>0</v>
      </c>
      <c r="N1765">
        <f>B1765*(hospitalityq!N1765="")</f>
        <v>0</v>
      </c>
      <c r="O1765">
        <f>B1765*(hospitalityq!O1765="")</f>
        <v>0</v>
      </c>
      <c r="P1765">
        <f>B1765*(hospitalityq!P1765="")</f>
        <v>0</v>
      </c>
      <c r="Q1765">
        <f>B1765*(hospitalityq!Q1765="")</f>
        <v>0</v>
      </c>
      <c r="R1765">
        <f>B1765*(hospitalityq!R1765="")</f>
        <v>0</v>
      </c>
    </row>
    <row r="1766" spans="1:18" x14ac:dyDescent="0.25">
      <c r="A1766">
        <f t="shared" si="28"/>
        <v>0</v>
      </c>
      <c r="B1766" t="b">
        <f>SUMPRODUCT(LEN(hospitalityq!C1766:R1766))&gt;0</f>
        <v>0</v>
      </c>
      <c r="C1766">
        <f>B1766*(hospitalityq!C1766="")</f>
        <v>0</v>
      </c>
      <c r="E1766">
        <f>B1766*(hospitalityq!E1766="")</f>
        <v>0</v>
      </c>
      <c r="F1766">
        <f>B1766*(hospitalityq!F1766="")</f>
        <v>0</v>
      </c>
      <c r="G1766">
        <f>B1766*(hospitalityq!G1766="")</f>
        <v>0</v>
      </c>
      <c r="H1766">
        <f>B1766*(hospitalityq!H1766="")</f>
        <v>0</v>
      </c>
      <c r="I1766">
        <f>B1766*(hospitalityq!I1766="")</f>
        <v>0</v>
      </c>
      <c r="J1766">
        <f>B1766*(hospitalityq!J1766="")</f>
        <v>0</v>
      </c>
      <c r="K1766">
        <f>B1766*(hospitalityq!K1766="")</f>
        <v>0</v>
      </c>
      <c r="L1766">
        <f>B1766*(hospitalityq!L1766="")</f>
        <v>0</v>
      </c>
      <c r="M1766">
        <f>B1766*(hospitalityq!M1766="")</f>
        <v>0</v>
      </c>
      <c r="N1766">
        <f>B1766*(hospitalityq!N1766="")</f>
        <v>0</v>
      </c>
      <c r="O1766">
        <f>B1766*(hospitalityq!O1766="")</f>
        <v>0</v>
      </c>
      <c r="P1766">
        <f>B1766*(hospitalityq!P1766="")</f>
        <v>0</v>
      </c>
      <c r="Q1766">
        <f>B1766*(hospitalityq!Q1766="")</f>
        <v>0</v>
      </c>
      <c r="R1766">
        <f>B1766*(hospitalityq!R1766="")</f>
        <v>0</v>
      </c>
    </row>
    <row r="1767" spans="1:18" x14ac:dyDescent="0.25">
      <c r="A1767">
        <f t="shared" si="28"/>
        <v>0</v>
      </c>
      <c r="B1767" t="b">
        <f>SUMPRODUCT(LEN(hospitalityq!C1767:R1767))&gt;0</f>
        <v>0</v>
      </c>
      <c r="C1767">
        <f>B1767*(hospitalityq!C1767="")</f>
        <v>0</v>
      </c>
      <c r="E1767">
        <f>B1767*(hospitalityq!E1767="")</f>
        <v>0</v>
      </c>
      <c r="F1767">
        <f>B1767*(hospitalityq!F1767="")</f>
        <v>0</v>
      </c>
      <c r="G1767">
        <f>B1767*(hospitalityq!G1767="")</f>
        <v>0</v>
      </c>
      <c r="H1767">
        <f>B1767*(hospitalityq!H1767="")</f>
        <v>0</v>
      </c>
      <c r="I1767">
        <f>B1767*(hospitalityq!I1767="")</f>
        <v>0</v>
      </c>
      <c r="J1767">
        <f>B1767*(hospitalityq!J1767="")</f>
        <v>0</v>
      </c>
      <c r="K1767">
        <f>B1767*(hospitalityq!K1767="")</f>
        <v>0</v>
      </c>
      <c r="L1767">
        <f>B1767*(hospitalityq!L1767="")</f>
        <v>0</v>
      </c>
      <c r="M1767">
        <f>B1767*(hospitalityq!M1767="")</f>
        <v>0</v>
      </c>
      <c r="N1767">
        <f>B1767*(hospitalityq!N1767="")</f>
        <v>0</v>
      </c>
      <c r="O1767">
        <f>B1767*(hospitalityq!O1767="")</f>
        <v>0</v>
      </c>
      <c r="P1767">
        <f>B1767*(hospitalityq!P1767="")</f>
        <v>0</v>
      </c>
      <c r="Q1767">
        <f>B1767*(hospitalityq!Q1767="")</f>
        <v>0</v>
      </c>
      <c r="R1767">
        <f>B1767*(hospitalityq!R1767="")</f>
        <v>0</v>
      </c>
    </row>
    <row r="1768" spans="1:18" x14ac:dyDescent="0.25">
      <c r="A1768">
        <f t="shared" si="28"/>
        <v>0</v>
      </c>
      <c r="B1768" t="b">
        <f>SUMPRODUCT(LEN(hospitalityq!C1768:R1768))&gt;0</f>
        <v>0</v>
      </c>
      <c r="C1768">
        <f>B1768*(hospitalityq!C1768="")</f>
        <v>0</v>
      </c>
      <c r="E1768">
        <f>B1768*(hospitalityq!E1768="")</f>
        <v>0</v>
      </c>
      <c r="F1768">
        <f>B1768*(hospitalityq!F1768="")</f>
        <v>0</v>
      </c>
      <c r="G1768">
        <f>B1768*(hospitalityq!G1768="")</f>
        <v>0</v>
      </c>
      <c r="H1768">
        <f>B1768*(hospitalityq!H1768="")</f>
        <v>0</v>
      </c>
      <c r="I1768">
        <f>B1768*(hospitalityq!I1768="")</f>
        <v>0</v>
      </c>
      <c r="J1768">
        <f>B1768*(hospitalityq!J1768="")</f>
        <v>0</v>
      </c>
      <c r="K1768">
        <f>B1768*(hospitalityq!K1768="")</f>
        <v>0</v>
      </c>
      <c r="L1768">
        <f>B1768*(hospitalityq!L1768="")</f>
        <v>0</v>
      </c>
      <c r="M1768">
        <f>B1768*(hospitalityq!M1768="")</f>
        <v>0</v>
      </c>
      <c r="N1768">
        <f>B1768*(hospitalityq!N1768="")</f>
        <v>0</v>
      </c>
      <c r="O1768">
        <f>B1768*(hospitalityq!O1768="")</f>
        <v>0</v>
      </c>
      <c r="P1768">
        <f>B1768*(hospitalityq!P1768="")</f>
        <v>0</v>
      </c>
      <c r="Q1768">
        <f>B1768*(hospitalityq!Q1768="")</f>
        <v>0</v>
      </c>
      <c r="R1768">
        <f>B1768*(hospitalityq!R1768="")</f>
        <v>0</v>
      </c>
    </row>
    <row r="1769" spans="1:18" x14ac:dyDescent="0.25">
      <c r="A1769">
        <f t="shared" si="28"/>
        <v>0</v>
      </c>
      <c r="B1769" t="b">
        <f>SUMPRODUCT(LEN(hospitalityq!C1769:R1769))&gt;0</f>
        <v>0</v>
      </c>
      <c r="C1769">
        <f>B1769*(hospitalityq!C1769="")</f>
        <v>0</v>
      </c>
      <c r="E1769">
        <f>B1769*(hospitalityq!E1769="")</f>
        <v>0</v>
      </c>
      <c r="F1769">
        <f>B1769*(hospitalityq!F1769="")</f>
        <v>0</v>
      </c>
      <c r="G1769">
        <f>B1769*(hospitalityq!G1769="")</f>
        <v>0</v>
      </c>
      <c r="H1769">
        <f>B1769*(hospitalityq!H1769="")</f>
        <v>0</v>
      </c>
      <c r="I1769">
        <f>B1769*(hospitalityq!I1769="")</f>
        <v>0</v>
      </c>
      <c r="J1769">
        <f>B1769*(hospitalityq!J1769="")</f>
        <v>0</v>
      </c>
      <c r="K1769">
        <f>B1769*(hospitalityq!K1769="")</f>
        <v>0</v>
      </c>
      <c r="L1769">
        <f>B1769*(hospitalityq!L1769="")</f>
        <v>0</v>
      </c>
      <c r="M1769">
        <f>B1769*(hospitalityq!M1769="")</f>
        <v>0</v>
      </c>
      <c r="N1769">
        <f>B1769*(hospitalityq!N1769="")</f>
        <v>0</v>
      </c>
      <c r="O1769">
        <f>B1769*(hospitalityq!O1769="")</f>
        <v>0</v>
      </c>
      <c r="P1769">
        <f>B1769*(hospitalityq!P1769="")</f>
        <v>0</v>
      </c>
      <c r="Q1769">
        <f>B1769*(hospitalityq!Q1769="")</f>
        <v>0</v>
      </c>
      <c r="R1769">
        <f>B1769*(hospitalityq!R1769="")</f>
        <v>0</v>
      </c>
    </row>
    <row r="1770" spans="1:18" x14ac:dyDescent="0.25">
      <c r="A1770">
        <f t="shared" si="28"/>
        <v>0</v>
      </c>
      <c r="B1770" t="b">
        <f>SUMPRODUCT(LEN(hospitalityq!C1770:R1770))&gt;0</f>
        <v>0</v>
      </c>
      <c r="C1770">
        <f>B1770*(hospitalityq!C1770="")</f>
        <v>0</v>
      </c>
      <c r="E1770">
        <f>B1770*(hospitalityq!E1770="")</f>
        <v>0</v>
      </c>
      <c r="F1770">
        <f>B1770*(hospitalityq!F1770="")</f>
        <v>0</v>
      </c>
      <c r="G1770">
        <f>B1770*(hospitalityq!G1770="")</f>
        <v>0</v>
      </c>
      <c r="H1770">
        <f>B1770*(hospitalityq!H1770="")</f>
        <v>0</v>
      </c>
      <c r="I1770">
        <f>B1770*(hospitalityq!I1770="")</f>
        <v>0</v>
      </c>
      <c r="J1770">
        <f>B1770*(hospitalityq!J1770="")</f>
        <v>0</v>
      </c>
      <c r="K1770">
        <f>B1770*(hospitalityq!K1770="")</f>
        <v>0</v>
      </c>
      <c r="L1770">
        <f>B1770*(hospitalityq!L1770="")</f>
        <v>0</v>
      </c>
      <c r="M1770">
        <f>B1770*(hospitalityq!M1770="")</f>
        <v>0</v>
      </c>
      <c r="N1770">
        <f>B1770*(hospitalityq!N1770="")</f>
        <v>0</v>
      </c>
      <c r="O1770">
        <f>B1770*(hospitalityq!O1770="")</f>
        <v>0</v>
      </c>
      <c r="P1770">
        <f>B1770*(hospitalityq!P1770="")</f>
        <v>0</v>
      </c>
      <c r="Q1770">
        <f>B1770*(hospitalityq!Q1770="")</f>
        <v>0</v>
      </c>
      <c r="R1770">
        <f>B1770*(hospitalityq!R1770="")</f>
        <v>0</v>
      </c>
    </row>
    <row r="1771" spans="1:18" x14ac:dyDescent="0.25">
      <c r="A1771">
        <f t="shared" si="28"/>
        <v>0</v>
      </c>
      <c r="B1771" t="b">
        <f>SUMPRODUCT(LEN(hospitalityq!C1771:R1771))&gt;0</f>
        <v>0</v>
      </c>
      <c r="C1771">
        <f>B1771*(hospitalityq!C1771="")</f>
        <v>0</v>
      </c>
      <c r="E1771">
        <f>B1771*(hospitalityq!E1771="")</f>
        <v>0</v>
      </c>
      <c r="F1771">
        <f>B1771*(hospitalityq!F1771="")</f>
        <v>0</v>
      </c>
      <c r="G1771">
        <f>B1771*(hospitalityq!G1771="")</f>
        <v>0</v>
      </c>
      <c r="H1771">
        <f>B1771*(hospitalityq!H1771="")</f>
        <v>0</v>
      </c>
      <c r="I1771">
        <f>B1771*(hospitalityq!I1771="")</f>
        <v>0</v>
      </c>
      <c r="J1771">
        <f>B1771*(hospitalityq!J1771="")</f>
        <v>0</v>
      </c>
      <c r="K1771">
        <f>B1771*(hospitalityq!K1771="")</f>
        <v>0</v>
      </c>
      <c r="L1771">
        <f>B1771*(hospitalityq!L1771="")</f>
        <v>0</v>
      </c>
      <c r="M1771">
        <f>B1771*(hospitalityq!M1771="")</f>
        <v>0</v>
      </c>
      <c r="N1771">
        <f>B1771*(hospitalityq!N1771="")</f>
        <v>0</v>
      </c>
      <c r="O1771">
        <f>B1771*(hospitalityq!O1771="")</f>
        <v>0</v>
      </c>
      <c r="P1771">
        <f>B1771*(hospitalityq!P1771="")</f>
        <v>0</v>
      </c>
      <c r="Q1771">
        <f>B1771*(hospitalityq!Q1771="")</f>
        <v>0</v>
      </c>
      <c r="R1771">
        <f>B1771*(hospitalityq!R1771="")</f>
        <v>0</v>
      </c>
    </row>
    <row r="1772" spans="1:18" x14ac:dyDescent="0.25">
      <c r="A1772">
        <f t="shared" si="28"/>
        <v>0</v>
      </c>
      <c r="B1772" t="b">
        <f>SUMPRODUCT(LEN(hospitalityq!C1772:R1772))&gt;0</f>
        <v>0</v>
      </c>
      <c r="C1772">
        <f>B1772*(hospitalityq!C1772="")</f>
        <v>0</v>
      </c>
      <c r="E1772">
        <f>B1772*(hospitalityq!E1772="")</f>
        <v>0</v>
      </c>
      <c r="F1772">
        <f>B1772*(hospitalityq!F1772="")</f>
        <v>0</v>
      </c>
      <c r="G1772">
        <f>B1772*(hospitalityq!G1772="")</f>
        <v>0</v>
      </c>
      <c r="H1772">
        <f>B1772*(hospitalityq!H1772="")</f>
        <v>0</v>
      </c>
      <c r="I1772">
        <f>B1772*(hospitalityq!I1772="")</f>
        <v>0</v>
      </c>
      <c r="J1772">
        <f>B1772*(hospitalityq!J1772="")</f>
        <v>0</v>
      </c>
      <c r="K1772">
        <f>B1772*(hospitalityq!K1772="")</f>
        <v>0</v>
      </c>
      <c r="L1772">
        <f>B1772*(hospitalityq!L1772="")</f>
        <v>0</v>
      </c>
      <c r="M1772">
        <f>B1772*(hospitalityq!M1772="")</f>
        <v>0</v>
      </c>
      <c r="N1772">
        <f>B1772*(hospitalityq!N1772="")</f>
        <v>0</v>
      </c>
      <c r="O1772">
        <f>B1772*(hospitalityq!O1772="")</f>
        <v>0</v>
      </c>
      <c r="P1772">
        <f>B1772*(hospitalityq!P1772="")</f>
        <v>0</v>
      </c>
      <c r="Q1772">
        <f>B1772*(hospitalityq!Q1772="")</f>
        <v>0</v>
      </c>
      <c r="R1772">
        <f>B1772*(hospitalityq!R1772="")</f>
        <v>0</v>
      </c>
    </row>
    <row r="1773" spans="1:18" x14ac:dyDescent="0.25">
      <c r="A1773">
        <f t="shared" si="28"/>
        <v>0</v>
      </c>
      <c r="B1773" t="b">
        <f>SUMPRODUCT(LEN(hospitalityq!C1773:R1773))&gt;0</f>
        <v>0</v>
      </c>
      <c r="C1773">
        <f>B1773*(hospitalityq!C1773="")</f>
        <v>0</v>
      </c>
      <c r="E1773">
        <f>B1773*(hospitalityq!E1773="")</f>
        <v>0</v>
      </c>
      <c r="F1773">
        <f>B1773*(hospitalityq!F1773="")</f>
        <v>0</v>
      </c>
      <c r="G1773">
        <f>B1773*(hospitalityq!G1773="")</f>
        <v>0</v>
      </c>
      <c r="H1773">
        <f>B1773*(hospitalityq!H1773="")</f>
        <v>0</v>
      </c>
      <c r="I1773">
        <f>B1773*(hospitalityq!I1773="")</f>
        <v>0</v>
      </c>
      <c r="J1773">
        <f>B1773*(hospitalityq!J1773="")</f>
        <v>0</v>
      </c>
      <c r="K1773">
        <f>B1773*(hospitalityq!K1773="")</f>
        <v>0</v>
      </c>
      <c r="L1773">
        <f>B1773*(hospitalityq!L1773="")</f>
        <v>0</v>
      </c>
      <c r="M1773">
        <f>B1773*(hospitalityq!M1773="")</f>
        <v>0</v>
      </c>
      <c r="N1773">
        <f>B1773*(hospitalityq!N1773="")</f>
        <v>0</v>
      </c>
      <c r="O1773">
        <f>B1773*(hospitalityq!O1773="")</f>
        <v>0</v>
      </c>
      <c r="P1773">
        <f>B1773*(hospitalityq!P1773="")</f>
        <v>0</v>
      </c>
      <c r="Q1773">
        <f>B1773*(hospitalityq!Q1773="")</f>
        <v>0</v>
      </c>
      <c r="R1773">
        <f>B1773*(hospitalityq!R1773="")</f>
        <v>0</v>
      </c>
    </row>
    <row r="1774" spans="1:18" x14ac:dyDescent="0.25">
      <c r="A1774">
        <f t="shared" si="28"/>
        <v>0</v>
      </c>
      <c r="B1774" t="b">
        <f>SUMPRODUCT(LEN(hospitalityq!C1774:R1774))&gt;0</f>
        <v>0</v>
      </c>
      <c r="C1774">
        <f>B1774*(hospitalityq!C1774="")</f>
        <v>0</v>
      </c>
      <c r="E1774">
        <f>B1774*(hospitalityq!E1774="")</f>
        <v>0</v>
      </c>
      <c r="F1774">
        <f>B1774*(hospitalityq!F1774="")</f>
        <v>0</v>
      </c>
      <c r="G1774">
        <f>B1774*(hospitalityq!G1774="")</f>
        <v>0</v>
      </c>
      <c r="H1774">
        <f>B1774*(hospitalityq!H1774="")</f>
        <v>0</v>
      </c>
      <c r="I1774">
        <f>B1774*(hospitalityq!I1774="")</f>
        <v>0</v>
      </c>
      <c r="J1774">
        <f>B1774*(hospitalityq!J1774="")</f>
        <v>0</v>
      </c>
      <c r="K1774">
        <f>B1774*(hospitalityq!K1774="")</f>
        <v>0</v>
      </c>
      <c r="L1774">
        <f>B1774*(hospitalityq!L1774="")</f>
        <v>0</v>
      </c>
      <c r="M1774">
        <f>B1774*(hospitalityq!M1774="")</f>
        <v>0</v>
      </c>
      <c r="N1774">
        <f>B1774*(hospitalityq!N1774="")</f>
        <v>0</v>
      </c>
      <c r="O1774">
        <f>B1774*(hospitalityq!O1774="")</f>
        <v>0</v>
      </c>
      <c r="P1774">
        <f>B1774*(hospitalityq!P1774="")</f>
        <v>0</v>
      </c>
      <c r="Q1774">
        <f>B1774*(hospitalityq!Q1774="")</f>
        <v>0</v>
      </c>
      <c r="R1774">
        <f>B1774*(hospitalityq!R1774="")</f>
        <v>0</v>
      </c>
    </row>
    <row r="1775" spans="1:18" x14ac:dyDescent="0.25">
      <c r="A1775">
        <f t="shared" si="28"/>
        <v>0</v>
      </c>
      <c r="B1775" t="b">
        <f>SUMPRODUCT(LEN(hospitalityq!C1775:R1775))&gt;0</f>
        <v>0</v>
      </c>
      <c r="C1775">
        <f>B1775*(hospitalityq!C1775="")</f>
        <v>0</v>
      </c>
      <c r="E1775">
        <f>B1775*(hospitalityq!E1775="")</f>
        <v>0</v>
      </c>
      <c r="F1775">
        <f>B1775*(hospitalityq!F1775="")</f>
        <v>0</v>
      </c>
      <c r="G1775">
        <f>B1775*(hospitalityq!G1775="")</f>
        <v>0</v>
      </c>
      <c r="H1775">
        <f>B1775*(hospitalityq!H1775="")</f>
        <v>0</v>
      </c>
      <c r="I1775">
        <f>B1775*(hospitalityq!I1775="")</f>
        <v>0</v>
      </c>
      <c r="J1775">
        <f>B1775*(hospitalityq!J1775="")</f>
        <v>0</v>
      </c>
      <c r="K1775">
        <f>B1775*(hospitalityq!K1775="")</f>
        <v>0</v>
      </c>
      <c r="L1775">
        <f>B1775*(hospitalityq!L1775="")</f>
        <v>0</v>
      </c>
      <c r="M1775">
        <f>B1775*(hospitalityq!M1775="")</f>
        <v>0</v>
      </c>
      <c r="N1775">
        <f>B1775*(hospitalityq!N1775="")</f>
        <v>0</v>
      </c>
      <c r="O1775">
        <f>B1775*(hospitalityq!O1775="")</f>
        <v>0</v>
      </c>
      <c r="P1775">
        <f>B1775*(hospitalityq!P1775="")</f>
        <v>0</v>
      </c>
      <c r="Q1775">
        <f>B1775*(hospitalityq!Q1775="")</f>
        <v>0</v>
      </c>
      <c r="R1775">
        <f>B1775*(hospitalityq!R1775="")</f>
        <v>0</v>
      </c>
    </row>
    <row r="1776" spans="1:18" x14ac:dyDescent="0.25">
      <c r="A1776">
        <f t="shared" si="28"/>
        <v>0</v>
      </c>
      <c r="B1776" t="b">
        <f>SUMPRODUCT(LEN(hospitalityq!C1776:R1776))&gt;0</f>
        <v>0</v>
      </c>
      <c r="C1776">
        <f>B1776*(hospitalityq!C1776="")</f>
        <v>0</v>
      </c>
      <c r="E1776">
        <f>B1776*(hospitalityq!E1776="")</f>
        <v>0</v>
      </c>
      <c r="F1776">
        <f>B1776*(hospitalityq!F1776="")</f>
        <v>0</v>
      </c>
      <c r="G1776">
        <f>B1776*(hospitalityq!G1776="")</f>
        <v>0</v>
      </c>
      <c r="H1776">
        <f>B1776*(hospitalityq!H1776="")</f>
        <v>0</v>
      </c>
      <c r="I1776">
        <f>B1776*(hospitalityq!I1776="")</f>
        <v>0</v>
      </c>
      <c r="J1776">
        <f>B1776*(hospitalityq!J1776="")</f>
        <v>0</v>
      </c>
      <c r="K1776">
        <f>B1776*(hospitalityq!K1776="")</f>
        <v>0</v>
      </c>
      <c r="L1776">
        <f>B1776*(hospitalityq!L1776="")</f>
        <v>0</v>
      </c>
      <c r="M1776">
        <f>B1776*(hospitalityq!M1776="")</f>
        <v>0</v>
      </c>
      <c r="N1776">
        <f>B1776*(hospitalityq!N1776="")</f>
        <v>0</v>
      </c>
      <c r="O1776">
        <f>B1776*(hospitalityq!O1776="")</f>
        <v>0</v>
      </c>
      <c r="P1776">
        <f>B1776*(hospitalityq!P1776="")</f>
        <v>0</v>
      </c>
      <c r="Q1776">
        <f>B1776*(hospitalityq!Q1776="")</f>
        <v>0</v>
      </c>
      <c r="R1776">
        <f>B1776*(hospitalityq!R1776="")</f>
        <v>0</v>
      </c>
    </row>
    <row r="1777" spans="1:18" x14ac:dyDescent="0.25">
      <c r="A1777">
        <f t="shared" si="28"/>
        <v>0</v>
      </c>
      <c r="B1777" t="b">
        <f>SUMPRODUCT(LEN(hospitalityq!C1777:R1777))&gt;0</f>
        <v>0</v>
      </c>
      <c r="C1777">
        <f>B1777*(hospitalityq!C1777="")</f>
        <v>0</v>
      </c>
      <c r="E1777">
        <f>B1777*(hospitalityq!E1777="")</f>
        <v>0</v>
      </c>
      <c r="F1777">
        <f>B1777*(hospitalityq!F1777="")</f>
        <v>0</v>
      </c>
      <c r="G1777">
        <f>B1777*(hospitalityq!G1777="")</f>
        <v>0</v>
      </c>
      <c r="H1777">
        <f>B1777*(hospitalityq!H1777="")</f>
        <v>0</v>
      </c>
      <c r="I1777">
        <f>B1777*(hospitalityq!I1777="")</f>
        <v>0</v>
      </c>
      <c r="J1777">
        <f>B1777*(hospitalityq!J1777="")</f>
        <v>0</v>
      </c>
      <c r="K1777">
        <f>B1777*(hospitalityq!K1777="")</f>
        <v>0</v>
      </c>
      <c r="L1777">
        <f>B1777*(hospitalityq!L1777="")</f>
        <v>0</v>
      </c>
      <c r="M1777">
        <f>B1777*(hospitalityq!M1777="")</f>
        <v>0</v>
      </c>
      <c r="N1777">
        <f>B1777*(hospitalityq!N1777="")</f>
        <v>0</v>
      </c>
      <c r="O1777">
        <f>B1777*(hospitalityq!O1777="")</f>
        <v>0</v>
      </c>
      <c r="P1777">
        <f>B1777*(hospitalityq!P1777="")</f>
        <v>0</v>
      </c>
      <c r="Q1777">
        <f>B1777*(hospitalityq!Q1777="")</f>
        <v>0</v>
      </c>
      <c r="R1777">
        <f>B1777*(hospitalityq!R1777="")</f>
        <v>0</v>
      </c>
    </row>
    <row r="1778" spans="1:18" x14ac:dyDescent="0.25">
      <c r="A1778">
        <f t="shared" si="28"/>
        <v>0</v>
      </c>
      <c r="B1778" t="b">
        <f>SUMPRODUCT(LEN(hospitalityq!C1778:R1778))&gt;0</f>
        <v>0</v>
      </c>
      <c r="C1778">
        <f>B1778*(hospitalityq!C1778="")</f>
        <v>0</v>
      </c>
      <c r="E1778">
        <f>B1778*(hospitalityq!E1778="")</f>
        <v>0</v>
      </c>
      <c r="F1778">
        <f>B1778*(hospitalityq!F1778="")</f>
        <v>0</v>
      </c>
      <c r="G1778">
        <f>B1778*(hospitalityq!G1778="")</f>
        <v>0</v>
      </c>
      <c r="H1778">
        <f>B1778*(hospitalityq!H1778="")</f>
        <v>0</v>
      </c>
      <c r="I1778">
        <f>B1778*(hospitalityq!I1778="")</f>
        <v>0</v>
      </c>
      <c r="J1778">
        <f>B1778*(hospitalityq!J1778="")</f>
        <v>0</v>
      </c>
      <c r="K1778">
        <f>B1778*(hospitalityq!K1778="")</f>
        <v>0</v>
      </c>
      <c r="L1778">
        <f>B1778*(hospitalityq!L1778="")</f>
        <v>0</v>
      </c>
      <c r="M1778">
        <f>B1778*(hospitalityq!M1778="")</f>
        <v>0</v>
      </c>
      <c r="N1778">
        <f>B1778*(hospitalityq!N1778="")</f>
        <v>0</v>
      </c>
      <c r="O1778">
        <f>B1778*(hospitalityq!O1778="")</f>
        <v>0</v>
      </c>
      <c r="P1778">
        <f>B1778*(hospitalityq!P1778="")</f>
        <v>0</v>
      </c>
      <c r="Q1778">
        <f>B1778*(hospitalityq!Q1778="")</f>
        <v>0</v>
      </c>
      <c r="R1778">
        <f>B1778*(hospitalityq!R1778="")</f>
        <v>0</v>
      </c>
    </row>
    <row r="1779" spans="1:18" x14ac:dyDescent="0.25">
      <c r="A1779">
        <f t="shared" si="28"/>
        <v>0</v>
      </c>
      <c r="B1779" t="b">
        <f>SUMPRODUCT(LEN(hospitalityq!C1779:R1779))&gt;0</f>
        <v>0</v>
      </c>
      <c r="C1779">
        <f>B1779*(hospitalityq!C1779="")</f>
        <v>0</v>
      </c>
      <c r="E1779">
        <f>B1779*(hospitalityq!E1779="")</f>
        <v>0</v>
      </c>
      <c r="F1779">
        <f>B1779*(hospitalityq!F1779="")</f>
        <v>0</v>
      </c>
      <c r="G1779">
        <f>B1779*(hospitalityq!G1779="")</f>
        <v>0</v>
      </c>
      <c r="H1779">
        <f>B1779*(hospitalityq!H1779="")</f>
        <v>0</v>
      </c>
      <c r="I1779">
        <f>B1779*(hospitalityq!I1779="")</f>
        <v>0</v>
      </c>
      <c r="J1779">
        <f>B1779*(hospitalityq!J1779="")</f>
        <v>0</v>
      </c>
      <c r="K1779">
        <f>B1779*(hospitalityq!K1779="")</f>
        <v>0</v>
      </c>
      <c r="L1779">
        <f>B1779*(hospitalityq!L1779="")</f>
        <v>0</v>
      </c>
      <c r="M1779">
        <f>B1779*(hospitalityq!M1779="")</f>
        <v>0</v>
      </c>
      <c r="N1779">
        <f>B1779*(hospitalityq!N1779="")</f>
        <v>0</v>
      </c>
      <c r="O1779">
        <f>B1779*(hospitalityq!O1779="")</f>
        <v>0</v>
      </c>
      <c r="P1779">
        <f>B1779*(hospitalityq!P1779="")</f>
        <v>0</v>
      </c>
      <c r="Q1779">
        <f>B1779*(hospitalityq!Q1779="")</f>
        <v>0</v>
      </c>
      <c r="R1779">
        <f>B1779*(hospitalityq!R1779="")</f>
        <v>0</v>
      </c>
    </row>
    <row r="1780" spans="1:18" x14ac:dyDescent="0.25">
      <c r="A1780">
        <f t="shared" si="28"/>
        <v>0</v>
      </c>
      <c r="B1780" t="b">
        <f>SUMPRODUCT(LEN(hospitalityq!C1780:R1780))&gt;0</f>
        <v>0</v>
      </c>
      <c r="C1780">
        <f>B1780*(hospitalityq!C1780="")</f>
        <v>0</v>
      </c>
      <c r="E1780">
        <f>B1780*(hospitalityq!E1780="")</f>
        <v>0</v>
      </c>
      <c r="F1780">
        <f>B1780*(hospitalityq!F1780="")</f>
        <v>0</v>
      </c>
      <c r="G1780">
        <f>B1780*(hospitalityq!G1780="")</f>
        <v>0</v>
      </c>
      <c r="H1780">
        <f>B1780*(hospitalityq!H1780="")</f>
        <v>0</v>
      </c>
      <c r="I1780">
        <f>B1780*(hospitalityq!I1780="")</f>
        <v>0</v>
      </c>
      <c r="J1780">
        <f>B1780*(hospitalityq!J1780="")</f>
        <v>0</v>
      </c>
      <c r="K1780">
        <f>B1780*(hospitalityq!K1780="")</f>
        <v>0</v>
      </c>
      <c r="L1780">
        <f>B1780*(hospitalityq!L1780="")</f>
        <v>0</v>
      </c>
      <c r="M1780">
        <f>B1780*(hospitalityq!M1780="")</f>
        <v>0</v>
      </c>
      <c r="N1780">
        <f>B1780*(hospitalityq!N1780="")</f>
        <v>0</v>
      </c>
      <c r="O1780">
        <f>B1780*(hospitalityq!O1780="")</f>
        <v>0</v>
      </c>
      <c r="P1780">
        <f>B1780*(hospitalityq!P1780="")</f>
        <v>0</v>
      </c>
      <c r="Q1780">
        <f>B1780*(hospitalityq!Q1780="")</f>
        <v>0</v>
      </c>
      <c r="R1780">
        <f>B1780*(hospitalityq!R1780="")</f>
        <v>0</v>
      </c>
    </row>
    <row r="1781" spans="1:18" x14ac:dyDescent="0.25">
      <c r="A1781">
        <f t="shared" si="28"/>
        <v>0</v>
      </c>
      <c r="B1781" t="b">
        <f>SUMPRODUCT(LEN(hospitalityq!C1781:R1781))&gt;0</f>
        <v>0</v>
      </c>
      <c r="C1781">
        <f>B1781*(hospitalityq!C1781="")</f>
        <v>0</v>
      </c>
      <c r="E1781">
        <f>B1781*(hospitalityq!E1781="")</f>
        <v>0</v>
      </c>
      <c r="F1781">
        <f>B1781*(hospitalityq!F1781="")</f>
        <v>0</v>
      </c>
      <c r="G1781">
        <f>B1781*(hospitalityq!G1781="")</f>
        <v>0</v>
      </c>
      <c r="H1781">
        <f>B1781*(hospitalityq!H1781="")</f>
        <v>0</v>
      </c>
      <c r="I1781">
        <f>B1781*(hospitalityq!I1781="")</f>
        <v>0</v>
      </c>
      <c r="J1781">
        <f>B1781*(hospitalityq!J1781="")</f>
        <v>0</v>
      </c>
      <c r="K1781">
        <f>B1781*(hospitalityq!K1781="")</f>
        <v>0</v>
      </c>
      <c r="L1781">
        <f>B1781*(hospitalityq!L1781="")</f>
        <v>0</v>
      </c>
      <c r="M1781">
        <f>B1781*(hospitalityq!M1781="")</f>
        <v>0</v>
      </c>
      <c r="N1781">
        <f>B1781*(hospitalityq!N1781="")</f>
        <v>0</v>
      </c>
      <c r="O1781">
        <f>B1781*(hospitalityq!O1781="")</f>
        <v>0</v>
      </c>
      <c r="P1781">
        <f>B1781*(hospitalityq!P1781="")</f>
        <v>0</v>
      </c>
      <c r="Q1781">
        <f>B1781*(hospitalityq!Q1781="")</f>
        <v>0</v>
      </c>
      <c r="R1781">
        <f>B1781*(hospitalityq!R1781="")</f>
        <v>0</v>
      </c>
    </row>
    <row r="1782" spans="1:18" x14ac:dyDescent="0.25">
      <c r="A1782">
        <f t="shared" si="28"/>
        <v>0</v>
      </c>
      <c r="B1782" t="b">
        <f>SUMPRODUCT(LEN(hospitalityq!C1782:R1782))&gt;0</f>
        <v>0</v>
      </c>
      <c r="C1782">
        <f>B1782*(hospitalityq!C1782="")</f>
        <v>0</v>
      </c>
      <c r="E1782">
        <f>B1782*(hospitalityq!E1782="")</f>
        <v>0</v>
      </c>
      <c r="F1782">
        <f>B1782*(hospitalityq!F1782="")</f>
        <v>0</v>
      </c>
      <c r="G1782">
        <f>B1782*(hospitalityq!G1782="")</f>
        <v>0</v>
      </c>
      <c r="H1782">
        <f>B1782*(hospitalityq!H1782="")</f>
        <v>0</v>
      </c>
      <c r="I1782">
        <f>B1782*(hospitalityq!I1782="")</f>
        <v>0</v>
      </c>
      <c r="J1782">
        <f>B1782*(hospitalityq!J1782="")</f>
        <v>0</v>
      </c>
      <c r="K1782">
        <f>B1782*(hospitalityq!K1782="")</f>
        <v>0</v>
      </c>
      <c r="L1782">
        <f>B1782*(hospitalityq!L1782="")</f>
        <v>0</v>
      </c>
      <c r="M1782">
        <f>B1782*(hospitalityq!M1782="")</f>
        <v>0</v>
      </c>
      <c r="N1782">
        <f>B1782*(hospitalityq!N1782="")</f>
        <v>0</v>
      </c>
      <c r="O1782">
        <f>B1782*(hospitalityq!O1782="")</f>
        <v>0</v>
      </c>
      <c r="P1782">
        <f>B1782*(hospitalityq!P1782="")</f>
        <v>0</v>
      </c>
      <c r="Q1782">
        <f>B1782*(hospitalityq!Q1782="")</f>
        <v>0</v>
      </c>
      <c r="R1782">
        <f>B1782*(hospitalityq!R1782="")</f>
        <v>0</v>
      </c>
    </row>
    <row r="1783" spans="1:18" x14ac:dyDescent="0.25">
      <c r="A1783">
        <f t="shared" si="28"/>
        <v>0</v>
      </c>
      <c r="B1783" t="b">
        <f>SUMPRODUCT(LEN(hospitalityq!C1783:R1783))&gt;0</f>
        <v>0</v>
      </c>
      <c r="C1783">
        <f>B1783*(hospitalityq!C1783="")</f>
        <v>0</v>
      </c>
      <c r="E1783">
        <f>B1783*(hospitalityq!E1783="")</f>
        <v>0</v>
      </c>
      <c r="F1783">
        <f>B1783*(hospitalityq!F1783="")</f>
        <v>0</v>
      </c>
      <c r="G1783">
        <f>B1783*(hospitalityq!G1783="")</f>
        <v>0</v>
      </c>
      <c r="H1783">
        <f>B1783*(hospitalityq!H1783="")</f>
        <v>0</v>
      </c>
      <c r="I1783">
        <f>B1783*(hospitalityq!I1783="")</f>
        <v>0</v>
      </c>
      <c r="J1783">
        <f>B1783*(hospitalityq!J1783="")</f>
        <v>0</v>
      </c>
      <c r="K1783">
        <f>B1783*(hospitalityq!K1783="")</f>
        <v>0</v>
      </c>
      <c r="L1783">
        <f>B1783*(hospitalityq!L1783="")</f>
        <v>0</v>
      </c>
      <c r="M1783">
        <f>B1783*(hospitalityq!M1783="")</f>
        <v>0</v>
      </c>
      <c r="N1783">
        <f>B1783*(hospitalityq!N1783="")</f>
        <v>0</v>
      </c>
      <c r="O1783">
        <f>B1783*(hospitalityq!O1783="")</f>
        <v>0</v>
      </c>
      <c r="P1783">
        <f>B1783*(hospitalityq!P1783="")</f>
        <v>0</v>
      </c>
      <c r="Q1783">
        <f>B1783*(hospitalityq!Q1783="")</f>
        <v>0</v>
      </c>
      <c r="R1783">
        <f>B1783*(hospitalityq!R1783="")</f>
        <v>0</v>
      </c>
    </row>
    <row r="1784" spans="1:18" x14ac:dyDescent="0.25">
      <c r="A1784">
        <f t="shared" si="28"/>
        <v>0</v>
      </c>
      <c r="B1784" t="b">
        <f>SUMPRODUCT(LEN(hospitalityq!C1784:R1784))&gt;0</f>
        <v>0</v>
      </c>
      <c r="C1784">
        <f>B1784*(hospitalityq!C1784="")</f>
        <v>0</v>
      </c>
      <c r="E1784">
        <f>B1784*(hospitalityq!E1784="")</f>
        <v>0</v>
      </c>
      <c r="F1784">
        <f>B1784*(hospitalityq!F1784="")</f>
        <v>0</v>
      </c>
      <c r="G1784">
        <f>B1784*(hospitalityq!G1784="")</f>
        <v>0</v>
      </c>
      <c r="H1784">
        <f>B1784*(hospitalityq!H1784="")</f>
        <v>0</v>
      </c>
      <c r="I1784">
        <f>B1784*(hospitalityq!I1784="")</f>
        <v>0</v>
      </c>
      <c r="J1784">
        <f>B1784*(hospitalityq!J1784="")</f>
        <v>0</v>
      </c>
      <c r="K1784">
        <f>B1784*(hospitalityq!K1784="")</f>
        <v>0</v>
      </c>
      <c r="L1784">
        <f>B1784*(hospitalityq!L1784="")</f>
        <v>0</v>
      </c>
      <c r="M1784">
        <f>B1784*(hospitalityq!M1784="")</f>
        <v>0</v>
      </c>
      <c r="N1784">
        <f>B1784*(hospitalityq!N1784="")</f>
        <v>0</v>
      </c>
      <c r="O1784">
        <f>B1784*(hospitalityq!O1784="")</f>
        <v>0</v>
      </c>
      <c r="P1784">
        <f>B1784*(hospitalityq!P1784="")</f>
        <v>0</v>
      </c>
      <c r="Q1784">
        <f>B1784*(hospitalityq!Q1784="")</f>
        <v>0</v>
      </c>
      <c r="R1784">
        <f>B1784*(hospitalityq!R1784="")</f>
        <v>0</v>
      </c>
    </row>
    <row r="1785" spans="1:18" x14ac:dyDescent="0.25">
      <c r="A1785">
        <f t="shared" si="28"/>
        <v>0</v>
      </c>
      <c r="B1785" t="b">
        <f>SUMPRODUCT(LEN(hospitalityq!C1785:R1785))&gt;0</f>
        <v>0</v>
      </c>
      <c r="C1785">
        <f>B1785*(hospitalityq!C1785="")</f>
        <v>0</v>
      </c>
      <c r="E1785">
        <f>B1785*(hospitalityq!E1785="")</f>
        <v>0</v>
      </c>
      <c r="F1785">
        <f>B1785*(hospitalityq!F1785="")</f>
        <v>0</v>
      </c>
      <c r="G1785">
        <f>B1785*(hospitalityq!G1785="")</f>
        <v>0</v>
      </c>
      <c r="H1785">
        <f>B1785*(hospitalityq!H1785="")</f>
        <v>0</v>
      </c>
      <c r="I1785">
        <f>B1785*(hospitalityq!I1785="")</f>
        <v>0</v>
      </c>
      <c r="J1785">
        <f>B1785*(hospitalityq!J1785="")</f>
        <v>0</v>
      </c>
      <c r="K1785">
        <f>B1785*(hospitalityq!K1785="")</f>
        <v>0</v>
      </c>
      <c r="L1785">
        <f>B1785*(hospitalityq!L1785="")</f>
        <v>0</v>
      </c>
      <c r="M1785">
        <f>B1785*(hospitalityq!M1785="")</f>
        <v>0</v>
      </c>
      <c r="N1785">
        <f>B1785*(hospitalityq!N1785="")</f>
        <v>0</v>
      </c>
      <c r="O1785">
        <f>B1785*(hospitalityq!O1785="")</f>
        <v>0</v>
      </c>
      <c r="P1785">
        <f>B1785*(hospitalityq!P1785="")</f>
        <v>0</v>
      </c>
      <c r="Q1785">
        <f>B1785*(hospitalityq!Q1785="")</f>
        <v>0</v>
      </c>
      <c r="R1785">
        <f>B1785*(hospitalityq!R1785="")</f>
        <v>0</v>
      </c>
    </row>
    <row r="1786" spans="1:18" x14ac:dyDescent="0.25">
      <c r="A1786">
        <f t="shared" si="28"/>
        <v>0</v>
      </c>
      <c r="B1786" t="b">
        <f>SUMPRODUCT(LEN(hospitalityq!C1786:R1786))&gt;0</f>
        <v>0</v>
      </c>
      <c r="C1786">
        <f>B1786*(hospitalityq!C1786="")</f>
        <v>0</v>
      </c>
      <c r="E1786">
        <f>B1786*(hospitalityq!E1786="")</f>
        <v>0</v>
      </c>
      <c r="F1786">
        <f>B1786*(hospitalityq!F1786="")</f>
        <v>0</v>
      </c>
      <c r="G1786">
        <f>B1786*(hospitalityq!G1786="")</f>
        <v>0</v>
      </c>
      <c r="H1786">
        <f>B1786*(hospitalityq!H1786="")</f>
        <v>0</v>
      </c>
      <c r="I1786">
        <f>B1786*(hospitalityq!I1786="")</f>
        <v>0</v>
      </c>
      <c r="J1786">
        <f>B1786*(hospitalityq!J1786="")</f>
        <v>0</v>
      </c>
      <c r="K1786">
        <f>B1786*(hospitalityq!K1786="")</f>
        <v>0</v>
      </c>
      <c r="L1786">
        <f>B1786*(hospitalityq!L1786="")</f>
        <v>0</v>
      </c>
      <c r="M1786">
        <f>B1786*(hospitalityq!M1786="")</f>
        <v>0</v>
      </c>
      <c r="N1786">
        <f>B1786*(hospitalityq!N1786="")</f>
        <v>0</v>
      </c>
      <c r="O1786">
        <f>B1786*(hospitalityq!O1786="")</f>
        <v>0</v>
      </c>
      <c r="P1786">
        <f>B1786*(hospitalityq!P1786="")</f>
        <v>0</v>
      </c>
      <c r="Q1786">
        <f>B1786*(hospitalityq!Q1786="")</f>
        <v>0</v>
      </c>
      <c r="R1786">
        <f>B1786*(hospitalityq!R1786="")</f>
        <v>0</v>
      </c>
    </row>
    <row r="1787" spans="1:18" x14ac:dyDescent="0.25">
      <c r="A1787">
        <f t="shared" si="28"/>
        <v>0</v>
      </c>
      <c r="B1787" t="b">
        <f>SUMPRODUCT(LEN(hospitalityq!C1787:R1787))&gt;0</f>
        <v>0</v>
      </c>
      <c r="C1787">
        <f>B1787*(hospitalityq!C1787="")</f>
        <v>0</v>
      </c>
      <c r="E1787">
        <f>B1787*(hospitalityq!E1787="")</f>
        <v>0</v>
      </c>
      <c r="F1787">
        <f>B1787*(hospitalityq!F1787="")</f>
        <v>0</v>
      </c>
      <c r="G1787">
        <f>B1787*(hospitalityq!G1787="")</f>
        <v>0</v>
      </c>
      <c r="H1787">
        <f>B1787*(hospitalityq!H1787="")</f>
        <v>0</v>
      </c>
      <c r="I1787">
        <f>B1787*(hospitalityq!I1787="")</f>
        <v>0</v>
      </c>
      <c r="J1787">
        <f>B1787*(hospitalityq!J1787="")</f>
        <v>0</v>
      </c>
      <c r="K1787">
        <f>B1787*(hospitalityq!K1787="")</f>
        <v>0</v>
      </c>
      <c r="L1787">
        <f>B1787*(hospitalityq!L1787="")</f>
        <v>0</v>
      </c>
      <c r="M1787">
        <f>B1787*(hospitalityq!M1787="")</f>
        <v>0</v>
      </c>
      <c r="N1787">
        <f>B1787*(hospitalityq!N1787="")</f>
        <v>0</v>
      </c>
      <c r="O1787">
        <f>B1787*(hospitalityq!O1787="")</f>
        <v>0</v>
      </c>
      <c r="P1787">
        <f>B1787*(hospitalityq!P1787="")</f>
        <v>0</v>
      </c>
      <c r="Q1787">
        <f>B1787*(hospitalityq!Q1787="")</f>
        <v>0</v>
      </c>
      <c r="R1787">
        <f>B1787*(hospitalityq!R1787="")</f>
        <v>0</v>
      </c>
    </row>
    <row r="1788" spans="1:18" x14ac:dyDescent="0.25">
      <c r="A1788">
        <f t="shared" si="28"/>
        <v>0</v>
      </c>
      <c r="B1788" t="b">
        <f>SUMPRODUCT(LEN(hospitalityq!C1788:R1788))&gt;0</f>
        <v>0</v>
      </c>
      <c r="C1788">
        <f>B1788*(hospitalityq!C1788="")</f>
        <v>0</v>
      </c>
      <c r="E1788">
        <f>B1788*(hospitalityq!E1788="")</f>
        <v>0</v>
      </c>
      <c r="F1788">
        <f>B1788*(hospitalityq!F1788="")</f>
        <v>0</v>
      </c>
      <c r="G1788">
        <f>B1788*(hospitalityq!G1788="")</f>
        <v>0</v>
      </c>
      <c r="H1788">
        <f>B1788*(hospitalityq!H1788="")</f>
        <v>0</v>
      </c>
      <c r="I1788">
        <f>B1788*(hospitalityq!I1788="")</f>
        <v>0</v>
      </c>
      <c r="J1788">
        <f>B1788*(hospitalityq!J1788="")</f>
        <v>0</v>
      </c>
      <c r="K1788">
        <f>B1788*(hospitalityq!K1788="")</f>
        <v>0</v>
      </c>
      <c r="L1788">
        <f>B1788*(hospitalityq!L1788="")</f>
        <v>0</v>
      </c>
      <c r="M1788">
        <f>B1788*(hospitalityq!M1788="")</f>
        <v>0</v>
      </c>
      <c r="N1788">
        <f>B1788*(hospitalityq!N1788="")</f>
        <v>0</v>
      </c>
      <c r="O1788">
        <f>B1788*(hospitalityq!O1788="")</f>
        <v>0</v>
      </c>
      <c r="P1788">
        <f>B1788*(hospitalityq!P1788="")</f>
        <v>0</v>
      </c>
      <c r="Q1788">
        <f>B1788*(hospitalityq!Q1788="")</f>
        <v>0</v>
      </c>
      <c r="R1788">
        <f>B1788*(hospitalityq!R1788="")</f>
        <v>0</v>
      </c>
    </row>
    <row r="1789" spans="1:18" x14ac:dyDescent="0.25">
      <c r="A1789">
        <f t="shared" si="28"/>
        <v>0</v>
      </c>
      <c r="B1789" t="b">
        <f>SUMPRODUCT(LEN(hospitalityq!C1789:R1789))&gt;0</f>
        <v>0</v>
      </c>
      <c r="C1789">
        <f>B1789*(hospitalityq!C1789="")</f>
        <v>0</v>
      </c>
      <c r="E1789">
        <f>B1789*(hospitalityq!E1789="")</f>
        <v>0</v>
      </c>
      <c r="F1789">
        <f>B1789*(hospitalityq!F1789="")</f>
        <v>0</v>
      </c>
      <c r="G1789">
        <f>B1789*(hospitalityq!G1789="")</f>
        <v>0</v>
      </c>
      <c r="H1789">
        <f>B1789*(hospitalityq!H1789="")</f>
        <v>0</v>
      </c>
      <c r="I1789">
        <f>B1789*(hospitalityq!I1789="")</f>
        <v>0</v>
      </c>
      <c r="J1789">
        <f>B1789*(hospitalityq!J1789="")</f>
        <v>0</v>
      </c>
      <c r="K1789">
        <f>B1789*(hospitalityq!K1789="")</f>
        <v>0</v>
      </c>
      <c r="L1789">
        <f>B1789*(hospitalityq!L1789="")</f>
        <v>0</v>
      </c>
      <c r="M1789">
        <f>B1789*(hospitalityq!M1789="")</f>
        <v>0</v>
      </c>
      <c r="N1789">
        <f>B1789*(hospitalityq!N1789="")</f>
        <v>0</v>
      </c>
      <c r="O1789">
        <f>B1789*(hospitalityq!O1789="")</f>
        <v>0</v>
      </c>
      <c r="P1789">
        <f>B1789*(hospitalityq!P1789="")</f>
        <v>0</v>
      </c>
      <c r="Q1789">
        <f>B1789*(hospitalityq!Q1789="")</f>
        <v>0</v>
      </c>
      <c r="R1789">
        <f>B1789*(hospitalityq!R1789="")</f>
        <v>0</v>
      </c>
    </row>
    <row r="1790" spans="1:18" x14ac:dyDescent="0.25">
      <c r="A1790">
        <f t="shared" si="28"/>
        <v>0</v>
      </c>
      <c r="B1790" t="b">
        <f>SUMPRODUCT(LEN(hospitalityq!C1790:R1790))&gt;0</f>
        <v>0</v>
      </c>
      <c r="C1790">
        <f>B1790*(hospitalityq!C1790="")</f>
        <v>0</v>
      </c>
      <c r="E1790">
        <f>B1790*(hospitalityq!E1790="")</f>
        <v>0</v>
      </c>
      <c r="F1790">
        <f>B1790*(hospitalityq!F1790="")</f>
        <v>0</v>
      </c>
      <c r="G1790">
        <f>B1790*(hospitalityq!G1790="")</f>
        <v>0</v>
      </c>
      <c r="H1790">
        <f>B1790*(hospitalityq!H1790="")</f>
        <v>0</v>
      </c>
      <c r="I1790">
        <f>B1790*(hospitalityq!I1790="")</f>
        <v>0</v>
      </c>
      <c r="J1790">
        <f>B1790*(hospitalityq!J1790="")</f>
        <v>0</v>
      </c>
      <c r="K1790">
        <f>B1790*(hospitalityq!K1790="")</f>
        <v>0</v>
      </c>
      <c r="L1790">
        <f>B1790*(hospitalityq!L1790="")</f>
        <v>0</v>
      </c>
      <c r="M1790">
        <f>B1790*(hospitalityq!M1790="")</f>
        <v>0</v>
      </c>
      <c r="N1790">
        <f>B1790*(hospitalityq!N1790="")</f>
        <v>0</v>
      </c>
      <c r="O1790">
        <f>B1790*(hospitalityq!O1790="")</f>
        <v>0</v>
      </c>
      <c r="P1790">
        <f>B1790*(hospitalityq!P1790="")</f>
        <v>0</v>
      </c>
      <c r="Q1790">
        <f>B1790*(hospitalityq!Q1790="")</f>
        <v>0</v>
      </c>
      <c r="R1790">
        <f>B1790*(hospitalityq!R1790="")</f>
        <v>0</v>
      </c>
    </row>
    <row r="1791" spans="1:18" x14ac:dyDescent="0.25">
      <c r="A1791">
        <f t="shared" si="28"/>
        <v>0</v>
      </c>
      <c r="B1791" t="b">
        <f>SUMPRODUCT(LEN(hospitalityq!C1791:R1791))&gt;0</f>
        <v>0</v>
      </c>
      <c r="C1791">
        <f>B1791*(hospitalityq!C1791="")</f>
        <v>0</v>
      </c>
      <c r="E1791">
        <f>B1791*(hospitalityq!E1791="")</f>
        <v>0</v>
      </c>
      <c r="F1791">
        <f>B1791*(hospitalityq!F1791="")</f>
        <v>0</v>
      </c>
      <c r="G1791">
        <f>B1791*(hospitalityq!G1791="")</f>
        <v>0</v>
      </c>
      <c r="H1791">
        <f>B1791*(hospitalityq!H1791="")</f>
        <v>0</v>
      </c>
      <c r="I1791">
        <f>B1791*(hospitalityq!I1791="")</f>
        <v>0</v>
      </c>
      <c r="J1791">
        <f>B1791*(hospitalityq!J1791="")</f>
        <v>0</v>
      </c>
      <c r="K1791">
        <f>B1791*(hospitalityq!K1791="")</f>
        <v>0</v>
      </c>
      <c r="L1791">
        <f>B1791*(hospitalityq!L1791="")</f>
        <v>0</v>
      </c>
      <c r="M1791">
        <f>B1791*(hospitalityq!M1791="")</f>
        <v>0</v>
      </c>
      <c r="N1791">
        <f>B1791*(hospitalityq!N1791="")</f>
        <v>0</v>
      </c>
      <c r="O1791">
        <f>B1791*(hospitalityq!O1791="")</f>
        <v>0</v>
      </c>
      <c r="P1791">
        <f>B1791*(hospitalityq!P1791="")</f>
        <v>0</v>
      </c>
      <c r="Q1791">
        <f>B1791*(hospitalityq!Q1791="")</f>
        <v>0</v>
      </c>
      <c r="R1791">
        <f>B1791*(hospitalityq!R1791="")</f>
        <v>0</v>
      </c>
    </row>
    <row r="1792" spans="1:18" x14ac:dyDescent="0.25">
      <c r="A1792">
        <f t="shared" si="28"/>
        <v>0</v>
      </c>
      <c r="B1792" t="b">
        <f>SUMPRODUCT(LEN(hospitalityq!C1792:R1792))&gt;0</f>
        <v>0</v>
      </c>
      <c r="C1792">
        <f>B1792*(hospitalityq!C1792="")</f>
        <v>0</v>
      </c>
      <c r="E1792">
        <f>B1792*(hospitalityq!E1792="")</f>
        <v>0</v>
      </c>
      <c r="F1792">
        <f>B1792*(hospitalityq!F1792="")</f>
        <v>0</v>
      </c>
      <c r="G1792">
        <f>B1792*(hospitalityq!G1792="")</f>
        <v>0</v>
      </c>
      <c r="H1792">
        <f>B1792*(hospitalityq!H1792="")</f>
        <v>0</v>
      </c>
      <c r="I1792">
        <f>B1792*(hospitalityq!I1792="")</f>
        <v>0</v>
      </c>
      <c r="J1792">
        <f>B1792*(hospitalityq!J1792="")</f>
        <v>0</v>
      </c>
      <c r="K1792">
        <f>B1792*(hospitalityq!K1792="")</f>
        <v>0</v>
      </c>
      <c r="L1792">
        <f>B1792*(hospitalityq!L1792="")</f>
        <v>0</v>
      </c>
      <c r="M1792">
        <f>B1792*(hospitalityq!M1792="")</f>
        <v>0</v>
      </c>
      <c r="N1792">
        <f>B1792*(hospitalityq!N1792="")</f>
        <v>0</v>
      </c>
      <c r="O1792">
        <f>B1792*(hospitalityq!O1792="")</f>
        <v>0</v>
      </c>
      <c r="P1792">
        <f>B1792*(hospitalityq!P1792="")</f>
        <v>0</v>
      </c>
      <c r="Q1792">
        <f>B1792*(hospitalityq!Q1792="")</f>
        <v>0</v>
      </c>
      <c r="R1792">
        <f>B1792*(hospitalityq!R1792="")</f>
        <v>0</v>
      </c>
    </row>
    <row r="1793" spans="1:18" x14ac:dyDescent="0.25">
      <c r="A1793">
        <f t="shared" si="28"/>
        <v>0</v>
      </c>
      <c r="B1793" t="b">
        <f>SUMPRODUCT(LEN(hospitalityq!C1793:R1793))&gt;0</f>
        <v>0</v>
      </c>
      <c r="C1793">
        <f>B1793*(hospitalityq!C1793="")</f>
        <v>0</v>
      </c>
      <c r="E1793">
        <f>B1793*(hospitalityq!E1793="")</f>
        <v>0</v>
      </c>
      <c r="F1793">
        <f>B1793*(hospitalityq!F1793="")</f>
        <v>0</v>
      </c>
      <c r="G1793">
        <f>B1793*(hospitalityq!G1793="")</f>
        <v>0</v>
      </c>
      <c r="H1793">
        <f>B1793*(hospitalityq!H1793="")</f>
        <v>0</v>
      </c>
      <c r="I1793">
        <f>B1793*(hospitalityq!I1793="")</f>
        <v>0</v>
      </c>
      <c r="J1793">
        <f>B1793*(hospitalityq!J1793="")</f>
        <v>0</v>
      </c>
      <c r="K1793">
        <f>B1793*(hospitalityq!K1793="")</f>
        <v>0</v>
      </c>
      <c r="L1793">
        <f>B1793*(hospitalityq!L1793="")</f>
        <v>0</v>
      </c>
      <c r="M1793">
        <f>B1793*(hospitalityq!M1793="")</f>
        <v>0</v>
      </c>
      <c r="N1793">
        <f>B1793*(hospitalityq!N1793="")</f>
        <v>0</v>
      </c>
      <c r="O1793">
        <f>B1793*(hospitalityq!O1793="")</f>
        <v>0</v>
      </c>
      <c r="P1793">
        <f>B1793*(hospitalityq!P1793="")</f>
        <v>0</v>
      </c>
      <c r="Q1793">
        <f>B1793*(hospitalityq!Q1793="")</f>
        <v>0</v>
      </c>
      <c r="R1793">
        <f>B1793*(hospitalityq!R1793="")</f>
        <v>0</v>
      </c>
    </row>
    <row r="1794" spans="1:18" x14ac:dyDescent="0.25">
      <c r="A1794">
        <f t="shared" si="28"/>
        <v>0</v>
      </c>
      <c r="B1794" t="b">
        <f>SUMPRODUCT(LEN(hospitalityq!C1794:R1794))&gt;0</f>
        <v>0</v>
      </c>
      <c r="C1794">
        <f>B1794*(hospitalityq!C1794="")</f>
        <v>0</v>
      </c>
      <c r="E1794">
        <f>B1794*(hospitalityq!E1794="")</f>
        <v>0</v>
      </c>
      <c r="F1794">
        <f>B1794*(hospitalityq!F1794="")</f>
        <v>0</v>
      </c>
      <c r="G1794">
        <f>B1794*(hospitalityq!G1794="")</f>
        <v>0</v>
      </c>
      <c r="H1794">
        <f>B1794*(hospitalityq!H1794="")</f>
        <v>0</v>
      </c>
      <c r="I1794">
        <f>B1794*(hospitalityq!I1794="")</f>
        <v>0</v>
      </c>
      <c r="J1794">
        <f>B1794*(hospitalityq!J1794="")</f>
        <v>0</v>
      </c>
      <c r="K1794">
        <f>B1794*(hospitalityq!K1794="")</f>
        <v>0</v>
      </c>
      <c r="L1794">
        <f>B1794*(hospitalityq!L1794="")</f>
        <v>0</v>
      </c>
      <c r="M1794">
        <f>B1794*(hospitalityq!M1794="")</f>
        <v>0</v>
      </c>
      <c r="N1794">
        <f>B1794*(hospitalityq!N1794="")</f>
        <v>0</v>
      </c>
      <c r="O1794">
        <f>B1794*(hospitalityq!O1794="")</f>
        <v>0</v>
      </c>
      <c r="P1794">
        <f>B1794*(hospitalityq!P1794="")</f>
        <v>0</v>
      </c>
      <c r="Q1794">
        <f>B1794*(hospitalityq!Q1794="")</f>
        <v>0</v>
      </c>
      <c r="R1794">
        <f>B1794*(hospitalityq!R1794="")</f>
        <v>0</v>
      </c>
    </row>
    <row r="1795" spans="1:18" x14ac:dyDescent="0.25">
      <c r="A1795">
        <f t="shared" si="28"/>
        <v>0</v>
      </c>
      <c r="B1795" t="b">
        <f>SUMPRODUCT(LEN(hospitalityq!C1795:R1795))&gt;0</f>
        <v>0</v>
      </c>
      <c r="C1795">
        <f>B1795*(hospitalityq!C1795="")</f>
        <v>0</v>
      </c>
      <c r="E1795">
        <f>B1795*(hospitalityq!E1795="")</f>
        <v>0</v>
      </c>
      <c r="F1795">
        <f>B1795*(hospitalityq!F1795="")</f>
        <v>0</v>
      </c>
      <c r="G1795">
        <f>B1795*(hospitalityq!G1795="")</f>
        <v>0</v>
      </c>
      <c r="H1795">
        <f>B1795*(hospitalityq!H1795="")</f>
        <v>0</v>
      </c>
      <c r="I1795">
        <f>B1795*(hospitalityq!I1795="")</f>
        <v>0</v>
      </c>
      <c r="J1795">
        <f>B1795*(hospitalityq!J1795="")</f>
        <v>0</v>
      </c>
      <c r="K1795">
        <f>B1795*(hospitalityq!K1795="")</f>
        <v>0</v>
      </c>
      <c r="L1795">
        <f>B1795*(hospitalityq!L1795="")</f>
        <v>0</v>
      </c>
      <c r="M1795">
        <f>B1795*(hospitalityq!M1795="")</f>
        <v>0</v>
      </c>
      <c r="N1795">
        <f>B1795*(hospitalityq!N1795="")</f>
        <v>0</v>
      </c>
      <c r="O1795">
        <f>B1795*(hospitalityq!O1795="")</f>
        <v>0</v>
      </c>
      <c r="P1795">
        <f>B1795*(hospitalityq!P1795="")</f>
        <v>0</v>
      </c>
      <c r="Q1795">
        <f>B1795*(hospitalityq!Q1795="")</f>
        <v>0</v>
      </c>
      <c r="R1795">
        <f>B1795*(hospitalityq!R1795="")</f>
        <v>0</v>
      </c>
    </row>
    <row r="1796" spans="1:18" x14ac:dyDescent="0.25">
      <c r="A1796">
        <f t="shared" si="28"/>
        <v>0</v>
      </c>
      <c r="B1796" t="b">
        <f>SUMPRODUCT(LEN(hospitalityq!C1796:R1796))&gt;0</f>
        <v>0</v>
      </c>
      <c r="C1796">
        <f>B1796*(hospitalityq!C1796="")</f>
        <v>0</v>
      </c>
      <c r="E1796">
        <f>B1796*(hospitalityq!E1796="")</f>
        <v>0</v>
      </c>
      <c r="F1796">
        <f>B1796*(hospitalityq!F1796="")</f>
        <v>0</v>
      </c>
      <c r="G1796">
        <f>B1796*(hospitalityq!G1796="")</f>
        <v>0</v>
      </c>
      <c r="H1796">
        <f>B1796*(hospitalityq!H1796="")</f>
        <v>0</v>
      </c>
      <c r="I1796">
        <f>B1796*(hospitalityq!I1796="")</f>
        <v>0</v>
      </c>
      <c r="J1796">
        <f>B1796*(hospitalityq!J1796="")</f>
        <v>0</v>
      </c>
      <c r="K1796">
        <f>B1796*(hospitalityq!K1796="")</f>
        <v>0</v>
      </c>
      <c r="L1796">
        <f>B1796*(hospitalityq!L1796="")</f>
        <v>0</v>
      </c>
      <c r="M1796">
        <f>B1796*(hospitalityq!M1796="")</f>
        <v>0</v>
      </c>
      <c r="N1796">
        <f>B1796*(hospitalityq!N1796="")</f>
        <v>0</v>
      </c>
      <c r="O1796">
        <f>B1796*(hospitalityq!O1796="")</f>
        <v>0</v>
      </c>
      <c r="P1796">
        <f>B1796*(hospitalityq!P1796="")</f>
        <v>0</v>
      </c>
      <c r="Q1796">
        <f>B1796*(hospitalityq!Q1796="")</f>
        <v>0</v>
      </c>
      <c r="R1796">
        <f>B1796*(hospitalityq!R1796="")</f>
        <v>0</v>
      </c>
    </row>
    <row r="1797" spans="1:18" x14ac:dyDescent="0.25">
      <c r="A1797">
        <f t="shared" si="28"/>
        <v>0</v>
      </c>
      <c r="B1797" t="b">
        <f>SUMPRODUCT(LEN(hospitalityq!C1797:R1797))&gt;0</f>
        <v>0</v>
      </c>
      <c r="C1797">
        <f>B1797*(hospitalityq!C1797="")</f>
        <v>0</v>
      </c>
      <c r="E1797">
        <f>B1797*(hospitalityq!E1797="")</f>
        <v>0</v>
      </c>
      <c r="F1797">
        <f>B1797*(hospitalityq!F1797="")</f>
        <v>0</v>
      </c>
      <c r="G1797">
        <f>B1797*(hospitalityq!G1797="")</f>
        <v>0</v>
      </c>
      <c r="H1797">
        <f>B1797*(hospitalityq!H1797="")</f>
        <v>0</v>
      </c>
      <c r="I1797">
        <f>B1797*(hospitalityq!I1797="")</f>
        <v>0</v>
      </c>
      <c r="J1797">
        <f>B1797*(hospitalityq!J1797="")</f>
        <v>0</v>
      </c>
      <c r="K1797">
        <f>B1797*(hospitalityq!K1797="")</f>
        <v>0</v>
      </c>
      <c r="L1797">
        <f>B1797*(hospitalityq!L1797="")</f>
        <v>0</v>
      </c>
      <c r="M1797">
        <f>B1797*(hospitalityq!M1797="")</f>
        <v>0</v>
      </c>
      <c r="N1797">
        <f>B1797*(hospitalityq!N1797="")</f>
        <v>0</v>
      </c>
      <c r="O1797">
        <f>B1797*(hospitalityq!O1797="")</f>
        <v>0</v>
      </c>
      <c r="P1797">
        <f>B1797*(hospitalityq!P1797="")</f>
        <v>0</v>
      </c>
      <c r="Q1797">
        <f>B1797*(hospitalityq!Q1797="")</f>
        <v>0</v>
      </c>
      <c r="R1797">
        <f>B1797*(hospitalityq!R1797="")</f>
        <v>0</v>
      </c>
    </row>
    <row r="1798" spans="1:18" x14ac:dyDescent="0.25">
      <c r="A1798">
        <f t="shared" ref="A1798:A1861" si="29">IFERROR(MATCH(TRUE,INDEX(C1798:R1798&lt;&gt;0,),)+2,0)</f>
        <v>0</v>
      </c>
      <c r="B1798" t="b">
        <f>SUMPRODUCT(LEN(hospitalityq!C1798:R1798))&gt;0</f>
        <v>0</v>
      </c>
      <c r="C1798">
        <f>B1798*(hospitalityq!C1798="")</f>
        <v>0</v>
      </c>
      <c r="E1798">
        <f>B1798*(hospitalityq!E1798="")</f>
        <v>0</v>
      </c>
      <c r="F1798">
        <f>B1798*(hospitalityq!F1798="")</f>
        <v>0</v>
      </c>
      <c r="G1798">
        <f>B1798*(hospitalityq!G1798="")</f>
        <v>0</v>
      </c>
      <c r="H1798">
        <f>B1798*(hospitalityq!H1798="")</f>
        <v>0</v>
      </c>
      <c r="I1798">
        <f>B1798*(hospitalityq!I1798="")</f>
        <v>0</v>
      </c>
      <c r="J1798">
        <f>B1798*(hospitalityq!J1798="")</f>
        <v>0</v>
      </c>
      <c r="K1798">
        <f>B1798*(hospitalityq!K1798="")</f>
        <v>0</v>
      </c>
      <c r="L1798">
        <f>B1798*(hospitalityq!L1798="")</f>
        <v>0</v>
      </c>
      <c r="M1798">
        <f>B1798*(hospitalityq!M1798="")</f>
        <v>0</v>
      </c>
      <c r="N1798">
        <f>B1798*(hospitalityq!N1798="")</f>
        <v>0</v>
      </c>
      <c r="O1798">
        <f>B1798*(hospitalityq!O1798="")</f>
        <v>0</v>
      </c>
      <c r="P1798">
        <f>B1798*(hospitalityq!P1798="")</f>
        <v>0</v>
      </c>
      <c r="Q1798">
        <f>B1798*(hospitalityq!Q1798="")</f>
        <v>0</v>
      </c>
      <c r="R1798">
        <f>B1798*(hospitalityq!R1798="")</f>
        <v>0</v>
      </c>
    </row>
    <row r="1799" spans="1:18" x14ac:dyDescent="0.25">
      <c r="A1799">
        <f t="shared" si="29"/>
        <v>0</v>
      </c>
      <c r="B1799" t="b">
        <f>SUMPRODUCT(LEN(hospitalityq!C1799:R1799))&gt;0</f>
        <v>0</v>
      </c>
      <c r="C1799">
        <f>B1799*(hospitalityq!C1799="")</f>
        <v>0</v>
      </c>
      <c r="E1799">
        <f>B1799*(hospitalityq!E1799="")</f>
        <v>0</v>
      </c>
      <c r="F1799">
        <f>B1799*(hospitalityq!F1799="")</f>
        <v>0</v>
      </c>
      <c r="G1799">
        <f>B1799*(hospitalityq!G1799="")</f>
        <v>0</v>
      </c>
      <c r="H1799">
        <f>B1799*(hospitalityq!H1799="")</f>
        <v>0</v>
      </c>
      <c r="I1799">
        <f>B1799*(hospitalityq!I1799="")</f>
        <v>0</v>
      </c>
      <c r="J1799">
        <f>B1799*(hospitalityq!J1799="")</f>
        <v>0</v>
      </c>
      <c r="K1799">
        <f>B1799*(hospitalityq!K1799="")</f>
        <v>0</v>
      </c>
      <c r="L1799">
        <f>B1799*(hospitalityq!L1799="")</f>
        <v>0</v>
      </c>
      <c r="M1799">
        <f>B1799*(hospitalityq!M1799="")</f>
        <v>0</v>
      </c>
      <c r="N1799">
        <f>B1799*(hospitalityq!N1799="")</f>
        <v>0</v>
      </c>
      <c r="O1799">
        <f>B1799*(hospitalityq!O1799="")</f>
        <v>0</v>
      </c>
      <c r="P1799">
        <f>B1799*(hospitalityq!P1799="")</f>
        <v>0</v>
      </c>
      <c r="Q1799">
        <f>B1799*(hospitalityq!Q1799="")</f>
        <v>0</v>
      </c>
      <c r="R1799">
        <f>B1799*(hospitalityq!R1799="")</f>
        <v>0</v>
      </c>
    </row>
    <row r="1800" spans="1:18" x14ac:dyDescent="0.25">
      <c r="A1800">
        <f t="shared" si="29"/>
        <v>0</v>
      </c>
      <c r="B1800" t="b">
        <f>SUMPRODUCT(LEN(hospitalityq!C1800:R1800))&gt;0</f>
        <v>0</v>
      </c>
      <c r="C1800">
        <f>B1800*(hospitalityq!C1800="")</f>
        <v>0</v>
      </c>
      <c r="E1800">
        <f>B1800*(hospitalityq!E1800="")</f>
        <v>0</v>
      </c>
      <c r="F1800">
        <f>B1800*(hospitalityq!F1800="")</f>
        <v>0</v>
      </c>
      <c r="G1800">
        <f>B1800*(hospitalityq!G1800="")</f>
        <v>0</v>
      </c>
      <c r="H1800">
        <f>B1800*(hospitalityq!H1800="")</f>
        <v>0</v>
      </c>
      <c r="I1800">
        <f>B1800*(hospitalityq!I1800="")</f>
        <v>0</v>
      </c>
      <c r="J1800">
        <f>B1800*(hospitalityq!J1800="")</f>
        <v>0</v>
      </c>
      <c r="K1800">
        <f>B1800*(hospitalityq!K1800="")</f>
        <v>0</v>
      </c>
      <c r="L1800">
        <f>B1800*(hospitalityq!L1800="")</f>
        <v>0</v>
      </c>
      <c r="M1800">
        <f>B1800*(hospitalityq!M1800="")</f>
        <v>0</v>
      </c>
      <c r="N1800">
        <f>B1800*(hospitalityq!N1800="")</f>
        <v>0</v>
      </c>
      <c r="O1800">
        <f>B1800*(hospitalityq!O1800="")</f>
        <v>0</v>
      </c>
      <c r="P1800">
        <f>B1800*(hospitalityq!P1800="")</f>
        <v>0</v>
      </c>
      <c r="Q1800">
        <f>B1800*(hospitalityq!Q1800="")</f>
        <v>0</v>
      </c>
      <c r="R1800">
        <f>B1800*(hospitalityq!R1800="")</f>
        <v>0</v>
      </c>
    </row>
    <row r="1801" spans="1:18" x14ac:dyDescent="0.25">
      <c r="A1801">
        <f t="shared" si="29"/>
        <v>0</v>
      </c>
      <c r="B1801" t="b">
        <f>SUMPRODUCT(LEN(hospitalityq!C1801:R1801))&gt;0</f>
        <v>0</v>
      </c>
      <c r="C1801">
        <f>B1801*(hospitalityq!C1801="")</f>
        <v>0</v>
      </c>
      <c r="E1801">
        <f>B1801*(hospitalityq!E1801="")</f>
        <v>0</v>
      </c>
      <c r="F1801">
        <f>B1801*(hospitalityq!F1801="")</f>
        <v>0</v>
      </c>
      <c r="G1801">
        <f>B1801*(hospitalityq!G1801="")</f>
        <v>0</v>
      </c>
      <c r="H1801">
        <f>B1801*(hospitalityq!H1801="")</f>
        <v>0</v>
      </c>
      <c r="I1801">
        <f>B1801*(hospitalityq!I1801="")</f>
        <v>0</v>
      </c>
      <c r="J1801">
        <f>B1801*(hospitalityq!J1801="")</f>
        <v>0</v>
      </c>
      <c r="K1801">
        <f>B1801*(hospitalityq!K1801="")</f>
        <v>0</v>
      </c>
      <c r="L1801">
        <f>B1801*(hospitalityq!L1801="")</f>
        <v>0</v>
      </c>
      <c r="M1801">
        <f>B1801*(hospitalityq!M1801="")</f>
        <v>0</v>
      </c>
      <c r="N1801">
        <f>B1801*(hospitalityq!N1801="")</f>
        <v>0</v>
      </c>
      <c r="O1801">
        <f>B1801*(hospitalityq!O1801="")</f>
        <v>0</v>
      </c>
      <c r="P1801">
        <f>B1801*(hospitalityq!P1801="")</f>
        <v>0</v>
      </c>
      <c r="Q1801">
        <f>B1801*(hospitalityq!Q1801="")</f>
        <v>0</v>
      </c>
      <c r="R1801">
        <f>B1801*(hospitalityq!R1801="")</f>
        <v>0</v>
      </c>
    </row>
    <row r="1802" spans="1:18" x14ac:dyDescent="0.25">
      <c r="A1802">
        <f t="shared" si="29"/>
        <v>0</v>
      </c>
      <c r="B1802" t="b">
        <f>SUMPRODUCT(LEN(hospitalityq!C1802:R1802))&gt;0</f>
        <v>0</v>
      </c>
      <c r="C1802">
        <f>B1802*(hospitalityq!C1802="")</f>
        <v>0</v>
      </c>
      <c r="E1802">
        <f>B1802*(hospitalityq!E1802="")</f>
        <v>0</v>
      </c>
      <c r="F1802">
        <f>B1802*(hospitalityq!F1802="")</f>
        <v>0</v>
      </c>
      <c r="G1802">
        <f>B1802*(hospitalityq!G1802="")</f>
        <v>0</v>
      </c>
      <c r="H1802">
        <f>B1802*(hospitalityq!H1802="")</f>
        <v>0</v>
      </c>
      <c r="I1802">
        <f>B1802*(hospitalityq!I1802="")</f>
        <v>0</v>
      </c>
      <c r="J1802">
        <f>B1802*(hospitalityq!J1802="")</f>
        <v>0</v>
      </c>
      <c r="K1802">
        <f>B1802*(hospitalityq!K1802="")</f>
        <v>0</v>
      </c>
      <c r="L1802">
        <f>B1802*(hospitalityq!L1802="")</f>
        <v>0</v>
      </c>
      <c r="M1802">
        <f>B1802*(hospitalityq!M1802="")</f>
        <v>0</v>
      </c>
      <c r="N1802">
        <f>B1802*(hospitalityq!N1802="")</f>
        <v>0</v>
      </c>
      <c r="O1802">
        <f>B1802*(hospitalityq!O1802="")</f>
        <v>0</v>
      </c>
      <c r="P1802">
        <f>B1802*(hospitalityq!P1802="")</f>
        <v>0</v>
      </c>
      <c r="Q1802">
        <f>B1802*(hospitalityq!Q1802="")</f>
        <v>0</v>
      </c>
      <c r="R1802">
        <f>B1802*(hospitalityq!R1802="")</f>
        <v>0</v>
      </c>
    </row>
    <row r="1803" spans="1:18" x14ac:dyDescent="0.25">
      <c r="A1803">
        <f t="shared" si="29"/>
        <v>0</v>
      </c>
      <c r="B1803" t="b">
        <f>SUMPRODUCT(LEN(hospitalityq!C1803:R1803))&gt;0</f>
        <v>0</v>
      </c>
      <c r="C1803">
        <f>B1803*(hospitalityq!C1803="")</f>
        <v>0</v>
      </c>
      <c r="E1803">
        <f>B1803*(hospitalityq!E1803="")</f>
        <v>0</v>
      </c>
      <c r="F1803">
        <f>B1803*(hospitalityq!F1803="")</f>
        <v>0</v>
      </c>
      <c r="G1803">
        <f>B1803*(hospitalityq!G1803="")</f>
        <v>0</v>
      </c>
      <c r="H1803">
        <f>B1803*(hospitalityq!H1803="")</f>
        <v>0</v>
      </c>
      <c r="I1803">
        <f>B1803*(hospitalityq!I1803="")</f>
        <v>0</v>
      </c>
      <c r="J1803">
        <f>B1803*(hospitalityq!J1803="")</f>
        <v>0</v>
      </c>
      <c r="K1803">
        <f>B1803*(hospitalityq!K1803="")</f>
        <v>0</v>
      </c>
      <c r="L1803">
        <f>B1803*(hospitalityq!L1803="")</f>
        <v>0</v>
      </c>
      <c r="M1803">
        <f>B1803*(hospitalityq!M1803="")</f>
        <v>0</v>
      </c>
      <c r="N1803">
        <f>B1803*(hospitalityq!N1803="")</f>
        <v>0</v>
      </c>
      <c r="O1803">
        <f>B1803*(hospitalityq!O1803="")</f>
        <v>0</v>
      </c>
      <c r="P1803">
        <f>B1803*(hospitalityq!P1803="")</f>
        <v>0</v>
      </c>
      <c r="Q1803">
        <f>B1803*(hospitalityq!Q1803="")</f>
        <v>0</v>
      </c>
      <c r="R1803">
        <f>B1803*(hospitalityq!R1803="")</f>
        <v>0</v>
      </c>
    </row>
    <row r="1804" spans="1:18" x14ac:dyDescent="0.25">
      <c r="A1804">
        <f t="shared" si="29"/>
        <v>0</v>
      </c>
      <c r="B1804" t="b">
        <f>SUMPRODUCT(LEN(hospitalityq!C1804:R1804))&gt;0</f>
        <v>0</v>
      </c>
      <c r="C1804">
        <f>B1804*(hospitalityq!C1804="")</f>
        <v>0</v>
      </c>
      <c r="E1804">
        <f>B1804*(hospitalityq!E1804="")</f>
        <v>0</v>
      </c>
      <c r="F1804">
        <f>B1804*(hospitalityq!F1804="")</f>
        <v>0</v>
      </c>
      <c r="G1804">
        <f>B1804*(hospitalityq!G1804="")</f>
        <v>0</v>
      </c>
      <c r="H1804">
        <f>B1804*(hospitalityq!H1804="")</f>
        <v>0</v>
      </c>
      <c r="I1804">
        <f>B1804*(hospitalityq!I1804="")</f>
        <v>0</v>
      </c>
      <c r="J1804">
        <f>B1804*(hospitalityq!J1804="")</f>
        <v>0</v>
      </c>
      <c r="K1804">
        <f>B1804*(hospitalityq!K1804="")</f>
        <v>0</v>
      </c>
      <c r="L1804">
        <f>B1804*(hospitalityq!L1804="")</f>
        <v>0</v>
      </c>
      <c r="M1804">
        <f>B1804*(hospitalityq!M1804="")</f>
        <v>0</v>
      </c>
      <c r="N1804">
        <f>B1804*(hospitalityq!N1804="")</f>
        <v>0</v>
      </c>
      <c r="O1804">
        <f>B1804*(hospitalityq!O1804="")</f>
        <v>0</v>
      </c>
      <c r="P1804">
        <f>B1804*(hospitalityq!P1804="")</f>
        <v>0</v>
      </c>
      <c r="Q1804">
        <f>B1804*(hospitalityq!Q1804="")</f>
        <v>0</v>
      </c>
      <c r="R1804">
        <f>B1804*(hospitalityq!R1804="")</f>
        <v>0</v>
      </c>
    </row>
    <row r="1805" spans="1:18" x14ac:dyDescent="0.25">
      <c r="A1805">
        <f t="shared" si="29"/>
        <v>0</v>
      </c>
      <c r="B1805" t="b">
        <f>SUMPRODUCT(LEN(hospitalityq!C1805:R1805))&gt;0</f>
        <v>0</v>
      </c>
      <c r="C1805">
        <f>B1805*(hospitalityq!C1805="")</f>
        <v>0</v>
      </c>
      <c r="E1805">
        <f>B1805*(hospitalityq!E1805="")</f>
        <v>0</v>
      </c>
      <c r="F1805">
        <f>B1805*(hospitalityq!F1805="")</f>
        <v>0</v>
      </c>
      <c r="G1805">
        <f>B1805*(hospitalityq!G1805="")</f>
        <v>0</v>
      </c>
      <c r="H1805">
        <f>B1805*(hospitalityq!H1805="")</f>
        <v>0</v>
      </c>
      <c r="I1805">
        <f>B1805*(hospitalityq!I1805="")</f>
        <v>0</v>
      </c>
      <c r="J1805">
        <f>B1805*(hospitalityq!J1805="")</f>
        <v>0</v>
      </c>
      <c r="K1805">
        <f>B1805*(hospitalityq!K1805="")</f>
        <v>0</v>
      </c>
      <c r="L1805">
        <f>B1805*(hospitalityq!L1805="")</f>
        <v>0</v>
      </c>
      <c r="M1805">
        <f>B1805*(hospitalityq!M1805="")</f>
        <v>0</v>
      </c>
      <c r="N1805">
        <f>B1805*(hospitalityq!N1805="")</f>
        <v>0</v>
      </c>
      <c r="O1805">
        <f>B1805*(hospitalityq!O1805="")</f>
        <v>0</v>
      </c>
      <c r="P1805">
        <f>B1805*(hospitalityq!P1805="")</f>
        <v>0</v>
      </c>
      <c r="Q1805">
        <f>B1805*(hospitalityq!Q1805="")</f>
        <v>0</v>
      </c>
      <c r="R1805">
        <f>B1805*(hospitalityq!R1805="")</f>
        <v>0</v>
      </c>
    </row>
    <row r="1806" spans="1:18" x14ac:dyDescent="0.25">
      <c r="A1806">
        <f t="shared" si="29"/>
        <v>0</v>
      </c>
      <c r="B1806" t="b">
        <f>SUMPRODUCT(LEN(hospitalityq!C1806:R1806))&gt;0</f>
        <v>0</v>
      </c>
      <c r="C1806">
        <f>B1806*(hospitalityq!C1806="")</f>
        <v>0</v>
      </c>
      <c r="E1806">
        <f>B1806*(hospitalityq!E1806="")</f>
        <v>0</v>
      </c>
      <c r="F1806">
        <f>B1806*(hospitalityq!F1806="")</f>
        <v>0</v>
      </c>
      <c r="G1806">
        <f>B1806*(hospitalityq!G1806="")</f>
        <v>0</v>
      </c>
      <c r="H1806">
        <f>B1806*(hospitalityq!H1806="")</f>
        <v>0</v>
      </c>
      <c r="I1806">
        <f>B1806*(hospitalityq!I1806="")</f>
        <v>0</v>
      </c>
      <c r="J1806">
        <f>B1806*(hospitalityq!J1806="")</f>
        <v>0</v>
      </c>
      <c r="K1806">
        <f>B1806*(hospitalityq!K1806="")</f>
        <v>0</v>
      </c>
      <c r="L1806">
        <f>B1806*(hospitalityq!L1806="")</f>
        <v>0</v>
      </c>
      <c r="M1806">
        <f>B1806*(hospitalityq!M1806="")</f>
        <v>0</v>
      </c>
      <c r="N1806">
        <f>B1806*(hospitalityq!N1806="")</f>
        <v>0</v>
      </c>
      <c r="O1806">
        <f>B1806*(hospitalityq!O1806="")</f>
        <v>0</v>
      </c>
      <c r="P1806">
        <f>B1806*(hospitalityq!P1806="")</f>
        <v>0</v>
      </c>
      <c r="Q1806">
        <f>B1806*(hospitalityq!Q1806="")</f>
        <v>0</v>
      </c>
      <c r="R1806">
        <f>B1806*(hospitalityq!R1806="")</f>
        <v>0</v>
      </c>
    </row>
    <row r="1807" spans="1:18" x14ac:dyDescent="0.25">
      <c r="A1807">
        <f t="shared" si="29"/>
        <v>0</v>
      </c>
      <c r="B1807" t="b">
        <f>SUMPRODUCT(LEN(hospitalityq!C1807:R1807))&gt;0</f>
        <v>0</v>
      </c>
      <c r="C1807">
        <f>B1807*(hospitalityq!C1807="")</f>
        <v>0</v>
      </c>
      <c r="E1807">
        <f>B1807*(hospitalityq!E1807="")</f>
        <v>0</v>
      </c>
      <c r="F1807">
        <f>B1807*(hospitalityq!F1807="")</f>
        <v>0</v>
      </c>
      <c r="G1807">
        <f>B1807*(hospitalityq!G1807="")</f>
        <v>0</v>
      </c>
      <c r="H1807">
        <f>B1807*(hospitalityq!H1807="")</f>
        <v>0</v>
      </c>
      <c r="I1807">
        <f>B1807*(hospitalityq!I1807="")</f>
        <v>0</v>
      </c>
      <c r="J1807">
        <f>B1807*(hospitalityq!J1807="")</f>
        <v>0</v>
      </c>
      <c r="K1807">
        <f>B1807*(hospitalityq!K1807="")</f>
        <v>0</v>
      </c>
      <c r="L1807">
        <f>B1807*(hospitalityq!L1807="")</f>
        <v>0</v>
      </c>
      <c r="M1807">
        <f>B1807*(hospitalityq!M1807="")</f>
        <v>0</v>
      </c>
      <c r="N1807">
        <f>B1807*(hospitalityq!N1807="")</f>
        <v>0</v>
      </c>
      <c r="O1807">
        <f>B1807*(hospitalityq!O1807="")</f>
        <v>0</v>
      </c>
      <c r="P1807">
        <f>B1807*(hospitalityq!P1807="")</f>
        <v>0</v>
      </c>
      <c r="Q1807">
        <f>B1807*(hospitalityq!Q1807="")</f>
        <v>0</v>
      </c>
      <c r="R1807">
        <f>B1807*(hospitalityq!R1807="")</f>
        <v>0</v>
      </c>
    </row>
    <row r="1808" spans="1:18" x14ac:dyDescent="0.25">
      <c r="A1808">
        <f t="shared" si="29"/>
        <v>0</v>
      </c>
      <c r="B1808" t="b">
        <f>SUMPRODUCT(LEN(hospitalityq!C1808:R1808))&gt;0</f>
        <v>0</v>
      </c>
      <c r="C1808">
        <f>B1808*(hospitalityq!C1808="")</f>
        <v>0</v>
      </c>
      <c r="E1808">
        <f>B1808*(hospitalityq!E1808="")</f>
        <v>0</v>
      </c>
      <c r="F1808">
        <f>B1808*(hospitalityq!F1808="")</f>
        <v>0</v>
      </c>
      <c r="G1808">
        <f>B1808*(hospitalityq!G1808="")</f>
        <v>0</v>
      </c>
      <c r="H1808">
        <f>B1808*(hospitalityq!H1808="")</f>
        <v>0</v>
      </c>
      <c r="I1808">
        <f>B1808*(hospitalityq!I1808="")</f>
        <v>0</v>
      </c>
      <c r="J1808">
        <f>B1808*(hospitalityq!J1808="")</f>
        <v>0</v>
      </c>
      <c r="K1808">
        <f>B1808*(hospitalityq!K1808="")</f>
        <v>0</v>
      </c>
      <c r="L1808">
        <f>B1808*(hospitalityq!L1808="")</f>
        <v>0</v>
      </c>
      <c r="M1808">
        <f>B1808*(hospitalityq!M1808="")</f>
        <v>0</v>
      </c>
      <c r="N1808">
        <f>B1808*(hospitalityq!N1808="")</f>
        <v>0</v>
      </c>
      <c r="O1808">
        <f>B1808*(hospitalityq!O1808="")</f>
        <v>0</v>
      </c>
      <c r="P1808">
        <f>B1808*(hospitalityq!P1808="")</f>
        <v>0</v>
      </c>
      <c r="Q1808">
        <f>B1808*(hospitalityq!Q1808="")</f>
        <v>0</v>
      </c>
      <c r="R1808">
        <f>B1808*(hospitalityq!R1808="")</f>
        <v>0</v>
      </c>
    </row>
    <row r="1809" spans="1:18" x14ac:dyDescent="0.25">
      <c r="A1809">
        <f t="shared" si="29"/>
        <v>0</v>
      </c>
      <c r="B1809" t="b">
        <f>SUMPRODUCT(LEN(hospitalityq!C1809:R1809))&gt;0</f>
        <v>0</v>
      </c>
      <c r="C1809">
        <f>B1809*(hospitalityq!C1809="")</f>
        <v>0</v>
      </c>
      <c r="E1809">
        <f>B1809*(hospitalityq!E1809="")</f>
        <v>0</v>
      </c>
      <c r="F1809">
        <f>B1809*(hospitalityq!F1809="")</f>
        <v>0</v>
      </c>
      <c r="G1809">
        <f>B1809*(hospitalityq!G1809="")</f>
        <v>0</v>
      </c>
      <c r="H1809">
        <f>B1809*(hospitalityq!H1809="")</f>
        <v>0</v>
      </c>
      <c r="I1809">
        <f>B1809*(hospitalityq!I1809="")</f>
        <v>0</v>
      </c>
      <c r="J1809">
        <f>B1809*(hospitalityq!J1809="")</f>
        <v>0</v>
      </c>
      <c r="K1809">
        <f>B1809*(hospitalityq!K1809="")</f>
        <v>0</v>
      </c>
      <c r="L1809">
        <f>B1809*(hospitalityq!L1809="")</f>
        <v>0</v>
      </c>
      <c r="M1809">
        <f>B1809*(hospitalityq!M1809="")</f>
        <v>0</v>
      </c>
      <c r="N1809">
        <f>B1809*(hospitalityq!N1809="")</f>
        <v>0</v>
      </c>
      <c r="O1809">
        <f>B1809*(hospitalityq!O1809="")</f>
        <v>0</v>
      </c>
      <c r="P1809">
        <f>B1809*(hospitalityq!P1809="")</f>
        <v>0</v>
      </c>
      <c r="Q1809">
        <f>B1809*(hospitalityq!Q1809="")</f>
        <v>0</v>
      </c>
      <c r="R1809">
        <f>B1809*(hospitalityq!R1809="")</f>
        <v>0</v>
      </c>
    </row>
    <row r="1810" spans="1:18" x14ac:dyDescent="0.25">
      <c r="A1810">
        <f t="shared" si="29"/>
        <v>0</v>
      </c>
      <c r="B1810" t="b">
        <f>SUMPRODUCT(LEN(hospitalityq!C1810:R1810))&gt;0</f>
        <v>0</v>
      </c>
      <c r="C1810">
        <f>B1810*(hospitalityq!C1810="")</f>
        <v>0</v>
      </c>
      <c r="E1810">
        <f>B1810*(hospitalityq!E1810="")</f>
        <v>0</v>
      </c>
      <c r="F1810">
        <f>B1810*(hospitalityq!F1810="")</f>
        <v>0</v>
      </c>
      <c r="G1810">
        <f>B1810*(hospitalityq!G1810="")</f>
        <v>0</v>
      </c>
      <c r="H1810">
        <f>B1810*(hospitalityq!H1810="")</f>
        <v>0</v>
      </c>
      <c r="I1810">
        <f>B1810*(hospitalityq!I1810="")</f>
        <v>0</v>
      </c>
      <c r="J1810">
        <f>B1810*(hospitalityq!J1810="")</f>
        <v>0</v>
      </c>
      <c r="K1810">
        <f>B1810*(hospitalityq!K1810="")</f>
        <v>0</v>
      </c>
      <c r="L1810">
        <f>B1810*(hospitalityq!L1810="")</f>
        <v>0</v>
      </c>
      <c r="M1810">
        <f>B1810*(hospitalityq!M1810="")</f>
        <v>0</v>
      </c>
      <c r="N1810">
        <f>B1810*(hospitalityq!N1810="")</f>
        <v>0</v>
      </c>
      <c r="O1810">
        <f>B1810*(hospitalityq!O1810="")</f>
        <v>0</v>
      </c>
      <c r="P1810">
        <f>B1810*(hospitalityq!P1810="")</f>
        <v>0</v>
      </c>
      <c r="Q1810">
        <f>B1810*(hospitalityq!Q1810="")</f>
        <v>0</v>
      </c>
      <c r="R1810">
        <f>B1810*(hospitalityq!R1810="")</f>
        <v>0</v>
      </c>
    </row>
    <row r="1811" spans="1:18" x14ac:dyDescent="0.25">
      <c r="A1811">
        <f t="shared" si="29"/>
        <v>0</v>
      </c>
      <c r="B1811" t="b">
        <f>SUMPRODUCT(LEN(hospitalityq!C1811:R1811))&gt;0</f>
        <v>0</v>
      </c>
      <c r="C1811">
        <f>B1811*(hospitalityq!C1811="")</f>
        <v>0</v>
      </c>
      <c r="E1811">
        <f>B1811*(hospitalityq!E1811="")</f>
        <v>0</v>
      </c>
      <c r="F1811">
        <f>B1811*(hospitalityq!F1811="")</f>
        <v>0</v>
      </c>
      <c r="G1811">
        <f>B1811*(hospitalityq!G1811="")</f>
        <v>0</v>
      </c>
      <c r="H1811">
        <f>B1811*(hospitalityq!H1811="")</f>
        <v>0</v>
      </c>
      <c r="I1811">
        <f>B1811*(hospitalityq!I1811="")</f>
        <v>0</v>
      </c>
      <c r="J1811">
        <f>B1811*(hospitalityq!J1811="")</f>
        <v>0</v>
      </c>
      <c r="K1811">
        <f>B1811*(hospitalityq!K1811="")</f>
        <v>0</v>
      </c>
      <c r="L1811">
        <f>B1811*(hospitalityq!L1811="")</f>
        <v>0</v>
      </c>
      <c r="M1811">
        <f>B1811*(hospitalityq!M1811="")</f>
        <v>0</v>
      </c>
      <c r="N1811">
        <f>B1811*(hospitalityq!N1811="")</f>
        <v>0</v>
      </c>
      <c r="O1811">
        <f>B1811*(hospitalityq!O1811="")</f>
        <v>0</v>
      </c>
      <c r="P1811">
        <f>B1811*(hospitalityq!P1811="")</f>
        <v>0</v>
      </c>
      <c r="Q1811">
        <f>B1811*(hospitalityq!Q1811="")</f>
        <v>0</v>
      </c>
      <c r="R1811">
        <f>B1811*(hospitalityq!R1811="")</f>
        <v>0</v>
      </c>
    </row>
    <row r="1812" spans="1:18" x14ac:dyDescent="0.25">
      <c r="A1812">
        <f t="shared" si="29"/>
        <v>0</v>
      </c>
      <c r="B1812" t="b">
        <f>SUMPRODUCT(LEN(hospitalityq!C1812:R1812))&gt;0</f>
        <v>0</v>
      </c>
      <c r="C1812">
        <f>B1812*(hospitalityq!C1812="")</f>
        <v>0</v>
      </c>
      <c r="E1812">
        <f>B1812*(hospitalityq!E1812="")</f>
        <v>0</v>
      </c>
      <c r="F1812">
        <f>B1812*(hospitalityq!F1812="")</f>
        <v>0</v>
      </c>
      <c r="G1812">
        <f>B1812*(hospitalityq!G1812="")</f>
        <v>0</v>
      </c>
      <c r="H1812">
        <f>B1812*(hospitalityq!H1812="")</f>
        <v>0</v>
      </c>
      <c r="I1812">
        <f>B1812*(hospitalityq!I1812="")</f>
        <v>0</v>
      </c>
      <c r="J1812">
        <f>B1812*(hospitalityq!J1812="")</f>
        <v>0</v>
      </c>
      <c r="K1812">
        <f>B1812*(hospitalityq!K1812="")</f>
        <v>0</v>
      </c>
      <c r="L1812">
        <f>B1812*(hospitalityq!L1812="")</f>
        <v>0</v>
      </c>
      <c r="M1812">
        <f>B1812*(hospitalityq!M1812="")</f>
        <v>0</v>
      </c>
      <c r="N1812">
        <f>B1812*(hospitalityq!N1812="")</f>
        <v>0</v>
      </c>
      <c r="O1812">
        <f>B1812*(hospitalityq!O1812="")</f>
        <v>0</v>
      </c>
      <c r="P1812">
        <f>B1812*(hospitalityq!P1812="")</f>
        <v>0</v>
      </c>
      <c r="Q1812">
        <f>B1812*(hospitalityq!Q1812="")</f>
        <v>0</v>
      </c>
      <c r="R1812">
        <f>B1812*(hospitalityq!R1812="")</f>
        <v>0</v>
      </c>
    </row>
    <row r="1813" spans="1:18" x14ac:dyDescent="0.25">
      <c r="A1813">
        <f t="shared" si="29"/>
        <v>0</v>
      </c>
      <c r="B1813" t="b">
        <f>SUMPRODUCT(LEN(hospitalityq!C1813:R1813))&gt;0</f>
        <v>0</v>
      </c>
      <c r="C1813">
        <f>B1813*(hospitalityq!C1813="")</f>
        <v>0</v>
      </c>
      <c r="E1813">
        <f>B1813*(hospitalityq!E1813="")</f>
        <v>0</v>
      </c>
      <c r="F1813">
        <f>B1813*(hospitalityq!F1813="")</f>
        <v>0</v>
      </c>
      <c r="G1813">
        <f>B1813*(hospitalityq!G1813="")</f>
        <v>0</v>
      </c>
      <c r="H1813">
        <f>B1813*(hospitalityq!H1813="")</f>
        <v>0</v>
      </c>
      <c r="I1813">
        <f>B1813*(hospitalityq!I1813="")</f>
        <v>0</v>
      </c>
      <c r="J1813">
        <f>B1813*(hospitalityq!J1813="")</f>
        <v>0</v>
      </c>
      <c r="K1813">
        <f>B1813*(hospitalityq!K1813="")</f>
        <v>0</v>
      </c>
      <c r="L1813">
        <f>B1813*(hospitalityq!L1813="")</f>
        <v>0</v>
      </c>
      <c r="M1813">
        <f>B1813*(hospitalityq!M1813="")</f>
        <v>0</v>
      </c>
      <c r="N1813">
        <f>B1813*(hospitalityq!N1813="")</f>
        <v>0</v>
      </c>
      <c r="O1813">
        <f>B1813*(hospitalityq!O1813="")</f>
        <v>0</v>
      </c>
      <c r="P1813">
        <f>B1813*(hospitalityq!P1813="")</f>
        <v>0</v>
      </c>
      <c r="Q1813">
        <f>B1813*(hospitalityq!Q1813="")</f>
        <v>0</v>
      </c>
      <c r="R1813">
        <f>B1813*(hospitalityq!R1813="")</f>
        <v>0</v>
      </c>
    </row>
    <row r="1814" spans="1:18" x14ac:dyDescent="0.25">
      <c r="A1814">
        <f t="shared" si="29"/>
        <v>0</v>
      </c>
      <c r="B1814" t="b">
        <f>SUMPRODUCT(LEN(hospitalityq!C1814:R1814))&gt;0</f>
        <v>0</v>
      </c>
      <c r="C1814">
        <f>B1814*(hospitalityq!C1814="")</f>
        <v>0</v>
      </c>
      <c r="E1814">
        <f>B1814*(hospitalityq!E1814="")</f>
        <v>0</v>
      </c>
      <c r="F1814">
        <f>B1814*(hospitalityq!F1814="")</f>
        <v>0</v>
      </c>
      <c r="G1814">
        <f>B1814*(hospitalityq!G1814="")</f>
        <v>0</v>
      </c>
      <c r="H1814">
        <f>B1814*(hospitalityq!H1814="")</f>
        <v>0</v>
      </c>
      <c r="I1814">
        <f>B1814*(hospitalityq!I1814="")</f>
        <v>0</v>
      </c>
      <c r="J1814">
        <f>B1814*(hospitalityq!J1814="")</f>
        <v>0</v>
      </c>
      <c r="K1814">
        <f>B1814*(hospitalityq!K1814="")</f>
        <v>0</v>
      </c>
      <c r="L1814">
        <f>B1814*(hospitalityq!L1814="")</f>
        <v>0</v>
      </c>
      <c r="M1814">
        <f>B1814*(hospitalityq!M1814="")</f>
        <v>0</v>
      </c>
      <c r="N1814">
        <f>B1814*(hospitalityq!N1814="")</f>
        <v>0</v>
      </c>
      <c r="O1814">
        <f>B1814*(hospitalityq!O1814="")</f>
        <v>0</v>
      </c>
      <c r="P1814">
        <f>B1814*(hospitalityq!P1814="")</f>
        <v>0</v>
      </c>
      <c r="Q1814">
        <f>B1814*(hospitalityq!Q1814="")</f>
        <v>0</v>
      </c>
      <c r="R1814">
        <f>B1814*(hospitalityq!R1814="")</f>
        <v>0</v>
      </c>
    </row>
    <row r="1815" spans="1:18" x14ac:dyDescent="0.25">
      <c r="A1815">
        <f t="shared" si="29"/>
        <v>0</v>
      </c>
      <c r="B1815" t="b">
        <f>SUMPRODUCT(LEN(hospitalityq!C1815:R1815))&gt;0</f>
        <v>0</v>
      </c>
      <c r="C1815">
        <f>B1815*(hospitalityq!C1815="")</f>
        <v>0</v>
      </c>
      <c r="E1815">
        <f>B1815*(hospitalityq!E1815="")</f>
        <v>0</v>
      </c>
      <c r="F1815">
        <f>B1815*(hospitalityq!F1815="")</f>
        <v>0</v>
      </c>
      <c r="G1815">
        <f>B1815*(hospitalityq!G1815="")</f>
        <v>0</v>
      </c>
      <c r="H1815">
        <f>B1815*(hospitalityq!H1815="")</f>
        <v>0</v>
      </c>
      <c r="I1815">
        <f>B1815*(hospitalityq!I1815="")</f>
        <v>0</v>
      </c>
      <c r="J1815">
        <f>B1815*(hospitalityq!J1815="")</f>
        <v>0</v>
      </c>
      <c r="K1815">
        <f>B1815*(hospitalityq!K1815="")</f>
        <v>0</v>
      </c>
      <c r="L1815">
        <f>B1815*(hospitalityq!L1815="")</f>
        <v>0</v>
      </c>
      <c r="M1815">
        <f>B1815*(hospitalityq!M1815="")</f>
        <v>0</v>
      </c>
      <c r="N1815">
        <f>B1815*(hospitalityq!N1815="")</f>
        <v>0</v>
      </c>
      <c r="O1815">
        <f>B1815*(hospitalityq!O1815="")</f>
        <v>0</v>
      </c>
      <c r="P1815">
        <f>B1815*(hospitalityq!P1815="")</f>
        <v>0</v>
      </c>
      <c r="Q1815">
        <f>B1815*(hospitalityq!Q1815="")</f>
        <v>0</v>
      </c>
      <c r="R1815">
        <f>B1815*(hospitalityq!R1815="")</f>
        <v>0</v>
      </c>
    </row>
    <row r="1816" spans="1:18" x14ac:dyDescent="0.25">
      <c r="A1816">
        <f t="shared" si="29"/>
        <v>0</v>
      </c>
      <c r="B1816" t="b">
        <f>SUMPRODUCT(LEN(hospitalityq!C1816:R1816))&gt;0</f>
        <v>0</v>
      </c>
      <c r="C1816">
        <f>B1816*(hospitalityq!C1816="")</f>
        <v>0</v>
      </c>
      <c r="E1816">
        <f>B1816*(hospitalityq!E1816="")</f>
        <v>0</v>
      </c>
      <c r="F1816">
        <f>B1816*(hospitalityq!F1816="")</f>
        <v>0</v>
      </c>
      <c r="G1816">
        <f>B1816*(hospitalityq!G1816="")</f>
        <v>0</v>
      </c>
      <c r="H1816">
        <f>B1816*(hospitalityq!H1816="")</f>
        <v>0</v>
      </c>
      <c r="I1816">
        <f>B1816*(hospitalityq!I1816="")</f>
        <v>0</v>
      </c>
      <c r="J1816">
        <f>B1816*(hospitalityq!J1816="")</f>
        <v>0</v>
      </c>
      <c r="K1816">
        <f>B1816*(hospitalityq!K1816="")</f>
        <v>0</v>
      </c>
      <c r="L1816">
        <f>B1816*(hospitalityq!L1816="")</f>
        <v>0</v>
      </c>
      <c r="M1816">
        <f>B1816*(hospitalityq!M1816="")</f>
        <v>0</v>
      </c>
      <c r="N1816">
        <f>B1816*(hospitalityq!N1816="")</f>
        <v>0</v>
      </c>
      <c r="O1816">
        <f>B1816*(hospitalityq!O1816="")</f>
        <v>0</v>
      </c>
      <c r="P1816">
        <f>B1816*(hospitalityq!P1816="")</f>
        <v>0</v>
      </c>
      <c r="Q1816">
        <f>B1816*(hospitalityq!Q1816="")</f>
        <v>0</v>
      </c>
      <c r="R1816">
        <f>B1816*(hospitalityq!R1816="")</f>
        <v>0</v>
      </c>
    </row>
    <row r="1817" spans="1:18" x14ac:dyDescent="0.25">
      <c r="A1817">
        <f t="shared" si="29"/>
        <v>0</v>
      </c>
      <c r="B1817" t="b">
        <f>SUMPRODUCT(LEN(hospitalityq!C1817:R1817))&gt;0</f>
        <v>0</v>
      </c>
      <c r="C1817">
        <f>B1817*(hospitalityq!C1817="")</f>
        <v>0</v>
      </c>
      <c r="E1817">
        <f>B1817*(hospitalityq!E1817="")</f>
        <v>0</v>
      </c>
      <c r="F1817">
        <f>B1817*(hospitalityq!F1817="")</f>
        <v>0</v>
      </c>
      <c r="G1817">
        <f>B1817*(hospitalityq!G1817="")</f>
        <v>0</v>
      </c>
      <c r="H1817">
        <f>B1817*(hospitalityq!H1817="")</f>
        <v>0</v>
      </c>
      <c r="I1817">
        <f>B1817*(hospitalityq!I1817="")</f>
        <v>0</v>
      </c>
      <c r="J1817">
        <f>B1817*(hospitalityq!J1817="")</f>
        <v>0</v>
      </c>
      <c r="K1817">
        <f>B1817*(hospitalityq!K1817="")</f>
        <v>0</v>
      </c>
      <c r="L1817">
        <f>B1817*(hospitalityq!L1817="")</f>
        <v>0</v>
      </c>
      <c r="M1817">
        <f>B1817*(hospitalityq!M1817="")</f>
        <v>0</v>
      </c>
      <c r="N1817">
        <f>B1817*(hospitalityq!N1817="")</f>
        <v>0</v>
      </c>
      <c r="O1817">
        <f>B1817*(hospitalityq!O1817="")</f>
        <v>0</v>
      </c>
      <c r="P1817">
        <f>B1817*(hospitalityq!P1817="")</f>
        <v>0</v>
      </c>
      <c r="Q1817">
        <f>B1817*(hospitalityq!Q1817="")</f>
        <v>0</v>
      </c>
      <c r="R1817">
        <f>B1817*(hospitalityq!R1817="")</f>
        <v>0</v>
      </c>
    </row>
    <row r="1818" spans="1:18" x14ac:dyDescent="0.25">
      <c r="A1818">
        <f t="shared" si="29"/>
        <v>0</v>
      </c>
      <c r="B1818" t="b">
        <f>SUMPRODUCT(LEN(hospitalityq!C1818:R1818))&gt;0</f>
        <v>0</v>
      </c>
      <c r="C1818">
        <f>B1818*(hospitalityq!C1818="")</f>
        <v>0</v>
      </c>
      <c r="E1818">
        <f>B1818*(hospitalityq!E1818="")</f>
        <v>0</v>
      </c>
      <c r="F1818">
        <f>B1818*(hospitalityq!F1818="")</f>
        <v>0</v>
      </c>
      <c r="G1818">
        <f>B1818*(hospitalityq!G1818="")</f>
        <v>0</v>
      </c>
      <c r="H1818">
        <f>B1818*(hospitalityq!H1818="")</f>
        <v>0</v>
      </c>
      <c r="I1818">
        <f>B1818*(hospitalityq!I1818="")</f>
        <v>0</v>
      </c>
      <c r="J1818">
        <f>B1818*(hospitalityq!J1818="")</f>
        <v>0</v>
      </c>
      <c r="K1818">
        <f>B1818*(hospitalityq!K1818="")</f>
        <v>0</v>
      </c>
      <c r="L1818">
        <f>B1818*(hospitalityq!L1818="")</f>
        <v>0</v>
      </c>
      <c r="M1818">
        <f>B1818*(hospitalityq!M1818="")</f>
        <v>0</v>
      </c>
      <c r="N1818">
        <f>B1818*(hospitalityq!N1818="")</f>
        <v>0</v>
      </c>
      <c r="O1818">
        <f>B1818*(hospitalityq!O1818="")</f>
        <v>0</v>
      </c>
      <c r="P1818">
        <f>B1818*(hospitalityq!P1818="")</f>
        <v>0</v>
      </c>
      <c r="Q1818">
        <f>B1818*(hospitalityq!Q1818="")</f>
        <v>0</v>
      </c>
      <c r="R1818">
        <f>B1818*(hospitalityq!R1818="")</f>
        <v>0</v>
      </c>
    </row>
    <row r="1819" spans="1:18" x14ac:dyDescent="0.25">
      <c r="A1819">
        <f t="shared" si="29"/>
        <v>0</v>
      </c>
      <c r="B1819" t="b">
        <f>SUMPRODUCT(LEN(hospitalityq!C1819:R1819))&gt;0</f>
        <v>0</v>
      </c>
      <c r="C1819">
        <f>B1819*(hospitalityq!C1819="")</f>
        <v>0</v>
      </c>
      <c r="E1819">
        <f>B1819*(hospitalityq!E1819="")</f>
        <v>0</v>
      </c>
      <c r="F1819">
        <f>B1819*(hospitalityq!F1819="")</f>
        <v>0</v>
      </c>
      <c r="G1819">
        <f>B1819*(hospitalityq!G1819="")</f>
        <v>0</v>
      </c>
      <c r="H1819">
        <f>B1819*(hospitalityq!H1819="")</f>
        <v>0</v>
      </c>
      <c r="I1819">
        <f>B1819*(hospitalityq!I1819="")</f>
        <v>0</v>
      </c>
      <c r="J1819">
        <f>B1819*(hospitalityq!J1819="")</f>
        <v>0</v>
      </c>
      <c r="K1819">
        <f>B1819*(hospitalityq!K1819="")</f>
        <v>0</v>
      </c>
      <c r="L1819">
        <f>B1819*(hospitalityq!L1819="")</f>
        <v>0</v>
      </c>
      <c r="M1819">
        <f>B1819*(hospitalityq!M1819="")</f>
        <v>0</v>
      </c>
      <c r="N1819">
        <f>B1819*(hospitalityq!N1819="")</f>
        <v>0</v>
      </c>
      <c r="O1819">
        <f>B1819*(hospitalityq!O1819="")</f>
        <v>0</v>
      </c>
      <c r="P1819">
        <f>B1819*(hospitalityq!P1819="")</f>
        <v>0</v>
      </c>
      <c r="Q1819">
        <f>B1819*(hospitalityq!Q1819="")</f>
        <v>0</v>
      </c>
      <c r="R1819">
        <f>B1819*(hospitalityq!R1819="")</f>
        <v>0</v>
      </c>
    </row>
    <row r="1820" spans="1:18" x14ac:dyDescent="0.25">
      <c r="A1820">
        <f t="shared" si="29"/>
        <v>0</v>
      </c>
      <c r="B1820" t="b">
        <f>SUMPRODUCT(LEN(hospitalityq!C1820:R1820))&gt;0</f>
        <v>0</v>
      </c>
      <c r="C1820">
        <f>B1820*(hospitalityq!C1820="")</f>
        <v>0</v>
      </c>
      <c r="E1820">
        <f>B1820*(hospitalityq!E1820="")</f>
        <v>0</v>
      </c>
      <c r="F1820">
        <f>B1820*(hospitalityq!F1820="")</f>
        <v>0</v>
      </c>
      <c r="G1820">
        <f>B1820*(hospitalityq!G1820="")</f>
        <v>0</v>
      </c>
      <c r="H1820">
        <f>B1820*(hospitalityq!H1820="")</f>
        <v>0</v>
      </c>
      <c r="I1820">
        <f>B1820*(hospitalityq!I1820="")</f>
        <v>0</v>
      </c>
      <c r="J1820">
        <f>B1820*(hospitalityq!J1820="")</f>
        <v>0</v>
      </c>
      <c r="K1820">
        <f>B1820*(hospitalityq!K1820="")</f>
        <v>0</v>
      </c>
      <c r="L1820">
        <f>B1820*(hospitalityq!L1820="")</f>
        <v>0</v>
      </c>
      <c r="M1820">
        <f>B1820*(hospitalityq!M1820="")</f>
        <v>0</v>
      </c>
      <c r="N1820">
        <f>B1820*(hospitalityq!N1820="")</f>
        <v>0</v>
      </c>
      <c r="O1820">
        <f>B1820*(hospitalityq!O1820="")</f>
        <v>0</v>
      </c>
      <c r="P1820">
        <f>B1820*(hospitalityq!P1820="")</f>
        <v>0</v>
      </c>
      <c r="Q1820">
        <f>B1820*(hospitalityq!Q1820="")</f>
        <v>0</v>
      </c>
      <c r="R1820">
        <f>B1820*(hospitalityq!R1820="")</f>
        <v>0</v>
      </c>
    </row>
    <row r="1821" spans="1:18" x14ac:dyDescent="0.25">
      <c r="A1821">
        <f t="shared" si="29"/>
        <v>0</v>
      </c>
      <c r="B1821" t="b">
        <f>SUMPRODUCT(LEN(hospitalityq!C1821:R1821))&gt;0</f>
        <v>0</v>
      </c>
      <c r="C1821">
        <f>B1821*(hospitalityq!C1821="")</f>
        <v>0</v>
      </c>
      <c r="E1821">
        <f>B1821*(hospitalityq!E1821="")</f>
        <v>0</v>
      </c>
      <c r="F1821">
        <f>B1821*(hospitalityq!F1821="")</f>
        <v>0</v>
      </c>
      <c r="G1821">
        <f>B1821*(hospitalityq!G1821="")</f>
        <v>0</v>
      </c>
      <c r="H1821">
        <f>B1821*(hospitalityq!H1821="")</f>
        <v>0</v>
      </c>
      <c r="I1821">
        <f>B1821*(hospitalityq!I1821="")</f>
        <v>0</v>
      </c>
      <c r="J1821">
        <f>B1821*(hospitalityq!J1821="")</f>
        <v>0</v>
      </c>
      <c r="K1821">
        <f>B1821*(hospitalityq!K1821="")</f>
        <v>0</v>
      </c>
      <c r="L1821">
        <f>B1821*(hospitalityq!L1821="")</f>
        <v>0</v>
      </c>
      <c r="M1821">
        <f>B1821*(hospitalityq!M1821="")</f>
        <v>0</v>
      </c>
      <c r="N1821">
        <f>B1821*(hospitalityq!N1821="")</f>
        <v>0</v>
      </c>
      <c r="O1821">
        <f>B1821*(hospitalityq!O1821="")</f>
        <v>0</v>
      </c>
      <c r="P1821">
        <f>B1821*(hospitalityq!P1821="")</f>
        <v>0</v>
      </c>
      <c r="Q1821">
        <f>B1821*(hospitalityq!Q1821="")</f>
        <v>0</v>
      </c>
      <c r="R1821">
        <f>B1821*(hospitalityq!R1821="")</f>
        <v>0</v>
      </c>
    </row>
    <row r="1822" spans="1:18" x14ac:dyDescent="0.25">
      <c r="A1822">
        <f t="shared" si="29"/>
        <v>0</v>
      </c>
      <c r="B1822" t="b">
        <f>SUMPRODUCT(LEN(hospitalityq!C1822:R1822))&gt;0</f>
        <v>0</v>
      </c>
      <c r="C1822">
        <f>B1822*(hospitalityq!C1822="")</f>
        <v>0</v>
      </c>
      <c r="E1822">
        <f>B1822*(hospitalityq!E1822="")</f>
        <v>0</v>
      </c>
      <c r="F1822">
        <f>B1822*(hospitalityq!F1822="")</f>
        <v>0</v>
      </c>
      <c r="G1822">
        <f>B1822*(hospitalityq!G1822="")</f>
        <v>0</v>
      </c>
      <c r="H1822">
        <f>B1822*(hospitalityq!H1822="")</f>
        <v>0</v>
      </c>
      <c r="I1822">
        <f>B1822*(hospitalityq!I1822="")</f>
        <v>0</v>
      </c>
      <c r="J1822">
        <f>B1822*(hospitalityq!J1822="")</f>
        <v>0</v>
      </c>
      <c r="K1822">
        <f>B1822*(hospitalityq!K1822="")</f>
        <v>0</v>
      </c>
      <c r="L1822">
        <f>B1822*(hospitalityq!L1822="")</f>
        <v>0</v>
      </c>
      <c r="M1822">
        <f>B1822*(hospitalityq!M1822="")</f>
        <v>0</v>
      </c>
      <c r="N1822">
        <f>B1822*(hospitalityq!N1822="")</f>
        <v>0</v>
      </c>
      <c r="O1822">
        <f>B1822*(hospitalityq!O1822="")</f>
        <v>0</v>
      </c>
      <c r="P1822">
        <f>B1822*(hospitalityq!P1822="")</f>
        <v>0</v>
      </c>
      <c r="Q1822">
        <f>B1822*(hospitalityq!Q1822="")</f>
        <v>0</v>
      </c>
      <c r="R1822">
        <f>B1822*(hospitalityq!R1822="")</f>
        <v>0</v>
      </c>
    </row>
    <row r="1823" spans="1:18" x14ac:dyDescent="0.25">
      <c r="A1823">
        <f t="shared" si="29"/>
        <v>0</v>
      </c>
      <c r="B1823" t="b">
        <f>SUMPRODUCT(LEN(hospitalityq!C1823:R1823))&gt;0</f>
        <v>0</v>
      </c>
      <c r="C1823">
        <f>B1823*(hospitalityq!C1823="")</f>
        <v>0</v>
      </c>
      <c r="E1823">
        <f>B1823*(hospitalityq!E1823="")</f>
        <v>0</v>
      </c>
      <c r="F1823">
        <f>B1823*(hospitalityq!F1823="")</f>
        <v>0</v>
      </c>
      <c r="G1823">
        <f>B1823*(hospitalityq!G1823="")</f>
        <v>0</v>
      </c>
      <c r="H1823">
        <f>B1823*(hospitalityq!H1823="")</f>
        <v>0</v>
      </c>
      <c r="I1823">
        <f>B1823*(hospitalityq!I1823="")</f>
        <v>0</v>
      </c>
      <c r="J1823">
        <f>B1823*(hospitalityq!J1823="")</f>
        <v>0</v>
      </c>
      <c r="K1823">
        <f>B1823*(hospitalityq!K1823="")</f>
        <v>0</v>
      </c>
      <c r="L1823">
        <f>B1823*(hospitalityq!L1823="")</f>
        <v>0</v>
      </c>
      <c r="M1823">
        <f>B1823*(hospitalityq!M1823="")</f>
        <v>0</v>
      </c>
      <c r="N1823">
        <f>B1823*(hospitalityq!N1823="")</f>
        <v>0</v>
      </c>
      <c r="O1823">
        <f>B1823*(hospitalityq!O1823="")</f>
        <v>0</v>
      </c>
      <c r="P1823">
        <f>B1823*(hospitalityq!P1823="")</f>
        <v>0</v>
      </c>
      <c r="Q1823">
        <f>B1823*(hospitalityq!Q1823="")</f>
        <v>0</v>
      </c>
      <c r="R1823">
        <f>B1823*(hospitalityq!R1823="")</f>
        <v>0</v>
      </c>
    </row>
    <row r="1824" spans="1:18" x14ac:dyDescent="0.25">
      <c r="A1824">
        <f t="shared" si="29"/>
        <v>0</v>
      </c>
      <c r="B1824" t="b">
        <f>SUMPRODUCT(LEN(hospitalityq!C1824:R1824))&gt;0</f>
        <v>0</v>
      </c>
      <c r="C1824">
        <f>B1824*(hospitalityq!C1824="")</f>
        <v>0</v>
      </c>
      <c r="E1824">
        <f>B1824*(hospitalityq!E1824="")</f>
        <v>0</v>
      </c>
      <c r="F1824">
        <f>B1824*(hospitalityq!F1824="")</f>
        <v>0</v>
      </c>
      <c r="G1824">
        <f>B1824*(hospitalityq!G1824="")</f>
        <v>0</v>
      </c>
      <c r="H1824">
        <f>B1824*(hospitalityq!H1824="")</f>
        <v>0</v>
      </c>
      <c r="I1824">
        <f>B1824*(hospitalityq!I1824="")</f>
        <v>0</v>
      </c>
      <c r="J1824">
        <f>B1824*(hospitalityq!J1824="")</f>
        <v>0</v>
      </c>
      <c r="K1824">
        <f>B1824*(hospitalityq!K1824="")</f>
        <v>0</v>
      </c>
      <c r="L1824">
        <f>B1824*(hospitalityq!L1824="")</f>
        <v>0</v>
      </c>
      <c r="M1824">
        <f>B1824*(hospitalityq!M1824="")</f>
        <v>0</v>
      </c>
      <c r="N1824">
        <f>B1824*(hospitalityq!N1824="")</f>
        <v>0</v>
      </c>
      <c r="O1824">
        <f>B1824*(hospitalityq!O1824="")</f>
        <v>0</v>
      </c>
      <c r="P1824">
        <f>B1824*(hospitalityq!P1824="")</f>
        <v>0</v>
      </c>
      <c r="Q1824">
        <f>B1824*(hospitalityq!Q1824="")</f>
        <v>0</v>
      </c>
      <c r="R1824">
        <f>B1824*(hospitalityq!R1824="")</f>
        <v>0</v>
      </c>
    </row>
    <row r="1825" spans="1:18" x14ac:dyDescent="0.25">
      <c r="A1825">
        <f t="shared" si="29"/>
        <v>0</v>
      </c>
      <c r="B1825" t="b">
        <f>SUMPRODUCT(LEN(hospitalityq!C1825:R1825))&gt;0</f>
        <v>0</v>
      </c>
      <c r="C1825">
        <f>B1825*(hospitalityq!C1825="")</f>
        <v>0</v>
      </c>
      <c r="E1825">
        <f>B1825*(hospitalityq!E1825="")</f>
        <v>0</v>
      </c>
      <c r="F1825">
        <f>B1825*(hospitalityq!F1825="")</f>
        <v>0</v>
      </c>
      <c r="G1825">
        <f>B1825*(hospitalityq!G1825="")</f>
        <v>0</v>
      </c>
      <c r="H1825">
        <f>B1825*(hospitalityq!H1825="")</f>
        <v>0</v>
      </c>
      <c r="I1825">
        <f>B1825*(hospitalityq!I1825="")</f>
        <v>0</v>
      </c>
      <c r="J1825">
        <f>B1825*(hospitalityq!J1825="")</f>
        <v>0</v>
      </c>
      <c r="K1825">
        <f>B1825*(hospitalityq!K1825="")</f>
        <v>0</v>
      </c>
      <c r="L1825">
        <f>B1825*(hospitalityq!L1825="")</f>
        <v>0</v>
      </c>
      <c r="M1825">
        <f>B1825*(hospitalityq!M1825="")</f>
        <v>0</v>
      </c>
      <c r="N1825">
        <f>B1825*(hospitalityq!N1825="")</f>
        <v>0</v>
      </c>
      <c r="O1825">
        <f>B1825*(hospitalityq!O1825="")</f>
        <v>0</v>
      </c>
      <c r="P1825">
        <f>B1825*(hospitalityq!P1825="")</f>
        <v>0</v>
      </c>
      <c r="Q1825">
        <f>B1825*(hospitalityq!Q1825="")</f>
        <v>0</v>
      </c>
      <c r="R1825">
        <f>B1825*(hospitalityq!R1825="")</f>
        <v>0</v>
      </c>
    </row>
    <row r="1826" spans="1:18" x14ac:dyDescent="0.25">
      <c r="A1826">
        <f t="shared" si="29"/>
        <v>0</v>
      </c>
      <c r="B1826" t="b">
        <f>SUMPRODUCT(LEN(hospitalityq!C1826:R1826))&gt;0</f>
        <v>0</v>
      </c>
      <c r="C1826">
        <f>B1826*(hospitalityq!C1826="")</f>
        <v>0</v>
      </c>
      <c r="E1826">
        <f>B1826*(hospitalityq!E1826="")</f>
        <v>0</v>
      </c>
      <c r="F1826">
        <f>B1826*(hospitalityq!F1826="")</f>
        <v>0</v>
      </c>
      <c r="G1826">
        <f>B1826*(hospitalityq!G1826="")</f>
        <v>0</v>
      </c>
      <c r="H1826">
        <f>B1826*(hospitalityq!H1826="")</f>
        <v>0</v>
      </c>
      <c r="I1826">
        <f>B1826*(hospitalityq!I1826="")</f>
        <v>0</v>
      </c>
      <c r="J1826">
        <f>B1826*(hospitalityq!J1826="")</f>
        <v>0</v>
      </c>
      <c r="K1826">
        <f>B1826*(hospitalityq!K1826="")</f>
        <v>0</v>
      </c>
      <c r="L1826">
        <f>B1826*(hospitalityq!L1826="")</f>
        <v>0</v>
      </c>
      <c r="M1826">
        <f>B1826*(hospitalityq!M1826="")</f>
        <v>0</v>
      </c>
      <c r="N1826">
        <f>B1826*(hospitalityq!N1826="")</f>
        <v>0</v>
      </c>
      <c r="O1826">
        <f>B1826*(hospitalityq!O1826="")</f>
        <v>0</v>
      </c>
      <c r="P1826">
        <f>B1826*(hospitalityq!P1826="")</f>
        <v>0</v>
      </c>
      <c r="Q1826">
        <f>B1826*(hospitalityq!Q1826="")</f>
        <v>0</v>
      </c>
      <c r="R1826">
        <f>B1826*(hospitalityq!R1826="")</f>
        <v>0</v>
      </c>
    </row>
    <row r="1827" spans="1:18" x14ac:dyDescent="0.25">
      <c r="A1827">
        <f t="shared" si="29"/>
        <v>0</v>
      </c>
      <c r="B1827" t="b">
        <f>SUMPRODUCT(LEN(hospitalityq!C1827:R1827))&gt;0</f>
        <v>0</v>
      </c>
      <c r="C1827">
        <f>B1827*(hospitalityq!C1827="")</f>
        <v>0</v>
      </c>
      <c r="E1827">
        <f>B1827*(hospitalityq!E1827="")</f>
        <v>0</v>
      </c>
      <c r="F1827">
        <f>B1827*(hospitalityq!F1827="")</f>
        <v>0</v>
      </c>
      <c r="G1827">
        <f>B1827*(hospitalityq!G1827="")</f>
        <v>0</v>
      </c>
      <c r="H1827">
        <f>B1827*(hospitalityq!H1827="")</f>
        <v>0</v>
      </c>
      <c r="I1827">
        <f>B1827*(hospitalityq!I1827="")</f>
        <v>0</v>
      </c>
      <c r="J1827">
        <f>B1827*(hospitalityq!J1827="")</f>
        <v>0</v>
      </c>
      <c r="K1827">
        <f>B1827*(hospitalityq!K1827="")</f>
        <v>0</v>
      </c>
      <c r="L1827">
        <f>B1827*(hospitalityq!L1827="")</f>
        <v>0</v>
      </c>
      <c r="M1827">
        <f>B1827*(hospitalityq!M1827="")</f>
        <v>0</v>
      </c>
      <c r="N1827">
        <f>B1827*(hospitalityq!N1827="")</f>
        <v>0</v>
      </c>
      <c r="O1827">
        <f>B1827*(hospitalityq!O1827="")</f>
        <v>0</v>
      </c>
      <c r="P1827">
        <f>B1827*(hospitalityq!P1827="")</f>
        <v>0</v>
      </c>
      <c r="Q1827">
        <f>B1827*(hospitalityq!Q1827="")</f>
        <v>0</v>
      </c>
      <c r="R1827">
        <f>B1827*(hospitalityq!R1827="")</f>
        <v>0</v>
      </c>
    </row>
    <row r="1828" spans="1:18" x14ac:dyDescent="0.25">
      <c r="A1828">
        <f t="shared" si="29"/>
        <v>0</v>
      </c>
      <c r="B1828" t="b">
        <f>SUMPRODUCT(LEN(hospitalityq!C1828:R1828))&gt;0</f>
        <v>0</v>
      </c>
      <c r="C1828">
        <f>B1828*(hospitalityq!C1828="")</f>
        <v>0</v>
      </c>
      <c r="E1828">
        <f>B1828*(hospitalityq!E1828="")</f>
        <v>0</v>
      </c>
      <c r="F1828">
        <f>B1828*(hospitalityq!F1828="")</f>
        <v>0</v>
      </c>
      <c r="G1828">
        <f>B1828*(hospitalityq!G1828="")</f>
        <v>0</v>
      </c>
      <c r="H1828">
        <f>B1828*(hospitalityq!H1828="")</f>
        <v>0</v>
      </c>
      <c r="I1828">
        <f>B1828*(hospitalityq!I1828="")</f>
        <v>0</v>
      </c>
      <c r="J1828">
        <f>B1828*(hospitalityq!J1828="")</f>
        <v>0</v>
      </c>
      <c r="K1828">
        <f>B1828*(hospitalityq!K1828="")</f>
        <v>0</v>
      </c>
      <c r="L1828">
        <f>B1828*(hospitalityq!L1828="")</f>
        <v>0</v>
      </c>
      <c r="M1828">
        <f>B1828*(hospitalityq!M1828="")</f>
        <v>0</v>
      </c>
      <c r="N1828">
        <f>B1828*(hospitalityq!N1828="")</f>
        <v>0</v>
      </c>
      <c r="O1828">
        <f>B1828*(hospitalityq!O1828="")</f>
        <v>0</v>
      </c>
      <c r="P1828">
        <f>B1828*(hospitalityq!P1828="")</f>
        <v>0</v>
      </c>
      <c r="Q1828">
        <f>B1828*(hospitalityq!Q1828="")</f>
        <v>0</v>
      </c>
      <c r="R1828">
        <f>B1828*(hospitalityq!R1828="")</f>
        <v>0</v>
      </c>
    </row>
    <row r="1829" spans="1:18" x14ac:dyDescent="0.25">
      <c r="A1829">
        <f t="shared" si="29"/>
        <v>0</v>
      </c>
      <c r="B1829" t="b">
        <f>SUMPRODUCT(LEN(hospitalityq!C1829:R1829))&gt;0</f>
        <v>0</v>
      </c>
      <c r="C1829">
        <f>B1829*(hospitalityq!C1829="")</f>
        <v>0</v>
      </c>
      <c r="E1829">
        <f>B1829*(hospitalityq!E1829="")</f>
        <v>0</v>
      </c>
      <c r="F1829">
        <f>B1829*(hospitalityq!F1829="")</f>
        <v>0</v>
      </c>
      <c r="G1829">
        <f>B1829*(hospitalityq!G1829="")</f>
        <v>0</v>
      </c>
      <c r="H1829">
        <f>B1829*(hospitalityq!H1829="")</f>
        <v>0</v>
      </c>
      <c r="I1829">
        <f>B1829*(hospitalityq!I1829="")</f>
        <v>0</v>
      </c>
      <c r="J1829">
        <f>B1829*(hospitalityq!J1829="")</f>
        <v>0</v>
      </c>
      <c r="K1829">
        <f>B1829*(hospitalityq!K1829="")</f>
        <v>0</v>
      </c>
      <c r="L1829">
        <f>B1829*(hospitalityq!L1829="")</f>
        <v>0</v>
      </c>
      <c r="M1829">
        <f>B1829*(hospitalityq!M1829="")</f>
        <v>0</v>
      </c>
      <c r="N1829">
        <f>B1829*(hospitalityq!N1829="")</f>
        <v>0</v>
      </c>
      <c r="O1829">
        <f>B1829*(hospitalityq!O1829="")</f>
        <v>0</v>
      </c>
      <c r="P1829">
        <f>B1829*(hospitalityq!P1829="")</f>
        <v>0</v>
      </c>
      <c r="Q1829">
        <f>B1829*(hospitalityq!Q1829="")</f>
        <v>0</v>
      </c>
      <c r="R1829">
        <f>B1829*(hospitalityq!R1829="")</f>
        <v>0</v>
      </c>
    </row>
    <row r="1830" spans="1:18" x14ac:dyDescent="0.25">
      <c r="A1830">
        <f t="shared" si="29"/>
        <v>0</v>
      </c>
      <c r="B1830" t="b">
        <f>SUMPRODUCT(LEN(hospitalityq!C1830:R1830))&gt;0</f>
        <v>0</v>
      </c>
      <c r="C1830">
        <f>B1830*(hospitalityq!C1830="")</f>
        <v>0</v>
      </c>
      <c r="E1830">
        <f>B1830*(hospitalityq!E1830="")</f>
        <v>0</v>
      </c>
      <c r="F1830">
        <f>B1830*(hospitalityq!F1830="")</f>
        <v>0</v>
      </c>
      <c r="G1830">
        <f>B1830*(hospitalityq!G1830="")</f>
        <v>0</v>
      </c>
      <c r="H1830">
        <f>B1830*(hospitalityq!H1830="")</f>
        <v>0</v>
      </c>
      <c r="I1830">
        <f>B1830*(hospitalityq!I1830="")</f>
        <v>0</v>
      </c>
      <c r="J1830">
        <f>B1830*(hospitalityq!J1830="")</f>
        <v>0</v>
      </c>
      <c r="K1830">
        <f>B1830*(hospitalityq!K1830="")</f>
        <v>0</v>
      </c>
      <c r="L1830">
        <f>B1830*(hospitalityq!L1830="")</f>
        <v>0</v>
      </c>
      <c r="M1830">
        <f>B1830*(hospitalityq!M1830="")</f>
        <v>0</v>
      </c>
      <c r="N1830">
        <f>B1830*(hospitalityq!N1830="")</f>
        <v>0</v>
      </c>
      <c r="O1830">
        <f>B1830*(hospitalityq!O1830="")</f>
        <v>0</v>
      </c>
      <c r="P1830">
        <f>B1830*(hospitalityq!P1830="")</f>
        <v>0</v>
      </c>
      <c r="Q1830">
        <f>B1830*(hospitalityq!Q1830="")</f>
        <v>0</v>
      </c>
      <c r="R1830">
        <f>B1830*(hospitalityq!R1830="")</f>
        <v>0</v>
      </c>
    </row>
    <row r="1831" spans="1:18" x14ac:dyDescent="0.25">
      <c r="A1831">
        <f t="shared" si="29"/>
        <v>0</v>
      </c>
      <c r="B1831" t="b">
        <f>SUMPRODUCT(LEN(hospitalityq!C1831:R1831))&gt;0</f>
        <v>0</v>
      </c>
      <c r="C1831">
        <f>B1831*(hospitalityq!C1831="")</f>
        <v>0</v>
      </c>
      <c r="E1831">
        <f>B1831*(hospitalityq!E1831="")</f>
        <v>0</v>
      </c>
      <c r="F1831">
        <f>B1831*(hospitalityq!F1831="")</f>
        <v>0</v>
      </c>
      <c r="G1831">
        <f>B1831*(hospitalityq!G1831="")</f>
        <v>0</v>
      </c>
      <c r="H1831">
        <f>B1831*(hospitalityq!H1831="")</f>
        <v>0</v>
      </c>
      <c r="I1831">
        <f>B1831*(hospitalityq!I1831="")</f>
        <v>0</v>
      </c>
      <c r="J1831">
        <f>B1831*(hospitalityq!J1831="")</f>
        <v>0</v>
      </c>
      <c r="K1831">
        <f>B1831*(hospitalityq!K1831="")</f>
        <v>0</v>
      </c>
      <c r="L1831">
        <f>B1831*(hospitalityq!L1831="")</f>
        <v>0</v>
      </c>
      <c r="M1831">
        <f>B1831*(hospitalityq!M1831="")</f>
        <v>0</v>
      </c>
      <c r="N1831">
        <f>B1831*(hospitalityq!N1831="")</f>
        <v>0</v>
      </c>
      <c r="O1831">
        <f>B1831*(hospitalityq!O1831="")</f>
        <v>0</v>
      </c>
      <c r="P1831">
        <f>B1831*(hospitalityq!P1831="")</f>
        <v>0</v>
      </c>
      <c r="Q1831">
        <f>B1831*(hospitalityq!Q1831="")</f>
        <v>0</v>
      </c>
      <c r="R1831">
        <f>B1831*(hospitalityq!R1831="")</f>
        <v>0</v>
      </c>
    </row>
    <row r="1832" spans="1:18" x14ac:dyDescent="0.25">
      <c r="A1832">
        <f t="shared" si="29"/>
        <v>0</v>
      </c>
      <c r="B1832" t="b">
        <f>SUMPRODUCT(LEN(hospitalityq!C1832:R1832))&gt;0</f>
        <v>0</v>
      </c>
      <c r="C1832">
        <f>B1832*(hospitalityq!C1832="")</f>
        <v>0</v>
      </c>
      <c r="E1832">
        <f>B1832*(hospitalityq!E1832="")</f>
        <v>0</v>
      </c>
      <c r="F1832">
        <f>B1832*(hospitalityq!F1832="")</f>
        <v>0</v>
      </c>
      <c r="G1832">
        <f>B1832*(hospitalityq!G1832="")</f>
        <v>0</v>
      </c>
      <c r="H1832">
        <f>B1832*(hospitalityq!H1832="")</f>
        <v>0</v>
      </c>
      <c r="I1832">
        <f>B1832*(hospitalityq!I1832="")</f>
        <v>0</v>
      </c>
      <c r="J1832">
        <f>B1832*(hospitalityq!J1832="")</f>
        <v>0</v>
      </c>
      <c r="K1832">
        <f>B1832*(hospitalityq!K1832="")</f>
        <v>0</v>
      </c>
      <c r="L1832">
        <f>B1832*(hospitalityq!L1832="")</f>
        <v>0</v>
      </c>
      <c r="M1832">
        <f>B1832*(hospitalityq!M1832="")</f>
        <v>0</v>
      </c>
      <c r="N1832">
        <f>B1832*(hospitalityq!N1832="")</f>
        <v>0</v>
      </c>
      <c r="O1832">
        <f>B1832*(hospitalityq!O1832="")</f>
        <v>0</v>
      </c>
      <c r="P1832">
        <f>B1832*(hospitalityq!P1832="")</f>
        <v>0</v>
      </c>
      <c r="Q1832">
        <f>B1832*(hospitalityq!Q1832="")</f>
        <v>0</v>
      </c>
      <c r="R1832">
        <f>B1832*(hospitalityq!R1832="")</f>
        <v>0</v>
      </c>
    </row>
    <row r="1833" spans="1:18" x14ac:dyDescent="0.25">
      <c r="A1833">
        <f t="shared" si="29"/>
        <v>0</v>
      </c>
      <c r="B1833" t="b">
        <f>SUMPRODUCT(LEN(hospitalityq!C1833:R1833))&gt;0</f>
        <v>0</v>
      </c>
      <c r="C1833">
        <f>B1833*(hospitalityq!C1833="")</f>
        <v>0</v>
      </c>
      <c r="E1833">
        <f>B1833*(hospitalityq!E1833="")</f>
        <v>0</v>
      </c>
      <c r="F1833">
        <f>B1833*(hospitalityq!F1833="")</f>
        <v>0</v>
      </c>
      <c r="G1833">
        <f>B1833*(hospitalityq!G1833="")</f>
        <v>0</v>
      </c>
      <c r="H1833">
        <f>B1833*(hospitalityq!H1833="")</f>
        <v>0</v>
      </c>
      <c r="I1833">
        <f>B1833*(hospitalityq!I1833="")</f>
        <v>0</v>
      </c>
      <c r="J1833">
        <f>B1833*(hospitalityq!J1833="")</f>
        <v>0</v>
      </c>
      <c r="K1833">
        <f>B1833*(hospitalityq!K1833="")</f>
        <v>0</v>
      </c>
      <c r="L1833">
        <f>B1833*(hospitalityq!L1833="")</f>
        <v>0</v>
      </c>
      <c r="M1833">
        <f>B1833*(hospitalityq!M1833="")</f>
        <v>0</v>
      </c>
      <c r="N1833">
        <f>B1833*(hospitalityq!N1833="")</f>
        <v>0</v>
      </c>
      <c r="O1833">
        <f>B1833*(hospitalityq!O1833="")</f>
        <v>0</v>
      </c>
      <c r="P1833">
        <f>B1833*(hospitalityq!P1833="")</f>
        <v>0</v>
      </c>
      <c r="Q1833">
        <f>B1833*(hospitalityq!Q1833="")</f>
        <v>0</v>
      </c>
      <c r="R1833">
        <f>B1833*(hospitalityq!R1833="")</f>
        <v>0</v>
      </c>
    </row>
    <row r="1834" spans="1:18" x14ac:dyDescent="0.25">
      <c r="A1834">
        <f t="shared" si="29"/>
        <v>0</v>
      </c>
      <c r="B1834" t="b">
        <f>SUMPRODUCT(LEN(hospitalityq!C1834:R1834))&gt;0</f>
        <v>0</v>
      </c>
      <c r="C1834">
        <f>B1834*(hospitalityq!C1834="")</f>
        <v>0</v>
      </c>
      <c r="E1834">
        <f>B1834*(hospitalityq!E1834="")</f>
        <v>0</v>
      </c>
      <c r="F1834">
        <f>B1834*(hospitalityq!F1834="")</f>
        <v>0</v>
      </c>
      <c r="G1834">
        <f>B1834*(hospitalityq!G1834="")</f>
        <v>0</v>
      </c>
      <c r="H1834">
        <f>B1834*(hospitalityq!H1834="")</f>
        <v>0</v>
      </c>
      <c r="I1834">
        <f>B1834*(hospitalityq!I1834="")</f>
        <v>0</v>
      </c>
      <c r="J1834">
        <f>B1834*(hospitalityq!J1834="")</f>
        <v>0</v>
      </c>
      <c r="K1834">
        <f>B1834*(hospitalityq!K1834="")</f>
        <v>0</v>
      </c>
      <c r="L1834">
        <f>B1834*(hospitalityq!L1834="")</f>
        <v>0</v>
      </c>
      <c r="M1834">
        <f>B1834*(hospitalityq!M1834="")</f>
        <v>0</v>
      </c>
      <c r="N1834">
        <f>B1834*(hospitalityq!N1834="")</f>
        <v>0</v>
      </c>
      <c r="O1834">
        <f>B1834*(hospitalityq!O1834="")</f>
        <v>0</v>
      </c>
      <c r="P1834">
        <f>B1834*(hospitalityq!P1834="")</f>
        <v>0</v>
      </c>
      <c r="Q1834">
        <f>B1834*(hospitalityq!Q1834="")</f>
        <v>0</v>
      </c>
      <c r="R1834">
        <f>B1834*(hospitalityq!R1834="")</f>
        <v>0</v>
      </c>
    </row>
    <row r="1835" spans="1:18" x14ac:dyDescent="0.25">
      <c r="A1835">
        <f t="shared" si="29"/>
        <v>0</v>
      </c>
      <c r="B1835" t="b">
        <f>SUMPRODUCT(LEN(hospitalityq!C1835:R1835))&gt;0</f>
        <v>0</v>
      </c>
      <c r="C1835">
        <f>B1835*(hospitalityq!C1835="")</f>
        <v>0</v>
      </c>
      <c r="E1835">
        <f>B1835*(hospitalityq!E1835="")</f>
        <v>0</v>
      </c>
      <c r="F1835">
        <f>B1835*(hospitalityq!F1835="")</f>
        <v>0</v>
      </c>
      <c r="G1835">
        <f>B1835*(hospitalityq!G1835="")</f>
        <v>0</v>
      </c>
      <c r="H1835">
        <f>B1835*(hospitalityq!H1835="")</f>
        <v>0</v>
      </c>
      <c r="I1835">
        <f>B1835*(hospitalityq!I1835="")</f>
        <v>0</v>
      </c>
      <c r="J1835">
        <f>B1835*(hospitalityq!J1835="")</f>
        <v>0</v>
      </c>
      <c r="K1835">
        <f>B1835*(hospitalityq!K1835="")</f>
        <v>0</v>
      </c>
      <c r="L1835">
        <f>B1835*(hospitalityq!L1835="")</f>
        <v>0</v>
      </c>
      <c r="M1835">
        <f>B1835*(hospitalityq!M1835="")</f>
        <v>0</v>
      </c>
      <c r="N1835">
        <f>B1835*(hospitalityq!N1835="")</f>
        <v>0</v>
      </c>
      <c r="O1835">
        <f>B1835*(hospitalityq!O1835="")</f>
        <v>0</v>
      </c>
      <c r="P1835">
        <f>B1835*(hospitalityq!P1835="")</f>
        <v>0</v>
      </c>
      <c r="Q1835">
        <f>B1835*(hospitalityq!Q1835="")</f>
        <v>0</v>
      </c>
      <c r="R1835">
        <f>B1835*(hospitalityq!R1835="")</f>
        <v>0</v>
      </c>
    </row>
    <row r="1836" spans="1:18" x14ac:dyDescent="0.25">
      <c r="A1836">
        <f t="shared" si="29"/>
        <v>0</v>
      </c>
      <c r="B1836" t="b">
        <f>SUMPRODUCT(LEN(hospitalityq!C1836:R1836))&gt;0</f>
        <v>0</v>
      </c>
      <c r="C1836">
        <f>B1836*(hospitalityq!C1836="")</f>
        <v>0</v>
      </c>
      <c r="E1836">
        <f>B1836*(hospitalityq!E1836="")</f>
        <v>0</v>
      </c>
      <c r="F1836">
        <f>B1836*(hospitalityq!F1836="")</f>
        <v>0</v>
      </c>
      <c r="G1836">
        <f>B1836*(hospitalityq!G1836="")</f>
        <v>0</v>
      </c>
      <c r="H1836">
        <f>B1836*(hospitalityq!H1836="")</f>
        <v>0</v>
      </c>
      <c r="I1836">
        <f>B1836*(hospitalityq!I1836="")</f>
        <v>0</v>
      </c>
      <c r="J1836">
        <f>B1836*(hospitalityq!J1836="")</f>
        <v>0</v>
      </c>
      <c r="K1836">
        <f>B1836*(hospitalityq!K1836="")</f>
        <v>0</v>
      </c>
      <c r="L1836">
        <f>B1836*(hospitalityq!L1836="")</f>
        <v>0</v>
      </c>
      <c r="M1836">
        <f>B1836*(hospitalityq!M1836="")</f>
        <v>0</v>
      </c>
      <c r="N1836">
        <f>B1836*(hospitalityq!N1836="")</f>
        <v>0</v>
      </c>
      <c r="O1836">
        <f>B1836*(hospitalityq!O1836="")</f>
        <v>0</v>
      </c>
      <c r="P1836">
        <f>B1836*(hospitalityq!P1836="")</f>
        <v>0</v>
      </c>
      <c r="Q1836">
        <f>B1836*(hospitalityq!Q1836="")</f>
        <v>0</v>
      </c>
      <c r="R1836">
        <f>B1836*(hospitalityq!R1836="")</f>
        <v>0</v>
      </c>
    </row>
    <row r="1837" spans="1:18" x14ac:dyDescent="0.25">
      <c r="A1837">
        <f t="shared" si="29"/>
        <v>0</v>
      </c>
      <c r="B1837" t="b">
        <f>SUMPRODUCT(LEN(hospitalityq!C1837:R1837))&gt;0</f>
        <v>0</v>
      </c>
      <c r="C1837">
        <f>B1837*(hospitalityq!C1837="")</f>
        <v>0</v>
      </c>
      <c r="E1837">
        <f>B1837*(hospitalityq!E1837="")</f>
        <v>0</v>
      </c>
      <c r="F1837">
        <f>B1837*(hospitalityq!F1837="")</f>
        <v>0</v>
      </c>
      <c r="G1837">
        <f>B1837*(hospitalityq!G1837="")</f>
        <v>0</v>
      </c>
      <c r="H1837">
        <f>B1837*(hospitalityq!H1837="")</f>
        <v>0</v>
      </c>
      <c r="I1837">
        <f>B1837*(hospitalityq!I1837="")</f>
        <v>0</v>
      </c>
      <c r="J1837">
        <f>B1837*(hospitalityq!J1837="")</f>
        <v>0</v>
      </c>
      <c r="K1837">
        <f>B1837*(hospitalityq!K1837="")</f>
        <v>0</v>
      </c>
      <c r="L1837">
        <f>B1837*(hospitalityq!L1837="")</f>
        <v>0</v>
      </c>
      <c r="M1837">
        <f>B1837*(hospitalityq!M1837="")</f>
        <v>0</v>
      </c>
      <c r="N1837">
        <f>B1837*(hospitalityq!N1837="")</f>
        <v>0</v>
      </c>
      <c r="O1837">
        <f>B1837*(hospitalityq!O1837="")</f>
        <v>0</v>
      </c>
      <c r="P1837">
        <f>B1837*(hospitalityq!P1837="")</f>
        <v>0</v>
      </c>
      <c r="Q1837">
        <f>B1837*(hospitalityq!Q1837="")</f>
        <v>0</v>
      </c>
      <c r="R1837">
        <f>B1837*(hospitalityq!R1837="")</f>
        <v>0</v>
      </c>
    </row>
    <row r="1838" spans="1:18" x14ac:dyDescent="0.25">
      <c r="A1838">
        <f t="shared" si="29"/>
        <v>0</v>
      </c>
      <c r="B1838" t="b">
        <f>SUMPRODUCT(LEN(hospitalityq!C1838:R1838))&gt;0</f>
        <v>0</v>
      </c>
      <c r="C1838">
        <f>B1838*(hospitalityq!C1838="")</f>
        <v>0</v>
      </c>
      <c r="E1838">
        <f>B1838*(hospitalityq!E1838="")</f>
        <v>0</v>
      </c>
      <c r="F1838">
        <f>B1838*(hospitalityq!F1838="")</f>
        <v>0</v>
      </c>
      <c r="G1838">
        <f>B1838*(hospitalityq!G1838="")</f>
        <v>0</v>
      </c>
      <c r="H1838">
        <f>B1838*(hospitalityq!H1838="")</f>
        <v>0</v>
      </c>
      <c r="I1838">
        <f>B1838*(hospitalityq!I1838="")</f>
        <v>0</v>
      </c>
      <c r="J1838">
        <f>B1838*(hospitalityq!J1838="")</f>
        <v>0</v>
      </c>
      <c r="K1838">
        <f>B1838*(hospitalityq!K1838="")</f>
        <v>0</v>
      </c>
      <c r="L1838">
        <f>B1838*(hospitalityq!L1838="")</f>
        <v>0</v>
      </c>
      <c r="M1838">
        <f>B1838*(hospitalityq!M1838="")</f>
        <v>0</v>
      </c>
      <c r="N1838">
        <f>B1838*(hospitalityq!N1838="")</f>
        <v>0</v>
      </c>
      <c r="O1838">
        <f>B1838*(hospitalityq!O1838="")</f>
        <v>0</v>
      </c>
      <c r="P1838">
        <f>B1838*(hospitalityq!P1838="")</f>
        <v>0</v>
      </c>
      <c r="Q1838">
        <f>B1838*(hospitalityq!Q1838="")</f>
        <v>0</v>
      </c>
      <c r="R1838">
        <f>B1838*(hospitalityq!R1838="")</f>
        <v>0</v>
      </c>
    </row>
    <row r="1839" spans="1:18" x14ac:dyDescent="0.25">
      <c r="A1839">
        <f t="shared" si="29"/>
        <v>0</v>
      </c>
      <c r="B1839" t="b">
        <f>SUMPRODUCT(LEN(hospitalityq!C1839:R1839))&gt;0</f>
        <v>0</v>
      </c>
      <c r="C1839">
        <f>B1839*(hospitalityq!C1839="")</f>
        <v>0</v>
      </c>
      <c r="E1839">
        <f>B1839*(hospitalityq!E1839="")</f>
        <v>0</v>
      </c>
      <c r="F1839">
        <f>B1839*(hospitalityq!F1839="")</f>
        <v>0</v>
      </c>
      <c r="G1839">
        <f>B1839*(hospitalityq!G1839="")</f>
        <v>0</v>
      </c>
      <c r="H1839">
        <f>B1839*(hospitalityq!H1839="")</f>
        <v>0</v>
      </c>
      <c r="I1839">
        <f>B1839*(hospitalityq!I1839="")</f>
        <v>0</v>
      </c>
      <c r="J1839">
        <f>B1839*(hospitalityq!J1839="")</f>
        <v>0</v>
      </c>
      <c r="K1839">
        <f>B1839*(hospitalityq!K1839="")</f>
        <v>0</v>
      </c>
      <c r="L1839">
        <f>B1839*(hospitalityq!L1839="")</f>
        <v>0</v>
      </c>
      <c r="M1839">
        <f>B1839*(hospitalityq!M1839="")</f>
        <v>0</v>
      </c>
      <c r="N1839">
        <f>B1839*(hospitalityq!N1839="")</f>
        <v>0</v>
      </c>
      <c r="O1839">
        <f>B1839*(hospitalityq!O1839="")</f>
        <v>0</v>
      </c>
      <c r="P1839">
        <f>B1839*(hospitalityq!P1839="")</f>
        <v>0</v>
      </c>
      <c r="Q1839">
        <f>B1839*(hospitalityq!Q1839="")</f>
        <v>0</v>
      </c>
      <c r="R1839">
        <f>B1839*(hospitalityq!R1839="")</f>
        <v>0</v>
      </c>
    </row>
    <row r="1840" spans="1:18" x14ac:dyDescent="0.25">
      <c r="A1840">
        <f t="shared" si="29"/>
        <v>0</v>
      </c>
      <c r="B1840" t="b">
        <f>SUMPRODUCT(LEN(hospitalityq!C1840:R1840))&gt;0</f>
        <v>0</v>
      </c>
      <c r="C1840">
        <f>B1840*(hospitalityq!C1840="")</f>
        <v>0</v>
      </c>
      <c r="E1840">
        <f>B1840*(hospitalityq!E1840="")</f>
        <v>0</v>
      </c>
      <c r="F1840">
        <f>B1840*(hospitalityq!F1840="")</f>
        <v>0</v>
      </c>
      <c r="G1840">
        <f>B1840*(hospitalityq!G1840="")</f>
        <v>0</v>
      </c>
      <c r="H1840">
        <f>B1840*(hospitalityq!H1840="")</f>
        <v>0</v>
      </c>
      <c r="I1840">
        <f>B1840*(hospitalityq!I1840="")</f>
        <v>0</v>
      </c>
      <c r="J1840">
        <f>B1840*(hospitalityq!J1840="")</f>
        <v>0</v>
      </c>
      <c r="K1840">
        <f>B1840*(hospitalityq!K1840="")</f>
        <v>0</v>
      </c>
      <c r="L1840">
        <f>B1840*(hospitalityq!L1840="")</f>
        <v>0</v>
      </c>
      <c r="M1840">
        <f>B1840*(hospitalityq!M1840="")</f>
        <v>0</v>
      </c>
      <c r="N1840">
        <f>B1840*(hospitalityq!N1840="")</f>
        <v>0</v>
      </c>
      <c r="O1840">
        <f>B1840*(hospitalityq!O1840="")</f>
        <v>0</v>
      </c>
      <c r="P1840">
        <f>B1840*(hospitalityq!P1840="")</f>
        <v>0</v>
      </c>
      <c r="Q1840">
        <f>B1840*(hospitalityq!Q1840="")</f>
        <v>0</v>
      </c>
      <c r="R1840">
        <f>B1840*(hospitalityq!R1840="")</f>
        <v>0</v>
      </c>
    </row>
    <row r="1841" spans="1:18" x14ac:dyDescent="0.25">
      <c r="A1841">
        <f t="shared" si="29"/>
        <v>0</v>
      </c>
      <c r="B1841" t="b">
        <f>SUMPRODUCT(LEN(hospitalityq!C1841:R1841))&gt;0</f>
        <v>0</v>
      </c>
      <c r="C1841">
        <f>B1841*(hospitalityq!C1841="")</f>
        <v>0</v>
      </c>
      <c r="E1841">
        <f>B1841*(hospitalityq!E1841="")</f>
        <v>0</v>
      </c>
      <c r="F1841">
        <f>B1841*(hospitalityq!F1841="")</f>
        <v>0</v>
      </c>
      <c r="G1841">
        <f>B1841*(hospitalityq!G1841="")</f>
        <v>0</v>
      </c>
      <c r="H1841">
        <f>B1841*(hospitalityq!H1841="")</f>
        <v>0</v>
      </c>
      <c r="I1841">
        <f>B1841*(hospitalityq!I1841="")</f>
        <v>0</v>
      </c>
      <c r="J1841">
        <f>B1841*(hospitalityq!J1841="")</f>
        <v>0</v>
      </c>
      <c r="K1841">
        <f>B1841*(hospitalityq!K1841="")</f>
        <v>0</v>
      </c>
      <c r="L1841">
        <f>B1841*(hospitalityq!L1841="")</f>
        <v>0</v>
      </c>
      <c r="M1841">
        <f>B1841*(hospitalityq!M1841="")</f>
        <v>0</v>
      </c>
      <c r="N1841">
        <f>B1841*(hospitalityq!N1841="")</f>
        <v>0</v>
      </c>
      <c r="O1841">
        <f>B1841*(hospitalityq!O1841="")</f>
        <v>0</v>
      </c>
      <c r="P1841">
        <f>B1841*(hospitalityq!P1841="")</f>
        <v>0</v>
      </c>
      <c r="Q1841">
        <f>B1841*(hospitalityq!Q1841="")</f>
        <v>0</v>
      </c>
      <c r="R1841">
        <f>B1841*(hospitalityq!R1841="")</f>
        <v>0</v>
      </c>
    </row>
    <row r="1842" spans="1:18" x14ac:dyDescent="0.25">
      <c r="A1842">
        <f t="shared" si="29"/>
        <v>0</v>
      </c>
      <c r="B1842" t="b">
        <f>SUMPRODUCT(LEN(hospitalityq!C1842:R1842))&gt;0</f>
        <v>0</v>
      </c>
      <c r="C1842">
        <f>B1842*(hospitalityq!C1842="")</f>
        <v>0</v>
      </c>
      <c r="E1842">
        <f>B1842*(hospitalityq!E1842="")</f>
        <v>0</v>
      </c>
      <c r="F1842">
        <f>B1842*(hospitalityq!F1842="")</f>
        <v>0</v>
      </c>
      <c r="G1842">
        <f>B1842*(hospitalityq!G1842="")</f>
        <v>0</v>
      </c>
      <c r="H1842">
        <f>B1842*(hospitalityq!H1842="")</f>
        <v>0</v>
      </c>
      <c r="I1842">
        <f>B1842*(hospitalityq!I1842="")</f>
        <v>0</v>
      </c>
      <c r="J1842">
        <f>B1842*(hospitalityq!J1842="")</f>
        <v>0</v>
      </c>
      <c r="K1842">
        <f>B1842*(hospitalityq!K1842="")</f>
        <v>0</v>
      </c>
      <c r="L1842">
        <f>B1842*(hospitalityq!L1842="")</f>
        <v>0</v>
      </c>
      <c r="M1842">
        <f>B1842*(hospitalityq!M1842="")</f>
        <v>0</v>
      </c>
      <c r="N1842">
        <f>B1842*(hospitalityq!N1842="")</f>
        <v>0</v>
      </c>
      <c r="O1842">
        <f>B1842*(hospitalityq!O1842="")</f>
        <v>0</v>
      </c>
      <c r="P1842">
        <f>B1842*(hospitalityq!P1842="")</f>
        <v>0</v>
      </c>
      <c r="Q1842">
        <f>B1842*(hospitalityq!Q1842="")</f>
        <v>0</v>
      </c>
      <c r="R1842">
        <f>B1842*(hospitalityq!R1842="")</f>
        <v>0</v>
      </c>
    </row>
    <row r="1843" spans="1:18" x14ac:dyDescent="0.25">
      <c r="A1843">
        <f t="shared" si="29"/>
        <v>0</v>
      </c>
      <c r="B1843" t="b">
        <f>SUMPRODUCT(LEN(hospitalityq!C1843:R1843))&gt;0</f>
        <v>0</v>
      </c>
      <c r="C1843">
        <f>B1843*(hospitalityq!C1843="")</f>
        <v>0</v>
      </c>
      <c r="E1843">
        <f>B1843*(hospitalityq!E1843="")</f>
        <v>0</v>
      </c>
      <c r="F1843">
        <f>B1843*(hospitalityq!F1843="")</f>
        <v>0</v>
      </c>
      <c r="G1843">
        <f>B1843*(hospitalityq!G1843="")</f>
        <v>0</v>
      </c>
      <c r="H1843">
        <f>B1843*(hospitalityq!H1843="")</f>
        <v>0</v>
      </c>
      <c r="I1843">
        <f>B1843*(hospitalityq!I1843="")</f>
        <v>0</v>
      </c>
      <c r="J1843">
        <f>B1843*(hospitalityq!J1843="")</f>
        <v>0</v>
      </c>
      <c r="K1843">
        <f>B1843*(hospitalityq!K1843="")</f>
        <v>0</v>
      </c>
      <c r="L1843">
        <f>B1843*(hospitalityq!L1843="")</f>
        <v>0</v>
      </c>
      <c r="M1843">
        <f>B1843*(hospitalityq!M1843="")</f>
        <v>0</v>
      </c>
      <c r="N1843">
        <f>B1843*(hospitalityq!N1843="")</f>
        <v>0</v>
      </c>
      <c r="O1843">
        <f>B1843*(hospitalityq!O1843="")</f>
        <v>0</v>
      </c>
      <c r="P1843">
        <f>B1843*(hospitalityq!P1843="")</f>
        <v>0</v>
      </c>
      <c r="Q1843">
        <f>B1843*(hospitalityq!Q1843="")</f>
        <v>0</v>
      </c>
      <c r="R1843">
        <f>B1843*(hospitalityq!R1843="")</f>
        <v>0</v>
      </c>
    </row>
    <row r="1844" spans="1:18" x14ac:dyDescent="0.25">
      <c r="A1844">
        <f t="shared" si="29"/>
        <v>0</v>
      </c>
      <c r="B1844" t="b">
        <f>SUMPRODUCT(LEN(hospitalityq!C1844:R1844))&gt;0</f>
        <v>0</v>
      </c>
      <c r="C1844">
        <f>B1844*(hospitalityq!C1844="")</f>
        <v>0</v>
      </c>
      <c r="E1844">
        <f>B1844*(hospitalityq!E1844="")</f>
        <v>0</v>
      </c>
      <c r="F1844">
        <f>B1844*(hospitalityq!F1844="")</f>
        <v>0</v>
      </c>
      <c r="G1844">
        <f>B1844*(hospitalityq!G1844="")</f>
        <v>0</v>
      </c>
      <c r="H1844">
        <f>B1844*(hospitalityq!H1844="")</f>
        <v>0</v>
      </c>
      <c r="I1844">
        <f>B1844*(hospitalityq!I1844="")</f>
        <v>0</v>
      </c>
      <c r="J1844">
        <f>B1844*(hospitalityq!J1844="")</f>
        <v>0</v>
      </c>
      <c r="K1844">
        <f>B1844*(hospitalityq!K1844="")</f>
        <v>0</v>
      </c>
      <c r="L1844">
        <f>B1844*(hospitalityq!L1844="")</f>
        <v>0</v>
      </c>
      <c r="M1844">
        <f>B1844*(hospitalityq!M1844="")</f>
        <v>0</v>
      </c>
      <c r="N1844">
        <f>B1844*(hospitalityq!N1844="")</f>
        <v>0</v>
      </c>
      <c r="O1844">
        <f>B1844*(hospitalityq!O1844="")</f>
        <v>0</v>
      </c>
      <c r="P1844">
        <f>B1844*(hospitalityq!P1844="")</f>
        <v>0</v>
      </c>
      <c r="Q1844">
        <f>B1844*(hospitalityq!Q1844="")</f>
        <v>0</v>
      </c>
      <c r="R1844">
        <f>B1844*(hospitalityq!R1844="")</f>
        <v>0</v>
      </c>
    </row>
    <row r="1845" spans="1:18" x14ac:dyDescent="0.25">
      <c r="A1845">
        <f t="shared" si="29"/>
        <v>0</v>
      </c>
      <c r="B1845" t="b">
        <f>SUMPRODUCT(LEN(hospitalityq!C1845:R1845))&gt;0</f>
        <v>0</v>
      </c>
      <c r="C1845">
        <f>B1845*(hospitalityq!C1845="")</f>
        <v>0</v>
      </c>
      <c r="E1845">
        <f>B1845*(hospitalityq!E1845="")</f>
        <v>0</v>
      </c>
      <c r="F1845">
        <f>B1845*(hospitalityq!F1845="")</f>
        <v>0</v>
      </c>
      <c r="G1845">
        <f>B1845*(hospitalityq!G1845="")</f>
        <v>0</v>
      </c>
      <c r="H1845">
        <f>B1845*(hospitalityq!H1845="")</f>
        <v>0</v>
      </c>
      <c r="I1845">
        <f>B1845*(hospitalityq!I1845="")</f>
        <v>0</v>
      </c>
      <c r="J1845">
        <f>B1845*(hospitalityq!J1845="")</f>
        <v>0</v>
      </c>
      <c r="K1845">
        <f>B1845*(hospitalityq!K1845="")</f>
        <v>0</v>
      </c>
      <c r="L1845">
        <f>B1845*(hospitalityq!L1845="")</f>
        <v>0</v>
      </c>
      <c r="M1845">
        <f>B1845*(hospitalityq!M1845="")</f>
        <v>0</v>
      </c>
      <c r="N1845">
        <f>B1845*(hospitalityq!N1845="")</f>
        <v>0</v>
      </c>
      <c r="O1845">
        <f>B1845*(hospitalityq!O1845="")</f>
        <v>0</v>
      </c>
      <c r="P1845">
        <f>B1845*(hospitalityq!P1845="")</f>
        <v>0</v>
      </c>
      <c r="Q1845">
        <f>B1845*(hospitalityq!Q1845="")</f>
        <v>0</v>
      </c>
      <c r="R1845">
        <f>B1845*(hospitalityq!R1845="")</f>
        <v>0</v>
      </c>
    </row>
    <row r="1846" spans="1:18" x14ac:dyDescent="0.25">
      <c r="A1846">
        <f t="shared" si="29"/>
        <v>0</v>
      </c>
      <c r="B1846" t="b">
        <f>SUMPRODUCT(LEN(hospitalityq!C1846:R1846))&gt;0</f>
        <v>0</v>
      </c>
      <c r="C1846">
        <f>B1846*(hospitalityq!C1846="")</f>
        <v>0</v>
      </c>
      <c r="E1846">
        <f>B1846*(hospitalityq!E1846="")</f>
        <v>0</v>
      </c>
      <c r="F1846">
        <f>B1846*(hospitalityq!F1846="")</f>
        <v>0</v>
      </c>
      <c r="G1846">
        <f>B1846*(hospitalityq!G1846="")</f>
        <v>0</v>
      </c>
      <c r="H1846">
        <f>B1846*(hospitalityq!H1846="")</f>
        <v>0</v>
      </c>
      <c r="I1846">
        <f>B1846*(hospitalityq!I1846="")</f>
        <v>0</v>
      </c>
      <c r="J1846">
        <f>B1846*(hospitalityq!J1846="")</f>
        <v>0</v>
      </c>
      <c r="K1846">
        <f>B1846*(hospitalityq!K1846="")</f>
        <v>0</v>
      </c>
      <c r="L1846">
        <f>B1846*(hospitalityq!L1846="")</f>
        <v>0</v>
      </c>
      <c r="M1846">
        <f>B1846*(hospitalityq!M1846="")</f>
        <v>0</v>
      </c>
      <c r="N1846">
        <f>B1846*(hospitalityq!N1846="")</f>
        <v>0</v>
      </c>
      <c r="O1846">
        <f>B1846*(hospitalityq!O1846="")</f>
        <v>0</v>
      </c>
      <c r="P1846">
        <f>B1846*(hospitalityq!P1846="")</f>
        <v>0</v>
      </c>
      <c r="Q1846">
        <f>B1846*(hospitalityq!Q1846="")</f>
        <v>0</v>
      </c>
      <c r="R1846">
        <f>B1846*(hospitalityq!R1846="")</f>
        <v>0</v>
      </c>
    </row>
    <row r="1847" spans="1:18" x14ac:dyDescent="0.25">
      <c r="A1847">
        <f t="shared" si="29"/>
        <v>0</v>
      </c>
      <c r="B1847" t="b">
        <f>SUMPRODUCT(LEN(hospitalityq!C1847:R1847))&gt;0</f>
        <v>0</v>
      </c>
      <c r="C1847">
        <f>B1847*(hospitalityq!C1847="")</f>
        <v>0</v>
      </c>
      <c r="E1847">
        <f>B1847*(hospitalityq!E1847="")</f>
        <v>0</v>
      </c>
      <c r="F1847">
        <f>B1847*(hospitalityq!F1847="")</f>
        <v>0</v>
      </c>
      <c r="G1847">
        <f>B1847*(hospitalityq!G1847="")</f>
        <v>0</v>
      </c>
      <c r="H1847">
        <f>B1847*(hospitalityq!H1847="")</f>
        <v>0</v>
      </c>
      <c r="I1847">
        <f>B1847*(hospitalityq!I1847="")</f>
        <v>0</v>
      </c>
      <c r="J1847">
        <f>B1847*(hospitalityq!J1847="")</f>
        <v>0</v>
      </c>
      <c r="K1847">
        <f>B1847*(hospitalityq!K1847="")</f>
        <v>0</v>
      </c>
      <c r="L1847">
        <f>B1847*(hospitalityq!L1847="")</f>
        <v>0</v>
      </c>
      <c r="M1847">
        <f>B1847*(hospitalityq!M1847="")</f>
        <v>0</v>
      </c>
      <c r="N1847">
        <f>B1847*(hospitalityq!N1847="")</f>
        <v>0</v>
      </c>
      <c r="O1847">
        <f>B1847*(hospitalityq!O1847="")</f>
        <v>0</v>
      </c>
      <c r="P1847">
        <f>B1847*(hospitalityq!P1847="")</f>
        <v>0</v>
      </c>
      <c r="Q1847">
        <f>B1847*(hospitalityq!Q1847="")</f>
        <v>0</v>
      </c>
      <c r="R1847">
        <f>B1847*(hospitalityq!R1847="")</f>
        <v>0</v>
      </c>
    </row>
    <row r="1848" spans="1:18" x14ac:dyDescent="0.25">
      <c r="A1848">
        <f t="shared" si="29"/>
        <v>0</v>
      </c>
      <c r="B1848" t="b">
        <f>SUMPRODUCT(LEN(hospitalityq!C1848:R1848))&gt;0</f>
        <v>0</v>
      </c>
      <c r="C1848">
        <f>B1848*(hospitalityq!C1848="")</f>
        <v>0</v>
      </c>
      <c r="E1848">
        <f>B1848*(hospitalityq!E1848="")</f>
        <v>0</v>
      </c>
      <c r="F1848">
        <f>B1848*(hospitalityq!F1848="")</f>
        <v>0</v>
      </c>
      <c r="G1848">
        <f>B1848*(hospitalityq!G1848="")</f>
        <v>0</v>
      </c>
      <c r="H1848">
        <f>B1848*(hospitalityq!H1848="")</f>
        <v>0</v>
      </c>
      <c r="I1848">
        <f>B1848*(hospitalityq!I1848="")</f>
        <v>0</v>
      </c>
      <c r="J1848">
        <f>B1848*(hospitalityq!J1848="")</f>
        <v>0</v>
      </c>
      <c r="K1848">
        <f>B1848*(hospitalityq!K1848="")</f>
        <v>0</v>
      </c>
      <c r="L1848">
        <f>B1848*(hospitalityq!L1848="")</f>
        <v>0</v>
      </c>
      <c r="M1848">
        <f>B1848*(hospitalityq!M1848="")</f>
        <v>0</v>
      </c>
      <c r="N1848">
        <f>B1848*(hospitalityq!N1848="")</f>
        <v>0</v>
      </c>
      <c r="O1848">
        <f>B1848*(hospitalityq!O1848="")</f>
        <v>0</v>
      </c>
      <c r="P1848">
        <f>B1848*(hospitalityq!P1848="")</f>
        <v>0</v>
      </c>
      <c r="Q1848">
        <f>B1848*(hospitalityq!Q1848="")</f>
        <v>0</v>
      </c>
      <c r="R1848">
        <f>B1848*(hospitalityq!R1848="")</f>
        <v>0</v>
      </c>
    </row>
    <row r="1849" spans="1:18" x14ac:dyDescent="0.25">
      <c r="A1849">
        <f t="shared" si="29"/>
        <v>0</v>
      </c>
      <c r="B1849" t="b">
        <f>SUMPRODUCT(LEN(hospitalityq!C1849:R1849))&gt;0</f>
        <v>0</v>
      </c>
      <c r="C1849">
        <f>B1849*(hospitalityq!C1849="")</f>
        <v>0</v>
      </c>
      <c r="E1849">
        <f>B1849*(hospitalityq!E1849="")</f>
        <v>0</v>
      </c>
      <c r="F1849">
        <f>B1849*(hospitalityq!F1849="")</f>
        <v>0</v>
      </c>
      <c r="G1849">
        <f>B1849*(hospitalityq!G1849="")</f>
        <v>0</v>
      </c>
      <c r="H1849">
        <f>B1849*(hospitalityq!H1849="")</f>
        <v>0</v>
      </c>
      <c r="I1849">
        <f>B1849*(hospitalityq!I1849="")</f>
        <v>0</v>
      </c>
      <c r="J1849">
        <f>B1849*(hospitalityq!J1849="")</f>
        <v>0</v>
      </c>
      <c r="K1849">
        <f>B1849*(hospitalityq!K1849="")</f>
        <v>0</v>
      </c>
      <c r="L1849">
        <f>B1849*(hospitalityq!L1849="")</f>
        <v>0</v>
      </c>
      <c r="M1849">
        <f>B1849*(hospitalityq!M1849="")</f>
        <v>0</v>
      </c>
      <c r="N1849">
        <f>B1849*(hospitalityq!N1849="")</f>
        <v>0</v>
      </c>
      <c r="O1849">
        <f>B1849*(hospitalityq!O1849="")</f>
        <v>0</v>
      </c>
      <c r="P1849">
        <f>B1849*(hospitalityq!P1849="")</f>
        <v>0</v>
      </c>
      <c r="Q1849">
        <f>B1849*(hospitalityq!Q1849="")</f>
        <v>0</v>
      </c>
      <c r="R1849">
        <f>B1849*(hospitalityq!R1849="")</f>
        <v>0</v>
      </c>
    </row>
    <row r="1850" spans="1:18" x14ac:dyDescent="0.25">
      <c r="A1850">
        <f t="shared" si="29"/>
        <v>0</v>
      </c>
      <c r="B1850" t="b">
        <f>SUMPRODUCT(LEN(hospitalityq!C1850:R1850))&gt;0</f>
        <v>0</v>
      </c>
      <c r="C1850">
        <f>B1850*(hospitalityq!C1850="")</f>
        <v>0</v>
      </c>
      <c r="E1850">
        <f>B1850*(hospitalityq!E1850="")</f>
        <v>0</v>
      </c>
      <c r="F1850">
        <f>B1850*(hospitalityq!F1850="")</f>
        <v>0</v>
      </c>
      <c r="G1850">
        <f>B1850*(hospitalityq!G1850="")</f>
        <v>0</v>
      </c>
      <c r="H1850">
        <f>B1850*(hospitalityq!H1850="")</f>
        <v>0</v>
      </c>
      <c r="I1850">
        <f>B1850*(hospitalityq!I1850="")</f>
        <v>0</v>
      </c>
      <c r="J1850">
        <f>B1850*(hospitalityq!J1850="")</f>
        <v>0</v>
      </c>
      <c r="K1850">
        <f>B1850*(hospitalityq!K1850="")</f>
        <v>0</v>
      </c>
      <c r="L1850">
        <f>B1850*(hospitalityq!L1850="")</f>
        <v>0</v>
      </c>
      <c r="M1850">
        <f>B1850*(hospitalityq!M1850="")</f>
        <v>0</v>
      </c>
      <c r="N1850">
        <f>B1850*(hospitalityq!N1850="")</f>
        <v>0</v>
      </c>
      <c r="O1850">
        <f>B1850*(hospitalityq!O1850="")</f>
        <v>0</v>
      </c>
      <c r="P1850">
        <f>B1850*(hospitalityq!P1850="")</f>
        <v>0</v>
      </c>
      <c r="Q1850">
        <f>B1850*(hospitalityq!Q1850="")</f>
        <v>0</v>
      </c>
      <c r="R1850">
        <f>B1850*(hospitalityq!R1850="")</f>
        <v>0</v>
      </c>
    </row>
    <row r="1851" spans="1:18" x14ac:dyDescent="0.25">
      <c r="A1851">
        <f t="shared" si="29"/>
        <v>0</v>
      </c>
      <c r="B1851" t="b">
        <f>SUMPRODUCT(LEN(hospitalityq!C1851:R1851))&gt;0</f>
        <v>0</v>
      </c>
      <c r="C1851">
        <f>B1851*(hospitalityq!C1851="")</f>
        <v>0</v>
      </c>
      <c r="E1851">
        <f>B1851*(hospitalityq!E1851="")</f>
        <v>0</v>
      </c>
      <c r="F1851">
        <f>B1851*(hospitalityq!F1851="")</f>
        <v>0</v>
      </c>
      <c r="G1851">
        <f>B1851*(hospitalityq!G1851="")</f>
        <v>0</v>
      </c>
      <c r="H1851">
        <f>B1851*(hospitalityq!H1851="")</f>
        <v>0</v>
      </c>
      <c r="I1851">
        <f>B1851*(hospitalityq!I1851="")</f>
        <v>0</v>
      </c>
      <c r="J1851">
        <f>B1851*(hospitalityq!J1851="")</f>
        <v>0</v>
      </c>
      <c r="K1851">
        <f>B1851*(hospitalityq!K1851="")</f>
        <v>0</v>
      </c>
      <c r="L1851">
        <f>B1851*(hospitalityq!L1851="")</f>
        <v>0</v>
      </c>
      <c r="M1851">
        <f>B1851*(hospitalityq!M1851="")</f>
        <v>0</v>
      </c>
      <c r="N1851">
        <f>B1851*(hospitalityq!N1851="")</f>
        <v>0</v>
      </c>
      <c r="O1851">
        <f>B1851*(hospitalityq!O1851="")</f>
        <v>0</v>
      </c>
      <c r="P1851">
        <f>B1851*(hospitalityq!P1851="")</f>
        <v>0</v>
      </c>
      <c r="Q1851">
        <f>B1851*(hospitalityq!Q1851="")</f>
        <v>0</v>
      </c>
      <c r="R1851">
        <f>B1851*(hospitalityq!R1851="")</f>
        <v>0</v>
      </c>
    </row>
    <row r="1852" spans="1:18" x14ac:dyDescent="0.25">
      <c r="A1852">
        <f t="shared" si="29"/>
        <v>0</v>
      </c>
      <c r="B1852" t="b">
        <f>SUMPRODUCT(LEN(hospitalityq!C1852:R1852))&gt;0</f>
        <v>0</v>
      </c>
      <c r="C1852">
        <f>B1852*(hospitalityq!C1852="")</f>
        <v>0</v>
      </c>
      <c r="E1852">
        <f>B1852*(hospitalityq!E1852="")</f>
        <v>0</v>
      </c>
      <c r="F1852">
        <f>B1852*(hospitalityq!F1852="")</f>
        <v>0</v>
      </c>
      <c r="G1852">
        <f>B1852*(hospitalityq!G1852="")</f>
        <v>0</v>
      </c>
      <c r="H1852">
        <f>B1852*(hospitalityq!H1852="")</f>
        <v>0</v>
      </c>
      <c r="I1852">
        <f>B1852*(hospitalityq!I1852="")</f>
        <v>0</v>
      </c>
      <c r="J1852">
        <f>B1852*(hospitalityq!J1852="")</f>
        <v>0</v>
      </c>
      <c r="K1852">
        <f>B1852*(hospitalityq!K1852="")</f>
        <v>0</v>
      </c>
      <c r="L1852">
        <f>B1852*(hospitalityq!L1852="")</f>
        <v>0</v>
      </c>
      <c r="M1852">
        <f>B1852*(hospitalityq!M1852="")</f>
        <v>0</v>
      </c>
      <c r="N1852">
        <f>B1852*(hospitalityq!N1852="")</f>
        <v>0</v>
      </c>
      <c r="O1852">
        <f>B1852*(hospitalityq!O1852="")</f>
        <v>0</v>
      </c>
      <c r="P1852">
        <f>B1852*(hospitalityq!P1852="")</f>
        <v>0</v>
      </c>
      <c r="Q1852">
        <f>B1852*(hospitalityq!Q1852="")</f>
        <v>0</v>
      </c>
      <c r="R1852">
        <f>B1852*(hospitalityq!R1852="")</f>
        <v>0</v>
      </c>
    </row>
    <row r="1853" spans="1:18" x14ac:dyDescent="0.25">
      <c r="A1853">
        <f t="shared" si="29"/>
        <v>0</v>
      </c>
      <c r="B1853" t="b">
        <f>SUMPRODUCT(LEN(hospitalityq!C1853:R1853))&gt;0</f>
        <v>0</v>
      </c>
      <c r="C1853">
        <f>B1853*(hospitalityq!C1853="")</f>
        <v>0</v>
      </c>
      <c r="E1853">
        <f>B1853*(hospitalityq!E1853="")</f>
        <v>0</v>
      </c>
      <c r="F1853">
        <f>B1853*(hospitalityq!F1853="")</f>
        <v>0</v>
      </c>
      <c r="G1853">
        <f>B1853*(hospitalityq!G1853="")</f>
        <v>0</v>
      </c>
      <c r="H1853">
        <f>B1853*(hospitalityq!H1853="")</f>
        <v>0</v>
      </c>
      <c r="I1853">
        <f>B1853*(hospitalityq!I1853="")</f>
        <v>0</v>
      </c>
      <c r="J1853">
        <f>B1853*(hospitalityq!J1853="")</f>
        <v>0</v>
      </c>
      <c r="K1853">
        <f>B1853*(hospitalityq!K1853="")</f>
        <v>0</v>
      </c>
      <c r="L1853">
        <f>B1853*(hospitalityq!L1853="")</f>
        <v>0</v>
      </c>
      <c r="M1853">
        <f>B1853*(hospitalityq!M1853="")</f>
        <v>0</v>
      </c>
      <c r="N1853">
        <f>B1853*(hospitalityq!N1853="")</f>
        <v>0</v>
      </c>
      <c r="O1853">
        <f>B1853*(hospitalityq!O1853="")</f>
        <v>0</v>
      </c>
      <c r="P1853">
        <f>B1853*(hospitalityq!P1853="")</f>
        <v>0</v>
      </c>
      <c r="Q1853">
        <f>B1853*(hospitalityq!Q1853="")</f>
        <v>0</v>
      </c>
      <c r="R1853">
        <f>B1853*(hospitalityq!R1853="")</f>
        <v>0</v>
      </c>
    </row>
    <row r="1854" spans="1:18" x14ac:dyDescent="0.25">
      <c r="A1854">
        <f t="shared" si="29"/>
        <v>0</v>
      </c>
      <c r="B1854" t="b">
        <f>SUMPRODUCT(LEN(hospitalityq!C1854:R1854))&gt;0</f>
        <v>0</v>
      </c>
      <c r="C1854">
        <f>B1854*(hospitalityq!C1854="")</f>
        <v>0</v>
      </c>
      <c r="E1854">
        <f>B1854*(hospitalityq!E1854="")</f>
        <v>0</v>
      </c>
      <c r="F1854">
        <f>B1854*(hospitalityq!F1854="")</f>
        <v>0</v>
      </c>
      <c r="G1854">
        <f>B1854*(hospitalityq!G1854="")</f>
        <v>0</v>
      </c>
      <c r="H1854">
        <f>B1854*(hospitalityq!H1854="")</f>
        <v>0</v>
      </c>
      <c r="I1854">
        <f>B1854*(hospitalityq!I1854="")</f>
        <v>0</v>
      </c>
      <c r="J1854">
        <f>B1854*(hospitalityq!J1854="")</f>
        <v>0</v>
      </c>
      <c r="K1854">
        <f>B1854*(hospitalityq!K1854="")</f>
        <v>0</v>
      </c>
      <c r="L1854">
        <f>B1854*(hospitalityq!L1854="")</f>
        <v>0</v>
      </c>
      <c r="M1854">
        <f>B1854*(hospitalityq!M1854="")</f>
        <v>0</v>
      </c>
      <c r="N1854">
        <f>B1854*(hospitalityq!N1854="")</f>
        <v>0</v>
      </c>
      <c r="O1854">
        <f>B1854*(hospitalityq!O1854="")</f>
        <v>0</v>
      </c>
      <c r="P1854">
        <f>B1854*(hospitalityq!P1854="")</f>
        <v>0</v>
      </c>
      <c r="Q1854">
        <f>B1854*(hospitalityq!Q1854="")</f>
        <v>0</v>
      </c>
      <c r="R1854">
        <f>B1854*(hospitalityq!R1854="")</f>
        <v>0</v>
      </c>
    </row>
    <row r="1855" spans="1:18" x14ac:dyDescent="0.25">
      <c r="A1855">
        <f t="shared" si="29"/>
        <v>0</v>
      </c>
      <c r="B1855" t="b">
        <f>SUMPRODUCT(LEN(hospitalityq!C1855:R1855))&gt;0</f>
        <v>0</v>
      </c>
      <c r="C1855">
        <f>B1855*(hospitalityq!C1855="")</f>
        <v>0</v>
      </c>
      <c r="E1855">
        <f>B1855*(hospitalityq!E1855="")</f>
        <v>0</v>
      </c>
      <c r="F1855">
        <f>B1855*(hospitalityq!F1855="")</f>
        <v>0</v>
      </c>
      <c r="G1855">
        <f>B1855*(hospitalityq!G1855="")</f>
        <v>0</v>
      </c>
      <c r="H1855">
        <f>B1855*(hospitalityq!H1855="")</f>
        <v>0</v>
      </c>
      <c r="I1855">
        <f>B1855*(hospitalityq!I1855="")</f>
        <v>0</v>
      </c>
      <c r="J1855">
        <f>B1855*(hospitalityq!J1855="")</f>
        <v>0</v>
      </c>
      <c r="K1855">
        <f>B1855*(hospitalityq!K1855="")</f>
        <v>0</v>
      </c>
      <c r="L1855">
        <f>B1855*(hospitalityq!L1855="")</f>
        <v>0</v>
      </c>
      <c r="M1855">
        <f>B1855*(hospitalityq!M1855="")</f>
        <v>0</v>
      </c>
      <c r="N1855">
        <f>B1855*(hospitalityq!N1855="")</f>
        <v>0</v>
      </c>
      <c r="O1855">
        <f>B1855*(hospitalityq!O1855="")</f>
        <v>0</v>
      </c>
      <c r="P1855">
        <f>B1855*(hospitalityq!P1855="")</f>
        <v>0</v>
      </c>
      <c r="Q1855">
        <f>B1855*(hospitalityq!Q1855="")</f>
        <v>0</v>
      </c>
      <c r="R1855">
        <f>B1855*(hospitalityq!R1855="")</f>
        <v>0</v>
      </c>
    </row>
    <row r="1856" spans="1:18" x14ac:dyDescent="0.25">
      <c r="A1856">
        <f t="shared" si="29"/>
        <v>0</v>
      </c>
      <c r="B1856" t="b">
        <f>SUMPRODUCT(LEN(hospitalityq!C1856:R1856))&gt;0</f>
        <v>0</v>
      </c>
      <c r="C1856">
        <f>B1856*(hospitalityq!C1856="")</f>
        <v>0</v>
      </c>
      <c r="E1856">
        <f>B1856*(hospitalityq!E1856="")</f>
        <v>0</v>
      </c>
      <c r="F1856">
        <f>B1856*(hospitalityq!F1856="")</f>
        <v>0</v>
      </c>
      <c r="G1856">
        <f>B1856*(hospitalityq!G1856="")</f>
        <v>0</v>
      </c>
      <c r="H1856">
        <f>B1856*(hospitalityq!H1856="")</f>
        <v>0</v>
      </c>
      <c r="I1856">
        <f>B1856*(hospitalityq!I1856="")</f>
        <v>0</v>
      </c>
      <c r="J1856">
        <f>B1856*(hospitalityq!J1856="")</f>
        <v>0</v>
      </c>
      <c r="K1856">
        <f>B1856*(hospitalityq!K1856="")</f>
        <v>0</v>
      </c>
      <c r="L1856">
        <f>B1856*(hospitalityq!L1856="")</f>
        <v>0</v>
      </c>
      <c r="M1856">
        <f>B1856*(hospitalityq!M1856="")</f>
        <v>0</v>
      </c>
      <c r="N1856">
        <f>B1856*(hospitalityq!N1856="")</f>
        <v>0</v>
      </c>
      <c r="O1856">
        <f>B1856*(hospitalityq!O1856="")</f>
        <v>0</v>
      </c>
      <c r="P1856">
        <f>B1856*(hospitalityq!P1856="")</f>
        <v>0</v>
      </c>
      <c r="Q1856">
        <f>B1856*(hospitalityq!Q1856="")</f>
        <v>0</v>
      </c>
      <c r="R1856">
        <f>B1856*(hospitalityq!R1856="")</f>
        <v>0</v>
      </c>
    </row>
    <row r="1857" spans="1:18" x14ac:dyDescent="0.25">
      <c r="A1857">
        <f t="shared" si="29"/>
        <v>0</v>
      </c>
      <c r="B1857" t="b">
        <f>SUMPRODUCT(LEN(hospitalityq!C1857:R1857))&gt;0</f>
        <v>0</v>
      </c>
      <c r="C1857">
        <f>B1857*(hospitalityq!C1857="")</f>
        <v>0</v>
      </c>
      <c r="E1857">
        <f>B1857*(hospitalityq!E1857="")</f>
        <v>0</v>
      </c>
      <c r="F1857">
        <f>B1857*(hospitalityq!F1857="")</f>
        <v>0</v>
      </c>
      <c r="G1857">
        <f>B1857*(hospitalityq!G1857="")</f>
        <v>0</v>
      </c>
      <c r="H1857">
        <f>B1857*(hospitalityq!H1857="")</f>
        <v>0</v>
      </c>
      <c r="I1857">
        <f>B1857*(hospitalityq!I1857="")</f>
        <v>0</v>
      </c>
      <c r="J1857">
        <f>B1857*(hospitalityq!J1857="")</f>
        <v>0</v>
      </c>
      <c r="K1857">
        <f>B1857*(hospitalityq!K1857="")</f>
        <v>0</v>
      </c>
      <c r="L1857">
        <f>B1857*(hospitalityq!L1857="")</f>
        <v>0</v>
      </c>
      <c r="M1857">
        <f>B1857*(hospitalityq!M1857="")</f>
        <v>0</v>
      </c>
      <c r="N1857">
        <f>B1857*(hospitalityq!N1857="")</f>
        <v>0</v>
      </c>
      <c r="O1857">
        <f>B1857*(hospitalityq!O1857="")</f>
        <v>0</v>
      </c>
      <c r="P1857">
        <f>B1857*(hospitalityq!P1857="")</f>
        <v>0</v>
      </c>
      <c r="Q1857">
        <f>B1857*(hospitalityq!Q1857="")</f>
        <v>0</v>
      </c>
      <c r="R1857">
        <f>B1857*(hospitalityq!R1857="")</f>
        <v>0</v>
      </c>
    </row>
    <row r="1858" spans="1:18" x14ac:dyDescent="0.25">
      <c r="A1858">
        <f t="shared" si="29"/>
        <v>0</v>
      </c>
      <c r="B1858" t="b">
        <f>SUMPRODUCT(LEN(hospitalityq!C1858:R1858))&gt;0</f>
        <v>0</v>
      </c>
      <c r="C1858">
        <f>B1858*(hospitalityq!C1858="")</f>
        <v>0</v>
      </c>
      <c r="E1858">
        <f>B1858*(hospitalityq!E1858="")</f>
        <v>0</v>
      </c>
      <c r="F1858">
        <f>B1858*(hospitalityq!F1858="")</f>
        <v>0</v>
      </c>
      <c r="G1858">
        <f>B1858*(hospitalityq!G1858="")</f>
        <v>0</v>
      </c>
      <c r="H1858">
        <f>B1858*(hospitalityq!H1858="")</f>
        <v>0</v>
      </c>
      <c r="I1858">
        <f>B1858*(hospitalityq!I1858="")</f>
        <v>0</v>
      </c>
      <c r="J1858">
        <f>B1858*(hospitalityq!J1858="")</f>
        <v>0</v>
      </c>
      <c r="K1858">
        <f>B1858*(hospitalityq!K1858="")</f>
        <v>0</v>
      </c>
      <c r="L1858">
        <f>B1858*(hospitalityq!L1858="")</f>
        <v>0</v>
      </c>
      <c r="M1858">
        <f>B1858*(hospitalityq!M1858="")</f>
        <v>0</v>
      </c>
      <c r="N1858">
        <f>B1858*(hospitalityq!N1858="")</f>
        <v>0</v>
      </c>
      <c r="O1858">
        <f>B1858*(hospitalityq!O1858="")</f>
        <v>0</v>
      </c>
      <c r="P1858">
        <f>B1858*(hospitalityq!P1858="")</f>
        <v>0</v>
      </c>
      <c r="Q1858">
        <f>B1858*(hospitalityq!Q1858="")</f>
        <v>0</v>
      </c>
      <c r="R1858">
        <f>B1858*(hospitalityq!R1858="")</f>
        <v>0</v>
      </c>
    </row>
    <row r="1859" spans="1:18" x14ac:dyDescent="0.25">
      <c r="A1859">
        <f t="shared" si="29"/>
        <v>0</v>
      </c>
      <c r="B1859" t="b">
        <f>SUMPRODUCT(LEN(hospitalityq!C1859:R1859))&gt;0</f>
        <v>0</v>
      </c>
      <c r="C1859">
        <f>B1859*(hospitalityq!C1859="")</f>
        <v>0</v>
      </c>
      <c r="E1859">
        <f>B1859*(hospitalityq!E1859="")</f>
        <v>0</v>
      </c>
      <c r="F1859">
        <f>B1859*(hospitalityq!F1859="")</f>
        <v>0</v>
      </c>
      <c r="G1859">
        <f>B1859*(hospitalityq!G1859="")</f>
        <v>0</v>
      </c>
      <c r="H1859">
        <f>B1859*(hospitalityq!H1859="")</f>
        <v>0</v>
      </c>
      <c r="I1859">
        <f>B1859*(hospitalityq!I1859="")</f>
        <v>0</v>
      </c>
      <c r="J1859">
        <f>B1859*(hospitalityq!J1859="")</f>
        <v>0</v>
      </c>
      <c r="K1859">
        <f>B1859*(hospitalityq!K1859="")</f>
        <v>0</v>
      </c>
      <c r="L1859">
        <f>B1859*(hospitalityq!L1859="")</f>
        <v>0</v>
      </c>
      <c r="M1859">
        <f>B1859*(hospitalityq!M1859="")</f>
        <v>0</v>
      </c>
      <c r="N1859">
        <f>B1859*(hospitalityq!N1859="")</f>
        <v>0</v>
      </c>
      <c r="O1859">
        <f>B1859*(hospitalityq!O1859="")</f>
        <v>0</v>
      </c>
      <c r="P1859">
        <f>B1859*(hospitalityq!P1859="")</f>
        <v>0</v>
      </c>
      <c r="Q1859">
        <f>B1859*(hospitalityq!Q1859="")</f>
        <v>0</v>
      </c>
      <c r="R1859">
        <f>B1859*(hospitalityq!R1859="")</f>
        <v>0</v>
      </c>
    </row>
    <row r="1860" spans="1:18" x14ac:dyDescent="0.25">
      <c r="A1860">
        <f t="shared" si="29"/>
        <v>0</v>
      </c>
      <c r="B1860" t="b">
        <f>SUMPRODUCT(LEN(hospitalityq!C1860:R1860))&gt;0</f>
        <v>0</v>
      </c>
      <c r="C1860">
        <f>B1860*(hospitalityq!C1860="")</f>
        <v>0</v>
      </c>
      <c r="E1860">
        <f>B1860*(hospitalityq!E1860="")</f>
        <v>0</v>
      </c>
      <c r="F1860">
        <f>B1860*(hospitalityq!F1860="")</f>
        <v>0</v>
      </c>
      <c r="G1860">
        <f>B1860*(hospitalityq!G1860="")</f>
        <v>0</v>
      </c>
      <c r="H1860">
        <f>B1860*(hospitalityq!H1860="")</f>
        <v>0</v>
      </c>
      <c r="I1860">
        <f>B1860*(hospitalityq!I1860="")</f>
        <v>0</v>
      </c>
      <c r="J1860">
        <f>B1860*(hospitalityq!J1860="")</f>
        <v>0</v>
      </c>
      <c r="K1860">
        <f>B1860*(hospitalityq!K1860="")</f>
        <v>0</v>
      </c>
      <c r="L1860">
        <f>B1860*(hospitalityq!L1860="")</f>
        <v>0</v>
      </c>
      <c r="M1860">
        <f>B1860*(hospitalityq!M1860="")</f>
        <v>0</v>
      </c>
      <c r="N1860">
        <f>B1860*(hospitalityq!N1860="")</f>
        <v>0</v>
      </c>
      <c r="O1860">
        <f>B1860*(hospitalityq!O1860="")</f>
        <v>0</v>
      </c>
      <c r="P1860">
        <f>B1860*(hospitalityq!P1860="")</f>
        <v>0</v>
      </c>
      <c r="Q1860">
        <f>B1860*(hospitalityq!Q1860="")</f>
        <v>0</v>
      </c>
      <c r="R1860">
        <f>B1860*(hospitalityq!R1860="")</f>
        <v>0</v>
      </c>
    </row>
    <row r="1861" spans="1:18" x14ac:dyDescent="0.25">
      <c r="A1861">
        <f t="shared" si="29"/>
        <v>0</v>
      </c>
      <c r="B1861" t="b">
        <f>SUMPRODUCT(LEN(hospitalityq!C1861:R1861))&gt;0</f>
        <v>0</v>
      </c>
      <c r="C1861">
        <f>B1861*(hospitalityq!C1861="")</f>
        <v>0</v>
      </c>
      <c r="E1861">
        <f>B1861*(hospitalityq!E1861="")</f>
        <v>0</v>
      </c>
      <c r="F1861">
        <f>B1861*(hospitalityq!F1861="")</f>
        <v>0</v>
      </c>
      <c r="G1861">
        <f>B1861*(hospitalityq!G1861="")</f>
        <v>0</v>
      </c>
      <c r="H1861">
        <f>B1861*(hospitalityq!H1861="")</f>
        <v>0</v>
      </c>
      <c r="I1861">
        <f>B1861*(hospitalityq!I1861="")</f>
        <v>0</v>
      </c>
      <c r="J1861">
        <f>B1861*(hospitalityq!J1861="")</f>
        <v>0</v>
      </c>
      <c r="K1861">
        <f>B1861*(hospitalityq!K1861="")</f>
        <v>0</v>
      </c>
      <c r="L1861">
        <f>B1861*(hospitalityq!L1861="")</f>
        <v>0</v>
      </c>
      <c r="M1861">
        <f>B1861*(hospitalityq!M1861="")</f>
        <v>0</v>
      </c>
      <c r="N1861">
        <f>B1861*(hospitalityq!N1861="")</f>
        <v>0</v>
      </c>
      <c r="O1861">
        <f>B1861*(hospitalityq!O1861="")</f>
        <v>0</v>
      </c>
      <c r="P1861">
        <f>B1861*(hospitalityq!P1861="")</f>
        <v>0</v>
      </c>
      <c r="Q1861">
        <f>B1861*(hospitalityq!Q1861="")</f>
        <v>0</v>
      </c>
      <c r="R1861">
        <f>B1861*(hospitalityq!R1861="")</f>
        <v>0</v>
      </c>
    </row>
    <row r="1862" spans="1:18" x14ac:dyDescent="0.25">
      <c r="A1862">
        <f t="shared" ref="A1862:A1925" si="30">IFERROR(MATCH(TRUE,INDEX(C1862:R1862&lt;&gt;0,),)+2,0)</f>
        <v>0</v>
      </c>
      <c r="B1862" t="b">
        <f>SUMPRODUCT(LEN(hospitalityq!C1862:R1862))&gt;0</f>
        <v>0</v>
      </c>
      <c r="C1862">
        <f>B1862*(hospitalityq!C1862="")</f>
        <v>0</v>
      </c>
      <c r="E1862">
        <f>B1862*(hospitalityq!E1862="")</f>
        <v>0</v>
      </c>
      <c r="F1862">
        <f>B1862*(hospitalityq!F1862="")</f>
        <v>0</v>
      </c>
      <c r="G1862">
        <f>B1862*(hospitalityq!G1862="")</f>
        <v>0</v>
      </c>
      <c r="H1862">
        <f>B1862*(hospitalityq!H1862="")</f>
        <v>0</v>
      </c>
      <c r="I1862">
        <f>B1862*(hospitalityq!I1862="")</f>
        <v>0</v>
      </c>
      <c r="J1862">
        <f>B1862*(hospitalityq!J1862="")</f>
        <v>0</v>
      </c>
      <c r="K1862">
        <f>B1862*(hospitalityq!K1862="")</f>
        <v>0</v>
      </c>
      <c r="L1862">
        <f>B1862*(hospitalityq!L1862="")</f>
        <v>0</v>
      </c>
      <c r="M1862">
        <f>B1862*(hospitalityq!M1862="")</f>
        <v>0</v>
      </c>
      <c r="N1862">
        <f>B1862*(hospitalityq!N1862="")</f>
        <v>0</v>
      </c>
      <c r="O1862">
        <f>B1862*(hospitalityq!O1862="")</f>
        <v>0</v>
      </c>
      <c r="P1862">
        <f>B1862*(hospitalityq!P1862="")</f>
        <v>0</v>
      </c>
      <c r="Q1862">
        <f>B1862*(hospitalityq!Q1862="")</f>
        <v>0</v>
      </c>
      <c r="R1862">
        <f>B1862*(hospitalityq!R1862="")</f>
        <v>0</v>
      </c>
    </row>
    <row r="1863" spans="1:18" x14ac:dyDescent="0.25">
      <c r="A1863">
        <f t="shared" si="30"/>
        <v>0</v>
      </c>
      <c r="B1863" t="b">
        <f>SUMPRODUCT(LEN(hospitalityq!C1863:R1863))&gt;0</f>
        <v>0</v>
      </c>
      <c r="C1863">
        <f>B1863*(hospitalityq!C1863="")</f>
        <v>0</v>
      </c>
      <c r="E1863">
        <f>B1863*(hospitalityq!E1863="")</f>
        <v>0</v>
      </c>
      <c r="F1863">
        <f>B1863*(hospitalityq!F1863="")</f>
        <v>0</v>
      </c>
      <c r="G1863">
        <f>B1863*(hospitalityq!G1863="")</f>
        <v>0</v>
      </c>
      <c r="H1863">
        <f>B1863*(hospitalityq!H1863="")</f>
        <v>0</v>
      </c>
      <c r="I1863">
        <f>B1863*(hospitalityq!I1863="")</f>
        <v>0</v>
      </c>
      <c r="J1863">
        <f>B1863*(hospitalityq!J1863="")</f>
        <v>0</v>
      </c>
      <c r="K1863">
        <f>B1863*(hospitalityq!K1863="")</f>
        <v>0</v>
      </c>
      <c r="L1863">
        <f>B1863*(hospitalityq!L1863="")</f>
        <v>0</v>
      </c>
      <c r="M1863">
        <f>B1863*(hospitalityq!M1863="")</f>
        <v>0</v>
      </c>
      <c r="N1863">
        <f>B1863*(hospitalityq!N1863="")</f>
        <v>0</v>
      </c>
      <c r="O1863">
        <f>B1863*(hospitalityq!O1863="")</f>
        <v>0</v>
      </c>
      <c r="P1863">
        <f>B1863*(hospitalityq!P1863="")</f>
        <v>0</v>
      </c>
      <c r="Q1863">
        <f>B1863*(hospitalityq!Q1863="")</f>
        <v>0</v>
      </c>
      <c r="R1863">
        <f>B1863*(hospitalityq!R1863="")</f>
        <v>0</v>
      </c>
    </row>
    <row r="1864" spans="1:18" x14ac:dyDescent="0.25">
      <c r="A1864">
        <f t="shared" si="30"/>
        <v>0</v>
      </c>
      <c r="B1864" t="b">
        <f>SUMPRODUCT(LEN(hospitalityq!C1864:R1864))&gt;0</f>
        <v>0</v>
      </c>
      <c r="C1864">
        <f>B1864*(hospitalityq!C1864="")</f>
        <v>0</v>
      </c>
      <c r="E1864">
        <f>B1864*(hospitalityq!E1864="")</f>
        <v>0</v>
      </c>
      <c r="F1864">
        <f>B1864*(hospitalityq!F1864="")</f>
        <v>0</v>
      </c>
      <c r="G1864">
        <f>B1864*(hospitalityq!G1864="")</f>
        <v>0</v>
      </c>
      <c r="H1864">
        <f>B1864*(hospitalityq!H1864="")</f>
        <v>0</v>
      </c>
      <c r="I1864">
        <f>B1864*(hospitalityq!I1864="")</f>
        <v>0</v>
      </c>
      <c r="J1864">
        <f>B1864*(hospitalityq!J1864="")</f>
        <v>0</v>
      </c>
      <c r="K1864">
        <f>B1864*(hospitalityq!K1864="")</f>
        <v>0</v>
      </c>
      <c r="L1864">
        <f>B1864*(hospitalityq!L1864="")</f>
        <v>0</v>
      </c>
      <c r="M1864">
        <f>B1864*(hospitalityq!M1864="")</f>
        <v>0</v>
      </c>
      <c r="N1864">
        <f>B1864*(hospitalityq!N1864="")</f>
        <v>0</v>
      </c>
      <c r="O1864">
        <f>B1864*(hospitalityq!O1864="")</f>
        <v>0</v>
      </c>
      <c r="P1864">
        <f>B1864*(hospitalityq!P1864="")</f>
        <v>0</v>
      </c>
      <c r="Q1864">
        <f>B1864*(hospitalityq!Q1864="")</f>
        <v>0</v>
      </c>
      <c r="R1864">
        <f>B1864*(hospitalityq!R1864="")</f>
        <v>0</v>
      </c>
    </row>
    <row r="1865" spans="1:18" x14ac:dyDescent="0.25">
      <c r="A1865">
        <f t="shared" si="30"/>
        <v>0</v>
      </c>
      <c r="B1865" t="b">
        <f>SUMPRODUCT(LEN(hospitalityq!C1865:R1865))&gt;0</f>
        <v>0</v>
      </c>
      <c r="C1865">
        <f>B1865*(hospitalityq!C1865="")</f>
        <v>0</v>
      </c>
      <c r="E1865">
        <f>B1865*(hospitalityq!E1865="")</f>
        <v>0</v>
      </c>
      <c r="F1865">
        <f>B1865*(hospitalityq!F1865="")</f>
        <v>0</v>
      </c>
      <c r="G1865">
        <f>B1865*(hospitalityq!G1865="")</f>
        <v>0</v>
      </c>
      <c r="H1865">
        <f>B1865*(hospitalityq!H1865="")</f>
        <v>0</v>
      </c>
      <c r="I1865">
        <f>B1865*(hospitalityq!I1865="")</f>
        <v>0</v>
      </c>
      <c r="J1865">
        <f>B1865*(hospitalityq!J1865="")</f>
        <v>0</v>
      </c>
      <c r="K1865">
        <f>B1865*(hospitalityq!K1865="")</f>
        <v>0</v>
      </c>
      <c r="L1865">
        <f>B1865*(hospitalityq!L1865="")</f>
        <v>0</v>
      </c>
      <c r="M1865">
        <f>B1865*(hospitalityq!M1865="")</f>
        <v>0</v>
      </c>
      <c r="N1865">
        <f>B1865*(hospitalityq!N1865="")</f>
        <v>0</v>
      </c>
      <c r="O1865">
        <f>B1865*(hospitalityq!O1865="")</f>
        <v>0</v>
      </c>
      <c r="P1865">
        <f>B1865*(hospitalityq!P1865="")</f>
        <v>0</v>
      </c>
      <c r="Q1865">
        <f>B1865*(hospitalityq!Q1865="")</f>
        <v>0</v>
      </c>
      <c r="R1865">
        <f>B1865*(hospitalityq!R1865="")</f>
        <v>0</v>
      </c>
    </row>
    <row r="1866" spans="1:18" x14ac:dyDescent="0.25">
      <c r="A1866">
        <f t="shared" si="30"/>
        <v>0</v>
      </c>
      <c r="B1866" t="b">
        <f>SUMPRODUCT(LEN(hospitalityq!C1866:R1866))&gt;0</f>
        <v>0</v>
      </c>
      <c r="C1866">
        <f>B1866*(hospitalityq!C1866="")</f>
        <v>0</v>
      </c>
      <c r="E1866">
        <f>B1866*(hospitalityq!E1866="")</f>
        <v>0</v>
      </c>
      <c r="F1866">
        <f>B1866*(hospitalityq!F1866="")</f>
        <v>0</v>
      </c>
      <c r="G1866">
        <f>B1866*(hospitalityq!G1866="")</f>
        <v>0</v>
      </c>
      <c r="H1866">
        <f>B1866*(hospitalityq!H1866="")</f>
        <v>0</v>
      </c>
      <c r="I1866">
        <f>B1866*(hospitalityq!I1866="")</f>
        <v>0</v>
      </c>
      <c r="J1866">
        <f>B1866*(hospitalityq!J1866="")</f>
        <v>0</v>
      </c>
      <c r="K1866">
        <f>B1866*(hospitalityq!K1866="")</f>
        <v>0</v>
      </c>
      <c r="L1866">
        <f>B1866*(hospitalityq!L1866="")</f>
        <v>0</v>
      </c>
      <c r="M1866">
        <f>B1866*(hospitalityq!M1866="")</f>
        <v>0</v>
      </c>
      <c r="N1866">
        <f>B1866*(hospitalityq!N1866="")</f>
        <v>0</v>
      </c>
      <c r="O1866">
        <f>B1866*(hospitalityq!O1866="")</f>
        <v>0</v>
      </c>
      <c r="P1866">
        <f>B1866*(hospitalityq!P1866="")</f>
        <v>0</v>
      </c>
      <c r="Q1866">
        <f>B1866*(hospitalityq!Q1866="")</f>
        <v>0</v>
      </c>
      <c r="R1866">
        <f>B1866*(hospitalityq!R1866="")</f>
        <v>0</v>
      </c>
    </row>
    <row r="1867" spans="1:18" x14ac:dyDescent="0.25">
      <c r="A1867">
        <f t="shared" si="30"/>
        <v>0</v>
      </c>
      <c r="B1867" t="b">
        <f>SUMPRODUCT(LEN(hospitalityq!C1867:R1867))&gt;0</f>
        <v>0</v>
      </c>
      <c r="C1867">
        <f>B1867*(hospitalityq!C1867="")</f>
        <v>0</v>
      </c>
      <c r="E1867">
        <f>B1867*(hospitalityq!E1867="")</f>
        <v>0</v>
      </c>
      <c r="F1867">
        <f>B1867*(hospitalityq!F1867="")</f>
        <v>0</v>
      </c>
      <c r="G1867">
        <f>B1867*(hospitalityq!G1867="")</f>
        <v>0</v>
      </c>
      <c r="H1867">
        <f>B1867*(hospitalityq!H1867="")</f>
        <v>0</v>
      </c>
      <c r="I1867">
        <f>B1867*(hospitalityq!I1867="")</f>
        <v>0</v>
      </c>
      <c r="J1867">
        <f>B1867*(hospitalityq!J1867="")</f>
        <v>0</v>
      </c>
      <c r="K1867">
        <f>B1867*(hospitalityq!K1867="")</f>
        <v>0</v>
      </c>
      <c r="L1867">
        <f>B1867*(hospitalityq!L1867="")</f>
        <v>0</v>
      </c>
      <c r="M1867">
        <f>B1867*(hospitalityq!M1867="")</f>
        <v>0</v>
      </c>
      <c r="N1867">
        <f>B1867*(hospitalityq!N1867="")</f>
        <v>0</v>
      </c>
      <c r="O1867">
        <f>B1867*(hospitalityq!O1867="")</f>
        <v>0</v>
      </c>
      <c r="P1867">
        <f>B1867*(hospitalityq!P1867="")</f>
        <v>0</v>
      </c>
      <c r="Q1867">
        <f>B1867*(hospitalityq!Q1867="")</f>
        <v>0</v>
      </c>
      <c r="R1867">
        <f>B1867*(hospitalityq!R1867="")</f>
        <v>0</v>
      </c>
    </row>
    <row r="1868" spans="1:18" x14ac:dyDescent="0.25">
      <c r="A1868">
        <f t="shared" si="30"/>
        <v>0</v>
      </c>
      <c r="B1868" t="b">
        <f>SUMPRODUCT(LEN(hospitalityq!C1868:R1868))&gt;0</f>
        <v>0</v>
      </c>
      <c r="C1868">
        <f>B1868*(hospitalityq!C1868="")</f>
        <v>0</v>
      </c>
      <c r="E1868">
        <f>B1868*(hospitalityq!E1868="")</f>
        <v>0</v>
      </c>
      <c r="F1868">
        <f>B1868*(hospitalityq!F1868="")</f>
        <v>0</v>
      </c>
      <c r="G1868">
        <f>B1868*(hospitalityq!G1868="")</f>
        <v>0</v>
      </c>
      <c r="H1868">
        <f>B1868*(hospitalityq!H1868="")</f>
        <v>0</v>
      </c>
      <c r="I1868">
        <f>B1868*(hospitalityq!I1868="")</f>
        <v>0</v>
      </c>
      <c r="J1868">
        <f>B1868*(hospitalityq!J1868="")</f>
        <v>0</v>
      </c>
      <c r="K1868">
        <f>B1868*(hospitalityq!K1868="")</f>
        <v>0</v>
      </c>
      <c r="L1868">
        <f>B1868*(hospitalityq!L1868="")</f>
        <v>0</v>
      </c>
      <c r="M1868">
        <f>B1868*(hospitalityq!M1868="")</f>
        <v>0</v>
      </c>
      <c r="N1868">
        <f>B1868*(hospitalityq!N1868="")</f>
        <v>0</v>
      </c>
      <c r="O1868">
        <f>B1868*(hospitalityq!O1868="")</f>
        <v>0</v>
      </c>
      <c r="P1868">
        <f>B1868*(hospitalityq!P1868="")</f>
        <v>0</v>
      </c>
      <c r="Q1868">
        <f>B1868*(hospitalityq!Q1868="")</f>
        <v>0</v>
      </c>
      <c r="R1868">
        <f>B1868*(hospitalityq!R1868="")</f>
        <v>0</v>
      </c>
    </row>
    <row r="1869" spans="1:18" x14ac:dyDescent="0.25">
      <c r="A1869">
        <f t="shared" si="30"/>
        <v>0</v>
      </c>
      <c r="B1869" t="b">
        <f>SUMPRODUCT(LEN(hospitalityq!C1869:R1869))&gt;0</f>
        <v>0</v>
      </c>
      <c r="C1869">
        <f>B1869*(hospitalityq!C1869="")</f>
        <v>0</v>
      </c>
      <c r="E1869">
        <f>B1869*(hospitalityq!E1869="")</f>
        <v>0</v>
      </c>
      <c r="F1869">
        <f>B1869*(hospitalityq!F1869="")</f>
        <v>0</v>
      </c>
      <c r="G1869">
        <f>B1869*(hospitalityq!G1869="")</f>
        <v>0</v>
      </c>
      <c r="H1869">
        <f>B1869*(hospitalityq!H1869="")</f>
        <v>0</v>
      </c>
      <c r="I1869">
        <f>B1869*(hospitalityq!I1869="")</f>
        <v>0</v>
      </c>
      <c r="J1869">
        <f>B1869*(hospitalityq!J1869="")</f>
        <v>0</v>
      </c>
      <c r="K1869">
        <f>B1869*(hospitalityq!K1869="")</f>
        <v>0</v>
      </c>
      <c r="L1869">
        <f>B1869*(hospitalityq!L1869="")</f>
        <v>0</v>
      </c>
      <c r="M1869">
        <f>B1869*(hospitalityq!M1869="")</f>
        <v>0</v>
      </c>
      <c r="N1869">
        <f>B1869*(hospitalityq!N1869="")</f>
        <v>0</v>
      </c>
      <c r="O1869">
        <f>B1869*(hospitalityq!O1869="")</f>
        <v>0</v>
      </c>
      <c r="P1869">
        <f>B1869*(hospitalityq!P1869="")</f>
        <v>0</v>
      </c>
      <c r="Q1869">
        <f>B1869*(hospitalityq!Q1869="")</f>
        <v>0</v>
      </c>
      <c r="R1869">
        <f>B1869*(hospitalityq!R1869="")</f>
        <v>0</v>
      </c>
    </row>
    <row r="1870" spans="1:18" x14ac:dyDescent="0.25">
      <c r="A1870">
        <f t="shared" si="30"/>
        <v>0</v>
      </c>
      <c r="B1870" t="b">
        <f>SUMPRODUCT(LEN(hospitalityq!C1870:R1870))&gt;0</f>
        <v>0</v>
      </c>
      <c r="C1870">
        <f>B1870*(hospitalityq!C1870="")</f>
        <v>0</v>
      </c>
      <c r="E1870">
        <f>B1870*(hospitalityq!E1870="")</f>
        <v>0</v>
      </c>
      <c r="F1870">
        <f>B1870*(hospitalityq!F1870="")</f>
        <v>0</v>
      </c>
      <c r="G1870">
        <f>B1870*(hospitalityq!G1870="")</f>
        <v>0</v>
      </c>
      <c r="H1870">
        <f>B1870*(hospitalityq!H1870="")</f>
        <v>0</v>
      </c>
      <c r="I1870">
        <f>B1870*(hospitalityq!I1870="")</f>
        <v>0</v>
      </c>
      <c r="J1870">
        <f>B1870*(hospitalityq!J1870="")</f>
        <v>0</v>
      </c>
      <c r="K1870">
        <f>B1870*(hospitalityq!K1870="")</f>
        <v>0</v>
      </c>
      <c r="L1870">
        <f>B1870*(hospitalityq!L1870="")</f>
        <v>0</v>
      </c>
      <c r="M1870">
        <f>B1870*(hospitalityq!M1870="")</f>
        <v>0</v>
      </c>
      <c r="N1870">
        <f>B1870*(hospitalityq!N1870="")</f>
        <v>0</v>
      </c>
      <c r="O1870">
        <f>B1870*(hospitalityq!O1870="")</f>
        <v>0</v>
      </c>
      <c r="P1870">
        <f>B1870*(hospitalityq!P1870="")</f>
        <v>0</v>
      </c>
      <c r="Q1870">
        <f>B1870*(hospitalityq!Q1870="")</f>
        <v>0</v>
      </c>
      <c r="R1870">
        <f>B1870*(hospitalityq!R1870="")</f>
        <v>0</v>
      </c>
    </row>
    <row r="1871" spans="1:18" x14ac:dyDescent="0.25">
      <c r="A1871">
        <f t="shared" si="30"/>
        <v>0</v>
      </c>
      <c r="B1871" t="b">
        <f>SUMPRODUCT(LEN(hospitalityq!C1871:R1871))&gt;0</f>
        <v>0</v>
      </c>
      <c r="C1871">
        <f>B1871*(hospitalityq!C1871="")</f>
        <v>0</v>
      </c>
      <c r="E1871">
        <f>B1871*(hospitalityq!E1871="")</f>
        <v>0</v>
      </c>
      <c r="F1871">
        <f>B1871*(hospitalityq!F1871="")</f>
        <v>0</v>
      </c>
      <c r="G1871">
        <f>B1871*(hospitalityq!G1871="")</f>
        <v>0</v>
      </c>
      <c r="H1871">
        <f>B1871*(hospitalityq!H1871="")</f>
        <v>0</v>
      </c>
      <c r="I1871">
        <f>B1871*(hospitalityq!I1871="")</f>
        <v>0</v>
      </c>
      <c r="J1871">
        <f>B1871*(hospitalityq!J1871="")</f>
        <v>0</v>
      </c>
      <c r="K1871">
        <f>B1871*(hospitalityq!K1871="")</f>
        <v>0</v>
      </c>
      <c r="L1871">
        <f>B1871*(hospitalityq!L1871="")</f>
        <v>0</v>
      </c>
      <c r="M1871">
        <f>B1871*(hospitalityq!M1871="")</f>
        <v>0</v>
      </c>
      <c r="N1871">
        <f>B1871*(hospitalityq!N1871="")</f>
        <v>0</v>
      </c>
      <c r="O1871">
        <f>B1871*(hospitalityq!O1871="")</f>
        <v>0</v>
      </c>
      <c r="P1871">
        <f>B1871*(hospitalityq!P1871="")</f>
        <v>0</v>
      </c>
      <c r="Q1871">
        <f>B1871*(hospitalityq!Q1871="")</f>
        <v>0</v>
      </c>
      <c r="R1871">
        <f>B1871*(hospitalityq!R1871="")</f>
        <v>0</v>
      </c>
    </row>
    <row r="1872" spans="1:18" x14ac:dyDescent="0.25">
      <c r="A1872">
        <f t="shared" si="30"/>
        <v>0</v>
      </c>
      <c r="B1872" t="b">
        <f>SUMPRODUCT(LEN(hospitalityq!C1872:R1872))&gt;0</f>
        <v>0</v>
      </c>
      <c r="C1872">
        <f>B1872*(hospitalityq!C1872="")</f>
        <v>0</v>
      </c>
      <c r="E1872">
        <f>B1872*(hospitalityq!E1872="")</f>
        <v>0</v>
      </c>
      <c r="F1872">
        <f>B1872*(hospitalityq!F1872="")</f>
        <v>0</v>
      </c>
      <c r="G1872">
        <f>B1872*(hospitalityq!G1872="")</f>
        <v>0</v>
      </c>
      <c r="H1872">
        <f>B1872*(hospitalityq!H1872="")</f>
        <v>0</v>
      </c>
      <c r="I1872">
        <f>B1872*(hospitalityq!I1872="")</f>
        <v>0</v>
      </c>
      <c r="J1872">
        <f>B1872*(hospitalityq!J1872="")</f>
        <v>0</v>
      </c>
      <c r="K1872">
        <f>B1872*(hospitalityq!K1872="")</f>
        <v>0</v>
      </c>
      <c r="L1872">
        <f>B1872*(hospitalityq!L1872="")</f>
        <v>0</v>
      </c>
      <c r="M1872">
        <f>B1872*(hospitalityq!M1872="")</f>
        <v>0</v>
      </c>
      <c r="N1872">
        <f>B1872*(hospitalityq!N1872="")</f>
        <v>0</v>
      </c>
      <c r="O1872">
        <f>B1872*(hospitalityq!O1872="")</f>
        <v>0</v>
      </c>
      <c r="P1872">
        <f>B1872*(hospitalityq!P1872="")</f>
        <v>0</v>
      </c>
      <c r="Q1872">
        <f>B1872*(hospitalityq!Q1872="")</f>
        <v>0</v>
      </c>
      <c r="R1872">
        <f>B1872*(hospitalityq!R1872="")</f>
        <v>0</v>
      </c>
    </row>
    <row r="1873" spans="1:18" x14ac:dyDescent="0.25">
      <c r="A1873">
        <f t="shared" si="30"/>
        <v>0</v>
      </c>
      <c r="B1873" t="b">
        <f>SUMPRODUCT(LEN(hospitalityq!C1873:R1873))&gt;0</f>
        <v>0</v>
      </c>
      <c r="C1873">
        <f>B1873*(hospitalityq!C1873="")</f>
        <v>0</v>
      </c>
      <c r="E1873">
        <f>B1873*(hospitalityq!E1873="")</f>
        <v>0</v>
      </c>
      <c r="F1873">
        <f>B1873*(hospitalityq!F1873="")</f>
        <v>0</v>
      </c>
      <c r="G1873">
        <f>B1873*(hospitalityq!G1873="")</f>
        <v>0</v>
      </c>
      <c r="H1873">
        <f>B1873*(hospitalityq!H1873="")</f>
        <v>0</v>
      </c>
      <c r="I1873">
        <f>B1873*(hospitalityq!I1873="")</f>
        <v>0</v>
      </c>
      <c r="J1873">
        <f>B1873*(hospitalityq!J1873="")</f>
        <v>0</v>
      </c>
      <c r="K1873">
        <f>B1873*(hospitalityq!K1873="")</f>
        <v>0</v>
      </c>
      <c r="L1873">
        <f>B1873*(hospitalityq!L1873="")</f>
        <v>0</v>
      </c>
      <c r="M1873">
        <f>B1873*(hospitalityq!M1873="")</f>
        <v>0</v>
      </c>
      <c r="N1873">
        <f>B1873*(hospitalityq!N1873="")</f>
        <v>0</v>
      </c>
      <c r="O1873">
        <f>B1873*(hospitalityq!O1873="")</f>
        <v>0</v>
      </c>
      <c r="P1873">
        <f>B1873*(hospitalityq!P1873="")</f>
        <v>0</v>
      </c>
      <c r="Q1873">
        <f>B1873*(hospitalityq!Q1873="")</f>
        <v>0</v>
      </c>
      <c r="R1873">
        <f>B1873*(hospitalityq!R1873="")</f>
        <v>0</v>
      </c>
    </row>
    <row r="1874" spans="1:18" x14ac:dyDescent="0.25">
      <c r="A1874">
        <f t="shared" si="30"/>
        <v>0</v>
      </c>
      <c r="B1874" t="b">
        <f>SUMPRODUCT(LEN(hospitalityq!C1874:R1874))&gt;0</f>
        <v>0</v>
      </c>
      <c r="C1874">
        <f>B1874*(hospitalityq!C1874="")</f>
        <v>0</v>
      </c>
      <c r="E1874">
        <f>B1874*(hospitalityq!E1874="")</f>
        <v>0</v>
      </c>
      <c r="F1874">
        <f>B1874*(hospitalityq!F1874="")</f>
        <v>0</v>
      </c>
      <c r="G1874">
        <f>B1874*(hospitalityq!G1874="")</f>
        <v>0</v>
      </c>
      <c r="H1874">
        <f>B1874*(hospitalityq!H1874="")</f>
        <v>0</v>
      </c>
      <c r="I1874">
        <f>B1874*(hospitalityq!I1874="")</f>
        <v>0</v>
      </c>
      <c r="J1874">
        <f>B1874*(hospitalityq!J1874="")</f>
        <v>0</v>
      </c>
      <c r="K1874">
        <f>B1874*(hospitalityq!K1874="")</f>
        <v>0</v>
      </c>
      <c r="L1874">
        <f>B1874*(hospitalityq!L1874="")</f>
        <v>0</v>
      </c>
      <c r="M1874">
        <f>B1874*(hospitalityq!M1874="")</f>
        <v>0</v>
      </c>
      <c r="N1874">
        <f>B1874*(hospitalityq!N1874="")</f>
        <v>0</v>
      </c>
      <c r="O1874">
        <f>B1874*(hospitalityq!O1874="")</f>
        <v>0</v>
      </c>
      <c r="P1874">
        <f>B1874*(hospitalityq!P1874="")</f>
        <v>0</v>
      </c>
      <c r="Q1874">
        <f>B1874*(hospitalityq!Q1874="")</f>
        <v>0</v>
      </c>
      <c r="R1874">
        <f>B1874*(hospitalityq!R1874="")</f>
        <v>0</v>
      </c>
    </row>
    <row r="1875" spans="1:18" x14ac:dyDescent="0.25">
      <c r="A1875">
        <f t="shared" si="30"/>
        <v>0</v>
      </c>
      <c r="B1875" t="b">
        <f>SUMPRODUCT(LEN(hospitalityq!C1875:R1875))&gt;0</f>
        <v>0</v>
      </c>
      <c r="C1875">
        <f>B1875*(hospitalityq!C1875="")</f>
        <v>0</v>
      </c>
      <c r="E1875">
        <f>B1875*(hospitalityq!E1875="")</f>
        <v>0</v>
      </c>
      <c r="F1875">
        <f>B1875*(hospitalityq!F1875="")</f>
        <v>0</v>
      </c>
      <c r="G1875">
        <f>B1875*(hospitalityq!G1875="")</f>
        <v>0</v>
      </c>
      <c r="H1875">
        <f>B1875*(hospitalityq!H1875="")</f>
        <v>0</v>
      </c>
      <c r="I1875">
        <f>B1875*(hospitalityq!I1875="")</f>
        <v>0</v>
      </c>
      <c r="J1875">
        <f>B1875*(hospitalityq!J1875="")</f>
        <v>0</v>
      </c>
      <c r="K1875">
        <f>B1875*(hospitalityq!K1875="")</f>
        <v>0</v>
      </c>
      <c r="L1875">
        <f>B1875*(hospitalityq!L1875="")</f>
        <v>0</v>
      </c>
      <c r="M1875">
        <f>B1875*(hospitalityq!M1875="")</f>
        <v>0</v>
      </c>
      <c r="N1875">
        <f>B1875*(hospitalityq!N1875="")</f>
        <v>0</v>
      </c>
      <c r="O1875">
        <f>B1875*(hospitalityq!O1875="")</f>
        <v>0</v>
      </c>
      <c r="P1875">
        <f>B1875*(hospitalityq!P1875="")</f>
        <v>0</v>
      </c>
      <c r="Q1875">
        <f>B1875*(hospitalityq!Q1875="")</f>
        <v>0</v>
      </c>
      <c r="R1875">
        <f>B1875*(hospitalityq!R1875="")</f>
        <v>0</v>
      </c>
    </row>
    <row r="1876" spans="1:18" x14ac:dyDescent="0.25">
      <c r="A1876">
        <f t="shared" si="30"/>
        <v>0</v>
      </c>
      <c r="B1876" t="b">
        <f>SUMPRODUCT(LEN(hospitalityq!C1876:R1876))&gt;0</f>
        <v>0</v>
      </c>
      <c r="C1876">
        <f>B1876*(hospitalityq!C1876="")</f>
        <v>0</v>
      </c>
      <c r="E1876">
        <f>B1876*(hospitalityq!E1876="")</f>
        <v>0</v>
      </c>
      <c r="F1876">
        <f>B1876*(hospitalityq!F1876="")</f>
        <v>0</v>
      </c>
      <c r="G1876">
        <f>B1876*(hospitalityq!G1876="")</f>
        <v>0</v>
      </c>
      <c r="H1876">
        <f>B1876*(hospitalityq!H1876="")</f>
        <v>0</v>
      </c>
      <c r="I1876">
        <f>B1876*(hospitalityq!I1876="")</f>
        <v>0</v>
      </c>
      <c r="J1876">
        <f>B1876*(hospitalityq!J1876="")</f>
        <v>0</v>
      </c>
      <c r="K1876">
        <f>B1876*(hospitalityq!K1876="")</f>
        <v>0</v>
      </c>
      <c r="L1876">
        <f>B1876*(hospitalityq!L1876="")</f>
        <v>0</v>
      </c>
      <c r="M1876">
        <f>B1876*(hospitalityq!M1876="")</f>
        <v>0</v>
      </c>
      <c r="N1876">
        <f>B1876*(hospitalityq!N1876="")</f>
        <v>0</v>
      </c>
      <c r="O1876">
        <f>B1876*(hospitalityq!O1876="")</f>
        <v>0</v>
      </c>
      <c r="P1876">
        <f>B1876*(hospitalityq!P1876="")</f>
        <v>0</v>
      </c>
      <c r="Q1876">
        <f>B1876*(hospitalityq!Q1876="")</f>
        <v>0</v>
      </c>
      <c r="R1876">
        <f>B1876*(hospitalityq!R1876="")</f>
        <v>0</v>
      </c>
    </row>
    <row r="1877" spans="1:18" x14ac:dyDescent="0.25">
      <c r="A1877">
        <f t="shared" si="30"/>
        <v>0</v>
      </c>
      <c r="B1877" t="b">
        <f>SUMPRODUCT(LEN(hospitalityq!C1877:R1877))&gt;0</f>
        <v>0</v>
      </c>
      <c r="C1877">
        <f>B1877*(hospitalityq!C1877="")</f>
        <v>0</v>
      </c>
      <c r="E1877">
        <f>B1877*(hospitalityq!E1877="")</f>
        <v>0</v>
      </c>
      <c r="F1877">
        <f>B1877*(hospitalityq!F1877="")</f>
        <v>0</v>
      </c>
      <c r="G1877">
        <f>B1877*(hospitalityq!G1877="")</f>
        <v>0</v>
      </c>
      <c r="H1877">
        <f>B1877*(hospitalityq!H1877="")</f>
        <v>0</v>
      </c>
      <c r="I1877">
        <f>B1877*(hospitalityq!I1877="")</f>
        <v>0</v>
      </c>
      <c r="J1877">
        <f>B1877*(hospitalityq!J1877="")</f>
        <v>0</v>
      </c>
      <c r="K1877">
        <f>B1877*(hospitalityq!K1877="")</f>
        <v>0</v>
      </c>
      <c r="L1877">
        <f>B1877*(hospitalityq!L1877="")</f>
        <v>0</v>
      </c>
      <c r="M1877">
        <f>B1877*(hospitalityq!M1877="")</f>
        <v>0</v>
      </c>
      <c r="N1877">
        <f>B1877*(hospitalityq!N1877="")</f>
        <v>0</v>
      </c>
      <c r="O1877">
        <f>B1877*(hospitalityq!O1877="")</f>
        <v>0</v>
      </c>
      <c r="P1877">
        <f>B1877*(hospitalityq!P1877="")</f>
        <v>0</v>
      </c>
      <c r="Q1877">
        <f>B1877*(hospitalityq!Q1877="")</f>
        <v>0</v>
      </c>
      <c r="R1877">
        <f>B1877*(hospitalityq!R1877="")</f>
        <v>0</v>
      </c>
    </row>
    <row r="1878" spans="1:18" x14ac:dyDescent="0.25">
      <c r="A1878">
        <f t="shared" si="30"/>
        <v>0</v>
      </c>
      <c r="B1878" t="b">
        <f>SUMPRODUCT(LEN(hospitalityq!C1878:R1878))&gt;0</f>
        <v>0</v>
      </c>
      <c r="C1878">
        <f>B1878*(hospitalityq!C1878="")</f>
        <v>0</v>
      </c>
      <c r="E1878">
        <f>B1878*(hospitalityq!E1878="")</f>
        <v>0</v>
      </c>
      <c r="F1878">
        <f>B1878*(hospitalityq!F1878="")</f>
        <v>0</v>
      </c>
      <c r="G1878">
        <f>B1878*(hospitalityq!G1878="")</f>
        <v>0</v>
      </c>
      <c r="H1878">
        <f>B1878*(hospitalityq!H1878="")</f>
        <v>0</v>
      </c>
      <c r="I1878">
        <f>B1878*(hospitalityq!I1878="")</f>
        <v>0</v>
      </c>
      <c r="J1878">
        <f>B1878*(hospitalityq!J1878="")</f>
        <v>0</v>
      </c>
      <c r="K1878">
        <f>B1878*(hospitalityq!K1878="")</f>
        <v>0</v>
      </c>
      <c r="L1878">
        <f>B1878*(hospitalityq!L1878="")</f>
        <v>0</v>
      </c>
      <c r="M1878">
        <f>B1878*(hospitalityq!M1878="")</f>
        <v>0</v>
      </c>
      <c r="N1878">
        <f>B1878*(hospitalityq!N1878="")</f>
        <v>0</v>
      </c>
      <c r="O1878">
        <f>B1878*(hospitalityq!O1878="")</f>
        <v>0</v>
      </c>
      <c r="P1878">
        <f>B1878*(hospitalityq!P1878="")</f>
        <v>0</v>
      </c>
      <c r="Q1878">
        <f>B1878*(hospitalityq!Q1878="")</f>
        <v>0</v>
      </c>
      <c r="R1878">
        <f>B1878*(hospitalityq!R1878="")</f>
        <v>0</v>
      </c>
    </row>
    <row r="1879" spans="1:18" x14ac:dyDescent="0.25">
      <c r="A1879">
        <f t="shared" si="30"/>
        <v>0</v>
      </c>
      <c r="B1879" t="b">
        <f>SUMPRODUCT(LEN(hospitalityq!C1879:R1879))&gt;0</f>
        <v>0</v>
      </c>
      <c r="C1879">
        <f>B1879*(hospitalityq!C1879="")</f>
        <v>0</v>
      </c>
      <c r="E1879">
        <f>B1879*(hospitalityq!E1879="")</f>
        <v>0</v>
      </c>
      <c r="F1879">
        <f>B1879*(hospitalityq!F1879="")</f>
        <v>0</v>
      </c>
      <c r="G1879">
        <f>B1879*(hospitalityq!G1879="")</f>
        <v>0</v>
      </c>
      <c r="H1879">
        <f>B1879*(hospitalityq!H1879="")</f>
        <v>0</v>
      </c>
      <c r="I1879">
        <f>B1879*(hospitalityq!I1879="")</f>
        <v>0</v>
      </c>
      <c r="J1879">
        <f>B1879*(hospitalityq!J1879="")</f>
        <v>0</v>
      </c>
      <c r="K1879">
        <f>B1879*(hospitalityq!K1879="")</f>
        <v>0</v>
      </c>
      <c r="L1879">
        <f>B1879*(hospitalityq!L1879="")</f>
        <v>0</v>
      </c>
      <c r="M1879">
        <f>B1879*(hospitalityq!M1879="")</f>
        <v>0</v>
      </c>
      <c r="N1879">
        <f>B1879*(hospitalityq!N1879="")</f>
        <v>0</v>
      </c>
      <c r="O1879">
        <f>B1879*(hospitalityq!O1879="")</f>
        <v>0</v>
      </c>
      <c r="P1879">
        <f>B1879*(hospitalityq!P1879="")</f>
        <v>0</v>
      </c>
      <c r="Q1879">
        <f>B1879*(hospitalityq!Q1879="")</f>
        <v>0</v>
      </c>
      <c r="R1879">
        <f>B1879*(hospitalityq!R1879="")</f>
        <v>0</v>
      </c>
    </row>
    <row r="1880" spans="1:18" x14ac:dyDescent="0.25">
      <c r="A1880">
        <f t="shared" si="30"/>
        <v>0</v>
      </c>
      <c r="B1880" t="b">
        <f>SUMPRODUCT(LEN(hospitalityq!C1880:R1880))&gt;0</f>
        <v>0</v>
      </c>
      <c r="C1880">
        <f>B1880*(hospitalityq!C1880="")</f>
        <v>0</v>
      </c>
      <c r="E1880">
        <f>B1880*(hospitalityq!E1880="")</f>
        <v>0</v>
      </c>
      <c r="F1880">
        <f>B1880*(hospitalityq!F1880="")</f>
        <v>0</v>
      </c>
      <c r="G1880">
        <f>B1880*(hospitalityq!G1880="")</f>
        <v>0</v>
      </c>
      <c r="H1880">
        <f>B1880*(hospitalityq!H1880="")</f>
        <v>0</v>
      </c>
      <c r="I1880">
        <f>B1880*(hospitalityq!I1880="")</f>
        <v>0</v>
      </c>
      <c r="J1880">
        <f>B1880*(hospitalityq!J1880="")</f>
        <v>0</v>
      </c>
      <c r="K1880">
        <f>B1880*(hospitalityq!K1880="")</f>
        <v>0</v>
      </c>
      <c r="L1880">
        <f>B1880*(hospitalityq!L1880="")</f>
        <v>0</v>
      </c>
      <c r="M1880">
        <f>B1880*(hospitalityq!M1880="")</f>
        <v>0</v>
      </c>
      <c r="N1880">
        <f>B1880*(hospitalityq!N1880="")</f>
        <v>0</v>
      </c>
      <c r="O1880">
        <f>B1880*(hospitalityq!O1880="")</f>
        <v>0</v>
      </c>
      <c r="P1880">
        <f>B1880*(hospitalityq!P1880="")</f>
        <v>0</v>
      </c>
      <c r="Q1880">
        <f>B1880*(hospitalityq!Q1880="")</f>
        <v>0</v>
      </c>
      <c r="R1880">
        <f>B1880*(hospitalityq!R1880="")</f>
        <v>0</v>
      </c>
    </row>
    <row r="1881" spans="1:18" x14ac:dyDescent="0.25">
      <c r="A1881">
        <f t="shared" si="30"/>
        <v>0</v>
      </c>
      <c r="B1881" t="b">
        <f>SUMPRODUCT(LEN(hospitalityq!C1881:R1881))&gt;0</f>
        <v>0</v>
      </c>
      <c r="C1881">
        <f>B1881*(hospitalityq!C1881="")</f>
        <v>0</v>
      </c>
      <c r="E1881">
        <f>B1881*(hospitalityq!E1881="")</f>
        <v>0</v>
      </c>
      <c r="F1881">
        <f>B1881*(hospitalityq!F1881="")</f>
        <v>0</v>
      </c>
      <c r="G1881">
        <f>B1881*(hospitalityq!G1881="")</f>
        <v>0</v>
      </c>
      <c r="H1881">
        <f>B1881*(hospitalityq!H1881="")</f>
        <v>0</v>
      </c>
      <c r="I1881">
        <f>B1881*(hospitalityq!I1881="")</f>
        <v>0</v>
      </c>
      <c r="J1881">
        <f>B1881*(hospitalityq!J1881="")</f>
        <v>0</v>
      </c>
      <c r="K1881">
        <f>B1881*(hospitalityq!K1881="")</f>
        <v>0</v>
      </c>
      <c r="L1881">
        <f>B1881*(hospitalityq!L1881="")</f>
        <v>0</v>
      </c>
      <c r="M1881">
        <f>B1881*(hospitalityq!M1881="")</f>
        <v>0</v>
      </c>
      <c r="N1881">
        <f>B1881*(hospitalityq!N1881="")</f>
        <v>0</v>
      </c>
      <c r="O1881">
        <f>B1881*(hospitalityq!O1881="")</f>
        <v>0</v>
      </c>
      <c r="P1881">
        <f>B1881*(hospitalityq!P1881="")</f>
        <v>0</v>
      </c>
      <c r="Q1881">
        <f>B1881*(hospitalityq!Q1881="")</f>
        <v>0</v>
      </c>
      <c r="R1881">
        <f>B1881*(hospitalityq!R1881="")</f>
        <v>0</v>
      </c>
    </row>
    <row r="1882" spans="1:18" x14ac:dyDescent="0.25">
      <c r="A1882">
        <f t="shared" si="30"/>
        <v>0</v>
      </c>
      <c r="B1882" t="b">
        <f>SUMPRODUCT(LEN(hospitalityq!C1882:R1882))&gt;0</f>
        <v>0</v>
      </c>
      <c r="C1882">
        <f>B1882*(hospitalityq!C1882="")</f>
        <v>0</v>
      </c>
      <c r="E1882">
        <f>B1882*(hospitalityq!E1882="")</f>
        <v>0</v>
      </c>
      <c r="F1882">
        <f>B1882*(hospitalityq!F1882="")</f>
        <v>0</v>
      </c>
      <c r="G1882">
        <f>B1882*(hospitalityq!G1882="")</f>
        <v>0</v>
      </c>
      <c r="H1882">
        <f>B1882*(hospitalityq!H1882="")</f>
        <v>0</v>
      </c>
      <c r="I1882">
        <f>B1882*(hospitalityq!I1882="")</f>
        <v>0</v>
      </c>
      <c r="J1882">
        <f>B1882*(hospitalityq!J1882="")</f>
        <v>0</v>
      </c>
      <c r="K1882">
        <f>B1882*(hospitalityq!K1882="")</f>
        <v>0</v>
      </c>
      <c r="L1882">
        <f>B1882*(hospitalityq!L1882="")</f>
        <v>0</v>
      </c>
      <c r="M1882">
        <f>B1882*(hospitalityq!M1882="")</f>
        <v>0</v>
      </c>
      <c r="N1882">
        <f>B1882*(hospitalityq!N1882="")</f>
        <v>0</v>
      </c>
      <c r="O1882">
        <f>B1882*(hospitalityq!O1882="")</f>
        <v>0</v>
      </c>
      <c r="P1882">
        <f>B1882*(hospitalityq!P1882="")</f>
        <v>0</v>
      </c>
      <c r="Q1882">
        <f>B1882*(hospitalityq!Q1882="")</f>
        <v>0</v>
      </c>
      <c r="R1882">
        <f>B1882*(hospitalityq!R1882="")</f>
        <v>0</v>
      </c>
    </row>
    <row r="1883" spans="1:18" x14ac:dyDescent="0.25">
      <c r="A1883">
        <f t="shared" si="30"/>
        <v>0</v>
      </c>
      <c r="B1883" t="b">
        <f>SUMPRODUCT(LEN(hospitalityq!C1883:R1883))&gt;0</f>
        <v>0</v>
      </c>
      <c r="C1883">
        <f>B1883*(hospitalityq!C1883="")</f>
        <v>0</v>
      </c>
      <c r="E1883">
        <f>B1883*(hospitalityq!E1883="")</f>
        <v>0</v>
      </c>
      <c r="F1883">
        <f>B1883*(hospitalityq!F1883="")</f>
        <v>0</v>
      </c>
      <c r="G1883">
        <f>B1883*(hospitalityq!G1883="")</f>
        <v>0</v>
      </c>
      <c r="H1883">
        <f>B1883*(hospitalityq!H1883="")</f>
        <v>0</v>
      </c>
      <c r="I1883">
        <f>B1883*(hospitalityq!I1883="")</f>
        <v>0</v>
      </c>
      <c r="J1883">
        <f>B1883*(hospitalityq!J1883="")</f>
        <v>0</v>
      </c>
      <c r="K1883">
        <f>B1883*(hospitalityq!K1883="")</f>
        <v>0</v>
      </c>
      <c r="L1883">
        <f>B1883*(hospitalityq!L1883="")</f>
        <v>0</v>
      </c>
      <c r="M1883">
        <f>B1883*(hospitalityq!M1883="")</f>
        <v>0</v>
      </c>
      <c r="N1883">
        <f>B1883*(hospitalityq!N1883="")</f>
        <v>0</v>
      </c>
      <c r="O1883">
        <f>B1883*(hospitalityq!O1883="")</f>
        <v>0</v>
      </c>
      <c r="P1883">
        <f>B1883*(hospitalityq!P1883="")</f>
        <v>0</v>
      </c>
      <c r="Q1883">
        <f>B1883*(hospitalityq!Q1883="")</f>
        <v>0</v>
      </c>
      <c r="R1883">
        <f>B1883*(hospitalityq!R1883="")</f>
        <v>0</v>
      </c>
    </row>
    <row r="1884" spans="1:18" x14ac:dyDescent="0.25">
      <c r="A1884">
        <f t="shared" si="30"/>
        <v>0</v>
      </c>
      <c r="B1884" t="b">
        <f>SUMPRODUCT(LEN(hospitalityq!C1884:R1884))&gt;0</f>
        <v>0</v>
      </c>
      <c r="C1884">
        <f>B1884*(hospitalityq!C1884="")</f>
        <v>0</v>
      </c>
      <c r="E1884">
        <f>B1884*(hospitalityq!E1884="")</f>
        <v>0</v>
      </c>
      <c r="F1884">
        <f>B1884*(hospitalityq!F1884="")</f>
        <v>0</v>
      </c>
      <c r="G1884">
        <f>B1884*(hospitalityq!G1884="")</f>
        <v>0</v>
      </c>
      <c r="H1884">
        <f>B1884*(hospitalityq!H1884="")</f>
        <v>0</v>
      </c>
      <c r="I1884">
        <f>B1884*(hospitalityq!I1884="")</f>
        <v>0</v>
      </c>
      <c r="J1884">
        <f>B1884*(hospitalityq!J1884="")</f>
        <v>0</v>
      </c>
      <c r="K1884">
        <f>B1884*(hospitalityq!K1884="")</f>
        <v>0</v>
      </c>
      <c r="L1884">
        <f>B1884*(hospitalityq!L1884="")</f>
        <v>0</v>
      </c>
      <c r="M1884">
        <f>B1884*(hospitalityq!M1884="")</f>
        <v>0</v>
      </c>
      <c r="N1884">
        <f>B1884*(hospitalityq!N1884="")</f>
        <v>0</v>
      </c>
      <c r="O1884">
        <f>B1884*(hospitalityq!O1884="")</f>
        <v>0</v>
      </c>
      <c r="P1884">
        <f>B1884*(hospitalityq!P1884="")</f>
        <v>0</v>
      </c>
      <c r="Q1884">
        <f>B1884*(hospitalityq!Q1884="")</f>
        <v>0</v>
      </c>
      <c r="R1884">
        <f>B1884*(hospitalityq!R1884="")</f>
        <v>0</v>
      </c>
    </row>
    <row r="1885" spans="1:18" x14ac:dyDescent="0.25">
      <c r="A1885">
        <f t="shared" si="30"/>
        <v>0</v>
      </c>
      <c r="B1885" t="b">
        <f>SUMPRODUCT(LEN(hospitalityq!C1885:R1885))&gt;0</f>
        <v>0</v>
      </c>
      <c r="C1885">
        <f>B1885*(hospitalityq!C1885="")</f>
        <v>0</v>
      </c>
      <c r="E1885">
        <f>B1885*(hospitalityq!E1885="")</f>
        <v>0</v>
      </c>
      <c r="F1885">
        <f>B1885*(hospitalityq!F1885="")</f>
        <v>0</v>
      </c>
      <c r="G1885">
        <f>B1885*(hospitalityq!G1885="")</f>
        <v>0</v>
      </c>
      <c r="H1885">
        <f>B1885*(hospitalityq!H1885="")</f>
        <v>0</v>
      </c>
      <c r="I1885">
        <f>B1885*(hospitalityq!I1885="")</f>
        <v>0</v>
      </c>
      <c r="J1885">
        <f>B1885*(hospitalityq!J1885="")</f>
        <v>0</v>
      </c>
      <c r="K1885">
        <f>B1885*(hospitalityq!K1885="")</f>
        <v>0</v>
      </c>
      <c r="L1885">
        <f>B1885*(hospitalityq!L1885="")</f>
        <v>0</v>
      </c>
      <c r="M1885">
        <f>B1885*(hospitalityq!M1885="")</f>
        <v>0</v>
      </c>
      <c r="N1885">
        <f>B1885*(hospitalityq!N1885="")</f>
        <v>0</v>
      </c>
      <c r="O1885">
        <f>B1885*(hospitalityq!O1885="")</f>
        <v>0</v>
      </c>
      <c r="P1885">
        <f>B1885*(hospitalityq!P1885="")</f>
        <v>0</v>
      </c>
      <c r="Q1885">
        <f>B1885*(hospitalityq!Q1885="")</f>
        <v>0</v>
      </c>
      <c r="R1885">
        <f>B1885*(hospitalityq!R1885="")</f>
        <v>0</v>
      </c>
    </row>
    <row r="1886" spans="1:18" x14ac:dyDescent="0.25">
      <c r="A1886">
        <f t="shared" si="30"/>
        <v>0</v>
      </c>
      <c r="B1886" t="b">
        <f>SUMPRODUCT(LEN(hospitalityq!C1886:R1886))&gt;0</f>
        <v>0</v>
      </c>
      <c r="C1886">
        <f>B1886*(hospitalityq!C1886="")</f>
        <v>0</v>
      </c>
      <c r="E1886">
        <f>B1886*(hospitalityq!E1886="")</f>
        <v>0</v>
      </c>
      <c r="F1886">
        <f>B1886*(hospitalityq!F1886="")</f>
        <v>0</v>
      </c>
      <c r="G1886">
        <f>B1886*(hospitalityq!G1886="")</f>
        <v>0</v>
      </c>
      <c r="H1886">
        <f>B1886*(hospitalityq!H1886="")</f>
        <v>0</v>
      </c>
      <c r="I1886">
        <f>B1886*(hospitalityq!I1886="")</f>
        <v>0</v>
      </c>
      <c r="J1886">
        <f>B1886*(hospitalityq!J1886="")</f>
        <v>0</v>
      </c>
      <c r="K1886">
        <f>B1886*(hospitalityq!K1886="")</f>
        <v>0</v>
      </c>
      <c r="L1886">
        <f>B1886*(hospitalityq!L1886="")</f>
        <v>0</v>
      </c>
      <c r="M1886">
        <f>B1886*(hospitalityq!M1886="")</f>
        <v>0</v>
      </c>
      <c r="N1886">
        <f>B1886*(hospitalityq!N1886="")</f>
        <v>0</v>
      </c>
      <c r="O1886">
        <f>B1886*(hospitalityq!O1886="")</f>
        <v>0</v>
      </c>
      <c r="P1886">
        <f>B1886*(hospitalityq!P1886="")</f>
        <v>0</v>
      </c>
      <c r="Q1886">
        <f>B1886*(hospitalityq!Q1886="")</f>
        <v>0</v>
      </c>
      <c r="R1886">
        <f>B1886*(hospitalityq!R1886="")</f>
        <v>0</v>
      </c>
    </row>
    <row r="1887" spans="1:18" x14ac:dyDescent="0.25">
      <c r="A1887">
        <f t="shared" si="30"/>
        <v>0</v>
      </c>
      <c r="B1887" t="b">
        <f>SUMPRODUCT(LEN(hospitalityq!C1887:R1887))&gt;0</f>
        <v>0</v>
      </c>
      <c r="C1887">
        <f>B1887*(hospitalityq!C1887="")</f>
        <v>0</v>
      </c>
      <c r="E1887">
        <f>B1887*(hospitalityq!E1887="")</f>
        <v>0</v>
      </c>
      <c r="F1887">
        <f>B1887*(hospitalityq!F1887="")</f>
        <v>0</v>
      </c>
      <c r="G1887">
        <f>B1887*(hospitalityq!G1887="")</f>
        <v>0</v>
      </c>
      <c r="H1887">
        <f>B1887*(hospitalityq!H1887="")</f>
        <v>0</v>
      </c>
      <c r="I1887">
        <f>B1887*(hospitalityq!I1887="")</f>
        <v>0</v>
      </c>
      <c r="J1887">
        <f>B1887*(hospitalityq!J1887="")</f>
        <v>0</v>
      </c>
      <c r="K1887">
        <f>B1887*(hospitalityq!K1887="")</f>
        <v>0</v>
      </c>
      <c r="L1887">
        <f>B1887*(hospitalityq!L1887="")</f>
        <v>0</v>
      </c>
      <c r="M1887">
        <f>B1887*(hospitalityq!M1887="")</f>
        <v>0</v>
      </c>
      <c r="N1887">
        <f>B1887*(hospitalityq!N1887="")</f>
        <v>0</v>
      </c>
      <c r="O1887">
        <f>B1887*(hospitalityq!O1887="")</f>
        <v>0</v>
      </c>
      <c r="P1887">
        <f>B1887*(hospitalityq!P1887="")</f>
        <v>0</v>
      </c>
      <c r="Q1887">
        <f>B1887*(hospitalityq!Q1887="")</f>
        <v>0</v>
      </c>
      <c r="R1887">
        <f>B1887*(hospitalityq!R1887="")</f>
        <v>0</v>
      </c>
    </row>
    <row r="1888" spans="1:18" x14ac:dyDescent="0.25">
      <c r="A1888">
        <f t="shared" si="30"/>
        <v>0</v>
      </c>
      <c r="B1888" t="b">
        <f>SUMPRODUCT(LEN(hospitalityq!C1888:R1888))&gt;0</f>
        <v>0</v>
      </c>
      <c r="C1888">
        <f>B1888*(hospitalityq!C1888="")</f>
        <v>0</v>
      </c>
      <c r="E1888">
        <f>B1888*(hospitalityq!E1888="")</f>
        <v>0</v>
      </c>
      <c r="F1888">
        <f>B1888*(hospitalityq!F1888="")</f>
        <v>0</v>
      </c>
      <c r="G1888">
        <f>B1888*(hospitalityq!G1888="")</f>
        <v>0</v>
      </c>
      <c r="H1888">
        <f>B1888*(hospitalityq!H1888="")</f>
        <v>0</v>
      </c>
      <c r="I1888">
        <f>B1888*(hospitalityq!I1888="")</f>
        <v>0</v>
      </c>
      <c r="J1888">
        <f>B1888*(hospitalityq!J1888="")</f>
        <v>0</v>
      </c>
      <c r="K1888">
        <f>B1888*(hospitalityq!K1888="")</f>
        <v>0</v>
      </c>
      <c r="L1888">
        <f>B1888*(hospitalityq!L1888="")</f>
        <v>0</v>
      </c>
      <c r="M1888">
        <f>B1888*(hospitalityq!M1888="")</f>
        <v>0</v>
      </c>
      <c r="N1888">
        <f>B1888*(hospitalityq!N1888="")</f>
        <v>0</v>
      </c>
      <c r="O1888">
        <f>B1888*(hospitalityq!O1888="")</f>
        <v>0</v>
      </c>
      <c r="P1888">
        <f>B1888*(hospitalityq!P1888="")</f>
        <v>0</v>
      </c>
      <c r="Q1888">
        <f>B1888*(hospitalityq!Q1888="")</f>
        <v>0</v>
      </c>
      <c r="R1888">
        <f>B1888*(hospitalityq!R1888="")</f>
        <v>0</v>
      </c>
    </row>
    <row r="1889" spans="1:18" x14ac:dyDescent="0.25">
      <c r="A1889">
        <f t="shared" si="30"/>
        <v>0</v>
      </c>
      <c r="B1889" t="b">
        <f>SUMPRODUCT(LEN(hospitalityq!C1889:R1889))&gt;0</f>
        <v>0</v>
      </c>
      <c r="C1889">
        <f>B1889*(hospitalityq!C1889="")</f>
        <v>0</v>
      </c>
      <c r="E1889">
        <f>B1889*(hospitalityq!E1889="")</f>
        <v>0</v>
      </c>
      <c r="F1889">
        <f>B1889*(hospitalityq!F1889="")</f>
        <v>0</v>
      </c>
      <c r="G1889">
        <f>B1889*(hospitalityq!G1889="")</f>
        <v>0</v>
      </c>
      <c r="H1889">
        <f>B1889*(hospitalityq!H1889="")</f>
        <v>0</v>
      </c>
      <c r="I1889">
        <f>B1889*(hospitalityq!I1889="")</f>
        <v>0</v>
      </c>
      <c r="J1889">
        <f>B1889*(hospitalityq!J1889="")</f>
        <v>0</v>
      </c>
      <c r="K1889">
        <f>B1889*(hospitalityq!K1889="")</f>
        <v>0</v>
      </c>
      <c r="L1889">
        <f>B1889*(hospitalityq!L1889="")</f>
        <v>0</v>
      </c>
      <c r="M1889">
        <f>B1889*(hospitalityq!M1889="")</f>
        <v>0</v>
      </c>
      <c r="N1889">
        <f>B1889*(hospitalityq!N1889="")</f>
        <v>0</v>
      </c>
      <c r="O1889">
        <f>B1889*(hospitalityq!O1889="")</f>
        <v>0</v>
      </c>
      <c r="P1889">
        <f>B1889*(hospitalityq!P1889="")</f>
        <v>0</v>
      </c>
      <c r="Q1889">
        <f>B1889*(hospitalityq!Q1889="")</f>
        <v>0</v>
      </c>
      <c r="R1889">
        <f>B1889*(hospitalityq!R1889="")</f>
        <v>0</v>
      </c>
    </row>
    <row r="1890" spans="1:18" x14ac:dyDescent="0.25">
      <c r="A1890">
        <f t="shared" si="30"/>
        <v>0</v>
      </c>
      <c r="B1890" t="b">
        <f>SUMPRODUCT(LEN(hospitalityq!C1890:R1890))&gt;0</f>
        <v>0</v>
      </c>
      <c r="C1890">
        <f>B1890*(hospitalityq!C1890="")</f>
        <v>0</v>
      </c>
      <c r="E1890">
        <f>B1890*(hospitalityq!E1890="")</f>
        <v>0</v>
      </c>
      <c r="F1890">
        <f>B1890*(hospitalityq!F1890="")</f>
        <v>0</v>
      </c>
      <c r="G1890">
        <f>B1890*(hospitalityq!G1890="")</f>
        <v>0</v>
      </c>
      <c r="H1890">
        <f>B1890*(hospitalityq!H1890="")</f>
        <v>0</v>
      </c>
      <c r="I1890">
        <f>B1890*(hospitalityq!I1890="")</f>
        <v>0</v>
      </c>
      <c r="J1890">
        <f>B1890*(hospitalityq!J1890="")</f>
        <v>0</v>
      </c>
      <c r="K1890">
        <f>B1890*(hospitalityq!K1890="")</f>
        <v>0</v>
      </c>
      <c r="L1890">
        <f>B1890*(hospitalityq!L1890="")</f>
        <v>0</v>
      </c>
      <c r="M1890">
        <f>B1890*(hospitalityq!M1890="")</f>
        <v>0</v>
      </c>
      <c r="N1890">
        <f>B1890*(hospitalityq!N1890="")</f>
        <v>0</v>
      </c>
      <c r="O1890">
        <f>B1890*(hospitalityq!O1890="")</f>
        <v>0</v>
      </c>
      <c r="P1890">
        <f>B1890*(hospitalityq!P1890="")</f>
        <v>0</v>
      </c>
      <c r="Q1890">
        <f>B1890*(hospitalityq!Q1890="")</f>
        <v>0</v>
      </c>
      <c r="R1890">
        <f>B1890*(hospitalityq!R1890="")</f>
        <v>0</v>
      </c>
    </row>
    <row r="1891" spans="1:18" x14ac:dyDescent="0.25">
      <c r="A1891">
        <f t="shared" si="30"/>
        <v>0</v>
      </c>
      <c r="B1891" t="b">
        <f>SUMPRODUCT(LEN(hospitalityq!C1891:R1891))&gt;0</f>
        <v>0</v>
      </c>
      <c r="C1891">
        <f>B1891*(hospitalityq!C1891="")</f>
        <v>0</v>
      </c>
      <c r="E1891">
        <f>B1891*(hospitalityq!E1891="")</f>
        <v>0</v>
      </c>
      <c r="F1891">
        <f>B1891*(hospitalityq!F1891="")</f>
        <v>0</v>
      </c>
      <c r="G1891">
        <f>B1891*(hospitalityq!G1891="")</f>
        <v>0</v>
      </c>
      <c r="H1891">
        <f>B1891*(hospitalityq!H1891="")</f>
        <v>0</v>
      </c>
      <c r="I1891">
        <f>B1891*(hospitalityq!I1891="")</f>
        <v>0</v>
      </c>
      <c r="J1891">
        <f>B1891*(hospitalityq!J1891="")</f>
        <v>0</v>
      </c>
      <c r="K1891">
        <f>B1891*(hospitalityq!K1891="")</f>
        <v>0</v>
      </c>
      <c r="L1891">
        <f>B1891*(hospitalityq!L1891="")</f>
        <v>0</v>
      </c>
      <c r="M1891">
        <f>B1891*(hospitalityq!M1891="")</f>
        <v>0</v>
      </c>
      <c r="N1891">
        <f>B1891*(hospitalityq!N1891="")</f>
        <v>0</v>
      </c>
      <c r="O1891">
        <f>B1891*(hospitalityq!O1891="")</f>
        <v>0</v>
      </c>
      <c r="P1891">
        <f>B1891*(hospitalityq!P1891="")</f>
        <v>0</v>
      </c>
      <c r="Q1891">
        <f>B1891*(hospitalityq!Q1891="")</f>
        <v>0</v>
      </c>
      <c r="R1891">
        <f>B1891*(hospitalityq!R1891="")</f>
        <v>0</v>
      </c>
    </row>
    <row r="1892" spans="1:18" x14ac:dyDescent="0.25">
      <c r="A1892">
        <f t="shared" si="30"/>
        <v>0</v>
      </c>
      <c r="B1892" t="b">
        <f>SUMPRODUCT(LEN(hospitalityq!C1892:R1892))&gt;0</f>
        <v>0</v>
      </c>
      <c r="C1892">
        <f>B1892*(hospitalityq!C1892="")</f>
        <v>0</v>
      </c>
      <c r="E1892">
        <f>B1892*(hospitalityq!E1892="")</f>
        <v>0</v>
      </c>
      <c r="F1892">
        <f>B1892*(hospitalityq!F1892="")</f>
        <v>0</v>
      </c>
      <c r="G1892">
        <f>B1892*(hospitalityq!G1892="")</f>
        <v>0</v>
      </c>
      <c r="H1892">
        <f>B1892*(hospitalityq!H1892="")</f>
        <v>0</v>
      </c>
      <c r="I1892">
        <f>B1892*(hospitalityq!I1892="")</f>
        <v>0</v>
      </c>
      <c r="J1892">
        <f>B1892*(hospitalityq!J1892="")</f>
        <v>0</v>
      </c>
      <c r="K1892">
        <f>B1892*(hospitalityq!K1892="")</f>
        <v>0</v>
      </c>
      <c r="L1892">
        <f>B1892*(hospitalityq!L1892="")</f>
        <v>0</v>
      </c>
      <c r="M1892">
        <f>B1892*(hospitalityq!M1892="")</f>
        <v>0</v>
      </c>
      <c r="N1892">
        <f>B1892*(hospitalityq!N1892="")</f>
        <v>0</v>
      </c>
      <c r="O1892">
        <f>B1892*(hospitalityq!O1892="")</f>
        <v>0</v>
      </c>
      <c r="P1892">
        <f>B1892*(hospitalityq!P1892="")</f>
        <v>0</v>
      </c>
      <c r="Q1892">
        <f>B1892*(hospitalityq!Q1892="")</f>
        <v>0</v>
      </c>
      <c r="R1892">
        <f>B1892*(hospitalityq!R1892="")</f>
        <v>0</v>
      </c>
    </row>
    <row r="1893" spans="1:18" x14ac:dyDescent="0.25">
      <c r="A1893">
        <f t="shared" si="30"/>
        <v>0</v>
      </c>
      <c r="B1893" t="b">
        <f>SUMPRODUCT(LEN(hospitalityq!C1893:R1893))&gt;0</f>
        <v>0</v>
      </c>
      <c r="C1893">
        <f>B1893*(hospitalityq!C1893="")</f>
        <v>0</v>
      </c>
      <c r="E1893">
        <f>B1893*(hospitalityq!E1893="")</f>
        <v>0</v>
      </c>
      <c r="F1893">
        <f>B1893*(hospitalityq!F1893="")</f>
        <v>0</v>
      </c>
      <c r="G1893">
        <f>B1893*(hospitalityq!G1893="")</f>
        <v>0</v>
      </c>
      <c r="H1893">
        <f>B1893*(hospitalityq!H1893="")</f>
        <v>0</v>
      </c>
      <c r="I1893">
        <f>B1893*(hospitalityq!I1893="")</f>
        <v>0</v>
      </c>
      <c r="J1893">
        <f>B1893*(hospitalityq!J1893="")</f>
        <v>0</v>
      </c>
      <c r="K1893">
        <f>B1893*(hospitalityq!K1893="")</f>
        <v>0</v>
      </c>
      <c r="L1893">
        <f>B1893*(hospitalityq!L1893="")</f>
        <v>0</v>
      </c>
      <c r="M1893">
        <f>B1893*(hospitalityq!M1893="")</f>
        <v>0</v>
      </c>
      <c r="N1893">
        <f>B1893*(hospitalityq!N1893="")</f>
        <v>0</v>
      </c>
      <c r="O1893">
        <f>B1893*(hospitalityq!O1893="")</f>
        <v>0</v>
      </c>
      <c r="P1893">
        <f>B1893*(hospitalityq!P1893="")</f>
        <v>0</v>
      </c>
      <c r="Q1893">
        <f>B1893*(hospitalityq!Q1893="")</f>
        <v>0</v>
      </c>
      <c r="R1893">
        <f>B1893*(hospitalityq!R1893="")</f>
        <v>0</v>
      </c>
    </row>
    <row r="1894" spans="1:18" x14ac:dyDescent="0.25">
      <c r="A1894">
        <f t="shared" si="30"/>
        <v>0</v>
      </c>
      <c r="B1894" t="b">
        <f>SUMPRODUCT(LEN(hospitalityq!C1894:R1894))&gt;0</f>
        <v>0</v>
      </c>
      <c r="C1894">
        <f>B1894*(hospitalityq!C1894="")</f>
        <v>0</v>
      </c>
      <c r="E1894">
        <f>B1894*(hospitalityq!E1894="")</f>
        <v>0</v>
      </c>
      <c r="F1894">
        <f>B1894*(hospitalityq!F1894="")</f>
        <v>0</v>
      </c>
      <c r="G1894">
        <f>B1894*(hospitalityq!G1894="")</f>
        <v>0</v>
      </c>
      <c r="H1894">
        <f>B1894*(hospitalityq!H1894="")</f>
        <v>0</v>
      </c>
      <c r="I1894">
        <f>B1894*(hospitalityq!I1894="")</f>
        <v>0</v>
      </c>
      <c r="J1894">
        <f>B1894*(hospitalityq!J1894="")</f>
        <v>0</v>
      </c>
      <c r="K1894">
        <f>B1894*(hospitalityq!K1894="")</f>
        <v>0</v>
      </c>
      <c r="L1894">
        <f>B1894*(hospitalityq!L1894="")</f>
        <v>0</v>
      </c>
      <c r="M1894">
        <f>B1894*(hospitalityq!M1894="")</f>
        <v>0</v>
      </c>
      <c r="N1894">
        <f>B1894*(hospitalityq!N1894="")</f>
        <v>0</v>
      </c>
      <c r="O1894">
        <f>B1894*(hospitalityq!O1894="")</f>
        <v>0</v>
      </c>
      <c r="P1894">
        <f>B1894*(hospitalityq!P1894="")</f>
        <v>0</v>
      </c>
      <c r="Q1894">
        <f>B1894*(hospitalityq!Q1894="")</f>
        <v>0</v>
      </c>
      <c r="R1894">
        <f>B1894*(hospitalityq!R1894="")</f>
        <v>0</v>
      </c>
    </row>
    <row r="1895" spans="1:18" x14ac:dyDescent="0.25">
      <c r="A1895">
        <f t="shared" si="30"/>
        <v>0</v>
      </c>
      <c r="B1895" t="b">
        <f>SUMPRODUCT(LEN(hospitalityq!C1895:R1895))&gt;0</f>
        <v>0</v>
      </c>
      <c r="C1895">
        <f>B1895*(hospitalityq!C1895="")</f>
        <v>0</v>
      </c>
      <c r="E1895">
        <f>B1895*(hospitalityq!E1895="")</f>
        <v>0</v>
      </c>
      <c r="F1895">
        <f>B1895*(hospitalityq!F1895="")</f>
        <v>0</v>
      </c>
      <c r="G1895">
        <f>B1895*(hospitalityq!G1895="")</f>
        <v>0</v>
      </c>
      <c r="H1895">
        <f>B1895*(hospitalityq!H1895="")</f>
        <v>0</v>
      </c>
      <c r="I1895">
        <f>B1895*(hospitalityq!I1895="")</f>
        <v>0</v>
      </c>
      <c r="J1895">
        <f>B1895*(hospitalityq!J1895="")</f>
        <v>0</v>
      </c>
      <c r="K1895">
        <f>B1895*(hospitalityq!K1895="")</f>
        <v>0</v>
      </c>
      <c r="L1895">
        <f>B1895*(hospitalityq!L1895="")</f>
        <v>0</v>
      </c>
      <c r="M1895">
        <f>B1895*(hospitalityq!M1895="")</f>
        <v>0</v>
      </c>
      <c r="N1895">
        <f>B1895*(hospitalityq!N1895="")</f>
        <v>0</v>
      </c>
      <c r="O1895">
        <f>B1895*(hospitalityq!O1895="")</f>
        <v>0</v>
      </c>
      <c r="P1895">
        <f>B1895*(hospitalityq!P1895="")</f>
        <v>0</v>
      </c>
      <c r="Q1895">
        <f>B1895*(hospitalityq!Q1895="")</f>
        <v>0</v>
      </c>
      <c r="R1895">
        <f>B1895*(hospitalityq!R1895="")</f>
        <v>0</v>
      </c>
    </row>
    <row r="1896" spans="1:18" x14ac:dyDescent="0.25">
      <c r="A1896">
        <f t="shared" si="30"/>
        <v>0</v>
      </c>
      <c r="B1896" t="b">
        <f>SUMPRODUCT(LEN(hospitalityq!C1896:R1896))&gt;0</f>
        <v>0</v>
      </c>
      <c r="C1896">
        <f>B1896*(hospitalityq!C1896="")</f>
        <v>0</v>
      </c>
      <c r="E1896">
        <f>B1896*(hospitalityq!E1896="")</f>
        <v>0</v>
      </c>
      <c r="F1896">
        <f>B1896*(hospitalityq!F1896="")</f>
        <v>0</v>
      </c>
      <c r="G1896">
        <f>B1896*(hospitalityq!G1896="")</f>
        <v>0</v>
      </c>
      <c r="H1896">
        <f>B1896*(hospitalityq!H1896="")</f>
        <v>0</v>
      </c>
      <c r="I1896">
        <f>B1896*(hospitalityq!I1896="")</f>
        <v>0</v>
      </c>
      <c r="J1896">
        <f>B1896*(hospitalityq!J1896="")</f>
        <v>0</v>
      </c>
      <c r="K1896">
        <f>B1896*(hospitalityq!K1896="")</f>
        <v>0</v>
      </c>
      <c r="L1896">
        <f>B1896*(hospitalityq!L1896="")</f>
        <v>0</v>
      </c>
      <c r="M1896">
        <f>B1896*(hospitalityq!M1896="")</f>
        <v>0</v>
      </c>
      <c r="N1896">
        <f>B1896*(hospitalityq!N1896="")</f>
        <v>0</v>
      </c>
      <c r="O1896">
        <f>B1896*(hospitalityq!O1896="")</f>
        <v>0</v>
      </c>
      <c r="P1896">
        <f>B1896*(hospitalityq!P1896="")</f>
        <v>0</v>
      </c>
      <c r="Q1896">
        <f>B1896*(hospitalityq!Q1896="")</f>
        <v>0</v>
      </c>
      <c r="R1896">
        <f>B1896*(hospitalityq!R1896="")</f>
        <v>0</v>
      </c>
    </row>
    <row r="1897" spans="1:18" x14ac:dyDescent="0.25">
      <c r="A1897">
        <f t="shared" si="30"/>
        <v>0</v>
      </c>
      <c r="B1897" t="b">
        <f>SUMPRODUCT(LEN(hospitalityq!C1897:R1897))&gt;0</f>
        <v>0</v>
      </c>
      <c r="C1897">
        <f>B1897*(hospitalityq!C1897="")</f>
        <v>0</v>
      </c>
      <c r="E1897">
        <f>B1897*(hospitalityq!E1897="")</f>
        <v>0</v>
      </c>
      <c r="F1897">
        <f>B1897*(hospitalityq!F1897="")</f>
        <v>0</v>
      </c>
      <c r="G1897">
        <f>B1897*(hospitalityq!G1897="")</f>
        <v>0</v>
      </c>
      <c r="H1897">
        <f>B1897*(hospitalityq!H1897="")</f>
        <v>0</v>
      </c>
      <c r="I1897">
        <f>B1897*(hospitalityq!I1897="")</f>
        <v>0</v>
      </c>
      <c r="J1897">
        <f>B1897*(hospitalityq!J1897="")</f>
        <v>0</v>
      </c>
      <c r="K1897">
        <f>B1897*(hospitalityq!K1897="")</f>
        <v>0</v>
      </c>
      <c r="L1897">
        <f>B1897*(hospitalityq!L1897="")</f>
        <v>0</v>
      </c>
      <c r="M1897">
        <f>B1897*(hospitalityq!M1897="")</f>
        <v>0</v>
      </c>
      <c r="N1897">
        <f>B1897*(hospitalityq!N1897="")</f>
        <v>0</v>
      </c>
      <c r="O1897">
        <f>B1897*(hospitalityq!O1897="")</f>
        <v>0</v>
      </c>
      <c r="P1897">
        <f>B1897*(hospitalityq!P1897="")</f>
        <v>0</v>
      </c>
      <c r="Q1897">
        <f>B1897*(hospitalityq!Q1897="")</f>
        <v>0</v>
      </c>
      <c r="R1897">
        <f>B1897*(hospitalityq!R1897="")</f>
        <v>0</v>
      </c>
    </row>
    <row r="1898" spans="1:18" x14ac:dyDescent="0.25">
      <c r="A1898">
        <f t="shared" si="30"/>
        <v>0</v>
      </c>
      <c r="B1898" t="b">
        <f>SUMPRODUCT(LEN(hospitalityq!C1898:R1898))&gt;0</f>
        <v>0</v>
      </c>
      <c r="C1898">
        <f>B1898*(hospitalityq!C1898="")</f>
        <v>0</v>
      </c>
      <c r="E1898">
        <f>B1898*(hospitalityq!E1898="")</f>
        <v>0</v>
      </c>
      <c r="F1898">
        <f>B1898*(hospitalityq!F1898="")</f>
        <v>0</v>
      </c>
      <c r="G1898">
        <f>B1898*(hospitalityq!G1898="")</f>
        <v>0</v>
      </c>
      <c r="H1898">
        <f>B1898*(hospitalityq!H1898="")</f>
        <v>0</v>
      </c>
      <c r="I1898">
        <f>B1898*(hospitalityq!I1898="")</f>
        <v>0</v>
      </c>
      <c r="J1898">
        <f>B1898*(hospitalityq!J1898="")</f>
        <v>0</v>
      </c>
      <c r="K1898">
        <f>B1898*(hospitalityq!K1898="")</f>
        <v>0</v>
      </c>
      <c r="L1898">
        <f>B1898*(hospitalityq!L1898="")</f>
        <v>0</v>
      </c>
      <c r="M1898">
        <f>B1898*(hospitalityq!M1898="")</f>
        <v>0</v>
      </c>
      <c r="N1898">
        <f>B1898*(hospitalityq!N1898="")</f>
        <v>0</v>
      </c>
      <c r="O1898">
        <f>B1898*(hospitalityq!O1898="")</f>
        <v>0</v>
      </c>
      <c r="P1898">
        <f>B1898*(hospitalityq!P1898="")</f>
        <v>0</v>
      </c>
      <c r="Q1898">
        <f>B1898*(hospitalityq!Q1898="")</f>
        <v>0</v>
      </c>
      <c r="R1898">
        <f>B1898*(hospitalityq!R1898="")</f>
        <v>0</v>
      </c>
    </row>
    <row r="1899" spans="1:18" x14ac:dyDescent="0.25">
      <c r="A1899">
        <f t="shared" si="30"/>
        <v>0</v>
      </c>
      <c r="B1899" t="b">
        <f>SUMPRODUCT(LEN(hospitalityq!C1899:R1899))&gt;0</f>
        <v>0</v>
      </c>
      <c r="C1899">
        <f>B1899*(hospitalityq!C1899="")</f>
        <v>0</v>
      </c>
      <c r="E1899">
        <f>B1899*(hospitalityq!E1899="")</f>
        <v>0</v>
      </c>
      <c r="F1899">
        <f>B1899*(hospitalityq!F1899="")</f>
        <v>0</v>
      </c>
      <c r="G1899">
        <f>B1899*(hospitalityq!G1899="")</f>
        <v>0</v>
      </c>
      <c r="H1899">
        <f>B1899*(hospitalityq!H1899="")</f>
        <v>0</v>
      </c>
      <c r="I1899">
        <f>B1899*(hospitalityq!I1899="")</f>
        <v>0</v>
      </c>
      <c r="J1899">
        <f>B1899*(hospitalityq!J1899="")</f>
        <v>0</v>
      </c>
      <c r="K1899">
        <f>B1899*(hospitalityq!K1899="")</f>
        <v>0</v>
      </c>
      <c r="L1899">
        <f>B1899*(hospitalityq!L1899="")</f>
        <v>0</v>
      </c>
      <c r="M1899">
        <f>B1899*(hospitalityq!M1899="")</f>
        <v>0</v>
      </c>
      <c r="N1899">
        <f>B1899*(hospitalityq!N1899="")</f>
        <v>0</v>
      </c>
      <c r="O1899">
        <f>B1899*(hospitalityq!O1899="")</f>
        <v>0</v>
      </c>
      <c r="P1899">
        <f>B1899*(hospitalityq!P1899="")</f>
        <v>0</v>
      </c>
      <c r="Q1899">
        <f>B1899*(hospitalityq!Q1899="")</f>
        <v>0</v>
      </c>
      <c r="R1899">
        <f>B1899*(hospitalityq!R1899="")</f>
        <v>0</v>
      </c>
    </row>
    <row r="1900" spans="1:18" x14ac:dyDescent="0.25">
      <c r="A1900">
        <f t="shared" si="30"/>
        <v>0</v>
      </c>
      <c r="B1900" t="b">
        <f>SUMPRODUCT(LEN(hospitalityq!C1900:R1900))&gt;0</f>
        <v>0</v>
      </c>
      <c r="C1900">
        <f>B1900*(hospitalityq!C1900="")</f>
        <v>0</v>
      </c>
      <c r="E1900">
        <f>B1900*(hospitalityq!E1900="")</f>
        <v>0</v>
      </c>
      <c r="F1900">
        <f>B1900*(hospitalityq!F1900="")</f>
        <v>0</v>
      </c>
      <c r="G1900">
        <f>B1900*(hospitalityq!G1900="")</f>
        <v>0</v>
      </c>
      <c r="H1900">
        <f>B1900*(hospitalityq!H1900="")</f>
        <v>0</v>
      </c>
      <c r="I1900">
        <f>B1900*(hospitalityq!I1900="")</f>
        <v>0</v>
      </c>
      <c r="J1900">
        <f>B1900*(hospitalityq!J1900="")</f>
        <v>0</v>
      </c>
      <c r="K1900">
        <f>B1900*(hospitalityq!K1900="")</f>
        <v>0</v>
      </c>
      <c r="L1900">
        <f>B1900*(hospitalityq!L1900="")</f>
        <v>0</v>
      </c>
      <c r="M1900">
        <f>B1900*(hospitalityq!M1900="")</f>
        <v>0</v>
      </c>
      <c r="N1900">
        <f>B1900*(hospitalityq!N1900="")</f>
        <v>0</v>
      </c>
      <c r="O1900">
        <f>B1900*(hospitalityq!O1900="")</f>
        <v>0</v>
      </c>
      <c r="P1900">
        <f>B1900*(hospitalityq!P1900="")</f>
        <v>0</v>
      </c>
      <c r="Q1900">
        <f>B1900*(hospitalityq!Q1900="")</f>
        <v>0</v>
      </c>
      <c r="R1900">
        <f>B1900*(hospitalityq!R1900="")</f>
        <v>0</v>
      </c>
    </row>
    <row r="1901" spans="1:18" x14ac:dyDescent="0.25">
      <c r="A1901">
        <f t="shared" si="30"/>
        <v>0</v>
      </c>
      <c r="B1901" t="b">
        <f>SUMPRODUCT(LEN(hospitalityq!C1901:R1901))&gt;0</f>
        <v>0</v>
      </c>
      <c r="C1901">
        <f>B1901*(hospitalityq!C1901="")</f>
        <v>0</v>
      </c>
      <c r="E1901">
        <f>B1901*(hospitalityq!E1901="")</f>
        <v>0</v>
      </c>
      <c r="F1901">
        <f>B1901*(hospitalityq!F1901="")</f>
        <v>0</v>
      </c>
      <c r="G1901">
        <f>B1901*(hospitalityq!G1901="")</f>
        <v>0</v>
      </c>
      <c r="H1901">
        <f>B1901*(hospitalityq!H1901="")</f>
        <v>0</v>
      </c>
      <c r="I1901">
        <f>B1901*(hospitalityq!I1901="")</f>
        <v>0</v>
      </c>
      <c r="J1901">
        <f>B1901*(hospitalityq!J1901="")</f>
        <v>0</v>
      </c>
      <c r="K1901">
        <f>B1901*(hospitalityq!K1901="")</f>
        <v>0</v>
      </c>
      <c r="L1901">
        <f>B1901*(hospitalityq!L1901="")</f>
        <v>0</v>
      </c>
      <c r="M1901">
        <f>B1901*(hospitalityq!M1901="")</f>
        <v>0</v>
      </c>
      <c r="N1901">
        <f>B1901*(hospitalityq!N1901="")</f>
        <v>0</v>
      </c>
      <c r="O1901">
        <f>B1901*(hospitalityq!O1901="")</f>
        <v>0</v>
      </c>
      <c r="P1901">
        <f>B1901*(hospitalityq!P1901="")</f>
        <v>0</v>
      </c>
      <c r="Q1901">
        <f>B1901*(hospitalityq!Q1901="")</f>
        <v>0</v>
      </c>
      <c r="R1901">
        <f>B1901*(hospitalityq!R1901="")</f>
        <v>0</v>
      </c>
    </row>
    <row r="1902" spans="1:18" x14ac:dyDescent="0.25">
      <c r="A1902">
        <f t="shared" si="30"/>
        <v>0</v>
      </c>
      <c r="B1902" t="b">
        <f>SUMPRODUCT(LEN(hospitalityq!C1902:R1902))&gt;0</f>
        <v>0</v>
      </c>
      <c r="C1902">
        <f>B1902*(hospitalityq!C1902="")</f>
        <v>0</v>
      </c>
      <c r="E1902">
        <f>B1902*(hospitalityq!E1902="")</f>
        <v>0</v>
      </c>
      <c r="F1902">
        <f>B1902*(hospitalityq!F1902="")</f>
        <v>0</v>
      </c>
      <c r="G1902">
        <f>B1902*(hospitalityq!G1902="")</f>
        <v>0</v>
      </c>
      <c r="H1902">
        <f>B1902*(hospitalityq!H1902="")</f>
        <v>0</v>
      </c>
      <c r="I1902">
        <f>B1902*(hospitalityq!I1902="")</f>
        <v>0</v>
      </c>
      <c r="J1902">
        <f>B1902*(hospitalityq!J1902="")</f>
        <v>0</v>
      </c>
      <c r="K1902">
        <f>B1902*(hospitalityq!K1902="")</f>
        <v>0</v>
      </c>
      <c r="L1902">
        <f>B1902*(hospitalityq!L1902="")</f>
        <v>0</v>
      </c>
      <c r="M1902">
        <f>B1902*(hospitalityq!M1902="")</f>
        <v>0</v>
      </c>
      <c r="N1902">
        <f>B1902*(hospitalityq!N1902="")</f>
        <v>0</v>
      </c>
      <c r="O1902">
        <f>B1902*(hospitalityq!O1902="")</f>
        <v>0</v>
      </c>
      <c r="P1902">
        <f>B1902*(hospitalityq!P1902="")</f>
        <v>0</v>
      </c>
      <c r="Q1902">
        <f>B1902*(hospitalityq!Q1902="")</f>
        <v>0</v>
      </c>
      <c r="R1902">
        <f>B1902*(hospitalityq!R1902="")</f>
        <v>0</v>
      </c>
    </row>
    <row r="1903" spans="1:18" x14ac:dyDescent="0.25">
      <c r="A1903">
        <f t="shared" si="30"/>
        <v>0</v>
      </c>
      <c r="B1903" t="b">
        <f>SUMPRODUCT(LEN(hospitalityq!C1903:R1903))&gt;0</f>
        <v>0</v>
      </c>
      <c r="C1903">
        <f>B1903*(hospitalityq!C1903="")</f>
        <v>0</v>
      </c>
      <c r="E1903">
        <f>B1903*(hospitalityq!E1903="")</f>
        <v>0</v>
      </c>
      <c r="F1903">
        <f>B1903*(hospitalityq!F1903="")</f>
        <v>0</v>
      </c>
      <c r="G1903">
        <f>B1903*(hospitalityq!G1903="")</f>
        <v>0</v>
      </c>
      <c r="H1903">
        <f>B1903*(hospitalityq!H1903="")</f>
        <v>0</v>
      </c>
      <c r="I1903">
        <f>B1903*(hospitalityq!I1903="")</f>
        <v>0</v>
      </c>
      <c r="J1903">
        <f>B1903*(hospitalityq!J1903="")</f>
        <v>0</v>
      </c>
      <c r="K1903">
        <f>B1903*(hospitalityq!K1903="")</f>
        <v>0</v>
      </c>
      <c r="L1903">
        <f>B1903*(hospitalityq!L1903="")</f>
        <v>0</v>
      </c>
      <c r="M1903">
        <f>B1903*(hospitalityq!M1903="")</f>
        <v>0</v>
      </c>
      <c r="N1903">
        <f>B1903*(hospitalityq!N1903="")</f>
        <v>0</v>
      </c>
      <c r="O1903">
        <f>B1903*(hospitalityq!O1903="")</f>
        <v>0</v>
      </c>
      <c r="P1903">
        <f>B1903*(hospitalityq!P1903="")</f>
        <v>0</v>
      </c>
      <c r="Q1903">
        <f>B1903*(hospitalityq!Q1903="")</f>
        <v>0</v>
      </c>
      <c r="R1903">
        <f>B1903*(hospitalityq!R1903="")</f>
        <v>0</v>
      </c>
    </row>
    <row r="1904" spans="1:18" x14ac:dyDescent="0.25">
      <c r="A1904">
        <f t="shared" si="30"/>
        <v>0</v>
      </c>
      <c r="B1904" t="b">
        <f>SUMPRODUCT(LEN(hospitalityq!C1904:R1904))&gt;0</f>
        <v>0</v>
      </c>
      <c r="C1904">
        <f>B1904*(hospitalityq!C1904="")</f>
        <v>0</v>
      </c>
      <c r="E1904">
        <f>B1904*(hospitalityq!E1904="")</f>
        <v>0</v>
      </c>
      <c r="F1904">
        <f>B1904*(hospitalityq!F1904="")</f>
        <v>0</v>
      </c>
      <c r="G1904">
        <f>B1904*(hospitalityq!G1904="")</f>
        <v>0</v>
      </c>
      <c r="H1904">
        <f>B1904*(hospitalityq!H1904="")</f>
        <v>0</v>
      </c>
      <c r="I1904">
        <f>B1904*(hospitalityq!I1904="")</f>
        <v>0</v>
      </c>
      <c r="J1904">
        <f>B1904*(hospitalityq!J1904="")</f>
        <v>0</v>
      </c>
      <c r="K1904">
        <f>B1904*(hospitalityq!K1904="")</f>
        <v>0</v>
      </c>
      <c r="L1904">
        <f>B1904*(hospitalityq!L1904="")</f>
        <v>0</v>
      </c>
      <c r="M1904">
        <f>B1904*(hospitalityq!M1904="")</f>
        <v>0</v>
      </c>
      <c r="N1904">
        <f>B1904*(hospitalityq!N1904="")</f>
        <v>0</v>
      </c>
      <c r="O1904">
        <f>B1904*(hospitalityq!O1904="")</f>
        <v>0</v>
      </c>
      <c r="P1904">
        <f>B1904*(hospitalityq!P1904="")</f>
        <v>0</v>
      </c>
      <c r="Q1904">
        <f>B1904*(hospitalityq!Q1904="")</f>
        <v>0</v>
      </c>
      <c r="R1904">
        <f>B1904*(hospitalityq!R1904="")</f>
        <v>0</v>
      </c>
    </row>
    <row r="1905" spans="1:18" x14ac:dyDescent="0.25">
      <c r="A1905">
        <f t="shared" si="30"/>
        <v>0</v>
      </c>
      <c r="B1905" t="b">
        <f>SUMPRODUCT(LEN(hospitalityq!C1905:R1905))&gt;0</f>
        <v>0</v>
      </c>
      <c r="C1905">
        <f>B1905*(hospitalityq!C1905="")</f>
        <v>0</v>
      </c>
      <c r="E1905">
        <f>B1905*(hospitalityq!E1905="")</f>
        <v>0</v>
      </c>
      <c r="F1905">
        <f>B1905*(hospitalityq!F1905="")</f>
        <v>0</v>
      </c>
      <c r="G1905">
        <f>B1905*(hospitalityq!G1905="")</f>
        <v>0</v>
      </c>
      <c r="H1905">
        <f>B1905*(hospitalityq!H1905="")</f>
        <v>0</v>
      </c>
      <c r="I1905">
        <f>B1905*(hospitalityq!I1905="")</f>
        <v>0</v>
      </c>
      <c r="J1905">
        <f>B1905*(hospitalityq!J1905="")</f>
        <v>0</v>
      </c>
      <c r="K1905">
        <f>B1905*(hospitalityq!K1905="")</f>
        <v>0</v>
      </c>
      <c r="L1905">
        <f>B1905*(hospitalityq!L1905="")</f>
        <v>0</v>
      </c>
      <c r="M1905">
        <f>B1905*(hospitalityq!M1905="")</f>
        <v>0</v>
      </c>
      <c r="N1905">
        <f>B1905*(hospitalityq!N1905="")</f>
        <v>0</v>
      </c>
      <c r="O1905">
        <f>B1905*(hospitalityq!O1905="")</f>
        <v>0</v>
      </c>
      <c r="P1905">
        <f>B1905*(hospitalityq!P1905="")</f>
        <v>0</v>
      </c>
      <c r="Q1905">
        <f>B1905*(hospitalityq!Q1905="")</f>
        <v>0</v>
      </c>
      <c r="R1905">
        <f>B1905*(hospitalityq!R1905="")</f>
        <v>0</v>
      </c>
    </row>
    <row r="1906" spans="1:18" x14ac:dyDescent="0.25">
      <c r="A1906">
        <f t="shared" si="30"/>
        <v>0</v>
      </c>
      <c r="B1906" t="b">
        <f>SUMPRODUCT(LEN(hospitalityq!C1906:R1906))&gt;0</f>
        <v>0</v>
      </c>
      <c r="C1906">
        <f>B1906*(hospitalityq!C1906="")</f>
        <v>0</v>
      </c>
      <c r="E1906">
        <f>B1906*(hospitalityq!E1906="")</f>
        <v>0</v>
      </c>
      <c r="F1906">
        <f>B1906*(hospitalityq!F1906="")</f>
        <v>0</v>
      </c>
      <c r="G1906">
        <f>B1906*(hospitalityq!G1906="")</f>
        <v>0</v>
      </c>
      <c r="H1906">
        <f>B1906*(hospitalityq!H1906="")</f>
        <v>0</v>
      </c>
      <c r="I1906">
        <f>B1906*(hospitalityq!I1906="")</f>
        <v>0</v>
      </c>
      <c r="J1906">
        <f>B1906*(hospitalityq!J1906="")</f>
        <v>0</v>
      </c>
      <c r="K1906">
        <f>B1906*(hospitalityq!K1906="")</f>
        <v>0</v>
      </c>
      <c r="L1906">
        <f>B1906*(hospitalityq!L1906="")</f>
        <v>0</v>
      </c>
      <c r="M1906">
        <f>B1906*(hospitalityq!M1906="")</f>
        <v>0</v>
      </c>
      <c r="N1906">
        <f>B1906*(hospitalityq!N1906="")</f>
        <v>0</v>
      </c>
      <c r="O1906">
        <f>B1906*(hospitalityq!O1906="")</f>
        <v>0</v>
      </c>
      <c r="P1906">
        <f>B1906*(hospitalityq!P1906="")</f>
        <v>0</v>
      </c>
      <c r="Q1906">
        <f>B1906*(hospitalityq!Q1906="")</f>
        <v>0</v>
      </c>
      <c r="R1906">
        <f>B1906*(hospitalityq!R1906="")</f>
        <v>0</v>
      </c>
    </row>
    <row r="1907" spans="1:18" x14ac:dyDescent="0.25">
      <c r="A1907">
        <f t="shared" si="30"/>
        <v>0</v>
      </c>
      <c r="B1907" t="b">
        <f>SUMPRODUCT(LEN(hospitalityq!C1907:R1907))&gt;0</f>
        <v>0</v>
      </c>
      <c r="C1907">
        <f>B1907*(hospitalityq!C1907="")</f>
        <v>0</v>
      </c>
      <c r="E1907">
        <f>B1907*(hospitalityq!E1907="")</f>
        <v>0</v>
      </c>
      <c r="F1907">
        <f>B1907*(hospitalityq!F1907="")</f>
        <v>0</v>
      </c>
      <c r="G1907">
        <f>B1907*(hospitalityq!G1907="")</f>
        <v>0</v>
      </c>
      <c r="H1907">
        <f>B1907*(hospitalityq!H1907="")</f>
        <v>0</v>
      </c>
      <c r="I1907">
        <f>B1907*(hospitalityq!I1907="")</f>
        <v>0</v>
      </c>
      <c r="J1907">
        <f>B1907*(hospitalityq!J1907="")</f>
        <v>0</v>
      </c>
      <c r="K1907">
        <f>B1907*(hospitalityq!K1907="")</f>
        <v>0</v>
      </c>
      <c r="L1907">
        <f>B1907*(hospitalityq!L1907="")</f>
        <v>0</v>
      </c>
      <c r="M1907">
        <f>B1907*(hospitalityq!M1907="")</f>
        <v>0</v>
      </c>
      <c r="N1907">
        <f>B1907*(hospitalityq!N1907="")</f>
        <v>0</v>
      </c>
      <c r="O1907">
        <f>B1907*(hospitalityq!O1907="")</f>
        <v>0</v>
      </c>
      <c r="P1907">
        <f>B1907*(hospitalityq!P1907="")</f>
        <v>0</v>
      </c>
      <c r="Q1907">
        <f>B1907*(hospitalityq!Q1907="")</f>
        <v>0</v>
      </c>
      <c r="R1907">
        <f>B1907*(hospitalityq!R1907="")</f>
        <v>0</v>
      </c>
    </row>
    <row r="1908" spans="1:18" x14ac:dyDescent="0.25">
      <c r="A1908">
        <f t="shared" si="30"/>
        <v>0</v>
      </c>
      <c r="B1908" t="b">
        <f>SUMPRODUCT(LEN(hospitalityq!C1908:R1908))&gt;0</f>
        <v>0</v>
      </c>
      <c r="C1908">
        <f>B1908*(hospitalityq!C1908="")</f>
        <v>0</v>
      </c>
      <c r="E1908">
        <f>B1908*(hospitalityq!E1908="")</f>
        <v>0</v>
      </c>
      <c r="F1908">
        <f>B1908*(hospitalityq!F1908="")</f>
        <v>0</v>
      </c>
      <c r="G1908">
        <f>B1908*(hospitalityq!G1908="")</f>
        <v>0</v>
      </c>
      <c r="H1908">
        <f>B1908*(hospitalityq!H1908="")</f>
        <v>0</v>
      </c>
      <c r="I1908">
        <f>B1908*(hospitalityq!I1908="")</f>
        <v>0</v>
      </c>
      <c r="J1908">
        <f>B1908*(hospitalityq!J1908="")</f>
        <v>0</v>
      </c>
      <c r="K1908">
        <f>B1908*(hospitalityq!K1908="")</f>
        <v>0</v>
      </c>
      <c r="L1908">
        <f>B1908*(hospitalityq!L1908="")</f>
        <v>0</v>
      </c>
      <c r="M1908">
        <f>B1908*(hospitalityq!M1908="")</f>
        <v>0</v>
      </c>
      <c r="N1908">
        <f>B1908*(hospitalityq!N1908="")</f>
        <v>0</v>
      </c>
      <c r="O1908">
        <f>B1908*(hospitalityq!O1908="")</f>
        <v>0</v>
      </c>
      <c r="P1908">
        <f>B1908*(hospitalityq!P1908="")</f>
        <v>0</v>
      </c>
      <c r="Q1908">
        <f>B1908*(hospitalityq!Q1908="")</f>
        <v>0</v>
      </c>
      <c r="R1908">
        <f>B1908*(hospitalityq!R1908="")</f>
        <v>0</v>
      </c>
    </row>
    <row r="1909" spans="1:18" x14ac:dyDescent="0.25">
      <c r="A1909">
        <f t="shared" si="30"/>
        <v>0</v>
      </c>
      <c r="B1909" t="b">
        <f>SUMPRODUCT(LEN(hospitalityq!C1909:R1909))&gt;0</f>
        <v>0</v>
      </c>
      <c r="C1909">
        <f>B1909*(hospitalityq!C1909="")</f>
        <v>0</v>
      </c>
      <c r="E1909">
        <f>B1909*(hospitalityq!E1909="")</f>
        <v>0</v>
      </c>
      <c r="F1909">
        <f>B1909*(hospitalityq!F1909="")</f>
        <v>0</v>
      </c>
      <c r="G1909">
        <f>B1909*(hospitalityq!G1909="")</f>
        <v>0</v>
      </c>
      <c r="H1909">
        <f>B1909*(hospitalityq!H1909="")</f>
        <v>0</v>
      </c>
      <c r="I1909">
        <f>B1909*(hospitalityq!I1909="")</f>
        <v>0</v>
      </c>
      <c r="J1909">
        <f>B1909*(hospitalityq!J1909="")</f>
        <v>0</v>
      </c>
      <c r="K1909">
        <f>B1909*(hospitalityq!K1909="")</f>
        <v>0</v>
      </c>
      <c r="L1909">
        <f>B1909*(hospitalityq!L1909="")</f>
        <v>0</v>
      </c>
      <c r="M1909">
        <f>B1909*(hospitalityq!M1909="")</f>
        <v>0</v>
      </c>
      <c r="N1909">
        <f>B1909*(hospitalityq!N1909="")</f>
        <v>0</v>
      </c>
      <c r="O1909">
        <f>B1909*(hospitalityq!O1909="")</f>
        <v>0</v>
      </c>
      <c r="P1909">
        <f>B1909*(hospitalityq!P1909="")</f>
        <v>0</v>
      </c>
      <c r="Q1909">
        <f>B1909*(hospitalityq!Q1909="")</f>
        <v>0</v>
      </c>
      <c r="R1909">
        <f>B1909*(hospitalityq!R1909="")</f>
        <v>0</v>
      </c>
    </row>
    <row r="1910" spans="1:18" x14ac:dyDescent="0.25">
      <c r="A1910">
        <f t="shared" si="30"/>
        <v>0</v>
      </c>
      <c r="B1910" t="b">
        <f>SUMPRODUCT(LEN(hospitalityq!C1910:R1910))&gt;0</f>
        <v>0</v>
      </c>
      <c r="C1910">
        <f>B1910*(hospitalityq!C1910="")</f>
        <v>0</v>
      </c>
      <c r="E1910">
        <f>B1910*(hospitalityq!E1910="")</f>
        <v>0</v>
      </c>
      <c r="F1910">
        <f>B1910*(hospitalityq!F1910="")</f>
        <v>0</v>
      </c>
      <c r="G1910">
        <f>B1910*(hospitalityq!G1910="")</f>
        <v>0</v>
      </c>
      <c r="H1910">
        <f>B1910*(hospitalityq!H1910="")</f>
        <v>0</v>
      </c>
      <c r="I1910">
        <f>B1910*(hospitalityq!I1910="")</f>
        <v>0</v>
      </c>
      <c r="J1910">
        <f>B1910*(hospitalityq!J1910="")</f>
        <v>0</v>
      </c>
      <c r="K1910">
        <f>B1910*(hospitalityq!K1910="")</f>
        <v>0</v>
      </c>
      <c r="L1910">
        <f>B1910*(hospitalityq!L1910="")</f>
        <v>0</v>
      </c>
      <c r="M1910">
        <f>B1910*(hospitalityq!M1910="")</f>
        <v>0</v>
      </c>
      <c r="N1910">
        <f>B1910*(hospitalityq!N1910="")</f>
        <v>0</v>
      </c>
      <c r="O1910">
        <f>B1910*(hospitalityq!O1910="")</f>
        <v>0</v>
      </c>
      <c r="P1910">
        <f>B1910*(hospitalityq!P1910="")</f>
        <v>0</v>
      </c>
      <c r="Q1910">
        <f>B1910*(hospitalityq!Q1910="")</f>
        <v>0</v>
      </c>
      <c r="R1910">
        <f>B1910*(hospitalityq!R1910="")</f>
        <v>0</v>
      </c>
    </row>
    <row r="1911" spans="1:18" x14ac:dyDescent="0.25">
      <c r="A1911">
        <f t="shared" si="30"/>
        <v>0</v>
      </c>
      <c r="B1911" t="b">
        <f>SUMPRODUCT(LEN(hospitalityq!C1911:R1911))&gt;0</f>
        <v>0</v>
      </c>
      <c r="C1911">
        <f>B1911*(hospitalityq!C1911="")</f>
        <v>0</v>
      </c>
      <c r="E1911">
        <f>B1911*(hospitalityq!E1911="")</f>
        <v>0</v>
      </c>
      <c r="F1911">
        <f>B1911*(hospitalityq!F1911="")</f>
        <v>0</v>
      </c>
      <c r="G1911">
        <f>B1911*(hospitalityq!G1911="")</f>
        <v>0</v>
      </c>
      <c r="H1911">
        <f>B1911*(hospitalityq!H1911="")</f>
        <v>0</v>
      </c>
      <c r="I1911">
        <f>B1911*(hospitalityq!I1911="")</f>
        <v>0</v>
      </c>
      <c r="J1911">
        <f>B1911*(hospitalityq!J1911="")</f>
        <v>0</v>
      </c>
      <c r="K1911">
        <f>B1911*(hospitalityq!K1911="")</f>
        <v>0</v>
      </c>
      <c r="L1911">
        <f>B1911*(hospitalityq!L1911="")</f>
        <v>0</v>
      </c>
      <c r="M1911">
        <f>B1911*(hospitalityq!M1911="")</f>
        <v>0</v>
      </c>
      <c r="N1911">
        <f>B1911*(hospitalityq!N1911="")</f>
        <v>0</v>
      </c>
      <c r="O1911">
        <f>B1911*(hospitalityq!O1911="")</f>
        <v>0</v>
      </c>
      <c r="P1911">
        <f>B1911*(hospitalityq!P1911="")</f>
        <v>0</v>
      </c>
      <c r="Q1911">
        <f>B1911*(hospitalityq!Q1911="")</f>
        <v>0</v>
      </c>
      <c r="R1911">
        <f>B1911*(hospitalityq!R1911="")</f>
        <v>0</v>
      </c>
    </row>
    <row r="1912" spans="1:18" x14ac:dyDescent="0.25">
      <c r="A1912">
        <f t="shared" si="30"/>
        <v>0</v>
      </c>
      <c r="B1912" t="b">
        <f>SUMPRODUCT(LEN(hospitalityq!C1912:R1912))&gt;0</f>
        <v>0</v>
      </c>
      <c r="C1912">
        <f>B1912*(hospitalityq!C1912="")</f>
        <v>0</v>
      </c>
      <c r="E1912">
        <f>B1912*(hospitalityq!E1912="")</f>
        <v>0</v>
      </c>
      <c r="F1912">
        <f>B1912*(hospitalityq!F1912="")</f>
        <v>0</v>
      </c>
      <c r="G1912">
        <f>B1912*(hospitalityq!G1912="")</f>
        <v>0</v>
      </c>
      <c r="H1912">
        <f>B1912*(hospitalityq!H1912="")</f>
        <v>0</v>
      </c>
      <c r="I1912">
        <f>B1912*(hospitalityq!I1912="")</f>
        <v>0</v>
      </c>
      <c r="J1912">
        <f>B1912*(hospitalityq!J1912="")</f>
        <v>0</v>
      </c>
      <c r="K1912">
        <f>B1912*(hospitalityq!K1912="")</f>
        <v>0</v>
      </c>
      <c r="L1912">
        <f>B1912*(hospitalityq!L1912="")</f>
        <v>0</v>
      </c>
      <c r="M1912">
        <f>B1912*(hospitalityq!M1912="")</f>
        <v>0</v>
      </c>
      <c r="N1912">
        <f>B1912*(hospitalityq!N1912="")</f>
        <v>0</v>
      </c>
      <c r="O1912">
        <f>B1912*(hospitalityq!O1912="")</f>
        <v>0</v>
      </c>
      <c r="P1912">
        <f>B1912*(hospitalityq!P1912="")</f>
        <v>0</v>
      </c>
      <c r="Q1912">
        <f>B1912*(hospitalityq!Q1912="")</f>
        <v>0</v>
      </c>
      <c r="R1912">
        <f>B1912*(hospitalityq!R1912="")</f>
        <v>0</v>
      </c>
    </row>
    <row r="1913" spans="1:18" x14ac:dyDescent="0.25">
      <c r="A1913">
        <f t="shared" si="30"/>
        <v>0</v>
      </c>
      <c r="B1913" t="b">
        <f>SUMPRODUCT(LEN(hospitalityq!C1913:R1913))&gt;0</f>
        <v>0</v>
      </c>
      <c r="C1913">
        <f>B1913*(hospitalityq!C1913="")</f>
        <v>0</v>
      </c>
      <c r="E1913">
        <f>B1913*(hospitalityq!E1913="")</f>
        <v>0</v>
      </c>
      <c r="F1913">
        <f>B1913*(hospitalityq!F1913="")</f>
        <v>0</v>
      </c>
      <c r="G1913">
        <f>B1913*(hospitalityq!G1913="")</f>
        <v>0</v>
      </c>
      <c r="H1913">
        <f>B1913*(hospitalityq!H1913="")</f>
        <v>0</v>
      </c>
      <c r="I1913">
        <f>B1913*(hospitalityq!I1913="")</f>
        <v>0</v>
      </c>
      <c r="J1913">
        <f>B1913*(hospitalityq!J1913="")</f>
        <v>0</v>
      </c>
      <c r="K1913">
        <f>B1913*(hospitalityq!K1913="")</f>
        <v>0</v>
      </c>
      <c r="L1913">
        <f>B1913*(hospitalityq!L1913="")</f>
        <v>0</v>
      </c>
      <c r="M1913">
        <f>B1913*(hospitalityq!M1913="")</f>
        <v>0</v>
      </c>
      <c r="N1913">
        <f>B1913*(hospitalityq!N1913="")</f>
        <v>0</v>
      </c>
      <c r="O1913">
        <f>B1913*(hospitalityq!O1913="")</f>
        <v>0</v>
      </c>
      <c r="P1913">
        <f>B1913*(hospitalityq!P1913="")</f>
        <v>0</v>
      </c>
      <c r="Q1913">
        <f>B1913*(hospitalityq!Q1913="")</f>
        <v>0</v>
      </c>
      <c r="R1913">
        <f>B1913*(hospitalityq!R1913="")</f>
        <v>0</v>
      </c>
    </row>
    <row r="1914" spans="1:18" x14ac:dyDescent="0.25">
      <c r="A1914">
        <f t="shared" si="30"/>
        <v>0</v>
      </c>
      <c r="B1914" t="b">
        <f>SUMPRODUCT(LEN(hospitalityq!C1914:R1914))&gt;0</f>
        <v>0</v>
      </c>
      <c r="C1914">
        <f>B1914*(hospitalityq!C1914="")</f>
        <v>0</v>
      </c>
      <c r="E1914">
        <f>B1914*(hospitalityq!E1914="")</f>
        <v>0</v>
      </c>
      <c r="F1914">
        <f>B1914*(hospitalityq!F1914="")</f>
        <v>0</v>
      </c>
      <c r="G1914">
        <f>B1914*(hospitalityq!G1914="")</f>
        <v>0</v>
      </c>
      <c r="H1914">
        <f>B1914*(hospitalityq!H1914="")</f>
        <v>0</v>
      </c>
      <c r="I1914">
        <f>B1914*(hospitalityq!I1914="")</f>
        <v>0</v>
      </c>
      <c r="J1914">
        <f>B1914*(hospitalityq!J1914="")</f>
        <v>0</v>
      </c>
      <c r="K1914">
        <f>B1914*(hospitalityq!K1914="")</f>
        <v>0</v>
      </c>
      <c r="L1914">
        <f>B1914*(hospitalityq!L1914="")</f>
        <v>0</v>
      </c>
      <c r="M1914">
        <f>B1914*(hospitalityq!M1914="")</f>
        <v>0</v>
      </c>
      <c r="N1914">
        <f>B1914*(hospitalityq!N1914="")</f>
        <v>0</v>
      </c>
      <c r="O1914">
        <f>B1914*(hospitalityq!O1914="")</f>
        <v>0</v>
      </c>
      <c r="P1914">
        <f>B1914*(hospitalityq!P1914="")</f>
        <v>0</v>
      </c>
      <c r="Q1914">
        <f>B1914*(hospitalityq!Q1914="")</f>
        <v>0</v>
      </c>
      <c r="R1914">
        <f>B1914*(hospitalityq!R1914="")</f>
        <v>0</v>
      </c>
    </row>
    <row r="1915" spans="1:18" x14ac:dyDescent="0.25">
      <c r="A1915">
        <f t="shared" si="30"/>
        <v>0</v>
      </c>
      <c r="B1915" t="b">
        <f>SUMPRODUCT(LEN(hospitalityq!C1915:R1915))&gt;0</f>
        <v>0</v>
      </c>
      <c r="C1915">
        <f>B1915*(hospitalityq!C1915="")</f>
        <v>0</v>
      </c>
      <c r="E1915">
        <f>B1915*(hospitalityq!E1915="")</f>
        <v>0</v>
      </c>
      <c r="F1915">
        <f>B1915*(hospitalityq!F1915="")</f>
        <v>0</v>
      </c>
      <c r="G1915">
        <f>B1915*(hospitalityq!G1915="")</f>
        <v>0</v>
      </c>
      <c r="H1915">
        <f>B1915*(hospitalityq!H1915="")</f>
        <v>0</v>
      </c>
      <c r="I1915">
        <f>B1915*(hospitalityq!I1915="")</f>
        <v>0</v>
      </c>
      <c r="J1915">
        <f>B1915*(hospitalityq!J1915="")</f>
        <v>0</v>
      </c>
      <c r="K1915">
        <f>B1915*(hospitalityq!K1915="")</f>
        <v>0</v>
      </c>
      <c r="L1915">
        <f>B1915*(hospitalityq!L1915="")</f>
        <v>0</v>
      </c>
      <c r="M1915">
        <f>B1915*(hospitalityq!M1915="")</f>
        <v>0</v>
      </c>
      <c r="N1915">
        <f>B1915*(hospitalityq!N1915="")</f>
        <v>0</v>
      </c>
      <c r="O1915">
        <f>B1915*(hospitalityq!O1915="")</f>
        <v>0</v>
      </c>
      <c r="P1915">
        <f>B1915*(hospitalityq!P1915="")</f>
        <v>0</v>
      </c>
      <c r="Q1915">
        <f>B1915*(hospitalityq!Q1915="")</f>
        <v>0</v>
      </c>
      <c r="R1915">
        <f>B1915*(hospitalityq!R1915="")</f>
        <v>0</v>
      </c>
    </row>
    <row r="1916" spans="1:18" x14ac:dyDescent="0.25">
      <c r="A1916">
        <f t="shared" si="30"/>
        <v>0</v>
      </c>
      <c r="B1916" t="b">
        <f>SUMPRODUCT(LEN(hospitalityq!C1916:R1916))&gt;0</f>
        <v>0</v>
      </c>
      <c r="C1916">
        <f>B1916*(hospitalityq!C1916="")</f>
        <v>0</v>
      </c>
      <c r="E1916">
        <f>B1916*(hospitalityq!E1916="")</f>
        <v>0</v>
      </c>
      <c r="F1916">
        <f>B1916*(hospitalityq!F1916="")</f>
        <v>0</v>
      </c>
      <c r="G1916">
        <f>B1916*(hospitalityq!G1916="")</f>
        <v>0</v>
      </c>
      <c r="H1916">
        <f>B1916*(hospitalityq!H1916="")</f>
        <v>0</v>
      </c>
      <c r="I1916">
        <f>B1916*(hospitalityq!I1916="")</f>
        <v>0</v>
      </c>
      <c r="J1916">
        <f>B1916*(hospitalityq!J1916="")</f>
        <v>0</v>
      </c>
      <c r="K1916">
        <f>B1916*(hospitalityq!K1916="")</f>
        <v>0</v>
      </c>
      <c r="L1916">
        <f>B1916*(hospitalityq!L1916="")</f>
        <v>0</v>
      </c>
      <c r="M1916">
        <f>B1916*(hospitalityq!M1916="")</f>
        <v>0</v>
      </c>
      <c r="N1916">
        <f>B1916*(hospitalityq!N1916="")</f>
        <v>0</v>
      </c>
      <c r="O1916">
        <f>B1916*(hospitalityq!O1916="")</f>
        <v>0</v>
      </c>
      <c r="P1916">
        <f>B1916*(hospitalityq!P1916="")</f>
        <v>0</v>
      </c>
      <c r="Q1916">
        <f>B1916*(hospitalityq!Q1916="")</f>
        <v>0</v>
      </c>
      <c r="R1916">
        <f>B1916*(hospitalityq!R1916="")</f>
        <v>0</v>
      </c>
    </row>
    <row r="1917" spans="1:18" x14ac:dyDescent="0.25">
      <c r="A1917">
        <f t="shared" si="30"/>
        <v>0</v>
      </c>
      <c r="B1917" t="b">
        <f>SUMPRODUCT(LEN(hospitalityq!C1917:R1917))&gt;0</f>
        <v>0</v>
      </c>
      <c r="C1917">
        <f>B1917*(hospitalityq!C1917="")</f>
        <v>0</v>
      </c>
      <c r="E1917">
        <f>B1917*(hospitalityq!E1917="")</f>
        <v>0</v>
      </c>
      <c r="F1917">
        <f>B1917*(hospitalityq!F1917="")</f>
        <v>0</v>
      </c>
      <c r="G1917">
        <f>B1917*(hospitalityq!G1917="")</f>
        <v>0</v>
      </c>
      <c r="H1917">
        <f>B1917*(hospitalityq!H1917="")</f>
        <v>0</v>
      </c>
      <c r="I1917">
        <f>B1917*(hospitalityq!I1917="")</f>
        <v>0</v>
      </c>
      <c r="J1917">
        <f>B1917*(hospitalityq!J1917="")</f>
        <v>0</v>
      </c>
      <c r="K1917">
        <f>B1917*(hospitalityq!K1917="")</f>
        <v>0</v>
      </c>
      <c r="L1917">
        <f>B1917*(hospitalityq!L1917="")</f>
        <v>0</v>
      </c>
      <c r="M1917">
        <f>B1917*(hospitalityq!M1917="")</f>
        <v>0</v>
      </c>
      <c r="N1917">
        <f>B1917*(hospitalityq!N1917="")</f>
        <v>0</v>
      </c>
      <c r="O1917">
        <f>B1917*(hospitalityq!O1917="")</f>
        <v>0</v>
      </c>
      <c r="P1917">
        <f>B1917*(hospitalityq!P1917="")</f>
        <v>0</v>
      </c>
      <c r="Q1917">
        <f>B1917*(hospitalityq!Q1917="")</f>
        <v>0</v>
      </c>
      <c r="R1917">
        <f>B1917*(hospitalityq!R1917="")</f>
        <v>0</v>
      </c>
    </row>
    <row r="1918" spans="1:18" x14ac:dyDescent="0.25">
      <c r="A1918">
        <f t="shared" si="30"/>
        <v>0</v>
      </c>
      <c r="B1918" t="b">
        <f>SUMPRODUCT(LEN(hospitalityq!C1918:R1918))&gt;0</f>
        <v>0</v>
      </c>
      <c r="C1918">
        <f>B1918*(hospitalityq!C1918="")</f>
        <v>0</v>
      </c>
      <c r="E1918">
        <f>B1918*(hospitalityq!E1918="")</f>
        <v>0</v>
      </c>
      <c r="F1918">
        <f>B1918*(hospitalityq!F1918="")</f>
        <v>0</v>
      </c>
      <c r="G1918">
        <f>B1918*(hospitalityq!G1918="")</f>
        <v>0</v>
      </c>
      <c r="H1918">
        <f>B1918*(hospitalityq!H1918="")</f>
        <v>0</v>
      </c>
      <c r="I1918">
        <f>B1918*(hospitalityq!I1918="")</f>
        <v>0</v>
      </c>
      <c r="J1918">
        <f>B1918*(hospitalityq!J1918="")</f>
        <v>0</v>
      </c>
      <c r="K1918">
        <f>B1918*(hospitalityq!K1918="")</f>
        <v>0</v>
      </c>
      <c r="L1918">
        <f>B1918*(hospitalityq!L1918="")</f>
        <v>0</v>
      </c>
      <c r="M1918">
        <f>B1918*(hospitalityq!M1918="")</f>
        <v>0</v>
      </c>
      <c r="N1918">
        <f>B1918*(hospitalityq!N1918="")</f>
        <v>0</v>
      </c>
      <c r="O1918">
        <f>B1918*(hospitalityq!O1918="")</f>
        <v>0</v>
      </c>
      <c r="P1918">
        <f>B1918*(hospitalityq!P1918="")</f>
        <v>0</v>
      </c>
      <c r="Q1918">
        <f>B1918*(hospitalityq!Q1918="")</f>
        <v>0</v>
      </c>
      <c r="R1918">
        <f>B1918*(hospitalityq!R1918="")</f>
        <v>0</v>
      </c>
    </row>
    <row r="1919" spans="1:18" x14ac:dyDescent="0.25">
      <c r="A1919">
        <f t="shared" si="30"/>
        <v>0</v>
      </c>
      <c r="B1919" t="b">
        <f>SUMPRODUCT(LEN(hospitalityq!C1919:R1919))&gt;0</f>
        <v>0</v>
      </c>
      <c r="C1919">
        <f>B1919*(hospitalityq!C1919="")</f>
        <v>0</v>
      </c>
      <c r="E1919">
        <f>B1919*(hospitalityq!E1919="")</f>
        <v>0</v>
      </c>
      <c r="F1919">
        <f>B1919*(hospitalityq!F1919="")</f>
        <v>0</v>
      </c>
      <c r="G1919">
        <f>B1919*(hospitalityq!G1919="")</f>
        <v>0</v>
      </c>
      <c r="H1919">
        <f>B1919*(hospitalityq!H1919="")</f>
        <v>0</v>
      </c>
      <c r="I1919">
        <f>B1919*(hospitalityq!I1919="")</f>
        <v>0</v>
      </c>
      <c r="J1919">
        <f>B1919*(hospitalityq!J1919="")</f>
        <v>0</v>
      </c>
      <c r="K1919">
        <f>B1919*(hospitalityq!K1919="")</f>
        <v>0</v>
      </c>
      <c r="L1919">
        <f>B1919*(hospitalityq!L1919="")</f>
        <v>0</v>
      </c>
      <c r="M1919">
        <f>B1919*(hospitalityq!M1919="")</f>
        <v>0</v>
      </c>
      <c r="N1919">
        <f>B1919*(hospitalityq!N1919="")</f>
        <v>0</v>
      </c>
      <c r="O1919">
        <f>B1919*(hospitalityq!O1919="")</f>
        <v>0</v>
      </c>
      <c r="P1919">
        <f>B1919*(hospitalityq!P1919="")</f>
        <v>0</v>
      </c>
      <c r="Q1919">
        <f>B1919*(hospitalityq!Q1919="")</f>
        <v>0</v>
      </c>
      <c r="R1919">
        <f>B1919*(hospitalityq!R1919="")</f>
        <v>0</v>
      </c>
    </row>
    <row r="1920" spans="1:18" x14ac:dyDescent="0.25">
      <c r="A1920">
        <f t="shared" si="30"/>
        <v>0</v>
      </c>
      <c r="B1920" t="b">
        <f>SUMPRODUCT(LEN(hospitalityq!C1920:R1920))&gt;0</f>
        <v>0</v>
      </c>
      <c r="C1920">
        <f>B1920*(hospitalityq!C1920="")</f>
        <v>0</v>
      </c>
      <c r="E1920">
        <f>B1920*(hospitalityq!E1920="")</f>
        <v>0</v>
      </c>
      <c r="F1920">
        <f>B1920*(hospitalityq!F1920="")</f>
        <v>0</v>
      </c>
      <c r="G1920">
        <f>B1920*(hospitalityq!G1920="")</f>
        <v>0</v>
      </c>
      <c r="H1920">
        <f>B1920*(hospitalityq!H1920="")</f>
        <v>0</v>
      </c>
      <c r="I1920">
        <f>B1920*(hospitalityq!I1920="")</f>
        <v>0</v>
      </c>
      <c r="J1920">
        <f>B1920*(hospitalityq!J1920="")</f>
        <v>0</v>
      </c>
      <c r="K1920">
        <f>B1920*(hospitalityq!K1920="")</f>
        <v>0</v>
      </c>
      <c r="L1920">
        <f>B1920*(hospitalityq!L1920="")</f>
        <v>0</v>
      </c>
      <c r="M1920">
        <f>B1920*(hospitalityq!M1920="")</f>
        <v>0</v>
      </c>
      <c r="N1920">
        <f>B1920*(hospitalityq!N1920="")</f>
        <v>0</v>
      </c>
      <c r="O1920">
        <f>B1920*(hospitalityq!O1920="")</f>
        <v>0</v>
      </c>
      <c r="P1920">
        <f>B1920*(hospitalityq!P1920="")</f>
        <v>0</v>
      </c>
      <c r="Q1920">
        <f>B1920*(hospitalityq!Q1920="")</f>
        <v>0</v>
      </c>
      <c r="R1920">
        <f>B1920*(hospitalityq!R1920="")</f>
        <v>0</v>
      </c>
    </row>
    <row r="1921" spans="1:18" x14ac:dyDescent="0.25">
      <c r="A1921">
        <f t="shared" si="30"/>
        <v>0</v>
      </c>
      <c r="B1921" t="b">
        <f>SUMPRODUCT(LEN(hospitalityq!C1921:R1921))&gt;0</f>
        <v>0</v>
      </c>
      <c r="C1921">
        <f>B1921*(hospitalityq!C1921="")</f>
        <v>0</v>
      </c>
      <c r="E1921">
        <f>B1921*(hospitalityq!E1921="")</f>
        <v>0</v>
      </c>
      <c r="F1921">
        <f>B1921*(hospitalityq!F1921="")</f>
        <v>0</v>
      </c>
      <c r="G1921">
        <f>B1921*(hospitalityq!G1921="")</f>
        <v>0</v>
      </c>
      <c r="H1921">
        <f>B1921*(hospitalityq!H1921="")</f>
        <v>0</v>
      </c>
      <c r="I1921">
        <f>B1921*(hospitalityq!I1921="")</f>
        <v>0</v>
      </c>
      <c r="J1921">
        <f>B1921*(hospitalityq!J1921="")</f>
        <v>0</v>
      </c>
      <c r="K1921">
        <f>B1921*(hospitalityq!K1921="")</f>
        <v>0</v>
      </c>
      <c r="L1921">
        <f>B1921*(hospitalityq!L1921="")</f>
        <v>0</v>
      </c>
      <c r="M1921">
        <f>B1921*(hospitalityq!M1921="")</f>
        <v>0</v>
      </c>
      <c r="N1921">
        <f>B1921*(hospitalityq!N1921="")</f>
        <v>0</v>
      </c>
      <c r="O1921">
        <f>B1921*(hospitalityq!O1921="")</f>
        <v>0</v>
      </c>
      <c r="P1921">
        <f>B1921*(hospitalityq!P1921="")</f>
        <v>0</v>
      </c>
      <c r="Q1921">
        <f>B1921*(hospitalityq!Q1921="")</f>
        <v>0</v>
      </c>
      <c r="R1921">
        <f>B1921*(hospitalityq!R1921="")</f>
        <v>0</v>
      </c>
    </row>
    <row r="1922" spans="1:18" x14ac:dyDescent="0.25">
      <c r="A1922">
        <f t="shared" si="30"/>
        <v>0</v>
      </c>
      <c r="B1922" t="b">
        <f>SUMPRODUCT(LEN(hospitalityq!C1922:R1922))&gt;0</f>
        <v>0</v>
      </c>
      <c r="C1922">
        <f>B1922*(hospitalityq!C1922="")</f>
        <v>0</v>
      </c>
      <c r="E1922">
        <f>B1922*(hospitalityq!E1922="")</f>
        <v>0</v>
      </c>
      <c r="F1922">
        <f>B1922*(hospitalityq!F1922="")</f>
        <v>0</v>
      </c>
      <c r="G1922">
        <f>B1922*(hospitalityq!G1922="")</f>
        <v>0</v>
      </c>
      <c r="H1922">
        <f>B1922*(hospitalityq!H1922="")</f>
        <v>0</v>
      </c>
      <c r="I1922">
        <f>B1922*(hospitalityq!I1922="")</f>
        <v>0</v>
      </c>
      <c r="J1922">
        <f>B1922*(hospitalityq!J1922="")</f>
        <v>0</v>
      </c>
      <c r="K1922">
        <f>B1922*(hospitalityq!K1922="")</f>
        <v>0</v>
      </c>
      <c r="L1922">
        <f>B1922*(hospitalityq!L1922="")</f>
        <v>0</v>
      </c>
      <c r="M1922">
        <f>B1922*(hospitalityq!M1922="")</f>
        <v>0</v>
      </c>
      <c r="N1922">
        <f>B1922*(hospitalityq!N1922="")</f>
        <v>0</v>
      </c>
      <c r="O1922">
        <f>B1922*(hospitalityq!O1922="")</f>
        <v>0</v>
      </c>
      <c r="P1922">
        <f>B1922*(hospitalityq!P1922="")</f>
        <v>0</v>
      </c>
      <c r="Q1922">
        <f>B1922*(hospitalityq!Q1922="")</f>
        <v>0</v>
      </c>
      <c r="R1922">
        <f>B1922*(hospitalityq!R1922="")</f>
        <v>0</v>
      </c>
    </row>
    <row r="1923" spans="1:18" x14ac:dyDescent="0.25">
      <c r="A1923">
        <f t="shared" si="30"/>
        <v>0</v>
      </c>
      <c r="B1923" t="b">
        <f>SUMPRODUCT(LEN(hospitalityq!C1923:R1923))&gt;0</f>
        <v>0</v>
      </c>
      <c r="C1923">
        <f>B1923*(hospitalityq!C1923="")</f>
        <v>0</v>
      </c>
      <c r="E1923">
        <f>B1923*(hospitalityq!E1923="")</f>
        <v>0</v>
      </c>
      <c r="F1923">
        <f>B1923*(hospitalityq!F1923="")</f>
        <v>0</v>
      </c>
      <c r="G1923">
        <f>B1923*(hospitalityq!G1923="")</f>
        <v>0</v>
      </c>
      <c r="H1923">
        <f>B1923*(hospitalityq!H1923="")</f>
        <v>0</v>
      </c>
      <c r="I1923">
        <f>B1923*(hospitalityq!I1923="")</f>
        <v>0</v>
      </c>
      <c r="J1923">
        <f>B1923*(hospitalityq!J1923="")</f>
        <v>0</v>
      </c>
      <c r="K1923">
        <f>B1923*(hospitalityq!K1923="")</f>
        <v>0</v>
      </c>
      <c r="L1923">
        <f>B1923*(hospitalityq!L1923="")</f>
        <v>0</v>
      </c>
      <c r="M1923">
        <f>B1923*(hospitalityq!M1923="")</f>
        <v>0</v>
      </c>
      <c r="N1923">
        <f>B1923*(hospitalityq!N1923="")</f>
        <v>0</v>
      </c>
      <c r="O1923">
        <f>B1923*(hospitalityq!O1923="")</f>
        <v>0</v>
      </c>
      <c r="P1923">
        <f>B1923*(hospitalityq!P1923="")</f>
        <v>0</v>
      </c>
      <c r="Q1923">
        <f>B1923*(hospitalityq!Q1923="")</f>
        <v>0</v>
      </c>
      <c r="R1923">
        <f>B1923*(hospitalityq!R1923="")</f>
        <v>0</v>
      </c>
    </row>
    <row r="1924" spans="1:18" x14ac:dyDescent="0.25">
      <c r="A1924">
        <f t="shared" si="30"/>
        <v>0</v>
      </c>
      <c r="B1924" t="b">
        <f>SUMPRODUCT(LEN(hospitalityq!C1924:R1924))&gt;0</f>
        <v>0</v>
      </c>
      <c r="C1924">
        <f>B1924*(hospitalityq!C1924="")</f>
        <v>0</v>
      </c>
      <c r="E1924">
        <f>B1924*(hospitalityq!E1924="")</f>
        <v>0</v>
      </c>
      <c r="F1924">
        <f>B1924*(hospitalityq!F1924="")</f>
        <v>0</v>
      </c>
      <c r="G1924">
        <f>B1924*(hospitalityq!G1924="")</f>
        <v>0</v>
      </c>
      <c r="H1924">
        <f>B1924*(hospitalityq!H1924="")</f>
        <v>0</v>
      </c>
      <c r="I1924">
        <f>B1924*(hospitalityq!I1924="")</f>
        <v>0</v>
      </c>
      <c r="J1924">
        <f>B1924*(hospitalityq!J1924="")</f>
        <v>0</v>
      </c>
      <c r="K1924">
        <f>B1924*(hospitalityq!K1924="")</f>
        <v>0</v>
      </c>
      <c r="L1924">
        <f>B1924*(hospitalityq!L1924="")</f>
        <v>0</v>
      </c>
      <c r="M1924">
        <f>B1924*(hospitalityq!M1924="")</f>
        <v>0</v>
      </c>
      <c r="N1924">
        <f>B1924*(hospitalityq!N1924="")</f>
        <v>0</v>
      </c>
      <c r="O1924">
        <f>B1924*(hospitalityq!O1924="")</f>
        <v>0</v>
      </c>
      <c r="P1924">
        <f>B1924*(hospitalityq!P1924="")</f>
        <v>0</v>
      </c>
      <c r="Q1924">
        <f>B1924*(hospitalityq!Q1924="")</f>
        <v>0</v>
      </c>
      <c r="R1924">
        <f>B1924*(hospitalityq!R1924="")</f>
        <v>0</v>
      </c>
    </row>
    <row r="1925" spans="1:18" x14ac:dyDescent="0.25">
      <c r="A1925">
        <f t="shared" si="30"/>
        <v>0</v>
      </c>
      <c r="B1925" t="b">
        <f>SUMPRODUCT(LEN(hospitalityq!C1925:R1925))&gt;0</f>
        <v>0</v>
      </c>
      <c r="C1925">
        <f>B1925*(hospitalityq!C1925="")</f>
        <v>0</v>
      </c>
      <c r="E1925">
        <f>B1925*(hospitalityq!E1925="")</f>
        <v>0</v>
      </c>
      <c r="F1925">
        <f>B1925*(hospitalityq!F1925="")</f>
        <v>0</v>
      </c>
      <c r="G1925">
        <f>B1925*(hospitalityq!G1925="")</f>
        <v>0</v>
      </c>
      <c r="H1925">
        <f>B1925*(hospitalityq!H1925="")</f>
        <v>0</v>
      </c>
      <c r="I1925">
        <f>B1925*(hospitalityq!I1925="")</f>
        <v>0</v>
      </c>
      <c r="J1925">
        <f>B1925*(hospitalityq!J1925="")</f>
        <v>0</v>
      </c>
      <c r="K1925">
        <f>B1925*(hospitalityq!K1925="")</f>
        <v>0</v>
      </c>
      <c r="L1925">
        <f>B1925*(hospitalityq!L1925="")</f>
        <v>0</v>
      </c>
      <c r="M1925">
        <f>B1925*(hospitalityq!M1925="")</f>
        <v>0</v>
      </c>
      <c r="N1925">
        <f>B1925*(hospitalityq!N1925="")</f>
        <v>0</v>
      </c>
      <c r="O1925">
        <f>B1925*(hospitalityq!O1925="")</f>
        <v>0</v>
      </c>
      <c r="P1925">
        <f>B1925*(hospitalityq!P1925="")</f>
        <v>0</v>
      </c>
      <c r="Q1925">
        <f>B1925*(hospitalityq!Q1925="")</f>
        <v>0</v>
      </c>
      <c r="R1925">
        <f>B1925*(hospitalityq!R1925="")</f>
        <v>0</v>
      </c>
    </row>
    <row r="1926" spans="1:18" x14ac:dyDescent="0.25">
      <c r="A1926">
        <f t="shared" ref="A1926:A1989" si="31">IFERROR(MATCH(TRUE,INDEX(C1926:R1926&lt;&gt;0,),)+2,0)</f>
        <v>0</v>
      </c>
      <c r="B1926" t="b">
        <f>SUMPRODUCT(LEN(hospitalityq!C1926:R1926))&gt;0</f>
        <v>0</v>
      </c>
      <c r="C1926">
        <f>B1926*(hospitalityq!C1926="")</f>
        <v>0</v>
      </c>
      <c r="E1926">
        <f>B1926*(hospitalityq!E1926="")</f>
        <v>0</v>
      </c>
      <c r="F1926">
        <f>B1926*(hospitalityq!F1926="")</f>
        <v>0</v>
      </c>
      <c r="G1926">
        <f>B1926*(hospitalityq!G1926="")</f>
        <v>0</v>
      </c>
      <c r="H1926">
        <f>B1926*(hospitalityq!H1926="")</f>
        <v>0</v>
      </c>
      <c r="I1926">
        <f>B1926*(hospitalityq!I1926="")</f>
        <v>0</v>
      </c>
      <c r="J1926">
        <f>B1926*(hospitalityq!J1926="")</f>
        <v>0</v>
      </c>
      <c r="K1926">
        <f>B1926*(hospitalityq!K1926="")</f>
        <v>0</v>
      </c>
      <c r="L1926">
        <f>B1926*(hospitalityq!L1926="")</f>
        <v>0</v>
      </c>
      <c r="M1926">
        <f>B1926*(hospitalityq!M1926="")</f>
        <v>0</v>
      </c>
      <c r="N1926">
        <f>B1926*(hospitalityq!N1926="")</f>
        <v>0</v>
      </c>
      <c r="O1926">
        <f>B1926*(hospitalityq!O1926="")</f>
        <v>0</v>
      </c>
      <c r="P1926">
        <f>B1926*(hospitalityq!P1926="")</f>
        <v>0</v>
      </c>
      <c r="Q1926">
        <f>B1926*(hospitalityq!Q1926="")</f>
        <v>0</v>
      </c>
      <c r="R1926">
        <f>B1926*(hospitalityq!R1926="")</f>
        <v>0</v>
      </c>
    </row>
    <row r="1927" spans="1:18" x14ac:dyDescent="0.25">
      <c r="A1927">
        <f t="shared" si="31"/>
        <v>0</v>
      </c>
      <c r="B1927" t="b">
        <f>SUMPRODUCT(LEN(hospitalityq!C1927:R1927))&gt;0</f>
        <v>0</v>
      </c>
      <c r="C1927">
        <f>B1927*(hospitalityq!C1927="")</f>
        <v>0</v>
      </c>
      <c r="E1927">
        <f>B1927*(hospitalityq!E1927="")</f>
        <v>0</v>
      </c>
      <c r="F1927">
        <f>B1927*(hospitalityq!F1927="")</f>
        <v>0</v>
      </c>
      <c r="G1927">
        <f>B1927*(hospitalityq!G1927="")</f>
        <v>0</v>
      </c>
      <c r="H1927">
        <f>B1927*(hospitalityq!H1927="")</f>
        <v>0</v>
      </c>
      <c r="I1927">
        <f>B1927*(hospitalityq!I1927="")</f>
        <v>0</v>
      </c>
      <c r="J1927">
        <f>B1927*(hospitalityq!J1927="")</f>
        <v>0</v>
      </c>
      <c r="K1927">
        <f>B1927*(hospitalityq!K1927="")</f>
        <v>0</v>
      </c>
      <c r="L1927">
        <f>B1927*(hospitalityq!L1927="")</f>
        <v>0</v>
      </c>
      <c r="M1927">
        <f>B1927*(hospitalityq!M1927="")</f>
        <v>0</v>
      </c>
      <c r="N1927">
        <f>B1927*(hospitalityq!N1927="")</f>
        <v>0</v>
      </c>
      <c r="O1927">
        <f>B1927*(hospitalityq!O1927="")</f>
        <v>0</v>
      </c>
      <c r="P1927">
        <f>B1927*(hospitalityq!P1927="")</f>
        <v>0</v>
      </c>
      <c r="Q1927">
        <f>B1927*(hospitalityq!Q1927="")</f>
        <v>0</v>
      </c>
      <c r="R1927">
        <f>B1927*(hospitalityq!R1927="")</f>
        <v>0</v>
      </c>
    </row>
    <row r="1928" spans="1:18" x14ac:dyDescent="0.25">
      <c r="A1928">
        <f t="shared" si="31"/>
        <v>0</v>
      </c>
      <c r="B1928" t="b">
        <f>SUMPRODUCT(LEN(hospitalityq!C1928:R1928))&gt;0</f>
        <v>0</v>
      </c>
      <c r="C1928">
        <f>B1928*(hospitalityq!C1928="")</f>
        <v>0</v>
      </c>
      <c r="E1928">
        <f>B1928*(hospitalityq!E1928="")</f>
        <v>0</v>
      </c>
      <c r="F1928">
        <f>B1928*(hospitalityq!F1928="")</f>
        <v>0</v>
      </c>
      <c r="G1928">
        <f>B1928*(hospitalityq!G1928="")</f>
        <v>0</v>
      </c>
      <c r="H1928">
        <f>B1928*(hospitalityq!H1928="")</f>
        <v>0</v>
      </c>
      <c r="I1928">
        <f>B1928*(hospitalityq!I1928="")</f>
        <v>0</v>
      </c>
      <c r="J1928">
        <f>B1928*(hospitalityq!J1928="")</f>
        <v>0</v>
      </c>
      <c r="K1928">
        <f>B1928*(hospitalityq!K1928="")</f>
        <v>0</v>
      </c>
      <c r="L1928">
        <f>B1928*(hospitalityq!L1928="")</f>
        <v>0</v>
      </c>
      <c r="M1928">
        <f>B1928*(hospitalityq!M1928="")</f>
        <v>0</v>
      </c>
      <c r="N1928">
        <f>B1928*(hospitalityq!N1928="")</f>
        <v>0</v>
      </c>
      <c r="O1928">
        <f>B1928*(hospitalityq!O1928="")</f>
        <v>0</v>
      </c>
      <c r="P1928">
        <f>B1928*(hospitalityq!P1928="")</f>
        <v>0</v>
      </c>
      <c r="Q1928">
        <f>B1928*(hospitalityq!Q1928="")</f>
        <v>0</v>
      </c>
      <c r="R1928">
        <f>B1928*(hospitalityq!R1928="")</f>
        <v>0</v>
      </c>
    </row>
    <row r="1929" spans="1:18" x14ac:dyDescent="0.25">
      <c r="A1929">
        <f t="shared" si="31"/>
        <v>0</v>
      </c>
      <c r="B1929" t="b">
        <f>SUMPRODUCT(LEN(hospitalityq!C1929:R1929))&gt;0</f>
        <v>0</v>
      </c>
      <c r="C1929">
        <f>B1929*(hospitalityq!C1929="")</f>
        <v>0</v>
      </c>
      <c r="E1929">
        <f>B1929*(hospitalityq!E1929="")</f>
        <v>0</v>
      </c>
      <c r="F1929">
        <f>B1929*(hospitalityq!F1929="")</f>
        <v>0</v>
      </c>
      <c r="G1929">
        <f>B1929*(hospitalityq!G1929="")</f>
        <v>0</v>
      </c>
      <c r="H1929">
        <f>B1929*(hospitalityq!H1929="")</f>
        <v>0</v>
      </c>
      <c r="I1929">
        <f>B1929*(hospitalityq!I1929="")</f>
        <v>0</v>
      </c>
      <c r="J1929">
        <f>B1929*(hospitalityq!J1929="")</f>
        <v>0</v>
      </c>
      <c r="K1929">
        <f>B1929*(hospitalityq!K1929="")</f>
        <v>0</v>
      </c>
      <c r="L1929">
        <f>B1929*(hospitalityq!L1929="")</f>
        <v>0</v>
      </c>
      <c r="M1929">
        <f>B1929*(hospitalityq!M1929="")</f>
        <v>0</v>
      </c>
      <c r="N1929">
        <f>B1929*(hospitalityq!N1929="")</f>
        <v>0</v>
      </c>
      <c r="O1929">
        <f>B1929*(hospitalityq!O1929="")</f>
        <v>0</v>
      </c>
      <c r="P1929">
        <f>B1929*(hospitalityq!P1929="")</f>
        <v>0</v>
      </c>
      <c r="Q1929">
        <f>B1929*(hospitalityq!Q1929="")</f>
        <v>0</v>
      </c>
      <c r="R1929">
        <f>B1929*(hospitalityq!R1929="")</f>
        <v>0</v>
      </c>
    </row>
    <row r="1930" spans="1:18" x14ac:dyDescent="0.25">
      <c r="A1930">
        <f t="shared" si="31"/>
        <v>0</v>
      </c>
      <c r="B1930" t="b">
        <f>SUMPRODUCT(LEN(hospitalityq!C1930:R1930))&gt;0</f>
        <v>0</v>
      </c>
      <c r="C1930">
        <f>B1930*(hospitalityq!C1930="")</f>
        <v>0</v>
      </c>
      <c r="E1930">
        <f>B1930*(hospitalityq!E1930="")</f>
        <v>0</v>
      </c>
      <c r="F1930">
        <f>B1930*(hospitalityq!F1930="")</f>
        <v>0</v>
      </c>
      <c r="G1930">
        <f>B1930*(hospitalityq!G1930="")</f>
        <v>0</v>
      </c>
      <c r="H1930">
        <f>B1930*(hospitalityq!H1930="")</f>
        <v>0</v>
      </c>
      <c r="I1930">
        <f>B1930*(hospitalityq!I1930="")</f>
        <v>0</v>
      </c>
      <c r="J1930">
        <f>B1930*(hospitalityq!J1930="")</f>
        <v>0</v>
      </c>
      <c r="K1930">
        <f>B1930*(hospitalityq!K1930="")</f>
        <v>0</v>
      </c>
      <c r="L1930">
        <f>B1930*(hospitalityq!L1930="")</f>
        <v>0</v>
      </c>
      <c r="M1930">
        <f>B1930*(hospitalityq!M1930="")</f>
        <v>0</v>
      </c>
      <c r="N1930">
        <f>B1930*(hospitalityq!N1930="")</f>
        <v>0</v>
      </c>
      <c r="O1930">
        <f>B1930*(hospitalityq!O1930="")</f>
        <v>0</v>
      </c>
      <c r="P1930">
        <f>B1930*(hospitalityq!P1930="")</f>
        <v>0</v>
      </c>
      <c r="Q1930">
        <f>B1930*(hospitalityq!Q1930="")</f>
        <v>0</v>
      </c>
      <c r="R1930">
        <f>B1930*(hospitalityq!R1930="")</f>
        <v>0</v>
      </c>
    </row>
    <row r="1931" spans="1:18" x14ac:dyDescent="0.25">
      <c r="A1931">
        <f t="shared" si="31"/>
        <v>0</v>
      </c>
      <c r="B1931" t="b">
        <f>SUMPRODUCT(LEN(hospitalityq!C1931:R1931))&gt;0</f>
        <v>0</v>
      </c>
      <c r="C1931">
        <f>B1931*(hospitalityq!C1931="")</f>
        <v>0</v>
      </c>
      <c r="E1931">
        <f>B1931*(hospitalityq!E1931="")</f>
        <v>0</v>
      </c>
      <c r="F1931">
        <f>B1931*(hospitalityq!F1931="")</f>
        <v>0</v>
      </c>
      <c r="G1931">
        <f>B1931*(hospitalityq!G1931="")</f>
        <v>0</v>
      </c>
      <c r="H1931">
        <f>B1931*(hospitalityq!H1931="")</f>
        <v>0</v>
      </c>
      <c r="I1931">
        <f>B1931*(hospitalityq!I1931="")</f>
        <v>0</v>
      </c>
      <c r="J1931">
        <f>B1931*(hospitalityq!J1931="")</f>
        <v>0</v>
      </c>
      <c r="K1931">
        <f>B1931*(hospitalityq!K1931="")</f>
        <v>0</v>
      </c>
      <c r="L1931">
        <f>B1931*(hospitalityq!L1931="")</f>
        <v>0</v>
      </c>
      <c r="M1931">
        <f>B1931*(hospitalityq!M1931="")</f>
        <v>0</v>
      </c>
      <c r="N1931">
        <f>B1931*(hospitalityq!N1931="")</f>
        <v>0</v>
      </c>
      <c r="O1931">
        <f>B1931*(hospitalityq!O1931="")</f>
        <v>0</v>
      </c>
      <c r="P1931">
        <f>B1931*(hospitalityq!P1931="")</f>
        <v>0</v>
      </c>
      <c r="Q1931">
        <f>B1931*(hospitalityq!Q1931="")</f>
        <v>0</v>
      </c>
      <c r="R1931">
        <f>B1931*(hospitalityq!R1931="")</f>
        <v>0</v>
      </c>
    </row>
    <row r="1932" spans="1:18" x14ac:dyDescent="0.25">
      <c r="A1932">
        <f t="shared" si="31"/>
        <v>0</v>
      </c>
      <c r="B1932" t="b">
        <f>SUMPRODUCT(LEN(hospitalityq!C1932:R1932))&gt;0</f>
        <v>0</v>
      </c>
      <c r="C1932">
        <f>B1932*(hospitalityq!C1932="")</f>
        <v>0</v>
      </c>
      <c r="E1932">
        <f>B1932*(hospitalityq!E1932="")</f>
        <v>0</v>
      </c>
      <c r="F1932">
        <f>B1932*(hospitalityq!F1932="")</f>
        <v>0</v>
      </c>
      <c r="G1932">
        <f>B1932*(hospitalityq!G1932="")</f>
        <v>0</v>
      </c>
      <c r="H1932">
        <f>B1932*(hospitalityq!H1932="")</f>
        <v>0</v>
      </c>
      <c r="I1932">
        <f>B1932*(hospitalityq!I1932="")</f>
        <v>0</v>
      </c>
      <c r="J1932">
        <f>B1932*(hospitalityq!J1932="")</f>
        <v>0</v>
      </c>
      <c r="K1932">
        <f>B1932*(hospitalityq!K1932="")</f>
        <v>0</v>
      </c>
      <c r="L1932">
        <f>B1932*(hospitalityq!L1932="")</f>
        <v>0</v>
      </c>
      <c r="M1932">
        <f>B1932*(hospitalityq!M1932="")</f>
        <v>0</v>
      </c>
      <c r="N1932">
        <f>B1932*(hospitalityq!N1932="")</f>
        <v>0</v>
      </c>
      <c r="O1932">
        <f>B1932*(hospitalityq!O1932="")</f>
        <v>0</v>
      </c>
      <c r="P1932">
        <f>B1932*(hospitalityq!P1932="")</f>
        <v>0</v>
      </c>
      <c r="Q1932">
        <f>B1932*(hospitalityq!Q1932="")</f>
        <v>0</v>
      </c>
      <c r="R1932">
        <f>B1932*(hospitalityq!R1932="")</f>
        <v>0</v>
      </c>
    </row>
    <row r="1933" spans="1:18" x14ac:dyDescent="0.25">
      <c r="A1933">
        <f t="shared" si="31"/>
        <v>0</v>
      </c>
      <c r="B1933" t="b">
        <f>SUMPRODUCT(LEN(hospitalityq!C1933:R1933))&gt;0</f>
        <v>0</v>
      </c>
      <c r="C1933">
        <f>B1933*(hospitalityq!C1933="")</f>
        <v>0</v>
      </c>
      <c r="E1933">
        <f>B1933*(hospitalityq!E1933="")</f>
        <v>0</v>
      </c>
      <c r="F1933">
        <f>B1933*(hospitalityq!F1933="")</f>
        <v>0</v>
      </c>
      <c r="G1933">
        <f>B1933*(hospitalityq!G1933="")</f>
        <v>0</v>
      </c>
      <c r="H1933">
        <f>B1933*(hospitalityq!H1933="")</f>
        <v>0</v>
      </c>
      <c r="I1933">
        <f>B1933*(hospitalityq!I1933="")</f>
        <v>0</v>
      </c>
      <c r="J1933">
        <f>B1933*(hospitalityq!J1933="")</f>
        <v>0</v>
      </c>
      <c r="K1933">
        <f>B1933*(hospitalityq!K1933="")</f>
        <v>0</v>
      </c>
      <c r="L1933">
        <f>B1933*(hospitalityq!L1933="")</f>
        <v>0</v>
      </c>
      <c r="M1933">
        <f>B1933*(hospitalityq!M1933="")</f>
        <v>0</v>
      </c>
      <c r="N1933">
        <f>B1933*(hospitalityq!N1933="")</f>
        <v>0</v>
      </c>
      <c r="O1933">
        <f>B1933*(hospitalityq!O1933="")</f>
        <v>0</v>
      </c>
      <c r="P1933">
        <f>B1933*(hospitalityq!P1933="")</f>
        <v>0</v>
      </c>
      <c r="Q1933">
        <f>B1933*(hospitalityq!Q1933="")</f>
        <v>0</v>
      </c>
      <c r="R1933">
        <f>B1933*(hospitalityq!R1933="")</f>
        <v>0</v>
      </c>
    </row>
    <row r="1934" spans="1:18" x14ac:dyDescent="0.25">
      <c r="A1934">
        <f t="shared" si="31"/>
        <v>0</v>
      </c>
      <c r="B1934" t="b">
        <f>SUMPRODUCT(LEN(hospitalityq!C1934:R1934))&gt;0</f>
        <v>0</v>
      </c>
      <c r="C1934">
        <f>B1934*(hospitalityq!C1934="")</f>
        <v>0</v>
      </c>
      <c r="E1934">
        <f>B1934*(hospitalityq!E1934="")</f>
        <v>0</v>
      </c>
      <c r="F1934">
        <f>B1934*(hospitalityq!F1934="")</f>
        <v>0</v>
      </c>
      <c r="G1934">
        <f>B1934*(hospitalityq!G1934="")</f>
        <v>0</v>
      </c>
      <c r="H1934">
        <f>B1934*(hospitalityq!H1934="")</f>
        <v>0</v>
      </c>
      <c r="I1934">
        <f>B1934*(hospitalityq!I1934="")</f>
        <v>0</v>
      </c>
      <c r="J1934">
        <f>B1934*(hospitalityq!J1934="")</f>
        <v>0</v>
      </c>
      <c r="K1934">
        <f>B1934*(hospitalityq!K1934="")</f>
        <v>0</v>
      </c>
      <c r="L1934">
        <f>B1934*(hospitalityq!L1934="")</f>
        <v>0</v>
      </c>
      <c r="M1934">
        <f>B1934*(hospitalityq!M1934="")</f>
        <v>0</v>
      </c>
      <c r="N1934">
        <f>B1934*(hospitalityq!N1934="")</f>
        <v>0</v>
      </c>
      <c r="O1934">
        <f>B1934*(hospitalityq!O1934="")</f>
        <v>0</v>
      </c>
      <c r="P1934">
        <f>B1934*(hospitalityq!P1934="")</f>
        <v>0</v>
      </c>
      <c r="Q1934">
        <f>B1934*(hospitalityq!Q1934="")</f>
        <v>0</v>
      </c>
      <c r="R1934">
        <f>B1934*(hospitalityq!R1934="")</f>
        <v>0</v>
      </c>
    </row>
    <row r="1935" spans="1:18" x14ac:dyDescent="0.25">
      <c r="A1935">
        <f t="shared" si="31"/>
        <v>0</v>
      </c>
      <c r="B1935" t="b">
        <f>SUMPRODUCT(LEN(hospitalityq!C1935:R1935))&gt;0</f>
        <v>0</v>
      </c>
      <c r="C1935">
        <f>B1935*(hospitalityq!C1935="")</f>
        <v>0</v>
      </c>
      <c r="E1935">
        <f>B1935*(hospitalityq!E1935="")</f>
        <v>0</v>
      </c>
      <c r="F1935">
        <f>B1935*(hospitalityq!F1935="")</f>
        <v>0</v>
      </c>
      <c r="G1935">
        <f>B1935*(hospitalityq!G1935="")</f>
        <v>0</v>
      </c>
      <c r="H1935">
        <f>B1935*(hospitalityq!H1935="")</f>
        <v>0</v>
      </c>
      <c r="I1935">
        <f>B1935*(hospitalityq!I1935="")</f>
        <v>0</v>
      </c>
      <c r="J1935">
        <f>B1935*(hospitalityq!J1935="")</f>
        <v>0</v>
      </c>
      <c r="K1935">
        <f>B1935*(hospitalityq!K1935="")</f>
        <v>0</v>
      </c>
      <c r="L1935">
        <f>B1935*(hospitalityq!L1935="")</f>
        <v>0</v>
      </c>
      <c r="M1935">
        <f>B1935*(hospitalityq!M1935="")</f>
        <v>0</v>
      </c>
      <c r="N1935">
        <f>B1935*(hospitalityq!N1935="")</f>
        <v>0</v>
      </c>
      <c r="O1935">
        <f>B1935*(hospitalityq!O1935="")</f>
        <v>0</v>
      </c>
      <c r="P1935">
        <f>B1935*(hospitalityq!P1935="")</f>
        <v>0</v>
      </c>
      <c r="Q1935">
        <f>B1935*(hospitalityq!Q1935="")</f>
        <v>0</v>
      </c>
      <c r="R1935">
        <f>B1935*(hospitalityq!R1935="")</f>
        <v>0</v>
      </c>
    </row>
    <row r="1936" spans="1:18" x14ac:dyDescent="0.25">
      <c r="A1936">
        <f t="shared" si="31"/>
        <v>0</v>
      </c>
      <c r="B1936" t="b">
        <f>SUMPRODUCT(LEN(hospitalityq!C1936:R1936))&gt;0</f>
        <v>0</v>
      </c>
      <c r="C1936">
        <f>B1936*(hospitalityq!C1936="")</f>
        <v>0</v>
      </c>
      <c r="E1936">
        <f>B1936*(hospitalityq!E1936="")</f>
        <v>0</v>
      </c>
      <c r="F1936">
        <f>B1936*(hospitalityq!F1936="")</f>
        <v>0</v>
      </c>
      <c r="G1936">
        <f>B1936*(hospitalityq!G1936="")</f>
        <v>0</v>
      </c>
      <c r="H1936">
        <f>B1936*(hospitalityq!H1936="")</f>
        <v>0</v>
      </c>
      <c r="I1936">
        <f>B1936*(hospitalityq!I1936="")</f>
        <v>0</v>
      </c>
      <c r="J1936">
        <f>B1936*(hospitalityq!J1936="")</f>
        <v>0</v>
      </c>
      <c r="K1936">
        <f>B1936*(hospitalityq!K1936="")</f>
        <v>0</v>
      </c>
      <c r="L1936">
        <f>B1936*(hospitalityq!L1936="")</f>
        <v>0</v>
      </c>
      <c r="M1936">
        <f>B1936*(hospitalityq!M1936="")</f>
        <v>0</v>
      </c>
      <c r="N1936">
        <f>B1936*(hospitalityq!N1936="")</f>
        <v>0</v>
      </c>
      <c r="O1936">
        <f>B1936*(hospitalityq!O1936="")</f>
        <v>0</v>
      </c>
      <c r="P1936">
        <f>B1936*(hospitalityq!P1936="")</f>
        <v>0</v>
      </c>
      <c r="Q1936">
        <f>B1936*(hospitalityq!Q1936="")</f>
        <v>0</v>
      </c>
      <c r="R1936">
        <f>B1936*(hospitalityq!R1936="")</f>
        <v>0</v>
      </c>
    </row>
    <row r="1937" spans="1:18" x14ac:dyDescent="0.25">
      <c r="A1937">
        <f t="shared" si="31"/>
        <v>0</v>
      </c>
      <c r="B1937" t="b">
        <f>SUMPRODUCT(LEN(hospitalityq!C1937:R1937))&gt;0</f>
        <v>0</v>
      </c>
      <c r="C1937">
        <f>B1937*(hospitalityq!C1937="")</f>
        <v>0</v>
      </c>
      <c r="E1937">
        <f>B1937*(hospitalityq!E1937="")</f>
        <v>0</v>
      </c>
      <c r="F1937">
        <f>B1937*(hospitalityq!F1937="")</f>
        <v>0</v>
      </c>
      <c r="G1937">
        <f>B1937*(hospitalityq!G1937="")</f>
        <v>0</v>
      </c>
      <c r="H1937">
        <f>B1937*(hospitalityq!H1937="")</f>
        <v>0</v>
      </c>
      <c r="I1937">
        <f>B1937*(hospitalityq!I1937="")</f>
        <v>0</v>
      </c>
      <c r="J1937">
        <f>B1937*(hospitalityq!J1937="")</f>
        <v>0</v>
      </c>
      <c r="K1937">
        <f>B1937*(hospitalityq!K1937="")</f>
        <v>0</v>
      </c>
      <c r="L1937">
        <f>B1937*(hospitalityq!L1937="")</f>
        <v>0</v>
      </c>
      <c r="M1937">
        <f>B1937*(hospitalityq!M1937="")</f>
        <v>0</v>
      </c>
      <c r="N1937">
        <f>B1937*(hospitalityq!N1937="")</f>
        <v>0</v>
      </c>
      <c r="O1937">
        <f>B1937*(hospitalityq!O1937="")</f>
        <v>0</v>
      </c>
      <c r="P1937">
        <f>B1937*(hospitalityq!P1937="")</f>
        <v>0</v>
      </c>
      <c r="Q1937">
        <f>B1937*(hospitalityq!Q1937="")</f>
        <v>0</v>
      </c>
      <c r="R1937">
        <f>B1937*(hospitalityq!R1937="")</f>
        <v>0</v>
      </c>
    </row>
    <row r="1938" spans="1:18" x14ac:dyDescent="0.25">
      <c r="A1938">
        <f t="shared" si="31"/>
        <v>0</v>
      </c>
      <c r="B1938" t="b">
        <f>SUMPRODUCT(LEN(hospitalityq!C1938:R1938))&gt;0</f>
        <v>0</v>
      </c>
      <c r="C1938">
        <f>B1938*(hospitalityq!C1938="")</f>
        <v>0</v>
      </c>
      <c r="E1938">
        <f>B1938*(hospitalityq!E1938="")</f>
        <v>0</v>
      </c>
      <c r="F1938">
        <f>B1938*(hospitalityq!F1938="")</f>
        <v>0</v>
      </c>
      <c r="G1938">
        <f>B1938*(hospitalityq!G1938="")</f>
        <v>0</v>
      </c>
      <c r="H1938">
        <f>B1938*(hospitalityq!H1938="")</f>
        <v>0</v>
      </c>
      <c r="I1938">
        <f>B1938*(hospitalityq!I1938="")</f>
        <v>0</v>
      </c>
      <c r="J1938">
        <f>B1938*(hospitalityq!J1938="")</f>
        <v>0</v>
      </c>
      <c r="K1938">
        <f>B1938*(hospitalityq!K1938="")</f>
        <v>0</v>
      </c>
      <c r="L1938">
        <f>B1938*(hospitalityq!L1938="")</f>
        <v>0</v>
      </c>
      <c r="M1938">
        <f>B1938*(hospitalityq!M1938="")</f>
        <v>0</v>
      </c>
      <c r="N1938">
        <f>B1938*(hospitalityq!N1938="")</f>
        <v>0</v>
      </c>
      <c r="O1938">
        <f>B1938*(hospitalityq!O1938="")</f>
        <v>0</v>
      </c>
      <c r="P1938">
        <f>B1938*(hospitalityq!P1938="")</f>
        <v>0</v>
      </c>
      <c r="Q1938">
        <f>B1938*(hospitalityq!Q1938="")</f>
        <v>0</v>
      </c>
      <c r="R1938">
        <f>B1938*(hospitalityq!R1938="")</f>
        <v>0</v>
      </c>
    </row>
    <row r="1939" spans="1:18" x14ac:dyDescent="0.25">
      <c r="A1939">
        <f t="shared" si="31"/>
        <v>0</v>
      </c>
      <c r="B1939" t="b">
        <f>SUMPRODUCT(LEN(hospitalityq!C1939:R1939))&gt;0</f>
        <v>0</v>
      </c>
      <c r="C1939">
        <f>B1939*(hospitalityq!C1939="")</f>
        <v>0</v>
      </c>
      <c r="E1939">
        <f>B1939*(hospitalityq!E1939="")</f>
        <v>0</v>
      </c>
      <c r="F1939">
        <f>B1939*(hospitalityq!F1939="")</f>
        <v>0</v>
      </c>
      <c r="G1939">
        <f>B1939*(hospitalityq!G1939="")</f>
        <v>0</v>
      </c>
      <c r="H1939">
        <f>B1939*(hospitalityq!H1939="")</f>
        <v>0</v>
      </c>
      <c r="I1939">
        <f>B1939*(hospitalityq!I1939="")</f>
        <v>0</v>
      </c>
      <c r="J1939">
        <f>B1939*(hospitalityq!J1939="")</f>
        <v>0</v>
      </c>
      <c r="K1939">
        <f>B1939*(hospitalityq!K1939="")</f>
        <v>0</v>
      </c>
      <c r="L1939">
        <f>B1939*(hospitalityq!L1939="")</f>
        <v>0</v>
      </c>
      <c r="M1939">
        <f>B1939*(hospitalityq!M1939="")</f>
        <v>0</v>
      </c>
      <c r="N1939">
        <f>B1939*(hospitalityq!N1939="")</f>
        <v>0</v>
      </c>
      <c r="O1939">
        <f>B1939*(hospitalityq!O1939="")</f>
        <v>0</v>
      </c>
      <c r="P1939">
        <f>B1939*(hospitalityq!P1939="")</f>
        <v>0</v>
      </c>
      <c r="Q1939">
        <f>B1939*(hospitalityq!Q1939="")</f>
        <v>0</v>
      </c>
      <c r="R1939">
        <f>B1939*(hospitalityq!R1939="")</f>
        <v>0</v>
      </c>
    </row>
    <row r="1940" spans="1:18" x14ac:dyDescent="0.25">
      <c r="A1940">
        <f t="shared" si="31"/>
        <v>0</v>
      </c>
      <c r="B1940" t="b">
        <f>SUMPRODUCT(LEN(hospitalityq!C1940:R1940))&gt;0</f>
        <v>0</v>
      </c>
      <c r="C1940">
        <f>B1940*(hospitalityq!C1940="")</f>
        <v>0</v>
      </c>
      <c r="E1940">
        <f>B1940*(hospitalityq!E1940="")</f>
        <v>0</v>
      </c>
      <c r="F1940">
        <f>B1940*(hospitalityq!F1940="")</f>
        <v>0</v>
      </c>
      <c r="G1940">
        <f>B1940*(hospitalityq!G1940="")</f>
        <v>0</v>
      </c>
      <c r="H1940">
        <f>B1940*(hospitalityq!H1940="")</f>
        <v>0</v>
      </c>
      <c r="I1940">
        <f>B1940*(hospitalityq!I1940="")</f>
        <v>0</v>
      </c>
      <c r="J1940">
        <f>B1940*(hospitalityq!J1940="")</f>
        <v>0</v>
      </c>
      <c r="K1940">
        <f>B1940*(hospitalityq!K1940="")</f>
        <v>0</v>
      </c>
      <c r="L1940">
        <f>B1940*(hospitalityq!L1940="")</f>
        <v>0</v>
      </c>
      <c r="M1940">
        <f>B1940*(hospitalityq!M1940="")</f>
        <v>0</v>
      </c>
      <c r="N1940">
        <f>B1940*(hospitalityq!N1940="")</f>
        <v>0</v>
      </c>
      <c r="O1940">
        <f>B1940*(hospitalityq!O1940="")</f>
        <v>0</v>
      </c>
      <c r="P1940">
        <f>B1940*(hospitalityq!P1940="")</f>
        <v>0</v>
      </c>
      <c r="Q1940">
        <f>B1940*(hospitalityq!Q1940="")</f>
        <v>0</v>
      </c>
      <c r="R1940">
        <f>B1940*(hospitalityq!R1940="")</f>
        <v>0</v>
      </c>
    </row>
    <row r="1941" spans="1:18" x14ac:dyDescent="0.25">
      <c r="A1941">
        <f t="shared" si="31"/>
        <v>0</v>
      </c>
      <c r="B1941" t="b">
        <f>SUMPRODUCT(LEN(hospitalityq!C1941:R1941))&gt;0</f>
        <v>0</v>
      </c>
      <c r="C1941">
        <f>B1941*(hospitalityq!C1941="")</f>
        <v>0</v>
      </c>
      <c r="E1941">
        <f>B1941*(hospitalityq!E1941="")</f>
        <v>0</v>
      </c>
      <c r="F1941">
        <f>B1941*(hospitalityq!F1941="")</f>
        <v>0</v>
      </c>
      <c r="G1941">
        <f>B1941*(hospitalityq!G1941="")</f>
        <v>0</v>
      </c>
      <c r="H1941">
        <f>B1941*(hospitalityq!H1941="")</f>
        <v>0</v>
      </c>
      <c r="I1941">
        <f>B1941*(hospitalityq!I1941="")</f>
        <v>0</v>
      </c>
      <c r="J1941">
        <f>B1941*(hospitalityq!J1941="")</f>
        <v>0</v>
      </c>
      <c r="K1941">
        <f>B1941*(hospitalityq!K1941="")</f>
        <v>0</v>
      </c>
      <c r="L1941">
        <f>B1941*(hospitalityq!L1941="")</f>
        <v>0</v>
      </c>
      <c r="M1941">
        <f>B1941*(hospitalityq!M1941="")</f>
        <v>0</v>
      </c>
      <c r="N1941">
        <f>B1941*(hospitalityq!N1941="")</f>
        <v>0</v>
      </c>
      <c r="O1941">
        <f>B1941*(hospitalityq!O1941="")</f>
        <v>0</v>
      </c>
      <c r="P1941">
        <f>B1941*(hospitalityq!P1941="")</f>
        <v>0</v>
      </c>
      <c r="Q1941">
        <f>B1941*(hospitalityq!Q1941="")</f>
        <v>0</v>
      </c>
      <c r="R1941">
        <f>B1941*(hospitalityq!R1941="")</f>
        <v>0</v>
      </c>
    </row>
    <row r="1942" spans="1:18" x14ac:dyDescent="0.25">
      <c r="A1942">
        <f t="shared" si="31"/>
        <v>0</v>
      </c>
      <c r="B1942" t="b">
        <f>SUMPRODUCT(LEN(hospitalityq!C1942:R1942))&gt;0</f>
        <v>0</v>
      </c>
      <c r="C1942">
        <f>B1942*(hospitalityq!C1942="")</f>
        <v>0</v>
      </c>
      <c r="E1942">
        <f>B1942*(hospitalityq!E1942="")</f>
        <v>0</v>
      </c>
      <c r="F1942">
        <f>B1942*(hospitalityq!F1942="")</f>
        <v>0</v>
      </c>
      <c r="G1942">
        <f>B1942*(hospitalityq!G1942="")</f>
        <v>0</v>
      </c>
      <c r="H1942">
        <f>B1942*(hospitalityq!H1942="")</f>
        <v>0</v>
      </c>
      <c r="I1942">
        <f>B1942*(hospitalityq!I1942="")</f>
        <v>0</v>
      </c>
      <c r="J1942">
        <f>B1942*(hospitalityq!J1942="")</f>
        <v>0</v>
      </c>
      <c r="K1942">
        <f>B1942*(hospitalityq!K1942="")</f>
        <v>0</v>
      </c>
      <c r="L1942">
        <f>B1942*(hospitalityq!L1942="")</f>
        <v>0</v>
      </c>
      <c r="M1942">
        <f>B1942*(hospitalityq!M1942="")</f>
        <v>0</v>
      </c>
      <c r="N1942">
        <f>B1942*(hospitalityq!N1942="")</f>
        <v>0</v>
      </c>
      <c r="O1942">
        <f>B1942*(hospitalityq!O1942="")</f>
        <v>0</v>
      </c>
      <c r="P1942">
        <f>B1942*(hospitalityq!P1942="")</f>
        <v>0</v>
      </c>
      <c r="Q1942">
        <f>B1942*(hospitalityq!Q1942="")</f>
        <v>0</v>
      </c>
      <c r="R1942">
        <f>B1942*(hospitalityq!R1942="")</f>
        <v>0</v>
      </c>
    </row>
    <row r="1943" spans="1:18" x14ac:dyDescent="0.25">
      <c r="A1943">
        <f t="shared" si="31"/>
        <v>0</v>
      </c>
      <c r="B1943" t="b">
        <f>SUMPRODUCT(LEN(hospitalityq!C1943:R1943))&gt;0</f>
        <v>0</v>
      </c>
      <c r="C1943">
        <f>B1943*(hospitalityq!C1943="")</f>
        <v>0</v>
      </c>
      <c r="E1943">
        <f>B1943*(hospitalityq!E1943="")</f>
        <v>0</v>
      </c>
      <c r="F1943">
        <f>B1943*(hospitalityq!F1943="")</f>
        <v>0</v>
      </c>
      <c r="G1943">
        <f>B1943*(hospitalityq!G1943="")</f>
        <v>0</v>
      </c>
      <c r="H1943">
        <f>B1943*(hospitalityq!H1943="")</f>
        <v>0</v>
      </c>
      <c r="I1943">
        <f>B1943*(hospitalityq!I1943="")</f>
        <v>0</v>
      </c>
      <c r="J1943">
        <f>B1943*(hospitalityq!J1943="")</f>
        <v>0</v>
      </c>
      <c r="K1943">
        <f>B1943*(hospitalityq!K1943="")</f>
        <v>0</v>
      </c>
      <c r="L1943">
        <f>B1943*(hospitalityq!L1943="")</f>
        <v>0</v>
      </c>
      <c r="M1943">
        <f>B1943*(hospitalityq!M1943="")</f>
        <v>0</v>
      </c>
      <c r="N1943">
        <f>B1943*(hospitalityq!N1943="")</f>
        <v>0</v>
      </c>
      <c r="O1943">
        <f>B1943*(hospitalityq!O1943="")</f>
        <v>0</v>
      </c>
      <c r="P1943">
        <f>B1943*(hospitalityq!P1943="")</f>
        <v>0</v>
      </c>
      <c r="Q1943">
        <f>B1943*(hospitalityq!Q1943="")</f>
        <v>0</v>
      </c>
      <c r="R1943">
        <f>B1943*(hospitalityq!R1943="")</f>
        <v>0</v>
      </c>
    </row>
    <row r="1944" spans="1:18" x14ac:dyDescent="0.25">
      <c r="A1944">
        <f t="shared" si="31"/>
        <v>0</v>
      </c>
      <c r="B1944" t="b">
        <f>SUMPRODUCT(LEN(hospitalityq!C1944:R1944))&gt;0</f>
        <v>0</v>
      </c>
      <c r="C1944">
        <f>B1944*(hospitalityq!C1944="")</f>
        <v>0</v>
      </c>
      <c r="E1944">
        <f>B1944*(hospitalityq!E1944="")</f>
        <v>0</v>
      </c>
      <c r="F1944">
        <f>B1944*(hospitalityq!F1944="")</f>
        <v>0</v>
      </c>
      <c r="G1944">
        <f>B1944*(hospitalityq!G1944="")</f>
        <v>0</v>
      </c>
      <c r="H1944">
        <f>B1944*(hospitalityq!H1944="")</f>
        <v>0</v>
      </c>
      <c r="I1944">
        <f>B1944*(hospitalityq!I1944="")</f>
        <v>0</v>
      </c>
      <c r="J1944">
        <f>B1944*(hospitalityq!J1944="")</f>
        <v>0</v>
      </c>
      <c r="K1944">
        <f>B1944*(hospitalityq!K1944="")</f>
        <v>0</v>
      </c>
      <c r="L1944">
        <f>B1944*(hospitalityq!L1944="")</f>
        <v>0</v>
      </c>
      <c r="M1944">
        <f>B1944*(hospitalityq!M1944="")</f>
        <v>0</v>
      </c>
      <c r="N1944">
        <f>B1944*(hospitalityq!N1944="")</f>
        <v>0</v>
      </c>
      <c r="O1944">
        <f>B1944*(hospitalityq!O1944="")</f>
        <v>0</v>
      </c>
      <c r="P1944">
        <f>B1944*(hospitalityq!P1944="")</f>
        <v>0</v>
      </c>
      <c r="Q1944">
        <f>B1944*(hospitalityq!Q1944="")</f>
        <v>0</v>
      </c>
      <c r="R1944">
        <f>B1944*(hospitalityq!R1944="")</f>
        <v>0</v>
      </c>
    </row>
    <row r="1945" spans="1:18" x14ac:dyDescent="0.25">
      <c r="A1945">
        <f t="shared" si="31"/>
        <v>0</v>
      </c>
      <c r="B1945" t="b">
        <f>SUMPRODUCT(LEN(hospitalityq!C1945:R1945))&gt;0</f>
        <v>0</v>
      </c>
      <c r="C1945">
        <f>B1945*(hospitalityq!C1945="")</f>
        <v>0</v>
      </c>
      <c r="E1945">
        <f>B1945*(hospitalityq!E1945="")</f>
        <v>0</v>
      </c>
      <c r="F1945">
        <f>B1945*(hospitalityq!F1945="")</f>
        <v>0</v>
      </c>
      <c r="G1945">
        <f>B1945*(hospitalityq!G1945="")</f>
        <v>0</v>
      </c>
      <c r="H1945">
        <f>B1945*(hospitalityq!H1945="")</f>
        <v>0</v>
      </c>
      <c r="I1945">
        <f>B1945*(hospitalityq!I1945="")</f>
        <v>0</v>
      </c>
      <c r="J1945">
        <f>B1945*(hospitalityq!J1945="")</f>
        <v>0</v>
      </c>
      <c r="K1945">
        <f>B1945*(hospitalityq!K1945="")</f>
        <v>0</v>
      </c>
      <c r="L1945">
        <f>B1945*(hospitalityq!L1945="")</f>
        <v>0</v>
      </c>
      <c r="M1945">
        <f>B1945*(hospitalityq!M1945="")</f>
        <v>0</v>
      </c>
      <c r="N1945">
        <f>B1945*(hospitalityq!N1945="")</f>
        <v>0</v>
      </c>
      <c r="O1945">
        <f>B1945*(hospitalityq!O1945="")</f>
        <v>0</v>
      </c>
      <c r="P1945">
        <f>B1945*(hospitalityq!P1945="")</f>
        <v>0</v>
      </c>
      <c r="Q1945">
        <f>B1945*(hospitalityq!Q1945="")</f>
        <v>0</v>
      </c>
      <c r="R1945">
        <f>B1945*(hospitalityq!R1945="")</f>
        <v>0</v>
      </c>
    </row>
    <row r="1946" spans="1:18" x14ac:dyDescent="0.25">
      <c r="A1946">
        <f t="shared" si="31"/>
        <v>0</v>
      </c>
      <c r="B1946" t="b">
        <f>SUMPRODUCT(LEN(hospitalityq!C1946:R1946))&gt;0</f>
        <v>0</v>
      </c>
      <c r="C1946">
        <f>B1946*(hospitalityq!C1946="")</f>
        <v>0</v>
      </c>
      <c r="E1946">
        <f>B1946*(hospitalityq!E1946="")</f>
        <v>0</v>
      </c>
      <c r="F1946">
        <f>B1946*(hospitalityq!F1946="")</f>
        <v>0</v>
      </c>
      <c r="G1946">
        <f>B1946*(hospitalityq!G1946="")</f>
        <v>0</v>
      </c>
      <c r="H1946">
        <f>B1946*(hospitalityq!H1946="")</f>
        <v>0</v>
      </c>
      <c r="I1946">
        <f>B1946*(hospitalityq!I1946="")</f>
        <v>0</v>
      </c>
      <c r="J1946">
        <f>B1946*(hospitalityq!J1946="")</f>
        <v>0</v>
      </c>
      <c r="K1946">
        <f>B1946*(hospitalityq!K1946="")</f>
        <v>0</v>
      </c>
      <c r="L1946">
        <f>B1946*(hospitalityq!L1946="")</f>
        <v>0</v>
      </c>
      <c r="M1946">
        <f>B1946*(hospitalityq!M1946="")</f>
        <v>0</v>
      </c>
      <c r="N1946">
        <f>B1946*(hospitalityq!N1946="")</f>
        <v>0</v>
      </c>
      <c r="O1946">
        <f>B1946*(hospitalityq!O1946="")</f>
        <v>0</v>
      </c>
      <c r="P1946">
        <f>B1946*(hospitalityq!P1946="")</f>
        <v>0</v>
      </c>
      <c r="Q1946">
        <f>B1946*(hospitalityq!Q1946="")</f>
        <v>0</v>
      </c>
      <c r="R1946">
        <f>B1946*(hospitalityq!R1946="")</f>
        <v>0</v>
      </c>
    </row>
    <row r="1947" spans="1:18" x14ac:dyDescent="0.25">
      <c r="A1947">
        <f t="shared" si="31"/>
        <v>0</v>
      </c>
      <c r="B1947" t="b">
        <f>SUMPRODUCT(LEN(hospitalityq!C1947:R1947))&gt;0</f>
        <v>0</v>
      </c>
      <c r="C1947">
        <f>B1947*(hospitalityq!C1947="")</f>
        <v>0</v>
      </c>
      <c r="E1947">
        <f>B1947*(hospitalityq!E1947="")</f>
        <v>0</v>
      </c>
      <c r="F1947">
        <f>B1947*(hospitalityq!F1947="")</f>
        <v>0</v>
      </c>
      <c r="G1947">
        <f>B1947*(hospitalityq!G1947="")</f>
        <v>0</v>
      </c>
      <c r="H1947">
        <f>B1947*(hospitalityq!H1947="")</f>
        <v>0</v>
      </c>
      <c r="I1947">
        <f>B1947*(hospitalityq!I1947="")</f>
        <v>0</v>
      </c>
      <c r="J1947">
        <f>B1947*(hospitalityq!J1947="")</f>
        <v>0</v>
      </c>
      <c r="K1947">
        <f>B1947*(hospitalityq!K1947="")</f>
        <v>0</v>
      </c>
      <c r="L1947">
        <f>B1947*(hospitalityq!L1947="")</f>
        <v>0</v>
      </c>
      <c r="M1947">
        <f>B1947*(hospitalityq!M1947="")</f>
        <v>0</v>
      </c>
      <c r="N1947">
        <f>B1947*(hospitalityq!N1947="")</f>
        <v>0</v>
      </c>
      <c r="O1947">
        <f>B1947*(hospitalityq!O1947="")</f>
        <v>0</v>
      </c>
      <c r="P1947">
        <f>B1947*(hospitalityq!P1947="")</f>
        <v>0</v>
      </c>
      <c r="Q1947">
        <f>B1947*(hospitalityq!Q1947="")</f>
        <v>0</v>
      </c>
      <c r="R1947">
        <f>B1947*(hospitalityq!R1947="")</f>
        <v>0</v>
      </c>
    </row>
    <row r="1948" spans="1:18" x14ac:dyDescent="0.25">
      <c r="A1948">
        <f t="shared" si="31"/>
        <v>0</v>
      </c>
      <c r="B1948" t="b">
        <f>SUMPRODUCT(LEN(hospitalityq!C1948:R1948))&gt;0</f>
        <v>0</v>
      </c>
      <c r="C1948">
        <f>B1948*(hospitalityq!C1948="")</f>
        <v>0</v>
      </c>
      <c r="E1948">
        <f>B1948*(hospitalityq!E1948="")</f>
        <v>0</v>
      </c>
      <c r="F1948">
        <f>B1948*(hospitalityq!F1948="")</f>
        <v>0</v>
      </c>
      <c r="G1948">
        <f>B1948*(hospitalityq!G1948="")</f>
        <v>0</v>
      </c>
      <c r="H1948">
        <f>B1948*(hospitalityq!H1948="")</f>
        <v>0</v>
      </c>
      <c r="I1948">
        <f>B1948*(hospitalityq!I1948="")</f>
        <v>0</v>
      </c>
      <c r="J1948">
        <f>B1948*(hospitalityq!J1948="")</f>
        <v>0</v>
      </c>
      <c r="K1948">
        <f>B1948*(hospitalityq!K1948="")</f>
        <v>0</v>
      </c>
      <c r="L1948">
        <f>B1948*(hospitalityq!L1948="")</f>
        <v>0</v>
      </c>
      <c r="M1948">
        <f>B1948*(hospitalityq!M1948="")</f>
        <v>0</v>
      </c>
      <c r="N1948">
        <f>B1948*(hospitalityq!N1948="")</f>
        <v>0</v>
      </c>
      <c r="O1948">
        <f>B1948*(hospitalityq!O1948="")</f>
        <v>0</v>
      </c>
      <c r="P1948">
        <f>B1948*(hospitalityq!P1948="")</f>
        <v>0</v>
      </c>
      <c r="Q1948">
        <f>B1948*(hospitalityq!Q1948="")</f>
        <v>0</v>
      </c>
      <c r="R1948">
        <f>B1948*(hospitalityq!R1948="")</f>
        <v>0</v>
      </c>
    </row>
    <row r="1949" spans="1:18" x14ac:dyDescent="0.25">
      <c r="A1949">
        <f t="shared" si="31"/>
        <v>0</v>
      </c>
      <c r="B1949" t="b">
        <f>SUMPRODUCT(LEN(hospitalityq!C1949:R1949))&gt;0</f>
        <v>0</v>
      </c>
      <c r="C1949">
        <f>B1949*(hospitalityq!C1949="")</f>
        <v>0</v>
      </c>
      <c r="E1949">
        <f>B1949*(hospitalityq!E1949="")</f>
        <v>0</v>
      </c>
      <c r="F1949">
        <f>B1949*(hospitalityq!F1949="")</f>
        <v>0</v>
      </c>
      <c r="G1949">
        <f>B1949*(hospitalityq!G1949="")</f>
        <v>0</v>
      </c>
      <c r="H1949">
        <f>B1949*(hospitalityq!H1949="")</f>
        <v>0</v>
      </c>
      <c r="I1949">
        <f>B1949*(hospitalityq!I1949="")</f>
        <v>0</v>
      </c>
      <c r="J1949">
        <f>B1949*(hospitalityq!J1949="")</f>
        <v>0</v>
      </c>
      <c r="K1949">
        <f>B1949*(hospitalityq!K1949="")</f>
        <v>0</v>
      </c>
      <c r="L1949">
        <f>B1949*(hospitalityq!L1949="")</f>
        <v>0</v>
      </c>
      <c r="M1949">
        <f>B1949*(hospitalityq!M1949="")</f>
        <v>0</v>
      </c>
      <c r="N1949">
        <f>B1949*(hospitalityq!N1949="")</f>
        <v>0</v>
      </c>
      <c r="O1949">
        <f>B1949*(hospitalityq!O1949="")</f>
        <v>0</v>
      </c>
      <c r="P1949">
        <f>B1949*(hospitalityq!P1949="")</f>
        <v>0</v>
      </c>
      <c r="Q1949">
        <f>B1949*(hospitalityq!Q1949="")</f>
        <v>0</v>
      </c>
      <c r="R1949">
        <f>B1949*(hospitalityq!R1949="")</f>
        <v>0</v>
      </c>
    </row>
    <row r="1950" spans="1:18" x14ac:dyDescent="0.25">
      <c r="A1950">
        <f t="shared" si="31"/>
        <v>0</v>
      </c>
      <c r="B1950" t="b">
        <f>SUMPRODUCT(LEN(hospitalityq!C1950:R1950))&gt;0</f>
        <v>0</v>
      </c>
      <c r="C1950">
        <f>B1950*(hospitalityq!C1950="")</f>
        <v>0</v>
      </c>
      <c r="E1950">
        <f>B1950*(hospitalityq!E1950="")</f>
        <v>0</v>
      </c>
      <c r="F1950">
        <f>B1950*(hospitalityq!F1950="")</f>
        <v>0</v>
      </c>
      <c r="G1950">
        <f>B1950*(hospitalityq!G1950="")</f>
        <v>0</v>
      </c>
      <c r="H1950">
        <f>B1950*(hospitalityq!H1950="")</f>
        <v>0</v>
      </c>
      <c r="I1950">
        <f>B1950*(hospitalityq!I1950="")</f>
        <v>0</v>
      </c>
      <c r="J1950">
        <f>B1950*(hospitalityq!J1950="")</f>
        <v>0</v>
      </c>
      <c r="K1950">
        <f>B1950*(hospitalityq!K1950="")</f>
        <v>0</v>
      </c>
      <c r="L1950">
        <f>B1950*(hospitalityq!L1950="")</f>
        <v>0</v>
      </c>
      <c r="M1950">
        <f>B1950*(hospitalityq!M1950="")</f>
        <v>0</v>
      </c>
      <c r="N1950">
        <f>B1950*(hospitalityq!N1950="")</f>
        <v>0</v>
      </c>
      <c r="O1950">
        <f>B1950*(hospitalityq!O1950="")</f>
        <v>0</v>
      </c>
      <c r="P1950">
        <f>B1950*(hospitalityq!P1950="")</f>
        <v>0</v>
      </c>
      <c r="Q1950">
        <f>B1950*(hospitalityq!Q1950="")</f>
        <v>0</v>
      </c>
      <c r="R1950">
        <f>B1950*(hospitalityq!R1950="")</f>
        <v>0</v>
      </c>
    </row>
    <row r="1951" spans="1:18" x14ac:dyDescent="0.25">
      <c r="A1951">
        <f t="shared" si="31"/>
        <v>0</v>
      </c>
      <c r="B1951" t="b">
        <f>SUMPRODUCT(LEN(hospitalityq!C1951:R1951))&gt;0</f>
        <v>0</v>
      </c>
      <c r="C1951">
        <f>B1951*(hospitalityq!C1951="")</f>
        <v>0</v>
      </c>
      <c r="E1951">
        <f>B1951*(hospitalityq!E1951="")</f>
        <v>0</v>
      </c>
      <c r="F1951">
        <f>B1951*(hospitalityq!F1951="")</f>
        <v>0</v>
      </c>
      <c r="G1951">
        <f>B1951*(hospitalityq!G1951="")</f>
        <v>0</v>
      </c>
      <c r="H1951">
        <f>B1951*(hospitalityq!H1951="")</f>
        <v>0</v>
      </c>
      <c r="I1951">
        <f>B1951*(hospitalityq!I1951="")</f>
        <v>0</v>
      </c>
      <c r="J1951">
        <f>B1951*(hospitalityq!J1951="")</f>
        <v>0</v>
      </c>
      <c r="K1951">
        <f>B1951*(hospitalityq!K1951="")</f>
        <v>0</v>
      </c>
      <c r="L1951">
        <f>B1951*(hospitalityq!L1951="")</f>
        <v>0</v>
      </c>
      <c r="M1951">
        <f>B1951*(hospitalityq!M1951="")</f>
        <v>0</v>
      </c>
      <c r="N1951">
        <f>B1951*(hospitalityq!N1951="")</f>
        <v>0</v>
      </c>
      <c r="O1951">
        <f>B1951*(hospitalityq!O1951="")</f>
        <v>0</v>
      </c>
      <c r="P1951">
        <f>B1951*(hospitalityq!P1951="")</f>
        <v>0</v>
      </c>
      <c r="Q1951">
        <f>B1951*(hospitalityq!Q1951="")</f>
        <v>0</v>
      </c>
      <c r="R1951">
        <f>B1951*(hospitalityq!R1951="")</f>
        <v>0</v>
      </c>
    </row>
    <row r="1952" spans="1:18" x14ac:dyDescent="0.25">
      <c r="A1952">
        <f t="shared" si="31"/>
        <v>0</v>
      </c>
      <c r="B1952" t="b">
        <f>SUMPRODUCT(LEN(hospitalityq!C1952:R1952))&gt;0</f>
        <v>0</v>
      </c>
      <c r="C1952">
        <f>B1952*(hospitalityq!C1952="")</f>
        <v>0</v>
      </c>
      <c r="E1952">
        <f>B1952*(hospitalityq!E1952="")</f>
        <v>0</v>
      </c>
      <c r="F1952">
        <f>B1952*(hospitalityq!F1952="")</f>
        <v>0</v>
      </c>
      <c r="G1952">
        <f>B1952*(hospitalityq!G1952="")</f>
        <v>0</v>
      </c>
      <c r="H1952">
        <f>B1952*(hospitalityq!H1952="")</f>
        <v>0</v>
      </c>
      <c r="I1952">
        <f>B1952*(hospitalityq!I1952="")</f>
        <v>0</v>
      </c>
      <c r="J1952">
        <f>B1952*(hospitalityq!J1952="")</f>
        <v>0</v>
      </c>
      <c r="K1952">
        <f>B1952*(hospitalityq!K1952="")</f>
        <v>0</v>
      </c>
      <c r="L1952">
        <f>B1952*(hospitalityq!L1952="")</f>
        <v>0</v>
      </c>
      <c r="M1952">
        <f>B1952*(hospitalityq!M1952="")</f>
        <v>0</v>
      </c>
      <c r="N1952">
        <f>B1952*(hospitalityq!N1952="")</f>
        <v>0</v>
      </c>
      <c r="O1952">
        <f>B1952*(hospitalityq!O1952="")</f>
        <v>0</v>
      </c>
      <c r="P1952">
        <f>B1952*(hospitalityq!P1952="")</f>
        <v>0</v>
      </c>
      <c r="Q1952">
        <f>B1952*(hospitalityq!Q1952="")</f>
        <v>0</v>
      </c>
      <c r="R1952">
        <f>B1952*(hospitalityq!R1952="")</f>
        <v>0</v>
      </c>
    </row>
    <row r="1953" spans="1:18" x14ac:dyDescent="0.25">
      <c r="A1953">
        <f t="shared" si="31"/>
        <v>0</v>
      </c>
      <c r="B1953" t="b">
        <f>SUMPRODUCT(LEN(hospitalityq!C1953:R1953))&gt;0</f>
        <v>0</v>
      </c>
      <c r="C1953">
        <f>B1953*(hospitalityq!C1953="")</f>
        <v>0</v>
      </c>
      <c r="E1953">
        <f>B1953*(hospitalityq!E1953="")</f>
        <v>0</v>
      </c>
      <c r="F1953">
        <f>B1953*(hospitalityq!F1953="")</f>
        <v>0</v>
      </c>
      <c r="G1953">
        <f>B1953*(hospitalityq!G1953="")</f>
        <v>0</v>
      </c>
      <c r="H1953">
        <f>B1953*(hospitalityq!H1953="")</f>
        <v>0</v>
      </c>
      <c r="I1953">
        <f>B1953*(hospitalityq!I1953="")</f>
        <v>0</v>
      </c>
      <c r="J1953">
        <f>B1953*(hospitalityq!J1953="")</f>
        <v>0</v>
      </c>
      <c r="K1953">
        <f>B1953*(hospitalityq!K1953="")</f>
        <v>0</v>
      </c>
      <c r="L1953">
        <f>B1953*(hospitalityq!L1953="")</f>
        <v>0</v>
      </c>
      <c r="M1953">
        <f>B1953*(hospitalityq!M1953="")</f>
        <v>0</v>
      </c>
      <c r="N1953">
        <f>B1953*(hospitalityq!N1953="")</f>
        <v>0</v>
      </c>
      <c r="O1953">
        <f>B1953*(hospitalityq!O1953="")</f>
        <v>0</v>
      </c>
      <c r="P1953">
        <f>B1953*(hospitalityq!P1953="")</f>
        <v>0</v>
      </c>
      <c r="Q1953">
        <f>B1953*(hospitalityq!Q1953="")</f>
        <v>0</v>
      </c>
      <c r="R1953">
        <f>B1953*(hospitalityq!R1953="")</f>
        <v>0</v>
      </c>
    </row>
    <row r="1954" spans="1:18" x14ac:dyDescent="0.25">
      <c r="A1954">
        <f t="shared" si="31"/>
        <v>0</v>
      </c>
      <c r="B1954" t="b">
        <f>SUMPRODUCT(LEN(hospitalityq!C1954:R1954))&gt;0</f>
        <v>0</v>
      </c>
      <c r="C1954">
        <f>B1954*(hospitalityq!C1954="")</f>
        <v>0</v>
      </c>
      <c r="E1954">
        <f>B1954*(hospitalityq!E1954="")</f>
        <v>0</v>
      </c>
      <c r="F1954">
        <f>B1954*(hospitalityq!F1954="")</f>
        <v>0</v>
      </c>
      <c r="G1954">
        <f>B1954*(hospitalityq!G1954="")</f>
        <v>0</v>
      </c>
      <c r="H1954">
        <f>B1954*(hospitalityq!H1954="")</f>
        <v>0</v>
      </c>
      <c r="I1954">
        <f>B1954*(hospitalityq!I1954="")</f>
        <v>0</v>
      </c>
      <c r="J1954">
        <f>B1954*(hospitalityq!J1954="")</f>
        <v>0</v>
      </c>
      <c r="K1954">
        <f>B1954*(hospitalityq!K1954="")</f>
        <v>0</v>
      </c>
      <c r="L1954">
        <f>B1954*(hospitalityq!L1954="")</f>
        <v>0</v>
      </c>
      <c r="M1954">
        <f>B1954*(hospitalityq!M1954="")</f>
        <v>0</v>
      </c>
      <c r="N1954">
        <f>B1954*(hospitalityq!N1954="")</f>
        <v>0</v>
      </c>
      <c r="O1954">
        <f>B1954*(hospitalityq!O1954="")</f>
        <v>0</v>
      </c>
      <c r="P1954">
        <f>B1954*(hospitalityq!P1954="")</f>
        <v>0</v>
      </c>
      <c r="Q1954">
        <f>B1954*(hospitalityq!Q1954="")</f>
        <v>0</v>
      </c>
      <c r="R1954">
        <f>B1954*(hospitalityq!R1954="")</f>
        <v>0</v>
      </c>
    </row>
    <row r="1955" spans="1:18" x14ac:dyDescent="0.25">
      <c r="A1955">
        <f t="shared" si="31"/>
        <v>0</v>
      </c>
      <c r="B1955" t="b">
        <f>SUMPRODUCT(LEN(hospitalityq!C1955:R1955))&gt;0</f>
        <v>0</v>
      </c>
      <c r="C1955">
        <f>B1955*(hospitalityq!C1955="")</f>
        <v>0</v>
      </c>
      <c r="E1955">
        <f>B1955*(hospitalityq!E1955="")</f>
        <v>0</v>
      </c>
      <c r="F1955">
        <f>B1955*(hospitalityq!F1955="")</f>
        <v>0</v>
      </c>
      <c r="G1955">
        <f>B1955*(hospitalityq!G1955="")</f>
        <v>0</v>
      </c>
      <c r="H1955">
        <f>B1955*(hospitalityq!H1955="")</f>
        <v>0</v>
      </c>
      <c r="I1955">
        <f>B1955*(hospitalityq!I1955="")</f>
        <v>0</v>
      </c>
      <c r="J1955">
        <f>B1955*(hospitalityq!J1955="")</f>
        <v>0</v>
      </c>
      <c r="K1955">
        <f>B1955*(hospitalityq!K1955="")</f>
        <v>0</v>
      </c>
      <c r="L1955">
        <f>B1955*(hospitalityq!L1955="")</f>
        <v>0</v>
      </c>
      <c r="M1955">
        <f>B1955*(hospitalityq!M1955="")</f>
        <v>0</v>
      </c>
      <c r="N1955">
        <f>B1955*(hospitalityq!N1955="")</f>
        <v>0</v>
      </c>
      <c r="O1955">
        <f>B1955*(hospitalityq!O1955="")</f>
        <v>0</v>
      </c>
      <c r="P1955">
        <f>B1955*(hospitalityq!P1955="")</f>
        <v>0</v>
      </c>
      <c r="Q1955">
        <f>B1955*(hospitalityq!Q1955="")</f>
        <v>0</v>
      </c>
      <c r="R1955">
        <f>B1955*(hospitalityq!R1955="")</f>
        <v>0</v>
      </c>
    </row>
    <row r="1956" spans="1:18" x14ac:dyDescent="0.25">
      <c r="A1956">
        <f t="shared" si="31"/>
        <v>0</v>
      </c>
      <c r="B1956" t="b">
        <f>SUMPRODUCT(LEN(hospitalityq!C1956:R1956))&gt;0</f>
        <v>0</v>
      </c>
      <c r="C1956">
        <f>B1956*(hospitalityq!C1956="")</f>
        <v>0</v>
      </c>
      <c r="E1956">
        <f>B1956*(hospitalityq!E1956="")</f>
        <v>0</v>
      </c>
      <c r="F1956">
        <f>B1956*(hospitalityq!F1956="")</f>
        <v>0</v>
      </c>
      <c r="G1956">
        <f>B1956*(hospitalityq!G1956="")</f>
        <v>0</v>
      </c>
      <c r="H1956">
        <f>B1956*(hospitalityq!H1956="")</f>
        <v>0</v>
      </c>
      <c r="I1956">
        <f>B1956*(hospitalityq!I1956="")</f>
        <v>0</v>
      </c>
      <c r="J1956">
        <f>B1956*(hospitalityq!J1956="")</f>
        <v>0</v>
      </c>
      <c r="K1956">
        <f>B1956*(hospitalityq!K1956="")</f>
        <v>0</v>
      </c>
      <c r="L1956">
        <f>B1956*(hospitalityq!L1956="")</f>
        <v>0</v>
      </c>
      <c r="M1956">
        <f>B1956*(hospitalityq!M1956="")</f>
        <v>0</v>
      </c>
      <c r="N1956">
        <f>B1956*(hospitalityq!N1956="")</f>
        <v>0</v>
      </c>
      <c r="O1956">
        <f>B1956*(hospitalityq!O1956="")</f>
        <v>0</v>
      </c>
      <c r="P1956">
        <f>B1956*(hospitalityq!P1956="")</f>
        <v>0</v>
      </c>
      <c r="Q1956">
        <f>B1956*(hospitalityq!Q1956="")</f>
        <v>0</v>
      </c>
      <c r="R1956">
        <f>B1956*(hospitalityq!R1956="")</f>
        <v>0</v>
      </c>
    </row>
    <row r="1957" spans="1:18" x14ac:dyDescent="0.25">
      <c r="A1957">
        <f t="shared" si="31"/>
        <v>0</v>
      </c>
      <c r="B1957" t="b">
        <f>SUMPRODUCT(LEN(hospitalityq!C1957:R1957))&gt;0</f>
        <v>0</v>
      </c>
      <c r="C1957">
        <f>B1957*(hospitalityq!C1957="")</f>
        <v>0</v>
      </c>
      <c r="E1957">
        <f>B1957*(hospitalityq!E1957="")</f>
        <v>0</v>
      </c>
      <c r="F1957">
        <f>B1957*(hospitalityq!F1957="")</f>
        <v>0</v>
      </c>
      <c r="G1957">
        <f>B1957*(hospitalityq!G1957="")</f>
        <v>0</v>
      </c>
      <c r="H1957">
        <f>B1957*(hospitalityq!H1957="")</f>
        <v>0</v>
      </c>
      <c r="I1957">
        <f>B1957*(hospitalityq!I1957="")</f>
        <v>0</v>
      </c>
      <c r="J1957">
        <f>B1957*(hospitalityq!J1957="")</f>
        <v>0</v>
      </c>
      <c r="K1957">
        <f>B1957*(hospitalityq!K1957="")</f>
        <v>0</v>
      </c>
      <c r="L1957">
        <f>B1957*(hospitalityq!L1957="")</f>
        <v>0</v>
      </c>
      <c r="M1957">
        <f>B1957*(hospitalityq!M1957="")</f>
        <v>0</v>
      </c>
      <c r="N1957">
        <f>B1957*(hospitalityq!N1957="")</f>
        <v>0</v>
      </c>
      <c r="O1957">
        <f>B1957*(hospitalityq!O1957="")</f>
        <v>0</v>
      </c>
      <c r="P1957">
        <f>B1957*(hospitalityq!P1957="")</f>
        <v>0</v>
      </c>
      <c r="Q1957">
        <f>B1957*(hospitalityq!Q1957="")</f>
        <v>0</v>
      </c>
      <c r="R1957">
        <f>B1957*(hospitalityq!R1957="")</f>
        <v>0</v>
      </c>
    </row>
    <row r="1958" spans="1:18" x14ac:dyDescent="0.25">
      <c r="A1958">
        <f t="shared" si="31"/>
        <v>0</v>
      </c>
      <c r="B1958" t="b">
        <f>SUMPRODUCT(LEN(hospitalityq!C1958:R1958))&gt;0</f>
        <v>0</v>
      </c>
      <c r="C1958">
        <f>B1958*(hospitalityq!C1958="")</f>
        <v>0</v>
      </c>
      <c r="E1958">
        <f>B1958*(hospitalityq!E1958="")</f>
        <v>0</v>
      </c>
      <c r="F1958">
        <f>B1958*(hospitalityq!F1958="")</f>
        <v>0</v>
      </c>
      <c r="G1958">
        <f>B1958*(hospitalityq!G1958="")</f>
        <v>0</v>
      </c>
      <c r="H1958">
        <f>B1958*(hospitalityq!H1958="")</f>
        <v>0</v>
      </c>
      <c r="I1958">
        <f>B1958*(hospitalityq!I1958="")</f>
        <v>0</v>
      </c>
      <c r="J1958">
        <f>B1958*(hospitalityq!J1958="")</f>
        <v>0</v>
      </c>
      <c r="K1958">
        <f>B1958*(hospitalityq!K1958="")</f>
        <v>0</v>
      </c>
      <c r="L1958">
        <f>B1958*(hospitalityq!L1958="")</f>
        <v>0</v>
      </c>
      <c r="M1958">
        <f>B1958*(hospitalityq!M1958="")</f>
        <v>0</v>
      </c>
      <c r="N1958">
        <f>B1958*(hospitalityq!N1958="")</f>
        <v>0</v>
      </c>
      <c r="O1958">
        <f>B1958*(hospitalityq!O1958="")</f>
        <v>0</v>
      </c>
      <c r="P1958">
        <f>B1958*(hospitalityq!P1958="")</f>
        <v>0</v>
      </c>
      <c r="Q1958">
        <f>B1958*(hospitalityq!Q1958="")</f>
        <v>0</v>
      </c>
      <c r="R1958">
        <f>B1958*(hospitalityq!R1958="")</f>
        <v>0</v>
      </c>
    </row>
    <row r="1959" spans="1:18" x14ac:dyDescent="0.25">
      <c r="A1959">
        <f t="shared" si="31"/>
        <v>0</v>
      </c>
      <c r="B1959" t="b">
        <f>SUMPRODUCT(LEN(hospitalityq!C1959:R1959))&gt;0</f>
        <v>0</v>
      </c>
      <c r="C1959">
        <f>B1959*(hospitalityq!C1959="")</f>
        <v>0</v>
      </c>
      <c r="E1959">
        <f>B1959*(hospitalityq!E1959="")</f>
        <v>0</v>
      </c>
      <c r="F1959">
        <f>B1959*(hospitalityq!F1959="")</f>
        <v>0</v>
      </c>
      <c r="G1959">
        <f>B1959*(hospitalityq!G1959="")</f>
        <v>0</v>
      </c>
      <c r="H1959">
        <f>B1959*(hospitalityq!H1959="")</f>
        <v>0</v>
      </c>
      <c r="I1959">
        <f>B1959*(hospitalityq!I1959="")</f>
        <v>0</v>
      </c>
      <c r="J1959">
        <f>B1959*(hospitalityq!J1959="")</f>
        <v>0</v>
      </c>
      <c r="K1959">
        <f>B1959*(hospitalityq!K1959="")</f>
        <v>0</v>
      </c>
      <c r="L1959">
        <f>B1959*(hospitalityq!L1959="")</f>
        <v>0</v>
      </c>
      <c r="M1959">
        <f>B1959*(hospitalityq!M1959="")</f>
        <v>0</v>
      </c>
      <c r="N1959">
        <f>B1959*(hospitalityq!N1959="")</f>
        <v>0</v>
      </c>
      <c r="O1959">
        <f>B1959*(hospitalityq!O1959="")</f>
        <v>0</v>
      </c>
      <c r="P1959">
        <f>B1959*(hospitalityq!P1959="")</f>
        <v>0</v>
      </c>
      <c r="Q1959">
        <f>B1959*(hospitalityq!Q1959="")</f>
        <v>0</v>
      </c>
      <c r="R1959">
        <f>B1959*(hospitalityq!R1959="")</f>
        <v>0</v>
      </c>
    </row>
    <row r="1960" spans="1:18" x14ac:dyDescent="0.25">
      <c r="A1960">
        <f t="shared" si="31"/>
        <v>0</v>
      </c>
      <c r="B1960" t="b">
        <f>SUMPRODUCT(LEN(hospitalityq!C1960:R1960))&gt;0</f>
        <v>0</v>
      </c>
      <c r="C1960">
        <f>B1960*(hospitalityq!C1960="")</f>
        <v>0</v>
      </c>
      <c r="E1960">
        <f>B1960*(hospitalityq!E1960="")</f>
        <v>0</v>
      </c>
      <c r="F1960">
        <f>B1960*(hospitalityq!F1960="")</f>
        <v>0</v>
      </c>
      <c r="G1960">
        <f>B1960*(hospitalityq!G1960="")</f>
        <v>0</v>
      </c>
      <c r="H1960">
        <f>B1960*(hospitalityq!H1960="")</f>
        <v>0</v>
      </c>
      <c r="I1960">
        <f>B1960*(hospitalityq!I1960="")</f>
        <v>0</v>
      </c>
      <c r="J1960">
        <f>B1960*(hospitalityq!J1960="")</f>
        <v>0</v>
      </c>
      <c r="K1960">
        <f>B1960*(hospitalityq!K1960="")</f>
        <v>0</v>
      </c>
      <c r="L1960">
        <f>B1960*(hospitalityq!L1960="")</f>
        <v>0</v>
      </c>
      <c r="M1960">
        <f>B1960*(hospitalityq!M1960="")</f>
        <v>0</v>
      </c>
      <c r="N1960">
        <f>B1960*(hospitalityq!N1960="")</f>
        <v>0</v>
      </c>
      <c r="O1960">
        <f>B1960*(hospitalityq!O1960="")</f>
        <v>0</v>
      </c>
      <c r="P1960">
        <f>B1960*(hospitalityq!P1960="")</f>
        <v>0</v>
      </c>
      <c r="Q1960">
        <f>B1960*(hospitalityq!Q1960="")</f>
        <v>0</v>
      </c>
      <c r="R1960">
        <f>B1960*(hospitalityq!R1960="")</f>
        <v>0</v>
      </c>
    </row>
    <row r="1961" spans="1:18" x14ac:dyDescent="0.25">
      <c r="A1961">
        <f t="shared" si="31"/>
        <v>0</v>
      </c>
      <c r="B1961" t="b">
        <f>SUMPRODUCT(LEN(hospitalityq!C1961:R1961))&gt;0</f>
        <v>0</v>
      </c>
      <c r="C1961">
        <f>B1961*(hospitalityq!C1961="")</f>
        <v>0</v>
      </c>
      <c r="E1961">
        <f>B1961*(hospitalityq!E1961="")</f>
        <v>0</v>
      </c>
      <c r="F1961">
        <f>B1961*(hospitalityq!F1961="")</f>
        <v>0</v>
      </c>
      <c r="G1961">
        <f>B1961*(hospitalityq!G1961="")</f>
        <v>0</v>
      </c>
      <c r="H1961">
        <f>B1961*(hospitalityq!H1961="")</f>
        <v>0</v>
      </c>
      <c r="I1961">
        <f>B1961*(hospitalityq!I1961="")</f>
        <v>0</v>
      </c>
      <c r="J1961">
        <f>B1961*(hospitalityq!J1961="")</f>
        <v>0</v>
      </c>
      <c r="K1961">
        <f>B1961*(hospitalityq!K1961="")</f>
        <v>0</v>
      </c>
      <c r="L1961">
        <f>B1961*(hospitalityq!L1961="")</f>
        <v>0</v>
      </c>
      <c r="M1961">
        <f>B1961*(hospitalityq!M1961="")</f>
        <v>0</v>
      </c>
      <c r="N1961">
        <f>B1961*(hospitalityq!N1961="")</f>
        <v>0</v>
      </c>
      <c r="O1961">
        <f>B1961*(hospitalityq!O1961="")</f>
        <v>0</v>
      </c>
      <c r="P1961">
        <f>B1961*(hospitalityq!P1961="")</f>
        <v>0</v>
      </c>
      <c r="Q1961">
        <f>B1961*(hospitalityq!Q1961="")</f>
        <v>0</v>
      </c>
      <c r="R1961">
        <f>B1961*(hospitalityq!R1961="")</f>
        <v>0</v>
      </c>
    </row>
    <row r="1962" spans="1:18" x14ac:dyDescent="0.25">
      <c r="A1962">
        <f t="shared" si="31"/>
        <v>0</v>
      </c>
      <c r="B1962" t="b">
        <f>SUMPRODUCT(LEN(hospitalityq!C1962:R1962))&gt;0</f>
        <v>0</v>
      </c>
      <c r="C1962">
        <f>B1962*(hospitalityq!C1962="")</f>
        <v>0</v>
      </c>
      <c r="E1962">
        <f>B1962*(hospitalityq!E1962="")</f>
        <v>0</v>
      </c>
      <c r="F1962">
        <f>B1962*(hospitalityq!F1962="")</f>
        <v>0</v>
      </c>
      <c r="G1962">
        <f>B1962*(hospitalityq!G1962="")</f>
        <v>0</v>
      </c>
      <c r="H1962">
        <f>B1962*(hospitalityq!H1962="")</f>
        <v>0</v>
      </c>
      <c r="I1962">
        <f>B1962*(hospitalityq!I1962="")</f>
        <v>0</v>
      </c>
      <c r="J1962">
        <f>B1962*(hospitalityq!J1962="")</f>
        <v>0</v>
      </c>
      <c r="K1962">
        <f>B1962*(hospitalityq!K1962="")</f>
        <v>0</v>
      </c>
      <c r="L1962">
        <f>B1962*(hospitalityq!L1962="")</f>
        <v>0</v>
      </c>
      <c r="M1962">
        <f>B1962*(hospitalityq!M1962="")</f>
        <v>0</v>
      </c>
      <c r="N1962">
        <f>B1962*(hospitalityq!N1962="")</f>
        <v>0</v>
      </c>
      <c r="O1962">
        <f>B1962*(hospitalityq!O1962="")</f>
        <v>0</v>
      </c>
      <c r="P1962">
        <f>B1962*(hospitalityq!P1962="")</f>
        <v>0</v>
      </c>
      <c r="Q1962">
        <f>B1962*(hospitalityq!Q1962="")</f>
        <v>0</v>
      </c>
      <c r="R1962">
        <f>B1962*(hospitalityq!R1962="")</f>
        <v>0</v>
      </c>
    </row>
    <row r="1963" spans="1:18" x14ac:dyDescent="0.25">
      <c r="A1963">
        <f t="shared" si="31"/>
        <v>0</v>
      </c>
      <c r="B1963" t="b">
        <f>SUMPRODUCT(LEN(hospitalityq!C1963:R1963))&gt;0</f>
        <v>0</v>
      </c>
      <c r="C1963">
        <f>B1963*(hospitalityq!C1963="")</f>
        <v>0</v>
      </c>
      <c r="E1963">
        <f>B1963*(hospitalityq!E1963="")</f>
        <v>0</v>
      </c>
      <c r="F1963">
        <f>B1963*(hospitalityq!F1963="")</f>
        <v>0</v>
      </c>
      <c r="G1963">
        <f>B1963*(hospitalityq!G1963="")</f>
        <v>0</v>
      </c>
      <c r="H1963">
        <f>B1963*(hospitalityq!H1963="")</f>
        <v>0</v>
      </c>
      <c r="I1963">
        <f>B1963*(hospitalityq!I1963="")</f>
        <v>0</v>
      </c>
      <c r="J1963">
        <f>B1963*(hospitalityq!J1963="")</f>
        <v>0</v>
      </c>
      <c r="K1963">
        <f>B1963*(hospitalityq!K1963="")</f>
        <v>0</v>
      </c>
      <c r="L1963">
        <f>B1963*(hospitalityq!L1963="")</f>
        <v>0</v>
      </c>
      <c r="M1963">
        <f>B1963*(hospitalityq!M1963="")</f>
        <v>0</v>
      </c>
      <c r="N1963">
        <f>B1963*(hospitalityq!N1963="")</f>
        <v>0</v>
      </c>
      <c r="O1963">
        <f>B1963*(hospitalityq!O1963="")</f>
        <v>0</v>
      </c>
      <c r="P1963">
        <f>B1963*(hospitalityq!P1963="")</f>
        <v>0</v>
      </c>
      <c r="Q1963">
        <f>B1963*(hospitalityq!Q1963="")</f>
        <v>0</v>
      </c>
      <c r="R1963">
        <f>B1963*(hospitalityq!R1963="")</f>
        <v>0</v>
      </c>
    </row>
    <row r="1964" spans="1:18" x14ac:dyDescent="0.25">
      <c r="A1964">
        <f t="shared" si="31"/>
        <v>0</v>
      </c>
      <c r="B1964" t="b">
        <f>SUMPRODUCT(LEN(hospitalityq!C1964:R1964))&gt;0</f>
        <v>0</v>
      </c>
      <c r="C1964">
        <f>B1964*(hospitalityq!C1964="")</f>
        <v>0</v>
      </c>
      <c r="E1964">
        <f>B1964*(hospitalityq!E1964="")</f>
        <v>0</v>
      </c>
      <c r="F1964">
        <f>B1964*(hospitalityq!F1964="")</f>
        <v>0</v>
      </c>
      <c r="G1964">
        <f>B1964*(hospitalityq!G1964="")</f>
        <v>0</v>
      </c>
      <c r="H1964">
        <f>B1964*(hospitalityq!H1964="")</f>
        <v>0</v>
      </c>
      <c r="I1964">
        <f>B1964*(hospitalityq!I1964="")</f>
        <v>0</v>
      </c>
      <c r="J1964">
        <f>B1964*(hospitalityq!J1964="")</f>
        <v>0</v>
      </c>
      <c r="K1964">
        <f>B1964*(hospitalityq!K1964="")</f>
        <v>0</v>
      </c>
      <c r="L1964">
        <f>B1964*(hospitalityq!L1964="")</f>
        <v>0</v>
      </c>
      <c r="M1964">
        <f>B1964*(hospitalityq!M1964="")</f>
        <v>0</v>
      </c>
      <c r="N1964">
        <f>B1964*(hospitalityq!N1964="")</f>
        <v>0</v>
      </c>
      <c r="O1964">
        <f>B1964*(hospitalityq!O1964="")</f>
        <v>0</v>
      </c>
      <c r="P1964">
        <f>B1964*(hospitalityq!P1964="")</f>
        <v>0</v>
      </c>
      <c r="Q1964">
        <f>B1964*(hospitalityq!Q1964="")</f>
        <v>0</v>
      </c>
      <c r="R1964">
        <f>B1964*(hospitalityq!R1964="")</f>
        <v>0</v>
      </c>
    </row>
    <row r="1965" spans="1:18" x14ac:dyDescent="0.25">
      <c r="A1965">
        <f t="shared" si="31"/>
        <v>0</v>
      </c>
      <c r="B1965" t="b">
        <f>SUMPRODUCT(LEN(hospitalityq!C1965:R1965))&gt;0</f>
        <v>0</v>
      </c>
      <c r="C1965">
        <f>B1965*(hospitalityq!C1965="")</f>
        <v>0</v>
      </c>
      <c r="E1965">
        <f>B1965*(hospitalityq!E1965="")</f>
        <v>0</v>
      </c>
      <c r="F1965">
        <f>B1965*(hospitalityq!F1965="")</f>
        <v>0</v>
      </c>
      <c r="G1965">
        <f>B1965*(hospitalityq!G1965="")</f>
        <v>0</v>
      </c>
      <c r="H1965">
        <f>B1965*(hospitalityq!H1965="")</f>
        <v>0</v>
      </c>
      <c r="I1965">
        <f>B1965*(hospitalityq!I1965="")</f>
        <v>0</v>
      </c>
      <c r="J1965">
        <f>B1965*(hospitalityq!J1965="")</f>
        <v>0</v>
      </c>
      <c r="K1965">
        <f>B1965*(hospitalityq!K1965="")</f>
        <v>0</v>
      </c>
      <c r="L1965">
        <f>B1965*(hospitalityq!L1965="")</f>
        <v>0</v>
      </c>
      <c r="M1965">
        <f>B1965*(hospitalityq!M1965="")</f>
        <v>0</v>
      </c>
      <c r="N1965">
        <f>B1965*(hospitalityq!N1965="")</f>
        <v>0</v>
      </c>
      <c r="O1965">
        <f>B1965*(hospitalityq!O1965="")</f>
        <v>0</v>
      </c>
      <c r="P1965">
        <f>B1965*(hospitalityq!P1965="")</f>
        <v>0</v>
      </c>
      <c r="Q1965">
        <f>B1965*(hospitalityq!Q1965="")</f>
        <v>0</v>
      </c>
      <c r="R1965">
        <f>B1965*(hospitalityq!R1965="")</f>
        <v>0</v>
      </c>
    </row>
    <row r="1966" spans="1:18" x14ac:dyDescent="0.25">
      <c r="A1966">
        <f t="shared" si="31"/>
        <v>0</v>
      </c>
      <c r="B1966" t="b">
        <f>SUMPRODUCT(LEN(hospitalityq!C1966:R1966))&gt;0</f>
        <v>0</v>
      </c>
      <c r="C1966">
        <f>B1966*(hospitalityq!C1966="")</f>
        <v>0</v>
      </c>
      <c r="E1966">
        <f>B1966*(hospitalityq!E1966="")</f>
        <v>0</v>
      </c>
      <c r="F1966">
        <f>B1966*(hospitalityq!F1966="")</f>
        <v>0</v>
      </c>
      <c r="G1966">
        <f>B1966*(hospitalityq!G1966="")</f>
        <v>0</v>
      </c>
      <c r="H1966">
        <f>B1966*(hospitalityq!H1966="")</f>
        <v>0</v>
      </c>
      <c r="I1966">
        <f>B1966*(hospitalityq!I1966="")</f>
        <v>0</v>
      </c>
      <c r="J1966">
        <f>B1966*(hospitalityq!J1966="")</f>
        <v>0</v>
      </c>
      <c r="K1966">
        <f>B1966*(hospitalityq!K1966="")</f>
        <v>0</v>
      </c>
      <c r="L1966">
        <f>B1966*(hospitalityq!L1966="")</f>
        <v>0</v>
      </c>
      <c r="M1966">
        <f>B1966*(hospitalityq!M1966="")</f>
        <v>0</v>
      </c>
      <c r="N1966">
        <f>B1966*(hospitalityq!N1966="")</f>
        <v>0</v>
      </c>
      <c r="O1966">
        <f>B1966*(hospitalityq!O1966="")</f>
        <v>0</v>
      </c>
      <c r="P1966">
        <f>B1966*(hospitalityq!P1966="")</f>
        <v>0</v>
      </c>
      <c r="Q1966">
        <f>B1966*(hospitalityq!Q1966="")</f>
        <v>0</v>
      </c>
      <c r="R1966">
        <f>B1966*(hospitalityq!R1966="")</f>
        <v>0</v>
      </c>
    </row>
    <row r="1967" spans="1:18" x14ac:dyDescent="0.25">
      <c r="A1967">
        <f t="shared" si="31"/>
        <v>0</v>
      </c>
      <c r="B1967" t="b">
        <f>SUMPRODUCT(LEN(hospitalityq!C1967:R1967))&gt;0</f>
        <v>0</v>
      </c>
      <c r="C1967">
        <f>B1967*(hospitalityq!C1967="")</f>
        <v>0</v>
      </c>
      <c r="E1967">
        <f>B1967*(hospitalityq!E1967="")</f>
        <v>0</v>
      </c>
      <c r="F1967">
        <f>B1967*(hospitalityq!F1967="")</f>
        <v>0</v>
      </c>
      <c r="G1967">
        <f>B1967*(hospitalityq!G1967="")</f>
        <v>0</v>
      </c>
      <c r="H1967">
        <f>B1967*(hospitalityq!H1967="")</f>
        <v>0</v>
      </c>
      <c r="I1967">
        <f>B1967*(hospitalityq!I1967="")</f>
        <v>0</v>
      </c>
      <c r="J1967">
        <f>B1967*(hospitalityq!J1967="")</f>
        <v>0</v>
      </c>
      <c r="K1967">
        <f>B1967*(hospitalityq!K1967="")</f>
        <v>0</v>
      </c>
      <c r="L1967">
        <f>B1967*(hospitalityq!L1967="")</f>
        <v>0</v>
      </c>
      <c r="M1967">
        <f>B1967*(hospitalityq!M1967="")</f>
        <v>0</v>
      </c>
      <c r="N1967">
        <f>B1967*(hospitalityq!N1967="")</f>
        <v>0</v>
      </c>
      <c r="O1967">
        <f>B1967*(hospitalityq!O1967="")</f>
        <v>0</v>
      </c>
      <c r="P1967">
        <f>B1967*(hospitalityq!P1967="")</f>
        <v>0</v>
      </c>
      <c r="Q1967">
        <f>B1967*(hospitalityq!Q1967="")</f>
        <v>0</v>
      </c>
      <c r="R1967">
        <f>B1967*(hospitalityq!R1967="")</f>
        <v>0</v>
      </c>
    </row>
    <row r="1968" spans="1:18" x14ac:dyDescent="0.25">
      <c r="A1968">
        <f t="shared" si="31"/>
        <v>0</v>
      </c>
      <c r="B1968" t="b">
        <f>SUMPRODUCT(LEN(hospitalityq!C1968:R1968))&gt;0</f>
        <v>0</v>
      </c>
      <c r="C1968">
        <f>B1968*(hospitalityq!C1968="")</f>
        <v>0</v>
      </c>
      <c r="E1968">
        <f>B1968*(hospitalityq!E1968="")</f>
        <v>0</v>
      </c>
      <c r="F1968">
        <f>B1968*(hospitalityq!F1968="")</f>
        <v>0</v>
      </c>
      <c r="G1968">
        <f>B1968*(hospitalityq!G1968="")</f>
        <v>0</v>
      </c>
      <c r="H1968">
        <f>B1968*(hospitalityq!H1968="")</f>
        <v>0</v>
      </c>
      <c r="I1968">
        <f>B1968*(hospitalityq!I1968="")</f>
        <v>0</v>
      </c>
      <c r="J1968">
        <f>B1968*(hospitalityq!J1968="")</f>
        <v>0</v>
      </c>
      <c r="K1968">
        <f>B1968*(hospitalityq!K1968="")</f>
        <v>0</v>
      </c>
      <c r="L1968">
        <f>B1968*(hospitalityq!L1968="")</f>
        <v>0</v>
      </c>
      <c r="M1968">
        <f>B1968*(hospitalityq!M1968="")</f>
        <v>0</v>
      </c>
      <c r="N1968">
        <f>B1968*(hospitalityq!N1968="")</f>
        <v>0</v>
      </c>
      <c r="O1968">
        <f>B1968*(hospitalityq!O1968="")</f>
        <v>0</v>
      </c>
      <c r="P1968">
        <f>B1968*(hospitalityq!P1968="")</f>
        <v>0</v>
      </c>
      <c r="Q1968">
        <f>B1968*(hospitalityq!Q1968="")</f>
        <v>0</v>
      </c>
      <c r="R1968">
        <f>B1968*(hospitalityq!R1968="")</f>
        <v>0</v>
      </c>
    </row>
    <row r="1969" spans="1:18" x14ac:dyDescent="0.25">
      <c r="A1969">
        <f t="shared" si="31"/>
        <v>0</v>
      </c>
      <c r="B1969" t="b">
        <f>SUMPRODUCT(LEN(hospitalityq!C1969:R1969))&gt;0</f>
        <v>0</v>
      </c>
      <c r="C1969">
        <f>B1969*(hospitalityq!C1969="")</f>
        <v>0</v>
      </c>
      <c r="E1969">
        <f>B1969*(hospitalityq!E1969="")</f>
        <v>0</v>
      </c>
      <c r="F1969">
        <f>B1969*(hospitalityq!F1969="")</f>
        <v>0</v>
      </c>
      <c r="G1969">
        <f>B1969*(hospitalityq!G1969="")</f>
        <v>0</v>
      </c>
      <c r="H1969">
        <f>B1969*(hospitalityq!H1969="")</f>
        <v>0</v>
      </c>
      <c r="I1969">
        <f>B1969*(hospitalityq!I1969="")</f>
        <v>0</v>
      </c>
      <c r="J1969">
        <f>B1969*(hospitalityq!J1969="")</f>
        <v>0</v>
      </c>
      <c r="K1969">
        <f>B1969*(hospitalityq!K1969="")</f>
        <v>0</v>
      </c>
      <c r="L1969">
        <f>B1969*(hospitalityq!L1969="")</f>
        <v>0</v>
      </c>
      <c r="M1969">
        <f>B1969*(hospitalityq!M1969="")</f>
        <v>0</v>
      </c>
      <c r="N1969">
        <f>B1969*(hospitalityq!N1969="")</f>
        <v>0</v>
      </c>
      <c r="O1969">
        <f>B1969*(hospitalityq!O1969="")</f>
        <v>0</v>
      </c>
      <c r="P1969">
        <f>B1969*(hospitalityq!P1969="")</f>
        <v>0</v>
      </c>
      <c r="Q1969">
        <f>B1969*(hospitalityq!Q1969="")</f>
        <v>0</v>
      </c>
      <c r="R1969">
        <f>B1969*(hospitalityq!R1969="")</f>
        <v>0</v>
      </c>
    </row>
    <row r="1970" spans="1:18" x14ac:dyDescent="0.25">
      <c r="A1970">
        <f t="shared" si="31"/>
        <v>0</v>
      </c>
      <c r="B1970" t="b">
        <f>SUMPRODUCT(LEN(hospitalityq!C1970:R1970))&gt;0</f>
        <v>0</v>
      </c>
      <c r="C1970">
        <f>B1970*(hospitalityq!C1970="")</f>
        <v>0</v>
      </c>
      <c r="E1970">
        <f>B1970*(hospitalityq!E1970="")</f>
        <v>0</v>
      </c>
      <c r="F1970">
        <f>B1970*(hospitalityq!F1970="")</f>
        <v>0</v>
      </c>
      <c r="G1970">
        <f>B1970*(hospitalityq!G1970="")</f>
        <v>0</v>
      </c>
      <c r="H1970">
        <f>B1970*(hospitalityq!H1970="")</f>
        <v>0</v>
      </c>
      <c r="I1970">
        <f>B1970*(hospitalityq!I1970="")</f>
        <v>0</v>
      </c>
      <c r="J1970">
        <f>B1970*(hospitalityq!J1970="")</f>
        <v>0</v>
      </c>
      <c r="K1970">
        <f>B1970*(hospitalityq!K1970="")</f>
        <v>0</v>
      </c>
      <c r="L1970">
        <f>B1970*(hospitalityq!L1970="")</f>
        <v>0</v>
      </c>
      <c r="M1970">
        <f>B1970*(hospitalityq!M1970="")</f>
        <v>0</v>
      </c>
      <c r="N1970">
        <f>B1970*(hospitalityq!N1970="")</f>
        <v>0</v>
      </c>
      <c r="O1970">
        <f>B1970*(hospitalityq!O1970="")</f>
        <v>0</v>
      </c>
      <c r="P1970">
        <f>B1970*(hospitalityq!P1970="")</f>
        <v>0</v>
      </c>
      <c r="Q1970">
        <f>B1970*(hospitalityq!Q1970="")</f>
        <v>0</v>
      </c>
      <c r="R1970">
        <f>B1970*(hospitalityq!R1970="")</f>
        <v>0</v>
      </c>
    </row>
    <row r="1971" spans="1:18" x14ac:dyDescent="0.25">
      <c r="A1971">
        <f t="shared" si="31"/>
        <v>0</v>
      </c>
      <c r="B1971" t="b">
        <f>SUMPRODUCT(LEN(hospitalityq!C1971:R1971))&gt;0</f>
        <v>0</v>
      </c>
      <c r="C1971">
        <f>B1971*(hospitalityq!C1971="")</f>
        <v>0</v>
      </c>
      <c r="E1971">
        <f>B1971*(hospitalityq!E1971="")</f>
        <v>0</v>
      </c>
      <c r="F1971">
        <f>B1971*(hospitalityq!F1971="")</f>
        <v>0</v>
      </c>
      <c r="G1971">
        <f>B1971*(hospitalityq!G1971="")</f>
        <v>0</v>
      </c>
      <c r="H1971">
        <f>B1971*(hospitalityq!H1971="")</f>
        <v>0</v>
      </c>
      <c r="I1971">
        <f>B1971*(hospitalityq!I1971="")</f>
        <v>0</v>
      </c>
      <c r="J1971">
        <f>B1971*(hospitalityq!J1971="")</f>
        <v>0</v>
      </c>
      <c r="K1971">
        <f>B1971*(hospitalityq!K1971="")</f>
        <v>0</v>
      </c>
      <c r="L1971">
        <f>B1971*(hospitalityq!L1971="")</f>
        <v>0</v>
      </c>
      <c r="M1971">
        <f>B1971*(hospitalityq!M1971="")</f>
        <v>0</v>
      </c>
      <c r="N1971">
        <f>B1971*(hospitalityq!N1971="")</f>
        <v>0</v>
      </c>
      <c r="O1971">
        <f>B1971*(hospitalityq!O1971="")</f>
        <v>0</v>
      </c>
      <c r="P1971">
        <f>B1971*(hospitalityq!P1971="")</f>
        <v>0</v>
      </c>
      <c r="Q1971">
        <f>B1971*(hospitalityq!Q1971="")</f>
        <v>0</v>
      </c>
      <c r="R1971">
        <f>B1971*(hospitalityq!R1971="")</f>
        <v>0</v>
      </c>
    </row>
    <row r="1972" spans="1:18" x14ac:dyDescent="0.25">
      <c r="A1972">
        <f t="shared" si="31"/>
        <v>0</v>
      </c>
      <c r="B1972" t="b">
        <f>SUMPRODUCT(LEN(hospitalityq!C1972:R1972))&gt;0</f>
        <v>0</v>
      </c>
      <c r="C1972">
        <f>B1972*(hospitalityq!C1972="")</f>
        <v>0</v>
      </c>
      <c r="E1972">
        <f>B1972*(hospitalityq!E1972="")</f>
        <v>0</v>
      </c>
      <c r="F1972">
        <f>B1972*(hospitalityq!F1972="")</f>
        <v>0</v>
      </c>
      <c r="G1972">
        <f>B1972*(hospitalityq!G1972="")</f>
        <v>0</v>
      </c>
      <c r="H1972">
        <f>B1972*(hospitalityq!H1972="")</f>
        <v>0</v>
      </c>
      <c r="I1972">
        <f>B1972*(hospitalityq!I1972="")</f>
        <v>0</v>
      </c>
      <c r="J1972">
        <f>B1972*(hospitalityq!J1972="")</f>
        <v>0</v>
      </c>
      <c r="K1972">
        <f>B1972*(hospitalityq!K1972="")</f>
        <v>0</v>
      </c>
      <c r="L1972">
        <f>B1972*(hospitalityq!L1972="")</f>
        <v>0</v>
      </c>
      <c r="M1972">
        <f>B1972*(hospitalityq!M1972="")</f>
        <v>0</v>
      </c>
      <c r="N1972">
        <f>B1972*(hospitalityq!N1972="")</f>
        <v>0</v>
      </c>
      <c r="O1972">
        <f>B1972*(hospitalityq!O1972="")</f>
        <v>0</v>
      </c>
      <c r="P1972">
        <f>B1972*(hospitalityq!P1972="")</f>
        <v>0</v>
      </c>
      <c r="Q1972">
        <f>B1972*(hospitalityq!Q1972="")</f>
        <v>0</v>
      </c>
      <c r="R1972">
        <f>B1972*(hospitalityq!R1972="")</f>
        <v>0</v>
      </c>
    </row>
    <row r="1973" spans="1:18" x14ac:dyDescent="0.25">
      <c r="A1973">
        <f t="shared" si="31"/>
        <v>0</v>
      </c>
      <c r="B1973" t="b">
        <f>SUMPRODUCT(LEN(hospitalityq!C1973:R1973))&gt;0</f>
        <v>0</v>
      </c>
      <c r="C1973">
        <f>B1973*(hospitalityq!C1973="")</f>
        <v>0</v>
      </c>
      <c r="E1973">
        <f>B1973*(hospitalityq!E1973="")</f>
        <v>0</v>
      </c>
      <c r="F1973">
        <f>B1973*(hospitalityq!F1973="")</f>
        <v>0</v>
      </c>
      <c r="G1973">
        <f>B1973*(hospitalityq!G1973="")</f>
        <v>0</v>
      </c>
      <c r="H1973">
        <f>B1973*(hospitalityq!H1973="")</f>
        <v>0</v>
      </c>
      <c r="I1973">
        <f>B1973*(hospitalityq!I1973="")</f>
        <v>0</v>
      </c>
      <c r="J1973">
        <f>B1973*(hospitalityq!J1973="")</f>
        <v>0</v>
      </c>
      <c r="K1973">
        <f>B1973*(hospitalityq!K1973="")</f>
        <v>0</v>
      </c>
      <c r="L1973">
        <f>B1973*(hospitalityq!L1973="")</f>
        <v>0</v>
      </c>
      <c r="M1973">
        <f>B1973*(hospitalityq!M1973="")</f>
        <v>0</v>
      </c>
      <c r="N1973">
        <f>B1973*(hospitalityq!N1973="")</f>
        <v>0</v>
      </c>
      <c r="O1973">
        <f>B1973*(hospitalityq!O1973="")</f>
        <v>0</v>
      </c>
      <c r="P1973">
        <f>B1973*(hospitalityq!P1973="")</f>
        <v>0</v>
      </c>
      <c r="Q1973">
        <f>B1973*(hospitalityq!Q1973="")</f>
        <v>0</v>
      </c>
      <c r="R1973">
        <f>B1973*(hospitalityq!R1973="")</f>
        <v>0</v>
      </c>
    </row>
    <row r="1974" spans="1:18" x14ac:dyDescent="0.25">
      <c r="A1974">
        <f t="shared" si="31"/>
        <v>0</v>
      </c>
      <c r="B1974" t="b">
        <f>SUMPRODUCT(LEN(hospitalityq!C1974:R1974))&gt;0</f>
        <v>0</v>
      </c>
      <c r="C1974">
        <f>B1974*(hospitalityq!C1974="")</f>
        <v>0</v>
      </c>
      <c r="E1974">
        <f>B1974*(hospitalityq!E1974="")</f>
        <v>0</v>
      </c>
      <c r="F1974">
        <f>B1974*(hospitalityq!F1974="")</f>
        <v>0</v>
      </c>
      <c r="G1974">
        <f>B1974*(hospitalityq!G1974="")</f>
        <v>0</v>
      </c>
      <c r="H1974">
        <f>B1974*(hospitalityq!H1974="")</f>
        <v>0</v>
      </c>
      <c r="I1974">
        <f>B1974*(hospitalityq!I1974="")</f>
        <v>0</v>
      </c>
      <c r="J1974">
        <f>B1974*(hospitalityq!J1974="")</f>
        <v>0</v>
      </c>
      <c r="K1974">
        <f>B1974*(hospitalityq!K1974="")</f>
        <v>0</v>
      </c>
      <c r="L1974">
        <f>B1974*(hospitalityq!L1974="")</f>
        <v>0</v>
      </c>
      <c r="M1974">
        <f>B1974*(hospitalityq!M1974="")</f>
        <v>0</v>
      </c>
      <c r="N1974">
        <f>B1974*(hospitalityq!N1974="")</f>
        <v>0</v>
      </c>
      <c r="O1974">
        <f>B1974*(hospitalityq!O1974="")</f>
        <v>0</v>
      </c>
      <c r="P1974">
        <f>B1974*(hospitalityq!P1974="")</f>
        <v>0</v>
      </c>
      <c r="Q1974">
        <f>B1974*(hospitalityq!Q1974="")</f>
        <v>0</v>
      </c>
      <c r="R1974">
        <f>B1974*(hospitalityq!R1974="")</f>
        <v>0</v>
      </c>
    </row>
    <row r="1975" spans="1:18" x14ac:dyDescent="0.25">
      <c r="A1975">
        <f t="shared" si="31"/>
        <v>0</v>
      </c>
      <c r="B1975" t="b">
        <f>SUMPRODUCT(LEN(hospitalityq!C1975:R1975))&gt;0</f>
        <v>0</v>
      </c>
      <c r="C1975">
        <f>B1975*(hospitalityq!C1975="")</f>
        <v>0</v>
      </c>
      <c r="E1975">
        <f>B1975*(hospitalityq!E1975="")</f>
        <v>0</v>
      </c>
      <c r="F1975">
        <f>B1975*(hospitalityq!F1975="")</f>
        <v>0</v>
      </c>
      <c r="G1975">
        <f>B1975*(hospitalityq!G1975="")</f>
        <v>0</v>
      </c>
      <c r="H1975">
        <f>B1975*(hospitalityq!H1975="")</f>
        <v>0</v>
      </c>
      <c r="I1975">
        <f>B1975*(hospitalityq!I1975="")</f>
        <v>0</v>
      </c>
      <c r="J1975">
        <f>B1975*(hospitalityq!J1975="")</f>
        <v>0</v>
      </c>
      <c r="K1975">
        <f>B1975*(hospitalityq!K1975="")</f>
        <v>0</v>
      </c>
      <c r="L1975">
        <f>B1975*(hospitalityq!L1975="")</f>
        <v>0</v>
      </c>
      <c r="M1975">
        <f>B1975*(hospitalityq!M1975="")</f>
        <v>0</v>
      </c>
      <c r="N1975">
        <f>B1975*(hospitalityq!N1975="")</f>
        <v>0</v>
      </c>
      <c r="O1975">
        <f>B1975*(hospitalityq!O1975="")</f>
        <v>0</v>
      </c>
      <c r="P1975">
        <f>B1975*(hospitalityq!P1975="")</f>
        <v>0</v>
      </c>
      <c r="Q1975">
        <f>B1975*(hospitalityq!Q1975="")</f>
        <v>0</v>
      </c>
      <c r="R1975">
        <f>B1975*(hospitalityq!R1975="")</f>
        <v>0</v>
      </c>
    </row>
    <row r="1976" spans="1:18" x14ac:dyDescent="0.25">
      <c r="A1976">
        <f t="shared" si="31"/>
        <v>0</v>
      </c>
      <c r="B1976" t="b">
        <f>SUMPRODUCT(LEN(hospitalityq!C1976:R1976))&gt;0</f>
        <v>0</v>
      </c>
      <c r="C1976">
        <f>B1976*(hospitalityq!C1976="")</f>
        <v>0</v>
      </c>
      <c r="E1976">
        <f>B1976*(hospitalityq!E1976="")</f>
        <v>0</v>
      </c>
      <c r="F1976">
        <f>B1976*(hospitalityq!F1976="")</f>
        <v>0</v>
      </c>
      <c r="G1976">
        <f>B1976*(hospitalityq!G1976="")</f>
        <v>0</v>
      </c>
      <c r="H1976">
        <f>B1976*(hospitalityq!H1976="")</f>
        <v>0</v>
      </c>
      <c r="I1976">
        <f>B1976*(hospitalityq!I1976="")</f>
        <v>0</v>
      </c>
      <c r="J1976">
        <f>B1976*(hospitalityq!J1976="")</f>
        <v>0</v>
      </c>
      <c r="K1976">
        <f>B1976*(hospitalityq!K1976="")</f>
        <v>0</v>
      </c>
      <c r="L1976">
        <f>B1976*(hospitalityq!L1976="")</f>
        <v>0</v>
      </c>
      <c r="M1976">
        <f>B1976*(hospitalityq!M1976="")</f>
        <v>0</v>
      </c>
      <c r="N1976">
        <f>B1976*(hospitalityq!N1976="")</f>
        <v>0</v>
      </c>
      <c r="O1976">
        <f>B1976*(hospitalityq!O1976="")</f>
        <v>0</v>
      </c>
      <c r="P1976">
        <f>B1976*(hospitalityq!P1976="")</f>
        <v>0</v>
      </c>
      <c r="Q1976">
        <f>B1976*(hospitalityq!Q1976="")</f>
        <v>0</v>
      </c>
      <c r="R1976">
        <f>B1976*(hospitalityq!R1976="")</f>
        <v>0</v>
      </c>
    </row>
    <row r="1977" spans="1:18" x14ac:dyDescent="0.25">
      <c r="A1977">
        <f t="shared" si="31"/>
        <v>0</v>
      </c>
      <c r="B1977" t="b">
        <f>SUMPRODUCT(LEN(hospitalityq!C1977:R1977))&gt;0</f>
        <v>0</v>
      </c>
      <c r="C1977">
        <f>B1977*(hospitalityq!C1977="")</f>
        <v>0</v>
      </c>
      <c r="E1977">
        <f>B1977*(hospitalityq!E1977="")</f>
        <v>0</v>
      </c>
      <c r="F1977">
        <f>B1977*(hospitalityq!F1977="")</f>
        <v>0</v>
      </c>
      <c r="G1977">
        <f>B1977*(hospitalityq!G1977="")</f>
        <v>0</v>
      </c>
      <c r="H1977">
        <f>B1977*(hospitalityq!H1977="")</f>
        <v>0</v>
      </c>
      <c r="I1977">
        <f>B1977*(hospitalityq!I1977="")</f>
        <v>0</v>
      </c>
      <c r="J1977">
        <f>B1977*(hospitalityq!J1977="")</f>
        <v>0</v>
      </c>
      <c r="K1977">
        <f>B1977*(hospitalityq!K1977="")</f>
        <v>0</v>
      </c>
      <c r="L1977">
        <f>B1977*(hospitalityq!L1977="")</f>
        <v>0</v>
      </c>
      <c r="M1977">
        <f>B1977*(hospitalityq!M1977="")</f>
        <v>0</v>
      </c>
      <c r="N1977">
        <f>B1977*(hospitalityq!N1977="")</f>
        <v>0</v>
      </c>
      <c r="O1977">
        <f>B1977*(hospitalityq!O1977="")</f>
        <v>0</v>
      </c>
      <c r="P1977">
        <f>B1977*(hospitalityq!P1977="")</f>
        <v>0</v>
      </c>
      <c r="Q1977">
        <f>B1977*(hospitalityq!Q1977="")</f>
        <v>0</v>
      </c>
      <c r="R1977">
        <f>B1977*(hospitalityq!R1977="")</f>
        <v>0</v>
      </c>
    </row>
    <row r="1978" spans="1:18" x14ac:dyDescent="0.25">
      <c r="A1978">
        <f t="shared" si="31"/>
        <v>0</v>
      </c>
      <c r="B1978" t="b">
        <f>SUMPRODUCT(LEN(hospitalityq!C1978:R1978))&gt;0</f>
        <v>0</v>
      </c>
      <c r="C1978">
        <f>B1978*(hospitalityq!C1978="")</f>
        <v>0</v>
      </c>
      <c r="E1978">
        <f>B1978*(hospitalityq!E1978="")</f>
        <v>0</v>
      </c>
      <c r="F1978">
        <f>B1978*(hospitalityq!F1978="")</f>
        <v>0</v>
      </c>
      <c r="G1978">
        <f>B1978*(hospitalityq!G1978="")</f>
        <v>0</v>
      </c>
      <c r="H1978">
        <f>B1978*(hospitalityq!H1978="")</f>
        <v>0</v>
      </c>
      <c r="I1978">
        <f>B1978*(hospitalityq!I1978="")</f>
        <v>0</v>
      </c>
      <c r="J1978">
        <f>B1978*(hospitalityq!J1978="")</f>
        <v>0</v>
      </c>
      <c r="K1978">
        <f>B1978*(hospitalityq!K1978="")</f>
        <v>0</v>
      </c>
      <c r="L1978">
        <f>B1978*(hospitalityq!L1978="")</f>
        <v>0</v>
      </c>
      <c r="M1978">
        <f>B1978*(hospitalityq!M1978="")</f>
        <v>0</v>
      </c>
      <c r="N1978">
        <f>B1978*(hospitalityq!N1978="")</f>
        <v>0</v>
      </c>
      <c r="O1978">
        <f>B1978*(hospitalityq!O1978="")</f>
        <v>0</v>
      </c>
      <c r="P1978">
        <f>B1978*(hospitalityq!P1978="")</f>
        <v>0</v>
      </c>
      <c r="Q1978">
        <f>B1978*(hospitalityq!Q1978="")</f>
        <v>0</v>
      </c>
      <c r="R1978">
        <f>B1978*(hospitalityq!R1978="")</f>
        <v>0</v>
      </c>
    </row>
    <row r="1979" spans="1:18" x14ac:dyDescent="0.25">
      <c r="A1979">
        <f t="shared" si="31"/>
        <v>0</v>
      </c>
      <c r="B1979" t="b">
        <f>SUMPRODUCT(LEN(hospitalityq!C1979:R1979))&gt;0</f>
        <v>0</v>
      </c>
      <c r="C1979">
        <f>B1979*(hospitalityq!C1979="")</f>
        <v>0</v>
      </c>
      <c r="E1979">
        <f>B1979*(hospitalityq!E1979="")</f>
        <v>0</v>
      </c>
      <c r="F1979">
        <f>B1979*(hospitalityq!F1979="")</f>
        <v>0</v>
      </c>
      <c r="G1979">
        <f>B1979*(hospitalityq!G1979="")</f>
        <v>0</v>
      </c>
      <c r="H1979">
        <f>B1979*(hospitalityq!H1979="")</f>
        <v>0</v>
      </c>
      <c r="I1979">
        <f>B1979*(hospitalityq!I1979="")</f>
        <v>0</v>
      </c>
      <c r="J1979">
        <f>B1979*(hospitalityq!J1979="")</f>
        <v>0</v>
      </c>
      <c r="K1979">
        <f>B1979*(hospitalityq!K1979="")</f>
        <v>0</v>
      </c>
      <c r="L1979">
        <f>B1979*(hospitalityq!L1979="")</f>
        <v>0</v>
      </c>
      <c r="M1979">
        <f>B1979*(hospitalityq!M1979="")</f>
        <v>0</v>
      </c>
      <c r="N1979">
        <f>B1979*(hospitalityq!N1979="")</f>
        <v>0</v>
      </c>
      <c r="O1979">
        <f>B1979*(hospitalityq!O1979="")</f>
        <v>0</v>
      </c>
      <c r="P1979">
        <f>B1979*(hospitalityq!P1979="")</f>
        <v>0</v>
      </c>
      <c r="Q1979">
        <f>B1979*(hospitalityq!Q1979="")</f>
        <v>0</v>
      </c>
      <c r="R1979">
        <f>B1979*(hospitalityq!R1979="")</f>
        <v>0</v>
      </c>
    </row>
    <row r="1980" spans="1:18" x14ac:dyDescent="0.25">
      <c r="A1980">
        <f t="shared" si="31"/>
        <v>0</v>
      </c>
      <c r="B1980" t="b">
        <f>SUMPRODUCT(LEN(hospitalityq!C1980:R1980))&gt;0</f>
        <v>0</v>
      </c>
      <c r="C1980">
        <f>B1980*(hospitalityq!C1980="")</f>
        <v>0</v>
      </c>
      <c r="E1980">
        <f>B1980*(hospitalityq!E1980="")</f>
        <v>0</v>
      </c>
      <c r="F1980">
        <f>B1980*(hospitalityq!F1980="")</f>
        <v>0</v>
      </c>
      <c r="G1980">
        <f>B1980*(hospitalityq!G1980="")</f>
        <v>0</v>
      </c>
      <c r="H1980">
        <f>B1980*(hospitalityq!H1980="")</f>
        <v>0</v>
      </c>
      <c r="I1980">
        <f>B1980*(hospitalityq!I1980="")</f>
        <v>0</v>
      </c>
      <c r="J1980">
        <f>B1980*(hospitalityq!J1980="")</f>
        <v>0</v>
      </c>
      <c r="K1980">
        <f>B1980*(hospitalityq!K1980="")</f>
        <v>0</v>
      </c>
      <c r="L1980">
        <f>B1980*(hospitalityq!L1980="")</f>
        <v>0</v>
      </c>
      <c r="M1980">
        <f>B1980*(hospitalityq!M1980="")</f>
        <v>0</v>
      </c>
      <c r="N1980">
        <f>B1980*(hospitalityq!N1980="")</f>
        <v>0</v>
      </c>
      <c r="O1980">
        <f>B1980*(hospitalityq!O1980="")</f>
        <v>0</v>
      </c>
      <c r="P1980">
        <f>B1980*(hospitalityq!P1980="")</f>
        <v>0</v>
      </c>
      <c r="Q1980">
        <f>B1980*(hospitalityq!Q1980="")</f>
        <v>0</v>
      </c>
      <c r="R1980">
        <f>B1980*(hospitalityq!R1980="")</f>
        <v>0</v>
      </c>
    </row>
    <row r="1981" spans="1:18" x14ac:dyDescent="0.25">
      <c r="A1981">
        <f t="shared" si="31"/>
        <v>0</v>
      </c>
      <c r="B1981" t="b">
        <f>SUMPRODUCT(LEN(hospitalityq!C1981:R1981))&gt;0</f>
        <v>0</v>
      </c>
      <c r="C1981">
        <f>B1981*(hospitalityq!C1981="")</f>
        <v>0</v>
      </c>
      <c r="E1981">
        <f>B1981*(hospitalityq!E1981="")</f>
        <v>0</v>
      </c>
      <c r="F1981">
        <f>B1981*(hospitalityq!F1981="")</f>
        <v>0</v>
      </c>
      <c r="G1981">
        <f>B1981*(hospitalityq!G1981="")</f>
        <v>0</v>
      </c>
      <c r="H1981">
        <f>B1981*(hospitalityq!H1981="")</f>
        <v>0</v>
      </c>
      <c r="I1981">
        <f>B1981*(hospitalityq!I1981="")</f>
        <v>0</v>
      </c>
      <c r="J1981">
        <f>B1981*(hospitalityq!J1981="")</f>
        <v>0</v>
      </c>
      <c r="K1981">
        <f>B1981*(hospitalityq!K1981="")</f>
        <v>0</v>
      </c>
      <c r="L1981">
        <f>B1981*(hospitalityq!L1981="")</f>
        <v>0</v>
      </c>
      <c r="M1981">
        <f>B1981*(hospitalityq!M1981="")</f>
        <v>0</v>
      </c>
      <c r="N1981">
        <f>B1981*(hospitalityq!N1981="")</f>
        <v>0</v>
      </c>
      <c r="O1981">
        <f>B1981*(hospitalityq!O1981="")</f>
        <v>0</v>
      </c>
      <c r="P1981">
        <f>B1981*(hospitalityq!P1981="")</f>
        <v>0</v>
      </c>
      <c r="Q1981">
        <f>B1981*(hospitalityq!Q1981="")</f>
        <v>0</v>
      </c>
      <c r="R1981">
        <f>B1981*(hospitalityq!R1981="")</f>
        <v>0</v>
      </c>
    </row>
    <row r="1982" spans="1:18" x14ac:dyDescent="0.25">
      <c r="A1982">
        <f t="shared" si="31"/>
        <v>0</v>
      </c>
      <c r="B1982" t="b">
        <f>SUMPRODUCT(LEN(hospitalityq!C1982:R1982))&gt;0</f>
        <v>0</v>
      </c>
      <c r="C1982">
        <f>B1982*(hospitalityq!C1982="")</f>
        <v>0</v>
      </c>
      <c r="E1982">
        <f>B1982*(hospitalityq!E1982="")</f>
        <v>0</v>
      </c>
      <c r="F1982">
        <f>B1982*(hospitalityq!F1982="")</f>
        <v>0</v>
      </c>
      <c r="G1982">
        <f>B1982*(hospitalityq!G1982="")</f>
        <v>0</v>
      </c>
      <c r="H1982">
        <f>B1982*(hospitalityq!H1982="")</f>
        <v>0</v>
      </c>
      <c r="I1982">
        <f>B1982*(hospitalityq!I1982="")</f>
        <v>0</v>
      </c>
      <c r="J1982">
        <f>B1982*(hospitalityq!J1982="")</f>
        <v>0</v>
      </c>
      <c r="K1982">
        <f>B1982*(hospitalityq!K1982="")</f>
        <v>0</v>
      </c>
      <c r="L1982">
        <f>B1982*(hospitalityq!L1982="")</f>
        <v>0</v>
      </c>
      <c r="M1982">
        <f>B1982*(hospitalityq!M1982="")</f>
        <v>0</v>
      </c>
      <c r="N1982">
        <f>B1982*(hospitalityq!N1982="")</f>
        <v>0</v>
      </c>
      <c r="O1982">
        <f>B1982*(hospitalityq!O1982="")</f>
        <v>0</v>
      </c>
      <c r="P1982">
        <f>B1982*(hospitalityq!P1982="")</f>
        <v>0</v>
      </c>
      <c r="Q1982">
        <f>B1982*(hospitalityq!Q1982="")</f>
        <v>0</v>
      </c>
      <c r="R1982">
        <f>B1982*(hospitalityq!R1982="")</f>
        <v>0</v>
      </c>
    </row>
    <row r="1983" spans="1:18" x14ac:dyDescent="0.25">
      <c r="A1983">
        <f t="shared" si="31"/>
        <v>0</v>
      </c>
      <c r="B1983" t="b">
        <f>SUMPRODUCT(LEN(hospitalityq!C1983:R1983))&gt;0</f>
        <v>0</v>
      </c>
      <c r="C1983">
        <f>B1983*(hospitalityq!C1983="")</f>
        <v>0</v>
      </c>
      <c r="E1983">
        <f>B1983*(hospitalityq!E1983="")</f>
        <v>0</v>
      </c>
      <c r="F1983">
        <f>B1983*(hospitalityq!F1983="")</f>
        <v>0</v>
      </c>
      <c r="G1983">
        <f>B1983*(hospitalityq!G1983="")</f>
        <v>0</v>
      </c>
      <c r="H1983">
        <f>B1983*(hospitalityq!H1983="")</f>
        <v>0</v>
      </c>
      <c r="I1983">
        <f>B1983*(hospitalityq!I1983="")</f>
        <v>0</v>
      </c>
      <c r="J1983">
        <f>B1983*(hospitalityq!J1983="")</f>
        <v>0</v>
      </c>
      <c r="K1983">
        <f>B1983*(hospitalityq!K1983="")</f>
        <v>0</v>
      </c>
      <c r="L1983">
        <f>B1983*(hospitalityq!L1983="")</f>
        <v>0</v>
      </c>
      <c r="M1983">
        <f>B1983*(hospitalityq!M1983="")</f>
        <v>0</v>
      </c>
      <c r="N1983">
        <f>B1983*(hospitalityq!N1983="")</f>
        <v>0</v>
      </c>
      <c r="O1983">
        <f>B1983*(hospitalityq!O1983="")</f>
        <v>0</v>
      </c>
      <c r="P1983">
        <f>B1983*(hospitalityq!P1983="")</f>
        <v>0</v>
      </c>
      <c r="Q1983">
        <f>B1983*(hospitalityq!Q1983="")</f>
        <v>0</v>
      </c>
      <c r="R1983">
        <f>B1983*(hospitalityq!R1983="")</f>
        <v>0</v>
      </c>
    </row>
    <row r="1984" spans="1:18" x14ac:dyDescent="0.25">
      <c r="A1984">
        <f t="shared" si="31"/>
        <v>0</v>
      </c>
      <c r="B1984" t="b">
        <f>SUMPRODUCT(LEN(hospitalityq!C1984:R1984))&gt;0</f>
        <v>0</v>
      </c>
      <c r="C1984">
        <f>B1984*(hospitalityq!C1984="")</f>
        <v>0</v>
      </c>
      <c r="E1984">
        <f>B1984*(hospitalityq!E1984="")</f>
        <v>0</v>
      </c>
      <c r="F1984">
        <f>B1984*(hospitalityq!F1984="")</f>
        <v>0</v>
      </c>
      <c r="G1984">
        <f>B1984*(hospitalityq!G1984="")</f>
        <v>0</v>
      </c>
      <c r="H1984">
        <f>B1984*(hospitalityq!H1984="")</f>
        <v>0</v>
      </c>
      <c r="I1984">
        <f>B1984*(hospitalityq!I1984="")</f>
        <v>0</v>
      </c>
      <c r="J1984">
        <f>B1984*(hospitalityq!J1984="")</f>
        <v>0</v>
      </c>
      <c r="K1984">
        <f>B1984*(hospitalityq!K1984="")</f>
        <v>0</v>
      </c>
      <c r="L1984">
        <f>B1984*(hospitalityq!L1984="")</f>
        <v>0</v>
      </c>
      <c r="M1984">
        <f>B1984*(hospitalityq!M1984="")</f>
        <v>0</v>
      </c>
      <c r="N1984">
        <f>B1984*(hospitalityq!N1984="")</f>
        <v>0</v>
      </c>
      <c r="O1984">
        <f>B1984*(hospitalityq!O1984="")</f>
        <v>0</v>
      </c>
      <c r="P1984">
        <f>B1984*(hospitalityq!P1984="")</f>
        <v>0</v>
      </c>
      <c r="Q1984">
        <f>B1984*(hospitalityq!Q1984="")</f>
        <v>0</v>
      </c>
      <c r="R1984">
        <f>B1984*(hospitalityq!R1984="")</f>
        <v>0</v>
      </c>
    </row>
    <row r="1985" spans="1:18" x14ac:dyDescent="0.25">
      <c r="A1985">
        <f t="shared" si="31"/>
        <v>0</v>
      </c>
      <c r="B1985" t="b">
        <f>SUMPRODUCT(LEN(hospitalityq!C1985:R1985))&gt;0</f>
        <v>0</v>
      </c>
      <c r="C1985">
        <f>B1985*(hospitalityq!C1985="")</f>
        <v>0</v>
      </c>
      <c r="E1985">
        <f>B1985*(hospitalityq!E1985="")</f>
        <v>0</v>
      </c>
      <c r="F1985">
        <f>B1985*(hospitalityq!F1985="")</f>
        <v>0</v>
      </c>
      <c r="G1985">
        <f>B1985*(hospitalityq!G1985="")</f>
        <v>0</v>
      </c>
      <c r="H1985">
        <f>B1985*(hospitalityq!H1985="")</f>
        <v>0</v>
      </c>
      <c r="I1985">
        <f>B1985*(hospitalityq!I1985="")</f>
        <v>0</v>
      </c>
      <c r="J1985">
        <f>B1985*(hospitalityq!J1985="")</f>
        <v>0</v>
      </c>
      <c r="K1985">
        <f>B1985*(hospitalityq!K1985="")</f>
        <v>0</v>
      </c>
      <c r="L1985">
        <f>B1985*(hospitalityq!L1985="")</f>
        <v>0</v>
      </c>
      <c r="M1985">
        <f>B1985*(hospitalityq!M1985="")</f>
        <v>0</v>
      </c>
      <c r="N1985">
        <f>B1985*(hospitalityq!N1985="")</f>
        <v>0</v>
      </c>
      <c r="O1985">
        <f>B1985*(hospitalityq!O1985="")</f>
        <v>0</v>
      </c>
      <c r="P1985">
        <f>B1985*(hospitalityq!P1985="")</f>
        <v>0</v>
      </c>
      <c r="Q1985">
        <f>B1985*(hospitalityq!Q1985="")</f>
        <v>0</v>
      </c>
      <c r="R1985">
        <f>B1985*(hospitalityq!R1985="")</f>
        <v>0</v>
      </c>
    </row>
    <row r="1986" spans="1:18" x14ac:dyDescent="0.25">
      <c r="A1986">
        <f t="shared" si="31"/>
        <v>0</v>
      </c>
      <c r="B1986" t="b">
        <f>SUMPRODUCT(LEN(hospitalityq!C1986:R1986))&gt;0</f>
        <v>0</v>
      </c>
      <c r="C1986">
        <f>B1986*(hospitalityq!C1986="")</f>
        <v>0</v>
      </c>
      <c r="E1986">
        <f>B1986*(hospitalityq!E1986="")</f>
        <v>0</v>
      </c>
      <c r="F1986">
        <f>B1986*(hospitalityq!F1986="")</f>
        <v>0</v>
      </c>
      <c r="G1986">
        <f>B1986*(hospitalityq!G1986="")</f>
        <v>0</v>
      </c>
      <c r="H1986">
        <f>B1986*(hospitalityq!H1986="")</f>
        <v>0</v>
      </c>
      <c r="I1986">
        <f>B1986*(hospitalityq!I1986="")</f>
        <v>0</v>
      </c>
      <c r="J1986">
        <f>B1986*(hospitalityq!J1986="")</f>
        <v>0</v>
      </c>
      <c r="K1986">
        <f>B1986*(hospitalityq!K1986="")</f>
        <v>0</v>
      </c>
      <c r="L1986">
        <f>B1986*(hospitalityq!L1986="")</f>
        <v>0</v>
      </c>
      <c r="M1986">
        <f>B1986*(hospitalityq!M1986="")</f>
        <v>0</v>
      </c>
      <c r="N1986">
        <f>B1986*(hospitalityq!N1986="")</f>
        <v>0</v>
      </c>
      <c r="O1986">
        <f>B1986*(hospitalityq!O1986="")</f>
        <v>0</v>
      </c>
      <c r="P1986">
        <f>B1986*(hospitalityq!P1986="")</f>
        <v>0</v>
      </c>
      <c r="Q1986">
        <f>B1986*(hospitalityq!Q1986="")</f>
        <v>0</v>
      </c>
      <c r="R1986">
        <f>B1986*(hospitalityq!R1986="")</f>
        <v>0</v>
      </c>
    </row>
    <row r="1987" spans="1:18" x14ac:dyDescent="0.25">
      <c r="A1987">
        <f t="shared" si="31"/>
        <v>0</v>
      </c>
      <c r="B1987" t="b">
        <f>SUMPRODUCT(LEN(hospitalityq!C1987:R1987))&gt;0</f>
        <v>0</v>
      </c>
      <c r="C1987">
        <f>B1987*(hospitalityq!C1987="")</f>
        <v>0</v>
      </c>
      <c r="E1987">
        <f>B1987*(hospitalityq!E1987="")</f>
        <v>0</v>
      </c>
      <c r="F1987">
        <f>B1987*(hospitalityq!F1987="")</f>
        <v>0</v>
      </c>
      <c r="G1987">
        <f>B1987*(hospitalityq!G1987="")</f>
        <v>0</v>
      </c>
      <c r="H1987">
        <f>B1987*(hospitalityq!H1987="")</f>
        <v>0</v>
      </c>
      <c r="I1987">
        <f>B1987*(hospitalityq!I1987="")</f>
        <v>0</v>
      </c>
      <c r="J1987">
        <f>B1987*(hospitalityq!J1987="")</f>
        <v>0</v>
      </c>
      <c r="K1987">
        <f>B1987*(hospitalityq!K1987="")</f>
        <v>0</v>
      </c>
      <c r="L1987">
        <f>B1987*(hospitalityq!L1987="")</f>
        <v>0</v>
      </c>
      <c r="M1987">
        <f>B1987*(hospitalityq!M1987="")</f>
        <v>0</v>
      </c>
      <c r="N1987">
        <f>B1987*(hospitalityq!N1987="")</f>
        <v>0</v>
      </c>
      <c r="O1987">
        <f>B1987*(hospitalityq!O1987="")</f>
        <v>0</v>
      </c>
      <c r="P1987">
        <f>B1987*(hospitalityq!P1987="")</f>
        <v>0</v>
      </c>
      <c r="Q1987">
        <f>B1987*(hospitalityq!Q1987="")</f>
        <v>0</v>
      </c>
      <c r="R1987">
        <f>B1987*(hospitalityq!R1987="")</f>
        <v>0</v>
      </c>
    </row>
    <row r="1988" spans="1:18" x14ac:dyDescent="0.25">
      <c r="A1988">
        <f t="shared" si="31"/>
        <v>0</v>
      </c>
      <c r="B1988" t="b">
        <f>SUMPRODUCT(LEN(hospitalityq!C1988:R1988))&gt;0</f>
        <v>0</v>
      </c>
      <c r="C1988">
        <f>B1988*(hospitalityq!C1988="")</f>
        <v>0</v>
      </c>
      <c r="E1988">
        <f>B1988*(hospitalityq!E1988="")</f>
        <v>0</v>
      </c>
      <c r="F1988">
        <f>B1988*(hospitalityq!F1988="")</f>
        <v>0</v>
      </c>
      <c r="G1988">
        <f>B1988*(hospitalityq!G1988="")</f>
        <v>0</v>
      </c>
      <c r="H1988">
        <f>B1988*(hospitalityq!H1988="")</f>
        <v>0</v>
      </c>
      <c r="I1988">
        <f>B1988*(hospitalityq!I1988="")</f>
        <v>0</v>
      </c>
      <c r="J1988">
        <f>B1988*(hospitalityq!J1988="")</f>
        <v>0</v>
      </c>
      <c r="K1988">
        <f>B1988*(hospitalityq!K1988="")</f>
        <v>0</v>
      </c>
      <c r="L1988">
        <f>B1988*(hospitalityq!L1988="")</f>
        <v>0</v>
      </c>
      <c r="M1988">
        <f>B1988*(hospitalityq!M1988="")</f>
        <v>0</v>
      </c>
      <c r="N1988">
        <f>B1988*(hospitalityq!N1988="")</f>
        <v>0</v>
      </c>
      <c r="O1988">
        <f>B1988*(hospitalityq!O1988="")</f>
        <v>0</v>
      </c>
      <c r="P1988">
        <f>B1988*(hospitalityq!P1988="")</f>
        <v>0</v>
      </c>
      <c r="Q1988">
        <f>B1988*(hospitalityq!Q1988="")</f>
        <v>0</v>
      </c>
      <c r="R1988">
        <f>B1988*(hospitalityq!R1988="")</f>
        <v>0</v>
      </c>
    </row>
    <row r="1989" spans="1:18" x14ac:dyDescent="0.25">
      <c r="A1989">
        <f t="shared" si="31"/>
        <v>0</v>
      </c>
      <c r="B1989" t="b">
        <f>SUMPRODUCT(LEN(hospitalityq!C1989:R1989))&gt;0</f>
        <v>0</v>
      </c>
      <c r="C1989">
        <f>B1989*(hospitalityq!C1989="")</f>
        <v>0</v>
      </c>
      <c r="E1989">
        <f>B1989*(hospitalityq!E1989="")</f>
        <v>0</v>
      </c>
      <c r="F1989">
        <f>B1989*(hospitalityq!F1989="")</f>
        <v>0</v>
      </c>
      <c r="G1989">
        <f>B1989*(hospitalityq!G1989="")</f>
        <v>0</v>
      </c>
      <c r="H1989">
        <f>B1989*(hospitalityq!H1989="")</f>
        <v>0</v>
      </c>
      <c r="I1989">
        <f>B1989*(hospitalityq!I1989="")</f>
        <v>0</v>
      </c>
      <c r="J1989">
        <f>B1989*(hospitalityq!J1989="")</f>
        <v>0</v>
      </c>
      <c r="K1989">
        <f>B1989*(hospitalityq!K1989="")</f>
        <v>0</v>
      </c>
      <c r="L1989">
        <f>B1989*(hospitalityq!L1989="")</f>
        <v>0</v>
      </c>
      <c r="M1989">
        <f>B1989*(hospitalityq!M1989="")</f>
        <v>0</v>
      </c>
      <c r="N1989">
        <f>B1989*(hospitalityq!N1989="")</f>
        <v>0</v>
      </c>
      <c r="O1989">
        <f>B1989*(hospitalityq!O1989="")</f>
        <v>0</v>
      </c>
      <c r="P1989">
        <f>B1989*(hospitalityq!P1989="")</f>
        <v>0</v>
      </c>
      <c r="Q1989">
        <f>B1989*(hospitalityq!Q1989="")</f>
        <v>0</v>
      </c>
      <c r="R1989">
        <f>B1989*(hospitalityq!R1989="")</f>
        <v>0</v>
      </c>
    </row>
    <row r="1990" spans="1:18" x14ac:dyDescent="0.25">
      <c r="A1990">
        <f t="shared" ref="A1990:A2005" si="32">IFERROR(MATCH(TRUE,INDEX(C1990:R1990&lt;&gt;0,),)+2,0)</f>
        <v>0</v>
      </c>
      <c r="B1990" t="b">
        <f>SUMPRODUCT(LEN(hospitalityq!C1990:R1990))&gt;0</f>
        <v>0</v>
      </c>
      <c r="C1990">
        <f>B1990*(hospitalityq!C1990="")</f>
        <v>0</v>
      </c>
      <c r="E1990">
        <f>B1990*(hospitalityq!E1990="")</f>
        <v>0</v>
      </c>
      <c r="F1990">
        <f>B1990*(hospitalityq!F1990="")</f>
        <v>0</v>
      </c>
      <c r="G1990">
        <f>B1990*(hospitalityq!G1990="")</f>
        <v>0</v>
      </c>
      <c r="H1990">
        <f>B1990*(hospitalityq!H1990="")</f>
        <v>0</v>
      </c>
      <c r="I1990">
        <f>B1990*(hospitalityq!I1990="")</f>
        <v>0</v>
      </c>
      <c r="J1990">
        <f>B1990*(hospitalityq!J1990="")</f>
        <v>0</v>
      </c>
      <c r="K1990">
        <f>B1990*(hospitalityq!K1990="")</f>
        <v>0</v>
      </c>
      <c r="L1990">
        <f>B1990*(hospitalityq!L1990="")</f>
        <v>0</v>
      </c>
      <c r="M1990">
        <f>B1990*(hospitalityq!M1990="")</f>
        <v>0</v>
      </c>
      <c r="N1990">
        <f>B1990*(hospitalityq!N1990="")</f>
        <v>0</v>
      </c>
      <c r="O1990">
        <f>B1990*(hospitalityq!O1990="")</f>
        <v>0</v>
      </c>
      <c r="P1990">
        <f>B1990*(hospitalityq!P1990="")</f>
        <v>0</v>
      </c>
      <c r="Q1990">
        <f>B1990*(hospitalityq!Q1990="")</f>
        <v>0</v>
      </c>
      <c r="R1990">
        <f>B1990*(hospitalityq!R1990="")</f>
        <v>0</v>
      </c>
    </row>
    <row r="1991" spans="1:18" x14ac:dyDescent="0.25">
      <c r="A1991">
        <f t="shared" si="32"/>
        <v>0</v>
      </c>
      <c r="B1991" t="b">
        <f>SUMPRODUCT(LEN(hospitalityq!C1991:R1991))&gt;0</f>
        <v>0</v>
      </c>
      <c r="C1991">
        <f>B1991*(hospitalityq!C1991="")</f>
        <v>0</v>
      </c>
      <c r="E1991">
        <f>B1991*(hospitalityq!E1991="")</f>
        <v>0</v>
      </c>
      <c r="F1991">
        <f>B1991*(hospitalityq!F1991="")</f>
        <v>0</v>
      </c>
      <c r="G1991">
        <f>B1991*(hospitalityq!G1991="")</f>
        <v>0</v>
      </c>
      <c r="H1991">
        <f>B1991*(hospitalityq!H1991="")</f>
        <v>0</v>
      </c>
      <c r="I1991">
        <f>B1991*(hospitalityq!I1991="")</f>
        <v>0</v>
      </c>
      <c r="J1991">
        <f>B1991*(hospitalityq!J1991="")</f>
        <v>0</v>
      </c>
      <c r="K1991">
        <f>B1991*(hospitalityq!K1991="")</f>
        <v>0</v>
      </c>
      <c r="L1991">
        <f>B1991*(hospitalityq!L1991="")</f>
        <v>0</v>
      </c>
      <c r="M1991">
        <f>B1991*(hospitalityq!M1991="")</f>
        <v>0</v>
      </c>
      <c r="N1991">
        <f>B1991*(hospitalityq!N1991="")</f>
        <v>0</v>
      </c>
      <c r="O1991">
        <f>B1991*(hospitalityq!O1991="")</f>
        <v>0</v>
      </c>
      <c r="P1991">
        <f>B1991*(hospitalityq!P1991="")</f>
        <v>0</v>
      </c>
      <c r="Q1991">
        <f>B1991*(hospitalityq!Q1991="")</f>
        <v>0</v>
      </c>
      <c r="R1991">
        <f>B1991*(hospitalityq!R1991="")</f>
        <v>0</v>
      </c>
    </row>
    <row r="1992" spans="1:18" x14ac:dyDescent="0.25">
      <c r="A1992">
        <f t="shared" si="32"/>
        <v>0</v>
      </c>
      <c r="B1992" t="b">
        <f>SUMPRODUCT(LEN(hospitalityq!C1992:R1992))&gt;0</f>
        <v>0</v>
      </c>
      <c r="C1992">
        <f>B1992*(hospitalityq!C1992="")</f>
        <v>0</v>
      </c>
      <c r="E1992">
        <f>B1992*(hospitalityq!E1992="")</f>
        <v>0</v>
      </c>
      <c r="F1992">
        <f>B1992*(hospitalityq!F1992="")</f>
        <v>0</v>
      </c>
      <c r="G1992">
        <f>B1992*(hospitalityq!G1992="")</f>
        <v>0</v>
      </c>
      <c r="H1992">
        <f>B1992*(hospitalityq!H1992="")</f>
        <v>0</v>
      </c>
      <c r="I1992">
        <f>B1992*(hospitalityq!I1992="")</f>
        <v>0</v>
      </c>
      <c r="J1992">
        <f>B1992*(hospitalityq!J1992="")</f>
        <v>0</v>
      </c>
      <c r="K1992">
        <f>B1992*(hospitalityq!K1992="")</f>
        <v>0</v>
      </c>
      <c r="L1992">
        <f>B1992*(hospitalityq!L1992="")</f>
        <v>0</v>
      </c>
      <c r="M1992">
        <f>B1992*(hospitalityq!M1992="")</f>
        <v>0</v>
      </c>
      <c r="N1992">
        <f>B1992*(hospitalityq!N1992="")</f>
        <v>0</v>
      </c>
      <c r="O1992">
        <f>B1992*(hospitalityq!O1992="")</f>
        <v>0</v>
      </c>
      <c r="P1992">
        <f>B1992*(hospitalityq!P1992="")</f>
        <v>0</v>
      </c>
      <c r="Q1992">
        <f>B1992*(hospitalityq!Q1992="")</f>
        <v>0</v>
      </c>
      <c r="R1992">
        <f>B1992*(hospitalityq!R1992="")</f>
        <v>0</v>
      </c>
    </row>
    <row r="1993" spans="1:18" x14ac:dyDescent="0.25">
      <c r="A1993">
        <f t="shared" si="32"/>
        <v>0</v>
      </c>
      <c r="B1993" t="b">
        <f>SUMPRODUCT(LEN(hospitalityq!C1993:R1993))&gt;0</f>
        <v>0</v>
      </c>
      <c r="C1993">
        <f>B1993*(hospitalityq!C1993="")</f>
        <v>0</v>
      </c>
      <c r="E1993">
        <f>B1993*(hospitalityq!E1993="")</f>
        <v>0</v>
      </c>
      <c r="F1993">
        <f>B1993*(hospitalityq!F1993="")</f>
        <v>0</v>
      </c>
      <c r="G1993">
        <f>B1993*(hospitalityq!G1993="")</f>
        <v>0</v>
      </c>
      <c r="H1993">
        <f>B1993*(hospitalityq!H1993="")</f>
        <v>0</v>
      </c>
      <c r="I1993">
        <f>B1993*(hospitalityq!I1993="")</f>
        <v>0</v>
      </c>
      <c r="J1993">
        <f>B1993*(hospitalityq!J1993="")</f>
        <v>0</v>
      </c>
      <c r="K1993">
        <f>B1993*(hospitalityq!K1993="")</f>
        <v>0</v>
      </c>
      <c r="L1993">
        <f>B1993*(hospitalityq!L1993="")</f>
        <v>0</v>
      </c>
      <c r="M1993">
        <f>B1993*(hospitalityq!M1993="")</f>
        <v>0</v>
      </c>
      <c r="N1993">
        <f>B1993*(hospitalityq!N1993="")</f>
        <v>0</v>
      </c>
      <c r="O1993">
        <f>B1993*(hospitalityq!O1993="")</f>
        <v>0</v>
      </c>
      <c r="P1993">
        <f>B1993*(hospitalityq!P1993="")</f>
        <v>0</v>
      </c>
      <c r="Q1993">
        <f>B1993*(hospitalityq!Q1993="")</f>
        <v>0</v>
      </c>
      <c r="R1993">
        <f>B1993*(hospitalityq!R1993="")</f>
        <v>0</v>
      </c>
    </row>
    <row r="1994" spans="1:18" x14ac:dyDescent="0.25">
      <c r="A1994">
        <f t="shared" si="32"/>
        <v>0</v>
      </c>
      <c r="B1994" t="b">
        <f>SUMPRODUCT(LEN(hospitalityq!C1994:R1994))&gt;0</f>
        <v>0</v>
      </c>
      <c r="C1994">
        <f>B1994*(hospitalityq!C1994="")</f>
        <v>0</v>
      </c>
      <c r="E1994">
        <f>B1994*(hospitalityq!E1994="")</f>
        <v>0</v>
      </c>
      <c r="F1994">
        <f>B1994*(hospitalityq!F1994="")</f>
        <v>0</v>
      </c>
      <c r="G1994">
        <f>B1994*(hospitalityq!G1994="")</f>
        <v>0</v>
      </c>
      <c r="H1994">
        <f>B1994*(hospitalityq!H1994="")</f>
        <v>0</v>
      </c>
      <c r="I1994">
        <f>B1994*(hospitalityq!I1994="")</f>
        <v>0</v>
      </c>
      <c r="J1994">
        <f>B1994*(hospitalityq!J1994="")</f>
        <v>0</v>
      </c>
      <c r="K1994">
        <f>B1994*(hospitalityq!K1994="")</f>
        <v>0</v>
      </c>
      <c r="L1994">
        <f>B1994*(hospitalityq!L1994="")</f>
        <v>0</v>
      </c>
      <c r="M1994">
        <f>B1994*(hospitalityq!M1994="")</f>
        <v>0</v>
      </c>
      <c r="N1994">
        <f>B1994*(hospitalityq!N1994="")</f>
        <v>0</v>
      </c>
      <c r="O1994">
        <f>B1994*(hospitalityq!O1994="")</f>
        <v>0</v>
      </c>
      <c r="P1994">
        <f>B1994*(hospitalityq!P1994="")</f>
        <v>0</v>
      </c>
      <c r="Q1994">
        <f>B1994*(hospitalityq!Q1994="")</f>
        <v>0</v>
      </c>
      <c r="R1994">
        <f>B1994*(hospitalityq!R1994="")</f>
        <v>0</v>
      </c>
    </row>
    <row r="1995" spans="1:18" x14ac:dyDescent="0.25">
      <c r="A1995">
        <f t="shared" si="32"/>
        <v>0</v>
      </c>
      <c r="B1995" t="b">
        <f>SUMPRODUCT(LEN(hospitalityq!C1995:R1995))&gt;0</f>
        <v>0</v>
      </c>
      <c r="C1995">
        <f>B1995*(hospitalityq!C1995="")</f>
        <v>0</v>
      </c>
      <c r="E1995">
        <f>B1995*(hospitalityq!E1995="")</f>
        <v>0</v>
      </c>
      <c r="F1995">
        <f>B1995*(hospitalityq!F1995="")</f>
        <v>0</v>
      </c>
      <c r="G1995">
        <f>B1995*(hospitalityq!G1995="")</f>
        <v>0</v>
      </c>
      <c r="H1995">
        <f>B1995*(hospitalityq!H1995="")</f>
        <v>0</v>
      </c>
      <c r="I1995">
        <f>B1995*(hospitalityq!I1995="")</f>
        <v>0</v>
      </c>
      <c r="J1995">
        <f>B1995*(hospitalityq!J1995="")</f>
        <v>0</v>
      </c>
      <c r="K1995">
        <f>B1995*(hospitalityq!K1995="")</f>
        <v>0</v>
      </c>
      <c r="L1995">
        <f>B1995*(hospitalityq!L1995="")</f>
        <v>0</v>
      </c>
      <c r="M1995">
        <f>B1995*(hospitalityq!M1995="")</f>
        <v>0</v>
      </c>
      <c r="N1995">
        <f>B1995*(hospitalityq!N1995="")</f>
        <v>0</v>
      </c>
      <c r="O1995">
        <f>B1995*(hospitalityq!O1995="")</f>
        <v>0</v>
      </c>
      <c r="P1995">
        <f>B1995*(hospitalityq!P1995="")</f>
        <v>0</v>
      </c>
      <c r="Q1995">
        <f>B1995*(hospitalityq!Q1995="")</f>
        <v>0</v>
      </c>
      <c r="R1995">
        <f>B1995*(hospitalityq!R1995="")</f>
        <v>0</v>
      </c>
    </row>
    <row r="1996" spans="1:18" x14ac:dyDescent="0.25">
      <c r="A1996">
        <f t="shared" si="32"/>
        <v>0</v>
      </c>
      <c r="B1996" t="b">
        <f>SUMPRODUCT(LEN(hospitalityq!C1996:R1996))&gt;0</f>
        <v>0</v>
      </c>
      <c r="C1996">
        <f>B1996*(hospitalityq!C1996="")</f>
        <v>0</v>
      </c>
      <c r="E1996">
        <f>B1996*(hospitalityq!E1996="")</f>
        <v>0</v>
      </c>
      <c r="F1996">
        <f>B1996*(hospitalityq!F1996="")</f>
        <v>0</v>
      </c>
      <c r="G1996">
        <f>B1996*(hospitalityq!G1996="")</f>
        <v>0</v>
      </c>
      <c r="H1996">
        <f>B1996*(hospitalityq!H1996="")</f>
        <v>0</v>
      </c>
      <c r="I1996">
        <f>B1996*(hospitalityq!I1996="")</f>
        <v>0</v>
      </c>
      <c r="J1996">
        <f>B1996*(hospitalityq!J1996="")</f>
        <v>0</v>
      </c>
      <c r="K1996">
        <f>B1996*(hospitalityq!K1996="")</f>
        <v>0</v>
      </c>
      <c r="L1996">
        <f>B1996*(hospitalityq!L1996="")</f>
        <v>0</v>
      </c>
      <c r="M1996">
        <f>B1996*(hospitalityq!M1996="")</f>
        <v>0</v>
      </c>
      <c r="N1996">
        <f>B1996*(hospitalityq!N1996="")</f>
        <v>0</v>
      </c>
      <c r="O1996">
        <f>B1996*(hospitalityq!O1996="")</f>
        <v>0</v>
      </c>
      <c r="P1996">
        <f>B1996*(hospitalityq!P1996="")</f>
        <v>0</v>
      </c>
      <c r="Q1996">
        <f>B1996*(hospitalityq!Q1996="")</f>
        <v>0</v>
      </c>
      <c r="R1996">
        <f>B1996*(hospitalityq!R1996="")</f>
        <v>0</v>
      </c>
    </row>
    <row r="1997" spans="1:18" x14ac:dyDescent="0.25">
      <c r="A1997">
        <f t="shared" si="32"/>
        <v>0</v>
      </c>
      <c r="B1997" t="b">
        <f>SUMPRODUCT(LEN(hospitalityq!C1997:R1997))&gt;0</f>
        <v>0</v>
      </c>
      <c r="C1997">
        <f>B1997*(hospitalityq!C1997="")</f>
        <v>0</v>
      </c>
      <c r="E1997">
        <f>B1997*(hospitalityq!E1997="")</f>
        <v>0</v>
      </c>
      <c r="F1997">
        <f>B1997*(hospitalityq!F1997="")</f>
        <v>0</v>
      </c>
      <c r="G1997">
        <f>B1997*(hospitalityq!G1997="")</f>
        <v>0</v>
      </c>
      <c r="H1997">
        <f>B1997*(hospitalityq!H1997="")</f>
        <v>0</v>
      </c>
      <c r="I1997">
        <f>B1997*(hospitalityq!I1997="")</f>
        <v>0</v>
      </c>
      <c r="J1997">
        <f>B1997*(hospitalityq!J1997="")</f>
        <v>0</v>
      </c>
      <c r="K1997">
        <f>B1997*(hospitalityq!K1997="")</f>
        <v>0</v>
      </c>
      <c r="L1997">
        <f>B1997*(hospitalityq!L1997="")</f>
        <v>0</v>
      </c>
      <c r="M1997">
        <f>B1997*(hospitalityq!M1997="")</f>
        <v>0</v>
      </c>
      <c r="N1997">
        <f>B1997*(hospitalityq!N1997="")</f>
        <v>0</v>
      </c>
      <c r="O1997">
        <f>B1997*(hospitalityq!O1997="")</f>
        <v>0</v>
      </c>
      <c r="P1997">
        <f>B1997*(hospitalityq!P1997="")</f>
        <v>0</v>
      </c>
      <c r="Q1997">
        <f>B1997*(hospitalityq!Q1997="")</f>
        <v>0</v>
      </c>
      <c r="R1997">
        <f>B1997*(hospitalityq!R1997="")</f>
        <v>0</v>
      </c>
    </row>
    <row r="1998" spans="1:18" x14ac:dyDescent="0.25">
      <c r="A1998">
        <f t="shared" si="32"/>
        <v>0</v>
      </c>
      <c r="B1998" t="b">
        <f>SUMPRODUCT(LEN(hospitalityq!C1998:R1998))&gt;0</f>
        <v>0</v>
      </c>
      <c r="C1998">
        <f>B1998*(hospitalityq!C1998="")</f>
        <v>0</v>
      </c>
      <c r="E1998">
        <f>B1998*(hospitalityq!E1998="")</f>
        <v>0</v>
      </c>
      <c r="F1998">
        <f>B1998*(hospitalityq!F1998="")</f>
        <v>0</v>
      </c>
      <c r="G1998">
        <f>B1998*(hospitalityq!G1998="")</f>
        <v>0</v>
      </c>
      <c r="H1998">
        <f>B1998*(hospitalityq!H1998="")</f>
        <v>0</v>
      </c>
      <c r="I1998">
        <f>B1998*(hospitalityq!I1998="")</f>
        <v>0</v>
      </c>
      <c r="J1998">
        <f>B1998*(hospitalityq!J1998="")</f>
        <v>0</v>
      </c>
      <c r="K1998">
        <f>B1998*(hospitalityq!K1998="")</f>
        <v>0</v>
      </c>
      <c r="L1998">
        <f>B1998*(hospitalityq!L1998="")</f>
        <v>0</v>
      </c>
      <c r="M1998">
        <f>B1998*(hospitalityq!M1998="")</f>
        <v>0</v>
      </c>
      <c r="N1998">
        <f>B1998*(hospitalityq!N1998="")</f>
        <v>0</v>
      </c>
      <c r="O1998">
        <f>B1998*(hospitalityq!O1998="")</f>
        <v>0</v>
      </c>
      <c r="P1998">
        <f>B1998*(hospitalityq!P1998="")</f>
        <v>0</v>
      </c>
      <c r="Q1998">
        <f>B1998*(hospitalityq!Q1998="")</f>
        <v>0</v>
      </c>
      <c r="R1998">
        <f>B1998*(hospitalityq!R1998="")</f>
        <v>0</v>
      </c>
    </row>
    <row r="1999" spans="1:18" x14ac:dyDescent="0.25">
      <c r="A1999">
        <f t="shared" si="32"/>
        <v>0</v>
      </c>
      <c r="B1999" t="b">
        <f>SUMPRODUCT(LEN(hospitalityq!C1999:R1999))&gt;0</f>
        <v>0</v>
      </c>
      <c r="C1999">
        <f>B1999*(hospitalityq!C1999="")</f>
        <v>0</v>
      </c>
      <c r="E1999">
        <f>B1999*(hospitalityq!E1999="")</f>
        <v>0</v>
      </c>
      <c r="F1999">
        <f>B1999*(hospitalityq!F1999="")</f>
        <v>0</v>
      </c>
      <c r="G1999">
        <f>B1999*(hospitalityq!G1999="")</f>
        <v>0</v>
      </c>
      <c r="H1999">
        <f>B1999*(hospitalityq!H1999="")</f>
        <v>0</v>
      </c>
      <c r="I1999">
        <f>B1999*(hospitalityq!I1999="")</f>
        <v>0</v>
      </c>
      <c r="J1999">
        <f>B1999*(hospitalityq!J1999="")</f>
        <v>0</v>
      </c>
      <c r="K1999">
        <f>B1999*(hospitalityq!K1999="")</f>
        <v>0</v>
      </c>
      <c r="L1999">
        <f>B1999*(hospitalityq!L1999="")</f>
        <v>0</v>
      </c>
      <c r="M1999">
        <f>B1999*(hospitalityq!M1999="")</f>
        <v>0</v>
      </c>
      <c r="N1999">
        <f>B1999*(hospitalityq!N1999="")</f>
        <v>0</v>
      </c>
      <c r="O1999">
        <f>B1999*(hospitalityq!O1999="")</f>
        <v>0</v>
      </c>
      <c r="P1999">
        <f>B1999*(hospitalityq!P1999="")</f>
        <v>0</v>
      </c>
      <c r="Q1999">
        <f>B1999*(hospitalityq!Q1999="")</f>
        <v>0</v>
      </c>
      <c r="R1999">
        <f>B1999*(hospitalityq!R1999="")</f>
        <v>0</v>
      </c>
    </row>
    <row r="2000" spans="1:18" x14ac:dyDescent="0.25">
      <c r="A2000">
        <f t="shared" si="32"/>
        <v>0</v>
      </c>
      <c r="B2000" t="b">
        <f>SUMPRODUCT(LEN(hospitalityq!C2000:R2000))&gt;0</f>
        <v>0</v>
      </c>
      <c r="C2000">
        <f>B2000*(hospitalityq!C2000="")</f>
        <v>0</v>
      </c>
      <c r="E2000">
        <f>B2000*(hospitalityq!E2000="")</f>
        <v>0</v>
      </c>
      <c r="F2000">
        <f>B2000*(hospitalityq!F2000="")</f>
        <v>0</v>
      </c>
      <c r="G2000">
        <f>B2000*(hospitalityq!G2000="")</f>
        <v>0</v>
      </c>
      <c r="H2000">
        <f>B2000*(hospitalityq!H2000="")</f>
        <v>0</v>
      </c>
      <c r="I2000">
        <f>B2000*(hospitalityq!I2000="")</f>
        <v>0</v>
      </c>
      <c r="J2000">
        <f>B2000*(hospitalityq!J2000="")</f>
        <v>0</v>
      </c>
      <c r="K2000">
        <f>B2000*(hospitalityq!K2000="")</f>
        <v>0</v>
      </c>
      <c r="L2000">
        <f>B2000*(hospitalityq!L2000="")</f>
        <v>0</v>
      </c>
      <c r="M2000">
        <f>B2000*(hospitalityq!M2000="")</f>
        <v>0</v>
      </c>
      <c r="N2000">
        <f>B2000*(hospitalityq!N2000="")</f>
        <v>0</v>
      </c>
      <c r="O2000">
        <f>B2000*(hospitalityq!O2000="")</f>
        <v>0</v>
      </c>
      <c r="P2000">
        <f>B2000*(hospitalityq!P2000="")</f>
        <v>0</v>
      </c>
      <c r="Q2000">
        <f>B2000*(hospitalityq!Q2000="")</f>
        <v>0</v>
      </c>
      <c r="R2000">
        <f>B2000*(hospitalityq!R2000="")</f>
        <v>0</v>
      </c>
    </row>
    <row r="2001" spans="1:18" x14ac:dyDescent="0.25">
      <c r="A2001">
        <f t="shared" si="32"/>
        <v>0</v>
      </c>
      <c r="B2001" t="b">
        <f>SUMPRODUCT(LEN(hospitalityq!C2001:R2001))&gt;0</f>
        <v>0</v>
      </c>
      <c r="C2001">
        <f>B2001*(hospitalityq!C2001="")</f>
        <v>0</v>
      </c>
      <c r="E2001">
        <f>B2001*(hospitalityq!E2001="")</f>
        <v>0</v>
      </c>
      <c r="F2001">
        <f>B2001*(hospitalityq!F2001="")</f>
        <v>0</v>
      </c>
      <c r="G2001">
        <f>B2001*(hospitalityq!G2001="")</f>
        <v>0</v>
      </c>
      <c r="H2001">
        <f>B2001*(hospitalityq!H2001="")</f>
        <v>0</v>
      </c>
      <c r="I2001">
        <f>B2001*(hospitalityq!I2001="")</f>
        <v>0</v>
      </c>
      <c r="J2001">
        <f>B2001*(hospitalityq!J2001="")</f>
        <v>0</v>
      </c>
      <c r="K2001">
        <f>B2001*(hospitalityq!K2001="")</f>
        <v>0</v>
      </c>
      <c r="L2001">
        <f>B2001*(hospitalityq!L2001="")</f>
        <v>0</v>
      </c>
      <c r="M2001">
        <f>B2001*(hospitalityq!M2001="")</f>
        <v>0</v>
      </c>
      <c r="N2001">
        <f>B2001*(hospitalityq!N2001="")</f>
        <v>0</v>
      </c>
      <c r="O2001">
        <f>B2001*(hospitalityq!O2001="")</f>
        <v>0</v>
      </c>
      <c r="P2001">
        <f>B2001*(hospitalityq!P2001="")</f>
        <v>0</v>
      </c>
      <c r="Q2001">
        <f>B2001*(hospitalityq!Q2001="")</f>
        <v>0</v>
      </c>
      <c r="R2001">
        <f>B2001*(hospitalityq!R2001="")</f>
        <v>0</v>
      </c>
    </row>
    <row r="2002" spans="1:18" x14ac:dyDescent="0.25">
      <c r="A2002">
        <f t="shared" si="32"/>
        <v>0</v>
      </c>
      <c r="B2002" t="b">
        <f>SUMPRODUCT(LEN(hospitalityq!C2002:R2002))&gt;0</f>
        <v>0</v>
      </c>
      <c r="C2002">
        <f>B2002*(hospitalityq!C2002="")</f>
        <v>0</v>
      </c>
      <c r="E2002">
        <f>B2002*(hospitalityq!E2002="")</f>
        <v>0</v>
      </c>
      <c r="F2002">
        <f>B2002*(hospitalityq!F2002="")</f>
        <v>0</v>
      </c>
      <c r="G2002">
        <f>B2002*(hospitalityq!G2002="")</f>
        <v>0</v>
      </c>
      <c r="H2002">
        <f>B2002*(hospitalityq!H2002="")</f>
        <v>0</v>
      </c>
      <c r="I2002">
        <f>B2002*(hospitalityq!I2002="")</f>
        <v>0</v>
      </c>
      <c r="J2002">
        <f>B2002*(hospitalityq!J2002="")</f>
        <v>0</v>
      </c>
      <c r="K2002">
        <f>B2002*(hospitalityq!K2002="")</f>
        <v>0</v>
      </c>
      <c r="L2002">
        <f>B2002*(hospitalityq!L2002="")</f>
        <v>0</v>
      </c>
      <c r="M2002">
        <f>B2002*(hospitalityq!M2002="")</f>
        <v>0</v>
      </c>
      <c r="N2002">
        <f>B2002*(hospitalityq!N2002="")</f>
        <v>0</v>
      </c>
      <c r="O2002">
        <f>B2002*(hospitalityq!O2002="")</f>
        <v>0</v>
      </c>
      <c r="P2002">
        <f>B2002*(hospitalityq!P2002="")</f>
        <v>0</v>
      </c>
      <c r="Q2002">
        <f>B2002*(hospitalityq!Q2002="")</f>
        <v>0</v>
      </c>
      <c r="R2002">
        <f>B2002*(hospitalityq!R2002="")</f>
        <v>0</v>
      </c>
    </row>
    <row r="2003" spans="1:18" x14ac:dyDescent="0.25">
      <c r="A2003">
        <f t="shared" si="32"/>
        <v>0</v>
      </c>
      <c r="B2003" t="b">
        <f>SUMPRODUCT(LEN(hospitalityq!C2003:R2003))&gt;0</f>
        <v>0</v>
      </c>
      <c r="C2003">
        <f>B2003*(hospitalityq!C2003="")</f>
        <v>0</v>
      </c>
      <c r="E2003">
        <f>B2003*(hospitalityq!E2003="")</f>
        <v>0</v>
      </c>
      <c r="F2003">
        <f>B2003*(hospitalityq!F2003="")</f>
        <v>0</v>
      </c>
      <c r="G2003">
        <f>B2003*(hospitalityq!G2003="")</f>
        <v>0</v>
      </c>
      <c r="H2003">
        <f>B2003*(hospitalityq!H2003="")</f>
        <v>0</v>
      </c>
      <c r="I2003">
        <f>B2003*(hospitalityq!I2003="")</f>
        <v>0</v>
      </c>
      <c r="J2003">
        <f>B2003*(hospitalityq!J2003="")</f>
        <v>0</v>
      </c>
      <c r="K2003">
        <f>B2003*(hospitalityq!K2003="")</f>
        <v>0</v>
      </c>
      <c r="L2003">
        <f>B2003*(hospitalityq!L2003="")</f>
        <v>0</v>
      </c>
      <c r="M2003">
        <f>B2003*(hospitalityq!M2003="")</f>
        <v>0</v>
      </c>
      <c r="N2003">
        <f>B2003*(hospitalityq!N2003="")</f>
        <v>0</v>
      </c>
      <c r="O2003">
        <f>B2003*(hospitalityq!O2003="")</f>
        <v>0</v>
      </c>
      <c r="P2003">
        <f>B2003*(hospitalityq!P2003="")</f>
        <v>0</v>
      </c>
      <c r="Q2003">
        <f>B2003*(hospitalityq!Q2003="")</f>
        <v>0</v>
      </c>
      <c r="R2003">
        <f>B2003*(hospitalityq!R2003="")</f>
        <v>0</v>
      </c>
    </row>
    <row r="2004" spans="1:18" x14ac:dyDescent="0.25">
      <c r="A2004">
        <f t="shared" si="32"/>
        <v>0</v>
      </c>
      <c r="B2004" t="b">
        <f>SUMPRODUCT(LEN(hospitalityq!C2004:R2004))&gt;0</f>
        <v>0</v>
      </c>
      <c r="C2004">
        <f>B2004*(hospitalityq!C2004="")</f>
        <v>0</v>
      </c>
      <c r="E2004">
        <f>B2004*(hospitalityq!E2004="")</f>
        <v>0</v>
      </c>
      <c r="F2004">
        <f>B2004*(hospitalityq!F2004="")</f>
        <v>0</v>
      </c>
      <c r="G2004">
        <f>B2004*(hospitalityq!G2004="")</f>
        <v>0</v>
      </c>
      <c r="H2004">
        <f>B2004*(hospitalityq!H2004="")</f>
        <v>0</v>
      </c>
      <c r="I2004">
        <f>B2004*(hospitalityq!I2004="")</f>
        <v>0</v>
      </c>
      <c r="J2004">
        <f>B2004*(hospitalityq!J2004="")</f>
        <v>0</v>
      </c>
      <c r="K2004">
        <f>B2004*(hospitalityq!K2004="")</f>
        <v>0</v>
      </c>
      <c r="L2004">
        <f>B2004*(hospitalityq!L2004="")</f>
        <v>0</v>
      </c>
      <c r="M2004">
        <f>B2004*(hospitalityq!M2004="")</f>
        <v>0</v>
      </c>
      <c r="N2004">
        <f>B2004*(hospitalityq!N2004="")</f>
        <v>0</v>
      </c>
      <c r="O2004">
        <f>B2004*(hospitalityq!O2004="")</f>
        <v>0</v>
      </c>
      <c r="P2004">
        <f>B2004*(hospitalityq!P2004="")</f>
        <v>0</v>
      </c>
      <c r="Q2004">
        <f>B2004*(hospitalityq!Q2004="")</f>
        <v>0</v>
      </c>
      <c r="R2004">
        <f>B2004*(hospitalityq!R2004="")</f>
        <v>0</v>
      </c>
    </row>
    <row r="2005" spans="1:18" x14ac:dyDescent="0.25">
      <c r="A2005">
        <f t="shared" si="32"/>
        <v>0</v>
      </c>
      <c r="B2005" t="b">
        <f>SUMPRODUCT(LEN(hospitalityq!C2005:R2005))&gt;0</f>
        <v>0</v>
      </c>
      <c r="C2005">
        <f>B2005*(hospitalityq!C2005="")</f>
        <v>0</v>
      </c>
      <c r="E2005">
        <f>B2005*(hospitalityq!E2005="")</f>
        <v>0</v>
      </c>
      <c r="F2005">
        <f>B2005*(hospitalityq!F2005="")</f>
        <v>0</v>
      </c>
      <c r="G2005">
        <f>B2005*(hospitalityq!G2005="")</f>
        <v>0</v>
      </c>
      <c r="H2005">
        <f>B2005*(hospitalityq!H2005="")</f>
        <v>0</v>
      </c>
      <c r="I2005">
        <f>B2005*(hospitalityq!I2005="")</f>
        <v>0</v>
      </c>
      <c r="J2005">
        <f>B2005*(hospitalityq!J2005="")</f>
        <v>0</v>
      </c>
      <c r="K2005">
        <f>B2005*(hospitalityq!K2005="")</f>
        <v>0</v>
      </c>
      <c r="L2005">
        <f>B2005*(hospitalityq!L2005="")</f>
        <v>0</v>
      </c>
      <c r="M2005">
        <f>B2005*(hospitalityq!M2005="")</f>
        <v>0</v>
      </c>
      <c r="N2005">
        <f>B2005*(hospitalityq!N2005="")</f>
        <v>0</v>
      </c>
      <c r="O2005">
        <f>B2005*(hospitalityq!O2005="")</f>
        <v>0</v>
      </c>
      <c r="P2005">
        <f>B2005*(hospitalityq!P2005="")</f>
        <v>0</v>
      </c>
      <c r="Q2005">
        <f>B2005*(hospitalityq!Q2005="")</f>
        <v>0</v>
      </c>
      <c r="R2005">
        <f>B2005*(hospitalityq!R2005="")</f>
        <v>0</v>
      </c>
    </row>
  </sheetData>
  <sheetProtection sheet="1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D2005"/>
  <sheetViews>
    <sheetView workbookViewId="0"/>
  </sheetViews>
  <sheetFormatPr defaultRowHeight="15" x14ac:dyDescent="0.25"/>
  <sheetData>
    <row r="4" spans="1:4" x14ac:dyDescent="0.25">
      <c r="C4">
        <f>IFERROR(MATCH(TRUE,INDEX(C6:C2005&lt;&gt;0,),)+5,0)</f>
        <v>0</v>
      </c>
      <c r="D4">
        <f>IFERROR(MATCH(TRUE,INDEX(D6:D2005&lt;&gt;0,),)+5,0)</f>
        <v>0</v>
      </c>
    </row>
    <row r="6" spans="1:4" x14ac:dyDescent="0.25">
      <c r="A6">
        <f t="shared" ref="A6:A69" si="0">IFERROR(MATCH(TRUE,INDEX(C6:D6&lt;&gt;0,),)+2,0)</f>
        <v>0</v>
      </c>
      <c r="C6">
        <f>NOT('hospitalityq-nil'!C6="")*(OR(NOT(IFERROR(AND(INT('hospitalityq-nil'!C6)='hospitalityq-nil'!C6,'hospitalityq-nil'!C6&gt;=2018-50,'hospitalityq-nil'!C6&lt;=2018+50),FALSE)),SUMPRODUCT(--(TRIM('hospitalityq-nil'!C6:C6)=TRIM('hospitalityq-nil'!C6)),--(TRIM('hospitalityq-nil'!D6:D6)=TRIM('hospitalityq-nil'!D6)))&gt;1))</f>
        <v>0</v>
      </c>
      <c r="D6">
        <f>NOT('hospitalityq-nil'!D6="")*(OR(COUNTIF(reference!$C$144:$C$155,TRIM(LEFT('hospitalityq-nil'!D6,FIND(":",'hospitalityq-nil'!D6&amp;":")-1))&amp;":*")=0,SUMPRODUCT(--(TRIM('hospitalityq-nil'!C6:C6)=TRIM('hospitalityq-nil'!C6)),--(TRIM('hospitalityq-nil'!D6:D6)=TRIM('hospitalityq-nil'!D6)))&gt;1))</f>
        <v>0</v>
      </c>
    </row>
    <row r="7" spans="1:4" x14ac:dyDescent="0.25">
      <c r="A7">
        <f t="shared" si="0"/>
        <v>0</v>
      </c>
      <c r="C7">
        <f>NOT('hospitalityq-nil'!C7="")*(OR(NOT(IFERROR(AND(INT('hospitalityq-nil'!C7)='hospitalityq-nil'!C7,'hospitalityq-nil'!C7&gt;=2018-50,'hospitalityq-nil'!C7&lt;=2018+50),FALSE)),SUMPRODUCT(--(TRIM('hospitalityq-nil'!C6:C7)=TRIM('hospitalityq-nil'!C7)),--(TRIM('hospitalityq-nil'!D6:D7)=TRIM('hospitalityq-nil'!D7)))&gt;1))</f>
        <v>0</v>
      </c>
      <c r="D7">
        <f>NOT('hospitalityq-nil'!D7="")*(OR(COUNTIF(reference!$C$144:$C$155,TRIM(LEFT('hospitalityq-nil'!D7,FIND(":",'hospitalityq-nil'!D7&amp;":")-1))&amp;":*")=0,SUMPRODUCT(--(TRIM('hospitalityq-nil'!C6:C7)=TRIM('hospitalityq-nil'!C7)),--(TRIM('hospitalityq-nil'!D6:D7)=TRIM('hospitalityq-nil'!D7)))&gt;1))</f>
        <v>0</v>
      </c>
    </row>
    <row r="8" spans="1:4" x14ac:dyDescent="0.25">
      <c r="A8">
        <f t="shared" si="0"/>
        <v>0</v>
      </c>
      <c r="C8">
        <f>NOT('hospitalityq-nil'!C8="")*(OR(NOT(IFERROR(AND(INT('hospitalityq-nil'!C8)='hospitalityq-nil'!C8,'hospitalityq-nil'!C8&gt;=2018-50,'hospitalityq-nil'!C8&lt;=2018+50),FALSE)),SUMPRODUCT(--(TRIM('hospitalityq-nil'!C6:C8)=TRIM('hospitalityq-nil'!C8)),--(TRIM('hospitalityq-nil'!D6:D8)=TRIM('hospitalityq-nil'!D8)))&gt;1))</f>
        <v>0</v>
      </c>
      <c r="D8">
        <f>NOT('hospitalityq-nil'!D8="")*(OR(COUNTIF(reference!$C$144:$C$155,TRIM(LEFT('hospitalityq-nil'!D8,FIND(":",'hospitalityq-nil'!D8&amp;":")-1))&amp;":*")=0,SUMPRODUCT(--(TRIM('hospitalityq-nil'!C6:C8)=TRIM('hospitalityq-nil'!C8)),--(TRIM('hospitalityq-nil'!D6:D8)=TRIM('hospitalityq-nil'!D8)))&gt;1))</f>
        <v>0</v>
      </c>
    </row>
    <row r="9" spans="1:4" x14ac:dyDescent="0.25">
      <c r="A9">
        <f t="shared" si="0"/>
        <v>0</v>
      </c>
      <c r="C9">
        <f>NOT('hospitalityq-nil'!C9="")*(OR(NOT(IFERROR(AND(INT('hospitalityq-nil'!C9)='hospitalityq-nil'!C9,'hospitalityq-nil'!C9&gt;=2018-50,'hospitalityq-nil'!C9&lt;=2018+50),FALSE)),SUMPRODUCT(--(TRIM('hospitalityq-nil'!C6:C9)=TRIM('hospitalityq-nil'!C9)),--(TRIM('hospitalityq-nil'!D6:D9)=TRIM('hospitalityq-nil'!D9)))&gt;1))</f>
        <v>0</v>
      </c>
      <c r="D9">
        <f>NOT('hospitalityq-nil'!D9="")*(OR(COUNTIF(reference!$C$144:$C$155,TRIM(LEFT('hospitalityq-nil'!D9,FIND(":",'hospitalityq-nil'!D9&amp;":")-1))&amp;":*")=0,SUMPRODUCT(--(TRIM('hospitalityq-nil'!C6:C9)=TRIM('hospitalityq-nil'!C9)),--(TRIM('hospitalityq-nil'!D6:D9)=TRIM('hospitalityq-nil'!D9)))&gt;1))</f>
        <v>0</v>
      </c>
    </row>
    <row r="10" spans="1:4" x14ac:dyDescent="0.25">
      <c r="A10">
        <f t="shared" si="0"/>
        <v>0</v>
      </c>
      <c r="C10">
        <f>NOT('hospitalityq-nil'!C10="")*(OR(NOT(IFERROR(AND(INT('hospitalityq-nil'!C10)='hospitalityq-nil'!C10,'hospitalityq-nil'!C10&gt;=2018-50,'hospitalityq-nil'!C10&lt;=2018+50),FALSE)),SUMPRODUCT(--(TRIM('hospitalityq-nil'!C6:C10)=TRIM('hospitalityq-nil'!C10)),--(TRIM('hospitalityq-nil'!D6:D10)=TRIM('hospitalityq-nil'!D10)))&gt;1))</f>
        <v>0</v>
      </c>
      <c r="D10">
        <f>NOT('hospitalityq-nil'!D10="")*(OR(COUNTIF(reference!$C$144:$C$155,TRIM(LEFT('hospitalityq-nil'!D10,FIND(":",'hospitalityq-nil'!D10&amp;":")-1))&amp;":*")=0,SUMPRODUCT(--(TRIM('hospitalityq-nil'!C6:C10)=TRIM('hospitalityq-nil'!C10)),--(TRIM('hospitalityq-nil'!D6:D10)=TRIM('hospitalityq-nil'!D10)))&gt;1))</f>
        <v>0</v>
      </c>
    </row>
    <row r="11" spans="1:4" x14ac:dyDescent="0.25">
      <c r="A11">
        <f t="shared" si="0"/>
        <v>0</v>
      </c>
      <c r="C11">
        <f>NOT('hospitalityq-nil'!C11="")*(OR(NOT(IFERROR(AND(INT('hospitalityq-nil'!C11)='hospitalityq-nil'!C11,'hospitalityq-nil'!C11&gt;=2018-50,'hospitalityq-nil'!C11&lt;=2018+50),FALSE)),SUMPRODUCT(--(TRIM('hospitalityq-nil'!C6:C11)=TRIM('hospitalityq-nil'!C11)),--(TRIM('hospitalityq-nil'!D6:D11)=TRIM('hospitalityq-nil'!D11)))&gt;1))</f>
        <v>0</v>
      </c>
      <c r="D11">
        <f>NOT('hospitalityq-nil'!D11="")*(OR(COUNTIF(reference!$C$144:$C$155,TRIM(LEFT('hospitalityq-nil'!D11,FIND(":",'hospitalityq-nil'!D11&amp;":")-1))&amp;":*")=0,SUMPRODUCT(--(TRIM('hospitalityq-nil'!C6:C11)=TRIM('hospitalityq-nil'!C11)),--(TRIM('hospitalityq-nil'!D6:D11)=TRIM('hospitalityq-nil'!D11)))&gt;1))</f>
        <v>0</v>
      </c>
    </row>
    <row r="12" spans="1:4" x14ac:dyDescent="0.25">
      <c r="A12">
        <f t="shared" si="0"/>
        <v>0</v>
      </c>
      <c r="C12">
        <f>NOT('hospitalityq-nil'!C12="")*(OR(NOT(IFERROR(AND(INT('hospitalityq-nil'!C12)='hospitalityq-nil'!C12,'hospitalityq-nil'!C12&gt;=2018-50,'hospitalityq-nil'!C12&lt;=2018+50),FALSE)),SUMPRODUCT(--(TRIM('hospitalityq-nil'!C6:C12)=TRIM('hospitalityq-nil'!C12)),--(TRIM('hospitalityq-nil'!D6:D12)=TRIM('hospitalityq-nil'!D12)))&gt;1))</f>
        <v>0</v>
      </c>
      <c r="D12">
        <f>NOT('hospitalityq-nil'!D12="")*(OR(COUNTIF(reference!$C$144:$C$155,TRIM(LEFT('hospitalityq-nil'!D12,FIND(":",'hospitalityq-nil'!D12&amp;":")-1))&amp;":*")=0,SUMPRODUCT(--(TRIM('hospitalityq-nil'!C6:C12)=TRIM('hospitalityq-nil'!C12)),--(TRIM('hospitalityq-nil'!D6:D12)=TRIM('hospitalityq-nil'!D12)))&gt;1))</f>
        <v>0</v>
      </c>
    </row>
    <row r="13" spans="1:4" x14ac:dyDescent="0.25">
      <c r="A13">
        <f t="shared" si="0"/>
        <v>0</v>
      </c>
      <c r="C13">
        <f>NOT('hospitalityq-nil'!C13="")*(OR(NOT(IFERROR(AND(INT('hospitalityq-nil'!C13)='hospitalityq-nil'!C13,'hospitalityq-nil'!C13&gt;=2018-50,'hospitalityq-nil'!C13&lt;=2018+50),FALSE)),SUMPRODUCT(--(TRIM('hospitalityq-nil'!C6:C13)=TRIM('hospitalityq-nil'!C13)),--(TRIM('hospitalityq-nil'!D6:D13)=TRIM('hospitalityq-nil'!D13)))&gt;1))</f>
        <v>0</v>
      </c>
      <c r="D13">
        <f>NOT('hospitalityq-nil'!D13="")*(OR(COUNTIF(reference!$C$144:$C$155,TRIM(LEFT('hospitalityq-nil'!D13,FIND(":",'hospitalityq-nil'!D13&amp;":")-1))&amp;":*")=0,SUMPRODUCT(--(TRIM('hospitalityq-nil'!C6:C13)=TRIM('hospitalityq-nil'!C13)),--(TRIM('hospitalityq-nil'!D6:D13)=TRIM('hospitalityq-nil'!D13)))&gt;1))</f>
        <v>0</v>
      </c>
    </row>
    <row r="14" spans="1:4" x14ac:dyDescent="0.25">
      <c r="A14">
        <f t="shared" si="0"/>
        <v>0</v>
      </c>
      <c r="C14">
        <f>NOT('hospitalityq-nil'!C14="")*(OR(NOT(IFERROR(AND(INT('hospitalityq-nil'!C14)='hospitalityq-nil'!C14,'hospitalityq-nil'!C14&gt;=2018-50,'hospitalityq-nil'!C14&lt;=2018+50),FALSE)),SUMPRODUCT(--(TRIM('hospitalityq-nil'!C6:C14)=TRIM('hospitalityq-nil'!C14)),--(TRIM('hospitalityq-nil'!D6:D14)=TRIM('hospitalityq-nil'!D14)))&gt;1))</f>
        <v>0</v>
      </c>
      <c r="D14">
        <f>NOT('hospitalityq-nil'!D14="")*(OR(COUNTIF(reference!$C$144:$C$155,TRIM(LEFT('hospitalityq-nil'!D14,FIND(":",'hospitalityq-nil'!D14&amp;":")-1))&amp;":*")=0,SUMPRODUCT(--(TRIM('hospitalityq-nil'!C6:C14)=TRIM('hospitalityq-nil'!C14)),--(TRIM('hospitalityq-nil'!D6:D14)=TRIM('hospitalityq-nil'!D14)))&gt;1))</f>
        <v>0</v>
      </c>
    </row>
    <row r="15" spans="1:4" x14ac:dyDescent="0.25">
      <c r="A15">
        <f t="shared" si="0"/>
        <v>0</v>
      </c>
      <c r="C15">
        <f>NOT('hospitalityq-nil'!C15="")*(OR(NOT(IFERROR(AND(INT('hospitalityq-nil'!C15)='hospitalityq-nil'!C15,'hospitalityq-nil'!C15&gt;=2018-50,'hospitalityq-nil'!C15&lt;=2018+50),FALSE)),SUMPRODUCT(--(TRIM('hospitalityq-nil'!C6:C15)=TRIM('hospitalityq-nil'!C15)),--(TRIM('hospitalityq-nil'!D6:D15)=TRIM('hospitalityq-nil'!D15)))&gt;1))</f>
        <v>0</v>
      </c>
      <c r="D15">
        <f>NOT('hospitalityq-nil'!D15="")*(OR(COUNTIF(reference!$C$144:$C$155,TRIM(LEFT('hospitalityq-nil'!D15,FIND(":",'hospitalityq-nil'!D15&amp;":")-1))&amp;":*")=0,SUMPRODUCT(--(TRIM('hospitalityq-nil'!C6:C15)=TRIM('hospitalityq-nil'!C15)),--(TRIM('hospitalityq-nil'!D6:D15)=TRIM('hospitalityq-nil'!D15)))&gt;1))</f>
        <v>0</v>
      </c>
    </row>
    <row r="16" spans="1:4" x14ac:dyDescent="0.25">
      <c r="A16">
        <f t="shared" si="0"/>
        <v>0</v>
      </c>
      <c r="C16">
        <f>NOT('hospitalityq-nil'!C16="")*(OR(NOT(IFERROR(AND(INT('hospitalityq-nil'!C16)='hospitalityq-nil'!C16,'hospitalityq-nil'!C16&gt;=2018-50,'hospitalityq-nil'!C16&lt;=2018+50),FALSE)),SUMPRODUCT(--(TRIM('hospitalityq-nil'!C6:C16)=TRIM('hospitalityq-nil'!C16)),--(TRIM('hospitalityq-nil'!D6:D16)=TRIM('hospitalityq-nil'!D16)))&gt;1))</f>
        <v>0</v>
      </c>
      <c r="D16">
        <f>NOT('hospitalityq-nil'!D16="")*(OR(COUNTIF(reference!$C$144:$C$155,TRIM(LEFT('hospitalityq-nil'!D16,FIND(":",'hospitalityq-nil'!D16&amp;":")-1))&amp;":*")=0,SUMPRODUCT(--(TRIM('hospitalityq-nil'!C6:C16)=TRIM('hospitalityq-nil'!C16)),--(TRIM('hospitalityq-nil'!D6:D16)=TRIM('hospitalityq-nil'!D16)))&gt;1))</f>
        <v>0</v>
      </c>
    </row>
    <row r="17" spans="1:4" x14ac:dyDescent="0.25">
      <c r="A17">
        <f t="shared" si="0"/>
        <v>0</v>
      </c>
      <c r="C17">
        <f>NOT('hospitalityq-nil'!C17="")*(OR(NOT(IFERROR(AND(INT('hospitalityq-nil'!C17)='hospitalityq-nil'!C17,'hospitalityq-nil'!C17&gt;=2018-50,'hospitalityq-nil'!C17&lt;=2018+50),FALSE)),SUMPRODUCT(--(TRIM('hospitalityq-nil'!C6:C17)=TRIM('hospitalityq-nil'!C17)),--(TRIM('hospitalityq-nil'!D6:D17)=TRIM('hospitalityq-nil'!D17)))&gt;1))</f>
        <v>0</v>
      </c>
      <c r="D17">
        <f>NOT('hospitalityq-nil'!D17="")*(OR(COUNTIF(reference!$C$144:$C$155,TRIM(LEFT('hospitalityq-nil'!D17,FIND(":",'hospitalityq-nil'!D17&amp;":")-1))&amp;":*")=0,SUMPRODUCT(--(TRIM('hospitalityq-nil'!C6:C17)=TRIM('hospitalityq-nil'!C17)),--(TRIM('hospitalityq-nil'!D6:D17)=TRIM('hospitalityq-nil'!D17)))&gt;1))</f>
        <v>0</v>
      </c>
    </row>
    <row r="18" spans="1:4" x14ac:dyDescent="0.25">
      <c r="A18">
        <f t="shared" si="0"/>
        <v>0</v>
      </c>
      <c r="C18">
        <f>NOT('hospitalityq-nil'!C18="")*(OR(NOT(IFERROR(AND(INT('hospitalityq-nil'!C18)='hospitalityq-nil'!C18,'hospitalityq-nil'!C18&gt;=2018-50,'hospitalityq-nil'!C18&lt;=2018+50),FALSE)),SUMPRODUCT(--(TRIM('hospitalityq-nil'!C6:C18)=TRIM('hospitalityq-nil'!C18)),--(TRIM('hospitalityq-nil'!D6:D18)=TRIM('hospitalityq-nil'!D18)))&gt;1))</f>
        <v>0</v>
      </c>
      <c r="D18">
        <f>NOT('hospitalityq-nil'!D18="")*(OR(COUNTIF(reference!$C$144:$C$155,TRIM(LEFT('hospitalityq-nil'!D18,FIND(":",'hospitalityq-nil'!D18&amp;":")-1))&amp;":*")=0,SUMPRODUCT(--(TRIM('hospitalityq-nil'!C6:C18)=TRIM('hospitalityq-nil'!C18)),--(TRIM('hospitalityq-nil'!D6:D18)=TRIM('hospitalityq-nil'!D18)))&gt;1))</f>
        <v>0</v>
      </c>
    </row>
    <row r="19" spans="1:4" x14ac:dyDescent="0.25">
      <c r="A19">
        <f t="shared" si="0"/>
        <v>0</v>
      </c>
      <c r="C19">
        <f>NOT('hospitalityq-nil'!C19="")*(OR(NOT(IFERROR(AND(INT('hospitalityq-nil'!C19)='hospitalityq-nil'!C19,'hospitalityq-nil'!C19&gt;=2018-50,'hospitalityq-nil'!C19&lt;=2018+50),FALSE)),SUMPRODUCT(--(TRIM('hospitalityq-nil'!C6:C19)=TRIM('hospitalityq-nil'!C19)),--(TRIM('hospitalityq-nil'!D6:D19)=TRIM('hospitalityq-nil'!D19)))&gt;1))</f>
        <v>0</v>
      </c>
      <c r="D19">
        <f>NOT('hospitalityq-nil'!D19="")*(OR(COUNTIF(reference!$C$144:$C$155,TRIM(LEFT('hospitalityq-nil'!D19,FIND(":",'hospitalityq-nil'!D19&amp;":")-1))&amp;":*")=0,SUMPRODUCT(--(TRIM('hospitalityq-nil'!C6:C19)=TRIM('hospitalityq-nil'!C19)),--(TRIM('hospitalityq-nil'!D6:D19)=TRIM('hospitalityq-nil'!D19)))&gt;1))</f>
        <v>0</v>
      </c>
    </row>
    <row r="20" spans="1:4" x14ac:dyDescent="0.25">
      <c r="A20">
        <f t="shared" si="0"/>
        <v>0</v>
      </c>
      <c r="C20">
        <f>NOT('hospitalityq-nil'!C20="")*(OR(NOT(IFERROR(AND(INT('hospitalityq-nil'!C20)='hospitalityq-nil'!C20,'hospitalityq-nil'!C20&gt;=2018-50,'hospitalityq-nil'!C20&lt;=2018+50),FALSE)),SUMPRODUCT(--(TRIM('hospitalityq-nil'!C6:C20)=TRIM('hospitalityq-nil'!C20)),--(TRIM('hospitalityq-nil'!D6:D20)=TRIM('hospitalityq-nil'!D20)))&gt;1))</f>
        <v>0</v>
      </c>
      <c r="D20">
        <f>NOT('hospitalityq-nil'!D20="")*(OR(COUNTIF(reference!$C$144:$C$155,TRIM(LEFT('hospitalityq-nil'!D20,FIND(":",'hospitalityq-nil'!D20&amp;":")-1))&amp;":*")=0,SUMPRODUCT(--(TRIM('hospitalityq-nil'!C6:C20)=TRIM('hospitalityq-nil'!C20)),--(TRIM('hospitalityq-nil'!D6:D20)=TRIM('hospitalityq-nil'!D20)))&gt;1))</f>
        <v>0</v>
      </c>
    </row>
    <row r="21" spans="1:4" x14ac:dyDescent="0.25">
      <c r="A21">
        <f t="shared" si="0"/>
        <v>0</v>
      </c>
      <c r="C21">
        <f>NOT('hospitalityq-nil'!C21="")*(OR(NOT(IFERROR(AND(INT('hospitalityq-nil'!C21)='hospitalityq-nil'!C21,'hospitalityq-nil'!C21&gt;=2018-50,'hospitalityq-nil'!C21&lt;=2018+50),FALSE)),SUMPRODUCT(--(TRIM('hospitalityq-nil'!C6:C21)=TRIM('hospitalityq-nil'!C21)),--(TRIM('hospitalityq-nil'!D6:D21)=TRIM('hospitalityq-nil'!D21)))&gt;1))</f>
        <v>0</v>
      </c>
      <c r="D21">
        <f>NOT('hospitalityq-nil'!D21="")*(OR(COUNTIF(reference!$C$144:$C$155,TRIM(LEFT('hospitalityq-nil'!D21,FIND(":",'hospitalityq-nil'!D21&amp;":")-1))&amp;":*")=0,SUMPRODUCT(--(TRIM('hospitalityq-nil'!C6:C21)=TRIM('hospitalityq-nil'!C21)),--(TRIM('hospitalityq-nil'!D6:D21)=TRIM('hospitalityq-nil'!D21)))&gt;1))</f>
        <v>0</v>
      </c>
    </row>
    <row r="22" spans="1:4" x14ac:dyDescent="0.25">
      <c r="A22">
        <f t="shared" si="0"/>
        <v>0</v>
      </c>
      <c r="C22">
        <f>NOT('hospitalityq-nil'!C22="")*(OR(NOT(IFERROR(AND(INT('hospitalityq-nil'!C22)='hospitalityq-nil'!C22,'hospitalityq-nil'!C22&gt;=2018-50,'hospitalityq-nil'!C22&lt;=2018+50),FALSE)),SUMPRODUCT(--(TRIM('hospitalityq-nil'!C6:C22)=TRIM('hospitalityq-nil'!C22)),--(TRIM('hospitalityq-nil'!D6:D22)=TRIM('hospitalityq-nil'!D22)))&gt;1))</f>
        <v>0</v>
      </c>
      <c r="D22">
        <f>NOT('hospitalityq-nil'!D22="")*(OR(COUNTIF(reference!$C$144:$C$155,TRIM(LEFT('hospitalityq-nil'!D22,FIND(":",'hospitalityq-nil'!D22&amp;":")-1))&amp;":*")=0,SUMPRODUCT(--(TRIM('hospitalityq-nil'!C6:C22)=TRIM('hospitalityq-nil'!C22)),--(TRIM('hospitalityq-nil'!D6:D22)=TRIM('hospitalityq-nil'!D22)))&gt;1))</f>
        <v>0</v>
      </c>
    </row>
    <row r="23" spans="1:4" x14ac:dyDescent="0.25">
      <c r="A23">
        <f t="shared" si="0"/>
        <v>0</v>
      </c>
      <c r="C23">
        <f>NOT('hospitalityq-nil'!C23="")*(OR(NOT(IFERROR(AND(INT('hospitalityq-nil'!C23)='hospitalityq-nil'!C23,'hospitalityq-nil'!C23&gt;=2018-50,'hospitalityq-nil'!C23&lt;=2018+50),FALSE)),SUMPRODUCT(--(TRIM('hospitalityq-nil'!C6:C23)=TRIM('hospitalityq-nil'!C23)),--(TRIM('hospitalityq-nil'!D6:D23)=TRIM('hospitalityq-nil'!D23)))&gt;1))</f>
        <v>0</v>
      </c>
      <c r="D23">
        <f>NOT('hospitalityq-nil'!D23="")*(OR(COUNTIF(reference!$C$144:$C$155,TRIM(LEFT('hospitalityq-nil'!D23,FIND(":",'hospitalityq-nil'!D23&amp;":")-1))&amp;":*")=0,SUMPRODUCT(--(TRIM('hospitalityq-nil'!C6:C23)=TRIM('hospitalityq-nil'!C23)),--(TRIM('hospitalityq-nil'!D6:D23)=TRIM('hospitalityq-nil'!D23)))&gt;1))</f>
        <v>0</v>
      </c>
    </row>
    <row r="24" spans="1:4" x14ac:dyDescent="0.25">
      <c r="A24">
        <f t="shared" si="0"/>
        <v>0</v>
      </c>
      <c r="C24">
        <f>NOT('hospitalityq-nil'!C24="")*(OR(NOT(IFERROR(AND(INT('hospitalityq-nil'!C24)='hospitalityq-nil'!C24,'hospitalityq-nil'!C24&gt;=2018-50,'hospitalityq-nil'!C24&lt;=2018+50),FALSE)),SUMPRODUCT(--(TRIM('hospitalityq-nil'!C6:C24)=TRIM('hospitalityq-nil'!C24)),--(TRIM('hospitalityq-nil'!D6:D24)=TRIM('hospitalityq-nil'!D24)))&gt;1))</f>
        <v>0</v>
      </c>
      <c r="D24">
        <f>NOT('hospitalityq-nil'!D24="")*(OR(COUNTIF(reference!$C$144:$C$155,TRIM(LEFT('hospitalityq-nil'!D24,FIND(":",'hospitalityq-nil'!D24&amp;":")-1))&amp;":*")=0,SUMPRODUCT(--(TRIM('hospitalityq-nil'!C6:C24)=TRIM('hospitalityq-nil'!C24)),--(TRIM('hospitalityq-nil'!D6:D24)=TRIM('hospitalityq-nil'!D24)))&gt;1))</f>
        <v>0</v>
      </c>
    </row>
    <row r="25" spans="1:4" x14ac:dyDescent="0.25">
      <c r="A25">
        <f t="shared" si="0"/>
        <v>0</v>
      </c>
      <c r="C25">
        <f>NOT('hospitalityq-nil'!C25="")*(OR(NOT(IFERROR(AND(INT('hospitalityq-nil'!C25)='hospitalityq-nil'!C25,'hospitalityq-nil'!C25&gt;=2018-50,'hospitalityq-nil'!C25&lt;=2018+50),FALSE)),SUMPRODUCT(--(TRIM('hospitalityq-nil'!C6:C25)=TRIM('hospitalityq-nil'!C25)),--(TRIM('hospitalityq-nil'!D6:D25)=TRIM('hospitalityq-nil'!D25)))&gt;1))</f>
        <v>0</v>
      </c>
      <c r="D25">
        <f>NOT('hospitalityq-nil'!D25="")*(OR(COUNTIF(reference!$C$144:$C$155,TRIM(LEFT('hospitalityq-nil'!D25,FIND(":",'hospitalityq-nil'!D25&amp;":")-1))&amp;":*")=0,SUMPRODUCT(--(TRIM('hospitalityq-nil'!C6:C25)=TRIM('hospitalityq-nil'!C25)),--(TRIM('hospitalityq-nil'!D6:D25)=TRIM('hospitalityq-nil'!D25)))&gt;1))</f>
        <v>0</v>
      </c>
    </row>
    <row r="26" spans="1:4" x14ac:dyDescent="0.25">
      <c r="A26">
        <f t="shared" si="0"/>
        <v>0</v>
      </c>
      <c r="C26">
        <f>NOT('hospitalityq-nil'!C26="")*(OR(NOT(IFERROR(AND(INT('hospitalityq-nil'!C26)='hospitalityq-nil'!C26,'hospitalityq-nil'!C26&gt;=2018-50,'hospitalityq-nil'!C26&lt;=2018+50),FALSE)),SUMPRODUCT(--(TRIM('hospitalityq-nil'!C6:C26)=TRIM('hospitalityq-nil'!C26)),--(TRIM('hospitalityq-nil'!D6:D26)=TRIM('hospitalityq-nil'!D26)))&gt;1))</f>
        <v>0</v>
      </c>
      <c r="D26">
        <f>NOT('hospitalityq-nil'!D26="")*(OR(COUNTIF(reference!$C$144:$C$155,TRIM(LEFT('hospitalityq-nil'!D26,FIND(":",'hospitalityq-nil'!D26&amp;":")-1))&amp;":*")=0,SUMPRODUCT(--(TRIM('hospitalityq-nil'!C6:C26)=TRIM('hospitalityq-nil'!C26)),--(TRIM('hospitalityq-nil'!D6:D26)=TRIM('hospitalityq-nil'!D26)))&gt;1))</f>
        <v>0</v>
      </c>
    </row>
    <row r="27" spans="1:4" x14ac:dyDescent="0.25">
      <c r="A27">
        <f t="shared" si="0"/>
        <v>0</v>
      </c>
      <c r="C27">
        <f>NOT('hospitalityq-nil'!C27="")*(OR(NOT(IFERROR(AND(INT('hospitalityq-nil'!C27)='hospitalityq-nil'!C27,'hospitalityq-nil'!C27&gt;=2018-50,'hospitalityq-nil'!C27&lt;=2018+50),FALSE)),SUMPRODUCT(--(TRIM('hospitalityq-nil'!C6:C27)=TRIM('hospitalityq-nil'!C27)),--(TRIM('hospitalityq-nil'!D6:D27)=TRIM('hospitalityq-nil'!D27)))&gt;1))</f>
        <v>0</v>
      </c>
      <c r="D27">
        <f>NOT('hospitalityq-nil'!D27="")*(OR(COUNTIF(reference!$C$144:$C$155,TRIM(LEFT('hospitalityq-nil'!D27,FIND(":",'hospitalityq-nil'!D27&amp;":")-1))&amp;":*")=0,SUMPRODUCT(--(TRIM('hospitalityq-nil'!C6:C27)=TRIM('hospitalityq-nil'!C27)),--(TRIM('hospitalityq-nil'!D6:D27)=TRIM('hospitalityq-nil'!D27)))&gt;1))</f>
        <v>0</v>
      </c>
    </row>
    <row r="28" spans="1:4" x14ac:dyDescent="0.25">
      <c r="A28">
        <f t="shared" si="0"/>
        <v>0</v>
      </c>
      <c r="C28">
        <f>NOT('hospitalityq-nil'!C28="")*(OR(NOT(IFERROR(AND(INT('hospitalityq-nil'!C28)='hospitalityq-nil'!C28,'hospitalityq-nil'!C28&gt;=2018-50,'hospitalityq-nil'!C28&lt;=2018+50),FALSE)),SUMPRODUCT(--(TRIM('hospitalityq-nil'!C6:C28)=TRIM('hospitalityq-nil'!C28)),--(TRIM('hospitalityq-nil'!D6:D28)=TRIM('hospitalityq-nil'!D28)))&gt;1))</f>
        <v>0</v>
      </c>
      <c r="D28">
        <f>NOT('hospitalityq-nil'!D28="")*(OR(COUNTIF(reference!$C$144:$C$155,TRIM(LEFT('hospitalityq-nil'!D28,FIND(":",'hospitalityq-nil'!D28&amp;":")-1))&amp;":*")=0,SUMPRODUCT(--(TRIM('hospitalityq-nil'!C6:C28)=TRIM('hospitalityq-nil'!C28)),--(TRIM('hospitalityq-nil'!D6:D28)=TRIM('hospitalityq-nil'!D28)))&gt;1))</f>
        <v>0</v>
      </c>
    </row>
    <row r="29" spans="1:4" x14ac:dyDescent="0.25">
      <c r="A29">
        <f t="shared" si="0"/>
        <v>0</v>
      </c>
      <c r="C29">
        <f>NOT('hospitalityq-nil'!C29="")*(OR(NOT(IFERROR(AND(INT('hospitalityq-nil'!C29)='hospitalityq-nil'!C29,'hospitalityq-nil'!C29&gt;=2018-50,'hospitalityq-nil'!C29&lt;=2018+50),FALSE)),SUMPRODUCT(--(TRIM('hospitalityq-nil'!C6:C29)=TRIM('hospitalityq-nil'!C29)),--(TRIM('hospitalityq-nil'!D6:D29)=TRIM('hospitalityq-nil'!D29)))&gt;1))</f>
        <v>0</v>
      </c>
      <c r="D29">
        <f>NOT('hospitalityq-nil'!D29="")*(OR(COUNTIF(reference!$C$144:$C$155,TRIM(LEFT('hospitalityq-nil'!D29,FIND(":",'hospitalityq-nil'!D29&amp;":")-1))&amp;":*")=0,SUMPRODUCT(--(TRIM('hospitalityq-nil'!C6:C29)=TRIM('hospitalityq-nil'!C29)),--(TRIM('hospitalityq-nil'!D6:D29)=TRIM('hospitalityq-nil'!D29)))&gt;1))</f>
        <v>0</v>
      </c>
    </row>
    <row r="30" spans="1:4" x14ac:dyDescent="0.25">
      <c r="A30">
        <f t="shared" si="0"/>
        <v>0</v>
      </c>
      <c r="C30">
        <f>NOT('hospitalityq-nil'!C30="")*(OR(NOT(IFERROR(AND(INT('hospitalityq-nil'!C30)='hospitalityq-nil'!C30,'hospitalityq-nil'!C30&gt;=2018-50,'hospitalityq-nil'!C30&lt;=2018+50),FALSE)),SUMPRODUCT(--(TRIM('hospitalityq-nil'!C6:C30)=TRIM('hospitalityq-nil'!C30)),--(TRIM('hospitalityq-nil'!D6:D30)=TRIM('hospitalityq-nil'!D30)))&gt;1))</f>
        <v>0</v>
      </c>
      <c r="D30">
        <f>NOT('hospitalityq-nil'!D30="")*(OR(COUNTIF(reference!$C$144:$C$155,TRIM(LEFT('hospitalityq-nil'!D30,FIND(":",'hospitalityq-nil'!D30&amp;":")-1))&amp;":*")=0,SUMPRODUCT(--(TRIM('hospitalityq-nil'!C6:C30)=TRIM('hospitalityq-nil'!C30)),--(TRIM('hospitalityq-nil'!D6:D30)=TRIM('hospitalityq-nil'!D30)))&gt;1))</f>
        <v>0</v>
      </c>
    </row>
    <row r="31" spans="1:4" x14ac:dyDescent="0.25">
      <c r="A31">
        <f t="shared" si="0"/>
        <v>0</v>
      </c>
      <c r="C31">
        <f>NOT('hospitalityq-nil'!C31="")*(OR(NOT(IFERROR(AND(INT('hospitalityq-nil'!C31)='hospitalityq-nil'!C31,'hospitalityq-nil'!C31&gt;=2018-50,'hospitalityq-nil'!C31&lt;=2018+50),FALSE)),SUMPRODUCT(--(TRIM('hospitalityq-nil'!C6:C31)=TRIM('hospitalityq-nil'!C31)),--(TRIM('hospitalityq-nil'!D6:D31)=TRIM('hospitalityq-nil'!D31)))&gt;1))</f>
        <v>0</v>
      </c>
      <c r="D31">
        <f>NOT('hospitalityq-nil'!D31="")*(OR(COUNTIF(reference!$C$144:$C$155,TRIM(LEFT('hospitalityq-nil'!D31,FIND(":",'hospitalityq-nil'!D31&amp;":")-1))&amp;":*")=0,SUMPRODUCT(--(TRIM('hospitalityq-nil'!C6:C31)=TRIM('hospitalityq-nil'!C31)),--(TRIM('hospitalityq-nil'!D6:D31)=TRIM('hospitalityq-nil'!D31)))&gt;1))</f>
        <v>0</v>
      </c>
    </row>
    <row r="32" spans="1:4" x14ac:dyDescent="0.25">
      <c r="A32">
        <f t="shared" si="0"/>
        <v>0</v>
      </c>
      <c r="C32">
        <f>NOT('hospitalityq-nil'!C32="")*(OR(NOT(IFERROR(AND(INT('hospitalityq-nil'!C32)='hospitalityq-nil'!C32,'hospitalityq-nil'!C32&gt;=2018-50,'hospitalityq-nil'!C32&lt;=2018+50),FALSE)),SUMPRODUCT(--(TRIM('hospitalityq-nil'!C6:C32)=TRIM('hospitalityq-nil'!C32)),--(TRIM('hospitalityq-nil'!D6:D32)=TRIM('hospitalityq-nil'!D32)))&gt;1))</f>
        <v>0</v>
      </c>
      <c r="D32">
        <f>NOT('hospitalityq-nil'!D32="")*(OR(COUNTIF(reference!$C$144:$C$155,TRIM(LEFT('hospitalityq-nil'!D32,FIND(":",'hospitalityq-nil'!D32&amp;":")-1))&amp;":*")=0,SUMPRODUCT(--(TRIM('hospitalityq-nil'!C6:C32)=TRIM('hospitalityq-nil'!C32)),--(TRIM('hospitalityq-nil'!D6:D32)=TRIM('hospitalityq-nil'!D32)))&gt;1))</f>
        <v>0</v>
      </c>
    </row>
    <row r="33" spans="1:4" x14ac:dyDescent="0.25">
      <c r="A33">
        <f t="shared" si="0"/>
        <v>0</v>
      </c>
      <c r="C33">
        <f>NOT('hospitalityq-nil'!C33="")*(OR(NOT(IFERROR(AND(INT('hospitalityq-nil'!C33)='hospitalityq-nil'!C33,'hospitalityq-nil'!C33&gt;=2018-50,'hospitalityq-nil'!C33&lt;=2018+50),FALSE)),SUMPRODUCT(--(TRIM('hospitalityq-nil'!C6:C33)=TRIM('hospitalityq-nil'!C33)),--(TRIM('hospitalityq-nil'!D6:D33)=TRIM('hospitalityq-nil'!D33)))&gt;1))</f>
        <v>0</v>
      </c>
      <c r="D33">
        <f>NOT('hospitalityq-nil'!D33="")*(OR(COUNTIF(reference!$C$144:$C$155,TRIM(LEFT('hospitalityq-nil'!D33,FIND(":",'hospitalityq-nil'!D33&amp;":")-1))&amp;":*")=0,SUMPRODUCT(--(TRIM('hospitalityq-nil'!C6:C33)=TRIM('hospitalityq-nil'!C33)),--(TRIM('hospitalityq-nil'!D6:D33)=TRIM('hospitalityq-nil'!D33)))&gt;1))</f>
        <v>0</v>
      </c>
    </row>
    <row r="34" spans="1:4" x14ac:dyDescent="0.25">
      <c r="A34">
        <f t="shared" si="0"/>
        <v>0</v>
      </c>
      <c r="C34">
        <f>NOT('hospitalityq-nil'!C34="")*(OR(NOT(IFERROR(AND(INT('hospitalityq-nil'!C34)='hospitalityq-nil'!C34,'hospitalityq-nil'!C34&gt;=2018-50,'hospitalityq-nil'!C34&lt;=2018+50),FALSE)),SUMPRODUCT(--(TRIM('hospitalityq-nil'!C6:C34)=TRIM('hospitalityq-nil'!C34)),--(TRIM('hospitalityq-nil'!D6:D34)=TRIM('hospitalityq-nil'!D34)))&gt;1))</f>
        <v>0</v>
      </c>
      <c r="D34">
        <f>NOT('hospitalityq-nil'!D34="")*(OR(COUNTIF(reference!$C$144:$C$155,TRIM(LEFT('hospitalityq-nil'!D34,FIND(":",'hospitalityq-nil'!D34&amp;":")-1))&amp;":*")=0,SUMPRODUCT(--(TRIM('hospitalityq-nil'!C6:C34)=TRIM('hospitalityq-nil'!C34)),--(TRIM('hospitalityq-nil'!D6:D34)=TRIM('hospitalityq-nil'!D34)))&gt;1))</f>
        <v>0</v>
      </c>
    </row>
    <row r="35" spans="1:4" x14ac:dyDescent="0.25">
      <c r="A35">
        <f t="shared" si="0"/>
        <v>0</v>
      </c>
      <c r="C35">
        <f>NOT('hospitalityq-nil'!C35="")*(OR(NOT(IFERROR(AND(INT('hospitalityq-nil'!C35)='hospitalityq-nil'!C35,'hospitalityq-nil'!C35&gt;=2018-50,'hospitalityq-nil'!C35&lt;=2018+50),FALSE)),SUMPRODUCT(--(TRIM('hospitalityq-nil'!C6:C35)=TRIM('hospitalityq-nil'!C35)),--(TRIM('hospitalityq-nil'!D6:D35)=TRIM('hospitalityq-nil'!D35)))&gt;1))</f>
        <v>0</v>
      </c>
      <c r="D35">
        <f>NOT('hospitalityq-nil'!D35="")*(OR(COUNTIF(reference!$C$144:$C$155,TRIM(LEFT('hospitalityq-nil'!D35,FIND(":",'hospitalityq-nil'!D35&amp;":")-1))&amp;":*")=0,SUMPRODUCT(--(TRIM('hospitalityq-nil'!C6:C35)=TRIM('hospitalityq-nil'!C35)),--(TRIM('hospitalityq-nil'!D6:D35)=TRIM('hospitalityq-nil'!D35)))&gt;1))</f>
        <v>0</v>
      </c>
    </row>
    <row r="36" spans="1:4" x14ac:dyDescent="0.25">
      <c r="A36">
        <f t="shared" si="0"/>
        <v>0</v>
      </c>
      <c r="C36">
        <f>NOT('hospitalityq-nil'!C36="")*(OR(NOT(IFERROR(AND(INT('hospitalityq-nil'!C36)='hospitalityq-nil'!C36,'hospitalityq-nil'!C36&gt;=2018-50,'hospitalityq-nil'!C36&lt;=2018+50),FALSE)),SUMPRODUCT(--(TRIM('hospitalityq-nil'!C6:C36)=TRIM('hospitalityq-nil'!C36)),--(TRIM('hospitalityq-nil'!D6:D36)=TRIM('hospitalityq-nil'!D36)))&gt;1))</f>
        <v>0</v>
      </c>
      <c r="D36">
        <f>NOT('hospitalityq-nil'!D36="")*(OR(COUNTIF(reference!$C$144:$C$155,TRIM(LEFT('hospitalityq-nil'!D36,FIND(":",'hospitalityq-nil'!D36&amp;":")-1))&amp;":*")=0,SUMPRODUCT(--(TRIM('hospitalityq-nil'!C6:C36)=TRIM('hospitalityq-nil'!C36)),--(TRIM('hospitalityq-nil'!D6:D36)=TRIM('hospitalityq-nil'!D36)))&gt;1))</f>
        <v>0</v>
      </c>
    </row>
    <row r="37" spans="1:4" x14ac:dyDescent="0.25">
      <c r="A37">
        <f t="shared" si="0"/>
        <v>0</v>
      </c>
      <c r="C37">
        <f>NOT('hospitalityq-nil'!C37="")*(OR(NOT(IFERROR(AND(INT('hospitalityq-nil'!C37)='hospitalityq-nil'!C37,'hospitalityq-nil'!C37&gt;=2018-50,'hospitalityq-nil'!C37&lt;=2018+50),FALSE)),SUMPRODUCT(--(TRIM('hospitalityq-nil'!C6:C37)=TRIM('hospitalityq-nil'!C37)),--(TRIM('hospitalityq-nil'!D6:D37)=TRIM('hospitalityq-nil'!D37)))&gt;1))</f>
        <v>0</v>
      </c>
      <c r="D37">
        <f>NOT('hospitalityq-nil'!D37="")*(OR(COUNTIF(reference!$C$144:$C$155,TRIM(LEFT('hospitalityq-nil'!D37,FIND(":",'hospitalityq-nil'!D37&amp;":")-1))&amp;":*")=0,SUMPRODUCT(--(TRIM('hospitalityq-nil'!C6:C37)=TRIM('hospitalityq-nil'!C37)),--(TRIM('hospitalityq-nil'!D6:D37)=TRIM('hospitalityq-nil'!D37)))&gt;1))</f>
        <v>0</v>
      </c>
    </row>
    <row r="38" spans="1:4" x14ac:dyDescent="0.25">
      <c r="A38">
        <f t="shared" si="0"/>
        <v>0</v>
      </c>
      <c r="C38">
        <f>NOT('hospitalityq-nil'!C38="")*(OR(NOT(IFERROR(AND(INT('hospitalityq-nil'!C38)='hospitalityq-nil'!C38,'hospitalityq-nil'!C38&gt;=2018-50,'hospitalityq-nil'!C38&lt;=2018+50),FALSE)),SUMPRODUCT(--(TRIM('hospitalityq-nil'!C6:C38)=TRIM('hospitalityq-nil'!C38)),--(TRIM('hospitalityq-nil'!D6:D38)=TRIM('hospitalityq-nil'!D38)))&gt;1))</f>
        <v>0</v>
      </c>
      <c r="D38">
        <f>NOT('hospitalityq-nil'!D38="")*(OR(COUNTIF(reference!$C$144:$C$155,TRIM(LEFT('hospitalityq-nil'!D38,FIND(":",'hospitalityq-nil'!D38&amp;":")-1))&amp;":*")=0,SUMPRODUCT(--(TRIM('hospitalityq-nil'!C6:C38)=TRIM('hospitalityq-nil'!C38)),--(TRIM('hospitalityq-nil'!D6:D38)=TRIM('hospitalityq-nil'!D38)))&gt;1))</f>
        <v>0</v>
      </c>
    </row>
    <row r="39" spans="1:4" x14ac:dyDescent="0.25">
      <c r="A39">
        <f t="shared" si="0"/>
        <v>0</v>
      </c>
      <c r="C39">
        <f>NOT('hospitalityq-nil'!C39="")*(OR(NOT(IFERROR(AND(INT('hospitalityq-nil'!C39)='hospitalityq-nil'!C39,'hospitalityq-nil'!C39&gt;=2018-50,'hospitalityq-nil'!C39&lt;=2018+50),FALSE)),SUMPRODUCT(--(TRIM('hospitalityq-nil'!C6:C39)=TRIM('hospitalityq-nil'!C39)),--(TRIM('hospitalityq-nil'!D6:D39)=TRIM('hospitalityq-nil'!D39)))&gt;1))</f>
        <v>0</v>
      </c>
      <c r="D39">
        <f>NOT('hospitalityq-nil'!D39="")*(OR(COUNTIF(reference!$C$144:$C$155,TRIM(LEFT('hospitalityq-nil'!D39,FIND(":",'hospitalityq-nil'!D39&amp;":")-1))&amp;":*")=0,SUMPRODUCT(--(TRIM('hospitalityq-nil'!C6:C39)=TRIM('hospitalityq-nil'!C39)),--(TRIM('hospitalityq-nil'!D6:D39)=TRIM('hospitalityq-nil'!D39)))&gt;1))</f>
        <v>0</v>
      </c>
    </row>
    <row r="40" spans="1:4" x14ac:dyDescent="0.25">
      <c r="A40">
        <f t="shared" si="0"/>
        <v>0</v>
      </c>
      <c r="C40">
        <f>NOT('hospitalityq-nil'!C40="")*(OR(NOT(IFERROR(AND(INT('hospitalityq-nil'!C40)='hospitalityq-nil'!C40,'hospitalityq-nil'!C40&gt;=2018-50,'hospitalityq-nil'!C40&lt;=2018+50),FALSE)),SUMPRODUCT(--(TRIM('hospitalityq-nil'!C6:C40)=TRIM('hospitalityq-nil'!C40)),--(TRIM('hospitalityq-nil'!D6:D40)=TRIM('hospitalityq-nil'!D40)))&gt;1))</f>
        <v>0</v>
      </c>
      <c r="D40">
        <f>NOT('hospitalityq-nil'!D40="")*(OR(COUNTIF(reference!$C$144:$C$155,TRIM(LEFT('hospitalityq-nil'!D40,FIND(":",'hospitalityq-nil'!D40&amp;":")-1))&amp;":*")=0,SUMPRODUCT(--(TRIM('hospitalityq-nil'!C6:C40)=TRIM('hospitalityq-nil'!C40)),--(TRIM('hospitalityq-nil'!D6:D40)=TRIM('hospitalityq-nil'!D40)))&gt;1))</f>
        <v>0</v>
      </c>
    </row>
    <row r="41" spans="1:4" x14ac:dyDescent="0.25">
      <c r="A41">
        <f t="shared" si="0"/>
        <v>0</v>
      </c>
      <c r="C41">
        <f>NOT('hospitalityq-nil'!C41="")*(OR(NOT(IFERROR(AND(INT('hospitalityq-nil'!C41)='hospitalityq-nil'!C41,'hospitalityq-nil'!C41&gt;=2018-50,'hospitalityq-nil'!C41&lt;=2018+50),FALSE)),SUMPRODUCT(--(TRIM('hospitalityq-nil'!C6:C41)=TRIM('hospitalityq-nil'!C41)),--(TRIM('hospitalityq-nil'!D6:D41)=TRIM('hospitalityq-nil'!D41)))&gt;1))</f>
        <v>0</v>
      </c>
      <c r="D41">
        <f>NOT('hospitalityq-nil'!D41="")*(OR(COUNTIF(reference!$C$144:$C$155,TRIM(LEFT('hospitalityq-nil'!D41,FIND(":",'hospitalityq-nil'!D41&amp;":")-1))&amp;":*")=0,SUMPRODUCT(--(TRIM('hospitalityq-nil'!C6:C41)=TRIM('hospitalityq-nil'!C41)),--(TRIM('hospitalityq-nil'!D6:D41)=TRIM('hospitalityq-nil'!D41)))&gt;1))</f>
        <v>0</v>
      </c>
    </row>
    <row r="42" spans="1:4" x14ac:dyDescent="0.25">
      <c r="A42">
        <f t="shared" si="0"/>
        <v>0</v>
      </c>
      <c r="C42">
        <f>NOT('hospitalityq-nil'!C42="")*(OR(NOT(IFERROR(AND(INT('hospitalityq-nil'!C42)='hospitalityq-nil'!C42,'hospitalityq-nil'!C42&gt;=2018-50,'hospitalityq-nil'!C42&lt;=2018+50),FALSE)),SUMPRODUCT(--(TRIM('hospitalityq-nil'!C6:C42)=TRIM('hospitalityq-nil'!C42)),--(TRIM('hospitalityq-nil'!D6:D42)=TRIM('hospitalityq-nil'!D42)))&gt;1))</f>
        <v>0</v>
      </c>
      <c r="D42">
        <f>NOT('hospitalityq-nil'!D42="")*(OR(COUNTIF(reference!$C$144:$C$155,TRIM(LEFT('hospitalityq-nil'!D42,FIND(":",'hospitalityq-nil'!D42&amp;":")-1))&amp;":*")=0,SUMPRODUCT(--(TRIM('hospitalityq-nil'!C6:C42)=TRIM('hospitalityq-nil'!C42)),--(TRIM('hospitalityq-nil'!D6:D42)=TRIM('hospitalityq-nil'!D42)))&gt;1))</f>
        <v>0</v>
      </c>
    </row>
    <row r="43" spans="1:4" x14ac:dyDescent="0.25">
      <c r="A43">
        <f t="shared" si="0"/>
        <v>0</v>
      </c>
      <c r="C43">
        <f>NOT('hospitalityq-nil'!C43="")*(OR(NOT(IFERROR(AND(INT('hospitalityq-nil'!C43)='hospitalityq-nil'!C43,'hospitalityq-nil'!C43&gt;=2018-50,'hospitalityq-nil'!C43&lt;=2018+50),FALSE)),SUMPRODUCT(--(TRIM('hospitalityq-nil'!C6:C43)=TRIM('hospitalityq-nil'!C43)),--(TRIM('hospitalityq-nil'!D6:D43)=TRIM('hospitalityq-nil'!D43)))&gt;1))</f>
        <v>0</v>
      </c>
      <c r="D43">
        <f>NOT('hospitalityq-nil'!D43="")*(OR(COUNTIF(reference!$C$144:$C$155,TRIM(LEFT('hospitalityq-nil'!D43,FIND(":",'hospitalityq-nil'!D43&amp;":")-1))&amp;":*")=0,SUMPRODUCT(--(TRIM('hospitalityq-nil'!C6:C43)=TRIM('hospitalityq-nil'!C43)),--(TRIM('hospitalityq-nil'!D6:D43)=TRIM('hospitalityq-nil'!D43)))&gt;1))</f>
        <v>0</v>
      </c>
    </row>
    <row r="44" spans="1:4" x14ac:dyDescent="0.25">
      <c r="A44">
        <f t="shared" si="0"/>
        <v>0</v>
      </c>
      <c r="C44">
        <f>NOT('hospitalityq-nil'!C44="")*(OR(NOT(IFERROR(AND(INT('hospitalityq-nil'!C44)='hospitalityq-nil'!C44,'hospitalityq-nil'!C44&gt;=2018-50,'hospitalityq-nil'!C44&lt;=2018+50),FALSE)),SUMPRODUCT(--(TRIM('hospitalityq-nil'!C6:C44)=TRIM('hospitalityq-nil'!C44)),--(TRIM('hospitalityq-nil'!D6:D44)=TRIM('hospitalityq-nil'!D44)))&gt;1))</f>
        <v>0</v>
      </c>
      <c r="D44">
        <f>NOT('hospitalityq-nil'!D44="")*(OR(COUNTIF(reference!$C$144:$C$155,TRIM(LEFT('hospitalityq-nil'!D44,FIND(":",'hospitalityq-nil'!D44&amp;":")-1))&amp;":*")=0,SUMPRODUCT(--(TRIM('hospitalityq-nil'!C6:C44)=TRIM('hospitalityq-nil'!C44)),--(TRIM('hospitalityq-nil'!D6:D44)=TRIM('hospitalityq-nil'!D44)))&gt;1))</f>
        <v>0</v>
      </c>
    </row>
    <row r="45" spans="1:4" x14ac:dyDescent="0.25">
      <c r="A45">
        <f t="shared" si="0"/>
        <v>0</v>
      </c>
      <c r="C45">
        <f>NOT('hospitalityq-nil'!C45="")*(OR(NOT(IFERROR(AND(INT('hospitalityq-nil'!C45)='hospitalityq-nil'!C45,'hospitalityq-nil'!C45&gt;=2018-50,'hospitalityq-nil'!C45&lt;=2018+50),FALSE)),SUMPRODUCT(--(TRIM('hospitalityq-nil'!C6:C45)=TRIM('hospitalityq-nil'!C45)),--(TRIM('hospitalityq-nil'!D6:D45)=TRIM('hospitalityq-nil'!D45)))&gt;1))</f>
        <v>0</v>
      </c>
      <c r="D45">
        <f>NOT('hospitalityq-nil'!D45="")*(OR(COUNTIF(reference!$C$144:$C$155,TRIM(LEFT('hospitalityq-nil'!D45,FIND(":",'hospitalityq-nil'!D45&amp;":")-1))&amp;":*")=0,SUMPRODUCT(--(TRIM('hospitalityq-nil'!C6:C45)=TRIM('hospitalityq-nil'!C45)),--(TRIM('hospitalityq-nil'!D6:D45)=TRIM('hospitalityq-nil'!D45)))&gt;1))</f>
        <v>0</v>
      </c>
    </row>
    <row r="46" spans="1:4" x14ac:dyDescent="0.25">
      <c r="A46">
        <f t="shared" si="0"/>
        <v>0</v>
      </c>
      <c r="C46">
        <f>NOT('hospitalityq-nil'!C46="")*(OR(NOT(IFERROR(AND(INT('hospitalityq-nil'!C46)='hospitalityq-nil'!C46,'hospitalityq-nil'!C46&gt;=2018-50,'hospitalityq-nil'!C46&lt;=2018+50),FALSE)),SUMPRODUCT(--(TRIM('hospitalityq-nil'!C6:C46)=TRIM('hospitalityq-nil'!C46)),--(TRIM('hospitalityq-nil'!D6:D46)=TRIM('hospitalityq-nil'!D46)))&gt;1))</f>
        <v>0</v>
      </c>
      <c r="D46">
        <f>NOT('hospitalityq-nil'!D46="")*(OR(COUNTIF(reference!$C$144:$C$155,TRIM(LEFT('hospitalityq-nil'!D46,FIND(":",'hospitalityq-nil'!D46&amp;":")-1))&amp;":*")=0,SUMPRODUCT(--(TRIM('hospitalityq-nil'!C6:C46)=TRIM('hospitalityq-nil'!C46)),--(TRIM('hospitalityq-nil'!D6:D46)=TRIM('hospitalityq-nil'!D46)))&gt;1))</f>
        <v>0</v>
      </c>
    </row>
    <row r="47" spans="1:4" x14ac:dyDescent="0.25">
      <c r="A47">
        <f t="shared" si="0"/>
        <v>0</v>
      </c>
      <c r="C47">
        <f>NOT('hospitalityq-nil'!C47="")*(OR(NOT(IFERROR(AND(INT('hospitalityq-nil'!C47)='hospitalityq-nil'!C47,'hospitalityq-nil'!C47&gt;=2018-50,'hospitalityq-nil'!C47&lt;=2018+50),FALSE)),SUMPRODUCT(--(TRIM('hospitalityq-nil'!C6:C47)=TRIM('hospitalityq-nil'!C47)),--(TRIM('hospitalityq-nil'!D6:D47)=TRIM('hospitalityq-nil'!D47)))&gt;1))</f>
        <v>0</v>
      </c>
      <c r="D47">
        <f>NOT('hospitalityq-nil'!D47="")*(OR(COUNTIF(reference!$C$144:$C$155,TRIM(LEFT('hospitalityq-nil'!D47,FIND(":",'hospitalityq-nil'!D47&amp;":")-1))&amp;":*")=0,SUMPRODUCT(--(TRIM('hospitalityq-nil'!C6:C47)=TRIM('hospitalityq-nil'!C47)),--(TRIM('hospitalityq-nil'!D6:D47)=TRIM('hospitalityq-nil'!D47)))&gt;1))</f>
        <v>0</v>
      </c>
    </row>
    <row r="48" spans="1:4" x14ac:dyDescent="0.25">
      <c r="A48">
        <f t="shared" si="0"/>
        <v>0</v>
      </c>
      <c r="C48">
        <f>NOT('hospitalityq-nil'!C48="")*(OR(NOT(IFERROR(AND(INT('hospitalityq-nil'!C48)='hospitalityq-nil'!C48,'hospitalityq-nil'!C48&gt;=2018-50,'hospitalityq-nil'!C48&lt;=2018+50),FALSE)),SUMPRODUCT(--(TRIM('hospitalityq-nil'!C6:C48)=TRIM('hospitalityq-nil'!C48)),--(TRIM('hospitalityq-nil'!D6:D48)=TRIM('hospitalityq-nil'!D48)))&gt;1))</f>
        <v>0</v>
      </c>
      <c r="D48">
        <f>NOT('hospitalityq-nil'!D48="")*(OR(COUNTIF(reference!$C$144:$C$155,TRIM(LEFT('hospitalityq-nil'!D48,FIND(":",'hospitalityq-nil'!D48&amp;":")-1))&amp;":*")=0,SUMPRODUCT(--(TRIM('hospitalityq-nil'!C6:C48)=TRIM('hospitalityq-nil'!C48)),--(TRIM('hospitalityq-nil'!D6:D48)=TRIM('hospitalityq-nil'!D48)))&gt;1))</f>
        <v>0</v>
      </c>
    </row>
    <row r="49" spans="1:4" x14ac:dyDescent="0.25">
      <c r="A49">
        <f t="shared" si="0"/>
        <v>0</v>
      </c>
      <c r="C49">
        <f>NOT('hospitalityq-nil'!C49="")*(OR(NOT(IFERROR(AND(INT('hospitalityq-nil'!C49)='hospitalityq-nil'!C49,'hospitalityq-nil'!C49&gt;=2018-50,'hospitalityq-nil'!C49&lt;=2018+50),FALSE)),SUMPRODUCT(--(TRIM('hospitalityq-nil'!C6:C49)=TRIM('hospitalityq-nil'!C49)),--(TRIM('hospitalityq-nil'!D6:D49)=TRIM('hospitalityq-nil'!D49)))&gt;1))</f>
        <v>0</v>
      </c>
      <c r="D49">
        <f>NOT('hospitalityq-nil'!D49="")*(OR(COUNTIF(reference!$C$144:$C$155,TRIM(LEFT('hospitalityq-nil'!D49,FIND(":",'hospitalityq-nil'!D49&amp;":")-1))&amp;":*")=0,SUMPRODUCT(--(TRIM('hospitalityq-nil'!C6:C49)=TRIM('hospitalityq-nil'!C49)),--(TRIM('hospitalityq-nil'!D6:D49)=TRIM('hospitalityq-nil'!D49)))&gt;1))</f>
        <v>0</v>
      </c>
    </row>
    <row r="50" spans="1:4" x14ac:dyDescent="0.25">
      <c r="A50">
        <f t="shared" si="0"/>
        <v>0</v>
      </c>
      <c r="C50">
        <f>NOT('hospitalityq-nil'!C50="")*(OR(NOT(IFERROR(AND(INT('hospitalityq-nil'!C50)='hospitalityq-nil'!C50,'hospitalityq-nil'!C50&gt;=2018-50,'hospitalityq-nil'!C50&lt;=2018+50),FALSE)),SUMPRODUCT(--(TRIM('hospitalityq-nil'!C6:C50)=TRIM('hospitalityq-nil'!C50)),--(TRIM('hospitalityq-nil'!D6:D50)=TRIM('hospitalityq-nil'!D50)))&gt;1))</f>
        <v>0</v>
      </c>
      <c r="D50">
        <f>NOT('hospitalityq-nil'!D50="")*(OR(COUNTIF(reference!$C$144:$C$155,TRIM(LEFT('hospitalityq-nil'!D50,FIND(":",'hospitalityq-nil'!D50&amp;":")-1))&amp;":*")=0,SUMPRODUCT(--(TRIM('hospitalityq-nil'!C6:C50)=TRIM('hospitalityq-nil'!C50)),--(TRIM('hospitalityq-nil'!D6:D50)=TRIM('hospitalityq-nil'!D50)))&gt;1))</f>
        <v>0</v>
      </c>
    </row>
    <row r="51" spans="1:4" x14ac:dyDescent="0.25">
      <c r="A51">
        <f t="shared" si="0"/>
        <v>0</v>
      </c>
      <c r="C51">
        <f>NOT('hospitalityq-nil'!C51="")*(OR(NOT(IFERROR(AND(INT('hospitalityq-nil'!C51)='hospitalityq-nil'!C51,'hospitalityq-nil'!C51&gt;=2018-50,'hospitalityq-nil'!C51&lt;=2018+50),FALSE)),SUMPRODUCT(--(TRIM('hospitalityq-nil'!C6:C51)=TRIM('hospitalityq-nil'!C51)),--(TRIM('hospitalityq-nil'!D6:D51)=TRIM('hospitalityq-nil'!D51)))&gt;1))</f>
        <v>0</v>
      </c>
      <c r="D51">
        <f>NOT('hospitalityq-nil'!D51="")*(OR(COUNTIF(reference!$C$144:$C$155,TRIM(LEFT('hospitalityq-nil'!D51,FIND(":",'hospitalityq-nil'!D51&amp;":")-1))&amp;":*")=0,SUMPRODUCT(--(TRIM('hospitalityq-nil'!C6:C51)=TRIM('hospitalityq-nil'!C51)),--(TRIM('hospitalityq-nil'!D6:D51)=TRIM('hospitalityq-nil'!D51)))&gt;1))</f>
        <v>0</v>
      </c>
    </row>
    <row r="52" spans="1:4" x14ac:dyDescent="0.25">
      <c r="A52">
        <f t="shared" si="0"/>
        <v>0</v>
      </c>
      <c r="C52">
        <f>NOT('hospitalityq-nil'!C52="")*(OR(NOT(IFERROR(AND(INT('hospitalityq-nil'!C52)='hospitalityq-nil'!C52,'hospitalityq-nil'!C52&gt;=2018-50,'hospitalityq-nil'!C52&lt;=2018+50),FALSE)),SUMPRODUCT(--(TRIM('hospitalityq-nil'!C6:C52)=TRIM('hospitalityq-nil'!C52)),--(TRIM('hospitalityq-nil'!D6:D52)=TRIM('hospitalityq-nil'!D52)))&gt;1))</f>
        <v>0</v>
      </c>
      <c r="D52">
        <f>NOT('hospitalityq-nil'!D52="")*(OR(COUNTIF(reference!$C$144:$C$155,TRIM(LEFT('hospitalityq-nil'!D52,FIND(":",'hospitalityq-nil'!D52&amp;":")-1))&amp;":*")=0,SUMPRODUCT(--(TRIM('hospitalityq-nil'!C6:C52)=TRIM('hospitalityq-nil'!C52)),--(TRIM('hospitalityq-nil'!D6:D52)=TRIM('hospitalityq-nil'!D52)))&gt;1))</f>
        <v>0</v>
      </c>
    </row>
    <row r="53" spans="1:4" x14ac:dyDescent="0.25">
      <c r="A53">
        <f t="shared" si="0"/>
        <v>0</v>
      </c>
      <c r="C53">
        <f>NOT('hospitalityq-nil'!C53="")*(OR(NOT(IFERROR(AND(INT('hospitalityq-nil'!C53)='hospitalityq-nil'!C53,'hospitalityq-nil'!C53&gt;=2018-50,'hospitalityq-nil'!C53&lt;=2018+50),FALSE)),SUMPRODUCT(--(TRIM('hospitalityq-nil'!C6:C53)=TRIM('hospitalityq-nil'!C53)),--(TRIM('hospitalityq-nil'!D6:D53)=TRIM('hospitalityq-nil'!D53)))&gt;1))</f>
        <v>0</v>
      </c>
      <c r="D53">
        <f>NOT('hospitalityq-nil'!D53="")*(OR(COUNTIF(reference!$C$144:$C$155,TRIM(LEFT('hospitalityq-nil'!D53,FIND(":",'hospitalityq-nil'!D53&amp;":")-1))&amp;":*")=0,SUMPRODUCT(--(TRIM('hospitalityq-nil'!C6:C53)=TRIM('hospitalityq-nil'!C53)),--(TRIM('hospitalityq-nil'!D6:D53)=TRIM('hospitalityq-nil'!D53)))&gt;1))</f>
        <v>0</v>
      </c>
    </row>
    <row r="54" spans="1:4" x14ac:dyDescent="0.25">
      <c r="A54">
        <f t="shared" si="0"/>
        <v>0</v>
      </c>
      <c r="C54">
        <f>NOT('hospitalityq-nil'!C54="")*(OR(NOT(IFERROR(AND(INT('hospitalityq-nil'!C54)='hospitalityq-nil'!C54,'hospitalityq-nil'!C54&gt;=2018-50,'hospitalityq-nil'!C54&lt;=2018+50),FALSE)),SUMPRODUCT(--(TRIM('hospitalityq-nil'!C6:C54)=TRIM('hospitalityq-nil'!C54)),--(TRIM('hospitalityq-nil'!D6:D54)=TRIM('hospitalityq-nil'!D54)))&gt;1))</f>
        <v>0</v>
      </c>
      <c r="D54">
        <f>NOT('hospitalityq-nil'!D54="")*(OR(COUNTIF(reference!$C$144:$C$155,TRIM(LEFT('hospitalityq-nil'!D54,FIND(":",'hospitalityq-nil'!D54&amp;":")-1))&amp;":*")=0,SUMPRODUCT(--(TRIM('hospitalityq-nil'!C6:C54)=TRIM('hospitalityq-nil'!C54)),--(TRIM('hospitalityq-nil'!D6:D54)=TRIM('hospitalityq-nil'!D54)))&gt;1))</f>
        <v>0</v>
      </c>
    </row>
    <row r="55" spans="1:4" x14ac:dyDescent="0.25">
      <c r="A55">
        <f t="shared" si="0"/>
        <v>0</v>
      </c>
      <c r="C55">
        <f>NOT('hospitalityq-nil'!C55="")*(OR(NOT(IFERROR(AND(INT('hospitalityq-nil'!C55)='hospitalityq-nil'!C55,'hospitalityq-nil'!C55&gt;=2018-50,'hospitalityq-nil'!C55&lt;=2018+50),FALSE)),SUMPRODUCT(--(TRIM('hospitalityq-nil'!C6:C55)=TRIM('hospitalityq-nil'!C55)),--(TRIM('hospitalityq-nil'!D6:D55)=TRIM('hospitalityq-nil'!D55)))&gt;1))</f>
        <v>0</v>
      </c>
      <c r="D55">
        <f>NOT('hospitalityq-nil'!D55="")*(OR(COUNTIF(reference!$C$144:$C$155,TRIM(LEFT('hospitalityq-nil'!D55,FIND(":",'hospitalityq-nil'!D55&amp;":")-1))&amp;":*")=0,SUMPRODUCT(--(TRIM('hospitalityq-nil'!C6:C55)=TRIM('hospitalityq-nil'!C55)),--(TRIM('hospitalityq-nil'!D6:D55)=TRIM('hospitalityq-nil'!D55)))&gt;1))</f>
        <v>0</v>
      </c>
    </row>
    <row r="56" spans="1:4" x14ac:dyDescent="0.25">
      <c r="A56">
        <f t="shared" si="0"/>
        <v>0</v>
      </c>
      <c r="C56">
        <f>NOT('hospitalityq-nil'!C56="")*(OR(NOT(IFERROR(AND(INT('hospitalityq-nil'!C56)='hospitalityq-nil'!C56,'hospitalityq-nil'!C56&gt;=2018-50,'hospitalityq-nil'!C56&lt;=2018+50),FALSE)),SUMPRODUCT(--(TRIM('hospitalityq-nil'!C6:C56)=TRIM('hospitalityq-nil'!C56)),--(TRIM('hospitalityq-nil'!D6:D56)=TRIM('hospitalityq-nil'!D56)))&gt;1))</f>
        <v>0</v>
      </c>
      <c r="D56">
        <f>NOT('hospitalityq-nil'!D56="")*(OR(COUNTIF(reference!$C$144:$C$155,TRIM(LEFT('hospitalityq-nil'!D56,FIND(":",'hospitalityq-nil'!D56&amp;":")-1))&amp;":*")=0,SUMPRODUCT(--(TRIM('hospitalityq-nil'!C6:C56)=TRIM('hospitalityq-nil'!C56)),--(TRIM('hospitalityq-nil'!D6:D56)=TRIM('hospitalityq-nil'!D56)))&gt;1))</f>
        <v>0</v>
      </c>
    </row>
    <row r="57" spans="1:4" x14ac:dyDescent="0.25">
      <c r="A57">
        <f t="shared" si="0"/>
        <v>0</v>
      </c>
      <c r="C57">
        <f>NOT('hospitalityq-nil'!C57="")*(OR(NOT(IFERROR(AND(INT('hospitalityq-nil'!C57)='hospitalityq-nil'!C57,'hospitalityq-nil'!C57&gt;=2018-50,'hospitalityq-nil'!C57&lt;=2018+50),FALSE)),SUMPRODUCT(--(TRIM('hospitalityq-nil'!C6:C57)=TRIM('hospitalityq-nil'!C57)),--(TRIM('hospitalityq-nil'!D6:D57)=TRIM('hospitalityq-nil'!D57)))&gt;1))</f>
        <v>0</v>
      </c>
      <c r="D57">
        <f>NOT('hospitalityq-nil'!D57="")*(OR(COUNTIF(reference!$C$144:$C$155,TRIM(LEFT('hospitalityq-nil'!D57,FIND(":",'hospitalityq-nil'!D57&amp;":")-1))&amp;":*")=0,SUMPRODUCT(--(TRIM('hospitalityq-nil'!C6:C57)=TRIM('hospitalityq-nil'!C57)),--(TRIM('hospitalityq-nil'!D6:D57)=TRIM('hospitalityq-nil'!D57)))&gt;1))</f>
        <v>0</v>
      </c>
    </row>
    <row r="58" spans="1:4" x14ac:dyDescent="0.25">
      <c r="A58">
        <f t="shared" si="0"/>
        <v>0</v>
      </c>
      <c r="C58">
        <f>NOT('hospitalityq-nil'!C58="")*(OR(NOT(IFERROR(AND(INT('hospitalityq-nil'!C58)='hospitalityq-nil'!C58,'hospitalityq-nil'!C58&gt;=2018-50,'hospitalityq-nil'!C58&lt;=2018+50),FALSE)),SUMPRODUCT(--(TRIM('hospitalityq-nil'!C6:C58)=TRIM('hospitalityq-nil'!C58)),--(TRIM('hospitalityq-nil'!D6:D58)=TRIM('hospitalityq-nil'!D58)))&gt;1))</f>
        <v>0</v>
      </c>
      <c r="D58">
        <f>NOT('hospitalityq-nil'!D58="")*(OR(COUNTIF(reference!$C$144:$C$155,TRIM(LEFT('hospitalityq-nil'!D58,FIND(":",'hospitalityq-nil'!D58&amp;":")-1))&amp;":*")=0,SUMPRODUCT(--(TRIM('hospitalityq-nil'!C6:C58)=TRIM('hospitalityq-nil'!C58)),--(TRIM('hospitalityq-nil'!D6:D58)=TRIM('hospitalityq-nil'!D58)))&gt;1))</f>
        <v>0</v>
      </c>
    </row>
    <row r="59" spans="1:4" x14ac:dyDescent="0.25">
      <c r="A59">
        <f t="shared" si="0"/>
        <v>0</v>
      </c>
      <c r="C59">
        <f>NOT('hospitalityq-nil'!C59="")*(OR(NOT(IFERROR(AND(INT('hospitalityq-nil'!C59)='hospitalityq-nil'!C59,'hospitalityq-nil'!C59&gt;=2018-50,'hospitalityq-nil'!C59&lt;=2018+50),FALSE)),SUMPRODUCT(--(TRIM('hospitalityq-nil'!C6:C59)=TRIM('hospitalityq-nil'!C59)),--(TRIM('hospitalityq-nil'!D6:D59)=TRIM('hospitalityq-nil'!D59)))&gt;1))</f>
        <v>0</v>
      </c>
      <c r="D59">
        <f>NOT('hospitalityq-nil'!D59="")*(OR(COUNTIF(reference!$C$144:$C$155,TRIM(LEFT('hospitalityq-nil'!D59,FIND(":",'hospitalityq-nil'!D59&amp;":")-1))&amp;":*")=0,SUMPRODUCT(--(TRIM('hospitalityq-nil'!C6:C59)=TRIM('hospitalityq-nil'!C59)),--(TRIM('hospitalityq-nil'!D6:D59)=TRIM('hospitalityq-nil'!D59)))&gt;1))</f>
        <v>0</v>
      </c>
    </row>
    <row r="60" spans="1:4" x14ac:dyDescent="0.25">
      <c r="A60">
        <f t="shared" si="0"/>
        <v>0</v>
      </c>
      <c r="C60">
        <f>NOT('hospitalityq-nil'!C60="")*(OR(NOT(IFERROR(AND(INT('hospitalityq-nil'!C60)='hospitalityq-nil'!C60,'hospitalityq-nil'!C60&gt;=2018-50,'hospitalityq-nil'!C60&lt;=2018+50),FALSE)),SUMPRODUCT(--(TRIM('hospitalityq-nil'!C6:C60)=TRIM('hospitalityq-nil'!C60)),--(TRIM('hospitalityq-nil'!D6:D60)=TRIM('hospitalityq-nil'!D60)))&gt;1))</f>
        <v>0</v>
      </c>
      <c r="D60">
        <f>NOT('hospitalityq-nil'!D60="")*(OR(COUNTIF(reference!$C$144:$C$155,TRIM(LEFT('hospitalityq-nil'!D60,FIND(":",'hospitalityq-nil'!D60&amp;":")-1))&amp;":*")=0,SUMPRODUCT(--(TRIM('hospitalityq-nil'!C6:C60)=TRIM('hospitalityq-nil'!C60)),--(TRIM('hospitalityq-nil'!D6:D60)=TRIM('hospitalityq-nil'!D60)))&gt;1))</f>
        <v>0</v>
      </c>
    </row>
    <row r="61" spans="1:4" x14ac:dyDescent="0.25">
      <c r="A61">
        <f t="shared" si="0"/>
        <v>0</v>
      </c>
      <c r="C61">
        <f>NOT('hospitalityq-nil'!C61="")*(OR(NOT(IFERROR(AND(INT('hospitalityq-nil'!C61)='hospitalityq-nil'!C61,'hospitalityq-nil'!C61&gt;=2018-50,'hospitalityq-nil'!C61&lt;=2018+50),FALSE)),SUMPRODUCT(--(TRIM('hospitalityq-nil'!C6:C61)=TRIM('hospitalityq-nil'!C61)),--(TRIM('hospitalityq-nil'!D6:D61)=TRIM('hospitalityq-nil'!D61)))&gt;1))</f>
        <v>0</v>
      </c>
      <c r="D61">
        <f>NOT('hospitalityq-nil'!D61="")*(OR(COUNTIF(reference!$C$144:$C$155,TRIM(LEFT('hospitalityq-nil'!D61,FIND(":",'hospitalityq-nil'!D61&amp;":")-1))&amp;":*")=0,SUMPRODUCT(--(TRIM('hospitalityq-nil'!C6:C61)=TRIM('hospitalityq-nil'!C61)),--(TRIM('hospitalityq-nil'!D6:D61)=TRIM('hospitalityq-nil'!D61)))&gt;1))</f>
        <v>0</v>
      </c>
    </row>
    <row r="62" spans="1:4" x14ac:dyDescent="0.25">
      <c r="A62">
        <f t="shared" si="0"/>
        <v>0</v>
      </c>
      <c r="C62">
        <f>NOT('hospitalityq-nil'!C62="")*(OR(NOT(IFERROR(AND(INT('hospitalityq-nil'!C62)='hospitalityq-nil'!C62,'hospitalityq-nil'!C62&gt;=2018-50,'hospitalityq-nil'!C62&lt;=2018+50),FALSE)),SUMPRODUCT(--(TRIM('hospitalityq-nil'!C6:C62)=TRIM('hospitalityq-nil'!C62)),--(TRIM('hospitalityq-nil'!D6:D62)=TRIM('hospitalityq-nil'!D62)))&gt;1))</f>
        <v>0</v>
      </c>
      <c r="D62">
        <f>NOT('hospitalityq-nil'!D62="")*(OR(COUNTIF(reference!$C$144:$C$155,TRIM(LEFT('hospitalityq-nil'!D62,FIND(":",'hospitalityq-nil'!D62&amp;":")-1))&amp;":*")=0,SUMPRODUCT(--(TRIM('hospitalityq-nil'!C6:C62)=TRIM('hospitalityq-nil'!C62)),--(TRIM('hospitalityq-nil'!D6:D62)=TRIM('hospitalityq-nil'!D62)))&gt;1))</f>
        <v>0</v>
      </c>
    </row>
    <row r="63" spans="1:4" x14ac:dyDescent="0.25">
      <c r="A63">
        <f t="shared" si="0"/>
        <v>0</v>
      </c>
      <c r="C63">
        <f>NOT('hospitalityq-nil'!C63="")*(OR(NOT(IFERROR(AND(INT('hospitalityq-nil'!C63)='hospitalityq-nil'!C63,'hospitalityq-nil'!C63&gt;=2018-50,'hospitalityq-nil'!C63&lt;=2018+50),FALSE)),SUMPRODUCT(--(TRIM('hospitalityq-nil'!C6:C63)=TRIM('hospitalityq-nil'!C63)),--(TRIM('hospitalityq-nil'!D6:D63)=TRIM('hospitalityq-nil'!D63)))&gt;1))</f>
        <v>0</v>
      </c>
      <c r="D63">
        <f>NOT('hospitalityq-nil'!D63="")*(OR(COUNTIF(reference!$C$144:$C$155,TRIM(LEFT('hospitalityq-nil'!D63,FIND(":",'hospitalityq-nil'!D63&amp;":")-1))&amp;":*")=0,SUMPRODUCT(--(TRIM('hospitalityq-nil'!C6:C63)=TRIM('hospitalityq-nil'!C63)),--(TRIM('hospitalityq-nil'!D6:D63)=TRIM('hospitalityq-nil'!D63)))&gt;1))</f>
        <v>0</v>
      </c>
    </row>
    <row r="64" spans="1:4" x14ac:dyDescent="0.25">
      <c r="A64">
        <f t="shared" si="0"/>
        <v>0</v>
      </c>
      <c r="C64">
        <f>NOT('hospitalityq-nil'!C64="")*(OR(NOT(IFERROR(AND(INT('hospitalityq-nil'!C64)='hospitalityq-nil'!C64,'hospitalityq-nil'!C64&gt;=2018-50,'hospitalityq-nil'!C64&lt;=2018+50),FALSE)),SUMPRODUCT(--(TRIM('hospitalityq-nil'!C6:C64)=TRIM('hospitalityq-nil'!C64)),--(TRIM('hospitalityq-nil'!D6:D64)=TRIM('hospitalityq-nil'!D64)))&gt;1))</f>
        <v>0</v>
      </c>
      <c r="D64">
        <f>NOT('hospitalityq-nil'!D64="")*(OR(COUNTIF(reference!$C$144:$C$155,TRIM(LEFT('hospitalityq-nil'!D64,FIND(":",'hospitalityq-nil'!D64&amp;":")-1))&amp;":*")=0,SUMPRODUCT(--(TRIM('hospitalityq-nil'!C6:C64)=TRIM('hospitalityq-nil'!C64)),--(TRIM('hospitalityq-nil'!D6:D64)=TRIM('hospitalityq-nil'!D64)))&gt;1))</f>
        <v>0</v>
      </c>
    </row>
    <row r="65" spans="1:4" x14ac:dyDescent="0.25">
      <c r="A65">
        <f t="shared" si="0"/>
        <v>0</v>
      </c>
      <c r="C65">
        <f>NOT('hospitalityq-nil'!C65="")*(OR(NOT(IFERROR(AND(INT('hospitalityq-nil'!C65)='hospitalityq-nil'!C65,'hospitalityq-nil'!C65&gt;=2018-50,'hospitalityq-nil'!C65&lt;=2018+50),FALSE)),SUMPRODUCT(--(TRIM('hospitalityq-nil'!C6:C65)=TRIM('hospitalityq-nil'!C65)),--(TRIM('hospitalityq-nil'!D6:D65)=TRIM('hospitalityq-nil'!D65)))&gt;1))</f>
        <v>0</v>
      </c>
      <c r="D65">
        <f>NOT('hospitalityq-nil'!D65="")*(OR(COUNTIF(reference!$C$144:$C$155,TRIM(LEFT('hospitalityq-nil'!D65,FIND(":",'hospitalityq-nil'!D65&amp;":")-1))&amp;":*")=0,SUMPRODUCT(--(TRIM('hospitalityq-nil'!C6:C65)=TRIM('hospitalityq-nil'!C65)),--(TRIM('hospitalityq-nil'!D6:D65)=TRIM('hospitalityq-nil'!D65)))&gt;1))</f>
        <v>0</v>
      </c>
    </row>
    <row r="66" spans="1:4" x14ac:dyDescent="0.25">
      <c r="A66">
        <f t="shared" si="0"/>
        <v>0</v>
      </c>
      <c r="C66">
        <f>NOT('hospitalityq-nil'!C66="")*(OR(NOT(IFERROR(AND(INT('hospitalityq-nil'!C66)='hospitalityq-nil'!C66,'hospitalityq-nil'!C66&gt;=2018-50,'hospitalityq-nil'!C66&lt;=2018+50),FALSE)),SUMPRODUCT(--(TRIM('hospitalityq-nil'!C6:C66)=TRIM('hospitalityq-nil'!C66)),--(TRIM('hospitalityq-nil'!D6:D66)=TRIM('hospitalityq-nil'!D66)))&gt;1))</f>
        <v>0</v>
      </c>
      <c r="D66">
        <f>NOT('hospitalityq-nil'!D66="")*(OR(COUNTIF(reference!$C$144:$C$155,TRIM(LEFT('hospitalityq-nil'!D66,FIND(":",'hospitalityq-nil'!D66&amp;":")-1))&amp;":*")=0,SUMPRODUCT(--(TRIM('hospitalityq-nil'!C6:C66)=TRIM('hospitalityq-nil'!C66)),--(TRIM('hospitalityq-nil'!D6:D66)=TRIM('hospitalityq-nil'!D66)))&gt;1))</f>
        <v>0</v>
      </c>
    </row>
    <row r="67" spans="1:4" x14ac:dyDescent="0.25">
      <c r="A67">
        <f t="shared" si="0"/>
        <v>0</v>
      </c>
      <c r="C67">
        <f>NOT('hospitalityq-nil'!C67="")*(OR(NOT(IFERROR(AND(INT('hospitalityq-nil'!C67)='hospitalityq-nil'!C67,'hospitalityq-nil'!C67&gt;=2018-50,'hospitalityq-nil'!C67&lt;=2018+50),FALSE)),SUMPRODUCT(--(TRIM('hospitalityq-nil'!C6:C67)=TRIM('hospitalityq-nil'!C67)),--(TRIM('hospitalityq-nil'!D6:D67)=TRIM('hospitalityq-nil'!D67)))&gt;1))</f>
        <v>0</v>
      </c>
      <c r="D67">
        <f>NOT('hospitalityq-nil'!D67="")*(OR(COUNTIF(reference!$C$144:$C$155,TRIM(LEFT('hospitalityq-nil'!D67,FIND(":",'hospitalityq-nil'!D67&amp;":")-1))&amp;":*")=0,SUMPRODUCT(--(TRIM('hospitalityq-nil'!C6:C67)=TRIM('hospitalityq-nil'!C67)),--(TRIM('hospitalityq-nil'!D6:D67)=TRIM('hospitalityq-nil'!D67)))&gt;1))</f>
        <v>0</v>
      </c>
    </row>
    <row r="68" spans="1:4" x14ac:dyDescent="0.25">
      <c r="A68">
        <f t="shared" si="0"/>
        <v>0</v>
      </c>
      <c r="C68">
        <f>NOT('hospitalityq-nil'!C68="")*(OR(NOT(IFERROR(AND(INT('hospitalityq-nil'!C68)='hospitalityq-nil'!C68,'hospitalityq-nil'!C68&gt;=2018-50,'hospitalityq-nil'!C68&lt;=2018+50),FALSE)),SUMPRODUCT(--(TRIM('hospitalityq-nil'!C6:C68)=TRIM('hospitalityq-nil'!C68)),--(TRIM('hospitalityq-nil'!D6:D68)=TRIM('hospitalityq-nil'!D68)))&gt;1))</f>
        <v>0</v>
      </c>
      <c r="D68">
        <f>NOT('hospitalityq-nil'!D68="")*(OR(COUNTIF(reference!$C$144:$C$155,TRIM(LEFT('hospitalityq-nil'!D68,FIND(":",'hospitalityq-nil'!D68&amp;":")-1))&amp;":*")=0,SUMPRODUCT(--(TRIM('hospitalityq-nil'!C6:C68)=TRIM('hospitalityq-nil'!C68)),--(TRIM('hospitalityq-nil'!D6:D68)=TRIM('hospitalityq-nil'!D68)))&gt;1))</f>
        <v>0</v>
      </c>
    </row>
    <row r="69" spans="1:4" x14ac:dyDescent="0.25">
      <c r="A69">
        <f t="shared" si="0"/>
        <v>0</v>
      </c>
      <c r="C69">
        <f>NOT('hospitalityq-nil'!C69="")*(OR(NOT(IFERROR(AND(INT('hospitalityq-nil'!C69)='hospitalityq-nil'!C69,'hospitalityq-nil'!C69&gt;=2018-50,'hospitalityq-nil'!C69&lt;=2018+50),FALSE)),SUMPRODUCT(--(TRIM('hospitalityq-nil'!C6:C69)=TRIM('hospitalityq-nil'!C69)),--(TRIM('hospitalityq-nil'!D6:D69)=TRIM('hospitalityq-nil'!D69)))&gt;1))</f>
        <v>0</v>
      </c>
      <c r="D69">
        <f>NOT('hospitalityq-nil'!D69="")*(OR(COUNTIF(reference!$C$144:$C$155,TRIM(LEFT('hospitalityq-nil'!D69,FIND(":",'hospitalityq-nil'!D69&amp;":")-1))&amp;":*")=0,SUMPRODUCT(--(TRIM('hospitalityq-nil'!C6:C69)=TRIM('hospitalityq-nil'!C69)),--(TRIM('hospitalityq-nil'!D6:D69)=TRIM('hospitalityq-nil'!D69)))&gt;1))</f>
        <v>0</v>
      </c>
    </row>
    <row r="70" spans="1:4" x14ac:dyDescent="0.25">
      <c r="A70">
        <f t="shared" ref="A70:A133" si="1">IFERROR(MATCH(TRUE,INDEX(C70:D70&lt;&gt;0,),)+2,0)</f>
        <v>0</v>
      </c>
      <c r="C70">
        <f>NOT('hospitalityq-nil'!C70="")*(OR(NOT(IFERROR(AND(INT('hospitalityq-nil'!C70)='hospitalityq-nil'!C70,'hospitalityq-nil'!C70&gt;=2018-50,'hospitalityq-nil'!C70&lt;=2018+50),FALSE)),SUMPRODUCT(--(TRIM('hospitalityq-nil'!C6:C70)=TRIM('hospitalityq-nil'!C70)),--(TRIM('hospitalityq-nil'!D6:D70)=TRIM('hospitalityq-nil'!D70)))&gt;1))</f>
        <v>0</v>
      </c>
      <c r="D70">
        <f>NOT('hospitalityq-nil'!D70="")*(OR(COUNTIF(reference!$C$144:$C$155,TRIM(LEFT('hospitalityq-nil'!D70,FIND(":",'hospitalityq-nil'!D70&amp;":")-1))&amp;":*")=0,SUMPRODUCT(--(TRIM('hospitalityq-nil'!C6:C70)=TRIM('hospitalityq-nil'!C70)),--(TRIM('hospitalityq-nil'!D6:D70)=TRIM('hospitalityq-nil'!D70)))&gt;1))</f>
        <v>0</v>
      </c>
    </row>
    <row r="71" spans="1:4" x14ac:dyDescent="0.25">
      <c r="A71">
        <f t="shared" si="1"/>
        <v>0</v>
      </c>
      <c r="C71">
        <f>NOT('hospitalityq-nil'!C71="")*(OR(NOT(IFERROR(AND(INT('hospitalityq-nil'!C71)='hospitalityq-nil'!C71,'hospitalityq-nil'!C71&gt;=2018-50,'hospitalityq-nil'!C71&lt;=2018+50),FALSE)),SUMPRODUCT(--(TRIM('hospitalityq-nil'!C6:C71)=TRIM('hospitalityq-nil'!C71)),--(TRIM('hospitalityq-nil'!D6:D71)=TRIM('hospitalityq-nil'!D71)))&gt;1))</f>
        <v>0</v>
      </c>
      <c r="D71">
        <f>NOT('hospitalityq-nil'!D71="")*(OR(COUNTIF(reference!$C$144:$C$155,TRIM(LEFT('hospitalityq-nil'!D71,FIND(":",'hospitalityq-nil'!D71&amp;":")-1))&amp;":*")=0,SUMPRODUCT(--(TRIM('hospitalityq-nil'!C6:C71)=TRIM('hospitalityq-nil'!C71)),--(TRIM('hospitalityq-nil'!D6:D71)=TRIM('hospitalityq-nil'!D71)))&gt;1))</f>
        <v>0</v>
      </c>
    </row>
    <row r="72" spans="1:4" x14ac:dyDescent="0.25">
      <c r="A72">
        <f t="shared" si="1"/>
        <v>0</v>
      </c>
      <c r="C72">
        <f>NOT('hospitalityq-nil'!C72="")*(OR(NOT(IFERROR(AND(INT('hospitalityq-nil'!C72)='hospitalityq-nil'!C72,'hospitalityq-nil'!C72&gt;=2018-50,'hospitalityq-nil'!C72&lt;=2018+50),FALSE)),SUMPRODUCT(--(TRIM('hospitalityq-nil'!C6:C72)=TRIM('hospitalityq-nil'!C72)),--(TRIM('hospitalityq-nil'!D6:D72)=TRIM('hospitalityq-nil'!D72)))&gt;1))</f>
        <v>0</v>
      </c>
      <c r="D72">
        <f>NOT('hospitalityq-nil'!D72="")*(OR(COUNTIF(reference!$C$144:$C$155,TRIM(LEFT('hospitalityq-nil'!D72,FIND(":",'hospitalityq-nil'!D72&amp;":")-1))&amp;":*")=0,SUMPRODUCT(--(TRIM('hospitalityq-nil'!C6:C72)=TRIM('hospitalityq-nil'!C72)),--(TRIM('hospitalityq-nil'!D6:D72)=TRIM('hospitalityq-nil'!D72)))&gt;1))</f>
        <v>0</v>
      </c>
    </row>
    <row r="73" spans="1:4" x14ac:dyDescent="0.25">
      <c r="A73">
        <f t="shared" si="1"/>
        <v>0</v>
      </c>
      <c r="C73">
        <f>NOT('hospitalityq-nil'!C73="")*(OR(NOT(IFERROR(AND(INT('hospitalityq-nil'!C73)='hospitalityq-nil'!C73,'hospitalityq-nil'!C73&gt;=2018-50,'hospitalityq-nil'!C73&lt;=2018+50),FALSE)),SUMPRODUCT(--(TRIM('hospitalityq-nil'!C6:C73)=TRIM('hospitalityq-nil'!C73)),--(TRIM('hospitalityq-nil'!D6:D73)=TRIM('hospitalityq-nil'!D73)))&gt;1))</f>
        <v>0</v>
      </c>
      <c r="D73">
        <f>NOT('hospitalityq-nil'!D73="")*(OR(COUNTIF(reference!$C$144:$C$155,TRIM(LEFT('hospitalityq-nil'!D73,FIND(":",'hospitalityq-nil'!D73&amp;":")-1))&amp;":*")=0,SUMPRODUCT(--(TRIM('hospitalityq-nil'!C6:C73)=TRIM('hospitalityq-nil'!C73)),--(TRIM('hospitalityq-nil'!D6:D73)=TRIM('hospitalityq-nil'!D73)))&gt;1))</f>
        <v>0</v>
      </c>
    </row>
    <row r="74" spans="1:4" x14ac:dyDescent="0.25">
      <c r="A74">
        <f t="shared" si="1"/>
        <v>0</v>
      </c>
      <c r="C74">
        <f>NOT('hospitalityq-nil'!C74="")*(OR(NOT(IFERROR(AND(INT('hospitalityq-nil'!C74)='hospitalityq-nil'!C74,'hospitalityq-nil'!C74&gt;=2018-50,'hospitalityq-nil'!C74&lt;=2018+50),FALSE)),SUMPRODUCT(--(TRIM('hospitalityq-nil'!C6:C74)=TRIM('hospitalityq-nil'!C74)),--(TRIM('hospitalityq-nil'!D6:D74)=TRIM('hospitalityq-nil'!D74)))&gt;1))</f>
        <v>0</v>
      </c>
      <c r="D74">
        <f>NOT('hospitalityq-nil'!D74="")*(OR(COUNTIF(reference!$C$144:$C$155,TRIM(LEFT('hospitalityq-nil'!D74,FIND(":",'hospitalityq-nil'!D74&amp;":")-1))&amp;":*")=0,SUMPRODUCT(--(TRIM('hospitalityq-nil'!C6:C74)=TRIM('hospitalityq-nil'!C74)),--(TRIM('hospitalityq-nil'!D6:D74)=TRIM('hospitalityq-nil'!D74)))&gt;1))</f>
        <v>0</v>
      </c>
    </row>
    <row r="75" spans="1:4" x14ac:dyDescent="0.25">
      <c r="A75">
        <f t="shared" si="1"/>
        <v>0</v>
      </c>
      <c r="C75">
        <f>NOT('hospitalityq-nil'!C75="")*(OR(NOT(IFERROR(AND(INT('hospitalityq-nil'!C75)='hospitalityq-nil'!C75,'hospitalityq-nil'!C75&gt;=2018-50,'hospitalityq-nil'!C75&lt;=2018+50),FALSE)),SUMPRODUCT(--(TRIM('hospitalityq-nil'!C6:C75)=TRIM('hospitalityq-nil'!C75)),--(TRIM('hospitalityq-nil'!D6:D75)=TRIM('hospitalityq-nil'!D75)))&gt;1))</f>
        <v>0</v>
      </c>
      <c r="D75">
        <f>NOT('hospitalityq-nil'!D75="")*(OR(COUNTIF(reference!$C$144:$C$155,TRIM(LEFT('hospitalityq-nil'!D75,FIND(":",'hospitalityq-nil'!D75&amp;":")-1))&amp;":*")=0,SUMPRODUCT(--(TRIM('hospitalityq-nil'!C6:C75)=TRIM('hospitalityq-nil'!C75)),--(TRIM('hospitalityq-nil'!D6:D75)=TRIM('hospitalityq-nil'!D75)))&gt;1))</f>
        <v>0</v>
      </c>
    </row>
    <row r="76" spans="1:4" x14ac:dyDescent="0.25">
      <c r="A76">
        <f t="shared" si="1"/>
        <v>0</v>
      </c>
      <c r="C76">
        <f>NOT('hospitalityq-nil'!C76="")*(OR(NOT(IFERROR(AND(INT('hospitalityq-nil'!C76)='hospitalityq-nil'!C76,'hospitalityq-nil'!C76&gt;=2018-50,'hospitalityq-nil'!C76&lt;=2018+50),FALSE)),SUMPRODUCT(--(TRIM('hospitalityq-nil'!C6:C76)=TRIM('hospitalityq-nil'!C76)),--(TRIM('hospitalityq-nil'!D6:D76)=TRIM('hospitalityq-nil'!D76)))&gt;1))</f>
        <v>0</v>
      </c>
      <c r="D76">
        <f>NOT('hospitalityq-nil'!D76="")*(OR(COUNTIF(reference!$C$144:$C$155,TRIM(LEFT('hospitalityq-nil'!D76,FIND(":",'hospitalityq-nil'!D76&amp;":")-1))&amp;":*")=0,SUMPRODUCT(--(TRIM('hospitalityq-nil'!C6:C76)=TRIM('hospitalityq-nil'!C76)),--(TRIM('hospitalityq-nil'!D6:D76)=TRIM('hospitalityq-nil'!D76)))&gt;1))</f>
        <v>0</v>
      </c>
    </row>
    <row r="77" spans="1:4" x14ac:dyDescent="0.25">
      <c r="A77">
        <f t="shared" si="1"/>
        <v>0</v>
      </c>
      <c r="C77">
        <f>NOT('hospitalityq-nil'!C77="")*(OR(NOT(IFERROR(AND(INT('hospitalityq-nil'!C77)='hospitalityq-nil'!C77,'hospitalityq-nil'!C77&gt;=2018-50,'hospitalityq-nil'!C77&lt;=2018+50),FALSE)),SUMPRODUCT(--(TRIM('hospitalityq-nil'!C6:C77)=TRIM('hospitalityq-nil'!C77)),--(TRIM('hospitalityq-nil'!D6:D77)=TRIM('hospitalityq-nil'!D77)))&gt;1))</f>
        <v>0</v>
      </c>
      <c r="D77">
        <f>NOT('hospitalityq-nil'!D77="")*(OR(COUNTIF(reference!$C$144:$C$155,TRIM(LEFT('hospitalityq-nil'!D77,FIND(":",'hospitalityq-nil'!D77&amp;":")-1))&amp;":*")=0,SUMPRODUCT(--(TRIM('hospitalityq-nil'!C6:C77)=TRIM('hospitalityq-nil'!C77)),--(TRIM('hospitalityq-nil'!D6:D77)=TRIM('hospitalityq-nil'!D77)))&gt;1))</f>
        <v>0</v>
      </c>
    </row>
    <row r="78" spans="1:4" x14ac:dyDescent="0.25">
      <c r="A78">
        <f t="shared" si="1"/>
        <v>0</v>
      </c>
      <c r="C78">
        <f>NOT('hospitalityq-nil'!C78="")*(OR(NOT(IFERROR(AND(INT('hospitalityq-nil'!C78)='hospitalityq-nil'!C78,'hospitalityq-nil'!C78&gt;=2018-50,'hospitalityq-nil'!C78&lt;=2018+50),FALSE)),SUMPRODUCT(--(TRIM('hospitalityq-nil'!C6:C78)=TRIM('hospitalityq-nil'!C78)),--(TRIM('hospitalityq-nil'!D6:D78)=TRIM('hospitalityq-nil'!D78)))&gt;1))</f>
        <v>0</v>
      </c>
      <c r="D78">
        <f>NOT('hospitalityq-nil'!D78="")*(OR(COUNTIF(reference!$C$144:$C$155,TRIM(LEFT('hospitalityq-nil'!D78,FIND(":",'hospitalityq-nil'!D78&amp;":")-1))&amp;":*")=0,SUMPRODUCT(--(TRIM('hospitalityq-nil'!C6:C78)=TRIM('hospitalityq-nil'!C78)),--(TRIM('hospitalityq-nil'!D6:D78)=TRIM('hospitalityq-nil'!D78)))&gt;1))</f>
        <v>0</v>
      </c>
    </row>
    <row r="79" spans="1:4" x14ac:dyDescent="0.25">
      <c r="A79">
        <f t="shared" si="1"/>
        <v>0</v>
      </c>
      <c r="C79">
        <f>NOT('hospitalityq-nil'!C79="")*(OR(NOT(IFERROR(AND(INT('hospitalityq-nil'!C79)='hospitalityq-nil'!C79,'hospitalityq-nil'!C79&gt;=2018-50,'hospitalityq-nil'!C79&lt;=2018+50),FALSE)),SUMPRODUCT(--(TRIM('hospitalityq-nil'!C6:C79)=TRIM('hospitalityq-nil'!C79)),--(TRIM('hospitalityq-nil'!D6:D79)=TRIM('hospitalityq-nil'!D79)))&gt;1))</f>
        <v>0</v>
      </c>
      <c r="D79">
        <f>NOT('hospitalityq-nil'!D79="")*(OR(COUNTIF(reference!$C$144:$C$155,TRIM(LEFT('hospitalityq-nil'!D79,FIND(":",'hospitalityq-nil'!D79&amp;":")-1))&amp;":*")=0,SUMPRODUCT(--(TRIM('hospitalityq-nil'!C6:C79)=TRIM('hospitalityq-nil'!C79)),--(TRIM('hospitalityq-nil'!D6:D79)=TRIM('hospitalityq-nil'!D79)))&gt;1))</f>
        <v>0</v>
      </c>
    </row>
    <row r="80" spans="1:4" x14ac:dyDescent="0.25">
      <c r="A80">
        <f t="shared" si="1"/>
        <v>0</v>
      </c>
      <c r="C80">
        <f>NOT('hospitalityq-nil'!C80="")*(OR(NOT(IFERROR(AND(INT('hospitalityq-nil'!C80)='hospitalityq-nil'!C80,'hospitalityq-nil'!C80&gt;=2018-50,'hospitalityq-nil'!C80&lt;=2018+50),FALSE)),SUMPRODUCT(--(TRIM('hospitalityq-nil'!C6:C80)=TRIM('hospitalityq-nil'!C80)),--(TRIM('hospitalityq-nil'!D6:D80)=TRIM('hospitalityq-nil'!D80)))&gt;1))</f>
        <v>0</v>
      </c>
      <c r="D80">
        <f>NOT('hospitalityq-nil'!D80="")*(OR(COUNTIF(reference!$C$144:$C$155,TRIM(LEFT('hospitalityq-nil'!D80,FIND(":",'hospitalityq-nil'!D80&amp;":")-1))&amp;":*")=0,SUMPRODUCT(--(TRIM('hospitalityq-nil'!C6:C80)=TRIM('hospitalityq-nil'!C80)),--(TRIM('hospitalityq-nil'!D6:D80)=TRIM('hospitalityq-nil'!D80)))&gt;1))</f>
        <v>0</v>
      </c>
    </row>
    <row r="81" spans="1:4" x14ac:dyDescent="0.25">
      <c r="A81">
        <f t="shared" si="1"/>
        <v>0</v>
      </c>
      <c r="C81">
        <f>NOT('hospitalityq-nil'!C81="")*(OR(NOT(IFERROR(AND(INT('hospitalityq-nil'!C81)='hospitalityq-nil'!C81,'hospitalityq-nil'!C81&gt;=2018-50,'hospitalityq-nil'!C81&lt;=2018+50),FALSE)),SUMPRODUCT(--(TRIM('hospitalityq-nil'!C6:C81)=TRIM('hospitalityq-nil'!C81)),--(TRIM('hospitalityq-nil'!D6:D81)=TRIM('hospitalityq-nil'!D81)))&gt;1))</f>
        <v>0</v>
      </c>
      <c r="D81">
        <f>NOT('hospitalityq-nil'!D81="")*(OR(COUNTIF(reference!$C$144:$C$155,TRIM(LEFT('hospitalityq-nil'!D81,FIND(":",'hospitalityq-nil'!D81&amp;":")-1))&amp;":*")=0,SUMPRODUCT(--(TRIM('hospitalityq-nil'!C6:C81)=TRIM('hospitalityq-nil'!C81)),--(TRIM('hospitalityq-nil'!D6:D81)=TRIM('hospitalityq-nil'!D81)))&gt;1))</f>
        <v>0</v>
      </c>
    </row>
    <row r="82" spans="1:4" x14ac:dyDescent="0.25">
      <c r="A82">
        <f t="shared" si="1"/>
        <v>0</v>
      </c>
      <c r="C82">
        <f>NOT('hospitalityq-nil'!C82="")*(OR(NOT(IFERROR(AND(INT('hospitalityq-nil'!C82)='hospitalityq-nil'!C82,'hospitalityq-nil'!C82&gt;=2018-50,'hospitalityq-nil'!C82&lt;=2018+50),FALSE)),SUMPRODUCT(--(TRIM('hospitalityq-nil'!C6:C82)=TRIM('hospitalityq-nil'!C82)),--(TRIM('hospitalityq-nil'!D6:D82)=TRIM('hospitalityq-nil'!D82)))&gt;1))</f>
        <v>0</v>
      </c>
      <c r="D82">
        <f>NOT('hospitalityq-nil'!D82="")*(OR(COUNTIF(reference!$C$144:$C$155,TRIM(LEFT('hospitalityq-nil'!D82,FIND(":",'hospitalityq-nil'!D82&amp;":")-1))&amp;":*")=0,SUMPRODUCT(--(TRIM('hospitalityq-nil'!C6:C82)=TRIM('hospitalityq-nil'!C82)),--(TRIM('hospitalityq-nil'!D6:D82)=TRIM('hospitalityq-nil'!D82)))&gt;1))</f>
        <v>0</v>
      </c>
    </row>
    <row r="83" spans="1:4" x14ac:dyDescent="0.25">
      <c r="A83">
        <f t="shared" si="1"/>
        <v>0</v>
      </c>
      <c r="C83">
        <f>NOT('hospitalityq-nil'!C83="")*(OR(NOT(IFERROR(AND(INT('hospitalityq-nil'!C83)='hospitalityq-nil'!C83,'hospitalityq-nil'!C83&gt;=2018-50,'hospitalityq-nil'!C83&lt;=2018+50),FALSE)),SUMPRODUCT(--(TRIM('hospitalityq-nil'!C6:C83)=TRIM('hospitalityq-nil'!C83)),--(TRIM('hospitalityq-nil'!D6:D83)=TRIM('hospitalityq-nil'!D83)))&gt;1))</f>
        <v>0</v>
      </c>
      <c r="D83">
        <f>NOT('hospitalityq-nil'!D83="")*(OR(COUNTIF(reference!$C$144:$C$155,TRIM(LEFT('hospitalityq-nil'!D83,FIND(":",'hospitalityq-nil'!D83&amp;":")-1))&amp;":*")=0,SUMPRODUCT(--(TRIM('hospitalityq-nil'!C6:C83)=TRIM('hospitalityq-nil'!C83)),--(TRIM('hospitalityq-nil'!D6:D83)=TRIM('hospitalityq-nil'!D83)))&gt;1))</f>
        <v>0</v>
      </c>
    </row>
    <row r="84" spans="1:4" x14ac:dyDescent="0.25">
      <c r="A84">
        <f t="shared" si="1"/>
        <v>0</v>
      </c>
      <c r="C84">
        <f>NOT('hospitalityq-nil'!C84="")*(OR(NOT(IFERROR(AND(INT('hospitalityq-nil'!C84)='hospitalityq-nil'!C84,'hospitalityq-nil'!C84&gt;=2018-50,'hospitalityq-nil'!C84&lt;=2018+50),FALSE)),SUMPRODUCT(--(TRIM('hospitalityq-nil'!C6:C84)=TRIM('hospitalityq-nil'!C84)),--(TRIM('hospitalityq-nil'!D6:D84)=TRIM('hospitalityq-nil'!D84)))&gt;1))</f>
        <v>0</v>
      </c>
      <c r="D84">
        <f>NOT('hospitalityq-nil'!D84="")*(OR(COUNTIF(reference!$C$144:$C$155,TRIM(LEFT('hospitalityq-nil'!D84,FIND(":",'hospitalityq-nil'!D84&amp;":")-1))&amp;":*")=0,SUMPRODUCT(--(TRIM('hospitalityq-nil'!C6:C84)=TRIM('hospitalityq-nil'!C84)),--(TRIM('hospitalityq-nil'!D6:D84)=TRIM('hospitalityq-nil'!D84)))&gt;1))</f>
        <v>0</v>
      </c>
    </row>
    <row r="85" spans="1:4" x14ac:dyDescent="0.25">
      <c r="A85">
        <f t="shared" si="1"/>
        <v>0</v>
      </c>
      <c r="C85">
        <f>NOT('hospitalityq-nil'!C85="")*(OR(NOT(IFERROR(AND(INT('hospitalityq-nil'!C85)='hospitalityq-nil'!C85,'hospitalityq-nil'!C85&gt;=2018-50,'hospitalityq-nil'!C85&lt;=2018+50),FALSE)),SUMPRODUCT(--(TRIM('hospitalityq-nil'!C6:C85)=TRIM('hospitalityq-nil'!C85)),--(TRIM('hospitalityq-nil'!D6:D85)=TRIM('hospitalityq-nil'!D85)))&gt;1))</f>
        <v>0</v>
      </c>
      <c r="D85">
        <f>NOT('hospitalityq-nil'!D85="")*(OR(COUNTIF(reference!$C$144:$C$155,TRIM(LEFT('hospitalityq-nil'!D85,FIND(":",'hospitalityq-nil'!D85&amp;":")-1))&amp;":*")=0,SUMPRODUCT(--(TRIM('hospitalityq-nil'!C6:C85)=TRIM('hospitalityq-nil'!C85)),--(TRIM('hospitalityq-nil'!D6:D85)=TRIM('hospitalityq-nil'!D85)))&gt;1))</f>
        <v>0</v>
      </c>
    </row>
    <row r="86" spans="1:4" x14ac:dyDescent="0.25">
      <c r="A86">
        <f t="shared" si="1"/>
        <v>0</v>
      </c>
      <c r="C86">
        <f>NOT('hospitalityq-nil'!C86="")*(OR(NOT(IFERROR(AND(INT('hospitalityq-nil'!C86)='hospitalityq-nil'!C86,'hospitalityq-nil'!C86&gt;=2018-50,'hospitalityq-nil'!C86&lt;=2018+50),FALSE)),SUMPRODUCT(--(TRIM('hospitalityq-nil'!C6:C86)=TRIM('hospitalityq-nil'!C86)),--(TRIM('hospitalityq-nil'!D6:D86)=TRIM('hospitalityq-nil'!D86)))&gt;1))</f>
        <v>0</v>
      </c>
      <c r="D86">
        <f>NOT('hospitalityq-nil'!D86="")*(OR(COUNTIF(reference!$C$144:$C$155,TRIM(LEFT('hospitalityq-nil'!D86,FIND(":",'hospitalityq-nil'!D86&amp;":")-1))&amp;":*")=0,SUMPRODUCT(--(TRIM('hospitalityq-nil'!C6:C86)=TRIM('hospitalityq-nil'!C86)),--(TRIM('hospitalityq-nil'!D6:D86)=TRIM('hospitalityq-nil'!D86)))&gt;1))</f>
        <v>0</v>
      </c>
    </row>
    <row r="87" spans="1:4" x14ac:dyDescent="0.25">
      <c r="A87">
        <f t="shared" si="1"/>
        <v>0</v>
      </c>
      <c r="C87">
        <f>NOT('hospitalityq-nil'!C87="")*(OR(NOT(IFERROR(AND(INT('hospitalityq-nil'!C87)='hospitalityq-nil'!C87,'hospitalityq-nil'!C87&gt;=2018-50,'hospitalityq-nil'!C87&lt;=2018+50),FALSE)),SUMPRODUCT(--(TRIM('hospitalityq-nil'!C6:C87)=TRIM('hospitalityq-nil'!C87)),--(TRIM('hospitalityq-nil'!D6:D87)=TRIM('hospitalityq-nil'!D87)))&gt;1))</f>
        <v>0</v>
      </c>
      <c r="D87">
        <f>NOT('hospitalityq-nil'!D87="")*(OR(COUNTIF(reference!$C$144:$C$155,TRIM(LEFT('hospitalityq-nil'!D87,FIND(":",'hospitalityq-nil'!D87&amp;":")-1))&amp;":*")=0,SUMPRODUCT(--(TRIM('hospitalityq-nil'!C6:C87)=TRIM('hospitalityq-nil'!C87)),--(TRIM('hospitalityq-nil'!D6:D87)=TRIM('hospitalityq-nil'!D87)))&gt;1))</f>
        <v>0</v>
      </c>
    </row>
    <row r="88" spans="1:4" x14ac:dyDescent="0.25">
      <c r="A88">
        <f t="shared" si="1"/>
        <v>0</v>
      </c>
      <c r="C88">
        <f>NOT('hospitalityq-nil'!C88="")*(OR(NOT(IFERROR(AND(INT('hospitalityq-nil'!C88)='hospitalityq-nil'!C88,'hospitalityq-nil'!C88&gt;=2018-50,'hospitalityq-nil'!C88&lt;=2018+50),FALSE)),SUMPRODUCT(--(TRIM('hospitalityq-nil'!C6:C88)=TRIM('hospitalityq-nil'!C88)),--(TRIM('hospitalityq-nil'!D6:D88)=TRIM('hospitalityq-nil'!D88)))&gt;1))</f>
        <v>0</v>
      </c>
      <c r="D88">
        <f>NOT('hospitalityq-nil'!D88="")*(OR(COUNTIF(reference!$C$144:$C$155,TRIM(LEFT('hospitalityq-nil'!D88,FIND(":",'hospitalityq-nil'!D88&amp;":")-1))&amp;":*")=0,SUMPRODUCT(--(TRIM('hospitalityq-nil'!C6:C88)=TRIM('hospitalityq-nil'!C88)),--(TRIM('hospitalityq-nil'!D6:D88)=TRIM('hospitalityq-nil'!D88)))&gt;1))</f>
        <v>0</v>
      </c>
    </row>
    <row r="89" spans="1:4" x14ac:dyDescent="0.25">
      <c r="A89">
        <f t="shared" si="1"/>
        <v>0</v>
      </c>
      <c r="C89">
        <f>NOT('hospitalityq-nil'!C89="")*(OR(NOT(IFERROR(AND(INT('hospitalityq-nil'!C89)='hospitalityq-nil'!C89,'hospitalityq-nil'!C89&gt;=2018-50,'hospitalityq-nil'!C89&lt;=2018+50),FALSE)),SUMPRODUCT(--(TRIM('hospitalityq-nil'!C6:C89)=TRIM('hospitalityq-nil'!C89)),--(TRIM('hospitalityq-nil'!D6:D89)=TRIM('hospitalityq-nil'!D89)))&gt;1))</f>
        <v>0</v>
      </c>
      <c r="D89">
        <f>NOT('hospitalityq-nil'!D89="")*(OR(COUNTIF(reference!$C$144:$C$155,TRIM(LEFT('hospitalityq-nil'!D89,FIND(":",'hospitalityq-nil'!D89&amp;":")-1))&amp;":*")=0,SUMPRODUCT(--(TRIM('hospitalityq-nil'!C6:C89)=TRIM('hospitalityq-nil'!C89)),--(TRIM('hospitalityq-nil'!D6:D89)=TRIM('hospitalityq-nil'!D89)))&gt;1))</f>
        <v>0</v>
      </c>
    </row>
    <row r="90" spans="1:4" x14ac:dyDescent="0.25">
      <c r="A90">
        <f t="shared" si="1"/>
        <v>0</v>
      </c>
      <c r="C90">
        <f>NOT('hospitalityq-nil'!C90="")*(OR(NOT(IFERROR(AND(INT('hospitalityq-nil'!C90)='hospitalityq-nil'!C90,'hospitalityq-nil'!C90&gt;=2018-50,'hospitalityq-nil'!C90&lt;=2018+50),FALSE)),SUMPRODUCT(--(TRIM('hospitalityq-nil'!C6:C90)=TRIM('hospitalityq-nil'!C90)),--(TRIM('hospitalityq-nil'!D6:D90)=TRIM('hospitalityq-nil'!D90)))&gt;1))</f>
        <v>0</v>
      </c>
      <c r="D90">
        <f>NOT('hospitalityq-nil'!D90="")*(OR(COUNTIF(reference!$C$144:$C$155,TRIM(LEFT('hospitalityq-nil'!D90,FIND(":",'hospitalityq-nil'!D90&amp;":")-1))&amp;":*")=0,SUMPRODUCT(--(TRIM('hospitalityq-nil'!C6:C90)=TRIM('hospitalityq-nil'!C90)),--(TRIM('hospitalityq-nil'!D6:D90)=TRIM('hospitalityq-nil'!D90)))&gt;1))</f>
        <v>0</v>
      </c>
    </row>
    <row r="91" spans="1:4" x14ac:dyDescent="0.25">
      <c r="A91">
        <f t="shared" si="1"/>
        <v>0</v>
      </c>
      <c r="C91">
        <f>NOT('hospitalityq-nil'!C91="")*(OR(NOT(IFERROR(AND(INT('hospitalityq-nil'!C91)='hospitalityq-nil'!C91,'hospitalityq-nil'!C91&gt;=2018-50,'hospitalityq-nil'!C91&lt;=2018+50),FALSE)),SUMPRODUCT(--(TRIM('hospitalityq-nil'!C6:C91)=TRIM('hospitalityq-nil'!C91)),--(TRIM('hospitalityq-nil'!D6:D91)=TRIM('hospitalityq-nil'!D91)))&gt;1))</f>
        <v>0</v>
      </c>
      <c r="D91">
        <f>NOT('hospitalityq-nil'!D91="")*(OR(COUNTIF(reference!$C$144:$C$155,TRIM(LEFT('hospitalityq-nil'!D91,FIND(":",'hospitalityq-nil'!D91&amp;":")-1))&amp;":*")=0,SUMPRODUCT(--(TRIM('hospitalityq-nil'!C6:C91)=TRIM('hospitalityq-nil'!C91)),--(TRIM('hospitalityq-nil'!D6:D91)=TRIM('hospitalityq-nil'!D91)))&gt;1))</f>
        <v>0</v>
      </c>
    </row>
    <row r="92" spans="1:4" x14ac:dyDescent="0.25">
      <c r="A92">
        <f t="shared" si="1"/>
        <v>0</v>
      </c>
      <c r="C92">
        <f>NOT('hospitalityq-nil'!C92="")*(OR(NOT(IFERROR(AND(INT('hospitalityq-nil'!C92)='hospitalityq-nil'!C92,'hospitalityq-nil'!C92&gt;=2018-50,'hospitalityq-nil'!C92&lt;=2018+50),FALSE)),SUMPRODUCT(--(TRIM('hospitalityq-nil'!C6:C92)=TRIM('hospitalityq-nil'!C92)),--(TRIM('hospitalityq-nil'!D6:D92)=TRIM('hospitalityq-nil'!D92)))&gt;1))</f>
        <v>0</v>
      </c>
      <c r="D92">
        <f>NOT('hospitalityq-nil'!D92="")*(OR(COUNTIF(reference!$C$144:$C$155,TRIM(LEFT('hospitalityq-nil'!D92,FIND(":",'hospitalityq-nil'!D92&amp;":")-1))&amp;":*")=0,SUMPRODUCT(--(TRIM('hospitalityq-nil'!C6:C92)=TRIM('hospitalityq-nil'!C92)),--(TRIM('hospitalityq-nil'!D6:D92)=TRIM('hospitalityq-nil'!D92)))&gt;1))</f>
        <v>0</v>
      </c>
    </row>
    <row r="93" spans="1:4" x14ac:dyDescent="0.25">
      <c r="A93">
        <f t="shared" si="1"/>
        <v>0</v>
      </c>
      <c r="C93">
        <f>NOT('hospitalityq-nil'!C93="")*(OR(NOT(IFERROR(AND(INT('hospitalityq-nil'!C93)='hospitalityq-nil'!C93,'hospitalityq-nil'!C93&gt;=2018-50,'hospitalityq-nil'!C93&lt;=2018+50),FALSE)),SUMPRODUCT(--(TRIM('hospitalityq-nil'!C6:C93)=TRIM('hospitalityq-nil'!C93)),--(TRIM('hospitalityq-nil'!D6:D93)=TRIM('hospitalityq-nil'!D93)))&gt;1))</f>
        <v>0</v>
      </c>
      <c r="D93">
        <f>NOT('hospitalityq-nil'!D93="")*(OR(COUNTIF(reference!$C$144:$C$155,TRIM(LEFT('hospitalityq-nil'!D93,FIND(":",'hospitalityq-nil'!D93&amp;":")-1))&amp;":*")=0,SUMPRODUCT(--(TRIM('hospitalityq-nil'!C6:C93)=TRIM('hospitalityq-nil'!C93)),--(TRIM('hospitalityq-nil'!D6:D93)=TRIM('hospitalityq-nil'!D93)))&gt;1))</f>
        <v>0</v>
      </c>
    </row>
    <row r="94" spans="1:4" x14ac:dyDescent="0.25">
      <c r="A94">
        <f t="shared" si="1"/>
        <v>0</v>
      </c>
      <c r="C94">
        <f>NOT('hospitalityq-nil'!C94="")*(OR(NOT(IFERROR(AND(INT('hospitalityq-nil'!C94)='hospitalityq-nil'!C94,'hospitalityq-nil'!C94&gt;=2018-50,'hospitalityq-nil'!C94&lt;=2018+50),FALSE)),SUMPRODUCT(--(TRIM('hospitalityq-nil'!C6:C94)=TRIM('hospitalityq-nil'!C94)),--(TRIM('hospitalityq-nil'!D6:D94)=TRIM('hospitalityq-nil'!D94)))&gt;1))</f>
        <v>0</v>
      </c>
      <c r="D94">
        <f>NOT('hospitalityq-nil'!D94="")*(OR(COUNTIF(reference!$C$144:$C$155,TRIM(LEFT('hospitalityq-nil'!D94,FIND(":",'hospitalityq-nil'!D94&amp;":")-1))&amp;":*")=0,SUMPRODUCT(--(TRIM('hospitalityq-nil'!C6:C94)=TRIM('hospitalityq-nil'!C94)),--(TRIM('hospitalityq-nil'!D6:D94)=TRIM('hospitalityq-nil'!D94)))&gt;1))</f>
        <v>0</v>
      </c>
    </row>
    <row r="95" spans="1:4" x14ac:dyDescent="0.25">
      <c r="A95">
        <f t="shared" si="1"/>
        <v>0</v>
      </c>
      <c r="C95">
        <f>NOT('hospitalityq-nil'!C95="")*(OR(NOT(IFERROR(AND(INT('hospitalityq-nil'!C95)='hospitalityq-nil'!C95,'hospitalityq-nil'!C95&gt;=2018-50,'hospitalityq-nil'!C95&lt;=2018+50),FALSE)),SUMPRODUCT(--(TRIM('hospitalityq-nil'!C6:C95)=TRIM('hospitalityq-nil'!C95)),--(TRIM('hospitalityq-nil'!D6:D95)=TRIM('hospitalityq-nil'!D95)))&gt;1))</f>
        <v>0</v>
      </c>
      <c r="D95">
        <f>NOT('hospitalityq-nil'!D95="")*(OR(COUNTIF(reference!$C$144:$C$155,TRIM(LEFT('hospitalityq-nil'!D95,FIND(":",'hospitalityq-nil'!D95&amp;":")-1))&amp;":*")=0,SUMPRODUCT(--(TRIM('hospitalityq-nil'!C6:C95)=TRIM('hospitalityq-nil'!C95)),--(TRIM('hospitalityq-nil'!D6:D95)=TRIM('hospitalityq-nil'!D95)))&gt;1))</f>
        <v>0</v>
      </c>
    </row>
    <row r="96" spans="1:4" x14ac:dyDescent="0.25">
      <c r="A96">
        <f t="shared" si="1"/>
        <v>0</v>
      </c>
      <c r="C96">
        <f>NOT('hospitalityq-nil'!C96="")*(OR(NOT(IFERROR(AND(INT('hospitalityq-nil'!C96)='hospitalityq-nil'!C96,'hospitalityq-nil'!C96&gt;=2018-50,'hospitalityq-nil'!C96&lt;=2018+50),FALSE)),SUMPRODUCT(--(TRIM('hospitalityq-nil'!C6:C96)=TRIM('hospitalityq-nil'!C96)),--(TRIM('hospitalityq-nil'!D6:D96)=TRIM('hospitalityq-nil'!D96)))&gt;1))</f>
        <v>0</v>
      </c>
      <c r="D96">
        <f>NOT('hospitalityq-nil'!D96="")*(OR(COUNTIF(reference!$C$144:$C$155,TRIM(LEFT('hospitalityq-nil'!D96,FIND(":",'hospitalityq-nil'!D96&amp;":")-1))&amp;":*")=0,SUMPRODUCT(--(TRIM('hospitalityq-nil'!C6:C96)=TRIM('hospitalityq-nil'!C96)),--(TRIM('hospitalityq-nil'!D6:D96)=TRIM('hospitalityq-nil'!D96)))&gt;1))</f>
        <v>0</v>
      </c>
    </row>
    <row r="97" spans="1:4" x14ac:dyDescent="0.25">
      <c r="A97">
        <f t="shared" si="1"/>
        <v>0</v>
      </c>
      <c r="C97">
        <f>NOT('hospitalityq-nil'!C97="")*(OR(NOT(IFERROR(AND(INT('hospitalityq-nil'!C97)='hospitalityq-nil'!C97,'hospitalityq-nil'!C97&gt;=2018-50,'hospitalityq-nil'!C97&lt;=2018+50),FALSE)),SUMPRODUCT(--(TRIM('hospitalityq-nil'!C6:C97)=TRIM('hospitalityq-nil'!C97)),--(TRIM('hospitalityq-nil'!D6:D97)=TRIM('hospitalityq-nil'!D97)))&gt;1))</f>
        <v>0</v>
      </c>
      <c r="D97">
        <f>NOT('hospitalityq-nil'!D97="")*(OR(COUNTIF(reference!$C$144:$C$155,TRIM(LEFT('hospitalityq-nil'!D97,FIND(":",'hospitalityq-nil'!D97&amp;":")-1))&amp;":*")=0,SUMPRODUCT(--(TRIM('hospitalityq-nil'!C6:C97)=TRIM('hospitalityq-nil'!C97)),--(TRIM('hospitalityq-nil'!D6:D97)=TRIM('hospitalityq-nil'!D97)))&gt;1))</f>
        <v>0</v>
      </c>
    </row>
    <row r="98" spans="1:4" x14ac:dyDescent="0.25">
      <c r="A98">
        <f t="shared" si="1"/>
        <v>0</v>
      </c>
      <c r="C98">
        <f>NOT('hospitalityq-nil'!C98="")*(OR(NOT(IFERROR(AND(INT('hospitalityq-nil'!C98)='hospitalityq-nil'!C98,'hospitalityq-nil'!C98&gt;=2018-50,'hospitalityq-nil'!C98&lt;=2018+50),FALSE)),SUMPRODUCT(--(TRIM('hospitalityq-nil'!C6:C98)=TRIM('hospitalityq-nil'!C98)),--(TRIM('hospitalityq-nil'!D6:D98)=TRIM('hospitalityq-nil'!D98)))&gt;1))</f>
        <v>0</v>
      </c>
      <c r="D98">
        <f>NOT('hospitalityq-nil'!D98="")*(OR(COUNTIF(reference!$C$144:$C$155,TRIM(LEFT('hospitalityq-nil'!D98,FIND(":",'hospitalityq-nil'!D98&amp;":")-1))&amp;":*")=0,SUMPRODUCT(--(TRIM('hospitalityq-nil'!C6:C98)=TRIM('hospitalityq-nil'!C98)),--(TRIM('hospitalityq-nil'!D6:D98)=TRIM('hospitalityq-nil'!D98)))&gt;1))</f>
        <v>0</v>
      </c>
    </row>
    <row r="99" spans="1:4" x14ac:dyDescent="0.25">
      <c r="A99">
        <f t="shared" si="1"/>
        <v>0</v>
      </c>
      <c r="C99">
        <f>NOT('hospitalityq-nil'!C99="")*(OR(NOT(IFERROR(AND(INT('hospitalityq-nil'!C99)='hospitalityq-nil'!C99,'hospitalityq-nil'!C99&gt;=2018-50,'hospitalityq-nil'!C99&lt;=2018+50),FALSE)),SUMPRODUCT(--(TRIM('hospitalityq-nil'!C6:C99)=TRIM('hospitalityq-nil'!C99)),--(TRIM('hospitalityq-nil'!D6:D99)=TRIM('hospitalityq-nil'!D99)))&gt;1))</f>
        <v>0</v>
      </c>
      <c r="D99">
        <f>NOT('hospitalityq-nil'!D99="")*(OR(COUNTIF(reference!$C$144:$C$155,TRIM(LEFT('hospitalityq-nil'!D99,FIND(":",'hospitalityq-nil'!D99&amp;":")-1))&amp;":*")=0,SUMPRODUCT(--(TRIM('hospitalityq-nil'!C6:C99)=TRIM('hospitalityq-nil'!C99)),--(TRIM('hospitalityq-nil'!D6:D99)=TRIM('hospitalityq-nil'!D99)))&gt;1))</f>
        <v>0</v>
      </c>
    </row>
    <row r="100" spans="1:4" x14ac:dyDescent="0.25">
      <c r="A100">
        <f t="shared" si="1"/>
        <v>0</v>
      </c>
      <c r="C100">
        <f>NOT('hospitalityq-nil'!C100="")*(OR(NOT(IFERROR(AND(INT('hospitalityq-nil'!C100)='hospitalityq-nil'!C100,'hospitalityq-nil'!C100&gt;=2018-50,'hospitalityq-nil'!C100&lt;=2018+50),FALSE)),SUMPRODUCT(--(TRIM('hospitalityq-nil'!C6:C100)=TRIM('hospitalityq-nil'!C100)),--(TRIM('hospitalityq-nil'!D6:D100)=TRIM('hospitalityq-nil'!D100)))&gt;1))</f>
        <v>0</v>
      </c>
      <c r="D100">
        <f>NOT('hospitalityq-nil'!D100="")*(OR(COUNTIF(reference!$C$144:$C$155,TRIM(LEFT('hospitalityq-nil'!D100,FIND(":",'hospitalityq-nil'!D100&amp;":")-1))&amp;":*")=0,SUMPRODUCT(--(TRIM('hospitalityq-nil'!C6:C100)=TRIM('hospitalityq-nil'!C100)),--(TRIM('hospitalityq-nil'!D6:D100)=TRIM('hospitalityq-nil'!D100)))&gt;1))</f>
        <v>0</v>
      </c>
    </row>
    <row r="101" spans="1:4" x14ac:dyDescent="0.25">
      <c r="A101">
        <f t="shared" si="1"/>
        <v>0</v>
      </c>
      <c r="C101">
        <f>NOT('hospitalityq-nil'!C101="")*(OR(NOT(IFERROR(AND(INT('hospitalityq-nil'!C101)='hospitalityq-nil'!C101,'hospitalityq-nil'!C101&gt;=2018-50,'hospitalityq-nil'!C101&lt;=2018+50),FALSE)),SUMPRODUCT(--(TRIM('hospitalityq-nil'!C6:C101)=TRIM('hospitalityq-nil'!C101)),--(TRIM('hospitalityq-nil'!D6:D101)=TRIM('hospitalityq-nil'!D101)))&gt;1))</f>
        <v>0</v>
      </c>
      <c r="D101">
        <f>NOT('hospitalityq-nil'!D101="")*(OR(COUNTIF(reference!$C$144:$C$155,TRIM(LEFT('hospitalityq-nil'!D101,FIND(":",'hospitalityq-nil'!D101&amp;":")-1))&amp;":*")=0,SUMPRODUCT(--(TRIM('hospitalityq-nil'!C6:C101)=TRIM('hospitalityq-nil'!C101)),--(TRIM('hospitalityq-nil'!D6:D101)=TRIM('hospitalityq-nil'!D101)))&gt;1))</f>
        <v>0</v>
      </c>
    </row>
    <row r="102" spans="1:4" x14ac:dyDescent="0.25">
      <c r="A102">
        <f t="shared" si="1"/>
        <v>0</v>
      </c>
      <c r="C102">
        <f>NOT('hospitalityq-nil'!C102="")*(OR(NOT(IFERROR(AND(INT('hospitalityq-nil'!C102)='hospitalityq-nil'!C102,'hospitalityq-nil'!C102&gt;=2018-50,'hospitalityq-nil'!C102&lt;=2018+50),FALSE)),SUMPRODUCT(--(TRIM('hospitalityq-nil'!C6:C102)=TRIM('hospitalityq-nil'!C102)),--(TRIM('hospitalityq-nil'!D6:D102)=TRIM('hospitalityq-nil'!D102)))&gt;1))</f>
        <v>0</v>
      </c>
      <c r="D102">
        <f>NOT('hospitalityq-nil'!D102="")*(OR(COUNTIF(reference!$C$144:$C$155,TRIM(LEFT('hospitalityq-nil'!D102,FIND(":",'hospitalityq-nil'!D102&amp;":")-1))&amp;":*")=0,SUMPRODUCT(--(TRIM('hospitalityq-nil'!C6:C102)=TRIM('hospitalityq-nil'!C102)),--(TRIM('hospitalityq-nil'!D6:D102)=TRIM('hospitalityq-nil'!D102)))&gt;1))</f>
        <v>0</v>
      </c>
    </row>
    <row r="103" spans="1:4" x14ac:dyDescent="0.25">
      <c r="A103">
        <f t="shared" si="1"/>
        <v>0</v>
      </c>
      <c r="C103">
        <f>NOT('hospitalityq-nil'!C103="")*(OR(NOT(IFERROR(AND(INT('hospitalityq-nil'!C103)='hospitalityq-nil'!C103,'hospitalityq-nil'!C103&gt;=2018-50,'hospitalityq-nil'!C103&lt;=2018+50),FALSE)),SUMPRODUCT(--(TRIM('hospitalityq-nil'!C6:C103)=TRIM('hospitalityq-nil'!C103)),--(TRIM('hospitalityq-nil'!D6:D103)=TRIM('hospitalityq-nil'!D103)))&gt;1))</f>
        <v>0</v>
      </c>
      <c r="D103">
        <f>NOT('hospitalityq-nil'!D103="")*(OR(COUNTIF(reference!$C$144:$C$155,TRIM(LEFT('hospitalityq-nil'!D103,FIND(":",'hospitalityq-nil'!D103&amp;":")-1))&amp;":*")=0,SUMPRODUCT(--(TRIM('hospitalityq-nil'!C6:C103)=TRIM('hospitalityq-nil'!C103)),--(TRIM('hospitalityq-nil'!D6:D103)=TRIM('hospitalityq-nil'!D103)))&gt;1))</f>
        <v>0</v>
      </c>
    </row>
    <row r="104" spans="1:4" x14ac:dyDescent="0.25">
      <c r="A104">
        <f t="shared" si="1"/>
        <v>0</v>
      </c>
      <c r="C104">
        <f>NOT('hospitalityq-nil'!C104="")*(OR(NOT(IFERROR(AND(INT('hospitalityq-nil'!C104)='hospitalityq-nil'!C104,'hospitalityq-nil'!C104&gt;=2018-50,'hospitalityq-nil'!C104&lt;=2018+50),FALSE)),SUMPRODUCT(--(TRIM('hospitalityq-nil'!C6:C104)=TRIM('hospitalityq-nil'!C104)),--(TRIM('hospitalityq-nil'!D6:D104)=TRIM('hospitalityq-nil'!D104)))&gt;1))</f>
        <v>0</v>
      </c>
      <c r="D104">
        <f>NOT('hospitalityq-nil'!D104="")*(OR(COUNTIF(reference!$C$144:$C$155,TRIM(LEFT('hospitalityq-nil'!D104,FIND(":",'hospitalityq-nil'!D104&amp;":")-1))&amp;":*")=0,SUMPRODUCT(--(TRIM('hospitalityq-nil'!C6:C104)=TRIM('hospitalityq-nil'!C104)),--(TRIM('hospitalityq-nil'!D6:D104)=TRIM('hospitalityq-nil'!D104)))&gt;1))</f>
        <v>0</v>
      </c>
    </row>
    <row r="105" spans="1:4" x14ac:dyDescent="0.25">
      <c r="A105">
        <f t="shared" si="1"/>
        <v>0</v>
      </c>
      <c r="C105">
        <f>NOT('hospitalityq-nil'!C105="")*(OR(NOT(IFERROR(AND(INT('hospitalityq-nil'!C105)='hospitalityq-nil'!C105,'hospitalityq-nil'!C105&gt;=2018-50,'hospitalityq-nil'!C105&lt;=2018+50),FALSE)),SUMPRODUCT(--(TRIM('hospitalityq-nil'!C6:C105)=TRIM('hospitalityq-nil'!C105)),--(TRIM('hospitalityq-nil'!D6:D105)=TRIM('hospitalityq-nil'!D105)))&gt;1))</f>
        <v>0</v>
      </c>
      <c r="D105">
        <f>NOT('hospitalityq-nil'!D105="")*(OR(COUNTIF(reference!$C$144:$C$155,TRIM(LEFT('hospitalityq-nil'!D105,FIND(":",'hospitalityq-nil'!D105&amp;":")-1))&amp;":*")=0,SUMPRODUCT(--(TRIM('hospitalityq-nil'!C6:C105)=TRIM('hospitalityq-nil'!C105)),--(TRIM('hospitalityq-nil'!D6:D105)=TRIM('hospitalityq-nil'!D105)))&gt;1))</f>
        <v>0</v>
      </c>
    </row>
    <row r="106" spans="1:4" x14ac:dyDescent="0.25">
      <c r="A106">
        <f t="shared" si="1"/>
        <v>0</v>
      </c>
      <c r="C106">
        <f>NOT('hospitalityq-nil'!C106="")*(OR(NOT(IFERROR(AND(INT('hospitalityq-nil'!C106)='hospitalityq-nil'!C106,'hospitalityq-nil'!C106&gt;=2018-50,'hospitalityq-nil'!C106&lt;=2018+50),FALSE)),SUMPRODUCT(--(TRIM('hospitalityq-nil'!C6:C106)=TRIM('hospitalityq-nil'!C106)),--(TRIM('hospitalityq-nil'!D6:D106)=TRIM('hospitalityq-nil'!D106)))&gt;1))</f>
        <v>0</v>
      </c>
      <c r="D106">
        <f>NOT('hospitalityq-nil'!D106="")*(OR(COUNTIF(reference!$C$144:$C$155,TRIM(LEFT('hospitalityq-nil'!D106,FIND(":",'hospitalityq-nil'!D106&amp;":")-1))&amp;":*")=0,SUMPRODUCT(--(TRIM('hospitalityq-nil'!C6:C106)=TRIM('hospitalityq-nil'!C106)),--(TRIM('hospitalityq-nil'!D6:D106)=TRIM('hospitalityq-nil'!D106)))&gt;1))</f>
        <v>0</v>
      </c>
    </row>
    <row r="107" spans="1:4" x14ac:dyDescent="0.25">
      <c r="A107">
        <f t="shared" si="1"/>
        <v>0</v>
      </c>
      <c r="C107">
        <f>NOT('hospitalityq-nil'!C107="")*(OR(NOT(IFERROR(AND(INT('hospitalityq-nil'!C107)='hospitalityq-nil'!C107,'hospitalityq-nil'!C107&gt;=2018-50,'hospitalityq-nil'!C107&lt;=2018+50),FALSE)),SUMPRODUCT(--(TRIM('hospitalityq-nil'!C6:C107)=TRIM('hospitalityq-nil'!C107)),--(TRIM('hospitalityq-nil'!D6:D107)=TRIM('hospitalityq-nil'!D107)))&gt;1))</f>
        <v>0</v>
      </c>
      <c r="D107">
        <f>NOT('hospitalityq-nil'!D107="")*(OR(COUNTIF(reference!$C$144:$C$155,TRIM(LEFT('hospitalityq-nil'!D107,FIND(":",'hospitalityq-nil'!D107&amp;":")-1))&amp;":*")=0,SUMPRODUCT(--(TRIM('hospitalityq-nil'!C6:C107)=TRIM('hospitalityq-nil'!C107)),--(TRIM('hospitalityq-nil'!D6:D107)=TRIM('hospitalityq-nil'!D107)))&gt;1))</f>
        <v>0</v>
      </c>
    </row>
    <row r="108" spans="1:4" x14ac:dyDescent="0.25">
      <c r="A108">
        <f t="shared" si="1"/>
        <v>0</v>
      </c>
      <c r="C108">
        <f>NOT('hospitalityq-nil'!C108="")*(OR(NOT(IFERROR(AND(INT('hospitalityq-nil'!C108)='hospitalityq-nil'!C108,'hospitalityq-nil'!C108&gt;=2018-50,'hospitalityq-nil'!C108&lt;=2018+50),FALSE)),SUMPRODUCT(--(TRIM('hospitalityq-nil'!C6:C108)=TRIM('hospitalityq-nil'!C108)),--(TRIM('hospitalityq-nil'!D6:D108)=TRIM('hospitalityq-nil'!D108)))&gt;1))</f>
        <v>0</v>
      </c>
      <c r="D108">
        <f>NOT('hospitalityq-nil'!D108="")*(OR(COUNTIF(reference!$C$144:$C$155,TRIM(LEFT('hospitalityq-nil'!D108,FIND(":",'hospitalityq-nil'!D108&amp;":")-1))&amp;":*")=0,SUMPRODUCT(--(TRIM('hospitalityq-nil'!C6:C108)=TRIM('hospitalityq-nil'!C108)),--(TRIM('hospitalityq-nil'!D6:D108)=TRIM('hospitalityq-nil'!D108)))&gt;1))</f>
        <v>0</v>
      </c>
    </row>
    <row r="109" spans="1:4" x14ac:dyDescent="0.25">
      <c r="A109">
        <f t="shared" si="1"/>
        <v>0</v>
      </c>
      <c r="C109">
        <f>NOT('hospitalityq-nil'!C109="")*(OR(NOT(IFERROR(AND(INT('hospitalityq-nil'!C109)='hospitalityq-nil'!C109,'hospitalityq-nil'!C109&gt;=2018-50,'hospitalityq-nil'!C109&lt;=2018+50),FALSE)),SUMPRODUCT(--(TRIM('hospitalityq-nil'!C6:C109)=TRIM('hospitalityq-nil'!C109)),--(TRIM('hospitalityq-nil'!D6:D109)=TRIM('hospitalityq-nil'!D109)))&gt;1))</f>
        <v>0</v>
      </c>
      <c r="D109">
        <f>NOT('hospitalityq-nil'!D109="")*(OR(COUNTIF(reference!$C$144:$C$155,TRIM(LEFT('hospitalityq-nil'!D109,FIND(":",'hospitalityq-nil'!D109&amp;":")-1))&amp;":*")=0,SUMPRODUCT(--(TRIM('hospitalityq-nil'!C6:C109)=TRIM('hospitalityq-nil'!C109)),--(TRIM('hospitalityq-nil'!D6:D109)=TRIM('hospitalityq-nil'!D109)))&gt;1))</f>
        <v>0</v>
      </c>
    </row>
    <row r="110" spans="1:4" x14ac:dyDescent="0.25">
      <c r="A110">
        <f t="shared" si="1"/>
        <v>0</v>
      </c>
      <c r="C110">
        <f>NOT('hospitalityq-nil'!C110="")*(OR(NOT(IFERROR(AND(INT('hospitalityq-nil'!C110)='hospitalityq-nil'!C110,'hospitalityq-nil'!C110&gt;=2018-50,'hospitalityq-nil'!C110&lt;=2018+50),FALSE)),SUMPRODUCT(--(TRIM('hospitalityq-nil'!C6:C110)=TRIM('hospitalityq-nil'!C110)),--(TRIM('hospitalityq-nil'!D6:D110)=TRIM('hospitalityq-nil'!D110)))&gt;1))</f>
        <v>0</v>
      </c>
      <c r="D110">
        <f>NOT('hospitalityq-nil'!D110="")*(OR(COUNTIF(reference!$C$144:$C$155,TRIM(LEFT('hospitalityq-nil'!D110,FIND(":",'hospitalityq-nil'!D110&amp;":")-1))&amp;":*")=0,SUMPRODUCT(--(TRIM('hospitalityq-nil'!C6:C110)=TRIM('hospitalityq-nil'!C110)),--(TRIM('hospitalityq-nil'!D6:D110)=TRIM('hospitalityq-nil'!D110)))&gt;1))</f>
        <v>0</v>
      </c>
    </row>
    <row r="111" spans="1:4" x14ac:dyDescent="0.25">
      <c r="A111">
        <f t="shared" si="1"/>
        <v>0</v>
      </c>
      <c r="C111">
        <f>NOT('hospitalityq-nil'!C111="")*(OR(NOT(IFERROR(AND(INT('hospitalityq-nil'!C111)='hospitalityq-nil'!C111,'hospitalityq-nil'!C111&gt;=2018-50,'hospitalityq-nil'!C111&lt;=2018+50),FALSE)),SUMPRODUCT(--(TRIM('hospitalityq-nil'!C6:C111)=TRIM('hospitalityq-nil'!C111)),--(TRIM('hospitalityq-nil'!D6:D111)=TRIM('hospitalityq-nil'!D111)))&gt;1))</f>
        <v>0</v>
      </c>
      <c r="D111">
        <f>NOT('hospitalityq-nil'!D111="")*(OR(COUNTIF(reference!$C$144:$C$155,TRIM(LEFT('hospitalityq-nil'!D111,FIND(":",'hospitalityq-nil'!D111&amp;":")-1))&amp;":*")=0,SUMPRODUCT(--(TRIM('hospitalityq-nil'!C6:C111)=TRIM('hospitalityq-nil'!C111)),--(TRIM('hospitalityq-nil'!D6:D111)=TRIM('hospitalityq-nil'!D111)))&gt;1))</f>
        <v>0</v>
      </c>
    </row>
    <row r="112" spans="1:4" x14ac:dyDescent="0.25">
      <c r="A112">
        <f t="shared" si="1"/>
        <v>0</v>
      </c>
      <c r="C112">
        <f>NOT('hospitalityq-nil'!C112="")*(OR(NOT(IFERROR(AND(INT('hospitalityq-nil'!C112)='hospitalityq-nil'!C112,'hospitalityq-nil'!C112&gt;=2018-50,'hospitalityq-nil'!C112&lt;=2018+50),FALSE)),SUMPRODUCT(--(TRIM('hospitalityq-nil'!C6:C112)=TRIM('hospitalityq-nil'!C112)),--(TRIM('hospitalityq-nil'!D6:D112)=TRIM('hospitalityq-nil'!D112)))&gt;1))</f>
        <v>0</v>
      </c>
      <c r="D112">
        <f>NOT('hospitalityq-nil'!D112="")*(OR(COUNTIF(reference!$C$144:$C$155,TRIM(LEFT('hospitalityq-nil'!D112,FIND(":",'hospitalityq-nil'!D112&amp;":")-1))&amp;":*")=0,SUMPRODUCT(--(TRIM('hospitalityq-nil'!C6:C112)=TRIM('hospitalityq-nil'!C112)),--(TRIM('hospitalityq-nil'!D6:D112)=TRIM('hospitalityq-nil'!D112)))&gt;1))</f>
        <v>0</v>
      </c>
    </row>
    <row r="113" spans="1:4" x14ac:dyDescent="0.25">
      <c r="A113">
        <f t="shared" si="1"/>
        <v>0</v>
      </c>
      <c r="C113">
        <f>NOT('hospitalityq-nil'!C113="")*(OR(NOT(IFERROR(AND(INT('hospitalityq-nil'!C113)='hospitalityq-nil'!C113,'hospitalityq-nil'!C113&gt;=2018-50,'hospitalityq-nil'!C113&lt;=2018+50),FALSE)),SUMPRODUCT(--(TRIM('hospitalityq-nil'!C6:C113)=TRIM('hospitalityq-nil'!C113)),--(TRIM('hospitalityq-nil'!D6:D113)=TRIM('hospitalityq-nil'!D113)))&gt;1))</f>
        <v>0</v>
      </c>
      <c r="D113">
        <f>NOT('hospitalityq-nil'!D113="")*(OR(COUNTIF(reference!$C$144:$C$155,TRIM(LEFT('hospitalityq-nil'!D113,FIND(":",'hospitalityq-nil'!D113&amp;":")-1))&amp;":*")=0,SUMPRODUCT(--(TRIM('hospitalityq-nil'!C6:C113)=TRIM('hospitalityq-nil'!C113)),--(TRIM('hospitalityq-nil'!D6:D113)=TRIM('hospitalityq-nil'!D113)))&gt;1))</f>
        <v>0</v>
      </c>
    </row>
    <row r="114" spans="1:4" x14ac:dyDescent="0.25">
      <c r="A114">
        <f t="shared" si="1"/>
        <v>0</v>
      </c>
      <c r="C114">
        <f>NOT('hospitalityq-nil'!C114="")*(OR(NOT(IFERROR(AND(INT('hospitalityq-nil'!C114)='hospitalityq-nil'!C114,'hospitalityq-nil'!C114&gt;=2018-50,'hospitalityq-nil'!C114&lt;=2018+50),FALSE)),SUMPRODUCT(--(TRIM('hospitalityq-nil'!C6:C114)=TRIM('hospitalityq-nil'!C114)),--(TRIM('hospitalityq-nil'!D6:D114)=TRIM('hospitalityq-nil'!D114)))&gt;1))</f>
        <v>0</v>
      </c>
      <c r="D114">
        <f>NOT('hospitalityq-nil'!D114="")*(OR(COUNTIF(reference!$C$144:$C$155,TRIM(LEFT('hospitalityq-nil'!D114,FIND(":",'hospitalityq-nil'!D114&amp;":")-1))&amp;":*")=0,SUMPRODUCT(--(TRIM('hospitalityq-nil'!C6:C114)=TRIM('hospitalityq-nil'!C114)),--(TRIM('hospitalityq-nil'!D6:D114)=TRIM('hospitalityq-nil'!D114)))&gt;1))</f>
        <v>0</v>
      </c>
    </row>
    <row r="115" spans="1:4" x14ac:dyDescent="0.25">
      <c r="A115">
        <f t="shared" si="1"/>
        <v>0</v>
      </c>
      <c r="C115">
        <f>NOT('hospitalityq-nil'!C115="")*(OR(NOT(IFERROR(AND(INT('hospitalityq-nil'!C115)='hospitalityq-nil'!C115,'hospitalityq-nil'!C115&gt;=2018-50,'hospitalityq-nil'!C115&lt;=2018+50),FALSE)),SUMPRODUCT(--(TRIM('hospitalityq-nil'!C6:C115)=TRIM('hospitalityq-nil'!C115)),--(TRIM('hospitalityq-nil'!D6:D115)=TRIM('hospitalityq-nil'!D115)))&gt;1))</f>
        <v>0</v>
      </c>
      <c r="D115">
        <f>NOT('hospitalityq-nil'!D115="")*(OR(COUNTIF(reference!$C$144:$C$155,TRIM(LEFT('hospitalityq-nil'!D115,FIND(":",'hospitalityq-nil'!D115&amp;":")-1))&amp;":*")=0,SUMPRODUCT(--(TRIM('hospitalityq-nil'!C6:C115)=TRIM('hospitalityq-nil'!C115)),--(TRIM('hospitalityq-nil'!D6:D115)=TRIM('hospitalityq-nil'!D115)))&gt;1))</f>
        <v>0</v>
      </c>
    </row>
    <row r="116" spans="1:4" x14ac:dyDescent="0.25">
      <c r="A116">
        <f t="shared" si="1"/>
        <v>0</v>
      </c>
      <c r="C116">
        <f>NOT('hospitalityq-nil'!C116="")*(OR(NOT(IFERROR(AND(INT('hospitalityq-nil'!C116)='hospitalityq-nil'!C116,'hospitalityq-nil'!C116&gt;=2018-50,'hospitalityq-nil'!C116&lt;=2018+50),FALSE)),SUMPRODUCT(--(TRIM('hospitalityq-nil'!C6:C116)=TRIM('hospitalityq-nil'!C116)),--(TRIM('hospitalityq-nil'!D6:D116)=TRIM('hospitalityq-nil'!D116)))&gt;1))</f>
        <v>0</v>
      </c>
      <c r="D116">
        <f>NOT('hospitalityq-nil'!D116="")*(OR(COUNTIF(reference!$C$144:$C$155,TRIM(LEFT('hospitalityq-nil'!D116,FIND(":",'hospitalityq-nil'!D116&amp;":")-1))&amp;":*")=0,SUMPRODUCT(--(TRIM('hospitalityq-nil'!C6:C116)=TRIM('hospitalityq-nil'!C116)),--(TRIM('hospitalityq-nil'!D6:D116)=TRIM('hospitalityq-nil'!D116)))&gt;1))</f>
        <v>0</v>
      </c>
    </row>
    <row r="117" spans="1:4" x14ac:dyDescent="0.25">
      <c r="A117">
        <f t="shared" si="1"/>
        <v>0</v>
      </c>
      <c r="C117">
        <f>NOT('hospitalityq-nil'!C117="")*(OR(NOT(IFERROR(AND(INT('hospitalityq-nil'!C117)='hospitalityq-nil'!C117,'hospitalityq-nil'!C117&gt;=2018-50,'hospitalityq-nil'!C117&lt;=2018+50),FALSE)),SUMPRODUCT(--(TRIM('hospitalityq-nil'!C6:C117)=TRIM('hospitalityq-nil'!C117)),--(TRIM('hospitalityq-nil'!D6:D117)=TRIM('hospitalityq-nil'!D117)))&gt;1))</f>
        <v>0</v>
      </c>
      <c r="D117">
        <f>NOT('hospitalityq-nil'!D117="")*(OR(COUNTIF(reference!$C$144:$C$155,TRIM(LEFT('hospitalityq-nil'!D117,FIND(":",'hospitalityq-nil'!D117&amp;":")-1))&amp;":*")=0,SUMPRODUCT(--(TRIM('hospitalityq-nil'!C6:C117)=TRIM('hospitalityq-nil'!C117)),--(TRIM('hospitalityq-nil'!D6:D117)=TRIM('hospitalityq-nil'!D117)))&gt;1))</f>
        <v>0</v>
      </c>
    </row>
    <row r="118" spans="1:4" x14ac:dyDescent="0.25">
      <c r="A118">
        <f t="shared" si="1"/>
        <v>0</v>
      </c>
      <c r="C118">
        <f>NOT('hospitalityq-nil'!C118="")*(OR(NOT(IFERROR(AND(INT('hospitalityq-nil'!C118)='hospitalityq-nil'!C118,'hospitalityq-nil'!C118&gt;=2018-50,'hospitalityq-nil'!C118&lt;=2018+50),FALSE)),SUMPRODUCT(--(TRIM('hospitalityq-nil'!C6:C118)=TRIM('hospitalityq-nil'!C118)),--(TRIM('hospitalityq-nil'!D6:D118)=TRIM('hospitalityq-nil'!D118)))&gt;1))</f>
        <v>0</v>
      </c>
      <c r="D118">
        <f>NOT('hospitalityq-nil'!D118="")*(OR(COUNTIF(reference!$C$144:$C$155,TRIM(LEFT('hospitalityq-nil'!D118,FIND(":",'hospitalityq-nil'!D118&amp;":")-1))&amp;":*")=0,SUMPRODUCT(--(TRIM('hospitalityq-nil'!C6:C118)=TRIM('hospitalityq-nil'!C118)),--(TRIM('hospitalityq-nil'!D6:D118)=TRIM('hospitalityq-nil'!D118)))&gt;1))</f>
        <v>0</v>
      </c>
    </row>
    <row r="119" spans="1:4" x14ac:dyDescent="0.25">
      <c r="A119">
        <f t="shared" si="1"/>
        <v>0</v>
      </c>
      <c r="C119">
        <f>NOT('hospitalityq-nil'!C119="")*(OR(NOT(IFERROR(AND(INT('hospitalityq-nil'!C119)='hospitalityq-nil'!C119,'hospitalityq-nil'!C119&gt;=2018-50,'hospitalityq-nil'!C119&lt;=2018+50),FALSE)),SUMPRODUCT(--(TRIM('hospitalityq-nil'!C6:C119)=TRIM('hospitalityq-nil'!C119)),--(TRIM('hospitalityq-nil'!D6:D119)=TRIM('hospitalityq-nil'!D119)))&gt;1))</f>
        <v>0</v>
      </c>
      <c r="D119">
        <f>NOT('hospitalityq-nil'!D119="")*(OR(COUNTIF(reference!$C$144:$C$155,TRIM(LEFT('hospitalityq-nil'!D119,FIND(":",'hospitalityq-nil'!D119&amp;":")-1))&amp;":*")=0,SUMPRODUCT(--(TRIM('hospitalityq-nil'!C6:C119)=TRIM('hospitalityq-nil'!C119)),--(TRIM('hospitalityq-nil'!D6:D119)=TRIM('hospitalityq-nil'!D119)))&gt;1))</f>
        <v>0</v>
      </c>
    </row>
    <row r="120" spans="1:4" x14ac:dyDescent="0.25">
      <c r="A120">
        <f t="shared" si="1"/>
        <v>0</v>
      </c>
      <c r="C120">
        <f>NOT('hospitalityq-nil'!C120="")*(OR(NOT(IFERROR(AND(INT('hospitalityq-nil'!C120)='hospitalityq-nil'!C120,'hospitalityq-nil'!C120&gt;=2018-50,'hospitalityq-nil'!C120&lt;=2018+50),FALSE)),SUMPRODUCT(--(TRIM('hospitalityq-nil'!C6:C120)=TRIM('hospitalityq-nil'!C120)),--(TRIM('hospitalityq-nil'!D6:D120)=TRIM('hospitalityq-nil'!D120)))&gt;1))</f>
        <v>0</v>
      </c>
      <c r="D120">
        <f>NOT('hospitalityq-nil'!D120="")*(OR(COUNTIF(reference!$C$144:$C$155,TRIM(LEFT('hospitalityq-nil'!D120,FIND(":",'hospitalityq-nil'!D120&amp;":")-1))&amp;":*")=0,SUMPRODUCT(--(TRIM('hospitalityq-nil'!C6:C120)=TRIM('hospitalityq-nil'!C120)),--(TRIM('hospitalityq-nil'!D6:D120)=TRIM('hospitalityq-nil'!D120)))&gt;1))</f>
        <v>0</v>
      </c>
    </row>
    <row r="121" spans="1:4" x14ac:dyDescent="0.25">
      <c r="A121">
        <f t="shared" si="1"/>
        <v>0</v>
      </c>
      <c r="C121">
        <f>NOT('hospitalityq-nil'!C121="")*(OR(NOT(IFERROR(AND(INT('hospitalityq-nil'!C121)='hospitalityq-nil'!C121,'hospitalityq-nil'!C121&gt;=2018-50,'hospitalityq-nil'!C121&lt;=2018+50),FALSE)),SUMPRODUCT(--(TRIM('hospitalityq-nil'!C6:C121)=TRIM('hospitalityq-nil'!C121)),--(TRIM('hospitalityq-nil'!D6:D121)=TRIM('hospitalityq-nil'!D121)))&gt;1))</f>
        <v>0</v>
      </c>
      <c r="D121">
        <f>NOT('hospitalityq-nil'!D121="")*(OR(COUNTIF(reference!$C$144:$C$155,TRIM(LEFT('hospitalityq-nil'!D121,FIND(":",'hospitalityq-nil'!D121&amp;":")-1))&amp;":*")=0,SUMPRODUCT(--(TRIM('hospitalityq-nil'!C6:C121)=TRIM('hospitalityq-nil'!C121)),--(TRIM('hospitalityq-nil'!D6:D121)=TRIM('hospitalityq-nil'!D121)))&gt;1))</f>
        <v>0</v>
      </c>
    </row>
    <row r="122" spans="1:4" x14ac:dyDescent="0.25">
      <c r="A122">
        <f t="shared" si="1"/>
        <v>0</v>
      </c>
      <c r="C122">
        <f>NOT('hospitalityq-nil'!C122="")*(OR(NOT(IFERROR(AND(INT('hospitalityq-nil'!C122)='hospitalityq-nil'!C122,'hospitalityq-nil'!C122&gt;=2018-50,'hospitalityq-nil'!C122&lt;=2018+50),FALSE)),SUMPRODUCT(--(TRIM('hospitalityq-nil'!C6:C122)=TRIM('hospitalityq-nil'!C122)),--(TRIM('hospitalityq-nil'!D6:D122)=TRIM('hospitalityq-nil'!D122)))&gt;1))</f>
        <v>0</v>
      </c>
      <c r="D122">
        <f>NOT('hospitalityq-nil'!D122="")*(OR(COUNTIF(reference!$C$144:$C$155,TRIM(LEFT('hospitalityq-nil'!D122,FIND(":",'hospitalityq-nil'!D122&amp;":")-1))&amp;":*")=0,SUMPRODUCT(--(TRIM('hospitalityq-nil'!C6:C122)=TRIM('hospitalityq-nil'!C122)),--(TRIM('hospitalityq-nil'!D6:D122)=TRIM('hospitalityq-nil'!D122)))&gt;1))</f>
        <v>0</v>
      </c>
    </row>
    <row r="123" spans="1:4" x14ac:dyDescent="0.25">
      <c r="A123">
        <f t="shared" si="1"/>
        <v>0</v>
      </c>
      <c r="C123">
        <f>NOT('hospitalityq-nil'!C123="")*(OR(NOT(IFERROR(AND(INT('hospitalityq-nil'!C123)='hospitalityq-nil'!C123,'hospitalityq-nil'!C123&gt;=2018-50,'hospitalityq-nil'!C123&lt;=2018+50),FALSE)),SUMPRODUCT(--(TRIM('hospitalityq-nil'!C6:C123)=TRIM('hospitalityq-nil'!C123)),--(TRIM('hospitalityq-nil'!D6:D123)=TRIM('hospitalityq-nil'!D123)))&gt;1))</f>
        <v>0</v>
      </c>
      <c r="D123">
        <f>NOT('hospitalityq-nil'!D123="")*(OR(COUNTIF(reference!$C$144:$C$155,TRIM(LEFT('hospitalityq-nil'!D123,FIND(":",'hospitalityq-nil'!D123&amp;":")-1))&amp;":*")=0,SUMPRODUCT(--(TRIM('hospitalityq-nil'!C6:C123)=TRIM('hospitalityq-nil'!C123)),--(TRIM('hospitalityq-nil'!D6:D123)=TRIM('hospitalityq-nil'!D123)))&gt;1))</f>
        <v>0</v>
      </c>
    </row>
    <row r="124" spans="1:4" x14ac:dyDescent="0.25">
      <c r="A124">
        <f t="shared" si="1"/>
        <v>0</v>
      </c>
      <c r="C124">
        <f>NOT('hospitalityq-nil'!C124="")*(OR(NOT(IFERROR(AND(INT('hospitalityq-nil'!C124)='hospitalityq-nil'!C124,'hospitalityq-nil'!C124&gt;=2018-50,'hospitalityq-nil'!C124&lt;=2018+50),FALSE)),SUMPRODUCT(--(TRIM('hospitalityq-nil'!C6:C124)=TRIM('hospitalityq-nil'!C124)),--(TRIM('hospitalityq-nil'!D6:D124)=TRIM('hospitalityq-nil'!D124)))&gt;1))</f>
        <v>0</v>
      </c>
      <c r="D124">
        <f>NOT('hospitalityq-nil'!D124="")*(OR(COUNTIF(reference!$C$144:$C$155,TRIM(LEFT('hospitalityq-nil'!D124,FIND(":",'hospitalityq-nil'!D124&amp;":")-1))&amp;":*")=0,SUMPRODUCT(--(TRIM('hospitalityq-nil'!C6:C124)=TRIM('hospitalityq-nil'!C124)),--(TRIM('hospitalityq-nil'!D6:D124)=TRIM('hospitalityq-nil'!D124)))&gt;1))</f>
        <v>0</v>
      </c>
    </row>
    <row r="125" spans="1:4" x14ac:dyDescent="0.25">
      <c r="A125">
        <f t="shared" si="1"/>
        <v>0</v>
      </c>
      <c r="C125">
        <f>NOT('hospitalityq-nil'!C125="")*(OR(NOT(IFERROR(AND(INT('hospitalityq-nil'!C125)='hospitalityq-nil'!C125,'hospitalityq-nil'!C125&gt;=2018-50,'hospitalityq-nil'!C125&lt;=2018+50),FALSE)),SUMPRODUCT(--(TRIM('hospitalityq-nil'!C6:C125)=TRIM('hospitalityq-nil'!C125)),--(TRIM('hospitalityq-nil'!D6:D125)=TRIM('hospitalityq-nil'!D125)))&gt;1))</f>
        <v>0</v>
      </c>
      <c r="D125">
        <f>NOT('hospitalityq-nil'!D125="")*(OR(COUNTIF(reference!$C$144:$C$155,TRIM(LEFT('hospitalityq-nil'!D125,FIND(":",'hospitalityq-nil'!D125&amp;":")-1))&amp;":*")=0,SUMPRODUCT(--(TRIM('hospitalityq-nil'!C6:C125)=TRIM('hospitalityq-nil'!C125)),--(TRIM('hospitalityq-nil'!D6:D125)=TRIM('hospitalityq-nil'!D125)))&gt;1))</f>
        <v>0</v>
      </c>
    </row>
    <row r="126" spans="1:4" x14ac:dyDescent="0.25">
      <c r="A126">
        <f t="shared" si="1"/>
        <v>0</v>
      </c>
      <c r="C126">
        <f>NOT('hospitalityq-nil'!C126="")*(OR(NOT(IFERROR(AND(INT('hospitalityq-nil'!C126)='hospitalityq-nil'!C126,'hospitalityq-nil'!C126&gt;=2018-50,'hospitalityq-nil'!C126&lt;=2018+50),FALSE)),SUMPRODUCT(--(TRIM('hospitalityq-nil'!C6:C126)=TRIM('hospitalityq-nil'!C126)),--(TRIM('hospitalityq-nil'!D6:D126)=TRIM('hospitalityq-nil'!D126)))&gt;1))</f>
        <v>0</v>
      </c>
      <c r="D126">
        <f>NOT('hospitalityq-nil'!D126="")*(OR(COUNTIF(reference!$C$144:$C$155,TRIM(LEFT('hospitalityq-nil'!D126,FIND(":",'hospitalityq-nil'!D126&amp;":")-1))&amp;":*")=0,SUMPRODUCT(--(TRIM('hospitalityq-nil'!C6:C126)=TRIM('hospitalityq-nil'!C126)),--(TRIM('hospitalityq-nil'!D6:D126)=TRIM('hospitalityq-nil'!D126)))&gt;1))</f>
        <v>0</v>
      </c>
    </row>
    <row r="127" spans="1:4" x14ac:dyDescent="0.25">
      <c r="A127">
        <f t="shared" si="1"/>
        <v>0</v>
      </c>
      <c r="C127">
        <f>NOT('hospitalityq-nil'!C127="")*(OR(NOT(IFERROR(AND(INT('hospitalityq-nil'!C127)='hospitalityq-nil'!C127,'hospitalityq-nil'!C127&gt;=2018-50,'hospitalityq-nil'!C127&lt;=2018+50),FALSE)),SUMPRODUCT(--(TRIM('hospitalityq-nil'!C6:C127)=TRIM('hospitalityq-nil'!C127)),--(TRIM('hospitalityq-nil'!D6:D127)=TRIM('hospitalityq-nil'!D127)))&gt;1))</f>
        <v>0</v>
      </c>
      <c r="D127">
        <f>NOT('hospitalityq-nil'!D127="")*(OR(COUNTIF(reference!$C$144:$C$155,TRIM(LEFT('hospitalityq-nil'!D127,FIND(":",'hospitalityq-nil'!D127&amp;":")-1))&amp;":*")=0,SUMPRODUCT(--(TRIM('hospitalityq-nil'!C6:C127)=TRIM('hospitalityq-nil'!C127)),--(TRIM('hospitalityq-nil'!D6:D127)=TRIM('hospitalityq-nil'!D127)))&gt;1))</f>
        <v>0</v>
      </c>
    </row>
    <row r="128" spans="1:4" x14ac:dyDescent="0.25">
      <c r="A128">
        <f t="shared" si="1"/>
        <v>0</v>
      </c>
      <c r="C128">
        <f>NOT('hospitalityq-nil'!C128="")*(OR(NOT(IFERROR(AND(INT('hospitalityq-nil'!C128)='hospitalityq-nil'!C128,'hospitalityq-nil'!C128&gt;=2018-50,'hospitalityq-nil'!C128&lt;=2018+50),FALSE)),SUMPRODUCT(--(TRIM('hospitalityq-nil'!C6:C128)=TRIM('hospitalityq-nil'!C128)),--(TRIM('hospitalityq-nil'!D6:D128)=TRIM('hospitalityq-nil'!D128)))&gt;1))</f>
        <v>0</v>
      </c>
      <c r="D128">
        <f>NOT('hospitalityq-nil'!D128="")*(OR(COUNTIF(reference!$C$144:$C$155,TRIM(LEFT('hospitalityq-nil'!D128,FIND(":",'hospitalityq-nil'!D128&amp;":")-1))&amp;":*")=0,SUMPRODUCT(--(TRIM('hospitalityq-nil'!C6:C128)=TRIM('hospitalityq-nil'!C128)),--(TRIM('hospitalityq-nil'!D6:D128)=TRIM('hospitalityq-nil'!D128)))&gt;1))</f>
        <v>0</v>
      </c>
    </row>
    <row r="129" spans="1:4" x14ac:dyDescent="0.25">
      <c r="A129">
        <f t="shared" si="1"/>
        <v>0</v>
      </c>
      <c r="C129">
        <f>NOT('hospitalityq-nil'!C129="")*(OR(NOT(IFERROR(AND(INT('hospitalityq-nil'!C129)='hospitalityq-nil'!C129,'hospitalityq-nil'!C129&gt;=2018-50,'hospitalityq-nil'!C129&lt;=2018+50),FALSE)),SUMPRODUCT(--(TRIM('hospitalityq-nil'!C6:C129)=TRIM('hospitalityq-nil'!C129)),--(TRIM('hospitalityq-nil'!D6:D129)=TRIM('hospitalityq-nil'!D129)))&gt;1))</f>
        <v>0</v>
      </c>
      <c r="D129">
        <f>NOT('hospitalityq-nil'!D129="")*(OR(COUNTIF(reference!$C$144:$C$155,TRIM(LEFT('hospitalityq-nil'!D129,FIND(":",'hospitalityq-nil'!D129&amp;":")-1))&amp;":*")=0,SUMPRODUCT(--(TRIM('hospitalityq-nil'!C6:C129)=TRIM('hospitalityq-nil'!C129)),--(TRIM('hospitalityq-nil'!D6:D129)=TRIM('hospitalityq-nil'!D129)))&gt;1))</f>
        <v>0</v>
      </c>
    </row>
    <row r="130" spans="1:4" x14ac:dyDescent="0.25">
      <c r="A130">
        <f t="shared" si="1"/>
        <v>0</v>
      </c>
      <c r="C130">
        <f>NOT('hospitalityq-nil'!C130="")*(OR(NOT(IFERROR(AND(INT('hospitalityq-nil'!C130)='hospitalityq-nil'!C130,'hospitalityq-nil'!C130&gt;=2018-50,'hospitalityq-nil'!C130&lt;=2018+50),FALSE)),SUMPRODUCT(--(TRIM('hospitalityq-nil'!C6:C130)=TRIM('hospitalityq-nil'!C130)),--(TRIM('hospitalityq-nil'!D6:D130)=TRIM('hospitalityq-nil'!D130)))&gt;1))</f>
        <v>0</v>
      </c>
      <c r="D130">
        <f>NOT('hospitalityq-nil'!D130="")*(OR(COUNTIF(reference!$C$144:$C$155,TRIM(LEFT('hospitalityq-nil'!D130,FIND(":",'hospitalityq-nil'!D130&amp;":")-1))&amp;":*")=0,SUMPRODUCT(--(TRIM('hospitalityq-nil'!C6:C130)=TRIM('hospitalityq-nil'!C130)),--(TRIM('hospitalityq-nil'!D6:D130)=TRIM('hospitalityq-nil'!D130)))&gt;1))</f>
        <v>0</v>
      </c>
    </row>
    <row r="131" spans="1:4" x14ac:dyDescent="0.25">
      <c r="A131">
        <f t="shared" si="1"/>
        <v>0</v>
      </c>
      <c r="C131">
        <f>NOT('hospitalityq-nil'!C131="")*(OR(NOT(IFERROR(AND(INT('hospitalityq-nil'!C131)='hospitalityq-nil'!C131,'hospitalityq-nil'!C131&gt;=2018-50,'hospitalityq-nil'!C131&lt;=2018+50),FALSE)),SUMPRODUCT(--(TRIM('hospitalityq-nil'!C6:C131)=TRIM('hospitalityq-nil'!C131)),--(TRIM('hospitalityq-nil'!D6:D131)=TRIM('hospitalityq-nil'!D131)))&gt;1))</f>
        <v>0</v>
      </c>
      <c r="D131">
        <f>NOT('hospitalityq-nil'!D131="")*(OR(COUNTIF(reference!$C$144:$C$155,TRIM(LEFT('hospitalityq-nil'!D131,FIND(":",'hospitalityq-nil'!D131&amp;":")-1))&amp;":*")=0,SUMPRODUCT(--(TRIM('hospitalityq-nil'!C6:C131)=TRIM('hospitalityq-nil'!C131)),--(TRIM('hospitalityq-nil'!D6:D131)=TRIM('hospitalityq-nil'!D131)))&gt;1))</f>
        <v>0</v>
      </c>
    </row>
    <row r="132" spans="1:4" x14ac:dyDescent="0.25">
      <c r="A132">
        <f t="shared" si="1"/>
        <v>0</v>
      </c>
      <c r="C132">
        <f>NOT('hospitalityq-nil'!C132="")*(OR(NOT(IFERROR(AND(INT('hospitalityq-nil'!C132)='hospitalityq-nil'!C132,'hospitalityq-nil'!C132&gt;=2018-50,'hospitalityq-nil'!C132&lt;=2018+50),FALSE)),SUMPRODUCT(--(TRIM('hospitalityq-nil'!C6:C132)=TRIM('hospitalityq-nil'!C132)),--(TRIM('hospitalityq-nil'!D6:D132)=TRIM('hospitalityq-nil'!D132)))&gt;1))</f>
        <v>0</v>
      </c>
      <c r="D132">
        <f>NOT('hospitalityq-nil'!D132="")*(OR(COUNTIF(reference!$C$144:$C$155,TRIM(LEFT('hospitalityq-nil'!D132,FIND(":",'hospitalityq-nil'!D132&amp;":")-1))&amp;":*")=0,SUMPRODUCT(--(TRIM('hospitalityq-nil'!C6:C132)=TRIM('hospitalityq-nil'!C132)),--(TRIM('hospitalityq-nil'!D6:D132)=TRIM('hospitalityq-nil'!D132)))&gt;1))</f>
        <v>0</v>
      </c>
    </row>
    <row r="133" spans="1:4" x14ac:dyDescent="0.25">
      <c r="A133">
        <f t="shared" si="1"/>
        <v>0</v>
      </c>
      <c r="C133">
        <f>NOT('hospitalityq-nil'!C133="")*(OR(NOT(IFERROR(AND(INT('hospitalityq-nil'!C133)='hospitalityq-nil'!C133,'hospitalityq-nil'!C133&gt;=2018-50,'hospitalityq-nil'!C133&lt;=2018+50),FALSE)),SUMPRODUCT(--(TRIM('hospitalityq-nil'!C6:C133)=TRIM('hospitalityq-nil'!C133)),--(TRIM('hospitalityq-nil'!D6:D133)=TRIM('hospitalityq-nil'!D133)))&gt;1))</f>
        <v>0</v>
      </c>
      <c r="D133">
        <f>NOT('hospitalityq-nil'!D133="")*(OR(COUNTIF(reference!$C$144:$C$155,TRIM(LEFT('hospitalityq-nil'!D133,FIND(":",'hospitalityq-nil'!D133&amp;":")-1))&amp;":*")=0,SUMPRODUCT(--(TRIM('hospitalityq-nil'!C6:C133)=TRIM('hospitalityq-nil'!C133)),--(TRIM('hospitalityq-nil'!D6:D133)=TRIM('hospitalityq-nil'!D133)))&gt;1))</f>
        <v>0</v>
      </c>
    </row>
    <row r="134" spans="1:4" x14ac:dyDescent="0.25">
      <c r="A134">
        <f t="shared" ref="A134:A197" si="2">IFERROR(MATCH(TRUE,INDEX(C134:D134&lt;&gt;0,),)+2,0)</f>
        <v>0</v>
      </c>
      <c r="C134">
        <f>NOT('hospitalityq-nil'!C134="")*(OR(NOT(IFERROR(AND(INT('hospitalityq-nil'!C134)='hospitalityq-nil'!C134,'hospitalityq-nil'!C134&gt;=2018-50,'hospitalityq-nil'!C134&lt;=2018+50),FALSE)),SUMPRODUCT(--(TRIM('hospitalityq-nil'!C6:C134)=TRIM('hospitalityq-nil'!C134)),--(TRIM('hospitalityq-nil'!D6:D134)=TRIM('hospitalityq-nil'!D134)))&gt;1))</f>
        <v>0</v>
      </c>
      <c r="D134">
        <f>NOT('hospitalityq-nil'!D134="")*(OR(COUNTIF(reference!$C$144:$C$155,TRIM(LEFT('hospitalityq-nil'!D134,FIND(":",'hospitalityq-nil'!D134&amp;":")-1))&amp;":*")=0,SUMPRODUCT(--(TRIM('hospitalityq-nil'!C6:C134)=TRIM('hospitalityq-nil'!C134)),--(TRIM('hospitalityq-nil'!D6:D134)=TRIM('hospitalityq-nil'!D134)))&gt;1))</f>
        <v>0</v>
      </c>
    </row>
    <row r="135" spans="1:4" x14ac:dyDescent="0.25">
      <c r="A135">
        <f t="shared" si="2"/>
        <v>0</v>
      </c>
      <c r="C135">
        <f>NOT('hospitalityq-nil'!C135="")*(OR(NOT(IFERROR(AND(INT('hospitalityq-nil'!C135)='hospitalityq-nil'!C135,'hospitalityq-nil'!C135&gt;=2018-50,'hospitalityq-nil'!C135&lt;=2018+50),FALSE)),SUMPRODUCT(--(TRIM('hospitalityq-nil'!C6:C135)=TRIM('hospitalityq-nil'!C135)),--(TRIM('hospitalityq-nil'!D6:D135)=TRIM('hospitalityq-nil'!D135)))&gt;1))</f>
        <v>0</v>
      </c>
      <c r="D135">
        <f>NOT('hospitalityq-nil'!D135="")*(OR(COUNTIF(reference!$C$144:$C$155,TRIM(LEFT('hospitalityq-nil'!D135,FIND(":",'hospitalityq-nil'!D135&amp;":")-1))&amp;":*")=0,SUMPRODUCT(--(TRIM('hospitalityq-nil'!C6:C135)=TRIM('hospitalityq-nil'!C135)),--(TRIM('hospitalityq-nil'!D6:D135)=TRIM('hospitalityq-nil'!D135)))&gt;1))</f>
        <v>0</v>
      </c>
    </row>
    <row r="136" spans="1:4" x14ac:dyDescent="0.25">
      <c r="A136">
        <f t="shared" si="2"/>
        <v>0</v>
      </c>
      <c r="C136">
        <f>NOT('hospitalityq-nil'!C136="")*(OR(NOT(IFERROR(AND(INT('hospitalityq-nil'!C136)='hospitalityq-nil'!C136,'hospitalityq-nil'!C136&gt;=2018-50,'hospitalityq-nil'!C136&lt;=2018+50),FALSE)),SUMPRODUCT(--(TRIM('hospitalityq-nil'!C6:C136)=TRIM('hospitalityq-nil'!C136)),--(TRIM('hospitalityq-nil'!D6:D136)=TRIM('hospitalityq-nil'!D136)))&gt;1))</f>
        <v>0</v>
      </c>
      <c r="D136">
        <f>NOT('hospitalityq-nil'!D136="")*(OR(COUNTIF(reference!$C$144:$C$155,TRIM(LEFT('hospitalityq-nil'!D136,FIND(":",'hospitalityq-nil'!D136&amp;":")-1))&amp;":*")=0,SUMPRODUCT(--(TRIM('hospitalityq-nil'!C6:C136)=TRIM('hospitalityq-nil'!C136)),--(TRIM('hospitalityq-nil'!D6:D136)=TRIM('hospitalityq-nil'!D136)))&gt;1))</f>
        <v>0</v>
      </c>
    </row>
    <row r="137" spans="1:4" x14ac:dyDescent="0.25">
      <c r="A137">
        <f t="shared" si="2"/>
        <v>0</v>
      </c>
      <c r="C137">
        <f>NOT('hospitalityq-nil'!C137="")*(OR(NOT(IFERROR(AND(INT('hospitalityq-nil'!C137)='hospitalityq-nil'!C137,'hospitalityq-nil'!C137&gt;=2018-50,'hospitalityq-nil'!C137&lt;=2018+50),FALSE)),SUMPRODUCT(--(TRIM('hospitalityq-nil'!C6:C137)=TRIM('hospitalityq-nil'!C137)),--(TRIM('hospitalityq-nil'!D6:D137)=TRIM('hospitalityq-nil'!D137)))&gt;1))</f>
        <v>0</v>
      </c>
      <c r="D137">
        <f>NOT('hospitalityq-nil'!D137="")*(OR(COUNTIF(reference!$C$144:$C$155,TRIM(LEFT('hospitalityq-nil'!D137,FIND(":",'hospitalityq-nil'!D137&amp;":")-1))&amp;":*")=0,SUMPRODUCT(--(TRIM('hospitalityq-nil'!C6:C137)=TRIM('hospitalityq-nil'!C137)),--(TRIM('hospitalityq-nil'!D6:D137)=TRIM('hospitalityq-nil'!D137)))&gt;1))</f>
        <v>0</v>
      </c>
    </row>
    <row r="138" spans="1:4" x14ac:dyDescent="0.25">
      <c r="A138">
        <f t="shared" si="2"/>
        <v>0</v>
      </c>
      <c r="C138">
        <f>NOT('hospitalityq-nil'!C138="")*(OR(NOT(IFERROR(AND(INT('hospitalityq-nil'!C138)='hospitalityq-nil'!C138,'hospitalityq-nil'!C138&gt;=2018-50,'hospitalityq-nil'!C138&lt;=2018+50),FALSE)),SUMPRODUCT(--(TRIM('hospitalityq-nil'!C6:C138)=TRIM('hospitalityq-nil'!C138)),--(TRIM('hospitalityq-nil'!D6:D138)=TRIM('hospitalityq-nil'!D138)))&gt;1))</f>
        <v>0</v>
      </c>
      <c r="D138">
        <f>NOT('hospitalityq-nil'!D138="")*(OR(COUNTIF(reference!$C$144:$C$155,TRIM(LEFT('hospitalityq-nil'!D138,FIND(":",'hospitalityq-nil'!D138&amp;":")-1))&amp;":*")=0,SUMPRODUCT(--(TRIM('hospitalityq-nil'!C6:C138)=TRIM('hospitalityq-nil'!C138)),--(TRIM('hospitalityq-nil'!D6:D138)=TRIM('hospitalityq-nil'!D138)))&gt;1))</f>
        <v>0</v>
      </c>
    </row>
    <row r="139" spans="1:4" x14ac:dyDescent="0.25">
      <c r="A139">
        <f t="shared" si="2"/>
        <v>0</v>
      </c>
      <c r="C139">
        <f>NOT('hospitalityq-nil'!C139="")*(OR(NOT(IFERROR(AND(INT('hospitalityq-nil'!C139)='hospitalityq-nil'!C139,'hospitalityq-nil'!C139&gt;=2018-50,'hospitalityq-nil'!C139&lt;=2018+50),FALSE)),SUMPRODUCT(--(TRIM('hospitalityq-nil'!C6:C139)=TRIM('hospitalityq-nil'!C139)),--(TRIM('hospitalityq-nil'!D6:D139)=TRIM('hospitalityq-nil'!D139)))&gt;1))</f>
        <v>0</v>
      </c>
      <c r="D139">
        <f>NOT('hospitalityq-nil'!D139="")*(OR(COUNTIF(reference!$C$144:$C$155,TRIM(LEFT('hospitalityq-nil'!D139,FIND(":",'hospitalityq-nil'!D139&amp;":")-1))&amp;":*")=0,SUMPRODUCT(--(TRIM('hospitalityq-nil'!C6:C139)=TRIM('hospitalityq-nil'!C139)),--(TRIM('hospitalityq-nil'!D6:D139)=TRIM('hospitalityq-nil'!D139)))&gt;1))</f>
        <v>0</v>
      </c>
    </row>
    <row r="140" spans="1:4" x14ac:dyDescent="0.25">
      <c r="A140">
        <f t="shared" si="2"/>
        <v>0</v>
      </c>
      <c r="C140">
        <f>NOT('hospitalityq-nil'!C140="")*(OR(NOT(IFERROR(AND(INT('hospitalityq-nil'!C140)='hospitalityq-nil'!C140,'hospitalityq-nil'!C140&gt;=2018-50,'hospitalityq-nil'!C140&lt;=2018+50),FALSE)),SUMPRODUCT(--(TRIM('hospitalityq-nil'!C6:C140)=TRIM('hospitalityq-nil'!C140)),--(TRIM('hospitalityq-nil'!D6:D140)=TRIM('hospitalityq-nil'!D140)))&gt;1))</f>
        <v>0</v>
      </c>
      <c r="D140">
        <f>NOT('hospitalityq-nil'!D140="")*(OR(COUNTIF(reference!$C$144:$C$155,TRIM(LEFT('hospitalityq-nil'!D140,FIND(":",'hospitalityq-nil'!D140&amp;":")-1))&amp;":*")=0,SUMPRODUCT(--(TRIM('hospitalityq-nil'!C6:C140)=TRIM('hospitalityq-nil'!C140)),--(TRIM('hospitalityq-nil'!D6:D140)=TRIM('hospitalityq-nil'!D140)))&gt;1))</f>
        <v>0</v>
      </c>
    </row>
    <row r="141" spans="1:4" x14ac:dyDescent="0.25">
      <c r="A141">
        <f t="shared" si="2"/>
        <v>0</v>
      </c>
      <c r="C141">
        <f>NOT('hospitalityq-nil'!C141="")*(OR(NOT(IFERROR(AND(INT('hospitalityq-nil'!C141)='hospitalityq-nil'!C141,'hospitalityq-nil'!C141&gt;=2018-50,'hospitalityq-nil'!C141&lt;=2018+50),FALSE)),SUMPRODUCT(--(TRIM('hospitalityq-nil'!C6:C141)=TRIM('hospitalityq-nil'!C141)),--(TRIM('hospitalityq-nil'!D6:D141)=TRIM('hospitalityq-nil'!D141)))&gt;1))</f>
        <v>0</v>
      </c>
      <c r="D141">
        <f>NOT('hospitalityq-nil'!D141="")*(OR(COUNTIF(reference!$C$144:$C$155,TRIM(LEFT('hospitalityq-nil'!D141,FIND(":",'hospitalityq-nil'!D141&amp;":")-1))&amp;":*")=0,SUMPRODUCT(--(TRIM('hospitalityq-nil'!C6:C141)=TRIM('hospitalityq-nil'!C141)),--(TRIM('hospitalityq-nil'!D6:D141)=TRIM('hospitalityq-nil'!D141)))&gt;1))</f>
        <v>0</v>
      </c>
    </row>
    <row r="142" spans="1:4" x14ac:dyDescent="0.25">
      <c r="A142">
        <f t="shared" si="2"/>
        <v>0</v>
      </c>
      <c r="C142">
        <f>NOT('hospitalityq-nil'!C142="")*(OR(NOT(IFERROR(AND(INT('hospitalityq-nil'!C142)='hospitalityq-nil'!C142,'hospitalityq-nil'!C142&gt;=2018-50,'hospitalityq-nil'!C142&lt;=2018+50),FALSE)),SUMPRODUCT(--(TRIM('hospitalityq-nil'!C6:C142)=TRIM('hospitalityq-nil'!C142)),--(TRIM('hospitalityq-nil'!D6:D142)=TRIM('hospitalityq-nil'!D142)))&gt;1))</f>
        <v>0</v>
      </c>
      <c r="D142">
        <f>NOT('hospitalityq-nil'!D142="")*(OR(COUNTIF(reference!$C$144:$C$155,TRIM(LEFT('hospitalityq-nil'!D142,FIND(":",'hospitalityq-nil'!D142&amp;":")-1))&amp;":*")=0,SUMPRODUCT(--(TRIM('hospitalityq-nil'!C6:C142)=TRIM('hospitalityq-nil'!C142)),--(TRIM('hospitalityq-nil'!D6:D142)=TRIM('hospitalityq-nil'!D142)))&gt;1))</f>
        <v>0</v>
      </c>
    </row>
    <row r="143" spans="1:4" x14ac:dyDescent="0.25">
      <c r="A143">
        <f t="shared" si="2"/>
        <v>0</v>
      </c>
      <c r="C143">
        <f>NOT('hospitalityq-nil'!C143="")*(OR(NOT(IFERROR(AND(INT('hospitalityq-nil'!C143)='hospitalityq-nil'!C143,'hospitalityq-nil'!C143&gt;=2018-50,'hospitalityq-nil'!C143&lt;=2018+50),FALSE)),SUMPRODUCT(--(TRIM('hospitalityq-nil'!C6:C143)=TRIM('hospitalityq-nil'!C143)),--(TRIM('hospitalityq-nil'!D6:D143)=TRIM('hospitalityq-nil'!D143)))&gt;1))</f>
        <v>0</v>
      </c>
      <c r="D143">
        <f>NOT('hospitalityq-nil'!D143="")*(OR(COUNTIF(reference!$C$144:$C$155,TRIM(LEFT('hospitalityq-nil'!D143,FIND(":",'hospitalityq-nil'!D143&amp;":")-1))&amp;":*")=0,SUMPRODUCT(--(TRIM('hospitalityq-nil'!C6:C143)=TRIM('hospitalityq-nil'!C143)),--(TRIM('hospitalityq-nil'!D6:D143)=TRIM('hospitalityq-nil'!D143)))&gt;1))</f>
        <v>0</v>
      </c>
    </row>
    <row r="144" spans="1:4" x14ac:dyDescent="0.25">
      <c r="A144">
        <f t="shared" si="2"/>
        <v>0</v>
      </c>
      <c r="C144">
        <f>NOT('hospitalityq-nil'!C144="")*(OR(NOT(IFERROR(AND(INT('hospitalityq-nil'!C144)='hospitalityq-nil'!C144,'hospitalityq-nil'!C144&gt;=2018-50,'hospitalityq-nil'!C144&lt;=2018+50),FALSE)),SUMPRODUCT(--(TRIM('hospitalityq-nil'!C6:C144)=TRIM('hospitalityq-nil'!C144)),--(TRIM('hospitalityq-nil'!D6:D144)=TRIM('hospitalityq-nil'!D144)))&gt;1))</f>
        <v>0</v>
      </c>
      <c r="D144">
        <f>NOT('hospitalityq-nil'!D144="")*(OR(COUNTIF(reference!$C$144:$C$155,TRIM(LEFT('hospitalityq-nil'!D144,FIND(":",'hospitalityq-nil'!D144&amp;":")-1))&amp;":*")=0,SUMPRODUCT(--(TRIM('hospitalityq-nil'!C6:C144)=TRIM('hospitalityq-nil'!C144)),--(TRIM('hospitalityq-nil'!D6:D144)=TRIM('hospitalityq-nil'!D144)))&gt;1))</f>
        <v>0</v>
      </c>
    </row>
    <row r="145" spans="1:4" x14ac:dyDescent="0.25">
      <c r="A145">
        <f t="shared" si="2"/>
        <v>0</v>
      </c>
      <c r="C145">
        <f>NOT('hospitalityq-nil'!C145="")*(OR(NOT(IFERROR(AND(INT('hospitalityq-nil'!C145)='hospitalityq-nil'!C145,'hospitalityq-nil'!C145&gt;=2018-50,'hospitalityq-nil'!C145&lt;=2018+50),FALSE)),SUMPRODUCT(--(TRIM('hospitalityq-nil'!C6:C145)=TRIM('hospitalityq-nil'!C145)),--(TRIM('hospitalityq-nil'!D6:D145)=TRIM('hospitalityq-nil'!D145)))&gt;1))</f>
        <v>0</v>
      </c>
      <c r="D145">
        <f>NOT('hospitalityq-nil'!D145="")*(OR(COUNTIF(reference!$C$144:$C$155,TRIM(LEFT('hospitalityq-nil'!D145,FIND(":",'hospitalityq-nil'!D145&amp;":")-1))&amp;":*")=0,SUMPRODUCT(--(TRIM('hospitalityq-nil'!C6:C145)=TRIM('hospitalityq-nil'!C145)),--(TRIM('hospitalityq-nil'!D6:D145)=TRIM('hospitalityq-nil'!D145)))&gt;1))</f>
        <v>0</v>
      </c>
    </row>
    <row r="146" spans="1:4" x14ac:dyDescent="0.25">
      <c r="A146">
        <f t="shared" si="2"/>
        <v>0</v>
      </c>
      <c r="C146">
        <f>NOT('hospitalityq-nil'!C146="")*(OR(NOT(IFERROR(AND(INT('hospitalityq-nil'!C146)='hospitalityq-nil'!C146,'hospitalityq-nil'!C146&gt;=2018-50,'hospitalityq-nil'!C146&lt;=2018+50),FALSE)),SUMPRODUCT(--(TRIM('hospitalityq-nil'!C6:C146)=TRIM('hospitalityq-nil'!C146)),--(TRIM('hospitalityq-nil'!D6:D146)=TRIM('hospitalityq-nil'!D146)))&gt;1))</f>
        <v>0</v>
      </c>
      <c r="D146">
        <f>NOT('hospitalityq-nil'!D146="")*(OR(COUNTIF(reference!$C$144:$C$155,TRIM(LEFT('hospitalityq-nil'!D146,FIND(":",'hospitalityq-nil'!D146&amp;":")-1))&amp;":*")=0,SUMPRODUCT(--(TRIM('hospitalityq-nil'!C6:C146)=TRIM('hospitalityq-nil'!C146)),--(TRIM('hospitalityq-nil'!D6:D146)=TRIM('hospitalityq-nil'!D146)))&gt;1))</f>
        <v>0</v>
      </c>
    </row>
    <row r="147" spans="1:4" x14ac:dyDescent="0.25">
      <c r="A147">
        <f t="shared" si="2"/>
        <v>0</v>
      </c>
      <c r="C147">
        <f>NOT('hospitalityq-nil'!C147="")*(OR(NOT(IFERROR(AND(INT('hospitalityq-nil'!C147)='hospitalityq-nil'!C147,'hospitalityq-nil'!C147&gt;=2018-50,'hospitalityq-nil'!C147&lt;=2018+50),FALSE)),SUMPRODUCT(--(TRIM('hospitalityq-nil'!C6:C147)=TRIM('hospitalityq-nil'!C147)),--(TRIM('hospitalityq-nil'!D6:D147)=TRIM('hospitalityq-nil'!D147)))&gt;1))</f>
        <v>0</v>
      </c>
      <c r="D147">
        <f>NOT('hospitalityq-nil'!D147="")*(OR(COUNTIF(reference!$C$144:$C$155,TRIM(LEFT('hospitalityq-nil'!D147,FIND(":",'hospitalityq-nil'!D147&amp;":")-1))&amp;":*")=0,SUMPRODUCT(--(TRIM('hospitalityq-nil'!C6:C147)=TRIM('hospitalityq-nil'!C147)),--(TRIM('hospitalityq-nil'!D6:D147)=TRIM('hospitalityq-nil'!D147)))&gt;1))</f>
        <v>0</v>
      </c>
    </row>
    <row r="148" spans="1:4" x14ac:dyDescent="0.25">
      <c r="A148">
        <f t="shared" si="2"/>
        <v>0</v>
      </c>
      <c r="C148">
        <f>NOT('hospitalityq-nil'!C148="")*(OR(NOT(IFERROR(AND(INT('hospitalityq-nil'!C148)='hospitalityq-nil'!C148,'hospitalityq-nil'!C148&gt;=2018-50,'hospitalityq-nil'!C148&lt;=2018+50),FALSE)),SUMPRODUCT(--(TRIM('hospitalityq-nil'!C6:C148)=TRIM('hospitalityq-nil'!C148)),--(TRIM('hospitalityq-nil'!D6:D148)=TRIM('hospitalityq-nil'!D148)))&gt;1))</f>
        <v>0</v>
      </c>
      <c r="D148">
        <f>NOT('hospitalityq-nil'!D148="")*(OR(COUNTIF(reference!$C$144:$C$155,TRIM(LEFT('hospitalityq-nil'!D148,FIND(":",'hospitalityq-nil'!D148&amp;":")-1))&amp;":*")=0,SUMPRODUCT(--(TRIM('hospitalityq-nil'!C6:C148)=TRIM('hospitalityq-nil'!C148)),--(TRIM('hospitalityq-nil'!D6:D148)=TRIM('hospitalityq-nil'!D148)))&gt;1))</f>
        <v>0</v>
      </c>
    </row>
    <row r="149" spans="1:4" x14ac:dyDescent="0.25">
      <c r="A149">
        <f t="shared" si="2"/>
        <v>0</v>
      </c>
      <c r="C149">
        <f>NOT('hospitalityq-nil'!C149="")*(OR(NOT(IFERROR(AND(INT('hospitalityq-nil'!C149)='hospitalityq-nil'!C149,'hospitalityq-nil'!C149&gt;=2018-50,'hospitalityq-nil'!C149&lt;=2018+50),FALSE)),SUMPRODUCT(--(TRIM('hospitalityq-nil'!C6:C149)=TRIM('hospitalityq-nil'!C149)),--(TRIM('hospitalityq-nil'!D6:D149)=TRIM('hospitalityq-nil'!D149)))&gt;1))</f>
        <v>0</v>
      </c>
      <c r="D149">
        <f>NOT('hospitalityq-nil'!D149="")*(OR(COUNTIF(reference!$C$144:$C$155,TRIM(LEFT('hospitalityq-nil'!D149,FIND(":",'hospitalityq-nil'!D149&amp;":")-1))&amp;":*")=0,SUMPRODUCT(--(TRIM('hospitalityq-nil'!C6:C149)=TRIM('hospitalityq-nil'!C149)),--(TRIM('hospitalityq-nil'!D6:D149)=TRIM('hospitalityq-nil'!D149)))&gt;1))</f>
        <v>0</v>
      </c>
    </row>
    <row r="150" spans="1:4" x14ac:dyDescent="0.25">
      <c r="A150">
        <f t="shared" si="2"/>
        <v>0</v>
      </c>
      <c r="C150">
        <f>NOT('hospitalityq-nil'!C150="")*(OR(NOT(IFERROR(AND(INT('hospitalityq-nil'!C150)='hospitalityq-nil'!C150,'hospitalityq-nil'!C150&gt;=2018-50,'hospitalityq-nil'!C150&lt;=2018+50),FALSE)),SUMPRODUCT(--(TRIM('hospitalityq-nil'!C6:C150)=TRIM('hospitalityq-nil'!C150)),--(TRIM('hospitalityq-nil'!D6:D150)=TRIM('hospitalityq-nil'!D150)))&gt;1))</f>
        <v>0</v>
      </c>
      <c r="D150">
        <f>NOT('hospitalityq-nil'!D150="")*(OR(COUNTIF(reference!$C$144:$C$155,TRIM(LEFT('hospitalityq-nil'!D150,FIND(":",'hospitalityq-nil'!D150&amp;":")-1))&amp;":*")=0,SUMPRODUCT(--(TRIM('hospitalityq-nil'!C6:C150)=TRIM('hospitalityq-nil'!C150)),--(TRIM('hospitalityq-nil'!D6:D150)=TRIM('hospitalityq-nil'!D150)))&gt;1))</f>
        <v>0</v>
      </c>
    </row>
    <row r="151" spans="1:4" x14ac:dyDescent="0.25">
      <c r="A151">
        <f t="shared" si="2"/>
        <v>0</v>
      </c>
      <c r="C151">
        <f>NOT('hospitalityq-nil'!C151="")*(OR(NOT(IFERROR(AND(INT('hospitalityq-nil'!C151)='hospitalityq-nil'!C151,'hospitalityq-nil'!C151&gt;=2018-50,'hospitalityq-nil'!C151&lt;=2018+50),FALSE)),SUMPRODUCT(--(TRIM('hospitalityq-nil'!C6:C151)=TRIM('hospitalityq-nil'!C151)),--(TRIM('hospitalityq-nil'!D6:D151)=TRIM('hospitalityq-nil'!D151)))&gt;1))</f>
        <v>0</v>
      </c>
      <c r="D151">
        <f>NOT('hospitalityq-nil'!D151="")*(OR(COUNTIF(reference!$C$144:$C$155,TRIM(LEFT('hospitalityq-nil'!D151,FIND(":",'hospitalityq-nil'!D151&amp;":")-1))&amp;":*")=0,SUMPRODUCT(--(TRIM('hospitalityq-nil'!C6:C151)=TRIM('hospitalityq-nil'!C151)),--(TRIM('hospitalityq-nil'!D6:D151)=TRIM('hospitalityq-nil'!D151)))&gt;1))</f>
        <v>0</v>
      </c>
    </row>
    <row r="152" spans="1:4" x14ac:dyDescent="0.25">
      <c r="A152">
        <f t="shared" si="2"/>
        <v>0</v>
      </c>
      <c r="C152">
        <f>NOT('hospitalityq-nil'!C152="")*(OR(NOT(IFERROR(AND(INT('hospitalityq-nil'!C152)='hospitalityq-nil'!C152,'hospitalityq-nil'!C152&gt;=2018-50,'hospitalityq-nil'!C152&lt;=2018+50),FALSE)),SUMPRODUCT(--(TRIM('hospitalityq-nil'!C6:C152)=TRIM('hospitalityq-nil'!C152)),--(TRIM('hospitalityq-nil'!D6:D152)=TRIM('hospitalityq-nil'!D152)))&gt;1))</f>
        <v>0</v>
      </c>
      <c r="D152">
        <f>NOT('hospitalityq-nil'!D152="")*(OR(COUNTIF(reference!$C$144:$C$155,TRIM(LEFT('hospitalityq-nil'!D152,FIND(":",'hospitalityq-nil'!D152&amp;":")-1))&amp;":*")=0,SUMPRODUCT(--(TRIM('hospitalityq-nil'!C6:C152)=TRIM('hospitalityq-nil'!C152)),--(TRIM('hospitalityq-nil'!D6:D152)=TRIM('hospitalityq-nil'!D152)))&gt;1))</f>
        <v>0</v>
      </c>
    </row>
    <row r="153" spans="1:4" x14ac:dyDescent="0.25">
      <c r="A153">
        <f t="shared" si="2"/>
        <v>0</v>
      </c>
      <c r="C153">
        <f>NOT('hospitalityq-nil'!C153="")*(OR(NOT(IFERROR(AND(INT('hospitalityq-nil'!C153)='hospitalityq-nil'!C153,'hospitalityq-nil'!C153&gt;=2018-50,'hospitalityq-nil'!C153&lt;=2018+50),FALSE)),SUMPRODUCT(--(TRIM('hospitalityq-nil'!C6:C153)=TRIM('hospitalityq-nil'!C153)),--(TRIM('hospitalityq-nil'!D6:D153)=TRIM('hospitalityq-nil'!D153)))&gt;1))</f>
        <v>0</v>
      </c>
      <c r="D153">
        <f>NOT('hospitalityq-nil'!D153="")*(OR(COUNTIF(reference!$C$144:$C$155,TRIM(LEFT('hospitalityq-nil'!D153,FIND(":",'hospitalityq-nil'!D153&amp;":")-1))&amp;":*")=0,SUMPRODUCT(--(TRIM('hospitalityq-nil'!C6:C153)=TRIM('hospitalityq-nil'!C153)),--(TRIM('hospitalityq-nil'!D6:D153)=TRIM('hospitalityq-nil'!D153)))&gt;1))</f>
        <v>0</v>
      </c>
    </row>
    <row r="154" spans="1:4" x14ac:dyDescent="0.25">
      <c r="A154">
        <f t="shared" si="2"/>
        <v>0</v>
      </c>
      <c r="C154">
        <f>NOT('hospitalityq-nil'!C154="")*(OR(NOT(IFERROR(AND(INT('hospitalityq-nil'!C154)='hospitalityq-nil'!C154,'hospitalityq-nil'!C154&gt;=2018-50,'hospitalityq-nil'!C154&lt;=2018+50),FALSE)),SUMPRODUCT(--(TRIM('hospitalityq-nil'!C6:C154)=TRIM('hospitalityq-nil'!C154)),--(TRIM('hospitalityq-nil'!D6:D154)=TRIM('hospitalityq-nil'!D154)))&gt;1))</f>
        <v>0</v>
      </c>
      <c r="D154">
        <f>NOT('hospitalityq-nil'!D154="")*(OR(COUNTIF(reference!$C$144:$C$155,TRIM(LEFT('hospitalityq-nil'!D154,FIND(":",'hospitalityq-nil'!D154&amp;":")-1))&amp;":*")=0,SUMPRODUCT(--(TRIM('hospitalityq-nil'!C6:C154)=TRIM('hospitalityq-nil'!C154)),--(TRIM('hospitalityq-nil'!D6:D154)=TRIM('hospitalityq-nil'!D154)))&gt;1))</f>
        <v>0</v>
      </c>
    </row>
    <row r="155" spans="1:4" x14ac:dyDescent="0.25">
      <c r="A155">
        <f t="shared" si="2"/>
        <v>0</v>
      </c>
      <c r="C155">
        <f>NOT('hospitalityq-nil'!C155="")*(OR(NOT(IFERROR(AND(INT('hospitalityq-nil'!C155)='hospitalityq-nil'!C155,'hospitalityq-nil'!C155&gt;=2018-50,'hospitalityq-nil'!C155&lt;=2018+50),FALSE)),SUMPRODUCT(--(TRIM('hospitalityq-nil'!C6:C155)=TRIM('hospitalityq-nil'!C155)),--(TRIM('hospitalityq-nil'!D6:D155)=TRIM('hospitalityq-nil'!D155)))&gt;1))</f>
        <v>0</v>
      </c>
      <c r="D155">
        <f>NOT('hospitalityq-nil'!D155="")*(OR(COUNTIF(reference!$C$144:$C$155,TRIM(LEFT('hospitalityq-nil'!D155,FIND(":",'hospitalityq-nil'!D155&amp;":")-1))&amp;":*")=0,SUMPRODUCT(--(TRIM('hospitalityq-nil'!C6:C155)=TRIM('hospitalityq-nil'!C155)),--(TRIM('hospitalityq-nil'!D6:D155)=TRIM('hospitalityq-nil'!D155)))&gt;1))</f>
        <v>0</v>
      </c>
    </row>
    <row r="156" spans="1:4" x14ac:dyDescent="0.25">
      <c r="A156">
        <f t="shared" si="2"/>
        <v>0</v>
      </c>
      <c r="C156">
        <f>NOT('hospitalityq-nil'!C156="")*(OR(NOT(IFERROR(AND(INT('hospitalityq-nil'!C156)='hospitalityq-nil'!C156,'hospitalityq-nil'!C156&gt;=2018-50,'hospitalityq-nil'!C156&lt;=2018+50),FALSE)),SUMPRODUCT(--(TRIM('hospitalityq-nil'!C6:C156)=TRIM('hospitalityq-nil'!C156)),--(TRIM('hospitalityq-nil'!D6:D156)=TRIM('hospitalityq-nil'!D156)))&gt;1))</f>
        <v>0</v>
      </c>
      <c r="D156">
        <f>NOT('hospitalityq-nil'!D156="")*(OR(COUNTIF(reference!$C$144:$C$155,TRIM(LEFT('hospitalityq-nil'!D156,FIND(":",'hospitalityq-nil'!D156&amp;":")-1))&amp;":*")=0,SUMPRODUCT(--(TRIM('hospitalityq-nil'!C6:C156)=TRIM('hospitalityq-nil'!C156)),--(TRIM('hospitalityq-nil'!D6:D156)=TRIM('hospitalityq-nil'!D156)))&gt;1))</f>
        <v>0</v>
      </c>
    </row>
    <row r="157" spans="1:4" x14ac:dyDescent="0.25">
      <c r="A157">
        <f t="shared" si="2"/>
        <v>0</v>
      </c>
      <c r="C157">
        <f>NOT('hospitalityq-nil'!C157="")*(OR(NOT(IFERROR(AND(INT('hospitalityq-nil'!C157)='hospitalityq-nil'!C157,'hospitalityq-nil'!C157&gt;=2018-50,'hospitalityq-nil'!C157&lt;=2018+50),FALSE)),SUMPRODUCT(--(TRIM('hospitalityq-nil'!C6:C157)=TRIM('hospitalityq-nil'!C157)),--(TRIM('hospitalityq-nil'!D6:D157)=TRIM('hospitalityq-nil'!D157)))&gt;1))</f>
        <v>0</v>
      </c>
      <c r="D157">
        <f>NOT('hospitalityq-nil'!D157="")*(OR(COUNTIF(reference!$C$144:$C$155,TRIM(LEFT('hospitalityq-nil'!D157,FIND(":",'hospitalityq-nil'!D157&amp;":")-1))&amp;":*")=0,SUMPRODUCT(--(TRIM('hospitalityq-nil'!C6:C157)=TRIM('hospitalityq-nil'!C157)),--(TRIM('hospitalityq-nil'!D6:D157)=TRIM('hospitalityq-nil'!D157)))&gt;1))</f>
        <v>0</v>
      </c>
    </row>
    <row r="158" spans="1:4" x14ac:dyDescent="0.25">
      <c r="A158">
        <f t="shared" si="2"/>
        <v>0</v>
      </c>
      <c r="C158">
        <f>NOT('hospitalityq-nil'!C158="")*(OR(NOT(IFERROR(AND(INT('hospitalityq-nil'!C158)='hospitalityq-nil'!C158,'hospitalityq-nil'!C158&gt;=2018-50,'hospitalityq-nil'!C158&lt;=2018+50),FALSE)),SUMPRODUCT(--(TRIM('hospitalityq-nil'!C6:C158)=TRIM('hospitalityq-nil'!C158)),--(TRIM('hospitalityq-nil'!D6:D158)=TRIM('hospitalityq-nil'!D158)))&gt;1))</f>
        <v>0</v>
      </c>
      <c r="D158">
        <f>NOT('hospitalityq-nil'!D158="")*(OR(COUNTIF(reference!$C$144:$C$155,TRIM(LEFT('hospitalityq-nil'!D158,FIND(":",'hospitalityq-nil'!D158&amp;":")-1))&amp;":*")=0,SUMPRODUCT(--(TRIM('hospitalityq-nil'!C6:C158)=TRIM('hospitalityq-nil'!C158)),--(TRIM('hospitalityq-nil'!D6:D158)=TRIM('hospitalityq-nil'!D158)))&gt;1))</f>
        <v>0</v>
      </c>
    </row>
    <row r="159" spans="1:4" x14ac:dyDescent="0.25">
      <c r="A159">
        <f t="shared" si="2"/>
        <v>0</v>
      </c>
      <c r="C159">
        <f>NOT('hospitalityq-nil'!C159="")*(OR(NOT(IFERROR(AND(INT('hospitalityq-nil'!C159)='hospitalityq-nil'!C159,'hospitalityq-nil'!C159&gt;=2018-50,'hospitalityq-nil'!C159&lt;=2018+50),FALSE)),SUMPRODUCT(--(TRIM('hospitalityq-nil'!C6:C159)=TRIM('hospitalityq-nil'!C159)),--(TRIM('hospitalityq-nil'!D6:D159)=TRIM('hospitalityq-nil'!D159)))&gt;1))</f>
        <v>0</v>
      </c>
      <c r="D159">
        <f>NOT('hospitalityq-nil'!D159="")*(OR(COUNTIF(reference!$C$144:$C$155,TRIM(LEFT('hospitalityq-nil'!D159,FIND(":",'hospitalityq-nil'!D159&amp;":")-1))&amp;":*")=0,SUMPRODUCT(--(TRIM('hospitalityq-nil'!C6:C159)=TRIM('hospitalityq-nil'!C159)),--(TRIM('hospitalityq-nil'!D6:D159)=TRIM('hospitalityq-nil'!D159)))&gt;1))</f>
        <v>0</v>
      </c>
    </row>
    <row r="160" spans="1:4" x14ac:dyDescent="0.25">
      <c r="A160">
        <f t="shared" si="2"/>
        <v>0</v>
      </c>
      <c r="C160">
        <f>NOT('hospitalityq-nil'!C160="")*(OR(NOT(IFERROR(AND(INT('hospitalityq-nil'!C160)='hospitalityq-nil'!C160,'hospitalityq-nil'!C160&gt;=2018-50,'hospitalityq-nil'!C160&lt;=2018+50),FALSE)),SUMPRODUCT(--(TRIM('hospitalityq-nil'!C6:C160)=TRIM('hospitalityq-nil'!C160)),--(TRIM('hospitalityq-nil'!D6:D160)=TRIM('hospitalityq-nil'!D160)))&gt;1))</f>
        <v>0</v>
      </c>
      <c r="D160">
        <f>NOT('hospitalityq-nil'!D160="")*(OR(COUNTIF(reference!$C$144:$C$155,TRIM(LEFT('hospitalityq-nil'!D160,FIND(":",'hospitalityq-nil'!D160&amp;":")-1))&amp;":*")=0,SUMPRODUCT(--(TRIM('hospitalityq-nil'!C6:C160)=TRIM('hospitalityq-nil'!C160)),--(TRIM('hospitalityq-nil'!D6:D160)=TRIM('hospitalityq-nil'!D160)))&gt;1))</f>
        <v>0</v>
      </c>
    </row>
    <row r="161" spans="1:4" x14ac:dyDescent="0.25">
      <c r="A161">
        <f t="shared" si="2"/>
        <v>0</v>
      </c>
      <c r="C161">
        <f>NOT('hospitalityq-nil'!C161="")*(OR(NOT(IFERROR(AND(INT('hospitalityq-nil'!C161)='hospitalityq-nil'!C161,'hospitalityq-nil'!C161&gt;=2018-50,'hospitalityq-nil'!C161&lt;=2018+50),FALSE)),SUMPRODUCT(--(TRIM('hospitalityq-nil'!C6:C161)=TRIM('hospitalityq-nil'!C161)),--(TRIM('hospitalityq-nil'!D6:D161)=TRIM('hospitalityq-nil'!D161)))&gt;1))</f>
        <v>0</v>
      </c>
      <c r="D161">
        <f>NOT('hospitalityq-nil'!D161="")*(OR(COUNTIF(reference!$C$144:$C$155,TRIM(LEFT('hospitalityq-nil'!D161,FIND(":",'hospitalityq-nil'!D161&amp;":")-1))&amp;":*")=0,SUMPRODUCT(--(TRIM('hospitalityq-nil'!C6:C161)=TRIM('hospitalityq-nil'!C161)),--(TRIM('hospitalityq-nil'!D6:D161)=TRIM('hospitalityq-nil'!D161)))&gt;1))</f>
        <v>0</v>
      </c>
    </row>
    <row r="162" spans="1:4" x14ac:dyDescent="0.25">
      <c r="A162">
        <f t="shared" si="2"/>
        <v>0</v>
      </c>
      <c r="C162">
        <f>NOT('hospitalityq-nil'!C162="")*(OR(NOT(IFERROR(AND(INT('hospitalityq-nil'!C162)='hospitalityq-nil'!C162,'hospitalityq-nil'!C162&gt;=2018-50,'hospitalityq-nil'!C162&lt;=2018+50),FALSE)),SUMPRODUCT(--(TRIM('hospitalityq-nil'!C6:C162)=TRIM('hospitalityq-nil'!C162)),--(TRIM('hospitalityq-nil'!D6:D162)=TRIM('hospitalityq-nil'!D162)))&gt;1))</f>
        <v>0</v>
      </c>
      <c r="D162">
        <f>NOT('hospitalityq-nil'!D162="")*(OR(COUNTIF(reference!$C$144:$C$155,TRIM(LEFT('hospitalityq-nil'!D162,FIND(":",'hospitalityq-nil'!D162&amp;":")-1))&amp;":*")=0,SUMPRODUCT(--(TRIM('hospitalityq-nil'!C6:C162)=TRIM('hospitalityq-nil'!C162)),--(TRIM('hospitalityq-nil'!D6:D162)=TRIM('hospitalityq-nil'!D162)))&gt;1))</f>
        <v>0</v>
      </c>
    </row>
    <row r="163" spans="1:4" x14ac:dyDescent="0.25">
      <c r="A163">
        <f t="shared" si="2"/>
        <v>0</v>
      </c>
      <c r="C163">
        <f>NOT('hospitalityq-nil'!C163="")*(OR(NOT(IFERROR(AND(INT('hospitalityq-nil'!C163)='hospitalityq-nil'!C163,'hospitalityq-nil'!C163&gt;=2018-50,'hospitalityq-nil'!C163&lt;=2018+50),FALSE)),SUMPRODUCT(--(TRIM('hospitalityq-nil'!C6:C163)=TRIM('hospitalityq-nil'!C163)),--(TRIM('hospitalityq-nil'!D6:D163)=TRIM('hospitalityq-nil'!D163)))&gt;1))</f>
        <v>0</v>
      </c>
      <c r="D163">
        <f>NOT('hospitalityq-nil'!D163="")*(OR(COUNTIF(reference!$C$144:$C$155,TRIM(LEFT('hospitalityq-nil'!D163,FIND(":",'hospitalityq-nil'!D163&amp;":")-1))&amp;":*")=0,SUMPRODUCT(--(TRIM('hospitalityq-nil'!C6:C163)=TRIM('hospitalityq-nil'!C163)),--(TRIM('hospitalityq-nil'!D6:D163)=TRIM('hospitalityq-nil'!D163)))&gt;1))</f>
        <v>0</v>
      </c>
    </row>
    <row r="164" spans="1:4" x14ac:dyDescent="0.25">
      <c r="A164">
        <f t="shared" si="2"/>
        <v>0</v>
      </c>
      <c r="C164">
        <f>NOT('hospitalityq-nil'!C164="")*(OR(NOT(IFERROR(AND(INT('hospitalityq-nil'!C164)='hospitalityq-nil'!C164,'hospitalityq-nil'!C164&gt;=2018-50,'hospitalityq-nil'!C164&lt;=2018+50),FALSE)),SUMPRODUCT(--(TRIM('hospitalityq-nil'!C6:C164)=TRIM('hospitalityq-nil'!C164)),--(TRIM('hospitalityq-nil'!D6:D164)=TRIM('hospitalityq-nil'!D164)))&gt;1))</f>
        <v>0</v>
      </c>
      <c r="D164">
        <f>NOT('hospitalityq-nil'!D164="")*(OR(COUNTIF(reference!$C$144:$C$155,TRIM(LEFT('hospitalityq-nil'!D164,FIND(":",'hospitalityq-nil'!D164&amp;":")-1))&amp;":*")=0,SUMPRODUCT(--(TRIM('hospitalityq-nil'!C6:C164)=TRIM('hospitalityq-nil'!C164)),--(TRIM('hospitalityq-nil'!D6:D164)=TRIM('hospitalityq-nil'!D164)))&gt;1))</f>
        <v>0</v>
      </c>
    </row>
    <row r="165" spans="1:4" x14ac:dyDescent="0.25">
      <c r="A165">
        <f t="shared" si="2"/>
        <v>0</v>
      </c>
      <c r="C165">
        <f>NOT('hospitalityq-nil'!C165="")*(OR(NOT(IFERROR(AND(INT('hospitalityq-nil'!C165)='hospitalityq-nil'!C165,'hospitalityq-nil'!C165&gt;=2018-50,'hospitalityq-nil'!C165&lt;=2018+50),FALSE)),SUMPRODUCT(--(TRIM('hospitalityq-nil'!C6:C165)=TRIM('hospitalityq-nil'!C165)),--(TRIM('hospitalityq-nil'!D6:D165)=TRIM('hospitalityq-nil'!D165)))&gt;1))</f>
        <v>0</v>
      </c>
      <c r="D165">
        <f>NOT('hospitalityq-nil'!D165="")*(OR(COUNTIF(reference!$C$144:$C$155,TRIM(LEFT('hospitalityq-nil'!D165,FIND(":",'hospitalityq-nil'!D165&amp;":")-1))&amp;":*")=0,SUMPRODUCT(--(TRIM('hospitalityq-nil'!C6:C165)=TRIM('hospitalityq-nil'!C165)),--(TRIM('hospitalityq-nil'!D6:D165)=TRIM('hospitalityq-nil'!D165)))&gt;1))</f>
        <v>0</v>
      </c>
    </row>
    <row r="166" spans="1:4" x14ac:dyDescent="0.25">
      <c r="A166">
        <f t="shared" si="2"/>
        <v>0</v>
      </c>
      <c r="C166">
        <f>NOT('hospitalityq-nil'!C166="")*(OR(NOT(IFERROR(AND(INT('hospitalityq-nil'!C166)='hospitalityq-nil'!C166,'hospitalityq-nil'!C166&gt;=2018-50,'hospitalityq-nil'!C166&lt;=2018+50),FALSE)),SUMPRODUCT(--(TRIM('hospitalityq-nil'!C6:C166)=TRIM('hospitalityq-nil'!C166)),--(TRIM('hospitalityq-nil'!D6:D166)=TRIM('hospitalityq-nil'!D166)))&gt;1))</f>
        <v>0</v>
      </c>
      <c r="D166">
        <f>NOT('hospitalityq-nil'!D166="")*(OR(COUNTIF(reference!$C$144:$C$155,TRIM(LEFT('hospitalityq-nil'!D166,FIND(":",'hospitalityq-nil'!D166&amp;":")-1))&amp;":*")=0,SUMPRODUCT(--(TRIM('hospitalityq-nil'!C6:C166)=TRIM('hospitalityq-nil'!C166)),--(TRIM('hospitalityq-nil'!D6:D166)=TRIM('hospitalityq-nil'!D166)))&gt;1))</f>
        <v>0</v>
      </c>
    </row>
    <row r="167" spans="1:4" x14ac:dyDescent="0.25">
      <c r="A167">
        <f t="shared" si="2"/>
        <v>0</v>
      </c>
      <c r="C167">
        <f>NOT('hospitalityq-nil'!C167="")*(OR(NOT(IFERROR(AND(INT('hospitalityq-nil'!C167)='hospitalityq-nil'!C167,'hospitalityq-nil'!C167&gt;=2018-50,'hospitalityq-nil'!C167&lt;=2018+50),FALSE)),SUMPRODUCT(--(TRIM('hospitalityq-nil'!C6:C167)=TRIM('hospitalityq-nil'!C167)),--(TRIM('hospitalityq-nil'!D6:D167)=TRIM('hospitalityq-nil'!D167)))&gt;1))</f>
        <v>0</v>
      </c>
      <c r="D167">
        <f>NOT('hospitalityq-nil'!D167="")*(OR(COUNTIF(reference!$C$144:$C$155,TRIM(LEFT('hospitalityq-nil'!D167,FIND(":",'hospitalityq-nil'!D167&amp;":")-1))&amp;":*")=0,SUMPRODUCT(--(TRIM('hospitalityq-nil'!C6:C167)=TRIM('hospitalityq-nil'!C167)),--(TRIM('hospitalityq-nil'!D6:D167)=TRIM('hospitalityq-nil'!D167)))&gt;1))</f>
        <v>0</v>
      </c>
    </row>
    <row r="168" spans="1:4" x14ac:dyDescent="0.25">
      <c r="A168">
        <f t="shared" si="2"/>
        <v>0</v>
      </c>
      <c r="C168">
        <f>NOT('hospitalityq-nil'!C168="")*(OR(NOT(IFERROR(AND(INT('hospitalityq-nil'!C168)='hospitalityq-nil'!C168,'hospitalityq-nil'!C168&gt;=2018-50,'hospitalityq-nil'!C168&lt;=2018+50),FALSE)),SUMPRODUCT(--(TRIM('hospitalityq-nil'!C6:C168)=TRIM('hospitalityq-nil'!C168)),--(TRIM('hospitalityq-nil'!D6:D168)=TRIM('hospitalityq-nil'!D168)))&gt;1))</f>
        <v>0</v>
      </c>
      <c r="D168">
        <f>NOT('hospitalityq-nil'!D168="")*(OR(COUNTIF(reference!$C$144:$C$155,TRIM(LEFT('hospitalityq-nil'!D168,FIND(":",'hospitalityq-nil'!D168&amp;":")-1))&amp;":*")=0,SUMPRODUCT(--(TRIM('hospitalityq-nil'!C6:C168)=TRIM('hospitalityq-nil'!C168)),--(TRIM('hospitalityq-nil'!D6:D168)=TRIM('hospitalityq-nil'!D168)))&gt;1))</f>
        <v>0</v>
      </c>
    </row>
    <row r="169" spans="1:4" x14ac:dyDescent="0.25">
      <c r="A169">
        <f t="shared" si="2"/>
        <v>0</v>
      </c>
      <c r="C169">
        <f>NOT('hospitalityq-nil'!C169="")*(OR(NOT(IFERROR(AND(INT('hospitalityq-nil'!C169)='hospitalityq-nil'!C169,'hospitalityq-nil'!C169&gt;=2018-50,'hospitalityq-nil'!C169&lt;=2018+50),FALSE)),SUMPRODUCT(--(TRIM('hospitalityq-nil'!C6:C169)=TRIM('hospitalityq-nil'!C169)),--(TRIM('hospitalityq-nil'!D6:D169)=TRIM('hospitalityq-nil'!D169)))&gt;1))</f>
        <v>0</v>
      </c>
      <c r="D169">
        <f>NOT('hospitalityq-nil'!D169="")*(OR(COUNTIF(reference!$C$144:$C$155,TRIM(LEFT('hospitalityq-nil'!D169,FIND(":",'hospitalityq-nil'!D169&amp;":")-1))&amp;":*")=0,SUMPRODUCT(--(TRIM('hospitalityq-nil'!C6:C169)=TRIM('hospitalityq-nil'!C169)),--(TRIM('hospitalityq-nil'!D6:D169)=TRIM('hospitalityq-nil'!D169)))&gt;1))</f>
        <v>0</v>
      </c>
    </row>
    <row r="170" spans="1:4" x14ac:dyDescent="0.25">
      <c r="A170">
        <f t="shared" si="2"/>
        <v>0</v>
      </c>
      <c r="C170">
        <f>NOT('hospitalityq-nil'!C170="")*(OR(NOT(IFERROR(AND(INT('hospitalityq-nil'!C170)='hospitalityq-nil'!C170,'hospitalityq-nil'!C170&gt;=2018-50,'hospitalityq-nil'!C170&lt;=2018+50),FALSE)),SUMPRODUCT(--(TRIM('hospitalityq-nil'!C6:C170)=TRIM('hospitalityq-nil'!C170)),--(TRIM('hospitalityq-nil'!D6:D170)=TRIM('hospitalityq-nil'!D170)))&gt;1))</f>
        <v>0</v>
      </c>
      <c r="D170">
        <f>NOT('hospitalityq-nil'!D170="")*(OR(COUNTIF(reference!$C$144:$C$155,TRIM(LEFT('hospitalityq-nil'!D170,FIND(":",'hospitalityq-nil'!D170&amp;":")-1))&amp;":*")=0,SUMPRODUCT(--(TRIM('hospitalityq-nil'!C6:C170)=TRIM('hospitalityq-nil'!C170)),--(TRIM('hospitalityq-nil'!D6:D170)=TRIM('hospitalityq-nil'!D170)))&gt;1))</f>
        <v>0</v>
      </c>
    </row>
    <row r="171" spans="1:4" x14ac:dyDescent="0.25">
      <c r="A171">
        <f t="shared" si="2"/>
        <v>0</v>
      </c>
      <c r="C171">
        <f>NOT('hospitalityq-nil'!C171="")*(OR(NOT(IFERROR(AND(INT('hospitalityq-nil'!C171)='hospitalityq-nil'!C171,'hospitalityq-nil'!C171&gt;=2018-50,'hospitalityq-nil'!C171&lt;=2018+50),FALSE)),SUMPRODUCT(--(TRIM('hospitalityq-nil'!C6:C171)=TRIM('hospitalityq-nil'!C171)),--(TRIM('hospitalityq-nil'!D6:D171)=TRIM('hospitalityq-nil'!D171)))&gt;1))</f>
        <v>0</v>
      </c>
      <c r="D171">
        <f>NOT('hospitalityq-nil'!D171="")*(OR(COUNTIF(reference!$C$144:$C$155,TRIM(LEFT('hospitalityq-nil'!D171,FIND(":",'hospitalityq-nil'!D171&amp;":")-1))&amp;":*")=0,SUMPRODUCT(--(TRIM('hospitalityq-nil'!C6:C171)=TRIM('hospitalityq-nil'!C171)),--(TRIM('hospitalityq-nil'!D6:D171)=TRIM('hospitalityq-nil'!D171)))&gt;1))</f>
        <v>0</v>
      </c>
    </row>
    <row r="172" spans="1:4" x14ac:dyDescent="0.25">
      <c r="A172">
        <f t="shared" si="2"/>
        <v>0</v>
      </c>
      <c r="C172">
        <f>NOT('hospitalityq-nil'!C172="")*(OR(NOT(IFERROR(AND(INT('hospitalityq-nil'!C172)='hospitalityq-nil'!C172,'hospitalityq-nil'!C172&gt;=2018-50,'hospitalityq-nil'!C172&lt;=2018+50),FALSE)),SUMPRODUCT(--(TRIM('hospitalityq-nil'!C6:C172)=TRIM('hospitalityq-nil'!C172)),--(TRIM('hospitalityq-nil'!D6:D172)=TRIM('hospitalityq-nil'!D172)))&gt;1))</f>
        <v>0</v>
      </c>
      <c r="D172">
        <f>NOT('hospitalityq-nil'!D172="")*(OR(COUNTIF(reference!$C$144:$C$155,TRIM(LEFT('hospitalityq-nil'!D172,FIND(":",'hospitalityq-nil'!D172&amp;":")-1))&amp;":*")=0,SUMPRODUCT(--(TRIM('hospitalityq-nil'!C6:C172)=TRIM('hospitalityq-nil'!C172)),--(TRIM('hospitalityq-nil'!D6:D172)=TRIM('hospitalityq-nil'!D172)))&gt;1))</f>
        <v>0</v>
      </c>
    </row>
    <row r="173" spans="1:4" x14ac:dyDescent="0.25">
      <c r="A173">
        <f t="shared" si="2"/>
        <v>0</v>
      </c>
      <c r="C173">
        <f>NOT('hospitalityq-nil'!C173="")*(OR(NOT(IFERROR(AND(INT('hospitalityq-nil'!C173)='hospitalityq-nil'!C173,'hospitalityq-nil'!C173&gt;=2018-50,'hospitalityq-nil'!C173&lt;=2018+50),FALSE)),SUMPRODUCT(--(TRIM('hospitalityq-nil'!C6:C173)=TRIM('hospitalityq-nil'!C173)),--(TRIM('hospitalityq-nil'!D6:D173)=TRIM('hospitalityq-nil'!D173)))&gt;1))</f>
        <v>0</v>
      </c>
      <c r="D173">
        <f>NOT('hospitalityq-nil'!D173="")*(OR(COUNTIF(reference!$C$144:$C$155,TRIM(LEFT('hospitalityq-nil'!D173,FIND(":",'hospitalityq-nil'!D173&amp;":")-1))&amp;":*")=0,SUMPRODUCT(--(TRIM('hospitalityq-nil'!C6:C173)=TRIM('hospitalityq-nil'!C173)),--(TRIM('hospitalityq-nil'!D6:D173)=TRIM('hospitalityq-nil'!D173)))&gt;1))</f>
        <v>0</v>
      </c>
    </row>
    <row r="174" spans="1:4" x14ac:dyDescent="0.25">
      <c r="A174">
        <f t="shared" si="2"/>
        <v>0</v>
      </c>
      <c r="C174">
        <f>NOT('hospitalityq-nil'!C174="")*(OR(NOT(IFERROR(AND(INT('hospitalityq-nil'!C174)='hospitalityq-nil'!C174,'hospitalityq-nil'!C174&gt;=2018-50,'hospitalityq-nil'!C174&lt;=2018+50),FALSE)),SUMPRODUCT(--(TRIM('hospitalityq-nil'!C6:C174)=TRIM('hospitalityq-nil'!C174)),--(TRIM('hospitalityq-nil'!D6:D174)=TRIM('hospitalityq-nil'!D174)))&gt;1))</f>
        <v>0</v>
      </c>
      <c r="D174">
        <f>NOT('hospitalityq-nil'!D174="")*(OR(COUNTIF(reference!$C$144:$C$155,TRIM(LEFT('hospitalityq-nil'!D174,FIND(":",'hospitalityq-nil'!D174&amp;":")-1))&amp;":*")=0,SUMPRODUCT(--(TRIM('hospitalityq-nil'!C6:C174)=TRIM('hospitalityq-nil'!C174)),--(TRIM('hospitalityq-nil'!D6:D174)=TRIM('hospitalityq-nil'!D174)))&gt;1))</f>
        <v>0</v>
      </c>
    </row>
    <row r="175" spans="1:4" x14ac:dyDescent="0.25">
      <c r="A175">
        <f t="shared" si="2"/>
        <v>0</v>
      </c>
      <c r="C175">
        <f>NOT('hospitalityq-nil'!C175="")*(OR(NOT(IFERROR(AND(INT('hospitalityq-nil'!C175)='hospitalityq-nil'!C175,'hospitalityq-nil'!C175&gt;=2018-50,'hospitalityq-nil'!C175&lt;=2018+50),FALSE)),SUMPRODUCT(--(TRIM('hospitalityq-nil'!C6:C175)=TRIM('hospitalityq-nil'!C175)),--(TRIM('hospitalityq-nil'!D6:D175)=TRIM('hospitalityq-nil'!D175)))&gt;1))</f>
        <v>0</v>
      </c>
      <c r="D175">
        <f>NOT('hospitalityq-nil'!D175="")*(OR(COUNTIF(reference!$C$144:$C$155,TRIM(LEFT('hospitalityq-nil'!D175,FIND(":",'hospitalityq-nil'!D175&amp;":")-1))&amp;":*")=0,SUMPRODUCT(--(TRIM('hospitalityq-nil'!C6:C175)=TRIM('hospitalityq-nil'!C175)),--(TRIM('hospitalityq-nil'!D6:D175)=TRIM('hospitalityq-nil'!D175)))&gt;1))</f>
        <v>0</v>
      </c>
    </row>
    <row r="176" spans="1:4" x14ac:dyDescent="0.25">
      <c r="A176">
        <f t="shared" si="2"/>
        <v>0</v>
      </c>
      <c r="C176">
        <f>NOT('hospitalityq-nil'!C176="")*(OR(NOT(IFERROR(AND(INT('hospitalityq-nil'!C176)='hospitalityq-nil'!C176,'hospitalityq-nil'!C176&gt;=2018-50,'hospitalityq-nil'!C176&lt;=2018+50),FALSE)),SUMPRODUCT(--(TRIM('hospitalityq-nil'!C6:C176)=TRIM('hospitalityq-nil'!C176)),--(TRIM('hospitalityq-nil'!D6:D176)=TRIM('hospitalityq-nil'!D176)))&gt;1))</f>
        <v>0</v>
      </c>
      <c r="D176">
        <f>NOT('hospitalityq-nil'!D176="")*(OR(COUNTIF(reference!$C$144:$C$155,TRIM(LEFT('hospitalityq-nil'!D176,FIND(":",'hospitalityq-nil'!D176&amp;":")-1))&amp;":*")=0,SUMPRODUCT(--(TRIM('hospitalityq-nil'!C6:C176)=TRIM('hospitalityq-nil'!C176)),--(TRIM('hospitalityq-nil'!D6:D176)=TRIM('hospitalityq-nil'!D176)))&gt;1))</f>
        <v>0</v>
      </c>
    </row>
    <row r="177" spans="1:4" x14ac:dyDescent="0.25">
      <c r="A177">
        <f t="shared" si="2"/>
        <v>0</v>
      </c>
      <c r="C177">
        <f>NOT('hospitalityq-nil'!C177="")*(OR(NOT(IFERROR(AND(INT('hospitalityq-nil'!C177)='hospitalityq-nil'!C177,'hospitalityq-nil'!C177&gt;=2018-50,'hospitalityq-nil'!C177&lt;=2018+50),FALSE)),SUMPRODUCT(--(TRIM('hospitalityq-nil'!C6:C177)=TRIM('hospitalityq-nil'!C177)),--(TRIM('hospitalityq-nil'!D6:D177)=TRIM('hospitalityq-nil'!D177)))&gt;1))</f>
        <v>0</v>
      </c>
      <c r="D177">
        <f>NOT('hospitalityq-nil'!D177="")*(OR(COUNTIF(reference!$C$144:$C$155,TRIM(LEFT('hospitalityq-nil'!D177,FIND(":",'hospitalityq-nil'!D177&amp;":")-1))&amp;":*")=0,SUMPRODUCT(--(TRIM('hospitalityq-nil'!C6:C177)=TRIM('hospitalityq-nil'!C177)),--(TRIM('hospitalityq-nil'!D6:D177)=TRIM('hospitalityq-nil'!D177)))&gt;1))</f>
        <v>0</v>
      </c>
    </row>
    <row r="178" spans="1:4" x14ac:dyDescent="0.25">
      <c r="A178">
        <f t="shared" si="2"/>
        <v>0</v>
      </c>
      <c r="C178">
        <f>NOT('hospitalityq-nil'!C178="")*(OR(NOT(IFERROR(AND(INT('hospitalityq-nil'!C178)='hospitalityq-nil'!C178,'hospitalityq-nil'!C178&gt;=2018-50,'hospitalityq-nil'!C178&lt;=2018+50),FALSE)),SUMPRODUCT(--(TRIM('hospitalityq-nil'!C6:C178)=TRIM('hospitalityq-nil'!C178)),--(TRIM('hospitalityq-nil'!D6:D178)=TRIM('hospitalityq-nil'!D178)))&gt;1))</f>
        <v>0</v>
      </c>
      <c r="D178">
        <f>NOT('hospitalityq-nil'!D178="")*(OR(COUNTIF(reference!$C$144:$C$155,TRIM(LEFT('hospitalityq-nil'!D178,FIND(":",'hospitalityq-nil'!D178&amp;":")-1))&amp;":*")=0,SUMPRODUCT(--(TRIM('hospitalityq-nil'!C6:C178)=TRIM('hospitalityq-nil'!C178)),--(TRIM('hospitalityq-nil'!D6:D178)=TRIM('hospitalityq-nil'!D178)))&gt;1))</f>
        <v>0</v>
      </c>
    </row>
    <row r="179" spans="1:4" x14ac:dyDescent="0.25">
      <c r="A179">
        <f t="shared" si="2"/>
        <v>0</v>
      </c>
      <c r="C179">
        <f>NOT('hospitalityq-nil'!C179="")*(OR(NOT(IFERROR(AND(INT('hospitalityq-nil'!C179)='hospitalityq-nil'!C179,'hospitalityq-nil'!C179&gt;=2018-50,'hospitalityq-nil'!C179&lt;=2018+50),FALSE)),SUMPRODUCT(--(TRIM('hospitalityq-nil'!C6:C179)=TRIM('hospitalityq-nil'!C179)),--(TRIM('hospitalityq-nil'!D6:D179)=TRIM('hospitalityq-nil'!D179)))&gt;1))</f>
        <v>0</v>
      </c>
      <c r="D179">
        <f>NOT('hospitalityq-nil'!D179="")*(OR(COUNTIF(reference!$C$144:$C$155,TRIM(LEFT('hospitalityq-nil'!D179,FIND(":",'hospitalityq-nil'!D179&amp;":")-1))&amp;":*")=0,SUMPRODUCT(--(TRIM('hospitalityq-nil'!C6:C179)=TRIM('hospitalityq-nil'!C179)),--(TRIM('hospitalityq-nil'!D6:D179)=TRIM('hospitalityq-nil'!D179)))&gt;1))</f>
        <v>0</v>
      </c>
    </row>
    <row r="180" spans="1:4" x14ac:dyDescent="0.25">
      <c r="A180">
        <f t="shared" si="2"/>
        <v>0</v>
      </c>
      <c r="C180">
        <f>NOT('hospitalityq-nil'!C180="")*(OR(NOT(IFERROR(AND(INT('hospitalityq-nil'!C180)='hospitalityq-nil'!C180,'hospitalityq-nil'!C180&gt;=2018-50,'hospitalityq-nil'!C180&lt;=2018+50),FALSE)),SUMPRODUCT(--(TRIM('hospitalityq-nil'!C6:C180)=TRIM('hospitalityq-nil'!C180)),--(TRIM('hospitalityq-nil'!D6:D180)=TRIM('hospitalityq-nil'!D180)))&gt;1))</f>
        <v>0</v>
      </c>
      <c r="D180">
        <f>NOT('hospitalityq-nil'!D180="")*(OR(COUNTIF(reference!$C$144:$C$155,TRIM(LEFT('hospitalityq-nil'!D180,FIND(":",'hospitalityq-nil'!D180&amp;":")-1))&amp;":*")=0,SUMPRODUCT(--(TRIM('hospitalityq-nil'!C6:C180)=TRIM('hospitalityq-nil'!C180)),--(TRIM('hospitalityq-nil'!D6:D180)=TRIM('hospitalityq-nil'!D180)))&gt;1))</f>
        <v>0</v>
      </c>
    </row>
    <row r="181" spans="1:4" x14ac:dyDescent="0.25">
      <c r="A181">
        <f t="shared" si="2"/>
        <v>0</v>
      </c>
      <c r="C181">
        <f>NOT('hospitalityq-nil'!C181="")*(OR(NOT(IFERROR(AND(INT('hospitalityq-nil'!C181)='hospitalityq-nil'!C181,'hospitalityq-nil'!C181&gt;=2018-50,'hospitalityq-nil'!C181&lt;=2018+50),FALSE)),SUMPRODUCT(--(TRIM('hospitalityq-nil'!C6:C181)=TRIM('hospitalityq-nil'!C181)),--(TRIM('hospitalityq-nil'!D6:D181)=TRIM('hospitalityq-nil'!D181)))&gt;1))</f>
        <v>0</v>
      </c>
      <c r="D181">
        <f>NOT('hospitalityq-nil'!D181="")*(OR(COUNTIF(reference!$C$144:$C$155,TRIM(LEFT('hospitalityq-nil'!D181,FIND(":",'hospitalityq-nil'!D181&amp;":")-1))&amp;":*")=0,SUMPRODUCT(--(TRIM('hospitalityq-nil'!C6:C181)=TRIM('hospitalityq-nil'!C181)),--(TRIM('hospitalityq-nil'!D6:D181)=TRIM('hospitalityq-nil'!D181)))&gt;1))</f>
        <v>0</v>
      </c>
    </row>
    <row r="182" spans="1:4" x14ac:dyDescent="0.25">
      <c r="A182">
        <f t="shared" si="2"/>
        <v>0</v>
      </c>
      <c r="C182">
        <f>NOT('hospitalityq-nil'!C182="")*(OR(NOT(IFERROR(AND(INT('hospitalityq-nil'!C182)='hospitalityq-nil'!C182,'hospitalityq-nil'!C182&gt;=2018-50,'hospitalityq-nil'!C182&lt;=2018+50),FALSE)),SUMPRODUCT(--(TRIM('hospitalityq-nil'!C6:C182)=TRIM('hospitalityq-nil'!C182)),--(TRIM('hospitalityq-nil'!D6:D182)=TRIM('hospitalityq-nil'!D182)))&gt;1))</f>
        <v>0</v>
      </c>
      <c r="D182">
        <f>NOT('hospitalityq-nil'!D182="")*(OR(COUNTIF(reference!$C$144:$C$155,TRIM(LEFT('hospitalityq-nil'!D182,FIND(":",'hospitalityq-nil'!D182&amp;":")-1))&amp;":*")=0,SUMPRODUCT(--(TRIM('hospitalityq-nil'!C6:C182)=TRIM('hospitalityq-nil'!C182)),--(TRIM('hospitalityq-nil'!D6:D182)=TRIM('hospitalityq-nil'!D182)))&gt;1))</f>
        <v>0</v>
      </c>
    </row>
    <row r="183" spans="1:4" x14ac:dyDescent="0.25">
      <c r="A183">
        <f t="shared" si="2"/>
        <v>0</v>
      </c>
      <c r="C183">
        <f>NOT('hospitalityq-nil'!C183="")*(OR(NOT(IFERROR(AND(INT('hospitalityq-nil'!C183)='hospitalityq-nil'!C183,'hospitalityq-nil'!C183&gt;=2018-50,'hospitalityq-nil'!C183&lt;=2018+50),FALSE)),SUMPRODUCT(--(TRIM('hospitalityq-nil'!C6:C183)=TRIM('hospitalityq-nil'!C183)),--(TRIM('hospitalityq-nil'!D6:D183)=TRIM('hospitalityq-nil'!D183)))&gt;1))</f>
        <v>0</v>
      </c>
      <c r="D183">
        <f>NOT('hospitalityq-nil'!D183="")*(OR(COUNTIF(reference!$C$144:$C$155,TRIM(LEFT('hospitalityq-nil'!D183,FIND(":",'hospitalityq-nil'!D183&amp;":")-1))&amp;":*")=0,SUMPRODUCT(--(TRIM('hospitalityq-nil'!C6:C183)=TRIM('hospitalityq-nil'!C183)),--(TRIM('hospitalityq-nil'!D6:D183)=TRIM('hospitalityq-nil'!D183)))&gt;1))</f>
        <v>0</v>
      </c>
    </row>
    <row r="184" spans="1:4" x14ac:dyDescent="0.25">
      <c r="A184">
        <f t="shared" si="2"/>
        <v>0</v>
      </c>
      <c r="C184">
        <f>NOT('hospitalityq-nil'!C184="")*(OR(NOT(IFERROR(AND(INT('hospitalityq-nil'!C184)='hospitalityq-nil'!C184,'hospitalityq-nil'!C184&gt;=2018-50,'hospitalityq-nil'!C184&lt;=2018+50),FALSE)),SUMPRODUCT(--(TRIM('hospitalityq-nil'!C6:C184)=TRIM('hospitalityq-nil'!C184)),--(TRIM('hospitalityq-nil'!D6:D184)=TRIM('hospitalityq-nil'!D184)))&gt;1))</f>
        <v>0</v>
      </c>
      <c r="D184">
        <f>NOT('hospitalityq-nil'!D184="")*(OR(COUNTIF(reference!$C$144:$C$155,TRIM(LEFT('hospitalityq-nil'!D184,FIND(":",'hospitalityq-nil'!D184&amp;":")-1))&amp;":*")=0,SUMPRODUCT(--(TRIM('hospitalityq-nil'!C6:C184)=TRIM('hospitalityq-nil'!C184)),--(TRIM('hospitalityq-nil'!D6:D184)=TRIM('hospitalityq-nil'!D184)))&gt;1))</f>
        <v>0</v>
      </c>
    </row>
    <row r="185" spans="1:4" x14ac:dyDescent="0.25">
      <c r="A185">
        <f t="shared" si="2"/>
        <v>0</v>
      </c>
      <c r="C185">
        <f>NOT('hospitalityq-nil'!C185="")*(OR(NOT(IFERROR(AND(INT('hospitalityq-nil'!C185)='hospitalityq-nil'!C185,'hospitalityq-nil'!C185&gt;=2018-50,'hospitalityq-nil'!C185&lt;=2018+50),FALSE)),SUMPRODUCT(--(TRIM('hospitalityq-nil'!C6:C185)=TRIM('hospitalityq-nil'!C185)),--(TRIM('hospitalityq-nil'!D6:D185)=TRIM('hospitalityq-nil'!D185)))&gt;1))</f>
        <v>0</v>
      </c>
      <c r="D185">
        <f>NOT('hospitalityq-nil'!D185="")*(OR(COUNTIF(reference!$C$144:$C$155,TRIM(LEFT('hospitalityq-nil'!D185,FIND(":",'hospitalityq-nil'!D185&amp;":")-1))&amp;":*")=0,SUMPRODUCT(--(TRIM('hospitalityq-nil'!C6:C185)=TRIM('hospitalityq-nil'!C185)),--(TRIM('hospitalityq-nil'!D6:D185)=TRIM('hospitalityq-nil'!D185)))&gt;1))</f>
        <v>0</v>
      </c>
    </row>
    <row r="186" spans="1:4" x14ac:dyDescent="0.25">
      <c r="A186">
        <f t="shared" si="2"/>
        <v>0</v>
      </c>
      <c r="C186">
        <f>NOT('hospitalityq-nil'!C186="")*(OR(NOT(IFERROR(AND(INT('hospitalityq-nil'!C186)='hospitalityq-nil'!C186,'hospitalityq-nil'!C186&gt;=2018-50,'hospitalityq-nil'!C186&lt;=2018+50),FALSE)),SUMPRODUCT(--(TRIM('hospitalityq-nil'!C6:C186)=TRIM('hospitalityq-nil'!C186)),--(TRIM('hospitalityq-nil'!D6:D186)=TRIM('hospitalityq-nil'!D186)))&gt;1))</f>
        <v>0</v>
      </c>
      <c r="D186">
        <f>NOT('hospitalityq-nil'!D186="")*(OR(COUNTIF(reference!$C$144:$C$155,TRIM(LEFT('hospitalityq-nil'!D186,FIND(":",'hospitalityq-nil'!D186&amp;":")-1))&amp;":*")=0,SUMPRODUCT(--(TRIM('hospitalityq-nil'!C6:C186)=TRIM('hospitalityq-nil'!C186)),--(TRIM('hospitalityq-nil'!D6:D186)=TRIM('hospitalityq-nil'!D186)))&gt;1))</f>
        <v>0</v>
      </c>
    </row>
    <row r="187" spans="1:4" x14ac:dyDescent="0.25">
      <c r="A187">
        <f t="shared" si="2"/>
        <v>0</v>
      </c>
      <c r="C187">
        <f>NOT('hospitalityq-nil'!C187="")*(OR(NOT(IFERROR(AND(INT('hospitalityq-nil'!C187)='hospitalityq-nil'!C187,'hospitalityq-nil'!C187&gt;=2018-50,'hospitalityq-nil'!C187&lt;=2018+50),FALSE)),SUMPRODUCT(--(TRIM('hospitalityq-nil'!C6:C187)=TRIM('hospitalityq-nil'!C187)),--(TRIM('hospitalityq-nil'!D6:D187)=TRIM('hospitalityq-nil'!D187)))&gt;1))</f>
        <v>0</v>
      </c>
      <c r="D187">
        <f>NOT('hospitalityq-nil'!D187="")*(OR(COUNTIF(reference!$C$144:$C$155,TRIM(LEFT('hospitalityq-nil'!D187,FIND(":",'hospitalityq-nil'!D187&amp;":")-1))&amp;":*")=0,SUMPRODUCT(--(TRIM('hospitalityq-nil'!C6:C187)=TRIM('hospitalityq-nil'!C187)),--(TRIM('hospitalityq-nil'!D6:D187)=TRIM('hospitalityq-nil'!D187)))&gt;1))</f>
        <v>0</v>
      </c>
    </row>
    <row r="188" spans="1:4" x14ac:dyDescent="0.25">
      <c r="A188">
        <f t="shared" si="2"/>
        <v>0</v>
      </c>
      <c r="C188">
        <f>NOT('hospitalityq-nil'!C188="")*(OR(NOT(IFERROR(AND(INT('hospitalityq-nil'!C188)='hospitalityq-nil'!C188,'hospitalityq-nil'!C188&gt;=2018-50,'hospitalityq-nil'!C188&lt;=2018+50),FALSE)),SUMPRODUCT(--(TRIM('hospitalityq-nil'!C6:C188)=TRIM('hospitalityq-nil'!C188)),--(TRIM('hospitalityq-nil'!D6:D188)=TRIM('hospitalityq-nil'!D188)))&gt;1))</f>
        <v>0</v>
      </c>
      <c r="D188">
        <f>NOT('hospitalityq-nil'!D188="")*(OR(COUNTIF(reference!$C$144:$C$155,TRIM(LEFT('hospitalityq-nil'!D188,FIND(":",'hospitalityq-nil'!D188&amp;":")-1))&amp;":*")=0,SUMPRODUCT(--(TRIM('hospitalityq-nil'!C6:C188)=TRIM('hospitalityq-nil'!C188)),--(TRIM('hospitalityq-nil'!D6:D188)=TRIM('hospitalityq-nil'!D188)))&gt;1))</f>
        <v>0</v>
      </c>
    </row>
    <row r="189" spans="1:4" x14ac:dyDescent="0.25">
      <c r="A189">
        <f t="shared" si="2"/>
        <v>0</v>
      </c>
      <c r="C189">
        <f>NOT('hospitalityq-nil'!C189="")*(OR(NOT(IFERROR(AND(INT('hospitalityq-nil'!C189)='hospitalityq-nil'!C189,'hospitalityq-nil'!C189&gt;=2018-50,'hospitalityq-nil'!C189&lt;=2018+50),FALSE)),SUMPRODUCT(--(TRIM('hospitalityq-nil'!C6:C189)=TRIM('hospitalityq-nil'!C189)),--(TRIM('hospitalityq-nil'!D6:D189)=TRIM('hospitalityq-nil'!D189)))&gt;1))</f>
        <v>0</v>
      </c>
      <c r="D189">
        <f>NOT('hospitalityq-nil'!D189="")*(OR(COUNTIF(reference!$C$144:$C$155,TRIM(LEFT('hospitalityq-nil'!D189,FIND(":",'hospitalityq-nil'!D189&amp;":")-1))&amp;":*")=0,SUMPRODUCT(--(TRIM('hospitalityq-nil'!C6:C189)=TRIM('hospitalityq-nil'!C189)),--(TRIM('hospitalityq-nil'!D6:D189)=TRIM('hospitalityq-nil'!D189)))&gt;1))</f>
        <v>0</v>
      </c>
    </row>
    <row r="190" spans="1:4" x14ac:dyDescent="0.25">
      <c r="A190">
        <f t="shared" si="2"/>
        <v>0</v>
      </c>
      <c r="C190">
        <f>NOT('hospitalityq-nil'!C190="")*(OR(NOT(IFERROR(AND(INT('hospitalityq-nil'!C190)='hospitalityq-nil'!C190,'hospitalityq-nil'!C190&gt;=2018-50,'hospitalityq-nil'!C190&lt;=2018+50),FALSE)),SUMPRODUCT(--(TRIM('hospitalityq-nil'!C6:C190)=TRIM('hospitalityq-nil'!C190)),--(TRIM('hospitalityq-nil'!D6:D190)=TRIM('hospitalityq-nil'!D190)))&gt;1))</f>
        <v>0</v>
      </c>
      <c r="D190">
        <f>NOT('hospitalityq-nil'!D190="")*(OR(COUNTIF(reference!$C$144:$C$155,TRIM(LEFT('hospitalityq-nil'!D190,FIND(":",'hospitalityq-nil'!D190&amp;":")-1))&amp;":*")=0,SUMPRODUCT(--(TRIM('hospitalityq-nil'!C6:C190)=TRIM('hospitalityq-nil'!C190)),--(TRIM('hospitalityq-nil'!D6:D190)=TRIM('hospitalityq-nil'!D190)))&gt;1))</f>
        <v>0</v>
      </c>
    </row>
    <row r="191" spans="1:4" x14ac:dyDescent="0.25">
      <c r="A191">
        <f t="shared" si="2"/>
        <v>0</v>
      </c>
      <c r="C191">
        <f>NOT('hospitalityq-nil'!C191="")*(OR(NOT(IFERROR(AND(INT('hospitalityq-nil'!C191)='hospitalityq-nil'!C191,'hospitalityq-nil'!C191&gt;=2018-50,'hospitalityq-nil'!C191&lt;=2018+50),FALSE)),SUMPRODUCT(--(TRIM('hospitalityq-nil'!C6:C191)=TRIM('hospitalityq-nil'!C191)),--(TRIM('hospitalityq-nil'!D6:D191)=TRIM('hospitalityq-nil'!D191)))&gt;1))</f>
        <v>0</v>
      </c>
      <c r="D191">
        <f>NOT('hospitalityq-nil'!D191="")*(OR(COUNTIF(reference!$C$144:$C$155,TRIM(LEFT('hospitalityq-nil'!D191,FIND(":",'hospitalityq-nil'!D191&amp;":")-1))&amp;":*")=0,SUMPRODUCT(--(TRIM('hospitalityq-nil'!C6:C191)=TRIM('hospitalityq-nil'!C191)),--(TRIM('hospitalityq-nil'!D6:D191)=TRIM('hospitalityq-nil'!D191)))&gt;1))</f>
        <v>0</v>
      </c>
    </row>
    <row r="192" spans="1:4" x14ac:dyDescent="0.25">
      <c r="A192">
        <f t="shared" si="2"/>
        <v>0</v>
      </c>
      <c r="C192">
        <f>NOT('hospitalityq-nil'!C192="")*(OR(NOT(IFERROR(AND(INT('hospitalityq-nil'!C192)='hospitalityq-nil'!C192,'hospitalityq-nil'!C192&gt;=2018-50,'hospitalityq-nil'!C192&lt;=2018+50),FALSE)),SUMPRODUCT(--(TRIM('hospitalityq-nil'!C6:C192)=TRIM('hospitalityq-nil'!C192)),--(TRIM('hospitalityq-nil'!D6:D192)=TRIM('hospitalityq-nil'!D192)))&gt;1))</f>
        <v>0</v>
      </c>
      <c r="D192">
        <f>NOT('hospitalityq-nil'!D192="")*(OR(COUNTIF(reference!$C$144:$C$155,TRIM(LEFT('hospitalityq-nil'!D192,FIND(":",'hospitalityq-nil'!D192&amp;":")-1))&amp;":*")=0,SUMPRODUCT(--(TRIM('hospitalityq-nil'!C6:C192)=TRIM('hospitalityq-nil'!C192)),--(TRIM('hospitalityq-nil'!D6:D192)=TRIM('hospitalityq-nil'!D192)))&gt;1))</f>
        <v>0</v>
      </c>
    </row>
    <row r="193" spans="1:4" x14ac:dyDescent="0.25">
      <c r="A193">
        <f t="shared" si="2"/>
        <v>0</v>
      </c>
      <c r="C193">
        <f>NOT('hospitalityq-nil'!C193="")*(OR(NOT(IFERROR(AND(INT('hospitalityq-nil'!C193)='hospitalityq-nil'!C193,'hospitalityq-nil'!C193&gt;=2018-50,'hospitalityq-nil'!C193&lt;=2018+50),FALSE)),SUMPRODUCT(--(TRIM('hospitalityq-nil'!C6:C193)=TRIM('hospitalityq-nil'!C193)),--(TRIM('hospitalityq-nil'!D6:D193)=TRIM('hospitalityq-nil'!D193)))&gt;1))</f>
        <v>0</v>
      </c>
      <c r="D193">
        <f>NOT('hospitalityq-nil'!D193="")*(OR(COUNTIF(reference!$C$144:$C$155,TRIM(LEFT('hospitalityq-nil'!D193,FIND(":",'hospitalityq-nil'!D193&amp;":")-1))&amp;":*")=0,SUMPRODUCT(--(TRIM('hospitalityq-nil'!C6:C193)=TRIM('hospitalityq-nil'!C193)),--(TRIM('hospitalityq-nil'!D6:D193)=TRIM('hospitalityq-nil'!D193)))&gt;1))</f>
        <v>0</v>
      </c>
    </row>
    <row r="194" spans="1:4" x14ac:dyDescent="0.25">
      <c r="A194">
        <f t="shared" si="2"/>
        <v>0</v>
      </c>
      <c r="C194">
        <f>NOT('hospitalityq-nil'!C194="")*(OR(NOT(IFERROR(AND(INT('hospitalityq-nil'!C194)='hospitalityq-nil'!C194,'hospitalityq-nil'!C194&gt;=2018-50,'hospitalityq-nil'!C194&lt;=2018+50),FALSE)),SUMPRODUCT(--(TRIM('hospitalityq-nil'!C6:C194)=TRIM('hospitalityq-nil'!C194)),--(TRIM('hospitalityq-nil'!D6:D194)=TRIM('hospitalityq-nil'!D194)))&gt;1))</f>
        <v>0</v>
      </c>
      <c r="D194">
        <f>NOT('hospitalityq-nil'!D194="")*(OR(COUNTIF(reference!$C$144:$C$155,TRIM(LEFT('hospitalityq-nil'!D194,FIND(":",'hospitalityq-nil'!D194&amp;":")-1))&amp;":*")=0,SUMPRODUCT(--(TRIM('hospitalityq-nil'!C6:C194)=TRIM('hospitalityq-nil'!C194)),--(TRIM('hospitalityq-nil'!D6:D194)=TRIM('hospitalityq-nil'!D194)))&gt;1))</f>
        <v>0</v>
      </c>
    </row>
    <row r="195" spans="1:4" x14ac:dyDescent="0.25">
      <c r="A195">
        <f t="shared" si="2"/>
        <v>0</v>
      </c>
      <c r="C195">
        <f>NOT('hospitalityq-nil'!C195="")*(OR(NOT(IFERROR(AND(INT('hospitalityq-nil'!C195)='hospitalityq-nil'!C195,'hospitalityq-nil'!C195&gt;=2018-50,'hospitalityq-nil'!C195&lt;=2018+50),FALSE)),SUMPRODUCT(--(TRIM('hospitalityq-nil'!C6:C195)=TRIM('hospitalityq-nil'!C195)),--(TRIM('hospitalityq-nil'!D6:D195)=TRIM('hospitalityq-nil'!D195)))&gt;1))</f>
        <v>0</v>
      </c>
      <c r="D195">
        <f>NOT('hospitalityq-nil'!D195="")*(OR(COUNTIF(reference!$C$144:$C$155,TRIM(LEFT('hospitalityq-nil'!D195,FIND(":",'hospitalityq-nil'!D195&amp;":")-1))&amp;":*")=0,SUMPRODUCT(--(TRIM('hospitalityq-nil'!C6:C195)=TRIM('hospitalityq-nil'!C195)),--(TRIM('hospitalityq-nil'!D6:D195)=TRIM('hospitalityq-nil'!D195)))&gt;1))</f>
        <v>0</v>
      </c>
    </row>
    <row r="196" spans="1:4" x14ac:dyDescent="0.25">
      <c r="A196">
        <f t="shared" si="2"/>
        <v>0</v>
      </c>
      <c r="C196">
        <f>NOT('hospitalityq-nil'!C196="")*(OR(NOT(IFERROR(AND(INT('hospitalityq-nil'!C196)='hospitalityq-nil'!C196,'hospitalityq-nil'!C196&gt;=2018-50,'hospitalityq-nil'!C196&lt;=2018+50),FALSE)),SUMPRODUCT(--(TRIM('hospitalityq-nil'!C6:C196)=TRIM('hospitalityq-nil'!C196)),--(TRIM('hospitalityq-nil'!D6:D196)=TRIM('hospitalityq-nil'!D196)))&gt;1))</f>
        <v>0</v>
      </c>
      <c r="D196">
        <f>NOT('hospitalityq-nil'!D196="")*(OR(COUNTIF(reference!$C$144:$C$155,TRIM(LEFT('hospitalityq-nil'!D196,FIND(":",'hospitalityq-nil'!D196&amp;":")-1))&amp;":*")=0,SUMPRODUCT(--(TRIM('hospitalityq-nil'!C6:C196)=TRIM('hospitalityq-nil'!C196)),--(TRIM('hospitalityq-nil'!D6:D196)=TRIM('hospitalityq-nil'!D196)))&gt;1))</f>
        <v>0</v>
      </c>
    </row>
    <row r="197" spans="1:4" x14ac:dyDescent="0.25">
      <c r="A197">
        <f t="shared" si="2"/>
        <v>0</v>
      </c>
      <c r="C197">
        <f>NOT('hospitalityq-nil'!C197="")*(OR(NOT(IFERROR(AND(INT('hospitalityq-nil'!C197)='hospitalityq-nil'!C197,'hospitalityq-nil'!C197&gt;=2018-50,'hospitalityq-nil'!C197&lt;=2018+50),FALSE)),SUMPRODUCT(--(TRIM('hospitalityq-nil'!C6:C197)=TRIM('hospitalityq-nil'!C197)),--(TRIM('hospitalityq-nil'!D6:D197)=TRIM('hospitalityq-nil'!D197)))&gt;1))</f>
        <v>0</v>
      </c>
      <c r="D197">
        <f>NOT('hospitalityq-nil'!D197="")*(OR(COUNTIF(reference!$C$144:$C$155,TRIM(LEFT('hospitalityq-nil'!D197,FIND(":",'hospitalityq-nil'!D197&amp;":")-1))&amp;":*")=0,SUMPRODUCT(--(TRIM('hospitalityq-nil'!C6:C197)=TRIM('hospitalityq-nil'!C197)),--(TRIM('hospitalityq-nil'!D6:D197)=TRIM('hospitalityq-nil'!D197)))&gt;1))</f>
        <v>0</v>
      </c>
    </row>
    <row r="198" spans="1:4" x14ac:dyDescent="0.25">
      <c r="A198">
        <f t="shared" ref="A198:A261" si="3">IFERROR(MATCH(TRUE,INDEX(C198:D198&lt;&gt;0,),)+2,0)</f>
        <v>0</v>
      </c>
      <c r="C198">
        <f>NOT('hospitalityq-nil'!C198="")*(OR(NOT(IFERROR(AND(INT('hospitalityq-nil'!C198)='hospitalityq-nil'!C198,'hospitalityq-nil'!C198&gt;=2018-50,'hospitalityq-nil'!C198&lt;=2018+50),FALSE)),SUMPRODUCT(--(TRIM('hospitalityq-nil'!C6:C198)=TRIM('hospitalityq-nil'!C198)),--(TRIM('hospitalityq-nil'!D6:D198)=TRIM('hospitalityq-nil'!D198)))&gt;1))</f>
        <v>0</v>
      </c>
      <c r="D198">
        <f>NOT('hospitalityq-nil'!D198="")*(OR(COUNTIF(reference!$C$144:$C$155,TRIM(LEFT('hospitalityq-nil'!D198,FIND(":",'hospitalityq-nil'!D198&amp;":")-1))&amp;":*")=0,SUMPRODUCT(--(TRIM('hospitalityq-nil'!C6:C198)=TRIM('hospitalityq-nil'!C198)),--(TRIM('hospitalityq-nil'!D6:D198)=TRIM('hospitalityq-nil'!D198)))&gt;1))</f>
        <v>0</v>
      </c>
    </row>
    <row r="199" spans="1:4" x14ac:dyDescent="0.25">
      <c r="A199">
        <f t="shared" si="3"/>
        <v>0</v>
      </c>
      <c r="C199">
        <f>NOT('hospitalityq-nil'!C199="")*(OR(NOT(IFERROR(AND(INT('hospitalityq-nil'!C199)='hospitalityq-nil'!C199,'hospitalityq-nil'!C199&gt;=2018-50,'hospitalityq-nil'!C199&lt;=2018+50),FALSE)),SUMPRODUCT(--(TRIM('hospitalityq-nil'!C6:C199)=TRIM('hospitalityq-nil'!C199)),--(TRIM('hospitalityq-nil'!D6:D199)=TRIM('hospitalityq-nil'!D199)))&gt;1))</f>
        <v>0</v>
      </c>
      <c r="D199">
        <f>NOT('hospitalityq-nil'!D199="")*(OR(COUNTIF(reference!$C$144:$C$155,TRIM(LEFT('hospitalityq-nil'!D199,FIND(":",'hospitalityq-nil'!D199&amp;":")-1))&amp;":*")=0,SUMPRODUCT(--(TRIM('hospitalityq-nil'!C6:C199)=TRIM('hospitalityq-nil'!C199)),--(TRIM('hospitalityq-nil'!D6:D199)=TRIM('hospitalityq-nil'!D199)))&gt;1))</f>
        <v>0</v>
      </c>
    </row>
    <row r="200" spans="1:4" x14ac:dyDescent="0.25">
      <c r="A200">
        <f t="shared" si="3"/>
        <v>0</v>
      </c>
      <c r="C200">
        <f>NOT('hospitalityq-nil'!C200="")*(OR(NOT(IFERROR(AND(INT('hospitalityq-nil'!C200)='hospitalityq-nil'!C200,'hospitalityq-nil'!C200&gt;=2018-50,'hospitalityq-nil'!C200&lt;=2018+50),FALSE)),SUMPRODUCT(--(TRIM('hospitalityq-nil'!C6:C200)=TRIM('hospitalityq-nil'!C200)),--(TRIM('hospitalityq-nil'!D6:D200)=TRIM('hospitalityq-nil'!D200)))&gt;1))</f>
        <v>0</v>
      </c>
      <c r="D200">
        <f>NOT('hospitalityq-nil'!D200="")*(OR(COUNTIF(reference!$C$144:$C$155,TRIM(LEFT('hospitalityq-nil'!D200,FIND(":",'hospitalityq-nil'!D200&amp;":")-1))&amp;":*")=0,SUMPRODUCT(--(TRIM('hospitalityq-nil'!C6:C200)=TRIM('hospitalityq-nil'!C200)),--(TRIM('hospitalityq-nil'!D6:D200)=TRIM('hospitalityq-nil'!D200)))&gt;1))</f>
        <v>0</v>
      </c>
    </row>
    <row r="201" spans="1:4" x14ac:dyDescent="0.25">
      <c r="A201">
        <f t="shared" si="3"/>
        <v>0</v>
      </c>
      <c r="C201">
        <f>NOT('hospitalityq-nil'!C201="")*(OR(NOT(IFERROR(AND(INT('hospitalityq-nil'!C201)='hospitalityq-nil'!C201,'hospitalityq-nil'!C201&gt;=2018-50,'hospitalityq-nil'!C201&lt;=2018+50),FALSE)),SUMPRODUCT(--(TRIM('hospitalityq-nil'!C6:C201)=TRIM('hospitalityq-nil'!C201)),--(TRIM('hospitalityq-nil'!D6:D201)=TRIM('hospitalityq-nil'!D201)))&gt;1))</f>
        <v>0</v>
      </c>
      <c r="D201">
        <f>NOT('hospitalityq-nil'!D201="")*(OR(COUNTIF(reference!$C$144:$C$155,TRIM(LEFT('hospitalityq-nil'!D201,FIND(":",'hospitalityq-nil'!D201&amp;":")-1))&amp;":*")=0,SUMPRODUCT(--(TRIM('hospitalityq-nil'!C6:C201)=TRIM('hospitalityq-nil'!C201)),--(TRIM('hospitalityq-nil'!D6:D201)=TRIM('hospitalityq-nil'!D201)))&gt;1))</f>
        <v>0</v>
      </c>
    </row>
    <row r="202" spans="1:4" x14ac:dyDescent="0.25">
      <c r="A202">
        <f t="shared" si="3"/>
        <v>0</v>
      </c>
      <c r="C202">
        <f>NOT('hospitalityq-nil'!C202="")*(OR(NOT(IFERROR(AND(INT('hospitalityq-nil'!C202)='hospitalityq-nil'!C202,'hospitalityq-nil'!C202&gt;=2018-50,'hospitalityq-nil'!C202&lt;=2018+50),FALSE)),SUMPRODUCT(--(TRIM('hospitalityq-nil'!C6:C202)=TRIM('hospitalityq-nil'!C202)),--(TRIM('hospitalityq-nil'!D6:D202)=TRIM('hospitalityq-nil'!D202)))&gt;1))</f>
        <v>0</v>
      </c>
      <c r="D202">
        <f>NOT('hospitalityq-nil'!D202="")*(OR(COUNTIF(reference!$C$144:$C$155,TRIM(LEFT('hospitalityq-nil'!D202,FIND(":",'hospitalityq-nil'!D202&amp;":")-1))&amp;":*")=0,SUMPRODUCT(--(TRIM('hospitalityq-nil'!C6:C202)=TRIM('hospitalityq-nil'!C202)),--(TRIM('hospitalityq-nil'!D6:D202)=TRIM('hospitalityq-nil'!D202)))&gt;1))</f>
        <v>0</v>
      </c>
    </row>
    <row r="203" spans="1:4" x14ac:dyDescent="0.25">
      <c r="A203">
        <f t="shared" si="3"/>
        <v>0</v>
      </c>
      <c r="C203">
        <f>NOT('hospitalityq-nil'!C203="")*(OR(NOT(IFERROR(AND(INT('hospitalityq-nil'!C203)='hospitalityq-nil'!C203,'hospitalityq-nil'!C203&gt;=2018-50,'hospitalityq-nil'!C203&lt;=2018+50),FALSE)),SUMPRODUCT(--(TRIM('hospitalityq-nil'!C6:C203)=TRIM('hospitalityq-nil'!C203)),--(TRIM('hospitalityq-nil'!D6:D203)=TRIM('hospitalityq-nil'!D203)))&gt;1))</f>
        <v>0</v>
      </c>
      <c r="D203">
        <f>NOT('hospitalityq-nil'!D203="")*(OR(COUNTIF(reference!$C$144:$C$155,TRIM(LEFT('hospitalityq-nil'!D203,FIND(":",'hospitalityq-nil'!D203&amp;":")-1))&amp;":*")=0,SUMPRODUCT(--(TRIM('hospitalityq-nil'!C6:C203)=TRIM('hospitalityq-nil'!C203)),--(TRIM('hospitalityq-nil'!D6:D203)=TRIM('hospitalityq-nil'!D203)))&gt;1))</f>
        <v>0</v>
      </c>
    </row>
    <row r="204" spans="1:4" x14ac:dyDescent="0.25">
      <c r="A204">
        <f t="shared" si="3"/>
        <v>0</v>
      </c>
      <c r="C204">
        <f>NOT('hospitalityq-nil'!C204="")*(OR(NOT(IFERROR(AND(INT('hospitalityq-nil'!C204)='hospitalityq-nil'!C204,'hospitalityq-nil'!C204&gt;=2018-50,'hospitalityq-nil'!C204&lt;=2018+50),FALSE)),SUMPRODUCT(--(TRIM('hospitalityq-nil'!C6:C204)=TRIM('hospitalityq-nil'!C204)),--(TRIM('hospitalityq-nil'!D6:D204)=TRIM('hospitalityq-nil'!D204)))&gt;1))</f>
        <v>0</v>
      </c>
      <c r="D204">
        <f>NOT('hospitalityq-nil'!D204="")*(OR(COUNTIF(reference!$C$144:$C$155,TRIM(LEFT('hospitalityq-nil'!D204,FIND(":",'hospitalityq-nil'!D204&amp;":")-1))&amp;":*")=0,SUMPRODUCT(--(TRIM('hospitalityq-nil'!C6:C204)=TRIM('hospitalityq-nil'!C204)),--(TRIM('hospitalityq-nil'!D6:D204)=TRIM('hospitalityq-nil'!D204)))&gt;1))</f>
        <v>0</v>
      </c>
    </row>
    <row r="205" spans="1:4" x14ac:dyDescent="0.25">
      <c r="A205">
        <f t="shared" si="3"/>
        <v>0</v>
      </c>
      <c r="C205">
        <f>NOT('hospitalityq-nil'!C205="")*(OR(NOT(IFERROR(AND(INT('hospitalityq-nil'!C205)='hospitalityq-nil'!C205,'hospitalityq-nil'!C205&gt;=2018-50,'hospitalityq-nil'!C205&lt;=2018+50),FALSE)),SUMPRODUCT(--(TRIM('hospitalityq-nil'!C6:C205)=TRIM('hospitalityq-nil'!C205)),--(TRIM('hospitalityq-nil'!D6:D205)=TRIM('hospitalityq-nil'!D205)))&gt;1))</f>
        <v>0</v>
      </c>
      <c r="D205">
        <f>NOT('hospitalityq-nil'!D205="")*(OR(COUNTIF(reference!$C$144:$C$155,TRIM(LEFT('hospitalityq-nil'!D205,FIND(":",'hospitalityq-nil'!D205&amp;":")-1))&amp;":*")=0,SUMPRODUCT(--(TRIM('hospitalityq-nil'!C6:C205)=TRIM('hospitalityq-nil'!C205)),--(TRIM('hospitalityq-nil'!D6:D205)=TRIM('hospitalityq-nil'!D205)))&gt;1))</f>
        <v>0</v>
      </c>
    </row>
    <row r="206" spans="1:4" x14ac:dyDescent="0.25">
      <c r="A206">
        <f t="shared" si="3"/>
        <v>0</v>
      </c>
      <c r="C206">
        <f>NOT('hospitalityq-nil'!C206="")*(OR(NOT(IFERROR(AND(INT('hospitalityq-nil'!C206)='hospitalityq-nil'!C206,'hospitalityq-nil'!C206&gt;=2018-50,'hospitalityq-nil'!C206&lt;=2018+50),FALSE)),SUMPRODUCT(--(TRIM('hospitalityq-nil'!C6:C206)=TRIM('hospitalityq-nil'!C206)),--(TRIM('hospitalityq-nil'!D6:D206)=TRIM('hospitalityq-nil'!D206)))&gt;1))</f>
        <v>0</v>
      </c>
      <c r="D206">
        <f>NOT('hospitalityq-nil'!D206="")*(OR(COUNTIF(reference!$C$144:$C$155,TRIM(LEFT('hospitalityq-nil'!D206,FIND(":",'hospitalityq-nil'!D206&amp;":")-1))&amp;":*")=0,SUMPRODUCT(--(TRIM('hospitalityq-nil'!C6:C206)=TRIM('hospitalityq-nil'!C206)),--(TRIM('hospitalityq-nil'!D6:D206)=TRIM('hospitalityq-nil'!D206)))&gt;1))</f>
        <v>0</v>
      </c>
    </row>
    <row r="207" spans="1:4" x14ac:dyDescent="0.25">
      <c r="A207">
        <f t="shared" si="3"/>
        <v>0</v>
      </c>
      <c r="C207">
        <f>NOT('hospitalityq-nil'!C207="")*(OR(NOT(IFERROR(AND(INT('hospitalityq-nil'!C207)='hospitalityq-nil'!C207,'hospitalityq-nil'!C207&gt;=2018-50,'hospitalityq-nil'!C207&lt;=2018+50),FALSE)),SUMPRODUCT(--(TRIM('hospitalityq-nil'!C6:C207)=TRIM('hospitalityq-nil'!C207)),--(TRIM('hospitalityq-nil'!D6:D207)=TRIM('hospitalityq-nil'!D207)))&gt;1))</f>
        <v>0</v>
      </c>
      <c r="D207">
        <f>NOT('hospitalityq-nil'!D207="")*(OR(COUNTIF(reference!$C$144:$C$155,TRIM(LEFT('hospitalityq-nil'!D207,FIND(":",'hospitalityq-nil'!D207&amp;":")-1))&amp;":*")=0,SUMPRODUCT(--(TRIM('hospitalityq-nil'!C6:C207)=TRIM('hospitalityq-nil'!C207)),--(TRIM('hospitalityq-nil'!D6:D207)=TRIM('hospitalityq-nil'!D207)))&gt;1))</f>
        <v>0</v>
      </c>
    </row>
    <row r="208" spans="1:4" x14ac:dyDescent="0.25">
      <c r="A208">
        <f t="shared" si="3"/>
        <v>0</v>
      </c>
      <c r="C208">
        <f>NOT('hospitalityq-nil'!C208="")*(OR(NOT(IFERROR(AND(INT('hospitalityq-nil'!C208)='hospitalityq-nil'!C208,'hospitalityq-nil'!C208&gt;=2018-50,'hospitalityq-nil'!C208&lt;=2018+50),FALSE)),SUMPRODUCT(--(TRIM('hospitalityq-nil'!C6:C208)=TRIM('hospitalityq-nil'!C208)),--(TRIM('hospitalityq-nil'!D6:D208)=TRIM('hospitalityq-nil'!D208)))&gt;1))</f>
        <v>0</v>
      </c>
      <c r="D208">
        <f>NOT('hospitalityq-nil'!D208="")*(OR(COUNTIF(reference!$C$144:$C$155,TRIM(LEFT('hospitalityq-nil'!D208,FIND(":",'hospitalityq-nil'!D208&amp;":")-1))&amp;":*")=0,SUMPRODUCT(--(TRIM('hospitalityq-nil'!C6:C208)=TRIM('hospitalityq-nil'!C208)),--(TRIM('hospitalityq-nil'!D6:D208)=TRIM('hospitalityq-nil'!D208)))&gt;1))</f>
        <v>0</v>
      </c>
    </row>
    <row r="209" spans="1:4" x14ac:dyDescent="0.25">
      <c r="A209">
        <f t="shared" si="3"/>
        <v>0</v>
      </c>
      <c r="C209">
        <f>NOT('hospitalityq-nil'!C209="")*(OR(NOT(IFERROR(AND(INT('hospitalityq-nil'!C209)='hospitalityq-nil'!C209,'hospitalityq-nil'!C209&gt;=2018-50,'hospitalityq-nil'!C209&lt;=2018+50),FALSE)),SUMPRODUCT(--(TRIM('hospitalityq-nil'!C6:C209)=TRIM('hospitalityq-nil'!C209)),--(TRIM('hospitalityq-nil'!D6:D209)=TRIM('hospitalityq-nil'!D209)))&gt;1))</f>
        <v>0</v>
      </c>
      <c r="D209">
        <f>NOT('hospitalityq-nil'!D209="")*(OR(COUNTIF(reference!$C$144:$C$155,TRIM(LEFT('hospitalityq-nil'!D209,FIND(":",'hospitalityq-nil'!D209&amp;":")-1))&amp;":*")=0,SUMPRODUCT(--(TRIM('hospitalityq-nil'!C6:C209)=TRIM('hospitalityq-nil'!C209)),--(TRIM('hospitalityq-nil'!D6:D209)=TRIM('hospitalityq-nil'!D209)))&gt;1))</f>
        <v>0</v>
      </c>
    </row>
    <row r="210" spans="1:4" x14ac:dyDescent="0.25">
      <c r="A210">
        <f t="shared" si="3"/>
        <v>0</v>
      </c>
      <c r="C210">
        <f>NOT('hospitalityq-nil'!C210="")*(OR(NOT(IFERROR(AND(INT('hospitalityq-nil'!C210)='hospitalityq-nil'!C210,'hospitalityq-nil'!C210&gt;=2018-50,'hospitalityq-nil'!C210&lt;=2018+50),FALSE)),SUMPRODUCT(--(TRIM('hospitalityq-nil'!C6:C210)=TRIM('hospitalityq-nil'!C210)),--(TRIM('hospitalityq-nil'!D6:D210)=TRIM('hospitalityq-nil'!D210)))&gt;1))</f>
        <v>0</v>
      </c>
      <c r="D210">
        <f>NOT('hospitalityq-nil'!D210="")*(OR(COUNTIF(reference!$C$144:$C$155,TRIM(LEFT('hospitalityq-nil'!D210,FIND(":",'hospitalityq-nil'!D210&amp;":")-1))&amp;":*")=0,SUMPRODUCT(--(TRIM('hospitalityq-nil'!C6:C210)=TRIM('hospitalityq-nil'!C210)),--(TRIM('hospitalityq-nil'!D6:D210)=TRIM('hospitalityq-nil'!D210)))&gt;1))</f>
        <v>0</v>
      </c>
    </row>
    <row r="211" spans="1:4" x14ac:dyDescent="0.25">
      <c r="A211">
        <f t="shared" si="3"/>
        <v>0</v>
      </c>
      <c r="C211">
        <f>NOT('hospitalityq-nil'!C211="")*(OR(NOT(IFERROR(AND(INT('hospitalityq-nil'!C211)='hospitalityq-nil'!C211,'hospitalityq-nil'!C211&gt;=2018-50,'hospitalityq-nil'!C211&lt;=2018+50),FALSE)),SUMPRODUCT(--(TRIM('hospitalityq-nil'!C6:C211)=TRIM('hospitalityq-nil'!C211)),--(TRIM('hospitalityq-nil'!D6:D211)=TRIM('hospitalityq-nil'!D211)))&gt;1))</f>
        <v>0</v>
      </c>
      <c r="D211">
        <f>NOT('hospitalityq-nil'!D211="")*(OR(COUNTIF(reference!$C$144:$C$155,TRIM(LEFT('hospitalityq-nil'!D211,FIND(":",'hospitalityq-nil'!D211&amp;":")-1))&amp;":*")=0,SUMPRODUCT(--(TRIM('hospitalityq-nil'!C6:C211)=TRIM('hospitalityq-nil'!C211)),--(TRIM('hospitalityq-nil'!D6:D211)=TRIM('hospitalityq-nil'!D211)))&gt;1))</f>
        <v>0</v>
      </c>
    </row>
    <row r="212" spans="1:4" x14ac:dyDescent="0.25">
      <c r="A212">
        <f t="shared" si="3"/>
        <v>0</v>
      </c>
      <c r="C212">
        <f>NOT('hospitalityq-nil'!C212="")*(OR(NOT(IFERROR(AND(INT('hospitalityq-nil'!C212)='hospitalityq-nil'!C212,'hospitalityq-nil'!C212&gt;=2018-50,'hospitalityq-nil'!C212&lt;=2018+50),FALSE)),SUMPRODUCT(--(TRIM('hospitalityq-nil'!C6:C212)=TRIM('hospitalityq-nil'!C212)),--(TRIM('hospitalityq-nil'!D6:D212)=TRIM('hospitalityq-nil'!D212)))&gt;1))</f>
        <v>0</v>
      </c>
      <c r="D212">
        <f>NOT('hospitalityq-nil'!D212="")*(OR(COUNTIF(reference!$C$144:$C$155,TRIM(LEFT('hospitalityq-nil'!D212,FIND(":",'hospitalityq-nil'!D212&amp;":")-1))&amp;":*")=0,SUMPRODUCT(--(TRIM('hospitalityq-nil'!C6:C212)=TRIM('hospitalityq-nil'!C212)),--(TRIM('hospitalityq-nil'!D6:D212)=TRIM('hospitalityq-nil'!D212)))&gt;1))</f>
        <v>0</v>
      </c>
    </row>
    <row r="213" spans="1:4" x14ac:dyDescent="0.25">
      <c r="A213">
        <f t="shared" si="3"/>
        <v>0</v>
      </c>
      <c r="C213">
        <f>NOT('hospitalityq-nil'!C213="")*(OR(NOT(IFERROR(AND(INT('hospitalityq-nil'!C213)='hospitalityq-nil'!C213,'hospitalityq-nil'!C213&gt;=2018-50,'hospitalityq-nil'!C213&lt;=2018+50),FALSE)),SUMPRODUCT(--(TRIM('hospitalityq-nil'!C6:C213)=TRIM('hospitalityq-nil'!C213)),--(TRIM('hospitalityq-nil'!D6:D213)=TRIM('hospitalityq-nil'!D213)))&gt;1))</f>
        <v>0</v>
      </c>
      <c r="D213">
        <f>NOT('hospitalityq-nil'!D213="")*(OR(COUNTIF(reference!$C$144:$C$155,TRIM(LEFT('hospitalityq-nil'!D213,FIND(":",'hospitalityq-nil'!D213&amp;":")-1))&amp;":*")=0,SUMPRODUCT(--(TRIM('hospitalityq-nil'!C6:C213)=TRIM('hospitalityq-nil'!C213)),--(TRIM('hospitalityq-nil'!D6:D213)=TRIM('hospitalityq-nil'!D213)))&gt;1))</f>
        <v>0</v>
      </c>
    </row>
    <row r="214" spans="1:4" x14ac:dyDescent="0.25">
      <c r="A214">
        <f t="shared" si="3"/>
        <v>0</v>
      </c>
      <c r="C214">
        <f>NOT('hospitalityq-nil'!C214="")*(OR(NOT(IFERROR(AND(INT('hospitalityq-nil'!C214)='hospitalityq-nil'!C214,'hospitalityq-nil'!C214&gt;=2018-50,'hospitalityq-nil'!C214&lt;=2018+50),FALSE)),SUMPRODUCT(--(TRIM('hospitalityq-nil'!C6:C214)=TRIM('hospitalityq-nil'!C214)),--(TRIM('hospitalityq-nil'!D6:D214)=TRIM('hospitalityq-nil'!D214)))&gt;1))</f>
        <v>0</v>
      </c>
      <c r="D214">
        <f>NOT('hospitalityq-nil'!D214="")*(OR(COUNTIF(reference!$C$144:$C$155,TRIM(LEFT('hospitalityq-nil'!D214,FIND(":",'hospitalityq-nil'!D214&amp;":")-1))&amp;":*")=0,SUMPRODUCT(--(TRIM('hospitalityq-nil'!C6:C214)=TRIM('hospitalityq-nil'!C214)),--(TRIM('hospitalityq-nil'!D6:D214)=TRIM('hospitalityq-nil'!D214)))&gt;1))</f>
        <v>0</v>
      </c>
    </row>
    <row r="215" spans="1:4" x14ac:dyDescent="0.25">
      <c r="A215">
        <f t="shared" si="3"/>
        <v>0</v>
      </c>
      <c r="C215">
        <f>NOT('hospitalityq-nil'!C215="")*(OR(NOT(IFERROR(AND(INT('hospitalityq-nil'!C215)='hospitalityq-nil'!C215,'hospitalityq-nil'!C215&gt;=2018-50,'hospitalityq-nil'!C215&lt;=2018+50),FALSE)),SUMPRODUCT(--(TRIM('hospitalityq-nil'!C6:C215)=TRIM('hospitalityq-nil'!C215)),--(TRIM('hospitalityq-nil'!D6:D215)=TRIM('hospitalityq-nil'!D215)))&gt;1))</f>
        <v>0</v>
      </c>
      <c r="D215">
        <f>NOT('hospitalityq-nil'!D215="")*(OR(COUNTIF(reference!$C$144:$C$155,TRIM(LEFT('hospitalityq-nil'!D215,FIND(":",'hospitalityq-nil'!D215&amp;":")-1))&amp;":*")=0,SUMPRODUCT(--(TRIM('hospitalityq-nil'!C6:C215)=TRIM('hospitalityq-nil'!C215)),--(TRIM('hospitalityq-nil'!D6:D215)=TRIM('hospitalityq-nil'!D215)))&gt;1))</f>
        <v>0</v>
      </c>
    </row>
    <row r="216" spans="1:4" x14ac:dyDescent="0.25">
      <c r="A216">
        <f t="shared" si="3"/>
        <v>0</v>
      </c>
      <c r="C216">
        <f>NOT('hospitalityq-nil'!C216="")*(OR(NOT(IFERROR(AND(INT('hospitalityq-nil'!C216)='hospitalityq-nil'!C216,'hospitalityq-nil'!C216&gt;=2018-50,'hospitalityq-nil'!C216&lt;=2018+50),FALSE)),SUMPRODUCT(--(TRIM('hospitalityq-nil'!C6:C216)=TRIM('hospitalityq-nil'!C216)),--(TRIM('hospitalityq-nil'!D6:D216)=TRIM('hospitalityq-nil'!D216)))&gt;1))</f>
        <v>0</v>
      </c>
      <c r="D216">
        <f>NOT('hospitalityq-nil'!D216="")*(OR(COUNTIF(reference!$C$144:$C$155,TRIM(LEFT('hospitalityq-nil'!D216,FIND(":",'hospitalityq-nil'!D216&amp;":")-1))&amp;":*")=0,SUMPRODUCT(--(TRIM('hospitalityq-nil'!C6:C216)=TRIM('hospitalityq-nil'!C216)),--(TRIM('hospitalityq-nil'!D6:D216)=TRIM('hospitalityq-nil'!D216)))&gt;1))</f>
        <v>0</v>
      </c>
    </row>
    <row r="217" spans="1:4" x14ac:dyDescent="0.25">
      <c r="A217">
        <f t="shared" si="3"/>
        <v>0</v>
      </c>
      <c r="C217">
        <f>NOT('hospitalityq-nil'!C217="")*(OR(NOT(IFERROR(AND(INT('hospitalityq-nil'!C217)='hospitalityq-nil'!C217,'hospitalityq-nil'!C217&gt;=2018-50,'hospitalityq-nil'!C217&lt;=2018+50),FALSE)),SUMPRODUCT(--(TRIM('hospitalityq-nil'!C6:C217)=TRIM('hospitalityq-nil'!C217)),--(TRIM('hospitalityq-nil'!D6:D217)=TRIM('hospitalityq-nil'!D217)))&gt;1))</f>
        <v>0</v>
      </c>
      <c r="D217">
        <f>NOT('hospitalityq-nil'!D217="")*(OR(COUNTIF(reference!$C$144:$C$155,TRIM(LEFT('hospitalityq-nil'!D217,FIND(":",'hospitalityq-nil'!D217&amp;":")-1))&amp;":*")=0,SUMPRODUCT(--(TRIM('hospitalityq-nil'!C6:C217)=TRIM('hospitalityq-nil'!C217)),--(TRIM('hospitalityq-nil'!D6:D217)=TRIM('hospitalityq-nil'!D217)))&gt;1))</f>
        <v>0</v>
      </c>
    </row>
    <row r="218" spans="1:4" x14ac:dyDescent="0.25">
      <c r="A218">
        <f t="shared" si="3"/>
        <v>0</v>
      </c>
      <c r="C218">
        <f>NOT('hospitalityq-nil'!C218="")*(OR(NOT(IFERROR(AND(INT('hospitalityq-nil'!C218)='hospitalityq-nil'!C218,'hospitalityq-nil'!C218&gt;=2018-50,'hospitalityq-nil'!C218&lt;=2018+50),FALSE)),SUMPRODUCT(--(TRIM('hospitalityq-nil'!C6:C218)=TRIM('hospitalityq-nil'!C218)),--(TRIM('hospitalityq-nil'!D6:D218)=TRIM('hospitalityq-nil'!D218)))&gt;1))</f>
        <v>0</v>
      </c>
      <c r="D218">
        <f>NOT('hospitalityq-nil'!D218="")*(OR(COUNTIF(reference!$C$144:$C$155,TRIM(LEFT('hospitalityq-nil'!D218,FIND(":",'hospitalityq-nil'!D218&amp;":")-1))&amp;":*")=0,SUMPRODUCT(--(TRIM('hospitalityq-nil'!C6:C218)=TRIM('hospitalityq-nil'!C218)),--(TRIM('hospitalityq-nil'!D6:D218)=TRIM('hospitalityq-nil'!D218)))&gt;1))</f>
        <v>0</v>
      </c>
    </row>
    <row r="219" spans="1:4" x14ac:dyDescent="0.25">
      <c r="A219">
        <f t="shared" si="3"/>
        <v>0</v>
      </c>
      <c r="C219">
        <f>NOT('hospitalityq-nil'!C219="")*(OR(NOT(IFERROR(AND(INT('hospitalityq-nil'!C219)='hospitalityq-nil'!C219,'hospitalityq-nil'!C219&gt;=2018-50,'hospitalityq-nil'!C219&lt;=2018+50),FALSE)),SUMPRODUCT(--(TRIM('hospitalityq-nil'!C6:C219)=TRIM('hospitalityq-nil'!C219)),--(TRIM('hospitalityq-nil'!D6:D219)=TRIM('hospitalityq-nil'!D219)))&gt;1))</f>
        <v>0</v>
      </c>
      <c r="D219">
        <f>NOT('hospitalityq-nil'!D219="")*(OR(COUNTIF(reference!$C$144:$C$155,TRIM(LEFT('hospitalityq-nil'!D219,FIND(":",'hospitalityq-nil'!D219&amp;":")-1))&amp;":*")=0,SUMPRODUCT(--(TRIM('hospitalityq-nil'!C6:C219)=TRIM('hospitalityq-nil'!C219)),--(TRIM('hospitalityq-nil'!D6:D219)=TRIM('hospitalityq-nil'!D219)))&gt;1))</f>
        <v>0</v>
      </c>
    </row>
    <row r="220" spans="1:4" x14ac:dyDescent="0.25">
      <c r="A220">
        <f t="shared" si="3"/>
        <v>0</v>
      </c>
      <c r="C220">
        <f>NOT('hospitalityq-nil'!C220="")*(OR(NOT(IFERROR(AND(INT('hospitalityq-nil'!C220)='hospitalityq-nil'!C220,'hospitalityq-nil'!C220&gt;=2018-50,'hospitalityq-nil'!C220&lt;=2018+50),FALSE)),SUMPRODUCT(--(TRIM('hospitalityq-nil'!C6:C220)=TRIM('hospitalityq-nil'!C220)),--(TRIM('hospitalityq-nil'!D6:D220)=TRIM('hospitalityq-nil'!D220)))&gt;1))</f>
        <v>0</v>
      </c>
      <c r="D220">
        <f>NOT('hospitalityq-nil'!D220="")*(OR(COUNTIF(reference!$C$144:$C$155,TRIM(LEFT('hospitalityq-nil'!D220,FIND(":",'hospitalityq-nil'!D220&amp;":")-1))&amp;":*")=0,SUMPRODUCT(--(TRIM('hospitalityq-nil'!C6:C220)=TRIM('hospitalityq-nil'!C220)),--(TRIM('hospitalityq-nil'!D6:D220)=TRIM('hospitalityq-nil'!D220)))&gt;1))</f>
        <v>0</v>
      </c>
    </row>
    <row r="221" spans="1:4" x14ac:dyDescent="0.25">
      <c r="A221">
        <f t="shared" si="3"/>
        <v>0</v>
      </c>
      <c r="C221">
        <f>NOT('hospitalityq-nil'!C221="")*(OR(NOT(IFERROR(AND(INT('hospitalityq-nil'!C221)='hospitalityq-nil'!C221,'hospitalityq-nil'!C221&gt;=2018-50,'hospitalityq-nil'!C221&lt;=2018+50),FALSE)),SUMPRODUCT(--(TRIM('hospitalityq-nil'!C6:C221)=TRIM('hospitalityq-nil'!C221)),--(TRIM('hospitalityq-nil'!D6:D221)=TRIM('hospitalityq-nil'!D221)))&gt;1))</f>
        <v>0</v>
      </c>
      <c r="D221">
        <f>NOT('hospitalityq-nil'!D221="")*(OR(COUNTIF(reference!$C$144:$C$155,TRIM(LEFT('hospitalityq-nil'!D221,FIND(":",'hospitalityq-nil'!D221&amp;":")-1))&amp;":*")=0,SUMPRODUCT(--(TRIM('hospitalityq-nil'!C6:C221)=TRIM('hospitalityq-nil'!C221)),--(TRIM('hospitalityq-nil'!D6:D221)=TRIM('hospitalityq-nil'!D221)))&gt;1))</f>
        <v>0</v>
      </c>
    </row>
    <row r="222" spans="1:4" x14ac:dyDescent="0.25">
      <c r="A222">
        <f t="shared" si="3"/>
        <v>0</v>
      </c>
      <c r="C222">
        <f>NOT('hospitalityq-nil'!C222="")*(OR(NOT(IFERROR(AND(INT('hospitalityq-nil'!C222)='hospitalityq-nil'!C222,'hospitalityq-nil'!C222&gt;=2018-50,'hospitalityq-nil'!C222&lt;=2018+50),FALSE)),SUMPRODUCT(--(TRIM('hospitalityq-nil'!C6:C222)=TRIM('hospitalityq-nil'!C222)),--(TRIM('hospitalityq-nil'!D6:D222)=TRIM('hospitalityq-nil'!D222)))&gt;1))</f>
        <v>0</v>
      </c>
      <c r="D222">
        <f>NOT('hospitalityq-nil'!D222="")*(OR(COUNTIF(reference!$C$144:$C$155,TRIM(LEFT('hospitalityq-nil'!D222,FIND(":",'hospitalityq-nil'!D222&amp;":")-1))&amp;":*")=0,SUMPRODUCT(--(TRIM('hospitalityq-nil'!C6:C222)=TRIM('hospitalityq-nil'!C222)),--(TRIM('hospitalityq-nil'!D6:D222)=TRIM('hospitalityq-nil'!D222)))&gt;1))</f>
        <v>0</v>
      </c>
    </row>
    <row r="223" spans="1:4" x14ac:dyDescent="0.25">
      <c r="A223">
        <f t="shared" si="3"/>
        <v>0</v>
      </c>
      <c r="C223">
        <f>NOT('hospitalityq-nil'!C223="")*(OR(NOT(IFERROR(AND(INT('hospitalityq-nil'!C223)='hospitalityq-nil'!C223,'hospitalityq-nil'!C223&gt;=2018-50,'hospitalityq-nil'!C223&lt;=2018+50),FALSE)),SUMPRODUCT(--(TRIM('hospitalityq-nil'!C6:C223)=TRIM('hospitalityq-nil'!C223)),--(TRIM('hospitalityq-nil'!D6:D223)=TRIM('hospitalityq-nil'!D223)))&gt;1))</f>
        <v>0</v>
      </c>
      <c r="D223">
        <f>NOT('hospitalityq-nil'!D223="")*(OR(COUNTIF(reference!$C$144:$C$155,TRIM(LEFT('hospitalityq-nil'!D223,FIND(":",'hospitalityq-nil'!D223&amp;":")-1))&amp;":*")=0,SUMPRODUCT(--(TRIM('hospitalityq-nil'!C6:C223)=TRIM('hospitalityq-nil'!C223)),--(TRIM('hospitalityq-nil'!D6:D223)=TRIM('hospitalityq-nil'!D223)))&gt;1))</f>
        <v>0</v>
      </c>
    </row>
    <row r="224" spans="1:4" x14ac:dyDescent="0.25">
      <c r="A224">
        <f t="shared" si="3"/>
        <v>0</v>
      </c>
      <c r="C224">
        <f>NOT('hospitalityq-nil'!C224="")*(OR(NOT(IFERROR(AND(INT('hospitalityq-nil'!C224)='hospitalityq-nil'!C224,'hospitalityq-nil'!C224&gt;=2018-50,'hospitalityq-nil'!C224&lt;=2018+50),FALSE)),SUMPRODUCT(--(TRIM('hospitalityq-nil'!C6:C224)=TRIM('hospitalityq-nil'!C224)),--(TRIM('hospitalityq-nil'!D6:D224)=TRIM('hospitalityq-nil'!D224)))&gt;1))</f>
        <v>0</v>
      </c>
      <c r="D224">
        <f>NOT('hospitalityq-nil'!D224="")*(OR(COUNTIF(reference!$C$144:$C$155,TRIM(LEFT('hospitalityq-nil'!D224,FIND(":",'hospitalityq-nil'!D224&amp;":")-1))&amp;":*")=0,SUMPRODUCT(--(TRIM('hospitalityq-nil'!C6:C224)=TRIM('hospitalityq-nil'!C224)),--(TRIM('hospitalityq-nil'!D6:D224)=TRIM('hospitalityq-nil'!D224)))&gt;1))</f>
        <v>0</v>
      </c>
    </row>
    <row r="225" spans="1:4" x14ac:dyDescent="0.25">
      <c r="A225">
        <f t="shared" si="3"/>
        <v>0</v>
      </c>
      <c r="C225">
        <f>NOT('hospitalityq-nil'!C225="")*(OR(NOT(IFERROR(AND(INT('hospitalityq-nil'!C225)='hospitalityq-nil'!C225,'hospitalityq-nil'!C225&gt;=2018-50,'hospitalityq-nil'!C225&lt;=2018+50),FALSE)),SUMPRODUCT(--(TRIM('hospitalityq-nil'!C6:C225)=TRIM('hospitalityq-nil'!C225)),--(TRIM('hospitalityq-nil'!D6:D225)=TRIM('hospitalityq-nil'!D225)))&gt;1))</f>
        <v>0</v>
      </c>
      <c r="D225">
        <f>NOT('hospitalityq-nil'!D225="")*(OR(COUNTIF(reference!$C$144:$C$155,TRIM(LEFT('hospitalityq-nil'!D225,FIND(":",'hospitalityq-nil'!D225&amp;":")-1))&amp;":*")=0,SUMPRODUCT(--(TRIM('hospitalityq-nil'!C6:C225)=TRIM('hospitalityq-nil'!C225)),--(TRIM('hospitalityq-nil'!D6:D225)=TRIM('hospitalityq-nil'!D225)))&gt;1))</f>
        <v>0</v>
      </c>
    </row>
    <row r="226" spans="1:4" x14ac:dyDescent="0.25">
      <c r="A226">
        <f t="shared" si="3"/>
        <v>0</v>
      </c>
      <c r="C226">
        <f>NOT('hospitalityq-nil'!C226="")*(OR(NOT(IFERROR(AND(INT('hospitalityq-nil'!C226)='hospitalityq-nil'!C226,'hospitalityq-nil'!C226&gt;=2018-50,'hospitalityq-nil'!C226&lt;=2018+50),FALSE)),SUMPRODUCT(--(TRIM('hospitalityq-nil'!C6:C226)=TRIM('hospitalityq-nil'!C226)),--(TRIM('hospitalityq-nil'!D6:D226)=TRIM('hospitalityq-nil'!D226)))&gt;1))</f>
        <v>0</v>
      </c>
      <c r="D226">
        <f>NOT('hospitalityq-nil'!D226="")*(OR(COUNTIF(reference!$C$144:$C$155,TRIM(LEFT('hospitalityq-nil'!D226,FIND(":",'hospitalityq-nil'!D226&amp;":")-1))&amp;":*")=0,SUMPRODUCT(--(TRIM('hospitalityq-nil'!C6:C226)=TRIM('hospitalityq-nil'!C226)),--(TRIM('hospitalityq-nil'!D6:D226)=TRIM('hospitalityq-nil'!D226)))&gt;1))</f>
        <v>0</v>
      </c>
    </row>
    <row r="227" spans="1:4" x14ac:dyDescent="0.25">
      <c r="A227">
        <f t="shared" si="3"/>
        <v>0</v>
      </c>
      <c r="C227">
        <f>NOT('hospitalityq-nil'!C227="")*(OR(NOT(IFERROR(AND(INT('hospitalityq-nil'!C227)='hospitalityq-nil'!C227,'hospitalityq-nil'!C227&gt;=2018-50,'hospitalityq-nil'!C227&lt;=2018+50),FALSE)),SUMPRODUCT(--(TRIM('hospitalityq-nil'!C6:C227)=TRIM('hospitalityq-nil'!C227)),--(TRIM('hospitalityq-nil'!D6:D227)=TRIM('hospitalityq-nil'!D227)))&gt;1))</f>
        <v>0</v>
      </c>
      <c r="D227">
        <f>NOT('hospitalityq-nil'!D227="")*(OR(COUNTIF(reference!$C$144:$C$155,TRIM(LEFT('hospitalityq-nil'!D227,FIND(":",'hospitalityq-nil'!D227&amp;":")-1))&amp;":*")=0,SUMPRODUCT(--(TRIM('hospitalityq-nil'!C6:C227)=TRIM('hospitalityq-nil'!C227)),--(TRIM('hospitalityq-nil'!D6:D227)=TRIM('hospitalityq-nil'!D227)))&gt;1))</f>
        <v>0</v>
      </c>
    </row>
    <row r="228" spans="1:4" x14ac:dyDescent="0.25">
      <c r="A228">
        <f t="shared" si="3"/>
        <v>0</v>
      </c>
      <c r="C228">
        <f>NOT('hospitalityq-nil'!C228="")*(OR(NOT(IFERROR(AND(INT('hospitalityq-nil'!C228)='hospitalityq-nil'!C228,'hospitalityq-nil'!C228&gt;=2018-50,'hospitalityq-nil'!C228&lt;=2018+50),FALSE)),SUMPRODUCT(--(TRIM('hospitalityq-nil'!C6:C228)=TRIM('hospitalityq-nil'!C228)),--(TRIM('hospitalityq-nil'!D6:D228)=TRIM('hospitalityq-nil'!D228)))&gt;1))</f>
        <v>0</v>
      </c>
      <c r="D228">
        <f>NOT('hospitalityq-nil'!D228="")*(OR(COUNTIF(reference!$C$144:$C$155,TRIM(LEFT('hospitalityq-nil'!D228,FIND(":",'hospitalityq-nil'!D228&amp;":")-1))&amp;":*")=0,SUMPRODUCT(--(TRIM('hospitalityq-nil'!C6:C228)=TRIM('hospitalityq-nil'!C228)),--(TRIM('hospitalityq-nil'!D6:D228)=TRIM('hospitalityq-nil'!D228)))&gt;1))</f>
        <v>0</v>
      </c>
    </row>
    <row r="229" spans="1:4" x14ac:dyDescent="0.25">
      <c r="A229">
        <f t="shared" si="3"/>
        <v>0</v>
      </c>
      <c r="C229">
        <f>NOT('hospitalityq-nil'!C229="")*(OR(NOT(IFERROR(AND(INT('hospitalityq-nil'!C229)='hospitalityq-nil'!C229,'hospitalityq-nil'!C229&gt;=2018-50,'hospitalityq-nil'!C229&lt;=2018+50),FALSE)),SUMPRODUCT(--(TRIM('hospitalityq-nil'!C6:C229)=TRIM('hospitalityq-nil'!C229)),--(TRIM('hospitalityq-nil'!D6:D229)=TRIM('hospitalityq-nil'!D229)))&gt;1))</f>
        <v>0</v>
      </c>
      <c r="D229">
        <f>NOT('hospitalityq-nil'!D229="")*(OR(COUNTIF(reference!$C$144:$C$155,TRIM(LEFT('hospitalityq-nil'!D229,FIND(":",'hospitalityq-nil'!D229&amp;":")-1))&amp;":*")=0,SUMPRODUCT(--(TRIM('hospitalityq-nil'!C6:C229)=TRIM('hospitalityq-nil'!C229)),--(TRIM('hospitalityq-nil'!D6:D229)=TRIM('hospitalityq-nil'!D229)))&gt;1))</f>
        <v>0</v>
      </c>
    </row>
    <row r="230" spans="1:4" x14ac:dyDescent="0.25">
      <c r="A230">
        <f t="shared" si="3"/>
        <v>0</v>
      </c>
      <c r="C230">
        <f>NOT('hospitalityq-nil'!C230="")*(OR(NOT(IFERROR(AND(INT('hospitalityq-nil'!C230)='hospitalityq-nil'!C230,'hospitalityq-nil'!C230&gt;=2018-50,'hospitalityq-nil'!C230&lt;=2018+50),FALSE)),SUMPRODUCT(--(TRIM('hospitalityq-nil'!C6:C230)=TRIM('hospitalityq-nil'!C230)),--(TRIM('hospitalityq-nil'!D6:D230)=TRIM('hospitalityq-nil'!D230)))&gt;1))</f>
        <v>0</v>
      </c>
      <c r="D230">
        <f>NOT('hospitalityq-nil'!D230="")*(OR(COUNTIF(reference!$C$144:$C$155,TRIM(LEFT('hospitalityq-nil'!D230,FIND(":",'hospitalityq-nil'!D230&amp;":")-1))&amp;":*")=0,SUMPRODUCT(--(TRIM('hospitalityq-nil'!C6:C230)=TRIM('hospitalityq-nil'!C230)),--(TRIM('hospitalityq-nil'!D6:D230)=TRIM('hospitalityq-nil'!D230)))&gt;1))</f>
        <v>0</v>
      </c>
    </row>
    <row r="231" spans="1:4" x14ac:dyDescent="0.25">
      <c r="A231">
        <f t="shared" si="3"/>
        <v>0</v>
      </c>
      <c r="C231">
        <f>NOT('hospitalityq-nil'!C231="")*(OR(NOT(IFERROR(AND(INT('hospitalityq-nil'!C231)='hospitalityq-nil'!C231,'hospitalityq-nil'!C231&gt;=2018-50,'hospitalityq-nil'!C231&lt;=2018+50),FALSE)),SUMPRODUCT(--(TRIM('hospitalityq-nil'!C6:C231)=TRIM('hospitalityq-nil'!C231)),--(TRIM('hospitalityq-nil'!D6:D231)=TRIM('hospitalityq-nil'!D231)))&gt;1))</f>
        <v>0</v>
      </c>
      <c r="D231">
        <f>NOT('hospitalityq-nil'!D231="")*(OR(COUNTIF(reference!$C$144:$C$155,TRIM(LEFT('hospitalityq-nil'!D231,FIND(":",'hospitalityq-nil'!D231&amp;":")-1))&amp;":*")=0,SUMPRODUCT(--(TRIM('hospitalityq-nil'!C6:C231)=TRIM('hospitalityq-nil'!C231)),--(TRIM('hospitalityq-nil'!D6:D231)=TRIM('hospitalityq-nil'!D231)))&gt;1))</f>
        <v>0</v>
      </c>
    </row>
    <row r="232" spans="1:4" x14ac:dyDescent="0.25">
      <c r="A232">
        <f t="shared" si="3"/>
        <v>0</v>
      </c>
      <c r="C232">
        <f>NOT('hospitalityq-nil'!C232="")*(OR(NOT(IFERROR(AND(INT('hospitalityq-nil'!C232)='hospitalityq-nil'!C232,'hospitalityq-nil'!C232&gt;=2018-50,'hospitalityq-nil'!C232&lt;=2018+50),FALSE)),SUMPRODUCT(--(TRIM('hospitalityq-nil'!C6:C232)=TRIM('hospitalityq-nil'!C232)),--(TRIM('hospitalityq-nil'!D6:D232)=TRIM('hospitalityq-nil'!D232)))&gt;1))</f>
        <v>0</v>
      </c>
      <c r="D232">
        <f>NOT('hospitalityq-nil'!D232="")*(OR(COUNTIF(reference!$C$144:$C$155,TRIM(LEFT('hospitalityq-nil'!D232,FIND(":",'hospitalityq-nil'!D232&amp;":")-1))&amp;":*")=0,SUMPRODUCT(--(TRIM('hospitalityq-nil'!C6:C232)=TRIM('hospitalityq-nil'!C232)),--(TRIM('hospitalityq-nil'!D6:D232)=TRIM('hospitalityq-nil'!D232)))&gt;1))</f>
        <v>0</v>
      </c>
    </row>
    <row r="233" spans="1:4" x14ac:dyDescent="0.25">
      <c r="A233">
        <f t="shared" si="3"/>
        <v>0</v>
      </c>
      <c r="C233">
        <f>NOT('hospitalityq-nil'!C233="")*(OR(NOT(IFERROR(AND(INT('hospitalityq-nil'!C233)='hospitalityq-nil'!C233,'hospitalityq-nil'!C233&gt;=2018-50,'hospitalityq-nil'!C233&lt;=2018+50),FALSE)),SUMPRODUCT(--(TRIM('hospitalityq-nil'!C6:C233)=TRIM('hospitalityq-nil'!C233)),--(TRIM('hospitalityq-nil'!D6:D233)=TRIM('hospitalityq-nil'!D233)))&gt;1))</f>
        <v>0</v>
      </c>
      <c r="D233">
        <f>NOT('hospitalityq-nil'!D233="")*(OR(COUNTIF(reference!$C$144:$C$155,TRIM(LEFT('hospitalityq-nil'!D233,FIND(":",'hospitalityq-nil'!D233&amp;":")-1))&amp;":*")=0,SUMPRODUCT(--(TRIM('hospitalityq-nil'!C6:C233)=TRIM('hospitalityq-nil'!C233)),--(TRIM('hospitalityq-nil'!D6:D233)=TRIM('hospitalityq-nil'!D233)))&gt;1))</f>
        <v>0</v>
      </c>
    </row>
    <row r="234" spans="1:4" x14ac:dyDescent="0.25">
      <c r="A234">
        <f t="shared" si="3"/>
        <v>0</v>
      </c>
      <c r="C234">
        <f>NOT('hospitalityq-nil'!C234="")*(OR(NOT(IFERROR(AND(INT('hospitalityq-nil'!C234)='hospitalityq-nil'!C234,'hospitalityq-nil'!C234&gt;=2018-50,'hospitalityq-nil'!C234&lt;=2018+50),FALSE)),SUMPRODUCT(--(TRIM('hospitalityq-nil'!C6:C234)=TRIM('hospitalityq-nil'!C234)),--(TRIM('hospitalityq-nil'!D6:D234)=TRIM('hospitalityq-nil'!D234)))&gt;1))</f>
        <v>0</v>
      </c>
      <c r="D234">
        <f>NOT('hospitalityq-nil'!D234="")*(OR(COUNTIF(reference!$C$144:$C$155,TRIM(LEFT('hospitalityq-nil'!D234,FIND(":",'hospitalityq-nil'!D234&amp;":")-1))&amp;":*")=0,SUMPRODUCT(--(TRIM('hospitalityq-nil'!C6:C234)=TRIM('hospitalityq-nil'!C234)),--(TRIM('hospitalityq-nil'!D6:D234)=TRIM('hospitalityq-nil'!D234)))&gt;1))</f>
        <v>0</v>
      </c>
    </row>
    <row r="235" spans="1:4" x14ac:dyDescent="0.25">
      <c r="A235">
        <f t="shared" si="3"/>
        <v>0</v>
      </c>
      <c r="C235">
        <f>NOT('hospitalityq-nil'!C235="")*(OR(NOT(IFERROR(AND(INT('hospitalityq-nil'!C235)='hospitalityq-nil'!C235,'hospitalityq-nil'!C235&gt;=2018-50,'hospitalityq-nil'!C235&lt;=2018+50),FALSE)),SUMPRODUCT(--(TRIM('hospitalityq-nil'!C6:C235)=TRIM('hospitalityq-nil'!C235)),--(TRIM('hospitalityq-nil'!D6:D235)=TRIM('hospitalityq-nil'!D235)))&gt;1))</f>
        <v>0</v>
      </c>
      <c r="D235">
        <f>NOT('hospitalityq-nil'!D235="")*(OR(COUNTIF(reference!$C$144:$C$155,TRIM(LEFT('hospitalityq-nil'!D235,FIND(":",'hospitalityq-nil'!D235&amp;":")-1))&amp;":*")=0,SUMPRODUCT(--(TRIM('hospitalityq-nil'!C6:C235)=TRIM('hospitalityq-nil'!C235)),--(TRIM('hospitalityq-nil'!D6:D235)=TRIM('hospitalityq-nil'!D235)))&gt;1))</f>
        <v>0</v>
      </c>
    </row>
    <row r="236" spans="1:4" x14ac:dyDescent="0.25">
      <c r="A236">
        <f t="shared" si="3"/>
        <v>0</v>
      </c>
      <c r="C236">
        <f>NOT('hospitalityq-nil'!C236="")*(OR(NOT(IFERROR(AND(INT('hospitalityq-nil'!C236)='hospitalityq-nil'!C236,'hospitalityq-nil'!C236&gt;=2018-50,'hospitalityq-nil'!C236&lt;=2018+50),FALSE)),SUMPRODUCT(--(TRIM('hospitalityq-nil'!C6:C236)=TRIM('hospitalityq-nil'!C236)),--(TRIM('hospitalityq-nil'!D6:D236)=TRIM('hospitalityq-nil'!D236)))&gt;1))</f>
        <v>0</v>
      </c>
      <c r="D236">
        <f>NOT('hospitalityq-nil'!D236="")*(OR(COUNTIF(reference!$C$144:$C$155,TRIM(LEFT('hospitalityq-nil'!D236,FIND(":",'hospitalityq-nil'!D236&amp;":")-1))&amp;":*")=0,SUMPRODUCT(--(TRIM('hospitalityq-nil'!C6:C236)=TRIM('hospitalityq-nil'!C236)),--(TRIM('hospitalityq-nil'!D6:D236)=TRIM('hospitalityq-nil'!D236)))&gt;1))</f>
        <v>0</v>
      </c>
    </row>
    <row r="237" spans="1:4" x14ac:dyDescent="0.25">
      <c r="A237">
        <f t="shared" si="3"/>
        <v>0</v>
      </c>
      <c r="C237">
        <f>NOT('hospitalityq-nil'!C237="")*(OR(NOT(IFERROR(AND(INT('hospitalityq-nil'!C237)='hospitalityq-nil'!C237,'hospitalityq-nil'!C237&gt;=2018-50,'hospitalityq-nil'!C237&lt;=2018+50),FALSE)),SUMPRODUCT(--(TRIM('hospitalityq-nil'!C6:C237)=TRIM('hospitalityq-nil'!C237)),--(TRIM('hospitalityq-nil'!D6:D237)=TRIM('hospitalityq-nil'!D237)))&gt;1))</f>
        <v>0</v>
      </c>
      <c r="D237">
        <f>NOT('hospitalityq-nil'!D237="")*(OR(COUNTIF(reference!$C$144:$C$155,TRIM(LEFT('hospitalityq-nil'!D237,FIND(":",'hospitalityq-nil'!D237&amp;":")-1))&amp;":*")=0,SUMPRODUCT(--(TRIM('hospitalityq-nil'!C6:C237)=TRIM('hospitalityq-nil'!C237)),--(TRIM('hospitalityq-nil'!D6:D237)=TRIM('hospitalityq-nil'!D237)))&gt;1))</f>
        <v>0</v>
      </c>
    </row>
    <row r="238" spans="1:4" x14ac:dyDescent="0.25">
      <c r="A238">
        <f t="shared" si="3"/>
        <v>0</v>
      </c>
      <c r="C238">
        <f>NOT('hospitalityq-nil'!C238="")*(OR(NOT(IFERROR(AND(INT('hospitalityq-nil'!C238)='hospitalityq-nil'!C238,'hospitalityq-nil'!C238&gt;=2018-50,'hospitalityq-nil'!C238&lt;=2018+50),FALSE)),SUMPRODUCT(--(TRIM('hospitalityq-nil'!C6:C238)=TRIM('hospitalityq-nil'!C238)),--(TRIM('hospitalityq-nil'!D6:D238)=TRIM('hospitalityq-nil'!D238)))&gt;1))</f>
        <v>0</v>
      </c>
      <c r="D238">
        <f>NOT('hospitalityq-nil'!D238="")*(OR(COUNTIF(reference!$C$144:$C$155,TRIM(LEFT('hospitalityq-nil'!D238,FIND(":",'hospitalityq-nil'!D238&amp;":")-1))&amp;":*")=0,SUMPRODUCT(--(TRIM('hospitalityq-nil'!C6:C238)=TRIM('hospitalityq-nil'!C238)),--(TRIM('hospitalityq-nil'!D6:D238)=TRIM('hospitalityq-nil'!D238)))&gt;1))</f>
        <v>0</v>
      </c>
    </row>
    <row r="239" spans="1:4" x14ac:dyDescent="0.25">
      <c r="A239">
        <f t="shared" si="3"/>
        <v>0</v>
      </c>
      <c r="C239">
        <f>NOT('hospitalityq-nil'!C239="")*(OR(NOT(IFERROR(AND(INT('hospitalityq-nil'!C239)='hospitalityq-nil'!C239,'hospitalityq-nil'!C239&gt;=2018-50,'hospitalityq-nil'!C239&lt;=2018+50),FALSE)),SUMPRODUCT(--(TRIM('hospitalityq-nil'!C6:C239)=TRIM('hospitalityq-nil'!C239)),--(TRIM('hospitalityq-nil'!D6:D239)=TRIM('hospitalityq-nil'!D239)))&gt;1))</f>
        <v>0</v>
      </c>
      <c r="D239">
        <f>NOT('hospitalityq-nil'!D239="")*(OR(COUNTIF(reference!$C$144:$C$155,TRIM(LEFT('hospitalityq-nil'!D239,FIND(":",'hospitalityq-nil'!D239&amp;":")-1))&amp;":*")=0,SUMPRODUCT(--(TRIM('hospitalityq-nil'!C6:C239)=TRIM('hospitalityq-nil'!C239)),--(TRIM('hospitalityq-nil'!D6:D239)=TRIM('hospitalityq-nil'!D239)))&gt;1))</f>
        <v>0</v>
      </c>
    </row>
    <row r="240" spans="1:4" x14ac:dyDescent="0.25">
      <c r="A240">
        <f t="shared" si="3"/>
        <v>0</v>
      </c>
      <c r="C240">
        <f>NOT('hospitalityq-nil'!C240="")*(OR(NOT(IFERROR(AND(INT('hospitalityq-nil'!C240)='hospitalityq-nil'!C240,'hospitalityq-nil'!C240&gt;=2018-50,'hospitalityq-nil'!C240&lt;=2018+50),FALSE)),SUMPRODUCT(--(TRIM('hospitalityq-nil'!C6:C240)=TRIM('hospitalityq-nil'!C240)),--(TRIM('hospitalityq-nil'!D6:D240)=TRIM('hospitalityq-nil'!D240)))&gt;1))</f>
        <v>0</v>
      </c>
      <c r="D240">
        <f>NOT('hospitalityq-nil'!D240="")*(OR(COUNTIF(reference!$C$144:$C$155,TRIM(LEFT('hospitalityq-nil'!D240,FIND(":",'hospitalityq-nil'!D240&amp;":")-1))&amp;":*")=0,SUMPRODUCT(--(TRIM('hospitalityq-nil'!C6:C240)=TRIM('hospitalityq-nil'!C240)),--(TRIM('hospitalityq-nil'!D6:D240)=TRIM('hospitalityq-nil'!D240)))&gt;1))</f>
        <v>0</v>
      </c>
    </row>
    <row r="241" spans="1:4" x14ac:dyDescent="0.25">
      <c r="A241">
        <f t="shared" si="3"/>
        <v>0</v>
      </c>
      <c r="C241">
        <f>NOT('hospitalityq-nil'!C241="")*(OR(NOT(IFERROR(AND(INT('hospitalityq-nil'!C241)='hospitalityq-nil'!C241,'hospitalityq-nil'!C241&gt;=2018-50,'hospitalityq-nil'!C241&lt;=2018+50),FALSE)),SUMPRODUCT(--(TRIM('hospitalityq-nil'!C6:C241)=TRIM('hospitalityq-nil'!C241)),--(TRIM('hospitalityq-nil'!D6:D241)=TRIM('hospitalityq-nil'!D241)))&gt;1))</f>
        <v>0</v>
      </c>
      <c r="D241">
        <f>NOT('hospitalityq-nil'!D241="")*(OR(COUNTIF(reference!$C$144:$C$155,TRIM(LEFT('hospitalityq-nil'!D241,FIND(":",'hospitalityq-nil'!D241&amp;":")-1))&amp;":*")=0,SUMPRODUCT(--(TRIM('hospitalityq-nil'!C6:C241)=TRIM('hospitalityq-nil'!C241)),--(TRIM('hospitalityq-nil'!D6:D241)=TRIM('hospitalityq-nil'!D241)))&gt;1))</f>
        <v>0</v>
      </c>
    </row>
    <row r="242" spans="1:4" x14ac:dyDescent="0.25">
      <c r="A242">
        <f t="shared" si="3"/>
        <v>0</v>
      </c>
      <c r="C242">
        <f>NOT('hospitalityq-nil'!C242="")*(OR(NOT(IFERROR(AND(INT('hospitalityq-nil'!C242)='hospitalityq-nil'!C242,'hospitalityq-nil'!C242&gt;=2018-50,'hospitalityq-nil'!C242&lt;=2018+50),FALSE)),SUMPRODUCT(--(TRIM('hospitalityq-nil'!C6:C242)=TRIM('hospitalityq-nil'!C242)),--(TRIM('hospitalityq-nil'!D6:D242)=TRIM('hospitalityq-nil'!D242)))&gt;1))</f>
        <v>0</v>
      </c>
      <c r="D242">
        <f>NOT('hospitalityq-nil'!D242="")*(OR(COUNTIF(reference!$C$144:$C$155,TRIM(LEFT('hospitalityq-nil'!D242,FIND(":",'hospitalityq-nil'!D242&amp;":")-1))&amp;":*")=0,SUMPRODUCT(--(TRIM('hospitalityq-nil'!C6:C242)=TRIM('hospitalityq-nil'!C242)),--(TRIM('hospitalityq-nil'!D6:D242)=TRIM('hospitalityq-nil'!D242)))&gt;1))</f>
        <v>0</v>
      </c>
    </row>
    <row r="243" spans="1:4" x14ac:dyDescent="0.25">
      <c r="A243">
        <f t="shared" si="3"/>
        <v>0</v>
      </c>
      <c r="C243">
        <f>NOT('hospitalityq-nil'!C243="")*(OR(NOT(IFERROR(AND(INT('hospitalityq-nil'!C243)='hospitalityq-nil'!C243,'hospitalityq-nil'!C243&gt;=2018-50,'hospitalityq-nil'!C243&lt;=2018+50),FALSE)),SUMPRODUCT(--(TRIM('hospitalityq-nil'!C6:C243)=TRIM('hospitalityq-nil'!C243)),--(TRIM('hospitalityq-nil'!D6:D243)=TRIM('hospitalityq-nil'!D243)))&gt;1))</f>
        <v>0</v>
      </c>
      <c r="D243">
        <f>NOT('hospitalityq-nil'!D243="")*(OR(COUNTIF(reference!$C$144:$C$155,TRIM(LEFT('hospitalityq-nil'!D243,FIND(":",'hospitalityq-nil'!D243&amp;":")-1))&amp;":*")=0,SUMPRODUCT(--(TRIM('hospitalityq-nil'!C6:C243)=TRIM('hospitalityq-nil'!C243)),--(TRIM('hospitalityq-nil'!D6:D243)=TRIM('hospitalityq-nil'!D243)))&gt;1))</f>
        <v>0</v>
      </c>
    </row>
    <row r="244" spans="1:4" x14ac:dyDescent="0.25">
      <c r="A244">
        <f t="shared" si="3"/>
        <v>0</v>
      </c>
      <c r="C244">
        <f>NOT('hospitalityq-nil'!C244="")*(OR(NOT(IFERROR(AND(INT('hospitalityq-nil'!C244)='hospitalityq-nil'!C244,'hospitalityq-nil'!C244&gt;=2018-50,'hospitalityq-nil'!C244&lt;=2018+50),FALSE)),SUMPRODUCT(--(TRIM('hospitalityq-nil'!C6:C244)=TRIM('hospitalityq-nil'!C244)),--(TRIM('hospitalityq-nil'!D6:D244)=TRIM('hospitalityq-nil'!D244)))&gt;1))</f>
        <v>0</v>
      </c>
      <c r="D244">
        <f>NOT('hospitalityq-nil'!D244="")*(OR(COUNTIF(reference!$C$144:$C$155,TRIM(LEFT('hospitalityq-nil'!D244,FIND(":",'hospitalityq-nil'!D244&amp;":")-1))&amp;":*")=0,SUMPRODUCT(--(TRIM('hospitalityq-nil'!C6:C244)=TRIM('hospitalityq-nil'!C244)),--(TRIM('hospitalityq-nil'!D6:D244)=TRIM('hospitalityq-nil'!D244)))&gt;1))</f>
        <v>0</v>
      </c>
    </row>
    <row r="245" spans="1:4" x14ac:dyDescent="0.25">
      <c r="A245">
        <f t="shared" si="3"/>
        <v>0</v>
      </c>
      <c r="C245">
        <f>NOT('hospitalityq-nil'!C245="")*(OR(NOT(IFERROR(AND(INT('hospitalityq-nil'!C245)='hospitalityq-nil'!C245,'hospitalityq-nil'!C245&gt;=2018-50,'hospitalityq-nil'!C245&lt;=2018+50),FALSE)),SUMPRODUCT(--(TRIM('hospitalityq-nil'!C6:C245)=TRIM('hospitalityq-nil'!C245)),--(TRIM('hospitalityq-nil'!D6:D245)=TRIM('hospitalityq-nil'!D245)))&gt;1))</f>
        <v>0</v>
      </c>
      <c r="D245">
        <f>NOT('hospitalityq-nil'!D245="")*(OR(COUNTIF(reference!$C$144:$C$155,TRIM(LEFT('hospitalityq-nil'!D245,FIND(":",'hospitalityq-nil'!D245&amp;":")-1))&amp;":*")=0,SUMPRODUCT(--(TRIM('hospitalityq-nil'!C6:C245)=TRIM('hospitalityq-nil'!C245)),--(TRIM('hospitalityq-nil'!D6:D245)=TRIM('hospitalityq-nil'!D245)))&gt;1))</f>
        <v>0</v>
      </c>
    </row>
    <row r="246" spans="1:4" x14ac:dyDescent="0.25">
      <c r="A246">
        <f t="shared" si="3"/>
        <v>0</v>
      </c>
      <c r="C246">
        <f>NOT('hospitalityq-nil'!C246="")*(OR(NOT(IFERROR(AND(INT('hospitalityq-nil'!C246)='hospitalityq-nil'!C246,'hospitalityq-nil'!C246&gt;=2018-50,'hospitalityq-nil'!C246&lt;=2018+50),FALSE)),SUMPRODUCT(--(TRIM('hospitalityq-nil'!C6:C246)=TRIM('hospitalityq-nil'!C246)),--(TRIM('hospitalityq-nil'!D6:D246)=TRIM('hospitalityq-nil'!D246)))&gt;1))</f>
        <v>0</v>
      </c>
      <c r="D246">
        <f>NOT('hospitalityq-nil'!D246="")*(OR(COUNTIF(reference!$C$144:$C$155,TRIM(LEFT('hospitalityq-nil'!D246,FIND(":",'hospitalityq-nil'!D246&amp;":")-1))&amp;":*")=0,SUMPRODUCT(--(TRIM('hospitalityq-nil'!C6:C246)=TRIM('hospitalityq-nil'!C246)),--(TRIM('hospitalityq-nil'!D6:D246)=TRIM('hospitalityq-nil'!D246)))&gt;1))</f>
        <v>0</v>
      </c>
    </row>
    <row r="247" spans="1:4" x14ac:dyDescent="0.25">
      <c r="A247">
        <f t="shared" si="3"/>
        <v>0</v>
      </c>
      <c r="C247">
        <f>NOT('hospitalityq-nil'!C247="")*(OR(NOT(IFERROR(AND(INT('hospitalityq-nil'!C247)='hospitalityq-nil'!C247,'hospitalityq-nil'!C247&gt;=2018-50,'hospitalityq-nil'!C247&lt;=2018+50),FALSE)),SUMPRODUCT(--(TRIM('hospitalityq-nil'!C6:C247)=TRIM('hospitalityq-nil'!C247)),--(TRIM('hospitalityq-nil'!D6:D247)=TRIM('hospitalityq-nil'!D247)))&gt;1))</f>
        <v>0</v>
      </c>
      <c r="D247">
        <f>NOT('hospitalityq-nil'!D247="")*(OR(COUNTIF(reference!$C$144:$C$155,TRIM(LEFT('hospitalityq-nil'!D247,FIND(":",'hospitalityq-nil'!D247&amp;":")-1))&amp;":*")=0,SUMPRODUCT(--(TRIM('hospitalityq-nil'!C6:C247)=TRIM('hospitalityq-nil'!C247)),--(TRIM('hospitalityq-nil'!D6:D247)=TRIM('hospitalityq-nil'!D247)))&gt;1))</f>
        <v>0</v>
      </c>
    </row>
    <row r="248" spans="1:4" x14ac:dyDescent="0.25">
      <c r="A248">
        <f t="shared" si="3"/>
        <v>0</v>
      </c>
      <c r="C248">
        <f>NOT('hospitalityq-nil'!C248="")*(OR(NOT(IFERROR(AND(INT('hospitalityq-nil'!C248)='hospitalityq-nil'!C248,'hospitalityq-nil'!C248&gt;=2018-50,'hospitalityq-nil'!C248&lt;=2018+50),FALSE)),SUMPRODUCT(--(TRIM('hospitalityq-nil'!C6:C248)=TRIM('hospitalityq-nil'!C248)),--(TRIM('hospitalityq-nil'!D6:D248)=TRIM('hospitalityq-nil'!D248)))&gt;1))</f>
        <v>0</v>
      </c>
      <c r="D248">
        <f>NOT('hospitalityq-nil'!D248="")*(OR(COUNTIF(reference!$C$144:$C$155,TRIM(LEFT('hospitalityq-nil'!D248,FIND(":",'hospitalityq-nil'!D248&amp;":")-1))&amp;":*")=0,SUMPRODUCT(--(TRIM('hospitalityq-nil'!C6:C248)=TRIM('hospitalityq-nil'!C248)),--(TRIM('hospitalityq-nil'!D6:D248)=TRIM('hospitalityq-nil'!D248)))&gt;1))</f>
        <v>0</v>
      </c>
    </row>
    <row r="249" spans="1:4" x14ac:dyDescent="0.25">
      <c r="A249">
        <f t="shared" si="3"/>
        <v>0</v>
      </c>
      <c r="C249">
        <f>NOT('hospitalityq-nil'!C249="")*(OR(NOT(IFERROR(AND(INT('hospitalityq-nil'!C249)='hospitalityq-nil'!C249,'hospitalityq-nil'!C249&gt;=2018-50,'hospitalityq-nil'!C249&lt;=2018+50),FALSE)),SUMPRODUCT(--(TRIM('hospitalityq-nil'!C6:C249)=TRIM('hospitalityq-nil'!C249)),--(TRIM('hospitalityq-nil'!D6:D249)=TRIM('hospitalityq-nil'!D249)))&gt;1))</f>
        <v>0</v>
      </c>
      <c r="D249">
        <f>NOT('hospitalityq-nil'!D249="")*(OR(COUNTIF(reference!$C$144:$C$155,TRIM(LEFT('hospitalityq-nil'!D249,FIND(":",'hospitalityq-nil'!D249&amp;":")-1))&amp;":*")=0,SUMPRODUCT(--(TRIM('hospitalityq-nil'!C6:C249)=TRIM('hospitalityq-nil'!C249)),--(TRIM('hospitalityq-nil'!D6:D249)=TRIM('hospitalityq-nil'!D249)))&gt;1))</f>
        <v>0</v>
      </c>
    </row>
    <row r="250" spans="1:4" x14ac:dyDescent="0.25">
      <c r="A250">
        <f t="shared" si="3"/>
        <v>0</v>
      </c>
      <c r="C250">
        <f>NOT('hospitalityq-nil'!C250="")*(OR(NOT(IFERROR(AND(INT('hospitalityq-nil'!C250)='hospitalityq-nil'!C250,'hospitalityq-nil'!C250&gt;=2018-50,'hospitalityq-nil'!C250&lt;=2018+50),FALSE)),SUMPRODUCT(--(TRIM('hospitalityq-nil'!C6:C250)=TRIM('hospitalityq-nil'!C250)),--(TRIM('hospitalityq-nil'!D6:D250)=TRIM('hospitalityq-nil'!D250)))&gt;1))</f>
        <v>0</v>
      </c>
      <c r="D250">
        <f>NOT('hospitalityq-nil'!D250="")*(OR(COUNTIF(reference!$C$144:$C$155,TRIM(LEFT('hospitalityq-nil'!D250,FIND(":",'hospitalityq-nil'!D250&amp;":")-1))&amp;":*")=0,SUMPRODUCT(--(TRIM('hospitalityq-nil'!C6:C250)=TRIM('hospitalityq-nil'!C250)),--(TRIM('hospitalityq-nil'!D6:D250)=TRIM('hospitalityq-nil'!D250)))&gt;1))</f>
        <v>0</v>
      </c>
    </row>
    <row r="251" spans="1:4" x14ac:dyDescent="0.25">
      <c r="A251">
        <f t="shared" si="3"/>
        <v>0</v>
      </c>
      <c r="C251">
        <f>NOT('hospitalityq-nil'!C251="")*(OR(NOT(IFERROR(AND(INT('hospitalityq-nil'!C251)='hospitalityq-nil'!C251,'hospitalityq-nil'!C251&gt;=2018-50,'hospitalityq-nil'!C251&lt;=2018+50),FALSE)),SUMPRODUCT(--(TRIM('hospitalityq-nil'!C6:C251)=TRIM('hospitalityq-nil'!C251)),--(TRIM('hospitalityq-nil'!D6:D251)=TRIM('hospitalityq-nil'!D251)))&gt;1))</f>
        <v>0</v>
      </c>
      <c r="D251">
        <f>NOT('hospitalityq-nil'!D251="")*(OR(COUNTIF(reference!$C$144:$C$155,TRIM(LEFT('hospitalityq-nil'!D251,FIND(":",'hospitalityq-nil'!D251&amp;":")-1))&amp;":*")=0,SUMPRODUCT(--(TRIM('hospitalityq-nil'!C6:C251)=TRIM('hospitalityq-nil'!C251)),--(TRIM('hospitalityq-nil'!D6:D251)=TRIM('hospitalityq-nil'!D251)))&gt;1))</f>
        <v>0</v>
      </c>
    </row>
    <row r="252" spans="1:4" x14ac:dyDescent="0.25">
      <c r="A252">
        <f t="shared" si="3"/>
        <v>0</v>
      </c>
      <c r="C252">
        <f>NOT('hospitalityq-nil'!C252="")*(OR(NOT(IFERROR(AND(INT('hospitalityq-nil'!C252)='hospitalityq-nil'!C252,'hospitalityq-nil'!C252&gt;=2018-50,'hospitalityq-nil'!C252&lt;=2018+50),FALSE)),SUMPRODUCT(--(TRIM('hospitalityq-nil'!C6:C252)=TRIM('hospitalityq-nil'!C252)),--(TRIM('hospitalityq-nil'!D6:D252)=TRIM('hospitalityq-nil'!D252)))&gt;1))</f>
        <v>0</v>
      </c>
      <c r="D252">
        <f>NOT('hospitalityq-nil'!D252="")*(OR(COUNTIF(reference!$C$144:$C$155,TRIM(LEFT('hospitalityq-nil'!D252,FIND(":",'hospitalityq-nil'!D252&amp;":")-1))&amp;":*")=0,SUMPRODUCT(--(TRIM('hospitalityq-nil'!C6:C252)=TRIM('hospitalityq-nil'!C252)),--(TRIM('hospitalityq-nil'!D6:D252)=TRIM('hospitalityq-nil'!D252)))&gt;1))</f>
        <v>0</v>
      </c>
    </row>
    <row r="253" spans="1:4" x14ac:dyDescent="0.25">
      <c r="A253">
        <f t="shared" si="3"/>
        <v>0</v>
      </c>
      <c r="C253">
        <f>NOT('hospitalityq-nil'!C253="")*(OR(NOT(IFERROR(AND(INT('hospitalityq-nil'!C253)='hospitalityq-nil'!C253,'hospitalityq-nil'!C253&gt;=2018-50,'hospitalityq-nil'!C253&lt;=2018+50),FALSE)),SUMPRODUCT(--(TRIM('hospitalityq-nil'!C6:C253)=TRIM('hospitalityq-nil'!C253)),--(TRIM('hospitalityq-nil'!D6:D253)=TRIM('hospitalityq-nil'!D253)))&gt;1))</f>
        <v>0</v>
      </c>
      <c r="D253">
        <f>NOT('hospitalityq-nil'!D253="")*(OR(COUNTIF(reference!$C$144:$C$155,TRIM(LEFT('hospitalityq-nil'!D253,FIND(":",'hospitalityq-nil'!D253&amp;":")-1))&amp;":*")=0,SUMPRODUCT(--(TRIM('hospitalityq-nil'!C6:C253)=TRIM('hospitalityq-nil'!C253)),--(TRIM('hospitalityq-nil'!D6:D253)=TRIM('hospitalityq-nil'!D253)))&gt;1))</f>
        <v>0</v>
      </c>
    </row>
    <row r="254" spans="1:4" x14ac:dyDescent="0.25">
      <c r="A254">
        <f t="shared" si="3"/>
        <v>0</v>
      </c>
      <c r="C254">
        <f>NOT('hospitalityq-nil'!C254="")*(OR(NOT(IFERROR(AND(INT('hospitalityq-nil'!C254)='hospitalityq-nil'!C254,'hospitalityq-nil'!C254&gt;=2018-50,'hospitalityq-nil'!C254&lt;=2018+50),FALSE)),SUMPRODUCT(--(TRIM('hospitalityq-nil'!C6:C254)=TRIM('hospitalityq-nil'!C254)),--(TRIM('hospitalityq-nil'!D6:D254)=TRIM('hospitalityq-nil'!D254)))&gt;1))</f>
        <v>0</v>
      </c>
      <c r="D254">
        <f>NOT('hospitalityq-nil'!D254="")*(OR(COUNTIF(reference!$C$144:$C$155,TRIM(LEFT('hospitalityq-nil'!D254,FIND(":",'hospitalityq-nil'!D254&amp;":")-1))&amp;":*")=0,SUMPRODUCT(--(TRIM('hospitalityq-nil'!C6:C254)=TRIM('hospitalityq-nil'!C254)),--(TRIM('hospitalityq-nil'!D6:D254)=TRIM('hospitalityq-nil'!D254)))&gt;1))</f>
        <v>0</v>
      </c>
    </row>
    <row r="255" spans="1:4" x14ac:dyDescent="0.25">
      <c r="A255">
        <f t="shared" si="3"/>
        <v>0</v>
      </c>
      <c r="C255">
        <f>NOT('hospitalityq-nil'!C255="")*(OR(NOT(IFERROR(AND(INT('hospitalityq-nil'!C255)='hospitalityq-nil'!C255,'hospitalityq-nil'!C255&gt;=2018-50,'hospitalityq-nil'!C255&lt;=2018+50),FALSE)),SUMPRODUCT(--(TRIM('hospitalityq-nil'!C6:C255)=TRIM('hospitalityq-nil'!C255)),--(TRIM('hospitalityq-nil'!D6:D255)=TRIM('hospitalityq-nil'!D255)))&gt;1))</f>
        <v>0</v>
      </c>
      <c r="D255">
        <f>NOT('hospitalityq-nil'!D255="")*(OR(COUNTIF(reference!$C$144:$C$155,TRIM(LEFT('hospitalityq-nil'!D255,FIND(":",'hospitalityq-nil'!D255&amp;":")-1))&amp;":*")=0,SUMPRODUCT(--(TRIM('hospitalityq-nil'!C6:C255)=TRIM('hospitalityq-nil'!C255)),--(TRIM('hospitalityq-nil'!D6:D255)=TRIM('hospitalityq-nil'!D255)))&gt;1))</f>
        <v>0</v>
      </c>
    </row>
    <row r="256" spans="1:4" x14ac:dyDescent="0.25">
      <c r="A256">
        <f t="shared" si="3"/>
        <v>0</v>
      </c>
      <c r="C256">
        <f>NOT('hospitalityq-nil'!C256="")*(OR(NOT(IFERROR(AND(INT('hospitalityq-nil'!C256)='hospitalityq-nil'!C256,'hospitalityq-nil'!C256&gt;=2018-50,'hospitalityq-nil'!C256&lt;=2018+50),FALSE)),SUMPRODUCT(--(TRIM('hospitalityq-nil'!C6:C256)=TRIM('hospitalityq-nil'!C256)),--(TRIM('hospitalityq-nil'!D6:D256)=TRIM('hospitalityq-nil'!D256)))&gt;1))</f>
        <v>0</v>
      </c>
      <c r="D256">
        <f>NOT('hospitalityq-nil'!D256="")*(OR(COUNTIF(reference!$C$144:$C$155,TRIM(LEFT('hospitalityq-nil'!D256,FIND(":",'hospitalityq-nil'!D256&amp;":")-1))&amp;":*")=0,SUMPRODUCT(--(TRIM('hospitalityq-nil'!C6:C256)=TRIM('hospitalityq-nil'!C256)),--(TRIM('hospitalityq-nil'!D6:D256)=TRIM('hospitalityq-nil'!D256)))&gt;1))</f>
        <v>0</v>
      </c>
    </row>
    <row r="257" spans="1:4" x14ac:dyDescent="0.25">
      <c r="A257">
        <f t="shared" si="3"/>
        <v>0</v>
      </c>
      <c r="C257">
        <f>NOT('hospitalityq-nil'!C257="")*(OR(NOT(IFERROR(AND(INT('hospitalityq-nil'!C257)='hospitalityq-nil'!C257,'hospitalityq-nil'!C257&gt;=2018-50,'hospitalityq-nil'!C257&lt;=2018+50),FALSE)),SUMPRODUCT(--(TRIM('hospitalityq-nil'!C6:C257)=TRIM('hospitalityq-nil'!C257)),--(TRIM('hospitalityq-nil'!D6:D257)=TRIM('hospitalityq-nil'!D257)))&gt;1))</f>
        <v>0</v>
      </c>
      <c r="D257">
        <f>NOT('hospitalityq-nil'!D257="")*(OR(COUNTIF(reference!$C$144:$C$155,TRIM(LEFT('hospitalityq-nil'!D257,FIND(":",'hospitalityq-nil'!D257&amp;":")-1))&amp;":*")=0,SUMPRODUCT(--(TRIM('hospitalityq-nil'!C6:C257)=TRIM('hospitalityq-nil'!C257)),--(TRIM('hospitalityq-nil'!D6:D257)=TRIM('hospitalityq-nil'!D257)))&gt;1))</f>
        <v>0</v>
      </c>
    </row>
    <row r="258" spans="1:4" x14ac:dyDescent="0.25">
      <c r="A258">
        <f t="shared" si="3"/>
        <v>0</v>
      </c>
      <c r="C258">
        <f>NOT('hospitalityq-nil'!C258="")*(OR(NOT(IFERROR(AND(INT('hospitalityq-nil'!C258)='hospitalityq-nil'!C258,'hospitalityq-nil'!C258&gt;=2018-50,'hospitalityq-nil'!C258&lt;=2018+50),FALSE)),SUMPRODUCT(--(TRIM('hospitalityq-nil'!C6:C258)=TRIM('hospitalityq-nil'!C258)),--(TRIM('hospitalityq-nil'!D6:D258)=TRIM('hospitalityq-nil'!D258)))&gt;1))</f>
        <v>0</v>
      </c>
      <c r="D258">
        <f>NOT('hospitalityq-nil'!D258="")*(OR(COUNTIF(reference!$C$144:$C$155,TRIM(LEFT('hospitalityq-nil'!D258,FIND(":",'hospitalityq-nil'!D258&amp;":")-1))&amp;":*")=0,SUMPRODUCT(--(TRIM('hospitalityq-nil'!C6:C258)=TRIM('hospitalityq-nil'!C258)),--(TRIM('hospitalityq-nil'!D6:D258)=TRIM('hospitalityq-nil'!D258)))&gt;1))</f>
        <v>0</v>
      </c>
    </row>
    <row r="259" spans="1:4" x14ac:dyDescent="0.25">
      <c r="A259">
        <f t="shared" si="3"/>
        <v>0</v>
      </c>
      <c r="C259">
        <f>NOT('hospitalityq-nil'!C259="")*(OR(NOT(IFERROR(AND(INT('hospitalityq-nil'!C259)='hospitalityq-nil'!C259,'hospitalityq-nil'!C259&gt;=2018-50,'hospitalityq-nil'!C259&lt;=2018+50),FALSE)),SUMPRODUCT(--(TRIM('hospitalityq-nil'!C6:C259)=TRIM('hospitalityq-nil'!C259)),--(TRIM('hospitalityq-nil'!D6:D259)=TRIM('hospitalityq-nil'!D259)))&gt;1))</f>
        <v>0</v>
      </c>
      <c r="D259">
        <f>NOT('hospitalityq-nil'!D259="")*(OR(COUNTIF(reference!$C$144:$C$155,TRIM(LEFT('hospitalityq-nil'!D259,FIND(":",'hospitalityq-nil'!D259&amp;":")-1))&amp;":*")=0,SUMPRODUCT(--(TRIM('hospitalityq-nil'!C6:C259)=TRIM('hospitalityq-nil'!C259)),--(TRIM('hospitalityq-nil'!D6:D259)=TRIM('hospitalityq-nil'!D259)))&gt;1))</f>
        <v>0</v>
      </c>
    </row>
    <row r="260" spans="1:4" x14ac:dyDescent="0.25">
      <c r="A260">
        <f t="shared" si="3"/>
        <v>0</v>
      </c>
      <c r="C260">
        <f>NOT('hospitalityq-nil'!C260="")*(OR(NOT(IFERROR(AND(INT('hospitalityq-nil'!C260)='hospitalityq-nil'!C260,'hospitalityq-nil'!C260&gt;=2018-50,'hospitalityq-nil'!C260&lt;=2018+50),FALSE)),SUMPRODUCT(--(TRIM('hospitalityq-nil'!C6:C260)=TRIM('hospitalityq-nil'!C260)),--(TRIM('hospitalityq-nil'!D6:D260)=TRIM('hospitalityq-nil'!D260)))&gt;1))</f>
        <v>0</v>
      </c>
      <c r="D260">
        <f>NOT('hospitalityq-nil'!D260="")*(OR(COUNTIF(reference!$C$144:$C$155,TRIM(LEFT('hospitalityq-nil'!D260,FIND(":",'hospitalityq-nil'!D260&amp;":")-1))&amp;":*")=0,SUMPRODUCT(--(TRIM('hospitalityq-nil'!C6:C260)=TRIM('hospitalityq-nil'!C260)),--(TRIM('hospitalityq-nil'!D6:D260)=TRIM('hospitalityq-nil'!D260)))&gt;1))</f>
        <v>0</v>
      </c>
    </row>
    <row r="261" spans="1:4" x14ac:dyDescent="0.25">
      <c r="A261">
        <f t="shared" si="3"/>
        <v>0</v>
      </c>
      <c r="C261">
        <f>NOT('hospitalityq-nil'!C261="")*(OR(NOT(IFERROR(AND(INT('hospitalityq-nil'!C261)='hospitalityq-nil'!C261,'hospitalityq-nil'!C261&gt;=2018-50,'hospitalityq-nil'!C261&lt;=2018+50),FALSE)),SUMPRODUCT(--(TRIM('hospitalityq-nil'!C6:C261)=TRIM('hospitalityq-nil'!C261)),--(TRIM('hospitalityq-nil'!D6:D261)=TRIM('hospitalityq-nil'!D261)))&gt;1))</f>
        <v>0</v>
      </c>
      <c r="D261">
        <f>NOT('hospitalityq-nil'!D261="")*(OR(COUNTIF(reference!$C$144:$C$155,TRIM(LEFT('hospitalityq-nil'!D261,FIND(":",'hospitalityq-nil'!D261&amp;":")-1))&amp;":*")=0,SUMPRODUCT(--(TRIM('hospitalityq-nil'!C6:C261)=TRIM('hospitalityq-nil'!C261)),--(TRIM('hospitalityq-nil'!D6:D261)=TRIM('hospitalityq-nil'!D261)))&gt;1))</f>
        <v>0</v>
      </c>
    </row>
    <row r="262" spans="1:4" x14ac:dyDescent="0.25">
      <c r="A262">
        <f t="shared" ref="A262:A325" si="4">IFERROR(MATCH(TRUE,INDEX(C262:D262&lt;&gt;0,),)+2,0)</f>
        <v>0</v>
      </c>
      <c r="C262">
        <f>NOT('hospitalityq-nil'!C262="")*(OR(NOT(IFERROR(AND(INT('hospitalityq-nil'!C262)='hospitalityq-nil'!C262,'hospitalityq-nil'!C262&gt;=2018-50,'hospitalityq-nil'!C262&lt;=2018+50),FALSE)),SUMPRODUCT(--(TRIM('hospitalityq-nil'!C6:C262)=TRIM('hospitalityq-nil'!C262)),--(TRIM('hospitalityq-nil'!D6:D262)=TRIM('hospitalityq-nil'!D262)))&gt;1))</f>
        <v>0</v>
      </c>
      <c r="D262">
        <f>NOT('hospitalityq-nil'!D262="")*(OR(COUNTIF(reference!$C$144:$C$155,TRIM(LEFT('hospitalityq-nil'!D262,FIND(":",'hospitalityq-nil'!D262&amp;":")-1))&amp;":*")=0,SUMPRODUCT(--(TRIM('hospitalityq-nil'!C6:C262)=TRIM('hospitalityq-nil'!C262)),--(TRIM('hospitalityq-nil'!D6:D262)=TRIM('hospitalityq-nil'!D262)))&gt;1))</f>
        <v>0</v>
      </c>
    </row>
    <row r="263" spans="1:4" x14ac:dyDescent="0.25">
      <c r="A263">
        <f t="shared" si="4"/>
        <v>0</v>
      </c>
      <c r="C263">
        <f>NOT('hospitalityq-nil'!C263="")*(OR(NOT(IFERROR(AND(INT('hospitalityq-nil'!C263)='hospitalityq-nil'!C263,'hospitalityq-nil'!C263&gt;=2018-50,'hospitalityq-nil'!C263&lt;=2018+50),FALSE)),SUMPRODUCT(--(TRIM('hospitalityq-nil'!C6:C263)=TRIM('hospitalityq-nil'!C263)),--(TRIM('hospitalityq-nil'!D6:D263)=TRIM('hospitalityq-nil'!D263)))&gt;1))</f>
        <v>0</v>
      </c>
      <c r="D263">
        <f>NOT('hospitalityq-nil'!D263="")*(OR(COUNTIF(reference!$C$144:$C$155,TRIM(LEFT('hospitalityq-nil'!D263,FIND(":",'hospitalityq-nil'!D263&amp;":")-1))&amp;":*")=0,SUMPRODUCT(--(TRIM('hospitalityq-nil'!C6:C263)=TRIM('hospitalityq-nil'!C263)),--(TRIM('hospitalityq-nil'!D6:D263)=TRIM('hospitalityq-nil'!D263)))&gt;1))</f>
        <v>0</v>
      </c>
    </row>
    <row r="264" spans="1:4" x14ac:dyDescent="0.25">
      <c r="A264">
        <f t="shared" si="4"/>
        <v>0</v>
      </c>
      <c r="C264">
        <f>NOT('hospitalityq-nil'!C264="")*(OR(NOT(IFERROR(AND(INT('hospitalityq-nil'!C264)='hospitalityq-nil'!C264,'hospitalityq-nil'!C264&gt;=2018-50,'hospitalityq-nil'!C264&lt;=2018+50),FALSE)),SUMPRODUCT(--(TRIM('hospitalityq-nil'!C6:C264)=TRIM('hospitalityq-nil'!C264)),--(TRIM('hospitalityq-nil'!D6:D264)=TRIM('hospitalityq-nil'!D264)))&gt;1))</f>
        <v>0</v>
      </c>
      <c r="D264">
        <f>NOT('hospitalityq-nil'!D264="")*(OR(COUNTIF(reference!$C$144:$C$155,TRIM(LEFT('hospitalityq-nil'!D264,FIND(":",'hospitalityq-nil'!D264&amp;":")-1))&amp;":*")=0,SUMPRODUCT(--(TRIM('hospitalityq-nil'!C6:C264)=TRIM('hospitalityq-nil'!C264)),--(TRIM('hospitalityq-nil'!D6:D264)=TRIM('hospitalityq-nil'!D264)))&gt;1))</f>
        <v>0</v>
      </c>
    </row>
    <row r="265" spans="1:4" x14ac:dyDescent="0.25">
      <c r="A265">
        <f t="shared" si="4"/>
        <v>0</v>
      </c>
      <c r="C265">
        <f>NOT('hospitalityq-nil'!C265="")*(OR(NOT(IFERROR(AND(INT('hospitalityq-nil'!C265)='hospitalityq-nil'!C265,'hospitalityq-nil'!C265&gt;=2018-50,'hospitalityq-nil'!C265&lt;=2018+50),FALSE)),SUMPRODUCT(--(TRIM('hospitalityq-nil'!C6:C265)=TRIM('hospitalityq-nil'!C265)),--(TRIM('hospitalityq-nil'!D6:D265)=TRIM('hospitalityq-nil'!D265)))&gt;1))</f>
        <v>0</v>
      </c>
      <c r="D265">
        <f>NOT('hospitalityq-nil'!D265="")*(OR(COUNTIF(reference!$C$144:$C$155,TRIM(LEFT('hospitalityq-nil'!D265,FIND(":",'hospitalityq-nil'!D265&amp;":")-1))&amp;":*")=0,SUMPRODUCT(--(TRIM('hospitalityq-nil'!C6:C265)=TRIM('hospitalityq-nil'!C265)),--(TRIM('hospitalityq-nil'!D6:D265)=TRIM('hospitalityq-nil'!D265)))&gt;1))</f>
        <v>0</v>
      </c>
    </row>
    <row r="266" spans="1:4" x14ac:dyDescent="0.25">
      <c r="A266">
        <f t="shared" si="4"/>
        <v>0</v>
      </c>
      <c r="C266">
        <f>NOT('hospitalityq-nil'!C266="")*(OR(NOT(IFERROR(AND(INT('hospitalityq-nil'!C266)='hospitalityq-nil'!C266,'hospitalityq-nil'!C266&gt;=2018-50,'hospitalityq-nil'!C266&lt;=2018+50),FALSE)),SUMPRODUCT(--(TRIM('hospitalityq-nil'!C6:C266)=TRIM('hospitalityq-nil'!C266)),--(TRIM('hospitalityq-nil'!D6:D266)=TRIM('hospitalityq-nil'!D266)))&gt;1))</f>
        <v>0</v>
      </c>
      <c r="D266">
        <f>NOT('hospitalityq-nil'!D266="")*(OR(COUNTIF(reference!$C$144:$C$155,TRIM(LEFT('hospitalityq-nil'!D266,FIND(":",'hospitalityq-nil'!D266&amp;":")-1))&amp;":*")=0,SUMPRODUCT(--(TRIM('hospitalityq-nil'!C6:C266)=TRIM('hospitalityq-nil'!C266)),--(TRIM('hospitalityq-nil'!D6:D266)=TRIM('hospitalityq-nil'!D266)))&gt;1))</f>
        <v>0</v>
      </c>
    </row>
    <row r="267" spans="1:4" x14ac:dyDescent="0.25">
      <c r="A267">
        <f t="shared" si="4"/>
        <v>0</v>
      </c>
      <c r="C267">
        <f>NOT('hospitalityq-nil'!C267="")*(OR(NOT(IFERROR(AND(INT('hospitalityq-nil'!C267)='hospitalityq-nil'!C267,'hospitalityq-nil'!C267&gt;=2018-50,'hospitalityq-nil'!C267&lt;=2018+50),FALSE)),SUMPRODUCT(--(TRIM('hospitalityq-nil'!C6:C267)=TRIM('hospitalityq-nil'!C267)),--(TRIM('hospitalityq-nil'!D6:D267)=TRIM('hospitalityq-nil'!D267)))&gt;1))</f>
        <v>0</v>
      </c>
      <c r="D267">
        <f>NOT('hospitalityq-nil'!D267="")*(OR(COUNTIF(reference!$C$144:$C$155,TRIM(LEFT('hospitalityq-nil'!D267,FIND(":",'hospitalityq-nil'!D267&amp;":")-1))&amp;":*")=0,SUMPRODUCT(--(TRIM('hospitalityq-nil'!C6:C267)=TRIM('hospitalityq-nil'!C267)),--(TRIM('hospitalityq-nil'!D6:D267)=TRIM('hospitalityq-nil'!D267)))&gt;1))</f>
        <v>0</v>
      </c>
    </row>
    <row r="268" spans="1:4" x14ac:dyDescent="0.25">
      <c r="A268">
        <f t="shared" si="4"/>
        <v>0</v>
      </c>
      <c r="C268">
        <f>NOT('hospitalityq-nil'!C268="")*(OR(NOT(IFERROR(AND(INT('hospitalityq-nil'!C268)='hospitalityq-nil'!C268,'hospitalityq-nil'!C268&gt;=2018-50,'hospitalityq-nil'!C268&lt;=2018+50),FALSE)),SUMPRODUCT(--(TRIM('hospitalityq-nil'!C6:C268)=TRIM('hospitalityq-nil'!C268)),--(TRIM('hospitalityq-nil'!D6:D268)=TRIM('hospitalityq-nil'!D268)))&gt;1))</f>
        <v>0</v>
      </c>
      <c r="D268">
        <f>NOT('hospitalityq-nil'!D268="")*(OR(COUNTIF(reference!$C$144:$C$155,TRIM(LEFT('hospitalityq-nil'!D268,FIND(":",'hospitalityq-nil'!D268&amp;":")-1))&amp;":*")=0,SUMPRODUCT(--(TRIM('hospitalityq-nil'!C6:C268)=TRIM('hospitalityq-nil'!C268)),--(TRIM('hospitalityq-nil'!D6:D268)=TRIM('hospitalityq-nil'!D268)))&gt;1))</f>
        <v>0</v>
      </c>
    </row>
    <row r="269" spans="1:4" x14ac:dyDescent="0.25">
      <c r="A269">
        <f t="shared" si="4"/>
        <v>0</v>
      </c>
      <c r="C269">
        <f>NOT('hospitalityq-nil'!C269="")*(OR(NOT(IFERROR(AND(INT('hospitalityq-nil'!C269)='hospitalityq-nil'!C269,'hospitalityq-nil'!C269&gt;=2018-50,'hospitalityq-nil'!C269&lt;=2018+50),FALSE)),SUMPRODUCT(--(TRIM('hospitalityq-nil'!C6:C269)=TRIM('hospitalityq-nil'!C269)),--(TRIM('hospitalityq-nil'!D6:D269)=TRIM('hospitalityq-nil'!D269)))&gt;1))</f>
        <v>0</v>
      </c>
      <c r="D269">
        <f>NOT('hospitalityq-nil'!D269="")*(OR(COUNTIF(reference!$C$144:$C$155,TRIM(LEFT('hospitalityq-nil'!D269,FIND(":",'hospitalityq-nil'!D269&amp;":")-1))&amp;":*")=0,SUMPRODUCT(--(TRIM('hospitalityq-nil'!C6:C269)=TRIM('hospitalityq-nil'!C269)),--(TRIM('hospitalityq-nil'!D6:D269)=TRIM('hospitalityq-nil'!D269)))&gt;1))</f>
        <v>0</v>
      </c>
    </row>
    <row r="270" spans="1:4" x14ac:dyDescent="0.25">
      <c r="A270">
        <f t="shared" si="4"/>
        <v>0</v>
      </c>
      <c r="C270">
        <f>NOT('hospitalityq-nil'!C270="")*(OR(NOT(IFERROR(AND(INT('hospitalityq-nil'!C270)='hospitalityq-nil'!C270,'hospitalityq-nil'!C270&gt;=2018-50,'hospitalityq-nil'!C270&lt;=2018+50),FALSE)),SUMPRODUCT(--(TRIM('hospitalityq-nil'!C6:C270)=TRIM('hospitalityq-nil'!C270)),--(TRIM('hospitalityq-nil'!D6:D270)=TRIM('hospitalityq-nil'!D270)))&gt;1))</f>
        <v>0</v>
      </c>
      <c r="D270">
        <f>NOT('hospitalityq-nil'!D270="")*(OR(COUNTIF(reference!$C$144:$C$155,TRIM(LEFT('hospitalityq-nil'!D270,FIND(":",'hospitalityq-nil'!D270&amp;":")-1))&amp;":*")=0,SUMPRODUCT(--(TRIM('hospitalityq-nil'!C6:C270)=TRIM('hospitalityq-nil'!C270)),--(TRIM('hospitalityq-nil'!D6:D270)=TRIM('hospitalityq-nil'!D270)))&gt;1))</f>
        <v>0</v>
      </c>
    </row>
    <row r="271" spans="1:4" x14ac:dyDescent="0.25">
      <c r="A271">
        <f t="shared" si="4"/>
        <v>0</v>
      </c>
      <c r="C271">
        <f>NOT('hospitalityq-nil'!C271="")*(OR(NOT(IFERROR(AND(INT('hospitalityq-nil'!C271)='hospitalityq-nil'!C271,'hospitalityq-nil'!C271&gt;=2018-50,'hospitalityq-nil'!C271&lt;=2018+50),FALSE)),SUMPRODUCT(--(TRIM('hospitalityq-nil'!C6:C271)=TRIM('hospitalityq-nil'!C271)),--(TRIM('hospitalityq-nil'!D6:D271)=TRIM('hospitalityq-nil'!D271)))&gt;1))</f>
        <v>0</v>
      </c>
      <c r="D271">
        <f>NOT('hospitalityq-nil'!D271="")*(OR(COUNTIF(reference!$C$144:$C$155,TRIM(LEFT('hospitalityq-nil'!D271,FIND(":",'hospitalityq-nil'!D271&amp;":")-1))&amp;":*")=0,SUMPRODUCT(--(TRIM('hospitalityq-nil'!C6:C271)=TRIM('hospitalityq-nil'!C271)),--(TRIM('hospitalityq-nil'!D6:D271)=TRIM('hospitalityq-nil'!D271)))&gt;1))</f>
        <v>0</v>
      </c>
    </row>
    <row r="272" spans="1:4" x14ac:dyDescent="0.25">
      <c r="A272">
        <f t="shared" si="4"/>
        <v>0</v>
      </c>
      <c r="C272">
        <f>NOT('hospitalityq-nil'!C272="")*(OR(NOT(IFERROR(AND(INT('hospitalityq-nil'!C272)='hospitalityq-nil'!C272,'hospitalityq-nil'!C272&gt;=2018-50,'hospitalityq-nil'!C272&lt;=2018+50),FALSE)),SUMPRODUCT(--(TRIM('hospitalityq-nil'!C6:C272)=TRIM('hospitalityq-nil'!C272)),--(TRIM('hospitalityq-nil'!D6:D272)=TRIM('hospitalityq-nil'!D272)))&gt;1))</f>
        <v>0</v>
      </c>
      <c r="D272">
        <f>NOT('hospitalityq-nil'!D272="")*(OR(COUNTIF(reference!$C$144:$C$155,TRIM(LEFT('hospitalityq-nil'!D272,FIND(":",'hospitalityq-nil'!D272&amp;":")-1))&amp;":*")=0,SUMPRODUCT(--(TRIM('hospitalityq-nil'!C6:C272)=TRIM('hospitalityq-nil'!C272)),--(TRIM('hospitalityq-nil'!D6:D272)=TRIM('hospitalityq-nil'!D272)))&gt;1))</f>
        <v>0</v>
      </c>
    </row>
    <row r="273" spans="1:4" x14ac:dyDescent="0.25">
      <c r="A273">
        <f t="shared" si="4"/>
        <v>0</v>
      </c>
      <c r="C273">
        <f>NOT('hospitalityq-nil'!C273="")*(OR(NOT(IFERROR(AND(INT('hospitalityq-nil'!C273)='hospitalityq-nil'!C273,'hospitalityq-nil'!C273&gt;=2018-50,'hospitalityq-nil'!C273&lt;=2018+50),FALSE)),SUMPRODUCT(--(TRIM('hospitalityq-nil'!C6:C273)=TRIM('hospitalityq-nil'!C273)),--(TRIM('hospitalityq-nil'!D6:D273)=TRIM('hospitalityq-nil'!D273)))&gt;1))</f>
        <v>0</v>
      </c>
      <c r="D273">
        <f>NOT('hospitalityq-nil'!D273="")*(OR(COUNTIF(reference!$C$144:$C$155,TRIM(LEFT('hospitalityq-nil'!D273,FIND(":",'hospitalityq-nil'!D273&amp;":")-1))&amp;":*")=0,SUMPRODUCT(--(TRIM('hospitalityq-nil'!C6:C273)=TRIM('hospitalityq-nil'!C273)),--(TRIM('hospitalityq-nil'!D6:D273)=TRIM('hospitalityq-nil'!D273)))&gt;1))</f>
        <v>0</v>
      </c>
    </row>
    <row r="274" spans="1:4" x14ac:dyDescent="0.25">
      <c r="A274">
        <f t="shared" si="4"/>
        <v>0</v>
      </c>
      <c r="C274">
        <f>NOT('hospitalityq-nil'!C274="")*(OR(NOT(IFERROR(AND(INT('hospitalityq-nil'!C274)='hospitalityq-nil'!C274,'hospitalityq-nil'!C274&gt;=2018-50,'hospitalityq-nil'!C274&lt;=2018+50),FALSE)),SUMPRODUCT(--(TRIM('hospitalityq-nil'!C6:C274)=TRIM('hospitalityq-nil'!C274)),--(TRIM('hospitalityq-nil'!D6:D274)=TRIM('hospitalityq-nil'!D274)))&gt;1))</f>
        <v>0</v>
      </c>
      <c r="D274">
        <f>NOT('hospitalityq-nil'!D274="")*(OR(COUNTIF(reference!$C$144:$C$155,TRIM(LEFT('hospitalityq-nil'!D274,FIND(":",'hospitalityq-nil'!D274&amp;":")-1))&amp;":*")=0,SUMPRODUCT(--(TRIM('hospitalityq-nil'!C6:C274)=TRIM('hospitalityq-nil'!C274)),--(TRIM('hospitalityq-nil'!D6:D274)=TRIM('hospitalityq-nil'!D274)))&gt;1))</f>
        <v>0</v>
      </c>
    </row>
    <row r="275" spans="1:4" x14ac:dyDescent="0.25">
      <c r="A275">
        <f t="shared" si="4"/>
        <v>0</v>
      </c>
      <c r="C275">
        <f>NOT('hospitalityq-nil'!C275="")*(OR(NOT(IFERROR(AND(INT('hospitalityq-nil'!C275)='hospitalityq-nil'!C275,'hospitalityq-nil'!C275&gt;=2018-50,'hospitalityq-nil'!C275&lt;=2018+50),FALSE)),SUMPRODUCT(--(TRIM('hospitalityq-nil'!C6:C275)=TRIM('hospitalityq-nil'!C275)),--(TRIM('hospitalityq-nil'!D6:D275)=TRIM('hospitalityq-nil'!D275)))&gt;1))</f>
        <v>0</v>
      </c>
      <c r="D275">
        <f>NOT('hospitalityq-nil'!D275="")*(OR(COUNTIF(reference!$C$144:$C$155,TRIM(LEFT('hospitalityq-nil'!D275,FIND(":",'hospitalityq-nil'!D275&amp;":")-1))&amp;":*")=0,SUMPRODUCT(--(TRIM('hospitalityq-nil'!C6:C275)=TRIM('hospitalityq-nil'!C275)),--(TRIM('hospitalityq-nil'!D6:D275)=TRIM('hospitalityq-nil'!D275)))&gt;1))</f>
        <v>0</v>
      </c>
    </row>
    <row r="276" spans="1:4" x14ac:dyDescent="0.25">
      <c r="A276">
        <f t="shared" si="4"/>
        <v>0</v>
      </c>
      <c r="C276">
        <f>NOT('hospitalityq-nil'!C276="")*(OR(NOT(IFERROR(AND(INT('hospitalityq-nil'!C276)='hospitalityq-nil'!C276,'hospitalityq-nil'!C276&gt;=2018-50,'hospitalityq-nil'!C276&lt;=2018+50),FALSE)),SUMPRODUCT(--(TRIM('hospitalityq-nil'!C6:C276)=TRIM('hospitalityq-nil'!C276)),--(TRIM('hospitalityq-nil'!D6:D276)=TRIM('hospitalityq-nil'!D276)))&gt;1))</f>
        <v>0</v>
      </c>
      <c r="D276">
        <f>NOT('hospitalityq-nil'!D276="")*(OR(COUNTIF(reference!$C$144:$C$155,TRIM(LEFT('hospitalityq-nil'!D276,FIND(":",'hospitalityq-nil'!D276&amp;":")-1))&amp;":*")=0,SUMPRODUCT(--(TRIM('hospitalityq-nil'!C6:C276)=TRIM('hospitalityq-nil'!C276)),--(TRIM('hospitalityq-nil'!D6:D276)=TRIM('hospitalityq-nil'!D276)))&gt;1))</f>
        <v>0</v>
      </c>
    </row>
    <row r="277" spans="1:4" x14ac:dyDescent="0.25">
      <c r="A277">
        <f t="shared" si="4"/>
        <v>0</v>
      </c>
      <c r="C277">
        <f>NOT('hospitalityq-nil'!C277="")*(OR(NOT(IFERROR(AND(INT('hospitalityq-nil'!C277)='hospitalityq-nil'!C277,'hospitalityq-nil'!C277&gt;=2018-50,'hospitalityq-nil'!C277&lt;=2018+50),FALSE)),SUMPRODUCT(--(TRIM('hospitalityq-nil'!C6:C277)=TRIM('hospitalityq-nil'!C277)),--(TRIM('hospitalityq-nil'!D6:D277)=TRIM('hospitalityq-nil'!D277)))&gt;1))</f>
        <v>0</v>
      </c>
      <c r="D277">
        <f>NOT('hospitalityq-nil'!D277="")*(OR(COUNTIF(reference!$C$144:$C$155,TRIM(LEFT('hospitalityq-nil'!D277,FIND(":",'hospitalityq-nil'!D277&amp;":")-1))&amp;":*")=0,SUMPRODUCT(--(TRIM('hospitalityq-nil'!C6:C277)=TRIM('hospitalityq-nil'!C277)),--(TRIM('hospitalityq-nil'!D6:D277)=TRIM('hospitalityq-nil'!D277)))&gt;1))</f>
        <v>0</v>
      </c>
    </row>
    <row r="278" spans="1:4" x14ac:dyDescent="0.25">
      <c r="A278">
        <f t="shared" si="4"/>
        <v>0</v>
      </c>
      <c r="C278">
        <f>NOT('hospitalityq-nil'!C278="")*(OR(NOT(IFERROR(AND(INT('hospitalityq-nil'!C278)='hospitalityq-nil'!C278,'hospitalityq-nil'!C278&gt;=2018-50,'hospitalityq-nil'!C278&lt;=2018+50),FALSE)),SUMPRODUCT(--(TRIM('hospitalityq-nil'!C6:C278)=TRIM('hospitalityq-nil'!C278)),--(TRIM('hospitalityq-nil'!D6:D278)=TRIM('hospitalityq-nil'!D278)))&gt;1))</f>
        <v>0</v>
      </c>
      <c r="D278">
        <f>NOT('hospitalityq-nil'!D278="")*(OR(COUNTIF(reference!$C$144:$C$155,TRIM(LEFT('hospitalityq-nil'!D278,FIND(":",'hospitalityq-nil'!D278&amp;":")-1))&amp;":*")=0,SUMPRODUCT(--(TRIM('hospitalityq-nil'!C6:C278)=TRIM('hospitalityq-nil'!C278)),--(TRIM('hospitalityq-nil'!D6:D278)=TRIM('hospitalityq-nil'!D278)))&gt;1))</f>
        <v>0</v>
      </c>
    </row>
    <row r="279" spans="1:4" x14ac:dyDescent="0.25">
      <c r="A279">
        <f t="shared" si="4"/>
        <v>0</v>
      </c>
      <c r="C279">
        <f>NOT('hospitalityq-nil'!C279="")*(OR(NOT(IFERROR(AND(INT('hospitalityq-nil'!C279)='hospitalityq-nil'!C279,'hospitalityq-nil'!C279&gt;=2018-50,'hospitalityq-nil'!C279&lt;=2018+50),FALSE)),SUMPRODUCT(--(TRIM('hospitalityq-nil'!C6:C279)=TRIM('hospitalityq-nil'!C279)),--(TRIM('hospitalityq-nil'!D6:D279)=TRIM('hospitalityq-nil'!D279)))&gt;1))</f>
        <v>0</v>
      </c>
      <c r="D279">
        <f>NOT('hospitalityq-nil'!D279="")*(OR(COUNTIF(reference!$C$144:$C$155,TRIM(LEFT('hospitalityq-nil'!D279,FIND(":",'hospitalityq-nil'!D279&amp;":")-1))&amp;":*")=0,SUMPRODUCT(--(TRIM('hospitalityq-nil'!C6:C279)=TRIM('hospitalityq-nil'!C279)),--(TRIM('hospitalityq-nil'!D6:D279)=TRIM('hospitalityq-nil'!D279)))&gt;1))</f>
        <v>0</v>
      </c>
    </row>
    <row r="280" spans="1:4" x14ac:dyDescent="0.25">
      <c r="A280">
        <f t="shared" si="4"/>
        <v>0</v>
      </c>
      <c r="C280">
        <f>NOT('hospitalityq-nil'!C280="")*(OR(NOT(IFERROR(AND(INT('hospitalityq-nil'!C280)='hospitalityq-nil'!C280,'hospitalityq-nil'!C280&gt;=2018-50,'hospitalityq-nil'!C280&lt;=2018+50),FALSE)),SUMPRODUCT(--(TRIM('hospitalityq-nil'!C6:C280)=TRIM('hospitalityq-nil'!C280)),--(TRIM('hospitalityq-nil'!D6:D280)=TRIM('hospitalityq-nil'!D280)))&gt;1))</f>
        <v>0</v>
      </c>
      <c r="D280">
        <f>NOT('hospitalityq-nil'!D280="")*(OR(COUNTIF(reference!$C$144:$C$155,TRIM(LEFT('hospitalityq-nil'!D280,FIND(":",'hospitalityq-nil'!D280&amp;":")-1))&amp;":*")=0,SUMPRODUCT(--(TRIM('hospitalityq-nil'!C6:C280)=TRIM('hospitalityq-nil'!C280)),--(TRIM('hospitalityq-nil'!D6:D280)=TRIM('hospitalityq-nil'!D280)))&gt;1))</f>
        <v>0</v>
      </c>
    </row>
    <row r="281" spans="1:4" x14ac:dyDescent="0.25">
      <c r="A281">
        <f t="shared" si="4"/>
        <v>0</v>
      </c>
      <c r="C281">
        <f>NOT('hospitalityq-nil'!C281="")*(OR(NOT(IFERROR(AND(INT('hospitalityq-nil'!C281)='hospitalityq-nil'!C281,'hospitalityq-nil'!C281&gt;=2018-50,'hospitalityq-nil'!C281&lt;=2018+50),FALSE)),SUMPRODUCT(--(TRIM('hospitalityq-nil'!C6:C281)=TRIM('hospitalityq-nil'!C281)),--(TRIM('hospitalityq-nil'!D6:D281)=TRIM('hospitalityq-nil'!D281)))&gt;1))</f>
        <v>0</v>
      </c>
      <c r="D281">
        <f>NOT('hospitalityq-nil'!D281="")*(OR(COUNTIF(reference!$C$144:$C$155,TRIM(LEFT('hospitalityq-nil'!D281,FIND(":",'hospitalityq-nil'!D281&amp;":")-1))&amp;":*")=0,SUMPRODUCT(--(TRIM('hospitalityq-nil'!C6:C281)=TRIM('hospitalityq-nil'!C281)),--(TRIM('hospitalityq-nil'!D6:D281)=TRIM('hospitalityq-nil'!D281)))&gt;1))</f>
        <v>0</v>
      </c>
    </row>
    <row r="282" spans="1:4" x14ac:dyDescent="0.25">
      <c r="A282">
        <f t="shared" si="4"/>
        <v>0</v>
      </c>
      <c r="C282">
        <f>NOT('hospitalityq-nil'!C282="")*(OR(NOT(IFERROR(AND(INT('hospitalityq-nil'!C282)='hospitalityq-nil'!C282,'hospitalityq-nil'!C282&gt;=2018-50,'hospitalityq-nil'!C282&lt;=2018+50),FALSE)),SUMPRODUCT(--(TRIM('hospitalityq-nil'!C6:C282)=TRIM('hospitalityq-nil'!C282)),--(TRIM('hospitalityq-nil'!D6:D282)=TRIM('hospitalityq-nil'!D282)))&gt;1))</f>
        <v>0</v>
      </c>
      <c r="D282">
        <f>NOT('hospitalityq-nil'!D282="")*(OR(COUNTIF(reference!$C$144:$C$155,TRIM(LEFT('hospitalityq-nil'!D282,FIND(":",'hospitalityq-nil'!D282&amp;":")-1))&amp;":*")=0,SUMPRODUCT(--(TRIM('hospitalityq-nil'!C6:C282)=TRIM('hospitalityq-nil'!C282)),--(TRIM('hospitalityq-nil'!D6:D282)=TRIM('hospitalityq-nil'!D282)))&gt;1))</f>
        <v>0</v>
      </c>
    </row>
    <row r="283" spans="1:4" x14ac:dyDescent="0.25">
      <c r="A283">
        <f t="shared" si="4"/>
        <v>0</v>
      </c>
      <c r="C283">
        <f>NOT('hospitalityq-nil'!C283="")*(OR(NOT(IFERROR(AND(INT('hospitalityq-nil'!C283)='hospitalityq-nil'!C283,'hospitalityq-nil'!C283&gt;=2018-50,'hospitalityq-nil'!C283&lt;=2018+50),FALSE)),SUMPRODUCT(--(TRIM('hospitalityq-nil'!C6:C283)=TRIM('hospitalityq-nil'!C283)),--(TRIM('hospitalityq-nil'!D6:D283)=TRIM('hospitalityq-nil'!D283)))&gt;1))</f>
        <v>0</v>
      </c>
      <c r="D283">
        <f>NOT('hospitalityq-nil'!D283="")*(OR(COUNTIF(reference!$C$144:$C$155,TRIM(LEFT('hospitalityq-nil'!D283,FIND(":",'hospitalityq-nil'!D283&amp;":")-1))&amp;":*")=0,SUMPRODUCT(--(TRIM('hospitalityq-nil'!C6:C283)=TRIM('hospitalityq-nil'!C283)),--(TRIM('hospitalityq-nil'!D6:D283)=TRIM('hospitalityq-nil'!D283)))&gt;1))</f>
        <v>0</v>
      </c>
    </row>
    <row r="284" spans="1:4" x14ac:dyDescent="0.25">
      <c r="A284">
        <f t="shared" si="4"/>
        <v>0</v>
      </c>
      <c r="C284">
        <f>NOT('hospitalityq-nil'!C284="")*(OR(NOT(IFERROR(AND(INT('hospitalityq-nil'!C284)='hospitalityq-nil'!C284,'hospitalityq-nil'!C284&gt;=2018-50,'hospitalityq-nil'!C284&lt;=2018+50),FALSE)),SUMPRODUCT(--(TRIM('hospitalityq-nil'!C6:C284)=TRIM('hospitalityq-nil'!C284)),--(TRIM('hospitalityq-nil'!D6:D284)=TRIM('hospitalityq-nil'!D284)))&gt;1))</f>
        <v>0</v>
      </c>
      <c r="D284">
        <f>NOT('hospitalityq-nil'!D284="")*(OR(COUNTIF(reference!$C$144:$C$155,TRIM(LEFT('hospitalityq-nil'!D284,FIND(":",'hospitalityq-nil'!D284&amp;":")-1))&amp;":*")=0,SUMPRODUCT(--(TRIM('hospitalityq-nil'!C6:C284)=TRIM('hospitalityq-nil'!C284)),--(TRIM('hospitalityq-nil'!D6:D284)=TRIM('hospitalityq-nil'!D284)))&gt;1))</f>
        <v>0</v>
      </c>
    </row>
    <row r="285" spans="1:4" x14ac:dyDescent="0.25">
      <c r="A285">
        <f t="shared" si="4"/>
        <v>0</v>
      </c>
      <c r="C285">
        <f>NOT('hospitalityq-nil'!C285="")*(OR(NOT(IFERROR(AND(INT('hospitalityq-nil'!C285)='hospitalityq-nil'!C285,'hospitalityq-nil'!C285&gt;=2018-50,'hospitalityq-nil'!C285&lt;=2018+50),FALSE)),SUMPRODUCT(--(TRIM('hospitalityq-nil'!C6:C285)=TRIM('hospitalityq-nil'!C285)),--(TRIM('hospitalityq-nil'!D6:D285)=TRIM('hospitalityq-nil'!D285)))&gt;1))</f>
        <v>0</v>
      </c>
      <c r="D285">
        <f>NOT('hospitalityq-nil'!D285="")*(OR(COUNTIF(reference!$C$144:$C$155,TRIM(LEFT('hospitalityq-nil'!D285,FIND(":",'hospitalityq-nil'!D285&amp;":")-1))&amp;":*")=0,SUMPRODUCT(--(TRIM('hospitalityq-nil'!C6:C285)=TRIM('hospitalityq-nil'!C285)),--(TRIM('hospitalityq-nil'!D6:D285)=TRIM('hospitalityq-nil'!D285)))&gt;1))</f>
        <v>0</v>
      </c>
    </row>
    <row r="286" spans="1:4" x14ac:dyDescent="0.25">
      <c r="A286">
        <f t="shared" si="4"/>
        <v>0</v>
      </c>
      <c r="C286">
        <f>NOT('hospitalityq-nil'!C286="")*(OR(NOT(IFERROR(AND(INT('hospitalityq-nil'!C286)='hospitalityq-nil'!C286,'hospitalityq-nil'!C286&gt;=2018-50,'hospitalityq-nil'!C286&lt;=2018+50),FALSE)),SUMPRODUCT(--(TRIM('hospitalityq-nil'!C6:C286)=TRIM('hospitalityq-nil'!C286)),--(TRIM('hospitalityq-nil'!D6:D286)=TRIM('hospitalityq-nil'!D286)))&gt;1))</f>
        <v>0</v>
      </c>
      <c r="D286">
        <f>NOT('hospitalityq-nil'!D286="")*(OR(COUNTIF(reference!$C$144:$C$155,TRIM(LEFT('hospitalityq-nil'!D286,FIND(":",'hospitalityq-nil'!D286&amp;":")-1))&amp;":*")=0,SUMPRODUCT(--(TRIM('hospitalityq-nil'!C6:C286)=TRIM('hospitalityq-nil'!C286)),--(TRIM('hospitalityq-nil'!D6:D286)=TRIM('hospitalityq-nil'!D286)))&gt;1))</f>
        <v>0</v>
      </c>
    </row>
    <row r="287" spans="1:4" x14ac:dyDescent="0.25">
      <c r="A287">
        <f t="shared" si="4"/>
        <v>0</v>
      </c>
      <c r="C287">
        <f>NOT('hospitalityq-nil'!C287="")*(OR(NOT(IFERROR(AND(INT('hospitalityq-nil'!C287)='hospitalityq-nil'!C287,'hospitalityq-nil'!C287&gt;=2018-50,'hospitalityq-nil'!C287&lt;=2018+50),FALSE)),SUMPRODUCT(--(TRIM('hospitalityq-nil'!C6:C287)=TRIM('hospitalityq-nil'!C287)),--(TRIM('hospitalityq-nil'!D6:D287)=TRIM('hospitalityq-nil'!D287)))&gt;1))</f>
        <v>0</v>
      </c>
      <c r="D287">
        <f>NOT('hospitalityq-nil'!D287="")*(OR(COUNTIF(reference!$C$144:$C$155,TRIM(LEFT('hospitalityq-nil'!D287,FIND(":",'hospitalityq-nil'!D287&amp;":")-1))&amp;":*")=0,SUMPRODUCT(--(TRIM('hospitalityq-nil'!C6:C287)=TRIM('hospitalityq-nil'!C287)),--(TRIM('hospitalityq-nil'!D6:D287)=TRIM('hospitalityq-nil'!D287)))&gt;1))</f>
        <v>0</v>
      </c>
    </row>
    <row r="288" spans="1:4" x14ac:dyDescent="0.25">
      <c r="A288">
        <f t="shared" si="4"/>
        <v>0</v>
      </c>
      <c r="C288">
        <f>NOT('hospitalityq-nil'!C288="")*(OR(NOT(IFERROR(AND(INT('hospitalityq-nil'!C288)='hospitalityq-nil'!C288,'hospitalityq-nil'!C288&gt;=2018-50,'hospitalityq-nil'!C288&lt;=2018+50),FALSE)),SUMPRODUCT(--(TRIM('hospitalityq-nil'!C6:C288)=TRIM('hospitalityq-nil'!C288)),--(TRIM('hospitalityq-nil'!D6:D288)=TRIM('hospitalityq-nil'!D288)))&gt;1))</f>
        <v>0</v>
      </c>
      <c r="D288">
        <f>NOT('hospitalityq-nil'!D288="")*(OR(COUNTIF(reference!$C$144:$C$155,TRIM(LEFT('hospitalityq-nil'!D288,FIND(":",'hospitalityq-nil'!D288&amp;":")-1))&amp;":*")=0,SUMPRODUCT(--(TRIM('hospitalityq-nil'!C6:C288)=TRIM('hospitalityq-nil'!C288)),--(TRIM('hospitalityq-nil'!D6:D288)=TRIM('hospitalityq-nil'!D288)))&gt;1))</f>
        <v>0</v>
      </c>
    </row>
    <row r="289" spans="1:4" x14ac:dyDescent="0.25">
      <c r="A289">
        <f t="shared" si="4"/>
        <v>0</v>
      </c>
      <c r="C289">
        <f>NOT('hospitalityq-nil'!C289="")*(OR(NOT(IFERROR(AND(INT('hospitalityq-nil'!C289)='hospitalityq-nil'!C289,'hospitalityq-nil'!C289&gt;=2018-50,'hospitalityq-nil'!C289&lt;=2018+50),FALSE)),SUMPRODUCT(--(TRIM('hospitalityq-nil'!C6:C289)=TRIM('hospitalityq-nil'!C289)),--(TRIM('hospitalityq-nil'!D6:D289)=TRIM('hospitalityq-nil'!D289)))&gt;1))</f>
        <v>0</v>
      </c>
      <c r="D289">
        <f>NOT('hospitalityq-nil'!D289="")*(OR(COUNTIF(reference!$C$144:$C$155,TRIM(LEFT('hospitalityq-nil'!D289,FIND(":",'hospitalityq-nil'!D289&amp;":")-1))&amp;":*")=0,SUMPRODUCT(--(TRIM('hospitalityq-nil'!C6:C289)=TRIM('hospitalityq-nil'!C289)),--(TRIM('hospitalityq-nil'!D6:D289)=TRIM('hospitalityq-nil'!D289)))&gt;1))</f>
        <v>0</v>
      </c>
    </row>
    <row r="290" spans="1:4" x14ac:dyDescent="0.25">
      <c r="A290">
        <f t="shared" si="4"/>
        <v>0</v>
      </c>
      <c r="C290">
        <f>NOT('hospitalityq-nil'!C290="")*(OR(NOT(IFERROR(AND(INT('hospitalityq-nil'!C290)='hospitalityq-nil'!C290,'hospitalityq-nil'!C290&gt;=2018-50,'hospitalityq-nil'!C290&lt;=2018+50),FALSE)),SUMPRODUCT(--(TRIM('hospitalityq-nil'!C6:C290)=TRIM('hospitalityq-nil'!C290)),--(TRIM('hospitalityq-nil'!D6:D290)=TRIM('hospitalityq-nil'!D290)))&gt;1))</f>
        <v>0</v>
      </c>
      <c r="D290">
        <f>NOT('hospitalityq-nil'!D290="")*(OR(COUNTIF(reference!$C$144:$C$155,TRIM(LEFT('hospitalityq-nil'!D290,FIND(":",'hospitalityq-nil'!D290&amp;":")-1))&amp;":*")=0,SUMPRODUCT(--(TRIM('hospitalityq-nil'!C6:C290)=TRIM('hospitalityq-nil'!C290)),--(TRIM('hospitalityq-nil'!D6:D290)=TRIM('hospitalityq-nil'!D290)))&gt;1))</f>
        <v>0</v>
      </c>
    </row>
    <row r="291" spans="1:4" x14ac:dyDescent="0.25">
      <c r="A291">
        <f t="shared" si="4"/>
        <v>0</v>
      </c>
      <c r="C291">
        <f>NOT('hospitalityq-nil'!C291="")*(OR(NOT(IFERROR(AND(INT('hospitalityq-nil'!C291)='hospitalityq-nil'!C291,'hospitalityq-nil'!C291&gt;=2018-50,'hospitalityq-nil'!C291&lt;=2018+50),FALSE)),SUMPRODUCT(--(TRIM('hospitalityq-nil'!C6:C291)=TRIM('hospitalityq-nil'!C291)),--(TRIM('hospitalityq-nil'!D6:D291)=TRIM('hospitalityq-nil'!D291)))&gt;1))</f>
        <v>0</v>
      </c>
      <c r="D291">
        <f>NOT('hospitalityq-nil'!D291="")*(OR(COUNTIF(reference!$C$144:$C$155,TRIM(LEFT('hospitalityq-nil'!D291,FIND(":",'hospitalityq-nil'!D291&amp;":")-1))&amp;":*")=0,SUMPRODUCT(--(TRIM('hospitalityq-nil'!C6:C291)=TRIM('hospitalityq-nil'!C291)),--(TRIM('hospitalityq-nil'!D6:D291)=TRIM('hospitalityq-nil'!D291)))&gt;1))</f>
        <v>0</v>
      </c>
    </row>
    <row r="292" spans="1:4" x14ac:dyDescent="0.25">
      <c r="A292">
        <f t="shared" si="4"/>
        <v>0</v>
      </c>
      <c r="C292">
        <f>NOT('hospitalityq-nil'!C292="")*(OR(NOT(IFERROR(AND(INT('hospitalityq-nil'!C292)='hospitalityq-nil'!C292,'hospitalityq-nil'!C292&gt;=2018-50,'hospitalityq-nil'!C292&lt;=2018+50),FALSE)),SUMPRODUCT(--(TRIM('hospitalityq-nil'!C6:C292)=TRIM('hospitalityq-nil'!C292)),--(TRIM('hospitalityq-nil'!D6:D292)=TRIM('hospitalityq-nil'!D292)))&gt;1))</f>
        <v>0</v>
      </c>
      <c r="D292">
        <f>NOT('hospitalityq-nil'!D292="")*(OR(COUNTIF(reference!$C$144:$C$155,TRIM(LEFT('hospitalityq-nil'!D292,FIND(":",'hospitalityq-nil'!D292&amp;":")-1))&amp;":*")=0,SUMPRODUCT(--(TRIM('hospitalityq-nil'!C6:C292)=TRIM('hospitalityq-nil'!C292)),--(TRIM('hospitalityq-nil'!D6:D292)=TRIM('hospitalityq-nil'!D292)))&gt;1))</f>
        <v>0</v>
      </c>
    </row>
    <row r="293" spans="1:4" x14ac:dyDescent="0.25">
      <c r="A293">
        <f t="shared" si="4"/>
        <v>0</v>
      </c>
      <c r="C293">
        <f>NOT('hospitalityq-nil'!C293="")*(OR(NOT(IFERROR(AND(INT('hospitalityq-nil'!C293)='hospitalityq-nil'!C293,'hospitalityq-nil'!C293&gt;=2018-50,'hospitalityq-nil'!C293&lt;=2018+50),FALSE)),SUMPRODUCT(--(TRIM('hospitalityq-nil'!C6:C293)=TRIM('hospitalityq-nil'!C293)),--(TRIM('hospitalityq-nil'!D6:D293)=TRIM('hospitalityq-nil'!D293)))&gt;1))</f>
        <v>0</v>
      </c>
      <c r="D293">
        <f>NOT('hospitalityq-nil'!D293="")*(OR(COUNTIF(reference!$C$144:$C$155,TRIM(LEFT('hospitalityq-nil'!D293,FIND(":",'hospitalityq-nil'!D293&amp;":")-1))&amp;":*")=0,SUMPRODUCT(--(TRIM('hospitalityq-nil'!C6:C293)=TRIM('hospitalityq-nil'!C293)),--(TRIM('hospitalityq-nil'!D6:D293)=TRIM('hospitalityq-nil'!D293)))&gt;1))</f>
        <v>0</v>
      </c>
    </row>
    <row r="294" spans="1:4" x14ac:dyDescent="0.25">
      <c r="A294">
        <f t="shared" si="4"/>
        <v>0</v>
      </c>
      <c r="C294">
        <f>NOT('hospitalityq-nil'!C294="")*(OR(NOT(IFERROR(AND(INT('hospitalityq-nil'!C294)='hospitalityq-nil'!C294,'hospitalityq-nil'!C294&gt;=2018-50,'hospitalityq-nil'!C294&lt;=2018+50),FALSE)),SUMPRODUCT(--(TRIM('hospitalityq-nil'!C6:C294)=TRIM('hospitalityq-nil'!C294)),--(TRIM('hospitalityq-nil'!D6:D294)=TRIM('hospitalityq-nil'!D294)))&gt;1))</f>
        <v>0</v>
      </c>
      <c r="D294">
        <f>NOT('hospitalityq-nil'!D294="")*(OR(COUNTIF(reference!$C$144:$C$155,TRIM(LEFT('hospitalityq-nil'!D294,FIND(":",'hospitalityq-nil'!D294&amp;":")-1))&amp;":*")=0,SUMPRODUCT(--(TRIM('hospitalityq-nil'!C6:C294)=TRIM('hospitalityq-nil'!C294)),--(TRIM('hospitalityq-nil'!D6:D294)=TRIM('hospitalityq-nil'!D294)))&gt;1))</f>
        <v>0</v>
      </c>
    </row>
    <row r="295" spans="1:4" x14ac:dyDescent="0.25">
      <c r="A295">
        <f t="shared" si="4"/>
        <v>0</v>
      </c>
      <c r="C295">
        <f>NOT('hospitalityq-nil'!C295="")*(OR(NOT(IFERROR(AND(INT('hospitalityq-nil'!C295)='hospitalityq-nil'!C295,'hospitalityq-nil'!C295&gt;=2018-50,'hospitalityq-nil'!C295&lt;=2018+50),FALSE)),SUMPRODUCT(--(TRIM('hospitalityq-nil'!C6:C295)=TRIM('hospitalityq-nil'!C295)),--(TRIM('hospitalityq-nil'!D6:D295)=TRIM('hospitalityq-nil'!D295)))&gt;1))</f>
        <v>0</v>
      </c>
      <c r="D295">
        <f>NOT('hospitalityq-nil'!D295="")*(OR(COUNTIF(reference!$C$144:$C$155,TRIM(LEFT('hospitalityq-nil'!D295,FIND(":",'hospitalityq-nil'!D295&amp;":")-1))&amp;":*")=0,SUMPRODUCT(--(TRIM('hospitalityq-nil'!C6:C295)=TRIM('hospitalityq-nil'!C295)),--(TRIM('hospitalityq-nil'!D6:D295)=TRIM('hospitalityq-nil'!D295)))&gt;1))</f>
        <v>0</v>
      </c>
    </row>
    <row r="296" spans="1:4" x14ac:dyDescent="0.25">
      <c r="A296">
        <f t="shared" si="4"/>
        <v>0</v>
      </c>
      <c r="C296">
        <f>NOT('hospitalityq-nil'!C296="")*(OR(NOT(IFERROR(AND(INT('hospitalityq-nil'!C296)='hospitalityq-nil'!C296,'hospitalityq-nil'!C296&gt;=2018-50,'hospitalityq-nil'!C296&lt;=2018+50),FALSE)),SUMPRODUCT(--(TRIM('hospitalityq-nil'!C6:C296)=TRIM('hospitalityq-nil'!C296)),--(TRIM('hospitalityq-nil'!D6:D296)=TRIM('hospitalityq-nil'!D296)))&gt;1))</f>
        <v>0</v>
      </c>
      <c r="D296">
        <f>NOT('hospitalityq-nil'!D296="")*(OR(COUNTIF(reference!$C$144:$C$155,TRIM(LEFT('hospitalityq-nil'!D296,FIND(":",'hospitalityq-nil'!D296&amp;":")-1))&amp;":*")=0,SUMPRODUCT(--(TRIM('hospitalityq-nil'!C6:C296)=TRIM('hospitalityq-nil'!C296)),--(TRIM('hospitalityq-nil'!D6:D296)=TRIM('hospitalityq-nil'!D296)))&gt;1))</f>
        <v>0</v>
      </c>
    </row>
    <row r="297" spans="1:4" x14ac:dyDescent="0.25">
      <c r="A297">
        <f t="shared" si="4"/>
        <v>0</v>
      </c>
      <c r="C297">
        <f>NOT('hospitalityq-nil'!C297="")*(OR(NOT(IFERROR(AND(INT('hospitalityq-nil'!C297)='hospitalityq-nil'!C297,'hospitalityq-nil'!C297&gt;=2018-50,'hospitalityq-nil'!C297&lt;=2018+50),FALSE)),SUMPRODUCT(--(TRIM('hospitalityq-nil'!C6:C297)=TRIM('hospitalityq-nil'!C297)),--(TRIM('hospitalityq-nil'!D6:D297)=TRIM('hospitalityq-nil'!D297)))&gt;1))</f>
        <v>0</v>
      </c>
      <c r="D297">
        <f>NOT('hospitalityq-nil'!D297="")*(OR(COUNTIF(reference!$C$144:$C$155,TRIM(LEFT('hospitalityq-nil'!D297,FIND(":",'hospitalityq-nil'!D297&amp;":")-1))&amp;":*")=0,SUMPRODUCT(--(TRIM('hospitalityq-nil'!C6:C297)=TRIM('hospitalityq-nil'!C297)),--(TRIM('hospitalityq-nil'!D6:D297)=TRIM('hospitalityq-nil'!D297)))&gt;1))</f>
        <v>0</v>
      </c>
    </row>
    <row r="298" spans="1:4" x14ac:dyDescent="0.25">
      <c r="A298">
        <f t="shared" si="4"/>
        <v>0</v>
      </c>
      <c r="C298">
        <f>NOT('hospitalityq-nil'!C298="")*(OR(NOT(IFERROR(AND(INT('hospitalityq-nil'!C298)='hospitalityq-nil'!C298,'hospitalityq-nil'!C298&gt;=2018-50,'hospitalityq-nil'!C298&lt;=2018+50),FALSE)),SUMPRODUCT(--(TRIM('hospitalityq-nil'!C6:C298)=TRIM('hospitalityq-nil'!C298)),--(TRIM('hospitalityq-nil'!D6:D298)=TRIM('hospitalityq-nil'!D298)))&gt;1))</f>
        <v>0</v>
      </c>
      <c r="D298">
        <f>NOT('hospitalityq-nil'!D298="")*(OR(COUNTIF(reference!$C$144:$C$155,TRIM(LEFT('hospitalityq-nil'!D298,FIND(":",'hospitalityq-nil'!D298&amp;":")-1))&amp;":*")=0,SUMPRODUCT(--(TRIM('hospitalityq-nil'!C6:C298)=TRIM('hospitalityq-nil'!C298)),--(TRIM('hospitalityq-nil'!D6:D298)=TRIM('hospitalityq-nil'!D298)))&gt;1))</f>
        <v>0</v>
      </c>
    </row>
    <row r="299" spans="1:4" x14ac:dyDescent="0.25">
      <c r="A299">
        <f t="shared" si="4"/>
        <v>0</v>
      </c>
      <c r="C299">
        <f>NOT('hospitalityq-nil'!C299="")*(OR(NOT(IFERROR(AND(INT('hospitalityq-nil'!C299)='hospitalityq-nil'!C299,'hospitalityq-nil'!C299&gt;=2018-50,'hospitalityq-nil'!C299&lt;=2018+50),FALSE)),SUMPRODUCT(--(TRIM('hospitalityq-nil'!C6:C299)=TRIM('hospitalityq-nil'!C299)),--(TRIM('hospitalityq-nil'!D6:D299)=TRIM('hospitalityq-nil'!D299)))&gt;1))</f>
        <v>0</v>
      </c>
      <c r="D299">
        <f>NOT('hospitalityq-nil'!D299="")*(OR(COUNTIF(reference!$C$144:$C$155,TRIM(LEFT('hospitalityq-nil'!D299,FIND(":",'hospitalityq-nil'!D299&amp;":")-1))&amp;":*")=0,SUMPRODUCT(--(TRIM('hospitalityq-nil'!C6:C299)=TRIM('hospitalityq-nil'!C299)),--(TRIM('hospitalityq-nil'!D6:D299)=TRIM('hospitalityq-nil'!D299)))&gt;1))</f>
        <v>0</v>
      </c>
    </row>
    <row r="300" spans="1:4" x14ac:dyDescent="0.25">
      <c r="A300">
        <f t="shared" si="4"/>
        <v>0</v>
      </c>
      <c r="C300">
        <f>NOT('hospitalityq-nil'!C300="")*(OR(NOT(IFERROR(AND(INT('hospitalityq-nil'!C300)='hospitalityq-nil'!C300,'hospitalityq-nil'!C300&gt;=2018-50,'hospitalityq-nil'!C300&lt;=2018+50),FALSE)),SUMPRODUCT(--(TRIM('hospitalityq-nil'!C6:C300)=TRIM('hospitalityq-nil'!C300)),--(TRIM('hospitalityq-nil'!D6:D300)=TRIM('hospitalityq-nil'!D300)))&gt;1))</f>
        <v>0</v>
      </c>
      <c r="D300">
        <f>NOT('hospitalityq-nil'!D300="")*(OR(COUNTIF(reference!$C$144:$C$155,TRIM(LEFT('hospitalityq-nil'!D300,FIND(":",'hospitalityq-nil'!D300&amp;":")-1))&amp;":*")=0,SUMPRODUCT(--(TRIM('hospitalityq-nil'!C6:C300)=TRIM('hospitalityq-nil'!C300)),--(TRIM('hospitalityq-nil'!D6:D300)=TRIM('hospitalityq-nil'!D300)))&gt;1))</f>
        <v>0</v>
      </c>
    </row>
    <row r="301" spans="1:4" x14ac:dyDescent="0.25">
      <c r="A301">
        <f t="shared" si="4"/>
        <v>0</v>
      </c>
      <c r="C301">
        <f>NOT('hospitalityq-nil'!C301="")*(OR(NOT(IFERROR(AND(INT('hospitalityq-nil'!C301)='hospitalityq-nil'!C301,'hospitalityq-nil'!C301&gt;=2018-50,'hospitalityq-nil'!C301&lt;=2018+50),FALSE)),SUMPRODUCT(--(TRIM('hospitalityq-nil'!C6:C301)=TRIM('hospitalityq-nil'!C301)),--(TRIM('hospitalityq-nil'!D6:D301)=TRIM('hospitalityq-nil'!D301)))&gt;1))</f>
        <v>0</v>
      </c>
      <c r="D301">
        <f>NOT('hospitalityq-nil'!D301="")*(OR(COUNTIF(reference!$C$144:$C$155,TRIM(LEFT('hospitalityq-nil'!D301,FIND(":",'hospitalityq-nil'!D301&amp;":")-1))&amp;":*")=0,SUMPRODUCT(--(TRIM('hospitalityq-nil'!C6:C301)=TRIM('hospitalityq-nil'!C301)),--(TRIM('hospitalityq-nil'!D6:D301)=TRIM('hospitalityq-nil'!D301)))&gt;1))</f>
        <v>0</v>
      </c>
    </row>
    <row r="302" spans="1:4" x14ac:dyDescent="0.25">
      <c r="A302">
        <f t="shared" si="4"/>
        <v>0</v>
      </c>
      <c r="C302">
        <f>NOT('hospitalityq-nil'!C302="")*(OR(NOT(IFERROR(AND(INT('hospitalityq-nil'!C302)='hospitalityq-nil'!C302,'hospitalityq-nil'!C302&gt;=2018-50,'hospitalityq-nil'!C302&lt;=2018+50),FALSE)),SUMPRODUCT(--(TRIM('hospitalityq-nil'!C6:C302)=TRIM('hospitalityq-nil'!C302)),--(TRIM('hospitalityq-nil'!D6:D302)=TRIM('hospitalityq-nil'!D302)))&gt;1))</f>
        <v>0</v>
      </c>
      <c r="D302">
        <f>NOT('hospitalityq-nil'!D302="")*(OR(COUNTIF(reference!$C$144:$C$155,TRIM(LEFT('hospitalityq-nil'!D302,FIND(":",'hospitalityq-nil'!D302&amp;":")-1))&amp;":*")=0,SUMPRODUCT(--(TRIM('hospitalityq-nil'!C6:C302)=TRIM('hospitalityq-nil'!C302)),--(TRIM('hospitalityq-nil'!D6:D302)=TRIM('hospitalityq-nil'!D302)))&gt;1))</f>
        <v>0</v>
      </c>
    </row>
    <row r="303" spans="1:4" x14ac:dyDescent="0.25">
      <c r="A303">
        <f t="shared" si="4"/>
        <v>0</v>
      </c>
      <c r="C303">
        <f>NOT('hospitalityq-nil'!C303="")*(OR(NOT(IFERROR(AND(INT('hospitalityq-nil'!C303)='hospitalityq-nil'!C303,'hospitalityq-nil'!C303&gt;=2018-50,'hospitalityq-nil'!C303&lt;=2018+50),FALSE)),SUMPRODUCT(--(TRIM('hospitalityq-nil'!C6:C303)=TRIM('hospitalityq-nil'!C303)),--(TRIM('hospitalityq-nil'!D6:D303)=TRIM('hospitalityq-nil'!D303)))&gt;1))</f>
        <v>0</v>
      </c>
      <c r="D303">
        <f>NOT('hospitalityq-nil'!D303="")*(OR(COUNTIF(reference!$C$144:$C$155,TRIM(LEFT('hospitalityq-nil'!D303,FIND(":",'hospitalityq-nil'!D303&amp;":")-1))&amp;":*")=0,SUMPRODUCT(--(TRIM('hospitalityq-nil'!C6:C303)=TRIM('hospitalityq-nil'!C303)),--(TRIM('hospitalityq-nil'!D6:D303)=TRIM('hospitalityq-nil'!D303)))&gt;1))</f>
        <v>0</v>
      </c>
    </row>
    <row r="304" spans="1:4" x14ac:dyDescent="0.25">
      <c r="A304">
        <f t="shared" si="4"/>
        <v>0</v>
      </c>
      <c r="C304">
        <f>NOT('hospitalityq-nil'!C304="")*(OR(NOT(IFERROR(AND(INT('hospitalityq-nil'!C304)='hospitalityq-nil'!C304,'hospitalityq-nil'!C304&gt;=2018-50,'hospitalityq-nil'!C304&lt;=2018+50),FALSE)),SUMPRODUCT(--(TRIM('hospitalityq-nil'!C6:C304)=TRIM('hospitalityq-nil'!C304)),--(TRIM('hospitalityq-nil'!D6:D304)=TRIM('hospitalityq-nil'!D304)))&gt;1))</f>
        <v>0</v>
      </c>
      <c r="D304">
        <f>NOT('hospitalityq-nil'!D304="")*(OR(COUNTIF(reference!$C$144:$C$155,TRIM(LEFT('hospitalityq-nil'!D304,FIND(":",'hospitalityq-nil'!D304&amp;":")-1))&amp;":*")=0,SUMPRODUCT(--(TRIM('hospitalityq-nil'!C6:C304)=TRIM('hospitalityq-nil'!C304)),--(TRIM('hospitalityq-nil'!D6:D304)=TRIM('hospitalityq-nil'!D304)))&gt;1))</f>
        <v>0</v>
      </c>
    </row>
    <row r="305" spans="1:4" x14ac:dyDescent="0.25">
      <c r="A305">
        <f t="shared" si="4"/>
        <v>0</v>
      </c>
      <c r="C305">
        <f>NOT('hospitalityq-nil'!C305="")*(OR(NOT(IFERROR(AND(INT('hospitalityq-nil'!C305)='hospitalityq-nil'!C305,'hospitalityq-nil'!C305&gt;=2018-50,'hospitalityq-nil'!C305&lt;=2018+50),FALSE)),SUMPRODUCT(--(TRIM('hospitalityq-nil'!C6:C305)=TRIM('hospitalityq-nil'!C305)),--(TRIM('hospitalityq-nil'!D6:D305)=TRIM('hospitalityq-nil'!D305)))&gt;1))</f>
        <v>0</v>
      </c>
      <c r="D305">
        <f>NOT('hospitalityq-nil'!D305="")*(OR(COUNTIF(reference!$C$144:$C$155,TRIM(LEFT('hospitalityq-nil'!D305,FIND(":",'hospitalityq-nil'!D305&amp;":")-1))&amp;":*")=0,SUMPRODUCT(--(TRIM('hospitalityq-nil'!C6:C305)=TRIM('hospitalityq-nil'!C305)),--(TRIM('hospitalityq-nil'!D6:D305)=TRIM('hospitalityq-nil'!D305)))&gt;1))</f>
        <v>0</v>
      </c>
    </row>
    <row r="306" spans="1:4" x14ac:dyDescent="0.25">
      <c r="A306">
        <f t="shared" si="4"/>
        <v>0</v>
      </c>
      <c r="C306">
        <f>NOT('hospitalityq-nil'!C306="")*(OR(NOT(IFERROR(AND(INT('hospitalityq-nil'!C306)='hospitalityq-nil'!C306,'hospitalityq-nil'!C306&gt;=2018-50,'hospitalityq-nil'!C306&lt;=2018+50),FALSE)),SUMPRODUCT(--(TRIM('hospitalityq-nil'!C6:C306)=TRIM('hospitalityq-nil'!C306)),--(TRIM('hospitalityq-nil'!D6:D306)=TRIM('hospitalityq-nil'!D306)))&gt;1))</f>
        <v>0</v>
      </c>
      <c r="D306">
        <f>NOT('hospitalityq-nil'!D306="")*(OR(COUNTIF(reference!$C$144:$C$155,TRIM(LEFT('hospitalityq-nil'!D306,FIND(":",'hospitalityq-nil'!D306&amp;":")-1))&amp;":*")=0,SUMPRODUCT(--(TRIM('hospitalityq-nil'!C6:C306)=TRIM('hospitalityq-nil'!C306)),--(TRIM('hospitalityq-nil'!D6:D306)=TRIM('hospitalityq-nil'!D306)))&gt;1))</f>
        <v>0</v>
      </c>
    </row>
    <row r="307" spans="1:4" x14ac:dyDescent="0.25">
      <c r="A307">
        <f t="shared" si="4"/>
        <v>0</v>
      </c>
      <c r="C307">
        <f>NOT('hospitalityq-nil'!C307="")*(OR(NOT(IFERROR(AND(INT('hospitalityq-nil'!C307)='hospitalityq-nil'!C307,'hospitalityq-nil'!C307&gt;=2018-50,'hospitalityq-nil'!C307&lt;=2018+50),FALSE)),SUMPRODUCT(--(TRIM('hospitalityq-nil'!C6:C307)=TRIM('hospitalityq-nil'!C307)),--(TRIM('hospitalityq-nil'!D6:D307)=TRIM('hospitalityq-nil'!D307)))&gt;1))</f>
        <v>0</v>
      </c>
      <c r="D307">
        <f>NOT('hospitalityq-nil'!D307="")*(OR(COUNTIF(reference!$C$144:$C$155,TRIM(LEFT('hospitalityq-nil'!D307,FIND(":",'hospitalityq-nil'!D307&amp;":")-1))&amp;":*")=0,SUMPRODUCT(--(TRIM('hospitalityq-nil'!C6:C307)=TRIM('hospitalityq-nil'!C307)),--(TRIM('hospitalityq-nil'!D6:D307)=TRIM('hospitalityq-nil'!D307)))&gt;1))</f>
        <v>0</v>
      </c>
    </row>
    <row r="308" spans="1:4" x14ac:dyDescent="0.25">
      <c r="A308">
        <f t="shared" si="4"/>
        <v>0</v>
      </c>
      <c r="C308">
        <f>NOT('hospitalityq-nil'!C308="")*(OR(NOT(IFERROR(AND(INT('hospitalityq-nil'!C308)='hospitalityq-nil'!C308,'hospitalityq-nil'!C308&gt;=2018-50,'hospitalityq-nil'!C308&lt;=2018+50),FALSE)),SUMPRODUCT(--(TRIM('hospitalityq-nil'!C6:C308)=TRIM('hospitalityq-nil'!C308)),--(TRIM('hospitalityq-nil'!D6:D308)=TRIM('hospitalityq-nil'!D308)))&gt;1))</f>
        <v>0</v>
      </c>
      <c r="D308">
        <f>NOT('hospitalityq-nil'!D308="")*(OR(COUNTIF(reference!$C$144:$C$155,TRIM(LEFT('hospitalityq-nil'!D308,FIND(":",'hospitalityq-nil'!D308&amp;":")-1))&amp;":*")=0,SUMPRODUCT(--(TRIM('hospitalityq-nil'!C6:C308)=TRIM('hospitalityq-nil'!C308)),--(TRIM('hospitalityq-nil'!D6:D308)=TRIM('hospitalityq-nil'!D308)))&gt;1))</f>
        <v>0</v>
      </c>
    </row>
    <row r="309" spans="1:4" x14ac:dyDescent="0.25">
      <c r="A309">
        <f t="shared" si="4"/>
        <v>0</v>
      </c>
      <c r="C309">
        <f>NOT('hospitalityq-nil'!C309="")*(OR(NOT(IFERROR(AND(INT('hospitalityq-nil'!C309)='hospitalityq-nil'!C309,'hospitalityq-nil'!C309&gt;=2018-50,'hospitalityq-nil'!C309&lt;=2018+50),FALSE)),SUMPRODUCT(--(TRIM('hospitalityq-nil'!C6:C309)=TRIM('hospitalityq-nil'!C309)),--(TRIM('hospitalityq-nil'!D6:D309)=TRIM('hospitalityq-nil'!D309)))&gt;1))</f>
        <v>0</v>
      </c>
      <c r="D309">
        <f>NOT('hospitalityq-nil'!D309="")*(OR(COUNTIF(reference!$C$144:$C$155,TRIM(LEFT('hospitalityq-nil'!D309,FIND(":",'hospitalityq-nil'!D309&amp;":")-1))&amp;":*")=0,SUMPRODUCT(--(TRIM('hospitalityq-nil'!C6:C309)=TRIM('hospitalityq-nil'!C309)),--(TRIM('hospitalityq-nil'!D6:D309)=TRIM('hospitalityq-nil'!D309)))&gt;1))</f>
        <v>0</v>
      </c>
    </row>
    <row r="310" spans="1:4" x14ac:dyDescent="0.25">
      <c r="A310">
        <f t="shared" si="4"/>
        <v>0</v>
      </c>
      <c r="C310">
        <f>NOT('hospitalityq-nil'!C310="")*(OR(NOT(IFERROR(AND(INT('hospitalityq-nil'!C310)='hospitalityq-nil'!C310,'hospitalityq-nil'!C310&gt;=2018-50,'hospitalityq-nil'!C310&lt;=2018+50),FALSE)),SUMPRODUCT(--(TRIM('hospitalityq-nil'!C6:C310)=TRIM('hospitalityq-nil'!C310)),--(TRIM('hospitalityq-nil'!D6:D310)=TRIM('hospitalityq-nil'!D310)))&gt;1))</f>
        <v>0</v>
      </c>
      <c r="D310">
        <f>NOT('hospitalityq-nil'!D310="")*(OR(COUNTIF(reference!$C$144:$C$155,TRIM(LEFT('hospitalityq-nil'!D310,FIND(":",'hospitalityq-nil'!D310&amp;":")-1))&amp;":*")=0,SUMPRODUCT(--(TRIM('hospitalityq-nil'!C6:C310)=TRIM('hospitalityq-nil'!C310)),--(TRIM('hospitalityq-nil'!D6:D310)=TRIM('hospitalityq-nil'!D310)))&gt;1))</f>
        <v>0</v>
      </c>
    </row>
    <row r="311" spans="1:4" x14ac:dyDescent="0.25">
      <c r="A311">
        <f t="shared" si="4"/>
        <v>0</v>
      </c>
      <c r="C311">
        <f>NOT('hospitalityq-nil'!C311="")*(OR(NOT(IFERROR(AND(INT('hospitalityq-nil'!C311)='hospitalityq-nil'!C311,'hospitalityq-nil'!C311&gt;=2018-50,'hospitalityq-nil'!C311&lt;=2018+50),FALSE)),SUMPRODUCT(--(TRIM('hospitalityq-nil'!C6:C311)=TRIM('hospitalityq-nil'!C311)),--(TRIM('hospitalityq-nil'!D6:D311)=TRIM('hospitalityq-nil'!D311)))&gt;1))</f>
        <v>0</v>
      </c>
      <c r="D311">
        <f>NOT('hospitalityq-nil'!D311="")*(OR(COUNTIF(reference!$C$144:$C$155,TRIM(LEFT('hospitalityq-nil'!D311,FIND(":",'hospitalityq-nil'!D311&amp;":")-1))&amp;":*")=0,SUMPRODUCT(--(TRIM('hospitalityq-nil'!C6:C311)=TRIM('hospitalityq-nil'!C311)),--(TRIM('hospitalityq-nil'!D6:D311)=TRIM('hospitalityq-nil'!D311)))&gt;1))</f>
        <v>0</v>
      </c>
    </row>
    <row r="312" spans="1:4" x14ac:dyDescent="0.25">
      <c r="A312">
        <f t="shared" si="4"/>
        <v>0</v>
      </c>
      <c r="C312">
        <f>NOT('hospitalityq-nil'!C312="")*(OR(NOT(IFERROR(AND(INT('hospitalityq-nil'!C312)='hospitalityq-nil'!C312,'hospitalityq-nil'!C312&gt;=2018-50,'hospitalityq-nil'!C312&lt;=2018+50),FALSE)),SUMPRODUCT(--(TRIM('hospitalityq-nil'!C6:C312)=TRIM('hospitalityq-nil'!C312)),--(TRIM('hospitalityq-nil'!D6:D312)=TRIM('hospitalityq-nil'!D312)))&gt;1))</f>
        <v>0</v>
      </c>
      <c r="D312">
        <f>NOT('hospitalityq-nil'!D312="")*(OR(COUNTIF(reference!$C$144:$C$155,TRIM(LEFT('hospitalityq-nil'!D312,FIND(":",'hospitalityq-nil'!D312&amp;":")-1))&amp;":*")=0,SUMPRODUCT(--(TRIM('hospitalityq-nil'!C6:C312)=TRIM('hospitalityq-nil'!C312)),--(TRIM('hospitalityq-nil'!D6:D312)=TRIM('hospitalityq-nil'!D312)))&gt;1))</f>
        <v>0</v>
      </c>
    </row>
    <row r="313" spans="1:4" x14ac:dyDescent="0.25">
      <c r="A313">
        <f t="shared" si="4"/>
        <v>0</v>
      </c>
      <c r="C313">
        <f>NOT('hospitalityq-nil'!C313="")*(OR(NOT(IFERROR(AND(INT('hospitalityq-nil'!C313)='hospitalityq-nil'!C313,'hospitalityq-nil'!C313&gt;=2018-50,'hospitalityq-nil'!C313&lt;=2018+50),FALSE)),SUMPRODUCT(--(TRIM('hospitalityq-nil'!C6:C313)=TRIM('hospitalityq-nil'!C313)),--(TRIM('hospitalityq-nil'!D6:D313)=TRIM('hospitalityq-nil'!D313)))&gt;1))</f>
        <v>0</v>
      </c>
      <c r="D313">
        <f>NOT('hospitalityq-nil'!D313="")*(OR(COUNTIF(reference!$C$144:$C$155,TRIM(LEFT('hospitalityq-nil'!D313,FIND(":",'hospitalityq-nil'!D313&amp;":")-1))&amp;":*")=0,SUMPRODUCT(--(TRIM('hospitalityq-nil'!C6:C313)=TRIM('hospitalityq-nil'!C313)),--(TRIM('hospitalityq-nil'!D6:D313)=TRIM('hospitalityq-nil'!D313)))&gt;1))</f>
        <v>0</v>
      </c>
    </row>
    <row r="314" spans="1:4" x14ac:dyDescent="0.25">
      <c r="A314">
        <f t="shared" si="4"/>
        <v>0</v>
      </c>
      <c r="C314">
        <f>NOT('hospitalityq-nil'!C314="")*(OR(NOT(IFERROR(AND(INT('hospitalityq-nil'!C314)='hospitalityq-nil'!C314,'hospitalityq-nil'!C314&gt;=2018-50,'hospitalityq-nil'!C314&lt;=2018+50),FALSE)),SUMPRODUCT(--(TRIM('hospitalityq-nil'!C6:C314)=TRIM('hospitalityq-nil'!C314)),--(TRIM('hospitalityq-nil'!D6:D314)=TRIM('hospitalityq-nil'!D314)))&gt;1))</f>
        <v>0</v>
      </c>
      <c r="D314">
        <f>NOT('hospitalityq-nil'!D314="")*(OR(COUNTIF(reference!$C$144:$C$155,TRIM(LEFT('hospitalityq-nil'!D314,FIND(":",'hospitalityq-nil'!D314&amp;":")-1))&amp;":*")=0,SUMPRODUCT(--(TRIM('hospitalityq-nil'!C6:C314)=TRIM('hospitalityq-nil'!C314)),--(TRIM('hospitalityq-nil'!D6:D314)=TRIM('hospitalityq-nil'!D314)))&gt;1))</f>
        <v>0</v>
      </c>
    </row>
    <row r="315" spans="1:4" x14ac:dyDescent="0.25">
      <c r="A315">
        <f t="shared" si="4"/>
        <v>0</v>
      </c>
      <c r="C315">
        <f>NOT('hospitalityq-nil'!C315="")*(OR(NOT(IFERROR(AND(INT('hospitalityq-nil'!C315)='hospitalityq-nil'!C315,'hospitalityq-nil'!C315&gt;=2018-50,'hospitalityq-nil'!C315&lt;=2018+50),FALSE)),SUMPRODUCT(--(TRIM('hospitalityq-nil'!C6:C315)=TRIM('hospitalityq-nil'!C315)),--(TRIM('hospitalityq-nil'!D6:D315)=TRIM('hospitalityq-nil'!D315)))&gt;1))</f>
        <v>0</v>
      </c>
      <c r="D315">
        <f>NOT('hospitalityq-nil'!D315="")*(OR(COUNTIF(reference!$C$144:$C$155,TRIM(LEFT('hospitalityq-nil'!D315,FIND(":",'hospitalityq-nil'!D315&amp;":")-1))&amp;":*")=0,SUMPRODUCT(--(TRIM('hospitalityq-nil'!C6:C315)=TRIM('hospitalityq-nil'!C315)),--(TRIM('hospitalityq-nil'!D6:D315)=TRIM('hospitalityq-nil'!D315)))&gt;1))</f>
        <v>0</v>
      </c>
    </row>
    <row r="316" spans="1:4" x14ac:dyDescent="0.25">
      <c r="A316">
        <f t="shared" si="4"/>
        <v>0</v>
      </c>
      <c r="C316">
        <f>NOT('hospitalityq-nil'!C316="")*(OR(NOT(IFERROR(AND(INT('hospitalityq-nil'!C316)='hospitalityq-nil'!C316,'hospitalityq-nil'!C316&gt;=2018-50,'hospitalityq-nil'!C316&lt;=2018+50),FALSE)),SUMPRODUCT(--(TRIM('hospitalityq-nil'!C6:C316)=TRIM('hospitalityq-nil'!C316)),--(TRIM('hospitalityq-nil'!D6:D316)=TRIM('hospitalityq-nil'!D316)))&gt;1))</f>
        <v>0</v>
      </c>
      <c r="D316">
        <f>NOT('hospitalityq-nil'!D316="")*(OR(COUNTIF(reference!$C$144:$C$155,TRIM(LEFT('hospitalityq-nil'!D316,FIND(":",'hospitalityq-nil'!D316&amp;":")-1))&amp;":*")=0,SUMPRODUCT(--(TRIM('hospitalityq-nil'!C6:C316)=TRIM('hospitalityq-nil'!C316)),--(TRIM('hospitalityq-nil'!D6:D316)=TRIM('hospitalityq-nil'!D316)))&gt;1))</f>
        <v>0</v>
      </c>
    </row>
    <row r="317" spans="1:4" x14ac:dyDescent="0.25">
      <c r="A317">
        <f t="shared" si="4"/>
        <v>0</v>
      </c>
      <c r="C317">
        <f>NOT('hospitalityq-nil'!C317="")*(OR(NOT(IFERROR(AND(INT('hospitalityq-nil'!C317)='hospitalityq-nil'!C317,'hospitalityq-nil'!C317&gt;=2018-50,'hospitalityq-nil'!C317&lt;=2018+50),FALSE)),SUMPRODUCT(--(TRIM('hospitalityq-nil'!C6:C317)=TRIM('hospitalityq-nil'!C317)),--(TRIM('hospitalityq-nil'!D6:D317)=TRIM('hospitalityq-nil'!D317)))&gt;1))</f>
        <v>0</v>
      </c>
      <c r="D317">
        <f>NOT('hospitalityq-nil'!D317="")*(OR(COUNTIF(reference!$C$144:$C$155,TRIM(LEFT('hospitalityq-nil'!D317,FIND(":",'hospitalityq-nil'!D317&amp;":")-1))&amp;":*")=0,SUMPRODUCT(--(TRIM('hospitalityq-nil'!C6:C317)=TRIM('hospitalityq-nil'!C317)),--(TRIM('hospitalityq-nil'!D6:D317)=TRIM('hospitalityq-nil'!D317)))&gt;1))</f>
        <v>0</v>
      </c>
    </row>
    <row r="318" spans="1:4" x14ac:dyDescent="0.25">
      <c r="A318">
        <f t="shared" si="4"/>
        <v>0</v>
      </c>
      <c r="C318">
        <f>NOT('hospitalityq-nil'!C318="")*(OR(NOT(IFERROR(AND(INT('hospitalityq-nil'!C318)='hospitalityq-nil'!C318,'hospitalityq-nil'!C318&gt;=2018-50,'hospitalityq-nil'!C318&lt;=2018+50),FALSE)),SUMPRODUCT(--(TRIM('hospitalityq-nil'!C6:C318)=TRIM('hospitalityq-nil'!C318)),--(TRIM('hospitalityq-nil'!D6:D318)=TRIM('hospitalityq-nil'!D318)))&gt;1))</f>
        <v>0</v>
      </c>
      <c r="D318">
        <f>NOT('hospitalityq-nil'!D318="")*(OR(COUNTIF(reference!$C$144:$C$155,TRIM(LEFT('hospitalityq-nil'!D318,FIND(":",'hospitalityq-nil'!D318&amp;":")-1))&amp;":*")=0,SUMPRODUCT(--(TRIM('hospitalityq-nil'!C6:C318)=TRIM('hospitalityq-nil'!C318)),--(TRIM('hospitalityq-nil'!D6:D318)=TRIM('hospitalityq-nil'!D318)))&gt;1))</f>
        <v>0</v>
      </c>
    </row>
    <row r="319" spans="1:4" x14ac:dyDescent="0.25">
      <c r="A319">
        <f t="shared" si="4"/>
        <v>0</v>
      </c>
      <c r="C319">
        <f>NOT('hospitalityq-nil'!C319="")*(OR(NOT(IFERROR(AND(INT('hospitalityq-nil'!C319)='hospitalityq-nil'!C319,'hospitalityq-nil'!C319&gt;=2018-50,'hospitalityq-nil'!C319&lt;=2018+50),FALSE)),SUMPRODUCT(--(TRIM('hospitalityq-nil'!C6:C319)=TRIM('hospitalityq-nil'!C319)),--(TRIM('hospitalityq-nil'!D6:D319)=TRIM('hospitalityq-nil'!D319)))&gt;1))</f>
        <v>0</v>
      </c>
      <c r="D319">
        <f>NOT('hospitalityq-nil'!D319="")*(OR(COUNTIF(reference!$C$144:$C$155,TRIM(LEFT('hospitalityq-nil'!D319,FIND(":",'hospitalityq-nil'!D319&amp;":")-1))&amp;":*")=0,SUMPRODUCT(--(TRIM('hospitalityq-nil'!C6:C319)=TRIM('hospitalityq-nil'!C319)),--(TRIM('hospitalityq-nil'!D6:D319)=TRIM('hospitalityq-nil'!D319)))&gt;1))</f>
        <v>0</v>
      </c>
    </row>
    <row r="320" spans="1:4" x14ac:dyDescent="0.25">
      <c r="A320">
        <f t="shared" si="4"/>
        <v>0</v>
      </c>
      <c r="C320">
        <f>NOT('hospitalityq-nil'!C320="")*(OR(NOT(IFERROR(AND(INT('hospitalityq-nil'!C320)='hospitalityq-nil'!C320,'hospitalityq-nil'!C320&gt;=2018-50,'hospitalityq-nil'!C320&lt;=2018+50),FALSE)),SUMPRODUCT(--(TRIM('hospitalityq-nil'!C6:C320)=TRIM('hospitalityq-nil'!C320)),--(TRIM('hospitalityq-nil'!D6:D320)=TRIM('hospitalityq-nil'!D320)))&gt;1))</f>
        <v>0</v>
      </c>
      <c r="D320">
        <f>NOT('hospitalityq-nil'!D320="")*(OR(COUNTIF(reference!$C$144:$C$155,TRIM(LEFT('hospitalityq-nil'!D320,FIND(":",'hospitalityq-nil'!D320&amp;":")-1))&amp;":*")=0,SUMPRODUCT(--(TRIM('hospitalityq-nil'!C6:C320)=TRIM('hospitalityq-nil'!C320)),--(TRIM('hospitalityq-nil'!D6:D320)=TRIM('hospitalityq-nil'!D320)))&gt;1))</f>
        <v>0</v>
      </c>
    </row>
    <row r="321" spans="1:4" x14ac:dyDescent="0.25">
      <c r="A321">
        <f t="shared" si="4"/>
        <v>0</v>
      </c>
      <c r="C321">
        <f>NOT('hospitalityq-nil'!C321="")*(OR(NOT(IFERROR(AND(INT('hospitalityq-nil'!C321)='hospitalityq-nil'!C321,'hospitalityq-nil'!C321&gt;=2018-50,'hospitalityq-nil'!C321&lt;=2018+50),FALSE)),SUMPRODUCT(--(TRIM('hospitalityq-nil'!C6:C321)=TRIM('hospitalityq-nil'!C321)),--(TRIM('hospitalityq-nil'!D6:D321)=TRIM('hospitalityq-nil'!D321)))&gt;1))</f>
        <v>0</v>
      </c>
      <c r="D321">
        <f>NOT('hospitalityq-nil'!D321="")*(OR(COUNTIF(reference!$C$144:$C$155,TRIM(LEFT('hospitalityq-nil'!D321,FIND(":",'hospitalityq-nil'!D321&amp;":")-1))&amp;":*")=0,SUMPRODUCT(--(TRIM('hospitalityq-nil'!C6:C321)=TRIM('hospitalityq-nil'!C321)),--(TRIM('hospitalityq-nil'!D6:D321)=TRIM('hospitalityq-nil'!D321)))&gt;1))</f>
        <v>0</v>
      </c>
    </row>
    <row r="322" spans="1:4" x14ac:dyDescent="0.25">
      <c r="A322">
        <f t="shared" si="4"/>
        <v>0</v>
      </c>
      <c r="C322">
        <f>NOT('hospitalityq-nil'!C322="")*(OR(NOT(IFERROR(AND(INT('hospitalityq-nil'!C322)='hospitalityq-nil'!C322,'hospitalityq-nil'!C322&gt;=2018-50,'hospitalityq-nil'!C322&lt;=2018+50),FALSE)),SUMPRODUCT(--(TRIM('hospitalityq-nil'!C6:C322)=TRIM('hospitalityq-nil'!C322)),--(TRIM('hospitalityq-nil'!D6:D322)=TRIM('hospitalityq-nil'!D322)))&gt;1))</f>
        <v>0</v>
      </c>
      <c r="D322">
        <f>NOT('hospitalityq-nil'!D322="")*(OR(COUNTIF(reference!$C$144:$C$155,TRIM(LEFT('hospitalityq-nil'!D322,FIND(":",'hospitalityq-nil'!D322&amp;":")-1))&amp;":*")=0,SUMPRODUCT(--(TRIM('hospitalityq-nil'!C6:C322)=TRIM('hospitalityq-nil'!C322)),--(TRIM('hospitalityq-nil'!D6:D322)=TRIM('hospitalityq-nil'!D322)))&gt;1))</f>
        <v>0</v>
      </c>
    </row>
    <row r="323" spans="1:4" x14ac:dyDescent="0.25">
      <c r="A323">
        <f t="shared" si="4"/>
        <v>0</v>
      </c>
      <c r="C323">
        <f>NOT('hospitalityq-nil'!C323="")*(OR(NOT(IFERROR(AND(INT('hospitalityq-nil'!C323)='hospitalityq-nil'!C323,'hospitalityq-nil'!C323&gt;=2018-50,'hospitalityq-nil'!C323&lt;=2018+50),FALSE)),SUMPRODUCT(--(TRIM('hospitalityq-nil'!C6:C323)=TRIM('hospitalityq-nil'!C323)),--(TRIM('hospitalityq-nil'!D6:D323)=TRIM('hospitalityq-nil'!D323)))&gt;1))</f>
        <v>0</v>
      </c>
      <c r="D323">
        <f>NOT('hospitalityq-nil'!D323="")*(OR(COUNTIF(reference!$C$144:$C$155,TRIM(LEFT('hospitalityq-nil'!D323,FIND(":",'hospitalityq-nil'!D323&amp;":")-1))&amp;":*")=0,SUMPRODUCT(--(TRIM('hospitalityq-nil'!C6:C323)=TRIM('hospitalityq-nil'!C323)),--(TRIM('hospitalityq-nil'!D6:D323)=TRIM('hospitalityq-nil'!D323)))&gt;1))</f>
        <v>0</v>
      </c>
    </row>
    <row r="324" spans="1:4" x14ac:dyDescent="0.25">
      <c r="A324">
        <f t="shared" si="4"/>
        <v>0</v>
      </c>
      <c r="C324">
        <f>NOT('hospitalityq-nil'!C324="")*(OR(NOT(IFERROR(AND(INT('hospitalityq-nil'!C324)='hospitalityq-nil'!C324,'hospitalityq-nil'!C324&gt;=2018-50,'hospitalityq-nil'!C324&lt;=2018+50),FALSE)),SUMPRODUCT(--(TRIM('hospitalityq-nil'!C6:C324)=TRIM('hospitalityq-nil'!C324)),--(TRIM('hospitalityq-nil'!D6:D324)=TRIM('hospitalityq-nil'!D324)))&gt;1))</f>
        <v>0</v>
      </c>
      <c r="D324">
        <f>NOT('hospitalityq-nil'!D324="")*(OR(COUNTIF(reference!$C$144:$C$155,TRIM(LEFT('hospitalityq-nil'!D324,FIND(":",'hospitalityq-nil'!D324&amp;":")-1))&amp;":*")=0,SUMPRODUCT(--(TRIM('hospitalityq-nil'!C6:C324)=TRIM('hospitalityq-nil'!C324)),--(TRIM('hospitalityq-nil'!D6:D324)=TRIM('hospitalityq-nil'!D324)))&gt;1))</f>
        <v>0</v>
      </c>
    </row>
    <row r="325" spans="1:4" x14ac:dyDescent="0.25">
      <c r="A325">
        <f t="shared" si="4"/>
        <v>0</v>
      </c>
      <c r="C325">
        <f>NOT('hospitalityq-nil'!C325="")*(OR(NOT(IFERROR(AND(INT('hospitalityq-nil'!C325)='hospitalityq-nil'!C325,'hospitalityq-nil'!C325&gt;=2018-50,'hospitalityq-nil'!C325&lt;=2018+50),FALSE)),SUMPRODUCT(--(TRIM('hospitalityq-nil'!C6:C325)=TRIM('hospitalityq-nil'!C325)),--(TRIM('hospitalityq-nil'!D6:D325)=TRIM('hospitalityq-nil'!D325)))&gt;1))</f>
        <v>0</v>
      </c>
      <c r="D325">
        <f>NOT('hospitalityq-nil'!D325="")*(OR(COUNTIF(reference!$C$144:$C$155,TRIM(LEFT('hospitalityq-nil'!D325,FIND(":",'hospitalityq-nil'!D325&amp;":")-1))&amp;":*")=0,SUMPRODUCT(--(TRIM('hospitalityq-nil'!C6:C325)=TRIM('hospitalityq-nil'!C325)),--(TRIM('hospitalityq-nil'!D6:D325)=TRIM('hospitalityq-nil'!D325)))&gt;1))</f>
        <v>0</v>
      </c>
    </row>
    <row r="326" spans="1:4" x14ac:dyDescent="0.25">
      <c r="A326">
        <f t="shared" ref="A326:A389" si="5">IFERROR(MATCH(TRUE,INDEX(C326:D326&lt;&gt;0,),)+2,0)</f>
        <v>0</v>
      </c>
      <c r="C326">
        <f>NOT('hospitalityq-nil'!C326="")*(OR(NOT(IFERROR(AND(INT('hospitalityq-nil'!C326)='hospitalityq-nil'!C326,'hospitalityq-nil'!C326&gt;=2018-50,'hospitalityq-nil'!C326&lt;=2018+50),FALSE)),SUMPRODUCT(--(TRIM('hospitalityq-nil'!C6:C326)=TRIM('hospitalityq-nil'!C326)),--(TRIM('hospitalityq-nil'!D6:D326)=TRIM('hospitalityq-nil'!D326)))&gt;1))</f>
        <v>0</v>
      </c>
      <c r="D326">
        <f>NOT('hospitalityq-nil'!D326="")*(OR(COUNTIF(reference!$C$144:$C$155,TRIM(LEFT('hospitalityq-nil'!D326,FIND(":",'hospitalityq-nil'!D326&amp;":")-1))&amp;":*")=0,SUMPRODUCT(--(TRIM('hospitalityq-nil'!C6:C326)=TRIM('hospitalityq-nil'!C326)),--(TRIM('hospitalityq-nil'!D6:D326)=TRIM('hospitalityq-nil'!D326)))&gt;1))</f>
        <v>0</v>
      </c>
    </row>
    <row r="327" spans="1:4" x14ac:dyDescent="0.25">
      <c r="A327">
        <f t="shared" si="5"/>
        <v>0</v>
      </c>
      <c r="C327">
        <f>NOT('hospitalityq-nil'!C327="")*(OR(NOT(IFERROR(AND(INT('hospitalityq-nil'!C327)='hospitalityq-nil'!C327,'hospitalityq-nil'!C327&gt;=2018-50,'hospitalityq-nil'!C327&lt;=2018+50),FALSE)),SUMPRODUCT(--(TRIM('hospitalityq-nil'!C6:C327)=TRIM('hospitalityq-nil'!C327)),--(TRIM('hospitalityq-nil'!D6:D327)=TRIM('hospitalityq-nil'!D327)))&gt;1))</f>
        <v>0</v>
      </c>
      <c r="D327">
        <f>NOT('hospitalityq-nil'!D327="")*(OR(COUNTIF(reference!$C$144:$C$155,TRIM(LEFT('hospitalityq-nil'!D327,FIND(":",'hospitalityq-nil'!D327&amp;":")-1))&amp;":*")=0,SUMPRODUCT(--(TRIM('hospitalityq-nil'!C6:C327)=TRIM('hospitalityq-nil'!C327)),--(TRIM('hospitalityq-nil'!D6:D327)=TRIM('hospitalityq-nil'!D327)))&gt;1))</f>
        <v>0</v>
      </c>
    </row>
    <row r="328" spans="1:4" x14ac:dyDescent="0.25">
      <c r="A328">
        <f t="shared" si="5"/>
        <v>0</v>
      </c>
      <c r="C328">
        <f>NOT('hospitalityq-nil'!C328="")*(OR(NOT(IFERROR(AND(INT('hospitalityq-nil'!C328)='hospitalityq-nil'!C328,'hospitalityq-nil'!C328&gt;=2018-50,'hospitalityq-nil'!C328&lt;=2018+50),FALSE)),SUMPRODUCT(--(TRIM('hospitalityq-nil'!C6:C328)=TRIM('hospitalityq-nil'!C328)),--(TRIM('hospitalityq-nil'!D6:D328)=TRIM('hospitalityq-nil'!D328)))&gt;1))</f>
        <v>0</v>
      </c>
      <c r="D328">
        <f>NOT('hospitalityq-nil'!D328="")*(OR(COUNTIF(reference!$C$144:$C$155,TRIM(LEFT('hospitalityq-nil'!D328,FIND(":",'hospitalityq-nil'!D328&amp;":")-1))&amp;":*")=0,SUMPRODUCT(--(TRIM('hospitalityq-nil'!C6:C328)=TRIM('hospitalityq-nil'!C328)),--(TRIM('hospitalityq-nil'!D6:D328)=TRIM('hospitalityq-nil'!D328)))&gt;1))</f>
        <v>0</v>
      </c>
    </row>
    <row r="329" spans="1:4" x14ac:dyDescent="0.25">
      <c r="A329">
        <f t="shared" si="5"/>
        <v>0</v>
      </c>
      <c r="C329">
        <f>NOT('hospitalityq-nil'!C329="")*(OR(NOT(IFERROR(AND(INT('hospitalityq-nil'!C329)='hospitalityq-nil'!C329,'hospitalityq-nil'!C329&gt;=2018-50,'hospitalityq-nil'!C329&lt;=2018+50),FALSE)),SUMPRODUCT(--(TRIM('hospitalityq-nil'!C6:C329)=TRIM('hospitalityq-nil'!C329)),--(TRIM('hospitalityq-nil'!D6:D329)=TRIM('hospitalityq-nil'!D329)))&gt;1))</f>
        <v>0</v>
      </c>
      <c r="D329">
        <f>NOT('hospitalityq-nil'!D329="")*(OR(COUNTIF(reference!$C$144:$C$155,TRIM(LEFT('hospitalityq-nil'!D329,FIND(":",'hospitalityq-nil'!D329&amp;":")-1))&amp;":*")=0,SUMPRODUCT(--(TRIM('hospitalityq-nil'!C6:C329)=TRIM('hospitalityq-nil'!C329)),--(TRIM('hospitalityq-nil'!D6:D329)=TRIM('hospitalityq-nil'!D329)))&gt;1))</f>
        <v>0</v>
      </c>
    </row>
    <row r="330" spans="1:4" x14ac:dyDescent="0.25">
      <c r="A330">
        <f t="shared" si="5"/>
        <v>0</v>
      </c>
      <c r="C330">
        <f>NOT('hospitalityq-nil'!C330="")*(OR(NOT(IFERROR(AND(INT('hospitalityq-nil'!C330)='hospitalityq-nil'!C330,'hospitalityq-nil'!C330&gt;=2018-50,'hospitalityq-nil'!C330&lt;=2018+50),FALSE)),SUMPRODUCT(--(TRIM('hospitalityq-nil'!C6:C330)=TRIM('hospitalityq-nil'!C330)),--(TRIM('hospitalityq-nil'!D6:D330)=TRIM('hospitalityq-nil'!D330)))&gt;1))</f>
        <v>0</v>
      </c>
      <c r="D330">
        <f>NOT('hospitalityq-nil'!D330="")*(OR(COUNTIF(reference!$C$144:$C$155,TRIM(LEFT('hospitalityq-nil'!D330,FIND(":",'hospitalityq-nil'!D330&amp;":")-1))&amp;":*")=0,SUMPRODUCT(--(TRIM('hospitalityq-nil'!C6:C330)=TRIM('hospitalityq-nil'!C330)),--(TRIM('hospitalityq-nil'!D6:D330)=TRIM('hospitalityq-nil'!D330)))&gt;1))</f>
        <v>0</v>
      </c>
    </row>
    <row r="331" spans="1:4" x14ac:dyDescent="0.25">
      <c r="A331">
        <f t="shared" si="5"/>
        <v>0</v>
      </c>
      <c r="C331">
        <f>NOT('hospitalityq-nil'!C331="")*(OR(NOT(IFERROR(AND(INT('hospitalityq-nil'!C331)='hospitalityq-nil'!C331,'hospitalityq-nil'!C331&gt;=2018-50,'hospitalityq-nil'!C331&lt;=2018+50),FALSE)),SUMPRODUCT(--(TRIM('hospitalityq-nil'!C6:C331)=TRIM('hospitalityq-nil'!C331)),--(TRIM('hospitalityq-nil'!D6:D331)=TRIM('hospitalityq-nil'!D331)))&gt;1))</f>
        <v>0</v>
      </c>
      <c r="D331">
        <f>NOT('hospitalityq-nil'!D331="")*(OR(COUNTIF(reference!$C$144:$C$155,TRIM(LEFT('hospitalityq-nil'!D331,FIND(":",'hospitalityq-nil'!D331&amp;":")-1))&amp;":*")=0,SUMPRODUCT(--(TRIM('hospitalityq-nil'!C6:C331)=TRIM('hospitalityq-nil'!C331)),--(TRIM('hospitalityq-nil'!D6:D331)=TRIM('hospitalityq-nil'!D331)))&gt;1))</f>
        <v>0</v>
      </c>
    </row>
    <row r="332" spans="1:4" x14ac:dyDescent="0.25">
      <c r="A332">
        <f t="shared" si="5"/>
        <v>0</v>
      </c>
      <c r="C332">
        <f>NOT('hospitalityq-nil'!C332="")*(OR(NOT(IFERROR(AND(INT('hospitalityq-nil'!C332)='hospitalityq-nil'!C332,'hospitalityq-nil'!C332&gt;=2018-50,'hospitalityq-nil'!C332&lt;=2018+50),FALSE)),SUMPRODUCT(--(TRIM('hospitalityq-nil'!C6:C332)=TRIM('hospitalityq-nil'!C332)),--(TRIM('hospitalityq-nil'!D6:D332)=TRIM('hospitalityq-nil'!D332)))&gt;1))</f>
        <v>0</v>
      </c>
      <c r="D332">
        <f>NOT('hospitalityq-nil'!D332="")*(OR(COUNTIF(reference!$C$144:$C$155,TRIM(LEFT('hospitalityq-nil'!D332,FIND(":",'hospitalityq-nil'!D332&amp;":")-1))&amp;":*")=0,SUMPRODUCT(--(TRIM('hospitalityq-nil'!C6:C332)=TRIM('hospitalityq-nil'!C332)),--(TRIM('hospitalityq-nil'!D6:D332)=TRIM('hospitalityq-nil'!D332)))&gt;1))</f>
        <v>0</v>
      </c>
    </row>
    <row r="333" spans="1:4" x14ac:dyDescent="0.25">
      <c r="A333">
        <f t="shared" si="5"/>
        <v>0</v>
      </c>
      <c r="C333">
        <f>NOT('hospitalityq-nil'!C333="")*(OR(NOT(IFERROR(AND(INT('hospitalityq-nil'!C333)='hospitalityq-nil'!C333,'hospitalityq-nil'!C333&gt;=2018-50,'hospitalityq-nil'!C333&lt;=2018+50),FALSE)),SUMPRODUCT(--(TRIM('hospitalityq-nil'!C6:C333)=TRIM('hospitalityq-nil'!C333)),--(TRIM('hospitalityq-nil'!D6:D333)=TRIM('hospitalityq-nil'!D333)))&gt;1))</f>
        <v>0</v>
      </c>
      <c r="D333">
        <f>NOT('hospitalityq-nil'!D333="")*(OR(COUNTIF(reference!$C$144:$C$155,TRIM(LEFT('hospitalityq-nil'!D333,FIND(":",'hospitalityq-nil'!D333&amp;":")-1))&amp;":*")=0,SUMPRODUCT(--(TRIM('hospitalityq-nil'!C6:C333)=TRIM('hospitalityq-nil'!C333)),--(TRIM('hospitalityq-nil'!D6:D333)=TRIM('hospitalityq-nil'!D333)))&gt;1))</f>
        <v>0</v>
      </c>
    </row>
    <row r="334" spans="1:4" x14ac:dyDescent="0.25">
      <c r="A334">
        <f t="shared" si="5"/>
        <v>0</v>
      </c>
      <c r="C334">
        <f>NOT('hospitalityq-nil'!C334="")*(OR(NOT(IFERROR(AND(INT('hospitalityq-nil'!C334)='hospitalityq-nil'!C334,'hospitalityq-nil'!C334&gt;=2018-50,'hospitalityq-nil'!C334&lt;=2018+50),FALSE)),SUMPRODUCT(--(TRIM('hospitalityq-nil'!C6:C334)=TRIM('hospitalityq-nil'!C334)),--(TRIM('hospitalityq-nil'!D6:D334)=TRIM('hospitalityq-nil'!D334)))&gt;1))</f>
        <v>0</v>
      </c>
      <c r="D334">
        <f>NOT('hospitalityq-nil'!D334="")*(OR(COUNTIF(reference!$C$144:$C$155,TRIM(LEFT('hospitalityq-nil'!D334,FIND(":",'hospitalityq-nil'!D334&amp;":")-1))&amp;":*")=0,SUMPRODUCT(--(TRIM('hospitalityq-nil'!C6:C334)=TRIM('hospitalityq-nil'!C334)),--(TRIM('hospitalityq-nil'!D6:D334)=TRIM('hospitalityq-nil'!D334)))&gt;1))</f>
        <v>0</v>
      </c>
    </row>
    <row r="335" spans="1:4" x14ac:dyDescent="0.25">
      <c r="A335">
        <f t="shared" si="5"/>
        <v>0</v>
      </c>
      <c r="C335">
        <f>NOT('hospitalityq-nil'!C335="")*(OR(NOT(IFERROR(AND(INT('hospitalityq-nil'!C335)='hospitalityq-nil'!C335,'hospitalityq-nil'!C335&gt;=2018-50,'hospitalityq-nil'!C335&lt;=2018+50),FALSE)),SUMPRODUCT(--(TRIM('hospitalityq-nil'!C6:C335)=TRIM('hospitalityq-nil'!C335)),--(TRIM('hospitalityq-nil'!D6:D335)=TRIM('hospitalityq-nil'!D335)))&gt;1))</f>
        <v>0</v>
      </c>
      <c r="D335">
        <f>NOT('hospitalityq-nil'!D335="")*(OR(COUNTIF(reference!$C$144:$C$155,TRIM(LEFT('hospitalityq-nil'!D335,FIND(":",'hospitalityq-nil'!D335&amp;":")-1))&amp;":*")=0,SUMPRODUCT(--(TRIM('hospitalityq-nil'!C6:C335)=TRIM('hospitalityq-nil'!C335)),--(TRIM('hospitalityq-nil'!D6:D335)=TRIM('hospitalityq-nil'!D335)))&gt;1))</f>
        <v>0</v>
      </c>
    </row>
    <row r="336" spans="1:4" x14ac:dyDescent="0.25">
      <c r="A336">
        <f t="shared" si="5"/>
        <v>0</v>
      </c>
      <c r="C336">
        <f>NOT('hospitalityq-nil'!C336="")*(OR(NOT(IFERROR(AND(INT('hospitalityq-nil'!C336)='hospitalityq-nil'!C336,'hospitalityq-nil'!C336&gt;=2018-50,'hospitalityq-nil'!C336&lt;=2018+50),FALSE)),SUMPRODUCT(--(TRIM('hospitalityq-nil'!C6:C336)=TRIM('hospitalityq-nil'!C336)),--(TRIM('hospitalityq-nil'!D6:D336)=TRIM('hospitalityq-nil'!D336)))&gt;1))</f>
        <v>0</v>
      </c>
      <c r="D336">
        <f>NOT('hospitalityq-nil'!D336="")*(OR(COUNTIF(reference!$C$144:$C$155,TRIM(LEFT('hospitalityq-nil'!D336,FIND(":",'hospitalityq-nil'!D336&amp;":")-1))&amp;":*")=0,SUMPRODUCT(--(TRIM('hospitalityq-nil'!C6:C336)=TRIM('hospitalityq-nil'!C336)),--(TRIM('hospitalityq-nil'!D6:D336)=TRIM('hospitalityq-nil'!D336)))&gt;1))</f>
        <v>0</v>
      </c>
    </row>
    <row r="337" spans="1:4" x14ac:dyDescent="0.25">
      <c r="A337">
        <f t="shared" si="5"/>
        <v>0</v>
      </c>
      <c r="C337">
        <f>NOT('hospitalityq-nil'!C337="")*(OR(NOT(IFERROR(AND(INT('hospitalityq-nil'!C337)='hospitalityq-nil'!C337,'hospitalityq-nil'!C337&gt;=2018-50,'hospitalityq-nil'!C337&lt;=2018+50),FALSE)),SUMPRODUCT(--(TRIM('hospitalityq-nil'!C6:C337)=TRIM('hospitalityq-nil'!C337)),--(TRIM('hospitalityq-nil'!D6:D337)=TRIM('hospitalityq-nil'!D337)))&gt;1))</f>
        <v>0</v>
      </c>
      <c r="D337">
        <f>NOT('hospitalityq-nil'!D337="")*(OR(COUNTIF(reference!$C$144:$C$155,TRIM(LEFT('hospitalityq-nil'!D337,FIND(":",'hospitalityq-nil'!D337&amp;":")-1))&amp;":*")=0,SUMPRODUCT(--(TRIM('hospitalityq-nil'!C6:C337)=TRIM('hospitalityq-nil'!C337)),--(TRIM('hospitalityq-nil'!D6:D337)=TRIM('hospitalityq-nil'!D337)))&gt;1))</f>
        <v>0</v>
      </c>
    </row>
    <row r="338" spans="1:4" x14ac:dyDescent="0.25">
      <c r="A338">
        <f t="shared" si="5"/>
        <v>0</v>
      </c>
      <c r="C338">
        <f>NOT('hospitalityq-nil'!C338="")*(OR(NOT(IFERROR(AND(INT('hospitalityq-nil'!C338)='hospitalityq-nil'!C338,'hospitalityq-nil'!C338&gt;=2018-50,'hospitalityq-nil'!C338&lt;=2018+50),FALSE)),SUMPRODUCT(--(TRIM('hospitalityq-nil'!C6:C338)=TRIM('hospitalityq-nil'!C338)),--(TRIM('hospitalityq-nil'!D6:D338)=TRIM('hospitalityq-nil'!D338)))&gt;1))</f>
        <v>0</v>
      </c>
      <c r="D338">
        <f>NOT('hospitalityq-nil'!D338="")*(OR(COUNTIF(reference!$C$144:$C$155,TRIM(LEFT('hospitalityq-nil'!D338,FIND(":",'hospitalityq-nil'!D338&amp;":")-1))&amp;":*")=0,SUMPRODUCT(--(TRIM('hospitalityq-nil'!C6:C338)=TRIM('hospitalityq-nil'!C338)),--(TRIM('hospitalityq-nil'!D6:D338)=TRIM('hospitalityq-nil'!D338)))&gt;1))</f>
        <v>0</v>
      </c>
    </row>
    <row r="339" spans="1:4" x14ac:dyDescent="0.25">
      <c r="A339">
        <f t="shared" si="5"/>
        <v>0</v>
      </c>
      <c r="C339">
        <f>NOT('hospitalityq-nil'!C339="")*(OR(NOT(IFERROR(AND(INT('hospitalityq-nil'!C339)='hospitalityq-nil'!C339,'hospitalityq-nil'!C339&gt;=2018-50,'hospitalityq-nil'!C339&lt;=2018+50),FALSE)),SUMPRODUCT(--(TRIM('hospitalityq-nil'!C6:C339)=TRIM('hospitalityq-nil'!C339)),--(TRIM('hospitalityq-nil'!D6:D339)=TRIM('hospitalityq-nil'!D339)))&gt;1))</f>
        <v>0</v>
      </c>
      <c r="D339">
        <f>NOT('hospitalityq-nil'!D339="")*(OR(COUNTIF(reference!$C$144:$C$155,TRIM(LEFT('hospitalityq-nil'!D339,FIND(":",'hospitalityq-nil'!D339&amp;":")-1))&amp;":*")=0,SUMPRODUCT(--(TRIM('hospitalityq-nil'!C6:C339)=TRIM('hospitalityq-nil'!C339)),--(TRIM('hospitalityq-nil'!D6:D339)=TRIM('hospitalityq-nil'!D339)))&gt;1))</f>
        <v>0</v>
      </c>
    </row>
    <row r="340" spans="1:4" x14ac:dyDescent="0.25">
      <c r="A340">
        <f t="shared" si="5"/>
        <v>0</v>
      </c>
      <c r="C340">
        <f>NOT('hospitalityq-nil'!C340="")*(OR(NOT(IFERROR(AND(INT('hospitalityq-nil'!C340)='hospitalityq-nil'!C340,'hospitalityq-nil'!C340&gt;=2018-50,'hospitalityq-nil'!C340&lt;=2018+50),FALSE)),SUMPRODUCT(--(TRIM('hospitalityq-nil'!C6:C340)=TRIM('hospitalityq-nil'!C340)),--(TRIM('hospitalityq-nil'!D6:D340)=TRIM('hospitalityq-nil'!D340)))&gt;1))</f>
        <v>0</v>
      </c>
      <c r="D340">
        <f>NOT('hospitalityq-nil'!D340="")*(OR(COUNTIF(reference!$C$144:$C$155,TRIM(LEFT('hospitalityq-nil'!D340,FIND(":",'hospitalityq-nil'!D340&amp;":")-1))&amp;":*")=0,SUMPRODUCT(--(TRIM('hospitalityq-nil'!C6:C340)=TRIM('hospitalityq-nil'!C340)),--(TRIM('hospitalityq-nil'!D6:D340)=TRIM('hospitalityq-nil'!D340)))&gt;1))</f>
        <v>0</v>
      </c>
    </row>
    <row r="341" spans="1:4" x14ac:dyDescent="0.25">
      <c r="A341">
        <f t="shared" si="5"/>
        <v>0</v>
      </c>
      <c r="C341">
        <f>NOT('hospitalityq-nil'!C341="")*(OR(NOT(IFERROR(AND(INT('hospitalityq-nil'!C341)='hospitalityq-nil'!C341,'hospitalityq-nil'!C341&gt;=2018-50,'hospitalityq-nil'!C341&lt;=2018+50),FALSE)),SUMPRODUCT(--(TRIM('hospitalityq-nil'!C6:C341)=TRIM('hospitalityq-nil'!C341)),--(TRIM('hospitalityq-nil'!D6:D341)=TRIM('hospitalityq-nil'!D341)))&gt;1))</f>
        <v>0</v>
      </c>
      <c r="D341">
        <f>NOT('hospitalityq-nil'!D341="")*(OR(COUNTIF(reference!$C$144:$C$155,TRIM(LEFT('hospitalityq-nil'!D341,FIND(":",'hospitalityq-nil'!D341&amp;":")-1))&amp;":*")=0,SUMPRODUCT(--(TRIM('hospitalityq-nil'!C6:C341)=TRIM('hospitalityq-nil'!C341)),--(TRIM('hospitalityq-nil'!D6:D341)=TRIM('hospitalityq-nil'!D341)))&gt;1))</f>
        <v>0</v>
      </c>
    </row>
    <row r="342" spans="1:4" x14ac:dyDescent="0.25">
      <c r="A342">
        <f t="shared" si="5"/>
        <v>0</v>
      </c>
      <c r="C342">
        <f>NOT('hospitalityq-nil'!C342="")*(OR(NOT(IFERROR(AND(INT('hospitalityq-nil'!C342)='hospitalityq-nil'!C342,'hospitalityq-nil'!C342&gt;=2018-50,'hospitalityq-nil'!C342&lt;=2018+50),FALSE)),SUMPRODUCT(--(TRIM('hospitalityq-nil'!C6:C342)=TRIM('hospitalityq-nil'!C342)),--(TRIM('hospitalityq-nil'!D6:D342)=TRIM('hospitalityq-nil'!D342)))&gt;1))</f>
        <v>0</v>
      </c>
      <c r="D342">
        <f>NOT('hospitalityq-nil'!D342="")*(OR(COUNTIF(reference!$C$144:$C$155,TRIM(LEFT('hospitalityq-nil'!D342,FIND(":",'hospitalityq-nil'!D342&amp;":")-1))&amp;":*")=0,SUMPRODUCT(--(TRIM('hospitalityq-nil'!C6:C342)=TRIM('hospitalityq-nil'!C342)),--(TRIM('hospitalityq-nil'!D6:D342)=TRIM('hospitalityq-nil'!D342)))&gt;1))</f>
        <v>0</v>
      </c>
    </row>
    <row r="343" spans="1:4" x14ac:dyDescent="0.25">
      <c r="A343">
        <f t="shared" si="5"/>
        <v>0</v>
      </c>
      <c r="C343">
        <f>NOT('hospitalityq-nil'!C343="")*(OR(NOT(IFERROR(AND(INT('hospitalityq-nil'!C343)='hospitalityq-nil'!C343,'hospitalityq-nil'!C343&gt;=2018-50,'hospitalityq-nil'!C343&lt;=2018+50),FALSE)),SUMPRODUCT(--(TRIM('hospitalityq-nil'!C6:C343)=TRIM('hospitalityq-nil'!C343)),--(TRIM('hospitalityq-nil'!D6:D343)=TRIM('hospitalityq-nil'!D343)))&gt;1))</f>
        <v>0</v>
      </c>
      <c r="D343">
        <f>NOT('hospitalityq-nil'!D343="")*(OR(COUNTIF(reference!$C$144:$C$155,TRIM(LEFT('hospitalityq-nil'!D343,FIND(":",'hospitalityq-nil'!D343&amp;":")-1))&amp;":*")=0,SUMPRODUCT(--(TRIM('hospitalityq-nil'!C6:C343)=TRIM('hospitalityq-nil'!C343)),--(TRIM('hospitalityq-nil'!D6:D343)=TRIM('hospitalityq-nil'!D343)))&gt;1))</f>
        <v>0</v>
      </c>
    </row>
    <row r="344" spans="1:4" x14ac:dyDescent="0.25">
      <c r="A344">
        <f t="shared" si="5"/>
        <v>0</v>
      </c>
      <c r="C344">
        <f>NOT('hospitalityq-nil'!C344="")*(OR(NOT(IFERROR(AND(INT('hospitalityq-nil'!C344)='hospitalityq-nil'!C344,'hospitalityq-nil'!C344&gt;=2018-50,'hospitalityq-nil'!C344&lt;=2018+50),FALSE)),SUMPRODUCT(--(TRIM('hospitalityq-nil'!C6:C344)=TRIM('hospitalityq-nil'!C344)),--(TRIM('hospitalityq-nil'!D6:D344)=TRIM('hospitalityq-nil'!D344)))&gt;1))</f>
        <v>0</v>
      </c>
      <c r="D344">
        <f>NOT('hospitalityq-nil'!D344="")*(OR(COUNTIF(reference!$C$144:$C$155,TRIM(LEFT('hospitalityq-nil'!D344,FIND(":",'hospitalityq-nil'!D344&amp;":")-1))&amp;":*")=0,SUMPRODUCT(--(TRIM('hospitalityq-nil'!C6:C344)=TRIM('hospitalityq-nil'!C344)),--(TRIM('hospitalityq-nil'!D6:D344)=TRIM('hospitalityq-nil'!D344)))&gt;1))</f>
        <v>0</v>
      </c>
    </row>
    <row r="345" spans="1:4" x14ac:dyDescent="0.25">
      <c r="A345">
        <f t="shared" si="5"/>
        <v>0</v>
      </c>
      <c r="C345">
        <f>NOT('hospitalityq-nil'!C345="")*(OR(NOT(IFERROR(AND(INT('hospitalityq-nil'!C345)='hospitalityq-nil'!C345,'hospitalityq-nil'!C345&gt;=2018-50,'hospitalityq-nil'!C345&lt;=2018+50),FALSE)),SUMPRODUCT(--(TRIM('hospitalityq-nil'!C6:C345)=TRIM('hospitalityq-nil'!C345)),--(TRIM('hospitalityq-nil'!D6:D345)=TRIM('hospitalityq-nil'!D345)))&gt;1))</f>
        <v>0</v>
      </c>
      <c r="D345">
        <f>NOT('hospitalityq-nil'!D345="")*(OR(COUNTIF(reference!$C$144:$C$155,TRIM(LEFT('hospitalityq-nil'!D345,FIND(":",'hospitalityq-nil'!D345&amp;":")-1))&amp;":*")=0,SUMPRODUCT(--(TRIM('hospitalityq-nil'!C6:C345)=TRIM('hospitalityq-nil'!C345)),--(TRIM('hospitalityq-nil'!D6:D345)=TRIM('hospitalityq-nil'!D345)))&gt;1))</f>
        <v>0</v>
      </c>
    </row>
    <row r="346" spans="1:4" x14ac:dyDescent="0.25">
      <c r="A346">
        <f t="shared" si="5"/>
        <v>0</v>
      </c>
      <c r="C346">
        <f>NOT('hospitalityq-nil'!C346="")*(OR(NOT(IFERROR(AND(INT('hospitalityq-nil'!C346)='hospitalityq-nil'!C346,'hospitalityq-nil'!C346&gt;=2018-50,'hospitalityq-nil'!C346&lt;=2018+50),FALSE)),SUMPRODUCT(--(TRIM('hospitalityq-nil'!C6:C346)=TRIM('hospitalityq-nil'!C346)),--(TRIM('hospitalityq-nil'!D6:D346)=TRIM('hospitalityq-nil'!D346)))&gt;1))</f>
        <v>0</v>
      </c>
      <c r="D346">
        <f>NOT('hospitalityq-nil'!D346="")*(OR(COUNTIF(reference!$C$144:$C$155,TRIM(LEFT('hospitalityq-nil'!D346,FIND(":",'hospitalityq-nil'!D346&amp;":")-1))&amp;":*")=0,SUMPRODUCT(--(TRIM('hospitalityq-nil'!C6:C346)=TRIM('hospitalityq-nil'!C346)),--(TRIM('hospitalityq-nil'!D6:D346)=TRIM('hospitalityq-nil'!D346)))&gt;1))</f>
        <v>0</v>
      </c>
    </row>
    <row r="347" spans="1:4" x14ac:dyDescent="0.25">
      <c r="A347">
        <f t="shared" si="5"/>
        <v>0</v>
      </c>
      <c r="C347">
        <f>NOT('hospitalityq-nil'!C347="")*(OR(NOT(IFERROR(AND(INT('hospitalityq-nil'!C347)='hospitalityq-nil'!C347,'hospitalityq-nil'!C347&gt;=2018-50,'hospitalityq-nil'!C347&lt;=2018+50),FALSE)),SUMPRODUCT(--(TRIM('hospitalityq-nil'!C6:C347)=TRIM('hospitalityq-nil'!C347)),--(TRIM('hospitalityq-nil'!D6:D347)=TRIM('hospitalityq-nil'!D347)))&gt;1))</f>
        <v>0</v>
      </c>
      <c r="D347">
        <f>NOT('hospitalityq-nil'!D347="")*(OR(COUNTIF(reference!$C$144:$C$155,TRIM(LEFT('hospitalityq-nil'!D347,FIND(":",'hospitalityq-nil'!D347&amp;":")-1))&amp;":*")=0,SUMPRODUCT(--(TRIM('hospitalityq-nil'!C6:C347)=TRIM('hospitalityq-nil'!C347)),--(TRIM('hospitalityq-nil'!D6:D347)=TRIM('hospitalityq-nil'!D347)))&gt;1))</f>
        <v>0</v>
      </c>
    </row>
    <row r="348" spans="1:4" x14ac:dyDescent="0.25">
      <c r="A348">
        <f t="shared" si="5"/>
        <v>0</v>
      </c>
      <c r="C348">
        <f>NOT('hospitalityq-nil'!C348="")*(OR(NOT(IFERROR(AND(INT('hospitalityq-nil'!C348)='hospitalityq-nil'!C348,'hospitalityq-nil'!C348&gt;=2018-50,'hospitalityq-nil'!C348&lt;=2018+50),FALSE)),SUMPRODUCT(--(TRIM('hospitalityq-nil'!C6:C348)=TRIM('hospitalityq-nil'!C348)),--(TRIM('hospitalityq-nil'!D6:D348)=TRIM('hospitalityq-nil'!D348)))&gt;1))</f>
        <v>0</v>
      </c>
      <c r="D348">
        <f>NOT('hospitalityq-nil'!D348="")*(OR(COUNTIF(reference!$C$144:$C$155,TRIM(LEFT('hospitalityq-nil'!D348,FIND(":",'hospitalityq-nil'!D348&amp;":")-1))&amp;":*")=0,SUMPRODUCT(--(TRIM('hospitalityq-nil'!C6:C348)=TRIM('hospitalityq-nil'!C348)),--(TRIM('hospitalityq-nil'!D6:D348)=TRIM('hospitalityq-nil'!D348)))&gt;1))</f>
        <v>0</v>
      </c>
    </row>
    <row r="349" spans="1:4" x14ac:dyDescent="0.25">
      <c r="A349">
        <f t="shared" si="5"/>
        <v>0</v>
      </c>
      <c r="C349">
        <f>NOT('hospitalityq-nil'!C349="")*(OR(NOT(IFERROR(AND(INT('hospitalityq-nil'!C349)='hospitalityq-nil'!C349,'hospitalityq-nil'!C349&gt;=2018-50,'hospitalityq-nil'!C349&lt;=2018+50),FALSE)),SUMPRODUCT(--(TRIM('hospitalityq-nil'!C6:C349)=TRIM('hospitalityq-nil'!C349)),--(TRIM('hospitalityq-nil'!D6:D349)=TRIM('hospitalityq-nil'!D349)))&gt;1))</f>
        <v>0</v>
      </c>
      <c r="D349">
        <f>NOT('hospitalityq-nil'!D349="")*(OR(COUNTIF(reference!$C$144:$C$155,TRIM(LEFT('hospitalityq-nil'!D349,FIND(":",'hospitalityq-nil'!D349&amp;":")-1))&amp;":*")=0,SUMPRODUCT(--(TRIM('hospitalityq-nil'!C6:C349)=TRIM('hospitalityq-nil'!C349)),--(TRIM('hospitalityq-nil'!D6:D349)=TRIM('hospitalityq-nil'!D349)))&gt;1))</f>
        <v>0</v>
      </c>
    </row>
    <row r="350" spans="1:4" x14ac:dyDescent="0.25">
      <c r="A350">
        <f t="shared" si="5"/>
        <v>0</v>
      </c>
      <c r="C350">
        <f>NOT('hospitalityq-nil'!C350="")*(OR(NOT(IFERROR(AND(INT('hospitalityq-nil'!C350)='hospitalityq-nil'!C350,'hospitalityq-nil'!C350&gt;=2018-50,'hospitalityq-nil'!C350&lt;=2018+50),FALSE)),SUMPRODUCT(--(TRIM('hospitalityq-nil'!C6:C350)=TRIM('hospitalityq-nil'!C350)),--(TRIM('hospitalityq-nil'!D6:D350)=TRIM('hospitalityq-nil'!D350)))&gt;1))</f>
        <v>0</v>
      </c>
      <c r="D350">
        <f>NOT('hospitalityq-nil'!D350="")*(OR(COUNTIF(reference!$C$144:$C$155,TRIM(LEFT('hospitalityq-nil'!D350,FIND(":",'hospitalityq-nil'!D350&amp;":")-1))&amp;":*")=0,SUMPRODUCT(--(TRIM('hospitalityq-nil'!C6:C350)=TRIM('hospitalityq-nil'!C350)),--(TRIM('hospitalityq-nil'!D6:D350)=TRIM('hospitalityq-nil'!D350)))&gt;1))</f>
        <v>0</v>
      </c>
    </row>
    <row r="351" spans="1:4" x14ac:dyDescent="0.25">
      <c r="A351">
        <f t="shared" si="5"/>
        <v>0</v>
      </c>
      <c r="C351">
        <f>NOT('hospitalityq-nil'!C351="")*(OR(NOT(IFERROR(AND(INT('hospitalityq-nil'!C351)='hospitalityq-nil'!C351,'hospitalityq-nil'!C351&gt;=2018-50,'hospitalityq-nil'!C351&lt;=2018+50),FALSE)),SUMPRODUCT(--(TRIM('hospitalityq-nil'!C6:C351)=TRIM('hospitalityq-nil'!C351)),--(TRIM('hospitalityq-nil'!D6:D351)=TRIM('hospitalityq-nil'!D351)))&gt;1))</f>
        <v>0</v>
      </c>
      <c r="D351">
        <f>NOT('hospitalityq-nil'!D351="")*(OR(COUNTIF(reference!$C$144:$C$155,TRIM(LEFT('hospitalityq-nil'!D351,FIND(":",'hospitalityq-nil'!D351&amp;":")-1))&amp;":*")=0,SUMPRODUCT(--(TRIM('hospitalityq-nil'!C6:C351)=TRIM('hospitalityq-nil'!C351)),--(TRIM('hospitalityq-nil'!D6:D351)=TRIM('hospitalityq-nil'!D351)))&gt;1))</f>
        <v>0</v>
      </c>
    </row>
    <row r="352" spans="1:4" x14ac:dyDescent="0.25">
      <c r="A352">
        <f t="shared" si="5"/>
        <v>0</v>
      </c>
      <c r="C352">
        <f>NOT('hospitalityq-nil'!C352="")*(OR(NOT(IFERROR(AND(INT('hospitalityq-nil'!C352)='hospitalityq-nil'!C352,'hospitalityq-nil'!C352&gt;=2018-50,'hospitalityq-nil'!C352&lt;=2018+50),FALSE)),SUMPRODUCT(--(TRIM('hospitalityq-nil'!C6:C352)=TRIM('hospitalityq-nil'!C352)),--(TRIM('hospitalityq-nil'!D6:D352)=TRIM('hospitalityq-nil'!D352)))&gt;1))</f>
        <v>0</v>
      </c>
      <c r="D352">
        <f>NOT('hospitalityq-nil'!D352="")*(OR(COUNTIF(reference!$C$144:$C$155,TRIM(LEFT('hospitalityq-nil'!D352,FIND(":",'hospitalityq-nil'!D352&amp;":")-1))&amp;":*")=0,SUMPRODUCT(--(TRIM('hospitalityq-nil'!C6:C352)=TRIM('hospitalityq-nil'!C352)),--(TRIM('hospitalityq-nil'!D6:D352)=TRIM('hospitalityq-nil'!D352)))&gt;1))</f>
        <v>0</v>
      </c>
    </row>
    <row r="353" spans="1:4" x14ac:dyDescent="0.25">
      <c r="A353">
        <f t="shared" si="5"/>
        <v>0</v>
      </c>
      <c r="C353">
        <f>NOT('hospitalityq-nil'!C353="")*(OR(NOT(IFERROR(AND(INT('hospitalityq-nil'!C353)='hospitalityq-nil'!C353,'hospitalityq-nil'!C353&gt;=2018-50,'hospitalityq-nil'!C353&lt;=2018+50),FALSE)),SUMPRODUCT(--(TRIM('hospitalityq-nil'!C6:C353)=TRIM('hospitalityq-nil'!C353)),--(TRIM('hospitalityq-nil'!D6:D353)=TRIM('hospitalityq-nil'!D353)))&gt;1))</f>
        <v>0</v>
      </c>
      <c r="D353">
        <f>NOT('hospitalityq-nil'!D353="")*(OR(COUNTIF(reference!$C$144:$C$155,TRIM(LEFT('hospitalityq-nil'!D353,FIND(":",'hospitalityq-nil'!D353&amp;":")-1))&amp;":*")=0,SUMPRODUCT(--(TRIM('hospitalityq-nil'!C6:C353)=TRIM('hospitalityq-nil'!C353)),--(TRIM('hospitalityq-nil'!D6:D353)=TRIM('hospitalityq-nil'!D353)))&gt;1))</f>
        <v>0</v>
      </c>
    </row>
    <row r="354" spans="1:4" x14ac:dyDescent="0.25">
      <c r="A354">
        <f t="shared" si="5"/>
        <v>0</v>
      </c>
      <c r="C354">
        <f>NOT('hospitalityq-nil'!C354="")*(OR(NOT(IFERROR(AND(INT('hospitalityq-nil'!C354)='hospitalityq-nil'!C354,'hospitalityq-nil'!C354&gt;=2018-50,'hospitalityq-nil'!C354&lt;=2018+50),FALSE)),SUMPRODUCT(--(TRIM('hospitalityq-nil'!C6:C354)=TRIM('hospitalityq-nil'!C354)),--(TRIM('hospitalityq-nil'!D6:D354)=TRIM('hospitalityq-nil'!D354)))&gt;1))</f>
        <v>0</v>
      </c>
      <c r="D354">
        <f>NOT('hospitalityq-nil'!D354="")*(OR(COUNTIF(reference!$C$144:$C$155,TRIM(LEFT('hospitalityq-nil'!D354,FIND(":",'hospitalityq-nil'!D354&amp;":")-1))&amp;":*")=0,SUMPRODUCT(--(TRIM('hospitalityq-nil'!C6:C354)=TRIM('hospitalityq-nil'!C354)),--(TRIM('hospitalityq-nil'!D6:D354)=TRIM('hospitalityq-nil'!D354)))&gt;1))</f>
        <v>0</v>
      </c>
    </row>
    <row r="355" spans="1:4" x14ac:dyDescent="0.25">
      <c r="A355">
        <f t="shared" si="5"/>
        <v>0</v>
      </c>
      <c r="C355">
        <f>NOT('hospitalityq-nil'!C355="")*(OR(NOT(IFERROR(AND(INT('hospitalityq-nil'!C355)='hospitalityq-nil'!C355,'hospitalityq-nil'!C355&gt;=2018-50,'hospitalityq-nil'!C355&lt;=2018+50),FALSE)),SUMPRODUCT(--(TRIM('hospitalityq-nil'!C6:C355)=TRIM('hospitalityq-nil'!C355)),--(TRIM('hospitalityq-nil'!D6:D355)=TRIM('hospitalityq-nil'!D355)))&gt;1))</f>
        <v>0</v>
      </c>
      <c r="D355">
        <f>NOT('hospitalityq-nil'!D355="")*(OR(COUNTIF(reference!$C$144:$C$155,TRIM(LEFT('hospitalityq-nil'!D355,FIND(":",'hospitalityq-nil'!D355&amp;":")-1))&amp;":*")=0,SUMPRODUCT(--(TRIM('hospitalityq-nil'!C6:C355)=TRIM('hospitalityq-nil'!C355)),--(TRIM('hospitalityq-nil'!D6:D355)=TRIM('hospitalityq-nil'!D355)))&gt;1))</f>
        <v>0</v>
      </c>
    </row>
    <row r="356" spans="1:4" x14ac:dyDescent="0.25">
      <c r="A356">
        <f t="shared" si="5"/>
        <v>0</v>
      </c>
      <c r="C356">
        <f>NOT('hospitalityq-nil'!C356="")*(OR(NOT(IFERROR(AND(INT('hospitalityq-nil'!C356)='hospitalityq-nil'!C356,'hospitalityq-nil'!C356&gt;=2018-50,'hospitalityq-nil'!C356&lt;=2018+50),FALSE)),SUMPRODUCT(--(TRIM('hospitalityq-nil'!C6:C356)=TRIM('hospitalityq-nil'!C356)),--(TRIM('hospitalityq-nil'!D6:D356)=TRIM('hospitalityq-nil'!D356)))&gt;1))</f>
        <v>0</v>
      </c>
      <c r="D356">
        <f>NOT('hospitalityq-nil'!D356="")*(OR(COUNTIF(reference!$C$144:$C$155,TRIM(LEFT('hospitalityq-nil'!D356,FIND(":",'hospitalityq-nil'!D356&amp;":")-1))&amp;":*")=0,SUMPRODUCT(--(TRIM('hospitalityq-nil'!C6:C356)=TRIM('hospitalityq-nil'!C356)),--(TRIM('hospitalityq-nil'!D6:D356)=TRIM('hospitalityq-nil'!D356)))&gt;1))</f>
        <v>0</v>
      </c>
    </row>
    <row r="357" spans="1:4" x14ac:dyDescent="0.25">
      <c r="A357">
        <f t="shared" si="5"/>
        <v>0</v>
      </c>
      <c r="C357">
        <f>NOT('hospitalityq-nil'!C357="")*(OR(NOT(IFERROR(AND(INT('hospitalityq-nil'!C357)='hospitalityq-nil'!C357,'hospitalityq-nil'!C357&gt;=2018-50,'hospitalityq-nil'!C357&lt;=2018+50),FALSE)),SUMPRODUCT(--(TRIM('hospitalityq-nil'!C6:C357)=TRIM('hospitalityq-nil'!C357)),--(TRIM('hospitalityq-nil'!D6:D357)=TRIM('hospitalityq-nil'!D357)))&gt;1))</f>
        <v>0</v>
      </c>
      <c r="D357">
        <f>NOT('hospitalityq-nil'!D357="")*(OR(COUNTIF(reference!$C$144:$C$155,TRIM(LEFT('hospitalityq-nil'!D357,FIND(":",'hospitalityq-nil'!D357&amp;":")-1))&amp;":*")=0,SUMPRODUCT(--(TRIM('hospitalityq-nil'!C6:C357)=TRIM('hospitalityq-nil'!C357)),--(TRIM('hospitalityq-nil'!D6:D357)=TRIM('hospitalityq-nil'!D357)))&gt;1))</f>
        <v>0</v>
      </c>
    </row>
    <row r="358" spans="1:4" x14ac:dyDescent="0.25">
      <c r="A358">
        <f t="shared" si="5"/>
        <v>0</v>
      </c>
      <c r="C358">
        <f>NOT('hospitalityq-nil'!C358="")*(OR(NOT(IFERROR(AND(INT('hospitalityq-nil'!C358)='hospitalityq-nil'!C358,'hospitalityq-nil'!C358&gt;=2018-50,'hospitalityq-nil'!C358&lt;=2018+50),FALSE)),SUMPRODUCT(--(TRIM('hospitalityq-nil'!C6:C358)=TRIM('hospitalityq-nil'!C358)),--(TRIM('hospitalityq-nil'!D6:D358)=TRIM('hospitalityq-nil'!D358)))&gt;1))</f>
        <v>0</v>
      </c>
      <c r="D358">
        <f>NOT('hospitalityq-nil'!D358="")*(OR(COUNTIF(reference!$C$144:$C$155,TRIM(LEFT('hospitalityq-nil'!D358,FIND(":",'hospitalityq-nil'!D358&amp;":")-1))&amp;":*")=0,SUMPRODUCT(--(TRIM('hospitalityq-nil'!C6:C358)=TRIM('hospitalityq-nil'!C358)),--(TRIM('hospitalityq-nil'!D6:D358)=TRIM('hospitalityq-nil'!D358)))&gt;1))</f>
        <v>0</v>
      </c>
    </row>
    <row r="359" spans="1:4" x14ac:dyDescent="0.25">
      <c r="A359">
        <f t="shared" si="5"/>
        <v>0</v>
      </c>
      <c r="C359">
        <f>NOT('hospitalityq-nil'!C359="")*(OR(NOT(IFERROR(AND(INT('hospitalityq-nil'!C359)='hospitalityq-nil'!C359,'hospitalityq-nil'!C359&gt;=2018-50,'hospitalityq-nil'!C359&lt;=2018+50),FALSE)),SUMPRODUCT(--(TRIM('hospitalityq-nil'!C6:C359)=TRIM('hospitalityq-nil'!C359)),--(TRIM('hospitalityq-nil'!D6:D359)=TRIM('hospitalityq-nil'!D359)))&gt;1))</f>
        <v>0</v>
      </c>
      <c r="D359">
        <f>NOT('hospitalityq-nil'!D359="")*(OR(COUNTIF(reference!$C$144:$C$155,TRIM(LEFT('hospitalityq-nil'!D359,FIND(":",'hospitalityq-nil'!D359&amp;":")-1))&amp;":*")=0,SUMPRODUCT(--(TRIM('hospitalityq-nil'!C6:C359)=TRIM('hospitalityq-nil'!C359)),--(TRIM('hospitalityq-nil'!D6:D359)=TRIM('hospitalityq-nil'!D359)))&gt;1))</f>
        <v>0</v>
      </c>
    </row>
    <row r="360" spans="1:4" x14ac:dyDescent="0.25">
      <c r="A360">
        <f t="shared" si="5"/>
        <v>0</v>
      </c>
      <c r="C360">
        <f>NOT('hospitalityq-nil'!C360="")*(OR(NOT(IFERROR(AND(INT('hospitalityq-nil'!C360)='hospitalityq-nil'!C360,'hospitalityq-nil'!C360&gt;=2018-50,'hospitalityq-nil'!C360&lt;=2018+50),FALSE)),SUMPRODUCT(--(TRIM('hospitalityq-nil'!C6:C360)=TRIM('hospitalityq-nil'!C360)),--(TRIM('hospitalityq-nil'!D6:D360)=TRIM('hospitalityq-nil'!D360)))&gt;1))</f>
        <v>0</v>
      </c>
      <c r="D360">
        <f>NOT('hospitalityq-nil'!D360="")*(OR(COUNTIF(reference!$C$144:$C$155,TRIM(LEFT('hospitalityq-nil'!D360,FIND(":",'hospitalityq-nil'!D360&amp;":")-1))&amp;":*")=0,SUMPRODUCT(--(TRIM('hospitalityq-nil'!C6:C360)=TRIM('hospitalityq-nil'!C360)),--(TRIM('hospitalityq-nil'!D6:D360)=TRIM('hospitalityq-nil'!D360)))&gt;1))</f>
        <v>0</v>
      </c>
    </row>
    <row r="361" spans="1:4" x14ac:dyDescent="0.25">
      <c r="A361">
        <f t="shared" si="5"/>
        <v>0</v>
      </c>
      <c r="C361">
        <f>NOT('hospitalityq-nil'!C361="")*(OR(NOT(IFERROR(AND(INT('hospitalityq-nil'!C361)='hospitalityq-nil'!C361,'hospitalityq-nil'!C361&gt;=2018-50,'hospitalityq-nil'!C361&lt;=2018+50),FALSE)),SUMPRODUCT(--(TRIM('hospitalityq-nil'!C6:C361)=TRIM('hospitalityq-nil'!C361)),--(TRIM('hospitalityq-nil'!D6:D361)=TRIM('hospitalityq-nil'!D361)))&gt;1))</f>
        <v>0</v>
      </c>
      <c r="D361">
        <f>NOT('hospitalityq-nil'!D361="")*(OR(COUNTIF(reference!$C$144:$C$155,TRIM(LEFT('hospitalityq-nil'!D361,FIND(":",'hospitalityq-nil'!D361&amp;":")-1))&amp;":*")=0,SUMPRODUCT(--(TRIM('hospitalityq-nil'!C6:C361)=TRIM('hospitalityq-nil'!C361)),--(TRIM('hospitalityq-nil'!D6:D361)=TRIM('hospitalityq-nil'!D361)))&gt;1))</f>
        <v>0</v>
      </c>
    </row>
    <row r="362" spans="1:4" x14ac:dyDescent="0.25">
      <c r="A362">
        <f t="shared" si="5"/>
        <v>0</v>
      </c>
      <c r="C362">
        <f>NOT('hospitalityq-nil'!C362="")*(OR(NOT(IFERROR(AND(INT('hospitalityq-nil'!C362)='hospitalityq-nil'!C362,'hospitalityq-nil'!C362&gt;=2018-50,'hospitalityq-nil'!C362&lt;=2018+50),FALSE)),SUMPRODUCT(--(TRIM('hospitalityq-nil'!C6:C362)=TRIM('hospitalityq-nil'!C362)),--(TRIM('hospitalityq-nil'!D6:D362)=TRIM('hospitalityq-nil'!D362)))&gt;1))</f>
        <v>0</v>
      </c>
      <c r="D362">
        <f>NOT('hospitalityq-nil'!D362="")*(OR(COUNTIF(reference!$C$144:$C$155,TRIM(LEFT('hospitalityq-nil'!D362,FIND(":",'hospitalityq-nil'!D362&amp;":")-1))&amp;":*")=0,SUMPRODUCT(--(TRIM('hospitalityq-nil'!C6:C362)=TRIM('hospitalityq-nil'!C362)),--(TRIM('hospitalityq-nil'!D6:D362)=TRIM('hospitalityq-nil'!D362)))&gt;1))</f>
        <v>0</v>
      </c>
    </row>
    <row r="363" spans="1:4" x14ac:dyDescent="0.25">
      <c r="A363">
        <f t="shared" si="5"/>
        <v>0</v>
      </c>
      <c r="C363">
        <f>NOT('hospitalityq-nil'!C363="")*(OR(NOT(IFERROR(AND(INT('hospitalityq-nil'!C363)='hospitalityq-nil'!C363,'hospitalityq-nil'!C363&gt;=2018-50,'hospitalityq-nil'!C363&lt;=2018+50),FALSE)),SUMPRODUCT(--(TRIM('hospitalityq-nil'!C6:C363)=TRIM('hospitalityq-nil'!C363)),--(TRIM('hospitalityq-nil'!D6:D363)=TRIM('hospitalityq-nil'!D363)))&gt;1))</f>
        <v>0</v>
      </c>
      <c r="D363">
        <f>NOT('hospitalityq-nil'!D363="")*(OR(COUNTIF(reference!$C$144:$C$155,TRIM(LEFT('hospitalityq-nil'!D363,FIND(":",'hospitalityq-nil'!D363&amp;":")-1))&amp;":*")=0,SUMPRODUCT(--(TRIM('hospitalityq-nil'!C6:C363)=TRIM('hospitalityq-nil'!C363)),--(TRIM('hospitalityq-nil'!D6:D363)=TRIM('hospitalityq-nil'!D363)))&gt;1))</f>
        <v>0</v>
      </c>
    </row>
    <row r="364" spans="1:4" x14ac:dyDescent="0.25">
      <c r="A364">
        <f t="shared" si="5"/>
        <v>0</v>
      </c>
      <c r="C364">
        <f>NOT('hospitalityq-nil'!C364="")*(OR(NOT(IFERROR(AND(INT('hospitalityq-nil'!C364)='hospitalityq-nil'!C364,'hospitalityq-nil'!C364&gt;=2018-50,'hospitalityq-nil'!C364&lt;=2018+50),FALSE)),SUMPRODUCT(--(TRIM('hospitalityq-nil'!C6:C364)=TRIM('hospitalityq-nil'!C364)),--(TRIM('hospitalityq-nil'!D6:D364)=TRIM('hospitalityq-nil'!D364)))&gt;1))</f>
        <v>0</v>
      </c>
      <c r="D364">
        <f>NOT('hospitalityq-nil'!D364="")*(OR(COUNTIF(reference!$C$144:$C$155,TRIM(LEFT('hospitalityq-nil'!D364,FIND(":",'hospitalityq-nil'!D364&amp;":")-1))&amp;":*")=0,SUMPRODUCT(--(TRIM('hospitalityq-nil'!C6:C364)=TRIM('hospitalityq-nil'!C364)),--(TRIM('hospitalityq-nil'!D6:D364)=TRIM('hospitalityq-nil'!D364)))&gt;1))</f>
        <v>0</v>
      </c>
    </row>
    <row r="365" spans="1:4" x14ac:dyDescent="0.25">
      <c r="A365">
        <f t="shared" si="5"/>
        <v>0</v>
      </c>
      <c r="C365">
        <f>NOT('hospitalityq-nil'!C365="")*(OR(NOT(IFERROR(AND(INT('hospitalityq-nil'!C365)='hospitalityq-nil'!C365,'hospitalityq-nil'!C365&gt;=2018-50,'hospitalityq-nil'!C365&lt;=2018+50),FALSE)),SUMPRODUCT(--(TRIM('hospitalityq-nil'!C6:C365)=TRIM('hospitalityq-nil'!C365)),--(TRIM('hospitalityq-nil'!D6:D365)=TRIM('hospitalityq-nil'!D365)))&gt;1))</f>
        <v>0</v>
      </c>
      <c r="D365">
        <f>NOT('hospitalityq-nil'!D365="")*(OR(COUNTIF(reference!$C$144:$C$155,TRIM(LEFT('hospitalityq-nil'!D365,FIND(":",'hospitalityq-nil'!D365&amp;":")-1))&amp;":*")=0,SUMPRODUCT(--(TRIM('hospitalityq-nil'!C6:C365)=TRIM('hospitalityq-nil'!C365)),--(TRIM('hospitalityq-nil'!D6:D365)=TRIM('hospitalityq-nil'!D365)))&gt;1))</f>
        <v>0</v>
      </c>
    </row>
    <row r="366" spans="1:4" x14ac:dyDescent="0.25">
      <c r="A366">
        <f t="shared" si="5"/>
        <v>0</v>
      </c>
      <c r="C366">
        <f>NOT('hospitalityq-nil'!C366="")*(OR(NOT(IFERROR(AND(INT('hospitalityq-nil'!C366)='hospitalityq-nil'!C366,'hospitalityq-nil'!C366&gt;=2018-50,'hospitalityq-nil'!C366&lt;=2018+50),FALSE)),SUMPRODUCT(--(TRIM('hospitalityq-nil'!C6:C366)=TRIM('hospitalityq-nil'!C366)),--(TRIM('hospitalityq-nil'!D6:D366)=TRIM('hospitalityq-nil'!D366)))&gt;1))</f>
        <v>0</v>
      </c>
      <c r="D366">
        <f>NOT('hospitalityq-nil'!D366="")*(OR(COUNTIF(reference!$C$144:$C$155,TRIM(LEFT('hospitalityq-nil'!D366,FIND(":",'hospitalityq-nil'!D366&amp;":")-1))&amp;":*")=0,SUMPRODUCT(--(TRIM('hospitalityq-nil'!C6:C366)=TRIM('hospitalityq-nil'!C366)),--(TRIM('hospitalityq-nil'!D6:D366)=TRIM('hospitalityq-nil'!D366)))&gt;1))</f>
        <v>0</v>
      </c>
    </row>
    <row r="367" spans="1:4" x14ac:dyDescent="0.25">
      <c r="A367">
        <f t="shared" si="5"/>
        <v>0</v>
      </c>
      <c r="C367">
        <f>NOT('hospitalityq-nil'!C367="")*(OR(NOT(IFERROR(AND(INT('hospitalityq-nil'!C367)='hospitalityq-nil'!C367,'hospitalityq-nil'!C367&gt;=2018-50,'hospitalityq-nil'!C367&lt;=2018+50),FALSE)),SUMPRODUCT(--(TRIM('hospitalityq-nil'!C6:C367)=TRIM('hospitalityq-nil'!C367)),--(TRIM('hospitalityq-nil'!D6:D367)=TRIM('hospitalityq-nil'!D367)))&gt;1))</f>
        <v>0</v>
      </c>
      <c r="D367">
        <f>NOT('hospitalityq-nil'!D367="")*(OR(COUNTIF(reference!$C$144:$C$155,TRIM(LEFT('hospitalityq-nil'!D367,FIND(":",'hospitalityq-nil'!D367&amp;":")-1))&amp;":*")=0,SUMPRODUCT(--(TRIM('hospitalityq-nil'!C6:C367)=TRIM('hospitalityq-nil'!C367)),--(TRIM('hospitalityq-nil'!D6:D367)=TRIM('hospitalityq-nil'!D367)))&gt;1))</f>
        <v>0</v>
      </c>
    </row>
    <row r="368" spans="1:4" x14ac:dyDescent="0.25">
      <c r="A368">
        <f t="shared" si="5"/>
        <v>0</v>
      </c>
      <c r="C368">
        <f>NOT('hospitalityq-nil'!C368="")*(OR(NOT(IFERROR(AND(INT('hospitalityq-nil'!C368)='hospitalityq-nil'!C368,'hospitalityq-nil'!C368&gt;=2018-50,'hospitalityq-nil'!C368&lt;=2018+50),FALSE)),SUMPRODUCT(--(TRIM('hospitalityq-nil'!C6:C368)=TRIM('hospitalityq-nil'!C368)),--(TRIM('hospitalityq-nil'!D6:D368)=TRIM('hospitalityq-nil'!D368)))&gt;1))</f>
        <v>0</v>
      </c>
      <c r="D368">
        <f>NOT('hospitalityq-nil'!D368="")*(OR(COUNTIF(reference!$C$144:$C$155,TRIM(LEFT('hospitalityq-nil'!D368,FIND(":",'hospitalityq-nil'!D368&amp;":")-1))&amp;":*")=0,SUMPRODUCT(--(TRIM('hospitalityq-nil'!C6:C368)=TRIM('hospitalityq-nil'!C368)),--(TRIM('hospitalityq-nil'!D6:D368)=TRIM('hospitalityq-nil'!D368)))&gt;1))</f>
        <v>0</v>
      </c>
    </row>
    <row r="369" spans="1:4" x14ac:dyDescent="0.25">
      <c r="A369">
        <f t="shared" si="5"/>
        <v>0</v>
      </c>
      <c r="C369">
        <f>NOT('hospitalityq-nil'!C369="")*(OR(NOT(IFERROR(AND(INT('hospitalityq-nil'!C369)='hospitalityq-nil'!C369,'hospitalityq-nil'!C369&gt;=2018-50,'hospitalityq-nil'!C369&lt;=2018+50),FALSE)),SUMPRODUCT(--(TRIM('hospitalityq-nil'!C6:C369)=TRIM('hospitalityq-nil'!C369)),--(TRIM('hospitalityq-nil'!D6:D369)=TRIM('hospitalityq-nil'!D369)))&gt;1))</f>
        <v>0</v>
      </c>
      <c r="D369">
        <f>NOT('hospitalityq-nil'!D369="")*(OR(COUNTIF(reference!$C$144:$C$155,TRIM(LEFT('hospitalityq-nil'!D369,FIND(":",'hospitalityq-nil'!D369&amp;":")-1))&amp;":*")=0,SUMPRODUCT(--(TRIM('hospitalityq-nil'!C6:C369)=TRIM('hospitalityq-nil'!C369)),--(TRIM('hospitalityq-nil'!D6:D369)=TRIM('hospitalityq-nil'!D369)))&gt;1))</f>
        <v>0</v>
      </c>
    </row>
    <row r="370" spans="1:4" x14ac:dyDescent="0.25">
      <c r="A370">
        <f t="shared" si="5"/>
        <v>0</v>
      </c>
      <c r="C370">
        <f>NOT('hospitalityq-nil'!C370="")*(OR(NOT(IFERROR(AND(INT('hospitalityq-nil'!C370)='hospitalityq-nil'!C370,'hospitalityq-nil'!C370&gt;=2018-50,'hospitalityq-nil'!C370&lt;=2018+50),FALSE)),SUMPRODUCT(--(TRIM('hospitalityq-nil'!C6:C370)=TRIM('hospitalityq-nil'!C370)),--(TRIM('hospitalityq-nil'!D6:D370)=TRIM('hospitalityq-nil'!D370)))&gt;1))</f>
        <v>0</v>
      </c>
      <c r="D370">
        <f>NOT('hospitalityq-nil'!D370="")*(OR(COUNTIF(reference!$C$144:$C$155,TRIM(LEFT('hospitalityq-nil'!D370,FIND(":",'hospitalityq-nil'!D370&amp;":")-1))&amp;":*")=0,SUMPRODUCT(--(TRIM('hospitalityq-nil'!C6:C370)=TRIM('hospitalityq-nil'!C370)),--(TRIM('hospitalityq-nil'!D6:D370)=TRIM('hospitalityq-nil'!D370)))&gt;1))</f>
        <v>0</v>
      </c>
    </row>
    <row r="371" spans="1:4" x14ac:dyDescent="0.25">
      <c r="A371">
        <f t="shared" si="5"/>
        <v>0</v>
      </c>
      <c r="C371">
        <f>NOT('hospitalityq-nil'!C371="")*(OR(NOT(IFERROR(AND(INT('hospitalityq-nil'!C371)='hospitalityq-nil'!C371,'hospitalityq-nil'!C371&gt;=2018-50,'hospitalityq-nil'!C371&lt;=2018+50),FALSE)),SUMPRODUCT(--(TRIM('hospitalityq-nil'!C6:C371)=TRIM('hospitalityq-nil'!C371)),--(TRIM('hospitalityq-nil'!D6:D371)=TRIM('hospitalityq-nil'!D371)))&gt;1))</f>
        <v>0</v>
      </c>
      <c r="D371">
        <f>NOT('hospitalityq-nil'!D371="")*(OR(COUNTIF(reference!$C$144:$C$155,TRIM(LEFT('hospitalityq-nil'!D371,FIND(":",'hospitalityq-nil'!D371&amp;":")-1))&amp;":*")=0,SUMPRODUCT(--(TRIM('hospitalityq-nil'!C6:C371)=TRIM('hospitalityq-nil'!C371)),--(TRIM('hospitalityq-nil'!D6:D371)=TRIM('hospitalityq-nil'!D371)))&gt;1))</f>
        <v>0</v>
      </c>
    </row>
    <row r="372" spans="1:4" x14ac:dyDescent="0.25">
      <c r="A372">
        <f t="shared" si="5"/>
        <v>0</v>
      </c>
      <c r="C372">
        <f>NOT('hospitalityq-nil'!C372="")*(OR(NOT(IFERROR(AND(INT('hospitalityq-nil'!C372)='hospitalityq-nil'!C372,'hospitalityq-nil'!C372&gt;=2018-50,'hospitalityq-nil'!C372&lt;=2018+50),FALSE)),SUMPRODUCT(--(TRIM('hospitalityq-nil'!C6:C372)=TRIM('hospitalityq-nil'!C372)),--(TRIM('hospitalityq-nil'!D6:D372)=TRIM('hospitalityq-nil'!D372)))&gt;1))</f>
        <v>0</v>
      </c>
      <c r="D372">
        <f>NOT('hospitalityq-nil'!D372="")*(OR(COUNTIF(reference!$C$144:$C$155,TRIM(LEFT('hospitalityq-nil'!D372,FIND(":",'hospitalityq-nil'!D372&amp;":")-1))&amp;":*")=0,SUMPRODUCT(--(TRIM('hospitalityq-nil'!C6:C372)=TRIM('hospitalityq-nil'!C372)),--(TRIM('hospitalityq-nil'!D6:D372)=TRIM('hospitalityq-nil'!D372)))&gt;1))</f>
        <v>0</v>
      </c>
    </row>
    <row r="373" spans="1:4" x14ac:dyDescent="0.25">
      <c r="A373">
        <f t="shared" si="5"/>
        <v>0</v>
      </c>
      <c r="C373">
        <f>NOT('hospitalityq-nil'!C373="")*(OR(NOT(IFERROR(AND(INT('hospitalityq-nil'!C373)='hospitalityq-nil'!C373,'hospitalityq-nil'!C373&gt;=2018-50,'hospitalityq-nil'!C373&lt;=2018+50),FALSE)),SUMPRODUCT(--(TRIM('hospitalityq-nil'!C6:C373)=TRIM('hospitalityq-nil'!C373)),--(TRIM('hospitalityq-nil'!D6:D373)=TRIM('hospitalityq-nil'!D373)))&gt;1))</f>
        <v>0</v>
      </c>
      <c r="D373">
        <f>NOT('hospitalityq-nil'!D373="")*(OR(COUNTIF(reference!$C$144:$C$155,TRIM(LEFT('hospitalityq-nil'!D373,FIND(":",'hospitalityq-nil'!D373&amp;":")-1))&amp;":*")=0,SUMPRODUCT(--(TRIM('hospitalityq-nil'!C6:C373)=TRIM('hospitalityq-nil'!C373)),--(TRIM('hospitalityq-nil'!D6:D373)=TRIM('hospitalityq-nil'!D373)))&gt;1))</f>
        <v>0</v>
      </c>
    </row>
    <row r="374" spans="1:4" x14ac:dyDescent="0.25">
      <c r="A374">
        <f t="shared" si="5"/>
        <v>0</v>
      </c>
      <c r="C374">
        <f>NOT('hospitalityq-nil'!C374="")*(OR(NOT(IFERROR(AND(INT('hospitalityq-nil'!C374)='hospitalityq-nil'!C374,'hospitalityq-nil'!C374&gt;=2018-50,'hospitalityq-nil'!C374&lt;=2018+50),FALSE)),SUMPRODUCT(--(TRIM('hospitalityq-nil'!C6:C374)=TRIM('hospitalityq-nil'!C374)),--(TRIM('hospitalityq-nil'!D6:D374)=TRIM('hospitalityq-nil'!D374)))&gt;1))</f>
        <v>0</v>
      </c>
      <c r="D374">
        <f>NOT('hospitalityq-nil'!D374="")*(OR(COUNTIF(reference!$C$144:$C$155,TRIM(LEFT('hospitalityq-nil'!D374,FIND(":",'hospitalityq-nil'!D374&amp;":")-1))&amp;":*")=0,SUMPRODUCT(--(TRIM('hospitalityq-nil'!C6:C374)=TRIM('hospitalityq-nil'!C374)),--(TRIM('hospitalityq-nil'!D6:D374)=TRIM('hospitalityq-nil'!D374)))&gt;1))</f>
        <v>0</v>
      </c>
    </row>
    <row r="375" spans="1:4" x14ac:dyDescent="0.25">
      <c r="A375">
        <f t="shared" si="5"/>
        <v>0</v>
      </c>
      <c r="C375">
        <f>NOT('hospitalityq-nil'!C375="")*(OR(NOT(IFERROR(AND(INT('hospitalityq-nil'!C375)='hospitalityq-nil'!C375,'hospitalityq-nil'!C375&gt;=2018-50,'hospitalityq-nil'!C375&lt;=2018+50),FALSE)),SUMPRODUCT(--(TRIM('hospitalityq-nil'!C6:C375)=TRIM('hospitalityq-nil'!C375)),--(TRIM('hospitalityq-nil'!D6:D375)=TRIM('hospitalityq-nil'!D375)))&gt;1))</f>
        <v>0</v>
      </c>
      <c r="D375">
        <f>NOT('hospitalityq-nil'!D375="")*(OR(COUNTIF(reference!$C$144:$C$155,TRIM(LEFT('hospitalityq-nil'!D375,FIND(":",'hospitalityq-nil'!D375&amp;":")-1))&amp;":*")=0,SUMPRODUCT(--(TRIM('hospitalityq-nil'!C6:C375)=TRIM('hospitalityq-nil'!C375)),--(TRIM('hospitalityq-nil'!D6:D375)=TRIM('hospitalityq-nil'!D375)))&gt;1))</f>
        <v>0</v>
      </c>
    </row>
    <row r="376" spans="1:4" x14ac:dyDescent="0.25">
      <c r="A376">
        <f t="shared" si="5"/>
        <v>0</v>
      </c>
      <c r="C376">
        <f>NOT('hospitalityq-nil'!C376="")*(OR(NOT(IFERROR(AND(INT('hospitalityq-nil'!C376)='hospitalityq-nil'!C376,'hospitalityq-nil'!C376&gt;=2018-50,'hospitalityq-nil'!C376&lt;=2018+50),FALSE)),SUMPRODUCT(--(TRIM('hospitalityq-nil'!C6:C376)=TRIM('hospitalityq-nil'!C376)),--(TRIM('hospitalityq-nil'!D6:D376)=TRIM('hospitalityq-nil'!D376)))&gt;1))</f>
        <v>0</v>
      </c>
      <c r="D376">
        <f>NOT('hospitalityq-nil'!D376="")*(OR(COUNTIF(reference!$C$144:$C$155,TRIM(LEFT('hospitalityq-nil'!D376,FIND(":",'hospitalityq-nil'!D376&amp;":")-1))&amp;":*")=0,SUMPRODUCT(--(TRIM('hospitalityq-nil'!C6:C376)=TRIM('hospitalityq-nil'!C376)),--(TRIM('hospitalityq-nil'!D6:D376)=TRIM('hospitalityq-nil'!D376)))&gt;1))</f>
        <v>0</v>
      </c>
    </row>
    <row r="377" spans="1:4" x14ac:dyDescent="0.25">
      <c r="A377">
        <f t="shared" si="5"/>
        <v>0</v>
      </c>
      <c r="C377">
        <f>NOT('hospitalityq-nil'!C377="")*(OR(NOT(IFERROR(AND(INT('hospitalityq-nil'!C377)='hospitalityq-nil'!C377,'hospitalityq-nil'!C377&gt;=2018-50,'hospitalityq-nil'!C377&lt;=2018+50),FALSE)),SUMPRODUCT(--(TRIM('hospitalityq-nil'!C6:C377)=TRIM('hospitalityq-nil'!C377)),--(TRIM('hospitalityq-nil'!D6:D377)=TRIM('hospitalityq-nil'!D377)))&gt;1))</f>
        <v>0</v>
      </c>
      <c r="D377">
        <f>NOT('hospitalityq-nil'!D377="")*(OR(COUNTIF(reference!$C$144:$C$155,TRIM(LEFT('hospitalityq-nil'!D377,FIND(":",'hospitalityq-nil'!D377&amp;":")-1))&amp;":*")=0,SUMPRODUCT(--(TRIM('hospitalityq-nil'!C6:C377)=TRIM('hospitalityq-nil'!C377)),--(TRIM('hospitalityq-nil'!D6:D377)=TRIM('hospitalityq-nil'!D377)))&gt;1))</f>
        <v>0</v>
      </c>
    </row>
    <row r="378" spans="1:4" x14ac:dyDescent="0.25">
      <c r="A378">
        <f t="shared" si="5"/>
        <v>0</v>
      </c>
      <c r="C378">
        <f>NOT('hospitalityq-nil'!C378="")*(OR(NOT(IFERROR(AND(INT('hospitalityq-nil'!C378)='hospitalityq-nil'!C378,'hospitalityq-nil'!C378&gt;=2018-50,'hospitalityq-nil'!C378&lt;=2018+50),FALSE)),SUMPRODUCT(--(TRIM('hospitalityq-nil'!C6:C378)=TRIM('hospitalityq-nil'!C378)),--(TRIM('hospitalityq-nil'!D6:D378)=TRIM('hospitalityq-nil'!D378)))&gt;1))</f>
        <v>0</v>
      </c>
      <c r="D378">
        <f>NOT('hospitalityq-nil'!D378="")*(OR(COUNTIF(reference!$C$144:$C$155,TRIM(LEFT('hospitalityq-nil'!D378,FIND(":",'hospitalityq-nil'!D378&amp;":")-1))&amp;":*")=0,SUMPRODUCT(--(TRIM('hospitalityq-nil'!C6:C378)=TRIM('hospitalityq-nil'!C378)),--(TRIM('hospitalityq-nil'!D6:D378)=TRIM('hospitalityq-nil'!D378)))&gt;1))</f>
        <v>0</v>
      </c>
    </row>
    <row r="379" spans="1:4" x14ac:dyDescent="0.25">
      <c r="A379">
        <f t="shared" si="5"/>
        <v>0</v>
      </c>
      <c r="C379">
        <f>NOT('hospitalityq-nil'!C379="")*(OR(NOT(IFERROR(AND(INT('hospitalityq-nil'!C379)='hospitalityq-nil'!C379,'hospitalityq-nil'!C379&gt;=2018-50,'hospitalityq-nil'!C379&lt;=2018+50),FALSE)),SUMPRODUCT(--(TRIM('hospitalityq-nil'!C6:C379)=TRIM('hospitalityq-nil'!C379)),--(TRIM('hospitalityq-nil'!D6:D379)=TRIM('hospitalityq-nil'!D379)))&gt;1))</f>
        <v>0</v>
      </c>
      <c r="D379">
        <f>NOT('hospitalityq-nil'!D379="")*(OR(COUNTIF(reference!$C$144:$C$155,TRIM(LEFT('hospitalityq-nil'!D379,FIND(":",'hospitalityq-nil'!D379&amp;":")-1))&amp;":*")=0,SUMPRODUCT(--(TRIM('hospitalityq-nil'!C6:C379)=TRIM('hospitalityq-nil'!C379)),--(TRIM('hospitalityq-nil'!D6:D379)=TRIM('hospitalityq-nil'!D379)))&gt;1))</f>
        <v>0</v>
      </c>
    </row>
    <row r="380" spans="1:4" x14ac:dyDescent="0.25">
      <c r="A380">
        <f t="shared" si="5"/>
        <v>0</v>
      </c>
      <c r="C380">
        <f>NOT('hospitalityq-nil'!C380="")*(OR(NOT(IFERROR(AND(INT('hospitalityq-nil'!C380)='hospitalityq-nil'!C380,'hospitalityq-nil'!C380&gt;=2018-50,'hospitalityq-nil'!C380&lt;=2018+50),FALSE)),SUMPRODUCT(--(TRIM('hospitalityq-nil'!C6:C380)=TRIM('hospitalityq-nil'!C380)),--(TRIM('hospitalityq-nil'!D6:D380)=TRIM('hospitalityq-nil'!D380)))&gt;1))</f>
        <v>0</v>
      </c>
      <c r="D380">
        <f>NOT('hospitalityq-nil'!D380="")*(OR(COUNTIF(reference!$C$144:$C$155,TRIM(LEFT('hospitalityq-nil'!D380,FIND(":",'hospitalityq-nil'!D380&amp;":")-1))&amp;":*")=0,SUMPRODUCT(--(TRIM('hospitalityq-nil'!C6:C380)=TRIM('hospitalityq-nil'!C380)),--(TRIM('hospitalityq-nil'!D6:D380)=TRIM('hospitalityq-nil'!D380)))&gt;1))</f>
        <v>0</v>
      </c>
    </row>
    <row r="381" spans="1:4" x14ac:dyDescent="0.25">
      <c r="A381">
        <f t="shared" si="5"/>
        <v>0</v>
      </c>
      <c r="C381">
        <f>NOT('hospitalityq-nil'!C381="")*(OR(NOT(IFERROR(AND(INT('hospitalityq-nil'!C381)='hospitalityq-nil'!C381,'hospitalityq-nil'!C381&gt;=2018-50,'hospitalityq-nil'!C381&lt;=2018+50),FALSE)),SUMPRODUCT(--(TRIM('hospitalityq-nil'!C6:C381)=TRIM('hospitalityq-nil'!C381)),--(TRIM('hospitalityq-nil'!D6:D381)=TRIM('hospitalityq-nil'!D381)))&gt;1))</f>
        <v>0</v>
      </c>
      <c r="D381">
        <f>NOT('hospitalityq-nil'!D381="")*(OR(COUNTIF(reference!$C$144:$C$155,TRIM(LEFT('hospitalityq-nil'!D381,FIND(":",'hospitalityq-nil'!D381&amp;":")-1))&amp;":*")=0,SUMPRODUCT(--(TRIM('hospitalityq-nil'!C6:C381)=TRIM('hospitalityq-nil'!C381)),--(TRIM('hospitalityq-nil'!D6:D381)=TRIM('hospitalityq-nil'!D381)))&gt;1))</f>
        <v>0</v>
      </c>
    </row>
    <row r="382" spans="1:4" x14ac:dyDescent="0.25">
      <c r="A382">
        <f t="shared" si="5"/>
        <v>0</v>
      </c>
      <c r="C382">
        <f>NOT('hospitalityq-nil'!C382="")*(OR(NOT(IFERROR(AND(INT('hospitalityq-nil'!C382)='hospitalityq-nil'!C382,'hospitalityq-nil'!C382&gt;=2018-50,'hospitalityq-nil'!C382&lt;=2018+50),FALSE)),SUMPRODUCT(--(TRIM('hospitalityq-nil'!C6:C382)=TRIM('hospitalityq-nil'!C382)),--(TRIM('hospitalityq-nil'!D6:D382)=TRIM('hospitalityq-nil'!D382)))&gt;1))</f>
        <v>0</v>
      </c>
      <c r="D382">
        <f>NOT('hospitalityq-nil'!D382="")*(OR(COUNTIF(reference!$C$144:$C$155,TRIM(LEFT('hospitalityq-nil'!D382,FIND(":",'hospitalityq-nil'!D382&amp;":")-1))&amp;":*")=0,SUMPRODUCT(--(TRIM('hospitalityq-nil'!C6:C382)=TRIM('hospitalityq-nil'!C382)),--(TRIM('hospitalityq-nil'!D6:D382)=TRIM('hospitalityq-nil'!D382)))&gt;1))</f>
        <v>0</v>
      </c>
    </row>
    <row r="383" spans="1:4" x14ac:dyDescent="0.25">
      <c r="A383">
        <f t="shared" si="5"/>
        <v>0</v>
      </c>
      <c r="C383">
        <f>NOT('hospitalityq-nil'!C383="")*(OR(NOT(IFERROR(AND(INT('hospitalityq-nil'!C383)='hospitalityq-nil'!C383,'hospitalityq-nil'!C383&gt;=2018-50,'hospitalityq-nil'!C383&lt;=2018+50),FALSE)),SUMPRODUCT(--(TRIM('hospitalityq-nil'!C6:C383)=TRIM('hospitalityq-nil'!C383)),--(TRIM('hospitalityq-nil'!D6:D383)=TRIM('hospitalityq-nil'!D383)))&gt;1))</f>
        <v>0</v>
      </c>
      <c r="D383">
        <f>NOT('hospitalityq-nil'!D383="")*(OR(COUNTIF(reference!$C$144:$C$155,TRIM(LEFT('hospitalityq-nil'!D383,FIND(":",'hospitalityq-nil'!D383&amp;":")-1))&amp;":*")=0,SUMPRODUCT(--(TRIM('hospitalityq-nil'!C6:C383)=TRIM('hospitalityq-nil'!C383)),--(TRIM('hospitalityq-nil'!D6:D383)=TRIM('hospitalityq-nil'!D383)))&gt;1))</f>
        <v>0</v>
      </c>
    </row>
    <row r="384" spans="1:4" x14ac:dyDescent="0.25">
      <c r="A384">
        <f t="shared" si="5"/>
        <v>0</v>
      </c>
      <c r="C384">
        <f>NOT('hospitalityq-nil'!C384="")*(OR(NOT(IFERROR(AND(INT('hospitalityq-nil'!C384)='hospitalityq-nil'!C384,'hospitalityq-nil'!C384&gt;=2018-50,'hospitalityq-nil'!C384&lt;=2018+50),FALSE)),SUMPRODUCT(--(TRIM('hospitalityq-nil'!C6:C384)=TRIM('hospitalityq-nil'!C384)),--(TRIM('hospitalityq-nil'!D6:D384)=TRIM('hospitalityq-nil'!D384)))&gt;1))</f>
        <v>0</v>
      </c>
      <c r="D384">
        <f>NOT('hospitalityq-nil'!D384="")*(OR(COUNTIF(reference!$C$144:$C$155,TRIM(LEFT('hospitalityq-nil'!D384,FIND(":",'hospitalityq-nil'!D384&amp;":")-1))&amp;":*")=0,SUMPRODUCT(--(TRIM('hospitalityq-nil'!C6:C384)=TRIM('hospitalityq-nil'!C384)),--(TRIM('hospitalityq-nil'!D6:D384)=TRIM('hospitalityq-nil'!D384)))&gt;1))</f>
        <v>0</v>
      </c>
    </row>
    <row r="385" spans="1:4" x14ac:dyDescent="0.25">
      <c r="A385">
        <f t="shared" si="5"/>
        <v>0</v>
      </c>
      <c r="C385">
        <f>NOT('hospitalityq-nil'!C385="")*(OR(NOT(IFERROR(AND(INT('hospitalityq-nil'!C385)='hospitalityq-nil'!C385,'hospitalityq-nil'!C385&gt;=2018-50,'hospitalityq-nil'!C385&lt;=2018+50),FALSE)),SUMPRODUCT(--(TRIM('hospitalityq-nil'!C6:C385)=TRIM('hospitalityq-nil'!C385)),--(TRIM('hospitalityq-nil'!D6:D385)=TRIM('hospitalityq-nil'!D385)))&gt;1))</f>
        <v>0</v>
      </c>
      <c r="D385">
        <f>NOT('hospitalityq-nil'!D385="")*(OR(COUNTIF(reference!$C$144:$C$155,TRIM(LEFT('hospitalityq-nil'!D385,FIND(":",'hospitalityq-nil'!D385&amp;":")-1))&amp;":*")=0,SUMPRODUCT(--(TRIM('hospitalityq-nil'!C6:C385)=TRIM('hospitalityq-nil'!C385)),--(TRIM('hospitalityq-nil'!D6:D385)=TRIM('hospitalityq-nil'!D385)))&gt;1))</f>
        <v>0</v>
      </c>
    </row>
    <row r="386" spans="1:4" x14ac:dyDescent="0.25">
      <c r="A386">
        <f t="shared" si="5"/>
        <v>0</v>
      </c>
      <c r="C386">
        <f>NOT('hospitalityq-nil'!C386="")*(OR(NOT(IFERROR(AND(INT('hospitalityq-nil'!C386)='hospitalityq-nil'!C386,'hospitalityq-nil'!C386&gt;=2018-50,'hospitalityq-nil'!C386&lt;=2018+50),FALSE)),SUMPRODUCT(--(TRIM('hospitalityq-nil'!C6:C386)=TRIM('hospitalityq-nil'!C386)),--(TRIM('hospitalityq-nil'!D6:D386)=TRIM('hospitalityq-nil'!D386)))&gt;1))</f>
        <v>0</v>
      </c>
      <c r="D386">
        <f>NOT('hospitalityq-nil'!D386="")*(OR(COUNTIF(reference!$C$144:$C$155,TRIM(LEFT('hospitalityq-nil'!D386,FIND(":",'hospitalityq-nil'!D386&amp;":")-1))&amp;":*")=0,SUMPRODUCT(--(TRIM('hospitalityq-nil'!C6:C386)=TRIM('hospitalityq-nil'!C386)),--(TRIM('hospitalityq-nil'!D6:D386)=TRIM('hospitalityq-nil'!D386)))&gt;1))</f>
        <v>0</v>
      </c>
    </row>
    <row r="387" spans="1:4" x14ac:dyDescent="0.25">
      <c r="A387">
        <f t="shared" si="5"/>
        <v>0</v>
      </c>
      <c r="C387">
        <f>NOT('hospitalityq-nil'!C387="")*(OR(NOT(IFERROR(AND(INT('hospitalityq-nil'!C387)='hospitalityq-nil'!C387,'hospitalityq-nil'!C387&gt;=2018-50,'hospitalityq-nil'!C387&lt;=2018+50),FALSE)),SUMPRODUCT(--(TRIM('hospitalityq-nil'!C6:C387)=TRIM('hospitalityq-nil'!C387)),--(TRIM('hospitalityq-nil'!D6:D387)=TRIM('hospitalityq-nil'!D387)))&gt;1))</f>
        <v>0</v>
      </c>
      <c r="D387">
        <f>NOT('hospitalityq-nil'!D387="")*(OR(COUNTIF(reference!$C$144:$C$155,TRIM(LEFT('hospitalityq-nil'!D387,FIND(":",'hospitalityq-nil'!D387&amp;":")-1))&amp;":*")=0,SUMPRODUCT(--(TRIM('hospitalityq-nil'!C6:C387)=TRIM('hospitalityq-nil'!C387)),--(TRIM('hospitalityq-nil'!D6:D387)=TRIM('hospitalityq-nil'!D387)))&gt;1))</f>
        <v>0</v>
      </c>
    </row>
    <row r="388" spans="1:4" x14ac:dyDescent="0.25">
      <c r="A388">
        <f t="shared" si="5"/>
        <v>0</v>
      </c>
      <c r="C388">
        <f>NOT('hospitalityq-nil'!C388="")*(OR(NOT(IFERROR(AND(INT('hospitalityq-nil'!C388)='hospitalityq-nil'!C388,'hospitalityq-nil'!C388&gt;=2018-50,'hospitalityq-nil'!C388&lt;=2018+50),FALSE)),SUMPRODUCT(--(TRIM('hospitalityq-nil'!C6:C388)=TRIM('hospitalityq-nil'!C388)),--(TRIM('hospitalityq-nil'!D6:D388)=TRIM('hospitalityq-nil'!D388)))&gt;1))</f>
        <v>0</v>
      </c>
      <c r="D388">
        <f>NOT('hospitalityq-nil'!D388="")*(OR(COUNTIF(reference!$C$144:$C$155,TRIM(LEFT('hospitalityq-nil'!D388,FIND(":",'hospitalityq-nil'!D388&amp;":")-1))&amp;":*")=0,SUMPRODUCT(--(TRIM('hospitalityq-nil'!C6:C388)=TRIM('hospitalityq-nil'!C388)),--(TRIM('hospitalityq-nil'!D6:D388)=TRIM('hospitalityq-nil'!D388)))&gt;1))</f>
        <v>0</v>
      </c>
    </row>
    <row r="389" spans="1:4" x14ac:dyDescent="0.25">
      <c r="A389">
        <f t="shared" si="5"/>
        <v>0</v>
      </c>
      <c r="C389">
        <f>NOT('hospitalityq-nil'!C389="")*(OR(NOT(IFERROR(AND(INT('hospitalityq-nil'!C389)='hospitalityq-nil'!C389,'hospitalityq-nil'!C389&gt;=2018-50,'hospitalityq-nil'!C389&lt;=2018+50),FALSE)),SUMPRODUCT(--(TRIM('hospitalityq-nil'!C6:C389)=TRIM('hospitalityq-nil'!C389)),--(TRIM('hospitalityq-nil'!D6:D389)=TRIM('hospitalityq-nil'!D389)))&gt;1))</f>
        <v>0</v>
      </c>
      <c r="D389">
        <f>NOT('hospitalityq-nil'!D389="")*(OR(COUNTIF(reference!$C$144:$C$155,TRIM(LEFT('hospitalityq-nil'!D389,FIND(":",'hospitalityq-nil'!D389&amp;":")-1))&amp;":*")=0,SUMPRODUCT(--(TRIM('hospitalityq-nil'!C6:C389)=TRIM('hospitalityq-nil'!C389)),--(TRIM('hospitalityq-nil'!D6:D389)=TRIM('hospitalityq-nil'!D389)))&gt;1))</f>
        <v>0</v>
      </c>
    </row>
    <row r="390" spans="1:4" x14ac:dyDescent="0.25">
      <c r="A390">
        <f t="shared" ref="A390:A453" si="6">IFERROR(MATCH(TRUE,INDEX(C390:D390&lt;&gt;0,),)+2,0)</f>
        <v>0</v>
      </c>
      <c r="C390">
        <f>NOT('hospitalityq-nil'!C390="")*(OR(NOT(IFERROR(AND(INT('hospitalityq-nil'!C390)='hospitalityq-nil'!C390,'hospitalityq-nil'!C390&gt;=2018-50,'hospitalityq-nil'!C390&lt;=2018+50),FALSE)),SUMPRODUCT(--(TRIM('hospitalityq-nil'!C6:C390)=TRIM('hospitalityq-nil'!C390)),--(TRIM('hospitalityq-nil'!D6:D390)=TRIM('hospitalityq-nil'!D390)))&gt;1))</f>
        <v>0</v>
      </c>
      <c r="D390">
        <f>NOT('hospitalityq-nil'!D390="")*(OR(COUNTIF(reference!$C$144:$C$155,TRIM(LEFT('hospitalityq-nil'!D390,FIND(":",'hospitalityq-nil'!D390&amp;":")-1))&amp;":*")=0,SUMPRODUCT(--(TRIM('hospitalityq-nil'!C6:C390)=TRIM('hospitalityq-nil'!C390)),--(TRIM('hospitalityq-nil'!D6:D390)=TRIM('hospitalityq-nil'!D390)))&gt;1))</f>
        <v>0</v>
      </c>
    </row>
    <row r="391" spans="1:4" x14ac:dyDescent="0.25">
      <c r="A391">
        <f t="shared" si="6"/>
        <v>0</v>
      </c>
      <c r="C391">
        <f>NOT('hospitalityq-nil'!C391="")*(OR(NOT(IFERROR(AND(INT('hospitalityq-nil'!C391)='hospitalityq-nil'!C391,'hospitalityq-nil'!C391&gt;=2018-50,'hospitalityq-nil'!C391&lt;=2018+50),FALSE)),SUMPRODUCT(--(TRIM('hospitalityq-nil'!C6:C391)=TRIM('hospitalityq-nil'!C391)),--(TRIM('hospitalityq-nil'!D6:D391)=TRIM('hospitalityq-nil'!D391)))&gt;1))</f>
        <v>0</v>
      </c>
      <c r="D391">
        <f>NOT('hospitalityq-nil'!D391="")*(OR(COUNTIF(reference!$C$144:$C$155,TRIM(LEFT('hospitalityq-nil'!D391,FIND(":",'hospitalityq-nil'!D391&amp;":")-1))&amp;":*")=0,SUMPRODUCT(--(TRIM('hospitalityq-nil'!C6:C391)=TRIM('hospitalityq-nil'!C391)),--(TRIM('hospitalityq-nil'!D6:D391)=TRIM('hospitalityq-nil'!D391)))&gt;1))</f>
        <v>0</v>
      </c>
    </row>
    <row r="392" spans="1:4" x14ac:dyDescent="0.25">
      <c r="A392">
        <f t="shared" si="6"/>
        <v>0</v>
      </c>
      <c r="C392">
        <f>NOT('hospitalityq-nil'!C392="")*(OR(NOT(IFERROR(AND(INT('hospitalityq-nil'!C392)='hospitalityq-nil'!C392,'hospitalityq-nil'!C392&gt;=2018-50,'hospitalityq-nil'!C392&lt;=2018+50),FALSE)),SUMPRODUCT(--(TRIM('hospitalityq-nil'!C6:C392)=TRIM('hospitalityq-nil'!C392)),--(TRIM('hospitalityq-nil'!D6:D392)=TRIM('hospitalityq-nil'!D392)))&gt;1))</f>
        <v>0</v>
      </c>
      <c r="D392">
        <f>NOT('hospitalityq-nil'!D392="")*(OR(COUNTIF(reference!$C$144:$C$155,TRIM(LEFT('hospitalityq-nil'!D392,FIND(":",'hospitalityq-nil'!D392&amp;":")-1))&amp;":*")=0,SUMPRODUCT(--(TRIM('hospitalityq-nil'!C6:C392)=TRIM('hospitalityq-nil'!C392)),--(TRIM('hospitalityq-nil'!D6:D392)=TRIM('hospitalityq-nil'!D392)))&gt;1))</f>
        <v>0</v>
      </c>
    </row>
    <row r="393" spans="1:4" x14ac:dyDescent="0.25">
      <c r="A393">
        <f t="shared" si="6"/>
        <v>0</v>
      </c>
      <c r="C393">
        <f>NOT('hospitalityq-nil'!C393="")*(OR(NOT(IFERROR(AND(INT('hospitalityq-nil'!C393)='hospitalityq-nil'!C393,'hospitalityq-nil'!C393&gt;=2018-50,'hospitalityq-nil'!C393&lt;=2018+50),FALSE)),SUMPRODUCT(--(TRIM('hospitalityq-nil'!C6:C393)=TRIM('hospitalityq-nil'!C393)),--(TRIM('hospitalityq-nil'!D6:D393)=TRIM('hospitalityq-nil'!D393)))&gt;1))</f>
        <v>0</v>
      </c>
      <c r="D393">
        <f>NOT('hospitalityq-nil'!D393="")*(OR(COUNTIF(reference!$C$144:$C$155,TRIM(LEFT('hospitalityq-nil'!D393,FIND(":",'hospitalityq-nil'!D393&amp;":")-1))&amp;":*")=0,SUMPRODUCT(--(TRIM('hospitalityq-nil'!C6:C393)=TRIM('hospitalityq-nil'!C393)),--(TRIM('hospitalityq-nil'!D6:D393)=TRIM('hospitalityq-nil'!D393)))&gt;1))</f>
        <v>0</v>
      </c>
    </row>
    <row r="394" spans="1:4" x14ac:dyDescent="0.25">
      <c r="A394">
        <f t="shared" si="6"/>
        <v>0</v>
      </c>
      <c r="C394">
        <f>NOT('hospitalityq-nil'!C394="")*(OR(NOT(IFERROR(AND(INT('hospitalityq-nil'!C394)='hospitalityq-nil'!C394,'hospitalityq-nil'!C394&gt;=2018-50,'hospitalityq-nil'!C394&lt;=2018+50),FALSE)),SUMPRODUCT(--(TRIM('hospitalityq-nil'!C6:C394)=TRIM('hospitalityq-nil'!C394)),--(TRIM('hospitalityq-nil'!D6:D394)=TRIM('hospitalityq-nil'!D394)))&gt;1))</f>
        <v>0</v>
      </c>
      <c r="D394">
        <f>NOT('hospitalityq-nil'!D394="")*(OR(COUNTIF(reference!$C$144:$C$155,TRIM(LEFT('hospitalityq-nil'!D394,FIND(":",'hospitalityq-nil'!D394&amp;":")-1))&amp;":*")=0,SUMPRODUCT(--(TRIM('hospitalityq-nil'!C6:C394)=TRIM('hospitalityq-nil'!C394)),--(TRIM('hospitalityq-nil'!D6:D394)=TRIM('hospitalityq-nil'!D394)))&gt;1))</f>
        <v>0</v>
      </c>
    </row>
    <row r="395" spans="1:4" x14ac:dyDescent="0.25">
      <c r="A395">
        <f t="shared" si="6"/>
        <v>0</v>
      </c>
      <c r="C395">
        <f>NOT('hospitalityq-nil'!C395="")*(OR(NOT(IFERROR(AND(INT('hospitalityq-nil'!C395)='hospitalityq-nil'!C395,'hospitalityq-nil'!C395&gt;=2018-50,'hospitalityq-nil'!C395&lt;=2018+50),FALSE)),SUMPRODUCT(--(TRIM('hospitalityq-nil'!C6:C395)=TRIM('hospitalityq-nil'!C395)),--(TRIM('hospitalityq-nil'!D6:D395)=TRIM('hospitalityq-nil'!D395)))&gt;1))</f>
        <v>0</v>
      </c>
      <c r="D395">
        <f>NOT('hospitalityq-nil'!D395="")*(OR(COUNTIF(reference!$C$144:$C$155,TRIM(LEFT('hospitalityq-nil'!D395,FIND(":",'hospitalityq-nil'!D395&amp;":")-1))&amp;":*")=0,SUMPRODUCT(--(TRIM('hospitalityq-nil'!C6:C395)=TRIM('hospitalityq-nil'!C395)),--(TRIM('hospitalityq-nil'!D6:D395)=TRIM('hospitalityq-nil'!D395)))&gt;1))</f>
        <v>0</v>
      </c>
    </row>
    <row r="396" spans="1:4" x14ac:dyDescent="0.25">
      <c r="A396">
        <f t="shared" si="6"/>
        <v>0</v>
      </c>
      <c r="C396">
        <f>NOT('hospitalityq-nil'!C396="")*(OR(NOT(IFERROR(AND(INT('hospitalityq-nil'!C396)='hospitalityq-nil'!C396,'hospitalityq-nil'!C396&gt;=2018-50,'hospitalityq-nil'!C396&lt;=2018+50),FALSE)),SUMPRODUCT(--(TRIM('hospitalityq-nil'!C6:C396)=TRIM('hospitalityq-nil'!C396)),--(TRIM('hospitalityq-nil'!D6:D396)=TRIM('hospitalityq-nil'!D396)))&gt;1))</f>
        <v>0</v>
      </c>
      <c r="D396">
        <f>NOT('hospitalityq-nil'!D396="")*(OR(COUNTIF(reference!$C$144:$C$155,TRIM(LEFT('hospitalityq-nil'!D396,FIND(":",'hospitalityq-nil'!D396&amp;":")-1))&amp;":*")=0,SUMPRODUCT(--(TRIM('hospitalityq-nil'!C6:C396)=TRIM('hospitalityq-nil'!C396)),--(TRIM('hospitalityq-nil'!D6:D396)=TRIM('hospitalityq-nil'!D396)))&gt;1))</f>
        <v>0</v>
      </c>
    </row>
    <row r="397" spans="1:4" x14ac:dyDescent="0.25">
      <c r="A397">
        <f t="shared" si="6"/>
        <v>0</v>
      </c>
      <c r="C397">
        <f>NOT('hospitalityq-nil'!C397="")*(OR(NOT(IFERROR(AND(INT('hospitalityq-nil'!C397)='hospitalityq-nil'!C397,'hospitalityq-nil'!C397&gt;=2018-50,'hospitalityq-nil'!C397&lt;=2018+50),FALSE)),SUMPRODUCT(--(TRIM('hospitalityq-nil'!C6:C397)=TRIM('hospitalityq-nil'!C397)),--(TRIM('hospitalityq-nil'!D6:D397)=TRIM('hospitalityq-nil'!D397)))&gt;1))</f>
        <v>0</v>
      </c>
      <c r="D397">
        <f>NOT('hospitalityq-nil'!D397="")*(OR(COUNTIF(reference!$C$144:$C$155,TRIM(LEFT('hospitalityq-nil'!D397,FIND(":",'hospitalityq-nil'!D397&amp;":")-1))&amp;":*")=0,SUMPRODUCT(--(TRIM('hospitalityq-nil'!C6:C397)=TRIM('hospitalityq-nil'!C397)),--(TRIM('hospitalityq-nil'!D6:D397)=TRIM('hospitalityq-nil'!D397)))&gt;1))</f>
        <v>0</v>
      </c>
    </row>
    <row r="398" spans="1:4" x14ac:dyDescent="0.25">
      <c r="A398">
        <f t="shared" si="6"/>
        <v>0</v>
      </c>
      <c r="C398">
        <f>NOT('hospitalityq-nil'!C398="")*(OR(NOT(IFERROR(AND(INT('hospitalityq-nil'!C398)='hospitalityq-nil'!C398,'hospitalityq-nil'!C398&gt;=2018-50,'hospitalityq-nil'!C398&lt;=2018+50),FALSE)),SUMPRODUCT(--(TRIM('hospitalityq-nil'!C6:C398)=TRIM('hospitalityq-nil'!C398)),--(TRIM('hospitalityq-nil'!D6:D398)=TRIM('hospitalityq-nil'!D398)))&gt;1))</f>
        <v>0</v>
      </c>
      <c r="D398">
        <f>NOT('hospitalityq-nil'!D398="")*(OR(COUNTIF(reference!$C$144:$C$155,TRIM(LEFT('hospitalityq-nil'!D398,FIND(":",'hospitalityq-nil'!D398&amp;":")-1))&amp;":*")=0,SUMPRODUCT(--(TRIM('hospitalityq-nil'!C6:C398)=TRIM('hospitalityq-nil'!C398)),--(TRIM('hospitalityq-nil'!D6:D398)=TRIM('hospitalityq-nil'!D398)))&gt;1))</f>
        <v>0</v>
      </c>
    </row>
    <row r="399" spans="1:4" x14ac:dyDescent="0.25">
      <c r="A399">
        <f t="shared" si="6"/>
        <v>0</v>
      </c>
      <c r="C399">
        <f>NOT('hospitalityq-nil'!C399="")*(OR(NOT(IFERROR(AND(INT('hospitalityq-nil'!C399)='hospitalityq-nil'!C399,'hospitalityq-nil'!C399&gt;=2018-50,'hospitalityq-nil'!C399&lt;=2018+50),FALSE)),SUMPRODUCT(--(TRIM('hospitalityq-nil'!C6:C399)=TRIM('hospitalityq-nil'!C399)),--(TRIM('hospitalityq-nil'!D6:D399)=TRIM('hospitalityq-nil'!D399)))&gt;1))</f>
        <v>0</v>
      </c>
      <c r="D399">
        <f>NOT('hospitalityq-nil'!D399="")*(OR(COUNTIF(reference!$C$144:$C$155,TRIM(LEFT('hospitalityq-nil'!D399,FIND(":",'hospitalityq-nil'!D399&amp;":")-1))&amp;":*")=0,SUMPRODUCT(--(TRIM('hospitalityq-nil'!C6:C399)=TRIM('hospitalityq-nil'!C399)),--(TRIM('hospitalityq-nil'!D6:D399)=TRIM('hospitalityq-nil'!D399)))&gt;1))</f>
        <v>0</v>
      </c>
    </row>
    <row r="400" spans="1:4" x14ac:dyDescent="0.25">
      <c r="A400">
        <f t="shared" si="6"/>
        <v>0</v>
      </c>
      <c r="C400">
        <f>NOT('hospitalityq-nil'!C400="")*(OR(NOT(IFERROR(AND(INT('hospitalityq-nil'!C400)='hospitalityq-nil'!C400,'hospitalityq-nil'!C400&gt;=2018-50,'hospitalityq-nil'!C400&lt;=2018+50),FALSE)),SUMPRODUCT(--(TRIM('hospitalityq-nil'!C6:C400)=TRIM('hospitalityq-nil'!C400)),--(TRIM('hospitalityq-nil'!D6:D400)=TRIM('hospitalityq-nil'!D400)))&gt;1))</f>
        <v>0</v>
      </c>
      <c r="D400">
        <f>NOT('hospitalityq-nil'!D400="")*(OR(COUNTIF(reference!$C$144:$C$155,TRIM(LEFT('hospitalityq-nil'!D400,FIND(":",'hospitalityq-nil'!D400&amp;":")-1))&amp;":*")=0,SUMPRODUCT(--(TRIM('hospitalityq-nil'!C6:C400)=TRIM('hospitalityq-nil'!C400)),--(TRIM('hospitalityq-nil'!D6:D400)=TRIM('hospitalityq-nil'!D400)))&gt;1))</f>
        <v>0</v>
      </c>
    </row>
    <row r="401" spans="1:4" x14ac:dyDescent="0.25">
      <c r="A401">
        <f t="shared" si="6"/>
        <v>0</v>
      </c>
      <c r="C401">
        <f>NOT('hospitalityq-nil'!C401="")*(OR(NOT(IFERROR(AND(INT('hospitalityq-nil'!C401)='hospitalityq-nil'!C401,'hospitalityq-nil'!C401&gt;=2018-50,'hospitalityq-nil'!C401&lt;=2018+50),FALSE)),SUMPRODUCT(--(TRIM('hospitalityq-nil'!C6:C401)=TRIM('hospitalityq-nil'!C401)),--(TRIM('hospitalityq-nil'!D6:D401)=TRIM('hospitalityq-nil'!D401)))&gt;1))</f>
        <v>0</v>
      </c>
      <c r="D401">
        <f>NOT('hospitalityq-nil'!D401="")*(OR(COUNTIF(reference!$C$144:$C$155,TRIM(LEFT('hospitalityq-nil'!D401,FIND(":",'hospitalityq-nil'!D401&amp;":")-1))&amp;":*")=0,SUMPRODUCT(--(TRIM('hospitalityq-nil'!C6:C401)=TRIM('hospitalityq-nil'!C401)),--(TRIM('hospitalityq-nil'!D6:D401)=TRIM('hospitalityq-nil'!D401)))&gt;1))</f>
        <v>0</v>
      </c>
    </row>
    <row r="402" spans="1:4" x14ac:dyDescent="0.25">
      <c r="A402">
        <f t="shared" si="6"/>
        <v>0</v>
      </c>
      <c r="C402">
        <f>NOT('hospitalityq-nil'!C402="")*(OR(NOT(IFERROR(AND(INT('hospitalityq-nil'!C402)='hospitalityq-nil'!C402,'hospitalityq-nil'!C402&gt;=2018-50,'hospitalityq-nil'!C402&lt;=2018+50),FALSE)),SUMPRODUCT(--(TRIM('hospitalityq-nil'!C6:C402)=TRIM('hospitalityq-nil'!C402)),--(TRIM('hospitalityq-nil'!D6:D402)=TRIM('hospitalityq-nil'!D402)))&gt;1))</f>
        <v>0</v>
      </c>
      <c r="D402">
        <f>NOT('hospitalityq-nil'!D402="")*(OR(COUNTIF(reference!$C$144:$C$155,TRIM(LEFT('hospitalityq-nil'!D402,FIND(":",'hospitalityq-nil'!D402&amp;":")-1))&amp;":*")=0,SUMPRODUCT(--(TRIM('hospitalityq-nil'!C6:C402)=TRIM('hospitalityq-nil'!C402)),--(TRIM('hospitalityq-nil'!D6:D402)=TRIM('hospitalityq-nil'!D402)))&gt;1))</f>
        <v>0</v>
      </c>
    </row>
    <row r="403" spans="1:4" x14ac:dyDescent="0.25">
      <c r="A403">
        <f t="shared" si="6"/>
        <v>0</v>
      </c>
      <c r="C403">
        <f>NOT('hospitalityq-nil'!C403="")*(OR(NOT(IFERROR(AND(INT('hospitalityq-nil'!C403)='hospitalityq-nil'!C403,'hospitalityq-nil'!C403&gt;=2018-50,'hospitalityq-nil'!C403&lt;=2018+50),FALSE)),SUMPRODUCT(--(TRIM('hospitalityq-nil'!C6:C403)=TRIM('hospitalityq-nil'!C403)),--(TRIM('hospitalityq-nil'!D6:D403)=TRIM('hospitalityq-nil'!D403)))&gt;1))</f>
        <v>0</v>
      </c>
      <c r="D403">
        <f>NOT('hospitalityq-nil'!D403="")*(OR(COUNTIF(reference!$C$144:$C$155,TRIM(LEFT('hospitalityq-nil'!D403,FIND(":",'hospitalityq-nil'!D403&amp;":")-1))&amp;":*")=0,SUMPRODUCT(--(TRIM('hospitalityq-nil'!C6:C403)=TRIM('hospitalityq-nil'!C403)),--(TRIM('hospitalityq-nil'!D6:D403)=TRIM('hospitalityq-nil'!D403)))&gt;1))</f>
        <v>0</v>
      </c>
    </row>
    <row r="404" spans="1:4" x14ac:dyDescent="0.25">
      <c r="A404">
        <f t="shared" si="6"/>
        <v>0</v>
      </c>
      <c r="C404">
        <f>NOT('hospitalityq-nil'!C404="")*(OR(NOT(IFERROR(AND(INT('hospitalityq-nil'!C404)='hospitalityq-nil'!C404,'hospitalityq-nil'!C404&gt;=2018-50,'hospitalityq-nil'!C404&lt;=2018+50),FALSE)),SUMPRODUCT(--(TRIM('hospitalityq-nil'!C6:C404)=TRIM('hospitalityq-nil'!C404)),--(TRIM('hospitalityq-nil'!D6:D404)=TRIM('hospitalityq-nil'!D404)))&gt;1))</f>
        <v>0</v>
      </c>
      <c r="D404">
        <f>NOT('hospitalityq-nil'!D404="")*(OR(COUNTIF(reference!$C$144:$C$155,TRIM(LEFT('hospitalityq-nil'!D404,FIND(":",'hospitalityq-nil'!D404&amp;":")-1))&amp;":*")=0,SUMPRODUCT(--(TRIM('hospitalityq-nil'!C6:C404)=TRIM('hospitalityq-nil'!C404)),--(TRIM('hospitalityq-nil'!D6:D404)=TRIM('hospitalityq-nil'!D404)))&gt;1))</f>
        <v>0</v>
      </c>
    </row>
    <row r="405" spans="1:4" x14ac:dyDescent="0.25">
      <c r="A405">
        <f t="shared" si="6"/>
        <v>0</v>
      </c>
      <c r="C405">
        <f>NOT('hospitalityq-nil'!C405="")*(OR(NOT(IFERROR(AND(INT('hospitalityq-nil'!C405)='hospitalityq-nil'!C405,'hospitalityq-nil'!C405&gt;=2018-50,'hospitalityq-nil'!C405&lt;=2018+50),FALSE)),SUMPRODUCT(--(TRIM('hospitalityq-nil'!C6:C405)=TRIM('hospitalityq-nil'!C405)),--(TRIM('hospitalityq-nil'!D6:D405)=TRIM('hospitalityq-nil'!D405)))&gt;1))</f>
        <v>0</v>
      </c>
      <c r="D405">
        <f>NOT('hospitalityq-nil'!D405="")*(OR(COUNTIF(reference!$C$144:$C$155,TRIM(LEFT('hospitalityq-nil'!D405,FIND(":",'hospitalityq-nil'!D405&amp;":")-1))&amp;":*")=0,SUMPRODUCT(--(TRIM('hospitalityq-nil'!C6:C405)=TRIM('hospitalityq-nil'!C405)),--(TRIM('hospitalityq-nil'!D6:D405)=TRIM('hospitalityq-nil'!D405)))&gt;1))</f>
        <v>0</v>
      </c>
    </row>
    <row r="406" spans="1:4" x14ac:dyDescent="0.25">
      <c r="A406">
        <f t="shared" si="6"/>
        <v>0</v>
      </c>
      <c r="C406">
        <f>NOT('hospitalityq-nil'!C406="")*(OR(NOT(IFERROR(AND(INT('hospitalityq-nil'!C406)='hospitalityq-nil'!C406,'hospitalityq-nil'!C406&gt;=2018-50,'hospitalityq-nil'!C406&lt;=2018+50),FALSE)),SUMPRODUCT(--(TRIM('hospitalityq-nil'!C6:C406)=TRIM('hospitalityq-nil'!C406)),--(TRIM('hospitalityq-nil'!D6:D406)=TRIM('hospitalityq-nil'!D406)))&gt;1))</f>
        <v>0</v>
      </c>
      <c r="D406">
        <f>NOT('hospitalityq-nil'!D406="")*(OR(COUNTIF(reference!$C$144:$C$155,TRIM(LEFT('hospitalityq-nil'!D406,FIND(":",'hospitalityq-nil'!D406&amp;":")-1))&amp;":*")=0,SUMPRODUCT(--(TRIM('hospitalityq-nil'!C6:C406)=TRIM('hospitalityq-nil'!C406)),--(TRIM('hospitalityq-nil'!D6:D406)=TRIM('hospitalityq-nil'!D406)))&gt;1))</f>
        <v>0</v>
      </c>
    </row>
    <row r="407" spans="1:4" x14ac:dyDescent="0.25">
      <c r="A407">
        <f t="shared" si="6"/>
        <v>0</v>
      </c>
      <c r="C407">
        <f>NOT('hospitalityq-nil'!C407="")*(OR(NOT(IFERROR(AND(INT('hospitalityq-nil'!C407)='hospitalityq-nil'!C407,'hospitalityq-nil'!C407&gt;=2018-50,'hospitalityq-nil'!C407&lt;=2018+50),FALSE)),SUMPRODUCT(--(TRIM('hospitalityq-nil'!C6:C407)=TRIM('hospitalityq-nil'!C407)),--(TRIM('hospitalityq-nil'!D6:D407)=TRIM('hospitalityq-nil'!D407)))&gt;1))</f>
        <v>0</v>
      </c>
      <c r="D407">
        <f>NOT('hospitalityq-nil'!D407="")*(OR(COUNTIF(reference!$C$144:$C$155,TRIM(LEFT('hospitalityq-nil'!D407,FIND(":",'hospitalityq-nil'!D407&amp;":")-1))&amp;":*")=0,SUMPRODUCT(--(TRIM('hospitalityq-nil'!C6:C407)=TRIM('hospitalityq-nil'!C407)),--(TRIM('hospitalityq-nil'!D6:D407)=TRIM('hospitalityq-nil'!D407)))&gt;1))</f>
        <v>0</v>
      </c>
    </row>
    <row r="408" spans="1:4" x14ac:dyDescent="0.25">
      <c r="A408">
        <f t="shared" si="6"/>
        <v>0</v>
      </c>
      <c r="C408">
        <f>NOT('hospitalityq-nil'!C408="")*(OR(NOT(IFERROR(AND(INT('hospitalityq-nil'!C408)='hospitalityq-nil'!C408,'hospitalityq-nil'!C408&gt;=2018-50,'hospitalityq-nil'!C408&lt;=2018+50),FALSE)),SUMPRODUCT(--(TRIM('hospitalityq-nil'!C6:C408)=TRIM('hospitalityq-nil'!C408)),--(TRIM('hospitalityq-nil'!D6:D408)=TRIM('hospitalityq-nil'!D408)))&gt;1))</f>
        <v>0</v>
      </c>
      <c r="D408">
        <f>NOT('hospitalityq-nil'!D408="")*(OR(COUNTIF(reference!$C$144:$C$155,TRIM(LEFT('hospitalityq-nil'!D408,FIND(":",'hospitalityq-nil'!D408&amp;":")-1))&amp;":*")=0,SUMPRODUCT(--(TRIM('hospitalityq-nil'!C6:C408)=TRIM('hospitalityq-nil'!C408)),--(TRIM('hospitalityq-nil'!D6:D408)=TRIM('hospitalityq-nil'!D408)))&gt;1))</f>
        <v>0</v>
      </c>
    </row>
    <row r="409" spans="1:4" x14ac:dyDescent="0.25">
      <c r="A409">
        <f t="shared" si="6"/>
        <v>0</v>
      </c>
      <c r="C409">
        <f>NOT('hospitalityq-nil'!C409="")*(OR(NOT(IFERROR(AND(INT('hospitalityq-nil'!C409)='hospitalityq-nil'!C409,'hospitalityq-nil'!C409&gt;=2018-50,'hospitalityq-nil'!C409&lt;=2018+50),FALSE)),SUMPRODUCT(--(TRIM('hospitalityq-nil'!C6:C409)=TRIM('hospitalityq-nil'!C409)),--(TRIM('hospitalityq-nil'!D6:D409)=TRIM('hospitalityq-nil'!D409)))&gt;1))</f>
        <v>0</v>
      </c>
      <c r="D409">
        <f>NOT('hospitalityq-nil'!D409="")*(OR(COUNTIF(reference!$C$144:$C$155,TRIM(LEFT('hospitalityq-nil'!D409,FIND(":",'hospitalityq-nil'!D409&amp;":")-1))&amp;":*")=0,SUMPRODUCT(--(TRIM('hospitalityq-nil'!C6:C409)=TRIM('hospitalityq-nil'!C409)),--(TRIM('hospitalityq-nil'!D6:D409)=TRIM('hospitalityq-nil'!D409)))&gt;1))</f>
        <v>0</v>
      </c>
    </row>
    <row r="410" spans="1:4" x14ac:dyDescent="0.25">
      <c r="A410">
        <f t="shared" si="6"/>
        <v>0</v>
      </c>
      <c r="C410">
        <f>NOT('hospitalityq-nil'!C410="")*(OR(NOT(IFERROR(AND(INT('hospitalityq-nil'!C410)='hospitalityq-nil'!C410,'hospitalityq-nil'!C410&gt;=2018-50,'hospitalityq-nil'!C410&lt;=2018+50),FALSE)),SUMPRODUCT(--(TRIM('hospitalityq-nil'!C6:C410)=TRIM('hospitalityq-nil'!C410)),--(TRIM('hospitalityq-nil'!D6:D410)=TRIM('hospitalityq-nil'!D410)))&gt;1))</f>
        <v>0</v>
      </c>
      <c r="D410">
        <f>NOT('hospitalityq-nil'!D410="")*(OR(COUNTIF(reference!$C$144:$C$155,TRIM(LEFT('hospitalityq-nil'!D410,FIND(":",'hospitalityq-nil'!D410&amp;":")-1))&amp;":*")=0,SUMPRODUCT(--(TRIM('hospitalityq-nil'!C6:C410)=TRIM('hospitalityq-nil'!C410)),--(TRIM('hospitalityq-nil'!D6:D410)=TRIM('hospitalityq-nil'!D410)))&gt;1))</f>
        <v>0</v>
      </c>
    </row>
    <row r="411" spans="1:4" x14ac:dyDescent="0.25">
      <c r="A411">
        <f t="shared" si="6"/>
        <v>0</v>
      </c>
      <c r="C411">
        <f>NOT('hospitalityq-nil'!C411="")*(OR(NOT(IFERROR(AND(INT('hospitalityq-nil'!C411)='hospitalityq-nil'!C411,'hospitalityq-nil'!C411&gt;=2018-50,'hospitalityq-nil'!C411&lt;=2018+50),FALSE)),SUMPRODUCT(--(TRIM('hospitalityq-nil'!C6:C411)=TRIM('hospitalityq-nil'!C411)),--(TRIM('hospitalityq-nil'!D6:D411)=TRIM('hospitalityq-nil'!D411)))&gt;1))</f>
        <v>0</v>
      </c>
      <c r="D411">
        <f>NOT('hospitalityq-nil'!D411="")*(OR(COUNTIF(reference!$C$144:$C$155,TRIM(LEFT('hospitalityq-nil'!D411,FIND(":",'hospitalityq-nil'!D411&amp;":")-1))&amp;":*")=0,SUMPRODUCT(--(TRIM('hospitalityq-nil'!C6:C411)=TRIM('hospitalityq-nil'!C411)),--(TRIM('hospitalityq-nil'!D6:D411)=TRIM('hospitalityq-nil'!D411)))&gt;1))</f>
        <v>0</v>
      </c>
    </row>
    <row r="412" spans="1:4" x14ac:dyDescent="0.25">
      <c r="A412">
        <f t="shared" si="6"/>
        <v>0</v>
      </c>
      <c r="C412">
        <f>NOT('hospitalityq-nil'!C412="")*(OR(NOT(IFERROR(AND(INT('hospitalityq-nil'!C412)='hospitalityq-nil'!C412,'hospitalityq-nil'!C412&gt;=2018-50,'hospitalityq-nil'!C412&lt;=2018+50),FALSE)),SUMPRODUCT(--(TRIM('hospitalityq-nil'!C6:C412)=TRIM('hospitalityq-nil'!C412)),--(TRIM('hospitalityq-nil'!D6:D412)=TRIM('hospitalityq-nil'!D412)))&gt;1))</f>
        <v>0</v>
      </c>
      <c r="D412">
        <f>NOT('hospitalityq-nil'!D412="")*(OR(COUNTIF(reference!$C$144:$C$155,TRIM(LEFT('hospitalityq-nil'!D412,FIND(":",'hospitalityq-nil'!D412&amp;":")-1))&amp;":*")=0,SUMPRODUCT(--(TRIM('hospitalityq-nil'!C6:C412)=TRIM('hospitalityq-nil'!C412)),--(TRIM('hospitalityq-nil'!D6:D412)=TRIM('hospitalityq-nil'!D412)))&gt;1))</f>
        <v>0</v>
      </c>
    </row>
    <row r="413" spans="1:4" x14ac:dyDescent="0.25">
      <c r="A413">
        <f t="shared" si="6"/>
        <v>0</v>
      </c>
      <c r="C413">
        <f>NOT('hospitalityq-nil'!C413="")*(OR(NOT(IFERROR(AND(INT('hospitalityq-nil'!C413)='hospitalityq-nil'!C413,'hospitalityq-nil'!C413&gt;=2018-50,'hospitalityq-nil'!C413&lt;=2018+50),FALSE)),SUMPRODUCT(--(TRIM('hospitalityq-nil'!C6:C413)=TRIM('hospitalityq-nil'!C413)),--(TRIM('hospitalityq-nil'!D6:D413)=TRIM('hospitalityq-nil'!D413)))&gt;1))</f>
        <v>0</v>
      </c>
      <c r="D413">
        <f>NOT('hospitalityq-nil'!D413="")*(OR(COUNTIF(reference!$C$144:$C$155,TRIM(LEFT('hospitalityq-nil'!D413,FIND(":",'hospitalityq-nil'!D413&amp;":")-1))&amp;":*")=0,SUMPRODUCT(--(TRIM('hospitalityq-nil'!C6:C413)=TRIM('hospitalityq-nil'!C413)),--(TRIM('hospitalityq-nil'!D6:D413)=TRIM('hospitalityq-nil'!D413)))&gt;1))</f>
        <v>0</v>
      </c>
    </row>
    <row r="414" spans="1:4" x14ac:dyDescent="0.25">
      <c r="A414">
        <f t="shared" si="6"/>
        <v>0</v>
      </c>
      <c r="C414">
        <f>NOT('hospitalityq-nil'!C414="")*(OR(NOT(IFERROR(AND(INT('hospitalityq-nil'!C414)='hospitalityq-nil'!C414,'hospitalityq-nil'!C414&gt;=2018-50,'hospitalityq-nil'!C414&lt;=2018+50),FALSE)),SUMPRODUCT(--(TRIM('hospitalityq-nil'!C6:C414)=TRIM('hospitalityq-nil'!C414)),--(TRIM('hospitalityq-nil'!D6:D414)=TRIM('hospitalityq-nil'!D414)))&gt;1))</f>
        <v>0</v>
      </c>
      <c r="D414">
        <f>NOT('hospitalityq-nil'!D414="")*(OR(COUNTIF(reference!$C$144:$C$155,TRIM(LEFT('hospitalityq-nil'!D414,FIND(":",'hospitalityq-nil'!D414&amp;":")-1))&amp;":*")=0,SUMPRODUCT(--(TRIM('hospitalityq-nil'!C6:C414)=TRIM('hospitalityq-nil'!C414)),--(TRIM('hospitalityq-nil'!D6:D414)=TRIM('hospitalityq-nil'!D414)))&gt;1))</f>
        <v>0</v>
      </c>
    </row>
    <row r="415" spans="1:4" x14ac:dyDescent="0.25">
      <c r="A415">
        <f t="shared" si="6"/>
        <v>0</v>
      </c>
      <c r="C415">
        <f>NOT('hospitalityq-nil'!C415="")*(OR(NOT(IFERROR(AND(INT('hospitalityq-nil'!C415)='hospitalityq-nil'!C415,'hospitalityq-nil'!C415&gt;=2018-50,'hospitalityq-nil'!C415&lt;=2018+50),FALSE)),SUMPRODUCT(--(TRIM('hospitalityq-nil'!C6:C415)=TRIM('hospitalityq-nil'!C415)),--(TRIM('hospitalityq-nil'!D6:D415)=TRIM('hospitalityq-nil'!D415)))&gt;1))</f>
        <v>0</v>
      </c>
      <c r="D415">
        <f>NOT('hospitalityq-nil'!D415="")*(OR(COUNTIF(reference!$C$144:$C$155,TRIM(LEFT('hospitalityq-nil'!D415,FIND(":",'hospitalityq-nil'!D415&amp;":")-1))&amp;":*")=0,SUMPRODUCT(--(TRIM('hospitalityq-nil'!C6:C415)=TRIM('hospitalityq-nil'!C415)),--(TRIM('hospitalityq-nil'!D6:D415)=TRIM('hospitalityq-nil'!D415)))&gt;1))</f>
        <v>0</v>
      </c>
    </row>
    <row r="416" spans="1:4" x14ac:dyDescent="0.25">
      <c r="A416">
        <f t="shared" si="6"/>
        <v>0</v>
      </c>
      <c r="C416">
        <f>NOT('hospitalityq-nil'!C416="")*(OR(NOT(IFERROR(AND(INT('hospitalityq-nil'!C416)='hospitalityq-nil'!C416,'hospitalityq-nil'!C416&gt;=2018-50,'hospitalityq-nil'!C416&lt;=2018+50),FALSE)),SUMPRODUCT(--(TRIM('hospitalityq-nil'!C6:C416)=TRIM('hospitalityq-nil'!C416)),--(TRIM('hospitalityq-nil'!D6:D416)=TRIM('hospitalityq-nil'!D416)))&gt;1))</f>
        <v>0</v>
      </c>
      <c r="D416">
        <f>NOT('hospitalityq-nil'!D416="")*(OR(COUNTIF(reference!$C$144:$C$155,TRIM(LEFT('hospitalityq-nil'!D416,FIND(":",'hospitalityq-nil'!D416&amp;":")-1))&amp;":*")=0,SUMPRODUCT(--(TRIM('hospitalityq-nil'!C6:C416)=TRIM('hospitalityq-nil'!C416)),--(TRIM('hospitalityq-nil'!D6:D416)=TRIM('hospitalityq-nil'!D416)))&gt;1))</f>
        <v>0</v>
      </c>
    </row>
    <row r="417" spans="1:4" x14ac:dyDescent="0.25">
      <c r="A417">
        <f t="shared" si="6"/>
        <v>0</v>
      </c>
      <c r="C417">
        <f>NOT('hospitalityq-nil'!C417="")*(OR(NOT(IFERROR(AND(INT('hospitalityq-nil'!C417)='hospitalityq-nil'!C417,'hospitalityq-nil'!C417&gt;=2018-50,'hospitalityq-nil'!C417&lt;=2018+50),FALSE)),SUMPRODUCT(--(TRIM('hospitalityq-nil'!C6:C417)=TRIM('hospitalityq-nil'!C417)),--(TRIM('hospitalityq-nil'!D6:D417)=TRIM('hospitalityq-nil'!D417)))&gt;1))</f>
        <v>0</v>
      </c>
      <c r="D417">
        <f>NOT('hospitalityq-nil'!D417="")*(OR(COUNTIF(reference!$C$144:$C$155,TRIM(LEFT('hospitalityq-nil'!D417,FIND(":",'hospitalityq-nil'!D417&amp;":")-1))&amp;":*")=0,SUMPRODUCT(--(TRIM('hospitalityq-nil'!C6:C417)=TRIM('hospitalityq-nil'!C417)),--(TRIM('hospitalityq-nil'!D6:D417)=TRIM('hospitalityq-nil'!D417)))&gt;1))</f>
        <v>0</v>
      </c>
    </row>
    <row r="418" spans="1:4" x14ac:dyDescent="0.25">
      <c r="A418">
        <f t="shared" si="6"/>
        <v>0</v>
      </c>
      <c r="C418">
        <f>NOT('hospitalityq-nil'!C418="")*(OR(NOT(IFERROR(AND(INT('hospitalityq-nil'!C418)='hospitalityq-nil'!C418,'hospitalityq-nil'!C418&gt;=2018-50,'hospitalityq-nil'!C418&lt;=2018+50),FALSE)),SUMPRODUCT(--(TRIM('hospitalityq-nil'!C6:C418)=TRIM('hospitalityq-nil'!C418)),--(TRIM('hospitalityq-nil'!D6:D418)=TRIM('hospitalityq-nil'!D418)))&gt;1))</f>
        <v>0</v>
      </c>
      <c r="D418">
        <f>NOT('hospitalityq-nil'!D418="")*(OR(COUNTIF(reference!$C$144:$C$155,TRIM(LEFT('hospitalityq-nil'!D418,FIND(":",'hospitalityq-nil'!D418&amp;":")-1))&amp;":*")=0,SUMPRODUCT(--(TRIM('hospitalityq-nil'!C6:C418)=TRIM('hospitalityq-nil'!C418)),--(TRIM('hospitalityq-nil'!D6:D418)=TRIM('hospitalityq-nil'!D418)))&gt;1))</f>
        <v>0</v>
      </c>
    </row>
    <row r="419" spans="1:4" x14ac:dyDescent="0.25">
      <c r="A419">
        <f t="shared" si="6"/>
        <v>0</v>
      </c>
      <c r="C419">
        <f>NOT('hospitalityq-nil'!C419="")*(OR(NOT(IFERROR(AND(INT('hospitalityq-nil'!C419)='hospitalityq-nil'!C419,'hospitalityq-nil'!C419&gt;=2018-50,'hospitalityq-nil'!C419&lt;=2018+50),FALSE)),SUMPRODUCT(--(TRIM('hospitalityq-nil'!C6:C419)=TRIM('hospitalityq-nil'!C419)),--(TRIM('hospitalityq-nil'!D6:D419)=TRIM('hospitalityq-nil'!D419)))&gt;1))</f>
        <v>0</v>
      </c>
      <c r="D419">
        <f>NOT('hospitalityq-nil'!D419="")*(OR(COUNTIF(reference!$C$144:$C$155,TRIM(LEFT('hospitalityq-nil'!D419,FIND(":",'hospitalityq-nil'!D419&amp;":")-1))&amp;":*")=0,SUMPRODUCT(--(TRIM('hospitalityq-nil'!C6:C419)=TRIM('hospitalityq-nil'!C419)),--(TRIM('hospitalityq-nil'!D6:D419)=TRIM('hospitalityq-nil'!D419)))&gt;1))</f>
        <v>0</v>
      </c>
    </row>
    <row r="420" spans="1:4" x14ac:dyDescent="0.25">
      <c r="A420">
        <f t="shared" si="6"/>
        <v>0</v>
      </c>
      <c r="C420">
        <f>NOT('hospitalityq-nil'!C420="")*(OR(NOT(IFERROR(AND(INT('hospitalityq-nil'!C420)='hospitalityq-nil'!C420,'hospitalityq-nil'!C420&gt;=2018-50,'hospitalityq-nil'!C420&lt;=2018+50),FALSE)),SUMPRODUCT(--(TRIM('hospitalityq-nil'!C6:C420)=TRIM('hospitalityq-nil'!C420)),--(TRIM('hospitalityq-nil'!D6:D420)=TRIM('hospitalityq-nil'!D420)))&gt;1))</f>
        <v>0</v>
      </c>
      <c r="D420">
        <f>NOT('hospitalityq-nil'!D420="")*(OR(COUNTIF(reference!$C$144:$C$155,TRIM(LEFT('hospitalityq-nil'!D420,FIND(":",'hospitalityq-nil'!D420&amp;":")-1))&amp;":*")=0,SUMPRODUCT(--(TRIM('hospitalityq-nil'!C6:C420)=TRIM('hospitalityq-nil'!C420)),--(TRIM('hospitalityq-nil'!D6:D420)=TRIM('hospitalityq-nil'!D420)))&gt;1))</f>
        <v>0</v>
      </c>
    </row>
    <row r="421" spans="1:4" x14ac:dyDescent="0.25">
      <c r="A421">
        <f t="shared" si="6"/>
        <v>0</v>
      </c>
      <c r="C421">
        <f>NOT('hospitalityq-nil'!C421="")*(OR(NOT(IFERROR(AND(INT('hospitalityq-nil'!C421)='hospitalityq-nil'!C421,'hospitalityq-nil'!C421&gt;=2018-50,'hospitalityq-nil'!C421&lt;=2018+50),FALSE)),SUMPRODUCT(--(TRIM('hospitalityq-nil'!C6:C421)=TRIM('hospitalityq-nil'!C421)),--(TRIM('hospitalityq-nil'!D6:D421)=TRIM('hospitalityq-nil'!D421)))&gt;1))</f>
        <v>0</v>
      </c>
      <c r="D421">
        <f>NOT('hospitalityq-nil'!D421="")*(OR(COUNTIF(reference!$C$144:$C$155,TRIM(LEFT('hospitalityq-nil'!D421,FIND(":",'hospitalityq-nil'!D421&amp;":")-1))&amp;":*")=0,SUMPRODUCT(--(TRIM('hospitalityq-nil'!C6:C421)=TRIM('hospitalityq-nil'!C421)),--(TRIM('hospitalityq-nil'!D6:D421)=TRIM('hospitalityq-nil'!D421)))&gt;1))</f>
        <v>0</v>
      </c>
    </row>
    <row r="422" spans="1:4" x14ac:dyDescent="0.25">
      <c r="A422">
        <f t="shared" si="6"/>
        <v>0</v>
      </c>
      <c r="C422">
        <f>NOT('hospitalityq-nil'!C422="")*(OR(NOT(IFERROR(AND(INT('hospitalityq-nil'!C422)='hospitalityq-nil'!C422,'hospitalityq-nil'!C422&gt;=2018-50,'hospitalityq-nil'!C422&lt;=2018+50),FALSE)),SUMPRODUCT(--(TRIM('hospitalityq-nil'!C6:C422)=TRIM('hospitalityq-nil'!C422)),--(TRIM('hospitalityq-nil'!D6:D422)=TRIM('hospitalityq-nil'!D422)))&gt;1))</f>
        <v>0</v>
      </c>
      <c r="D422">
        <f>NOT('hospitalityq-nil'!D422="")*(OR(COUNTIF(reference!$C$144:$C$155,TRIM(LEFT('hospitalityq-nil'!D422,FIND(":",'hospitalityq-nil'!D422&amp;":")-1))&amp;":*")=0,SUMPRODUCT(--(TRIM('hospitalityq-nil'!C6:C422)=TRIM('hospitalityq-nil'!C422)),--(TRIM('hospitalityq-nil'!D6:D422)=TRIM('hospitalityq-nil'!D422)))&gt;1))</f>
        <v>0</v>
      </c>
    </row>
    <row r="423" spans="1:4" x14ac:dyDescent="0.25">
      <c r="A423">
        <f t="shared" si="6"/>
        <v>0</v>
      </c>
      <c r="C423">
        <f>NOT('hospitalityq-nil'!C423="")*(OR(NOT(IFERROR(AND(INT('hospitalityq-nil'!C423)='hospitalityq-nil'!C423,'hospitalityq-nil'!C423&gt;=2018-50,'hospitalityq-nil'!C423&lt;=2018+50),FALSE)),SUMPRODUCT(--(TRIM('hospitalityq-nil'!C6:C423)=TRIM('hospitalityq-nil'!C423)),--(TRIM('hospitalityq-nil'!D6:D423)=TRIM('hospitalityq-nil'!D423)))&gt;1))</f>
        <v>0</v>
      </c>
      <c r="D423">
        <f>NOT('hospitalityq-nil'!D423="")*(OR(COUNTIF(reference!$C$144:$C$155,TRIM(LEFT('hospitalityq-nil'!D423,FIND(":",'hospitalityq-nil'!D423&amp;":")-1))&amp;":*")=0,SUMPRODUCT(--(TRIM('hospitalityq-nil'!C6:C423)=TRIM('hospitalityq-nil'!C423)),--(TRIM('hospitalityq-nil'!D6:D423)=TRIM('hospitalityq-nil'!D423)))&gt;1))</f>
        <v>0</v>
      </c>
    </row>
    <row r="424" spans="1:4" x14ac:dyDescent="0.25">
      <c r="A424">
        <f t="shared" si="6"/>
        <v>0</v>
      </c>
      <c r="C424">
        <f>NOT('hospitalityq-nil'!C424="")*(OR(NOT(IFERROR(AND(INT('hospitalityq-nil'!C424)='hospitalityq-nil'!C424,'hospitalityq-nil'!C424&gt;=2018-50,'hospitalityq-nil'!C424&lt;=2018+50),FALSE)),SUMPRODUCT(--(TRIM('hospitalityq-nil'!C6:C424)=TRIM('hospitalityq-nil'!C424)),--(TRIM('hospitalityq-nil'!D6:D424)=TRIM('hospitalityq-nil'!D424)))&gt;1))</f>
        <v>0</v>
      </c>
      <c r="D424">
        <f>NOT('hospitalityq-nil'!D424="")*(OR(COUNTIF(reference!$C$144:$C$155,TRIM(LEFT('hospitalityq-nil'!D424,FIND(":",'hospitalityq-nil'!D424&amp;":")-1))&amp;":*")=0,SUMPRODUCT(--(TRIM('hospitalityq-nil'!C6:C424)=TRIM('hospitalityq-nil'!C424)),--(TRIM('hospitalityq-nil'!D6:D424)=TRIM('hospitalityq-nil'!D424)))&gt;1))</f>
        <v>0</v>
      </c>
    </row>
    <row r="425" spans="1:4" x14ac:dyDescent="0.25">
      <c r="A425">
        <f t="shared" si="6"/>
        <v>0</v>
      </c>
      <c r="C425">
        <f>NOT('hospitalityq-nil'!C425="")*(OR(NOT(IFERROR(AND(INT('hospitalityq-nil'!C425)='hospitalityq-nil'!C425,'hospitalityq-nil'!C425&gt;=2018-50,'hospitalityq-nil'!C425&lt;=2018+50),FALSE)),SUMPRODUCT(--(TRIM('hospitalityq-nil'!C6:C425)=TRIM('hospitalityq-nil'!C425)),--(TRIM('hospitalityq-nil'!D6:D425)=TRIM('hospitalityq-nil'!D425)))&gt;1))</f>
        <v>0</v>
      </c>
      <c r="D425">
        <f>NOT('hospitalityq-nil'!D425="")*(OR(COUNTIF(reference!$C$144:$C$155,TRIM(LEFT('hospitalityq-nil'!D425,FIND(":",'hospitalityq-nil'!D425&amp;":")-1))&amp;":*")=0,SUMPRODUCT(--(TRIM('hospitalityq-nil'!C6:C425)=TRIM('hospitalityq-nil'!C425)),--(TRIM('hospitalityq-nil'!D6:D425)=TRIM('hospitalityq-nil'!D425)))&gt;1))</f>
        <v>0</v>
      </c>
    </row>
    <row r="426" spans="1:4" x14ac:dyDescent="0.25">
      <c r="A426">
        <f t="shared" si="6"/>
        <v>0</v>
      </c>
      <c r="C426">
        <f>NOT('hospitalityq-nil'!C426="")*(OR(NOT(IFERROR(AND(INT('hospitalityq-nil'!C426)='hospitalityq-nil'!C426,'hospitalityq-nil'!C426&gt;=2018-50,'hospitalityq-nil'!C426&lt;=2018+50),FALSE)),SUMPRODUCT(--(TRIM('hospitalityq-nil'!C6:C426)=TRIM('hospitalityq-nil'!C426)),--(TRIM('hospitalityq-nil'!D6:D426)=TRIM('hospitalityq-nil'!D426)))&gt;1))</f>
        <v>0</v>
      </c>
      <c r="D426">
        <f>NOT('hospitalityq-nil'!D426="")*(OR(COUNTIF(reference!$C$144:$C$155,TRIM(LEFT('hospitalityq-nil'!D426,FIND(":",'hospitalityq-nil'!D426&amp;":")-1))&amp;":*")=0,SUMPRODUCT(--(TRIM('hospitalityq-nil'!C6:C426)=TRIM('hospitalityq-nil'!C426)),--(TRIM('hospitalityq-nil'!D6:D426)=TRIM('hospitalityq-nil'!D426)))&gt;1))</f>
        <v>0</v>
      </c>
    </row>
    <row r="427" spans="1:4" x14ac:dyDescent="0.25">
      <c r="A427">
        <f t="shared" si="6"/>
        <v>0</v>
      </c>
      <c r="C427">
        <f>NOT('hospitalityq-nil'!C427="")*(OR(NOT(IFERROR(AND(INT('hospitalityq-nil'!C427)='hospitalityq-nil'!C427,'hospitalityq-nil'!C427&gt;=2018-50,'hospitalityq-nil'!C427&lt;=2018+50),FALSE)),SUMPRODUCT(--(TRIM('hospitalityq-nil'!C6:C427)=TRIM('hospitalityq-nil'!C427)),--(TRIM('hospitalityq-nil'!D6:D427)=TRIM('hospitalityq-nil'!D427)))&gt;1))</f>
        <v>0</v>
      </c>
      <c r="D427">
        <f>NOT('hospitalityq-nil'!D427="")*(OR(COUNTIF(reference!$C$144:$C$155,TRIM(LEFT('hospitalityq-nil'!D427,FIND(":",'hospitalityq-nil'!D427&amp;":")-1))&amp;":*")=0,SUMPRODUCT(--(TRIM('hospitalityq-nil'!C6:C427)=TRIM('hospitalityq-nil'!C427)),--(TRIM('hospitalityq-nil'!D6:D427)=TRIM('hospitalityq-nil'!D427)))&gt;1))</f>
        <v>0</v>
      </c>
    </row>
    <row r="428" spans="1:4" x14ac:dyDescent="0.25">
      <c r="A428">
        <f t="shared" si="6"/>
        <v>0</v>
      </c>
      <c r="C428">
        <f>NOT('hospitalityq-nil'!C428="")*(OR(NOT(IFERROR(AND(INT('hospitalityq-nil'!C428)='hospitalityq-nil'!C428,'hospitalityq-nil'!C428&gt;=2018-50,'hospitalityq-nil'!C428&lt;=2018+50),FALSE)),SUMPRODUCT(--(TRIM('hospitalityq-nil'!C6:C428)=TRIM('hospitalityq-nil'!C428)),--(TRIM('hospitalityq-nil'!D6:D428)=TRIM('hospitalityq-nil'!D428)))&gt;1))</f>
        <v>0</v>
      </c>
      <c r="D428">
        <f>NOT('hospitalityq-nil'!D428="")*(OR(COUNTIF(reference!$C$144:$C$155,TRIM(LEFT('hospitalityq-nil'!D428,FIND(":",'hospitalityq-nil'!D428&amp;":")-1))&amp;":*")=0,SUMPRODUCT(--(TRIM('hospitalityq-nil'!C6:C428)=TRIM('hospitalityq-nil'!C428)),--(TRIM('hospitalityq-nil'!D6:D428)=TRIM('hospitalityq-nil'!D428)))&gt;1))</f>
        <v>0</v>
      </c>
    </row>
    <row r="429" spans="1:4" x14ac:dyDescent="0.25">
      <c r="A429">
        <f t="shared" si="6"/>
        <v>0</v>
      </c>
      <c r="C429">
        <f>NOT('hospitalityq-nil'!C429="")*(OR(NOT(IFERROR(AND(INT('hospitalityq-nil'!C429)='hospitalityq-nil'!C429,'hospitalityq-nil'!C429&gt;=2018-50,'hospitalityq-nil'!C429&lt;=2018+50),FALSE)),SUMPRODUCT(--(TRIM('hospitalityq-nil'!C6:C429)=TRIM('hospitalityq-nil'!C429)),--(TRIM('hospitalityq-nil'!D6:D429)=TRIM('hospitalityq-nil'!D429)))&gt;1))</f>
        <v>0</v>
      </c>
      <c r="D429">
        <f>NOT('hospitalityq-nil'!D429="")*(OR(COUNTIF(reference!$C$144:$C$155,TRIM(LEFT('hospitalityq-nil'!D429,FIND(":",'hospitalityq-nil'!D429&amp;":")-1))&amp;":*")=0,SUMPRODUCT(--(TRIM('hospitalityq-nil'!C6:C429)=TRIM('hospitalityq-nil'!C429)),--(TRIM('hospitalityq-nil'!D6:D429)=TRIM('hospitalityq-nil'!D429)))&gt;1))</f>
        <v>0</v>
      </c>
    </row>
    <row r="430" spans="1:4" x14ac:dyDescent="0.25">
      <c r="A430">
        <f t="shared" si="6"/>
        <v>0</v>
      </c>
      <c r="C430">
        <f>NOT('hospitalityq-nil'!C430="")*(OR(NOT(IFERROR(AND(INT('hospitalityq-nil'!C430)='hospitalityq-nil'!C430,'hospitalityq-nil'!C430&gt;=2018-50,'hospitalityq-nil'!C430&lt;=2018+50),FALSE)),SUMPRODUCT(--(TRIM('hospitalityq-nil'!C6:C430)=TRIM('hospitalityq-nil'!C430)),--(TRIM('hospitalityq-nil'!D6:D430)=TRIM('hospitalityq-nil'!D430)))&gt;1))</f>
        <v>0</v>
      </c>
      <c r="D430">
        <f>NOT('hospitalityq-nil'!D430="")*(OR(COUNTIF(reference!$C$144:$C$155,TRIM(LEFT('hospitalityq-nil'!D430,FIND(":",'hospitalityq-nil'!D430&amp;":")-1))&amp;":*")=0,SUMPRODUCT(--(TRIM('hospitalityq-nil'!C6:C430)=TRIM('hospitalityq-nil'!C430)),--(TRIM('hospitalityq-nil'!D6:D430)=TRIM('hospitalityq-nil'!D430)))&gt;1))</f>
        <v>0</v>
      </c>
    </row>
    <row r="431" spans="1:4" x14ac:dyDescent="0.25">
      <c r="A431">
        <f t="shared" si="6"/>
        <v>0</v>
      </c>
      <c r="C431">
        <f>NOT('hospitalityq-nil'!C431="")*(OR(NOT(IFERROR(AND(INT('hospitalityq-nil'!C431)='hospitalityq-nil'!C431,'hospitalityq-nil'!C431&gt;=2018-50,'hospitalityq-nil'!C431&lt;=2018+50),FALSE)),SUMPRODUCT(--(TRIM('hospitalityq-nil'!C6:C431)=TRIM('hospitalityq-nil'!C431)),--(TRIM('hospitalityq-nil'!D6:D431)=TRIM('hospitalityq-nil'!D431)))&gt;1))</f>
        <v>0</v>
      </c>
      <c r="D431">
        <f>NOT('hospitalityq-nil'!D431="")*(OR(COUNTIF(reference!$C$144:$C$155,TRIM(LEFT('hospitalityq-nil'!D431,FIND(":",'hospitalityq-nil'!D431&amp;":")-1))&amp;":*")=0,SUMPRODUCT(--(TRIM('hospitalityq-nil'!C6:C431)=TRIM('hospitalityq-nil'!C431)),--(TRIM('hospitalityq-nil'!D6:D431)=TRIM('hospitalityq-nil'!D431)))&gt;1))</f>
        <v>0</v>
      </c>
    </row>
    <row r="432" spans="1:4" x14ac:dyDescent="0.25">
      <c r="A432">
        <f t="shared" si="6"/>
        <v>0</v>
      </c>
      <c r="C432">
        <f>NOT('hospitalityq-nil'!C432="")*(OR(NOT(IFERROR(AND(INT('hospitalityq-nil'!C432)='hospitalityq-nil'!C432,'hospitalityq-nil'!C432&gt;=2018-50,'hospitalityq-nil'!C432&lt;=2018+50),FALSE)),SUMPRODUCT(--(TRIM('hospitalityq-nil'!C6:C432)=TRIM('hospitalityq-nil'!C432)),--(TRIM('hospitalityq-nil'!D6:D432)=TRIM('hospitalityq-nil'!D432)))&gt;1))</f>
        <v>0</v>
      </c>
      <c r="D432">
        <f>NOT('hospitalityq-nil'!D432="")*(OR(COUNTIF(reference!$C$144:$C$155,TRIM(LEFT('hospitalityq-nil'!D432,FIND(":",'hospitalityq-nil'!D432&amp;":")-1))&amp;":*")=0,SUMPRODUCT(--(TRIM('hospitalityq-nil'!C6:C432)=TRIM('hospitalityq-nil'!C432)),--(TRIM('hospitalityq-nil'!D6:D432)=TRIM('hospitalityq-nil'!D432)))&gt;1))</f>
        <v>0</v>
      </c>
    </row>
    <row r="433" spans="1:4" x14ac:dyDescent="0.25">
      <c r="A433">
        <f t="shared" si="6"/>
        <v>0</v>
      </c>
      <c r="C433">
        <f>NOT('hospitalityq-nil'!C433="")*(OR(NOT(IFERROR(AND(INT('hospitalityq-nil'!C433)='hospitalityq-nil'!C433,'hospitalityq-nil'!C433&gt;=2018-50,'hospitalityq-nil'!C433&lt;=2018+50),FALSE)),SUMPRODUCT(--(TRIM('hospitalityq-nil'!C6:C433)=TRIM('hospitalityq-nil'!C433)),--(TRIM('hospitalityq-nil'!D6:D433)=TRIM('hospitalityq-nil'!D433)))&gt;1))</f>
        <v>0</v>
      </c>
      <c r="D433">
        <f>NOT('hospitalityq-nil'!D433="")*(OR(COUNTIF(reference!$C$144:$C$155,TRIM(LEFT('hospitalityq-nil'!D433,FIND(":",'hospitalityq-nil'!D433&amp;":")-1))&amp;":*")=0,SUMPRODUCT(--(TRIM('hospitalityq-nil'!C6:C433)=TRIM('hospitalityq-nil'!C433)),--(TRIM('hospitalityq-nil'!D6:D433)=TRIM('hospitalityq-nil'!D433)))&gt;1))</f>
        <v>0</v>
      </c>
    </row>
    <row r="434" spans="1:4" x14ac:dyDescent="0.25">
      <c r="A434">
        <f t="shared" si="6"/>
        <v>0</v>
      </c>
      <c r="C434">
        <f>NOT('hospitalityq-nil'!C434="")*(OR(NOT(IFERROR(AND(INT('hospitalityq-nil'!C434)='hospitalityq-nil'!C434,'hospitalityq-nil'!C434&gt;=2018-50,'hospitalityq-nil'!C434&lt;=2018+50),FALSE)),SUMPRODUCT(--(TRIM('hospitalityq-nil'!C6:C434)=TRIM('hospitalityq-nil'!C434)),--(TRIM('hospitalityq-nil'!D6:D434)=TRIM('hospitalityq-nil'!D434)))&gt;1))</f>
        <v>0</v>
      </c>
      <c r="D434">
        <f>NOT('hospitalityq-nil'!D434="")*(OR(COUNTIF(reference!$C$144:$C$155,TRIM(LEFT('hospitalityq-nil'!D434,FIND(":",'hospitalityq-nil'!D434&amp;":")-1))&amp;":*")=0,SUMPRODUCT(--(TRIM('hospitalityq-nil'!C6:C434)=TRIM('hospitalityq-nil'!C434)),--(TRIM('hospitalityq-nil'!D6:D434)=TRIM('hospitalityq-nil'!D434)))&gt;1))</f>
        <v>0</v>
      </c>
    </row>
    <row r="435" spans="1:4" x14ac:dyDescent="0.25">
      <c r="A435">
        <f t="shared" si="6"/>
        <v>0</v>
      </c>
      <c r="C435">
        <f>NOT('hospitalityq-nil'!C435="")*(OR(NOT(IFERROR(AND(INT('hospitalityq-nil'!C435)='hospitalityq-nil'!C435,'hospitalityq-nil'!C435&gt;=2018-50,'hospitalityq-nil'!C435&lt;=2018+50),FALSE)),SUMPRODUCT(--(TRIM('hospitalityq-nil'!C6:C435)=TRIM('hospitalityq-nil'!C435)),--(TRIM('hospitalityq-nil'!D6:D435)=TRIM('hospitalityq-nil'!D435)))&gt;1))</f>
        <v>0</v>
      </c>
      <c r="D435">
        <f>NOT('hospitalityq-nil'!D435="")*(OR(COUNTIF(reference!$C$144:$C$155,TRIM(LEFT('hospitalityq-nil'!D435,FIND(":",'hospitalityq-nil'!D435&amp;":")-1))&amp;":*")=0,SUMPRODUCT(--(TRIM('hospitalityq-nil'!C6:C435)=TRIM('hospitalityq-nil'!C435)),--(TRIM('hospitalityq-nil'!D6:D435)=TRIM('hospitalityq-nil'!D435)))&gt;1))</f>
        <v>0</v>
      </c>
    </row>
    <row r="436" spans="1:4" x14ac:dyDescent="0.25">
      <c r="A436">
        <f t="shared" si="6"/>
        <v>0</v>
      </c>
      <c r="C436">
        <f>NOT('hospitalityq-nil'!C436="")*(OR(NOT(IFERROR(AND(INT('hospitalityq-nil'!C436)='hospitalityq-nil'!C436,'hospitalityq-nil'!C436&gt;=2018-50,'hospitalityq-nil'!C436&lt;=2018+50),FALSE)),SUMPRODUCT(--(TRIM('hospitalityq-nil'!C6:C436)=TRIM('hospitalityq-nil'!C436)),--(TRIM('hospitalityq-nil'!D6:D436)=TRIM('hospitalityq-nil'!D436)))&gt;1))</f>
        <v>0</v>
      </c>
      <c r="D436">
        <f>NOT('hospitalityq-nil'!D436="")*(OR(COUNTIF(reference!$C$144:$C$155,TRIM(LEFT('hospitalityq-nil'!D436,FIND(":",'hospitalityq-nil'!D436&amp;":")-1))&amp;":*")=0,SUMPRODUCT(--(TRIM('hospitalityq-nil'!C6:C436)=TRIM('hospitalityq-nil'!C436)),--(TRIM('hospitalityq-nil'!D6:D436)=TRIM('hospitalityq-nil'!D436)))&gt;1))</f>
        <v>0</v>
      </c>
    </row>
    <row r="437" spans="1:4" x14ac:dyDescent="0.25">
      <c r="A437">
        <f t="shared" si="6"/>
        <v>0</v>
      </c>
      <c r="C437">
        <f>NOT('hospitalityq-nil'!C437="")*(OR(NOT(IFERROR(AND(INT('hospitalityq-nil'!C437)='hospitalityq-nil'!C437,'hospitalityq-nil'!C437&gt;=2018-50,'hospitalityq-nil'!C437&lt;=2018+50),FALSE)),SUMPRODUCT(--(TRIM('hospitalityq-nil'!C6:C437)=TRIM('hospitalityq-nil'!C437)),--(TRIM('hospitalityq-nil'!D6:D437)=TRIM('hospitalityq-nil'!D437)))&gt;1))</f>
        <v>0</v>
      </c>
      <c r="D437">
        <f>NOT('hospitalityq-nil'!D437="")*(OR(COUNTIF(reference!$C$144:$C$155,TRIM(LEFT('hospitalityq-nil'!D437,FIND(":",'hospitalityq-nil'!D437&amp;":")-1))&amp;":*")=0,SUMPRODUCT(--(TRIM('hospitalityq-nil'!C6:C437)=TRIM('hospitalityq-nil'!C437)),--(TRIM('hospitalityq-nil'!D6:D437)=TRIM('hospitalityq-nil'!D437)))&gt;1))</f>
        <v>0</v>
      </c>
    </row>
    <row r="438" spans="1:4" x14ac:dyDescent="0.25">
      <c r="A438">
        <f t="shared" si="6"/>
        <v>0</v>
      </c>
      <c r="C438">
        <f>NOT('hospitalityq-nil'!C438="")*(OR(NOT(IFERROR(AND(INT('hospitalityq-nil'!C438)='hospitalityq-nil'!C438,'hospitalityq-nil'!C438&gt;=2018-50,'hospitalityq-nil'!C438&lt;=2018+50),FALSE)),SUMPRODUCT(--(TRIM('hospitalityq-nil'!C6:C438)=TRIM('hospitalityq-nil'!C438)),--(TRIM('hospitalityq-nil'!D6:D438)=TRIM('hospitalityq-nil'!D438)))&gt;1))</f>
        <v>0</v>
      </c>
      <c r="D438">
        <f>NOT('hospitalityq-nil'!D438="")*(OR(COUNTIF(reference!$C$144:$C$155,TRIM(LEFT('hospitalityq-nil'!D438,FIND(":",'hospitalityq-nil'!D438&amp;":")-1))&amp;":*")=0,SUMPRODUCT(--(TRIM('hospitalityq-nil'!C6:C438)=TRIM('hospitalityq-nil'!C438)),--(TRIM('hospitalityq-nil'!D6:D438)=TRIM('hospitalityq-nil'!D438)))&gt;1))</f>
        <v>0</v>
      </c>
    </row>
    <row r="439" spans="1:4" x14ac:dyDescent="0.25">
      <c r="A439">
        <f t="shared" si="6"/>
        <v>0</v>
      </c>
      <c r="C439">
        <f>NOT('hospitalityq-nil'!C439="")*(OR(NOT(IFERROR(AND(INT('hospitalityq-nil'!C439)='hospitalityq-nil'!C439,'hospitalityq-nil'!C439&gt;=2018-50,'hospitalityq-nil'!C439&lt;=2018+50),FALSE)),SUMPRODUCT(--(TRIM('hospitalityq-nil'!C6:C439)=TRIM('hospitalityq-nil'!C439)),--(TRIM('hospitalityq-nil'!D6:D439)=TRIM('hospitalityq-nil'!D439)))&gt;1))</f>
        <v>0</v>
      </c>
      <c r="D439">
        <f>NOT('hospitalityq-nil'!D439="")*(OR(COUNTIF(reference!$C$144:$C$155,TRIM(LEFT('hospitalityq-nil'!D439,FIND(":",'hospitalityq-nil'!D439&amp;":")-1))&amp;":*")=0,SUMPRODUCT(--(TRIM('hospitalityq-nil'!C6:C439)=TRIM('hospitalityq-nil'!C439)),--(TRIM('hospitalityq-nil'!D6:D439)=TRIM('hospitalityq-nil'!D439)))&gt;1))</f>
        <v>0</v>
      </c>
    </row>
    <row r="440" spans="1:4" x14ac:dyDescent="0.25">
      <c r="A440">
        <f t="shared" si="6"/>
        <v>0</v>
      </c>
      <c r="C440">
        <f>NOT('hospitalityq-nil'!C440="")*(OR(NOT(IFERROR(AND(INT('hospitalityq-nil'!C440)='hospitalityq-nil'!C440,'hospitalityq-nil'!C440&gt;=2018-50,'hospitalityq-nil'!C440&lt;=2018+50),FALSE)),SUMPRODUCT(--(TRIM('hospitalityq-nil'!C6:C440)=TRIM('hospitalityq-nil'!C440)),--(TRIM('hospitalityq-nil'!D6:D440)=TRIM('hospitalityq-nil'!D440)))&gt;1))</f>
        <v>0</v>
      </c>
      <c r="D440">
        <f>NOT('hospitalityq-nil'!D440="")*(OR(COUNTIF(reference!$C$144:$C$155,TRIM(LEFT('hospitalityq-nil'!D440,FIND(":",'hospitalityq-nil'!D440&amp;":")-1))&amp;":*")=0,SUMPRODUCT(--(TRIM('hospitalityq-nil'!C6:C440)=TRIM('hospitalityq-nil'!C440)),--(TRIM('hospitalityq-nil'!D6:D440)=TRIM('hospitalityq-nil'!D440)))&gt;1))</f>
        <v>0</v>
      </c>
    </row>
    <row r="441" spans="1:4" x14ac:dyDescent="0.25">
      <c r="A441">
        <f t="shared" si="6"/>
        <v>0</v>
      </c>
      <c r="C441">
        <f>NOT('hospitalityq-nil'!C441="")*(OR(NOT(IFERROR(AND(INT('hospitalityq-nil'!C441)='hospitalityq-nil'!C441,'hospitalityq-nil'!C441&gt;=2018-50,'hospitalityq-nil'!C441&lt;=2018+50),FALSE)),SUMPRODUCT(--(TRIM('hospitalityq-nil'!C6:C441)=TRIM('hospitalityq-nil'!C441)),--(TRIM('hospitalityq-nil'!D6:D441)=TRIM('hospitalityq-nil'!D441)))&gt;1))</f>
        <v>0</v>
      </c>
      <c r="D441">
        <f>NOT('hospitalityq-nil'!D441="")*(OR(COUNTIF(reference!$C$144:$C$155,TRIM(LEFT('hospitalityq-nil'!D441,FIND(":",'hospitalityq-nil'!D441&amp;":")-1))&amp;":*")=0,SUMPRODUCT(--(TRIM('hospitalityq-nil'!C6:C441)=TRIM('hospitalityq-nil'!C441)),--(TRIM('hospitalityq-nil'!D6:D441)=TRIM('hospitalityq-nil'!D441)))&gt;1))</f>
        <v>0</v>
      </c>
    </row>
    <row r="442" spans="1:4" x14ac:dyDescent="0.25">
      <c r="A442">
        <f t="shared" si="6"/>
        <v>0</v>
      </c>
      <c r="C442">
        <f>NOT('hospitalityq-nil'!C442="")*(OR(NOT(IFERROR(AND(INT('hospitalityq-nil'!C442)='hospitalityq-nil'!C442,'hospitalityq-nil'!C442&gt;=2018-50,'hospitalityq-nil'!C442&lt;=2018+50),FALSE)),SUMPRODUCT(--(TRIM('hospitalityq-nil'!C6:C442)=TRIM('hospitalityq-nil'!C442)),--(TRIM('hospitalityq-nil'!D6:D442)=TRIM('hospitalityq-nil'!D442)))&gt;1))</f>
        <v>0</v>
      </c>
      <c r="D442">
        <f>NOT('hospitalityq-nil'!D442="")*(OR(COUNTIF(reference!$C$144:$C$155,TRIM(LEFT('hospitalityq-nil'!D442,FIND(":",'hospitalityq-nil'!D442&amp;":")-1))&amp;":*")=0,SUMPRODUCT(--(TRIM('hospitalityq-nil'!C6:C442)=TRIM('hospitalityq-nil'!C442)),--(TRIM('hospitalityq-nil'!D6:D442)=TRIM('hospitalityq-nil'!D442)))&gt;1))</f>
        <v>0</v>
      </c>
    </row>
    <row r="443" spans="1:4" x14ac:dyDescent="0.25">
      <c r="A443">
        <f t="shared" si="6"/>
        <v>0</v>
      </c>
      <c r="C443">
        <f>NOT('hospitalityq-nil'!C443="")*(OR(NOT(IFERROR(AND(INT('hospitalityq-nil'!C443)='hospitalityq-nil'!C443,'hospitalityq-nil'!C443&gt;=2018-50,'hospitalityq-nil'!C443&lt;=2018+50),FALSE)),SUMPRODUCT(--(TRIM('hospitalityq-nil'!C6:C443)=TRIM('hospitalityq-nil'!C443)),--(TRIM('hospitalityq-nil'!D6:D443)=TRIM('hospitalityq-nil'!D443)))&gt;1))</f>
        <v>0</v>
      </c>
      <c r="D443">
        <f>NOT('hospitalityq-nil'!D443="")*(OR(COUNTIF(reference!$C$144:$C$155,TRIM(LEFT('hospitalityq-nil'!D443,FIND(":",'hospitalityq-nil'!D443&amp;":")-1))&amp;":*")=0,SUMPRODUCT(--(TRIM('hospitalityq-nil'!C6:C443)=TRIM('hospitalityq-nil'!C443)),--(TRIM('hospitalityq-nil'!D6:D443)=TRIM('hospitalityq-nil'!D443)))&gt;1))</f>
        <v>0</v>
      </c>
    </row>
    <row r="444" spans="1:4" x14ac:dyDescent="0.25">
      <c r="A444">
        <f t="shared" si="6"/>
        <v>0</v>
      </c>
      <c r="C444">
        <f>NOT('hospitalityq-nil'!C444="")*(OR(NOT(IFERROR(AND(INT('hospitalityq-nil'!C444)='hospitalityq-nil'!C444,'hospitalityq-nil'!C444&gt;=2018-50,'hospitalityq-nil'!C444&lt;=2018+50),FALSE)),SUMPRODUCT(--(TRIM('hospitalityq-nil'!C6:C444)=TRIM('hospitalityq-nil'!C444)),--(TRIM('hospitalityq-nil'!D6:D444)=TRIM('hospitalityq-nil'!D444)))&gt;1))</f>
        <v>0</v>
      </c>
      <c r="D444">
        <f>NOT('hospitalityq-nil'!D444="")*(OR(COUNTIF(reference!$C$144:$C$155,TRIM(LEFT('hospitalityq-nil'!D444,FIND(":",'hospitalityq-nil'!D444&amp;":")-1))&amp;":*")=0,SUMPRODUCT(--(TRIM('hospitalityq-nil'!C6:C444)=TRIM('hospitalityq-nil'!C444)),--(TRIM('hospitalityq-nil'!D6:D444)=TRIM('hospitalityq-nil'!D444)))&gt;1))</f>
        <v>0</v>
      </c>
    </row>
    <row r="445" spans="1:4" x14ac:dyDescent="0.25">
      <c r="A445">
        <f t="shared" si="6"/>
        <v>0</v>
      </c>
      <c r="C445">
        <f>NOT('hospitalityq-nil'!C445="")*(OR(NOT(IFERROR(AND(INT('hospitalityq-nil'!C445)='hospitalityq-nil'!C445,'hospitalityq-nil'!C445&gt;=2018-50,'hospitalityq-nil'!C445&lt;=2018+50),FALSE)),SUMPRODUCT(--(TRIM('hospitalityq-nil'!C6:C445)=TRIM('hospitalityq-nil'!C445)),--(TRIM('hospitalityq-nil'!D6:D445)=TRIM('hospitalityq-nil'!D445)))&gt;1))</f>
        <v>0</v>
      </c>
      <c r="D445">
        <f>NOT('hospitalityq-nil'!D445="")*(OR(COUNTIF(reference!$C$144:$C$155,TRIM(LEFT('hospitalityq-nil'!D445,FIND(":",'hospitalityq-nil'!D445&amp;":")-1))&amp;":*")=0,SUMPRODUCT(--(TRIM('hospitalityq-nil'!C6:C445)=TRIM('hospitalityq-nil'!C445)),--(TRIM('hospitalityq-nil'!D6:D445)=TRIM('hospitalityq-nil'!D445)))&gt;1))</f>
        <v>0</v>
      </c>
    </row>
    <row r="446" spans="1:4" x14ac:dyDescent="0.25">
      <c r="A446">
        <f t="shared" si="6"/>
        <v>0</v>
      </c>
      <c r="C446">
        <f>NOT('hospitalityq-nil'!C446="")*(OR(NOT(IFERROR(AND(INT('hospitalityq-nil'!C446)='hospitalityq-nil'!C446,'hospitalityq-nil'!C446&gt;=2018-50,'hospitalityq-nil'!C446&lt;=2018+50),FALSE)),SUMPRODUCT(--(TRIM('hospitalityq-nil'!C6:C446)=TRIM('hospitalityq-nil'!C446)),--(TRIM('hospitalityq-nil'!D6:D446)=TRIM('hospitalityq-nil'!D446)))&gt;1))</f>
        <v>0</v>
      </c>
      <c r="D446">
        <f>NOT('hospitalityq-nil'!D446="")*(OR(COUNTIF(reference!$C$144:$C$155,TRIM(LEFT('hospitalityq-nil'!D446,FIND(":",'hospitalityq-nil'!D446&amp;":")-1))&amp;":*")=0,SUMPRODUCT(--(TRIM('hospitalityq-nil'!C6:C446)=TRIM('hospitalityq-nil'!C446)),--(TRIM('hospitalityq-nil'!D6:D446)=TRIM('hospitalityq-nil'!D446)))&gt;1))</f>
        <v>0</v>
      </c>
    </row>
    <row r="447" spans="1:4" x14ac:dyDescent="0.25">
      <c r="A447">
        <f t="shared" si="6"/>
        <v>0</v>
      </c>
      <c r="C447">
        <f>NOT('hospitalityq-nil'!C447="")*(OR(NOT(IFERROR(AND(INT('hospitalityq-nil'!C447)='hospitalityq-nil'!C447,'hospitalityq-nil'!C447&gt;=2018-50,'hospitalityq-nil'!C447&lt;=2018+50),FALSE)),SUMPRODUCT(--(TRIM('hospitalityq-nil'!C6:C447)=TRIM('hospitalityq-nil'!C447)),--(TRIM('hospitalityq-nil'!D6:D447)=TRIM('hospitalityq-nil'!D447)))&gt;1))</f>
        <v>0</v>
      </c>
      <c r="D447">
        <f>NOT('hospitalityq-nil'!D447="")*(OR(COUNTIF(reference!$C$144:$C$155,TRIM(LEFT('hospitalityq-nil'!D447,FIND(":",'hospitalityq-nil'!D447&amp;":")-1))&amp;":*")=0,SUMPRODUCT(--(TRIM('hospitalityq-nil'!C6:C447)=TRIM('hospitalityq-nil'!C447)),--(TRIM('hospitalityq-nil'!D6:D447)=TRIM('hospitalityq-nil'!D447)))&gt;1))</f>
        <v>0</v>
      </c>
    </row>
    <row r="448" spans="1:4" x14ac:dyDescent="0.25">
      <c r="A448">
        <f t="shared" si="6"/>
        <v>0</v>
      </c>
      <c r="C448">
        <f>NOT('hospitalityq-nil'!C448="")*(OR(NOT(IFERROR(AND(INT('hospitalityq-nil'!C448)='hospitalityq-nil'!C448,'hospitalityq-nil'!C448&gt;=2018-50,'hospitalityq-nil'!C448&lt;=2018+50),FALSE)),SUMPRODUCT(--(TRIM('hospitalityq-nil'!C6:C448)=TRIM('hospitalityq-nil'!C448)),--(TRIM('hospitalityq-nil'!D6:D448)=TRIM('hospitalityq-nil'!D448)))&gt;1))</f>
        <v>0</v>
      </c>
      <c r="D448">
        <f>NOT('hospitalityq-nil'!D448="")*(OR(COUNTIF(reference!$C$144:$C$155,TRIM(LEFT('hospitalityq-nil'!D448,FIND(":",'hospitalityq-nil'!D448&amp;":")-1))&amp;":*")=0,SUMPRODUCT(--(TRIM('hospitalityq-nil'!C6:C448)=TRIM('hospitalityq-nil'!C448)),--(TRIM('hospitalityq-nil'!D6:D448)=TRIM('hospitalityq-nil'!D448)))&gt;1))</f>
        <v>0</v>
      </c>
    </row>
    <row r="449" spans="1:4" x14ac:dyDescent="0.25">
      <c r="A449">
        <f t="shared" si="6"/>
        <v>0</v>
      </c>
      <c r="C449">
        <f>NOT('hospitalityq-nil'!C449="")*(OR(NOT(IFERROR(AND(INT('hospitalityq-nil'!C449)='hospitalityq-nil'!C449,'hospitalityq-nil'!C449&gt;=2018-50,'hospitalityq-nil'!C449&lt;=2018+50),FALSE)),SUMPRODUCT(--(TRIM('hospitalityq-nil'!C6:C449)=TRIM('hospitalityq-nil'!C449)),--(TRIM('hospitalityq-nil'!D6:D449)=TRIM('hospitalityq-nil'!D449)))&gt;1))</f>
        <v>0</v>
      </c>
      <c r="D449">
        <f>NOT('hospitalityq-nil'!D449="")*(OR(COUNTIF(reference!$C$144:$C$155,TRIM(LEFT('hospitalityq-nil'!D449,FIND(":",'hospitalityq-nil'!D449&amp;":")-1))&amp;":*")=0,SUMPRODUCT(--(TRIM('hospitalityq-nil'!C6:C449)=TRIM('hospitalityq-nil'!C449)),--(TRIM('hospitalityq-nil'!D6:D449)=TRIM('hospitalityq-nil'!D449)))&gt;1))</f>
        <v>0</v>
      </c>
    </row>
    <row r="450" spans="1:4" x14ac:dyDescent="0.25">
      <c r="A450">
        <f t="shared" si="6"/>
        <v>0</v>
      </c>
      <c r="C450">
        <f>NOT('hospitalityq-nil'!C450="")*(OR(NOT(IFERROR(AND(INT('hospitalityq-nil'!C450)='hospitalityq-nil'!C450,'hospitalityq-nil'!C450&gt;=2018-50,'hospitalityq-nil'!C450&lt;=2018+50),FALSE)),SUMPRODUCT(--(TRIM('hospitalityq-nil'!C6:C450)=TRIM('hospitalityq-nil'!C450)),--(TRIM('hospitalityq-nil'!D6:D450)=TRIM('hospitalityq-nil'!D450)))&gt;1))</f>
        <v>0</v>
      </c>
      <c r="D450">
        <f>NOT('hospitalityq-nil'!D450="")*(OR(COUNTIF(reference!$C$144:$C$155,TRIM(LEFT('hospitalityq-nil'!D450,FIND(":",'hospitalityq-nil'!D450&amp;":")-1))&amp;":*")=0,SUMPRODUCT(--(TRIM('hospitalityq-nil'!C6:C450)=TRIM('hospitalityq-nil'!C450)),--(TRIM('hospitalityq-nil'!D6:D450)=TRIM('hospitalityq-nil'!D450)))&gt;1))</f>
        <v>0</v>
      </c>
    </row>
    <row r="451" spans="1:4" x14ac:dyDescent="0.25">
      <c r="A451">
        <f t="shared" si="6"/>
        <v>0</v>
      </c>
      <c r="C451">
        <f>NOT('hospitalityq-nil'!C451="")*(OR(NOT(IFERROR(AND(INT('hospitalityq-nil'!C451)='hospitalityq-nil'!C451,'hospitalityq-nil'!C451&gt;=2018-50,'hospitalityq-nil'!C451&lt;=2018+50),FALSE)),SUMPRODUCT(--(TRIM('hospitalityq-nil'!C6:C451)=TRIM('hospitalityq-nil'!C451)),--(TRIM('hospitalityq-nil'!D6:D451)=TRIM('hospitalityq-nil'!D451)))&gt;1))</f>
        <v>0</v>
      </c>
      <c r="D451">
        <f>NOT('hospitalityq-nil'!D451="")*(OR(COUNTIF(reference!$C$144:$C$155,TRIM(LEFT('hospitalityq-nil'!D451,FIND(":",'hospitalityq-nil'!D451&amp;":")-1))&amp;":*")=0,SUMPRODUCT(--(TRIM('hospitalityq-nil'!C6:C451)=TRIM('hospitalityq-nil'!C451)),--(TRIM('hospitalityq-nil'!D6:D451)=TRIM('hospitalityq-nil'!D451)))&gt;1))</f>
        <v>0</v>
      </c>
    </row>
    <row r="452" spans="1:4" x14ac:dyDescent="0.25">
      <c r="A452">
        <f t="shared" si="6"/>
        <v>0</v>
      </c>
      <c r="C452">
        <f>NOT('hospitalityq-nil'!C452="")*(OR(NOT(IFERROR(AND(INT('hospitalityq-nil'!C452)='hospitalityq-nil'!C452,'hospitalityq-nil'!C452&gt;=2018-50,'hospitalityq-nil'!C452&lt;=2018+50),FALSE)),SUMPRODUCT(--(TRIM('hospitalityq-nil'!C6:C452)=TRIM('hospitalityq-nil'!C452)),--(TRIM('hospitalityq-nil'!D6:D452)=TRIM('hospitalityq-nil'!D452)))&gt;1))</f>
        <v>0</v>
      </c>
      <c r="D452">
        <f>NOT('hospitalityq-nil'!D452="")*(OR(COUNTIF(reference!$C$144:$C$155,TRIM(LEFT('hospitalityq-nil'!D452,FIND(":",'hospitalityq-nil'!D452&amp;":")-1))&amp;":*")=0,SUMPRODUCT(--(TRIM('hospitalityq-nil'!C6:C452)=TRIM('hospitalityq-nil'!C452)),--(TRIM('hospitalityq-nil'!D6:D452)=TRIM('hospitalityq-nil'!D452)))&gt;1))</f>
        <v>0</v>
      </c>
    </row>
    <row r="453" spans="1:4" x14ac:dyDescent="0.25">
      <c r="A453">
        <f t="shared" si="6"/>
        <v>0</v>
      </c>
      <c r="C453">
        <f>NOT('hospitalityq-nil'!C453="")*(OR(NOT(IFERROR(AND(INT('hospitalityq-nil'!C453)='hospitalityq-nil'!C453,'hospitalityq-nil'!C453&gt;=2018-50,'hospitalityq-nil'!C453&lt;=2018+50),FALSE)),SUMPRODUCT(--(TRIM('hospitalityq-nil'!C6:C453)=TRIM('hospitalityq-nil'!C453)),--(TRIM('hospitalityq-nil'!D6:D453)=TRIM('hospitalityq-nil'!D453)))&gt;1))</f>
        <v>0</v>
      </c>
      <c r="D453">
        <f>NOT('hospitalityq-nil'!D453="")*(OR(COUNTIF(reference!$C$144:$C$155,TRIM(LEFT('hospitalityq-nil'!D453,FIND(":",'hospitalityq-nil'!D453&amp;":")-1))&amp;":*")=0,SUMPRODUCT(--(TRIM('hospitalityq-nil'!C6:C453)=TRIM('hospitalityq-nil'!C453)),--(TRIM('hospitalityq-nil'!D6:D453)=TRIM('hospitalityq-nil'!D453)))&gt;1))</f>
        <v>0</v>
      </c>
    </row>
    <row r="454" spans="1:4" x14ac:dyDescent="0.25">
      <c r="A454">
        <f t="shared" ref="A454:A517" si="7">IFERROR(MATCH(TRUE,INDEX(C454:D454&lt;&gt;0,),)+2,0)</f>
        <v>0</v>
      </c>
      <c r="C454">
        <f>NOT('hospitalityq-nil'!C454="")*(OR(NOT(IFERROR(AND(INT('hospitalityq-nil'!C454)='hospitalityq-nil'!C454,'hospitalityq-nil'!C454&gt;=2018-50,'hospitalityq-nil'!C454&lt;=2018+50),FALSE)),SUMPRODUCT(--(TRIM('hospitalityq-nil'!C6:C454)=TRIM('hospitalityq-nil'!C454)),--(TRIM('hospitalityq-nil'!D6:D454)=TRIM('hospitalityq-nil'!D454)))&gt;1))</f>
        <v>0</v>
      </c>
      <c r="D454">
        <f>NOT('hospitalityq-nil'!D454="")*(OR(COUNTIF(reference!$C$144:$C$155,TRIM(LEFT('hospitalityq-nil'!D454,FIND(":",'hospitalityq-nil'!D454&amp;":")-1))&amp;":*")=0,SUMPRODUCT(--(TRIM('hospitalityq-nil'!C6:C454)=TRIM('hospitalityq-nil'!C454)),--(TRIM('hospitalityq-nil'!D6:D454)=TRIM('hospitalityq-nil'!D454)))&gt;1))</f>
        <v>0</v>
      </c>
    </row>
    <row r="455" spans="1:4" x14ac:dyDescent="0.25">
      <c r="A455">
        <f t="shared" si="7"/>
        <v>0</v>
      </c>
      <c r="C455">
        <f>NOT('hospitalityq-nil'!C455="")*(OR(NOT(IFERROR(AND(INT('hospitalityq-nil'!C455)='hospitalityq-nil'!C455,'hospitalityq-nil'!C455&gt;=2018-50,'hospitalityq-nil'!C455&lt;=2018+50),FALSE)),SUMPRODUCT(--(TRIM('hospitalityq-nil'!C6:C455)=TRIM('hospitalityq-nil'!C455)),--(TRIM('hospitalityq-nil'!D6:D455)=TRIM('hospitalityq-nil'!D455)))&gt;1))</f>
        <v>0</v>
      </c>
      <c r="D455">
        <f>NOT('hospitalityq-nil'!D455="")*(OR(COUNTIF(reference!$C$144:$C$155,TRIM(LEFT('hospitalityq-nil'!D455,FIND(":",'hospitalityq-nil'!D455&amp;":")-1))&amp;":*")=0,SUMPRODUCT(--(TRIM('hospitalityq-nil'!C6:C455)=TRIM('hospitalityq-nil'!C455)),--(TRIM('hospitalityq-nil'!D6:D455)=TRIM('hospitalityq-nil'!D455)))&gt;1))</f>
        <v>0</v>
      </c>
    </row>
    <row r="456" spans="1:4" x14ac:dyDescent="0.25">
      <c r="A456">
        <f t="shared" si="7"/>
        <v>0</v>
      </c>
      <c r="C456">
        <f>NOT('hospitalityq-nil'!C456="")*(OR(NOT(IFERROR(AND(INT('hospitalityq-nil'!C456)='hospitalityq-nil'!C456,'hospitalityq-nil'!C456&gt;=2018-50,'hospitalityq-nil'!C456&lt;=2018+50),FALSE)),SUMPRODUCT(--(TRIM('hospitalityq-nil'!C6:C456)=TRIM('hospitalityq-nil'!C456)),--(TRIM('hospitalityq-nil'!D6:D456)=TRIM('hospitalityq-nil'!D456)))&gt;1))</f>
        <v>0</v>
      </c>
      <c r="D456">
        <f>NOT('hospitalityq-nil'!D456="")*(OR(COUNTIF(reference!$C$144:$C$155,TRIM(LEFT('hospitalityq-nil'!D456,FIND(":",'hospitalityq-nil'!D456&amp;":")-1))&amp;":*")=0,SUMPRODUCT(--(TRIM('hospitalityq-nil'!C6:C456)=TRIM('hospitalityq-nil'!C456)),--(TRIM('hospitalityq-nil'!D6:D456)=TRIM('hospitalityq-nil'!D456)))&gt;1))</f>
        <v>0</v>
      </c>
    </row>
    <row r="457" spans="1:4" x14ac:dyDescent="0.25">
      <c r="A457">
        <f t="shared" si="7"/>
        <v>0</v>
      </c>
      <c r="C457">
        <f>NOT('hospitalityq-nil'!C457="")*(OR(NOT(IFERROR(AND(INT('hospitalityq-nil'!C457)='hospitalityq-nil'!C457,'hospitalityq-nil'!C457&gt;=2018-50,'hospitalityq-nil'!C457&lt;=2018+50),FALSE)),SUMPRODUCT(--(TRIM('hospitalityq-nil'!C6:C457)=TRIM('hospitalityq-nil'!C457)),--(TRIM('hospitalityq-nil'!D6:D457)=TRIM('hospitalityq-nil'!D457)))&gt;1))</f>
        <v>0</v>
      </c>
      <c r="D457">
        <f>NOT('hospitalityq-nil'!D457="")*(OR(COUNTIF(reference!$C$144:$C$155,TRIM(LEFT('hospitalityq-nil'!D457,FIND(":",'hospitalityq-nil'!D457&amp;":")-1))&amp;":*")=0,SUMPRODUCT(--(TRIM('hospitalityq-nil'!C6:C457)=TRIM('hospitalityq-nil'!C457)),--(TRIM('hospitalityq-nil'!D6:D457)=TRIM('hospitalityq-nil'!D457)))&gt;1))</f>
        <v>0</v>
      </c>
    </row>
    <row r="458" spans="1:4" x14ac:dyDescent="0.25">
      <c r="A458">
        <f t="shared" si="7"/>
        <v>0</v>
      </c>
      <c r="C458">
        <f>NOT('hospitalityq-nil'!C458="")*(OR(NOT(IFERROR(AND(INT('hospitalityq-nil'!C458)='hospitalityq-nil'!C458,'hospitalityq-nil'!C458&gt;=2018-50,'hospitalityq-nil'!C458&lt;=2018+50),FALSE)),SUMPRODUCT(--(TRIM('hospitalityq-nil'!C6:C458)=TRIM('hospitalityq-nil'!C458)),--(TRIM('hospitalityq-nil'!D6:D458)=TRIM('hospitalityq-nil'!D458)))&gt;1))</f>
        <v>0</v>
      </c>
      <c r="D458">
        <f>NOT('hospitalityq-nil'!D458="")*(OR(COUNTIF(reference!$C$144:$C$155,TRIM(LEFT('hospitalityq-nil'!D458,FIND(":",'hospitalityq-nil'!D458&amp;":")-1))&amp;":*")=0,SUMPRODUCT(--(TRIM('hospitalityq-nil'!C6:C458)=TRIM('hospitalityq-nil'!C458)),--(TRIM('hospitalityq-nil'!D6:D458)=TRIM('hospitalityq-nil'!D458)))&gt;1))</f>
        <v>0</v>
      </c>
    </row>
    <row r="459" spans="1:4" x14ac:dyDescent="0.25">
      <c r="A459">
        <f t="shared" si="7"/>
        <v>0</v>
      </c>
      <c r="C459">
        <f>NOT('hospitalityq-nil'!C459="")*(OR(NOT(IFERROR(AND(INT('hospitalityq-nil'!C459)='hospitalityq-nil'!C459,'hospitalityq-nil'!C459&gt;=2018-50,'hospitalityq-nil'!C459&lt;=2018+50),FALSE)),SUMPRODUCT(--(TRIM('hospitalityq-nil'!C6:C459)=TRIM('hospitalityq-nil'!C459)),--(TRIM('hospitalityq-nil'!D6:D459)=TRIM('hospitalityq-nil'!D459)))&gt;1))</f>
        <v>0</v>
      </c>
      <c r="D459">
        <f>NOT('hospitalityq-nil'!D459="")*(OR(COUNTIF(reference!$C$144:$C$155,TRIM(LEFT('hospitalityq-nil'!D459,FIND(":",'hospitalityq-nil'!D459&amp;":")-1))&amp;":*")=0,SUMPRODUCT(--(TRIM('hospitalityq-nil'!C6:C459)=TRIM('hospitalityq-nil'!C459)),--(TRIM('hospitalityq-nil'!D6:D459)=TRIM('hospitalityq-nil'!D459)))&gt;1))</f>
        <v>0</v>
      </c>
    </row>
    <row r="460" spans="1:4" x14ac:dyDescent="0.25">
      <c r="A460">
        <f t="shared" si="7"/>
        <v>0</v>
      </c>
      <c r="C460">
        <f>NOT('hospitalityq-nil'!C460="")*(OR(NOT(IFERROR(AND(INT('hospitalityq-nil'!C460)='hospitalityq-nil'!C460,'hospitalityq-nil'!C460&gt;=2018-50,'hospitalityq-nil'!C460&lt;=2018+50),FALSE)),SUMPRODUCT(--(TRIM('hospitalityq-nil'!C6:C460)=TRIM('hospitalityq-nil'!C460)),--(TRIM('hospitalityq-nil'!D6:D460)=TRIM('hospitalityq-nil'!D460)))&gt;1))</f>
        <v>0</v>
      </c>
      <c r="D460">
        <f>NOT('hospitalityq-nil'!D460="")*(OR(COUNTIF(reference!$C$144:$C$155,TRIM(LEFT('hospitalityq-nil'!D460,FIND(":",'hospitalityq-nil'!D460&amp;":")-1))&amp;":*")=0,SUMPRODUCT(--(TRIM('hospitalityq-nil'!C6:C460)=TRIM('hospitalityq-nil'!C460)),--(TRIM('hospitalityq-nil'!D6:D460)=TRIM('hospitalityq-nil'!D460)))&gt;1))</f>
        <v>0</v>
      </c>
    </row>
    <row r="461" spans="1:4" x14ac:dyDescent="0.25">
      <c r="A461">
        <f t="shared" si="7"/>
        <v>0</v>
      </c>
      <c r="C461">
        <f>NOT('hospitalityq-nil'!C461="")*(OR(NOT(IFERROR(AND(INT('hospitalityq-nil'!C461)='hospitalityq-nil'!C461,'hospitalityq-nil'!C461&gt;=2018-50,'hospitalityq-nil'!C461&lt;=2018+50),FALSE)),SUMPRODUCT(--(TRIM('hospitalityq-nil'!C6:C461)=TRIM('hospitalityq-nil'!C461)),--(TRIM('hospitalityq-nil'!D6:D461)=TRIM('hospitalityq-nil'!D461)))&gt;1))</f>
        <v>0</v>
      </c>
      <c r="D461">
        <f>NOT('hospitalityq-nil'!D461="")*(OR(COUNTIF(reference!$C$144:$C$155,TRIM(LEFT('hospitalityq-nil'!D461,FIND(":",'hospitalityq-nil'!D461&amp;":")-1))&amp;":*")=0,SUMPRODUCT(--(TRIM('hospitalityq-nil'!C6:C461)=TRIM('hospitalityq-nil'!C461)),--(TRIM('hospitalityq-nil'!D6:D461)=TRIM('hospitalityq-nil'!D461)))&gt;1))</f>
        <v>0</v>
      </c>
    </row>
    <row r="462" spans="1:4" x14ac:dyDescent="0.25">
      <c r="A462">
        <f t="shared" si="7"/>
        <v>0</v>
      </c>
      <c r="C462">
        <f>NOT('hospitalityq-nil'!C462="")*(OR(NOT(IFERROR(AND(INT('hospitalityq-nil'!C462)='hospitalityq-nil'!C462,'hospitalityq-nil'!C462&gt;=2018-50,'hospitalityq-nil'!C462&lt;=2018+50),FALSE)),SUMPRODUCT(--(TRIM('hospitalityq-nil'!C6:C462)=TRIM('hospitalityq-nil'!C462)),--(TRIM('hospitalityq-nil'!D6:D462)=TRIM('hospitalityq-nil'!D462)))&gt;1))</f>
        <v>0</v>
      </c>
      <c r="D462">
        <f>NOT('hospitalityq-nil'!D462="")*(OR(COUNTIF(reference!$C$144:$C$155,TRIM(LEFT('hospitalityq-nil'!D462,FIND(":",'hospitalityq-nil'!D462&amp;":")-1))&amp;":*")=0,SUMPRODUCT(--(TRIM('hospitalityq-nil'!C6:C462)=TRIM('hospitalityq-nil'!C462)),--(TRIM('hospitalityq-nil'!D6:D462)=TRIM('hospitalityq-nil'!D462)))&gt;1))</f>
        <v>0</v>
      </c>
    </row>
    <row r="463" spans="1:4" x14ac:dyDescent="0.25">
      <c r="A463">
        <f t="shared" si="7"/>
        <v>0</v>
      </c>
      <c r="C463">
        <f>NOT('hospitalityq-nil'!C463="")*(OR(NOT(IFERROR(AND(INT('hospitalityq-nil'!C463)='hospitalityq-nil'!C463,'hospitalityq-nil'!C463&gt;=2018-50,'hospitalityq-nil'!C463&lt;=2018+50),FALSE)),SUMPRODUCT(--(TRIM('hospitalityq-nil'!C6:C463)=TRIM('hospitalityq-nil'!C463)),--(TRIM('hospitalityq-nil'!D6:D463)=TRIM('hospitalityq-nil'!D463)))&gt;1))</f>
        <v>0</v>
      </c>
      <c r="D463">
        <f>NOT('hospitalityq-nil'!D463="")*(OR(COUNTIF(reference!$C$144:$C$155,TRIM(LEFT('hospitalityq-nil'!D463,FIND(":",'hospitalityq-nil'!D463&amp;":")-1))&amp;":*")=0,SUMPRODUCT(--(TRIM('hospitalityq-nil'!C6:C463)=TRIM('hospitalityq-nil'!C463)),--(TRIM('hospitalityq-nil'!D6:D463)=TRIM('hospitalityq-nil'!D463)))&gt;1))</f>
        <v>0</v>
      </c>
    </row>
    <row r="464" spans="1:4" x14ac:dyDescent="0.25">
      <c r="A464">
        <f t="shared" si="7"/>
        <v>0</v>
      </c>
      <c r="C464">
        <f>NOT('hospitalityq-nil'!C464="")*(OR(NOT(IFERROR(AND(INT('hospitalityq-nil'!C464)='hospitalityq-nil'!C464,'hospitalityq-nil'!C464&gt;=2018-50,'hospitalityq-nil'!C464&lt;=2018+50),FALSE)),SUMPRODUCT(--(TRIM('hospitalityq-nil'!C6:C464)=TRIM('hospitalityq-nil'!C464)),--(TRIM('hospitalityq-nil'!D6:D464)=TRIM('hospitalityq-nil'!D464)))&gt;1))</f>
        <v>0</v>
      </c>
      <c r="D464">
        <f>NOT('hospitalityq-nil'!D464="")*(OR(COUNTIF(reference!$C$144:$C$155,TRIM(LEFT('hospitalityq-nil'!D464,FIND(":",'hospitalityq-nil'!D464&amp;":")-1))&amp;":*")=0,SUMPRODUCT(--(TRIM('hospitalityq-nil'!C6:C464)=TRIM('hospitalityq-nil'!C464)),--(TRIM('hospitalityq-nil'!D6:D464)=TRIM('hospitalityq-nil'!D464)))&gt;1))</f>
        <v>0</v>
      </c>
    </row>
    <row r="465" spans="1:4" x14ac:dyDescent="0.25">
      <c r="A465">
        <f t="shared" si="7"/>
        <v>0</v>
      </c>
      <c r="C465">
        <f>NOT('hospitalityq-nil'!C465="")*(OR(NOT(IFERROR(AND(INT('hospitalityq-nil'!C465)='hospitalityq-nil'!C465,'hospitalityq-nil'!C465&gt;=2018-50,'hospitalityq-nil'!C465&lt;=2018+50),FALSE)),SUMPRODUCT(--(TRIM('hospitalityq-nil'!C6:C465)=TRIM('hospitalityq-nil'!C465)),--(TRIM('hospitalityq-nil'!D6:D465)=TRIM('hospitalityq-nil'!D465)))&gt;1))</f>
        <v>0</v>
      </c>
      <c r="D465">
        <f>NOT('hospitalityq-nil'!D465="")*(OR(COUNTIF(reference!$C$144:$C$155,TRIM(LEFT('hospitalityq-nil'!D465,FIND(":",'hospitalityq-nil'!D465&amp;":")-1))&amp;":*")=0,SUMPRODUCT(--(TRIM('hospitalityq-nil'!C6:C465)=TRIM('hospitalityq-nil'!C465)),--(TRIM('hospitalityq-nil'!D6:D465)=TRIM('hospitalityq-nil'!D465)))&gt;1))</f>
        <v>0</v>
      </c>
    </row>
    <row r="466" spans="1:4" x14ac:dyDescent="0.25">
      <c r="A466">
        <f t="shared" si="7"/>
        <v>0</v>
      </c>
      <c r="C466">
        <f>NOT('hospitalityq-nil'!C466="")*(OR(NOT(IFERROR(AND(INT('hospitalityq-nil'!C466)='hospitalityq-nil'!C466,'hospitalityq-nil'!C466&gt;=2018-50,'hospitalityq-nil'!C466&lt;=2018+50),FALSE)),SUMPRODUCT(--(TRIM('hospitalityq-nil'!C6:C466)=TRIM('hospitalityq-nil'!C466)),--(TRIM('hospitalityq-nil'!D6:D466)=TRIM('hospitalityq-nil'!D466)))&gt;1))</f>
        <v>0</v>
      </c>
      <c r="D466">
        <f>NOT('hospitalityq-nil'!D466="")*(OR(COUNTIF(reference!$C$144:$C$155,TRIM(LEFT('hospitalityq-nil'!D466,FIND(":",'hospitalityq-nil'!D466&amp;":")-1))&amp;":*")=0,SUMPRODUCT(--(TRIM('hospitalityq-nil'!C6:C466)=TRIM('hospitalityq-nil'!C466)),--(TRIM('hospitalityq-nil'!D6:D466)=TRIM('hospitalityq-nil'!D466)))&gt;1))</f>
        <v>0</v>
      </c>
    </row>
    <row r="467" spans="1:4" x14ac:dyDescent="0.25">
      <c r="A467">
        <f t="shared" si="7"/>
        <v>0</v>
      </c>
      <c r="C467">
        <f>NOT('hospitalityq-nil'!C467="")*(OR(NOT(IFERROR(AND(INT('hospitalityq-nil'!C467)='hospitalityq-nil'!C467,'hospitalityq-nil'!C467&gt;=2018-50,'hospitalityq-nil'!C467&lt;=2018+50),FALSE)),SUMPRODUCT(--(TRIM('hospitalityq-nil'!C6:C467)=TRIM('hospitalityq-nil'!C467)),--(TRIM('hospitalityq-nil'!D6:D467)=TRIM('hospitalityq-nil'!D467)))&gt;1))</f>
        <v>0</v>
      </c>
      <c r="D467">
        <f>NOT('hospitalityq-nil'!D467="")*(OR(COUNTIF(reference!$C$144:$C$155,TRIM(LEFT('hospitalityq-nil'!D467,FIND(":",'hospitalityq-nil'!D467&amp;":")-1))&amp;":*")=0,SUMPRODUCT(--(TRIM('hospitalityq-nil'!C6:C467)=TRIM('hospitalityq-nil'!C467)),--(TRIM('hospitalityq-nil'!D6:D467)=TRIM('hospitalityq-nil'!D467)))&gt;1))</f>
        <v>0</v>
      </c>
    </row>
    <row r="468" spans="1:4" x14ac:dyDescent="0.25">
      <c r="A468">
        <f t="shared" si="7"/>
        <v>0</v>
      </c>
      <c r="C468">
        <f>NOT('hospitalityq-nil'!C468="")*(OR(NOT(IFERROR(AND(INT('hospitalityq-nil'!C468)='hospitalityq-nil'!C468,'hospitalityq-nil'!C468&gt;=2018-50,'hospitalityq-nil'!C468&lt;=2018+50),FALSE)),SUMPRODUCT(--(TRIM('hospitalityq-nil'!C6:C468)=TRIM('hospitalityq-nil'!C468)),--(TRIM('hospitalityq-nil'!D6:D468)=TRIM('hospitalityq-nil'!D468)))&gt;1))</f>
        <v>0</v>
      </c>
      <c r="D468">
        <f>NOT('hospitalityq-nil'!D468="")*(OR(COUNTIF(reference!$C$144:$C$155,TRIM(LEFT('hospitalityq-nil'!D468,FIND(":",'hospitalityq-nil'!D468&amp;":")-1))&amp;":*")=0,SUMPRODUCT(--(TRIM('hospitalityq-nil'!C6:C468)=TRIM('hospitalityq-nil'!C468)),--(TRIM('hospitalityq-nil'!D6:D468)=TRIM('hospitalityq-nil'!D468)))&gt;1))</f>
        <v>0</v>
      </c>
    </row>
    <row r="469" spans="1:4" x14ac:dyDescent="0.25">
      <c r="A469">
        <f t="shared" si="7"/>
        <v>0</v>
      </c>
      <c r="C469">
        <f>NOT('hospitalityq-nil'!C469="")*(OR(NOT(IFERROR(AND(INT('hospitalityq-nil'!C469)='hospitalityq-nil'!C469,'hospitalityq-nil'!C469&gt;=2018-50,'hospitalityq-nil'!C469&lt;=2018+50),FALSE)),SUMPRODUCT(--(TRIM('hospitalityq-nil'!C6:C469)=TRIM('hospitalityq-nil'!C469)),--(TRIM('hospitalityq-nil'!D6:D469)=TRIM('hospitalityq-nil'!D469)))&gt;1))</f>
        <v>0</v>
      </c>
      <c r="D469">
        <f>NOT('hospitalityq-nil'!D469="")*(OR(COUNTIF(reference!$C$144:$C$155,TRIM(LEFT('hospitalityq-nil'!D469,FIND(":",'hospitalityq-nil'!D469&amp;":")-1))&amp;":*")=0,SUMPRODUCT(--(TRIM('hospitalityq-nil'!C6:C469)=TRIM('hospitalityq-nil'!C469)),--(TRIM('hospitalityq-nil'!D6:D469)=TRIM('hospitalityq-nil'!D469)))&gt;1))</f>
        <v>0</v>
      </c>
    </row>
    <row r="470" spans="1:4" x14ac:dyDescent="0.25">
      <c r="A470">
        <f t="shared" si="7"/>
        <v>0</v>
      </c>
      <c r="C470">
        <f>NOT('hospitalityq-nil'!C470="")*(OR(NOT(IFERROR(AND(INT('hospitalityq-nil'!C470)='hospitalityq-nil'!C470,'hospitalityq-nil'!C470&gt;=2018-50,'hospitalityq-nil'!C470&lt;=2018+50),FALSE)),SUMPRODUCT(--(TRIM('hospitalityq-nil'!C6:C470)=TRIM('hospitalityq-nil'!C470)),--(TRIM('hospitalityq-nil'!D6:D470)=TRIM('hospitalityq-nil'!D470)))&gt;1))</f>
        <v>0</v>
      </c>
      <c r="D470">
        <f>NOT('hospitalityq-nil'!D470="")*(OR(COUNTIF(reference!$C$144:$C$155,TRIM(LEFT('hospitalityq-nil'!D470,FIND(":",'hospitalityq-nil'!D470&amp;":")-1))&amp;":*")=0,SUMPRODUCT(--(TRIM('hospitalityq-nil'!C6:C470)=TRIM('hospitalityq-nil'!C470)),--(TRIM('hospitalityq-nil'!D6:D470)=TRIM('hospitalityq-nil'!D470)))&gt;1))</f>
        <v>0</v>
      </c>
    </row>
    <row r="471" spans="1:4" x14ac:dyDescent="0.25">
      <c r="A471">
        <f t="shared" si="7"/>
        <v>0</v>
      </c>
      <c r="C471">
        <f>NOT('hospitalityq-nil'!C471="")*(OR(NOT(IFERROR(AND(INT('hospitalityq-nil'!C471)='hospitalityq-nil'!C471,'hospitalityq-nil'!C471&gt;=2018-50,'hospitalityq-nil'!C471&lt;=2018+50),FALSE)),SUMPRODUCT(--(TRIM('hospitalityq-nil'!C6:C471)=TRIM('hospitalityq-nil'!C471)),--(TRIM('hospitalityq-nil'!D6:D471)=TRIM('hospitalityq-nil'!D471)))&gt;1))</f>
        <v>0</v>
      </c>
      <c r="D471">
        <f>NOT('hospitalityq-nil'!D471="")*(OR(COUNTIF(reference!$C$144:$C$155,TRIM(LEFT('hospitalityq-nil'!D471,FIND(":",'hospitalityq-nil'!D471&amp;":")-1))&amp;":*")=0,SUMPRODUCT(--(TRIM('hospitalityq-nil'!C6:C471)=TRIM('hospitalityq-nil'!C471)),--(TRIM('hospitalityq-nil'!D6:D471)=TRIM('hospitalityq-nil'!D471)))&gt;1))</f>
        <v>0</v>
      </c>
    </row>
    <row r="472" spans="1:4" x14ac:dyDescent="0.25">
      <c r="A472">
        <f t="shared" si="7"/>
        <v>0</v>
      </c>
      <c r="C472">
        <f>NOT('hospitalityq-nil'!C472="")*(OR(NOT(IFERROR(AND(INT('hospitalityq-nil'!C472)='hospitalityq-nil'!C472,'hospitalityq-nil'!C472&gt;=2018-50,'hospitalityq-nil'!C472&lt;=2018+50),FALSE)),SUMPRODUCT(--(TRIM('hospitalityq-nil'!C6:C472)=TRIM('hospitalityq-nil'!C472)),--(TRIM('hospitalityq-nil'!D6:D472)=TRIM('hospitalityq-nil'!D472)))&gt;1))</f>
        <v>0</v>
      </c>
      <c r="D472">
        <f>NOT('hospitalityq-nil'!D472="")*(OR(COUNTIF(reference!$C$144:$C$155,TRIM(LEFT('hospitalityq-nil'!D472,FIND(":",'hospitalityq-nil'!D472&amp;":")-1))&amp;":*")=0,SUMPRODUCT(--(TRIM('hospitalityq-nil'!C6:C472)=TRIM('hospitalityq-nil'!C472)),--(TRIM('hospitalityq-nil'!D6:D472)=TRIM('hospitalityq-nil'!D472)))&gt;1))</f>
        <v>0</v>
      </c>
    </row>
    <row r="473" spans="1:4" x14ac:dyDescent="0.25">
      <c r="A473">
        <f t="shared" si="7"/>
        <v>0</v>
      </c>
      <c r="C473">
        <f>NOT('hospitalityq-nil'!C473="")*(OR(NOT(IFERROR(AND(INT('hospitalityq-nil'!C473)='hospitalityq-nil'!C473,'hospitalityq-nil'!C473&gt;=2018-50,'hospitalityq-nil'!C473&lt;=2018+50),FALSE)),SUMPRODUCT(--(TRIM('hospitalityq-nil'!C6:C473)=TRIM('hospitalityq-nil'!C473)),--(TRIM('hospitalityq-nil'!D6:D473)=TRIM('hospitalityq-nil'!D473)))&gt;1))</f>
        <v>0</v>
      </c>
      <c r="D473">
        <f>NOT('hospitalityq-nil'!D473="")*(OR(COUNTIF(reference!$C$144:$C$155,TRIM(LEFT('hospitalityq-nil'!D473,FIND(":",'hospitalityq-nil'!D473&amp;":")-1))&amp;":*")=0,SUMPRODUCT(--(TRIM('hospitalityq-nil'!C6:C473)=TRIM('hospitalityq-nil'!C473)),--(TRIM('hospitalityq-nil'!D6:D473)=TRIM('hospitalityq-nil'!D473)))&gt;1))</f>
        <v>0</v>
      </c>
    </row>
    <row r="474" spans="1:4" x14ac:dyDescent="0.25">
      <c r="A474">
        <f t="shared" si="7"/>
        <v>0</v>
      </c>
      <c r="C474">
        <f>NOT('hospitalityq-nil'!C474="")*(OR(NOT(IFERROR(AND(INT('hospitalityq-nil'!C474)='hospitalityq-nil'!C474,'hospitalityq-nil'!C474&gt;=2018-50,'hospitalityq-nil'!C474&lt;=2018+50),FALSE)),SUMPRODUCT(--(TRIM('hospitalityq-nil'!C6:C474)=TRIM('hospitalityq-nil'!C474)),--(TRIM('hospitalityq-nil'!D6:D474)=TRIM('hospitalityq-nil'!D474)))&gt;1))</f>
        <v>0</v>
      </c>
      <c r="D474">
        <f>NOT('hospitalityq-nil'!D474="")*(OR(COUNTIF(reference!$C$144:$C$155,TRIM(LEFT('hospitalityq-nil'!D474,FIND(":",'hospitalityq-nil'!D474&amp;":")-1))&amp;":*")=0,SUMPRODUCT(--(TRIM('hospitalityq-nil'!C6:C474)=TRIM('hospitalityq-nil'!C474)),--(TRIM('hospitalityq-nil'!D6:D474)=TRIM('hospitalityq-nil'!D474)))&gt;1))</f>
        <v>0</v>
      </c>
    </row>
    <row r="475" spans="1:4" x14ac:dyDescent="0.25">
      <c r="A475">
        <f t="shared" si="7"/>
        <v>0</v>
      </c>
      <c r="C475">
        <f>NOT('hospitalityq-nil'!C475="")*(OR(NOT(IFERROR(AND(INT('hospitalityq-nil'!C475)='hospitalityq-nil'!C475,'hospitalityq-nil'!C475&gt;=2018-50,'hospitalityq-nil'!C475&lt;=2018+50),FALSE)),SUMPRODUCT(--(TRIM('hospitalityq-nil'!C6:C475)=TRIM('hospitalityq-nil'!C475)),--(TRIM('hospitalityq-nil'!D6:D475)=TRIM('hospitalityq-nil'!D475)))&gt;1))</f>
        <v>0</v>
      </c>
      <c r="D475">
        <f>NOT('hospitalityq-nil'!D475="")*(OR(COUNTIF(reference!$C$144:$C$155,TRIM(LEFT('hospitalityq-nil'!D475,FIND(":",'hospitalityq-nil'!D475&amp;":")-1))&amp;":*")=0,SUMPRODUCT(--(TRIM('hospitalityq-nil'!C6:C475)=TRIM('hospitalityq-nil'!C475)),--(TRIM('hospitalityq-nil'!D6:D475)=TRIM('hospitalityq-nil'!D475)))&gt;1))</f>
        <v>0</v>
      </c>
    </row>
    <row r="476" spans="1:4" x14ac:dyDescent="0.25">
      <c r="A476">
        <f t="shared" si="7"/>
        <v>0</v>
      </c>
      <c r="C476">
        <f>NOT('hospitalityq-nil'!C476="")*(OR(NOT(IFERROR(AND(INT('hospitalityq-nil'!C476)='hospitalityq-nil'!C476,'hospitalityq-nil'!C476&gt;=2018-50,'hospitalityq-nil'!C476&lt;=2018+50),FALSE)),SUMPRODUCT(--(TRIM('hospitalityq-nil'!C6:C476)=TRIM('hospitalityq-nil'!C476)),--(TRIM('hospitalityq-nil'!D6:D476)=TRIM('hospitalityq-nil'!D476)))&gt;1))</f>
        <v>0</v>
      </c>
      <c r="D476">
        <f>NOT('hospitalityq-nil'!D476="")*(OR(COUNTIF(reference!$C$144:$C$155,TRIM(LEFT('hospitalityq-nil'!D476,FIND(":",'hospitalityq-nil'!D476&amp;":")-1))&amp;":*")=0,SUMPRODUCT(--(TRIM('hospitalityq-nil'!C6:C476)=TRIM('hospitalityq-nil'!C476)),--(TRIM('hospitalityq-nil'!D6:D476)=TRIM('hospitalityq-nil'!D476)))&gt;1))</f>
        <v>0</v>
      </c>
    </row>
    <row r="477" spans="1:4" x14ac:dyDescent="0.25">
      <c r="A477">
        <f t="shared" si="7"/>
        <v>0</v>
      </c>
      <c r="C477">
        <f>NOT('hospitalityq-nil'!C477="")*(OR(NOT(IFERROR(AND(INT('hospitalityq-nil'!C477)='hospitalityq-nil'!C477,'hospitalityq-nil'!C477&gt;=2018-50,'hospitalityq-nil'!C477&lt;=2018+50),FALSE)),SUMPRODUCT(--(TRIM('hospitalityq-nil'!C6:C477)=TRIM('hospitalityq-nil'!C477)),--(TRIM('hospitalityq-nil'!D6:D477)=TRIM('hospitalityq-nil'!D477)))&gt;1))</f>
        <v>0</v>
      </c>
      <c r="D477">
        <f>NOT('hospitalityq-nil'!D477="")*(OR(COUNTIF(reference!$C$144:$C$155,TRIM(LEFT('hospitalityq-nil'!D477,FIND(":",'hospitalityq-nil'!D477&amp;":")-1))&amp;":*")=0,SUMPRODUCT(--(TRIM('hospitalityq-nil'!C6:C477)=TRIM('hospitalityq-nil'!C477)),--(TRIM('hospitalityq-nil'!D6:D477)=TRIM('hospitalityq-nil'!D477)))&gt;1))</f>
        <v>0</v>
      </c>
    </row>
    <row r="478" spans="1:4" x14ac:dyDescent="0.25">
      <c r="A478">
        <f t="shared" si="7"/>
        <v>0</v>
      </c>
      <c r="C478">
        <f>NOT('hospitalityq-nil'!C478="")*(OR(NOT(IFERROR(AND(INT('hospitalityq-nil'!C478)='hospitalityq-nil'!C478,'hospitalityq-nil'!C478&gt;=2018-50,'hospitalityq-nil'!C478&lt;=2018+50),FALSE)),SUMPRODUCT(--(TRIM('hospitalityq-nil'!C6:C478)=TRIM('hospitalityq-nil'!C478)),--(TRIM('hospitalityq-nil'!D6:D478)=TRIM('hospitalityq-nil'!D478)))&gt;1))</f>
        <v>0</v>
      </c>
      <c r="D478">
        <f>NOT('hospitalityq-nil'!D478="")*(OR(COUNTIF(reference!$C$144:$C$155,TRIM(LEFT('hospitalityq-nil'!D478,FIND(":",'hospitalityq-nil'!D478&amp;":")-1))&amp;":*")=0,SUMPRODUCT(--(TRIM('hospitalityq-nil'!C6:C478)=TRIM('hospitalityq-nil'!C478)),--(TRIM('hospitalityq-nil'!D6:D478)=TRIM('hospitalityq-nil'!D478)))&gt;1))</f>
        <v>0</v>
      </c>
    </row>
    <row r="479" spans="1:4" x14ac:dyDescent="0.25">
      <c r="A479">
        <f t="shared" si="7"/>
        <v>0</v>
      </c>
      <c r="C479">
        <f>NOT('hospitalityq-nil'!C479="")*(OR(NOT(IFERROR(AND(INT('hospitalityq-nil'!C479)='hospitalityq-nil'!C479,'hospitalityq-nil'!C479&gt;=2018-50,'hospitalityq-nil'!C479&lt;=2018+50),FALSE)),SUMPRODUCT(--(TRIM('hospitalityq-nil'!C6:C479)=TRIM('hospitalityq-nil'!C479)),--(TRIM('hospitalityq-nil'!D6:D479)=TRIM('hospitalityq-nil'!D479)))&gt;1))</f>
        <v>0</v>
      </c>
      <c r="D479">
        <f>NOT('hospitalityq-nil'!D479="")*(OR(COUNTIF(reference!$C$144:$C$155,TRIM(LEFT('hospitalityq-nil'!D479,FIND(":",'hospitalityq-nil'!D479&amp;":")-1))&amp;":*")=0,SUMPRODUCT(--(TRIM('hospitalityq-nil'!C6:C479)=TRIM('hospitalityq-nil'!C479)),--(TRIM('hospitalityq-nil'!D6:D479)=TRIM('hospitalityq-nil'!D479)))&gt;1))</f>
        <v>0</v>
      </c>
    </row>
    <row r="480" spans="1:4" x14ac:dyDescent="0.25">
      <c r="A480">
        <f t="shared" si="7"/>
        <v>0</v>
      </c>
      <c r="C480">
        <f>NOT('hospitalityq-nil'!C480="")*(OR(NOT(IFERROR(AND(INT('hospitalityq-nil'!C480)='hospitalityq-nil'!C480,'hospitalityq-nil'!C480&gt;=2018-50,'hospitalityq-nil'!C480&lt;=2018+50),FALSE)),SUMPRODUCT(--(TRIM('hospitalityq-nil'!C6:C480)=TRIM('hospitalityq-nil'!C480)),--(TRIM('hospitalityq-nil'!D6:D480)=TRIM('hospitalityq-nil'!D480)))&gt;1))</f>
        <v>0</v>
      </c>
      <c r="D480">
        <f>NOT('hospitalityq-nil'!D480="")*(OR(COUNTIF(reference!$C$144:$C$155,TRIM(LEFT('hospitalityq-nil'!D480,FIND(":",'hospitalityq-nil'!D480&amp;":")-1))&amp;":*")=0,SUMPRODUCT(--(TRIM('hospitalityq-nil'!C6:C480)=TRIM('hospitalityq-nil'!C480)),--(TRIM('hospitalityq-nil'!D6:D480)=TRIM('hospitalityq-nil'!D480)))&gt;1))</f>
        <v>0</v>
      </c>
    </row>
    <row r="481" spans="1:4" x14ac:dyDescent="0.25">
      <c r="A481">
        <f t="shared" si="7"/>
        <v>0</v>
      </c>
      <c r="C481">
        <f>NOT('hospitalityq-nil'!C481="")*(OR(NOT(IFERROR(AND(INT('hospitalityq-nil'!C481)='hospitalityq-nil'!C481,'hospitalityq-nil'!C481&gt;=2018-50,'hospitalityq-nil'!C481&lt;=2018+50),FALSE)),SUMPRODUCT(--(TRIM('hospitalityq-nil'!C6:C481)=TRIM('hospitalityq-nil'!C481)),--(TRIM('hospitalityq-nil'!D6:D481)=TRIM('hospitalityq-nil'!D481)))&gt;1))</f>
        <v>0</v>
      </c>
      <c r="D481">
        <f>NOT('hospitalityq-nil'!D481="")*(OR(COUNTIF(reference!$C$144:$C$155,TRIM(LEFT('hospitalityq-nil'!D481,FIND(":",'hospitalityq-nil'!D481&amp;":")-1))&amp;":*")=0,SUMPRODUCT(--(TRIM('hospitalityq-nil'!C6:C481)=TRIM('hospitalityq-nil'!C481)),--(TRIM('hospitalityq-nil'!D6:D481)=TRIM('hospitalityq-nil'!D481)))&gt;1))</f>
        <v>0</v>
      </c>
    </row>
    <row r="482" spans="1:4" x14ac:dyDescent="0.25">
      <c r="A482">
        <f t="shared" si="7"/>
        <v>0</v>
      </c>
      <c r="C482">
        <f>NOT('hospitalityq-nil'!C482="")*(OR(NOT(IFERROR(AND(INT('hospitalityq-nil'!C482)='hospitalityq-nil'!C482,'hospitalityq-nil'!C482&gt;=2018-50,'hospitalityq-nil'!C482&lt;=2018+50),FALSE)),SUMPRODUCT(--(TRIM('hospitalityq-nil'!C6:C482)=TRIM('hospitalityq-nil'!C482)),--(TRIM('hospitalityq-nil'!D6:D482)=TRIM('hospitalityq-nil'!D482)))&gt;1))</f>
        <v>0</v>
      </c>
      <c r="D482">
        <f>NOT('hospitalityq-nil'!D482="")*(OR(COUNTIF(reference!$C$144:$C$155,TRIM(LEFT('hospitalityq-nil'!D482,FIND(":",'hospitalityq-nil'!D482&amp;":")-1))&amp;":*")=0,SUMPRODUCT(--(TRIM('hospitalityq-nil'!C6:C482)=TRIM('hospitalityq-nil'!C482)),--(TRIM('hospitalityq-nil'!D6:D482)=TRIM('hospitalityq-nil'!D482)))&gt;1))</f>
        <v>0</v>
      </c>
    </row>
    <row r="483" spans="1:4" x14ac:dyDescent="0.25">
      <c r="A483">
        <f t="shared" si="7"/>
        <v>0</v>
      </c>
      <c r="C483">
        <f>NOT('hospitalityq-nil'!C483="")*(OR(NOT(IFERROR(AND(INT('hospitalityq-nil'!C483)='hospitalityq-nil'!C483,'hospitalityq-nil'!C483&gt;=2018-50,'hospitalityq-nil'!C483&lt;=2018+50),FALSE)),SUMPRODUCT(--(TRIM('hospitalityq-nil'!C6:C483)=TRIM('hospitalityq-nil'!C483)),--(TRIM('hospitalityq-nil'!D6:D483)=TRIM('hospitalityq-nil'!D483)))&gt;1))</f>
        <v>0</v>
      </c>
      <c r="D483">
        <f>NOT('hospitalityq-nil'!D483="")*(OR(COUNTIF(reference!$C$144:$C$155,TRIM(LEFT('hospitalityq-nil'!D483,FIND(":",'hospitalityq-nil'!D483&amp;":")-1))&amp;":*")=0,SUMPRODUCT(--(TRIM('hospitalityq-nil'!C6:C483)=TRIM('hospitalityq-nil'!C483)),--(TRIM('hospitalityq-nil'!D6:D483)=TRIM('hospitalityq-nil'!D483)))&gt;1))</f>
        <v>0</v>
      </c>
    </row>
    <row r="484" spans="1:4" x14ac:dyDescent="0.25">
      <c r="A484">
        <f t="shared" si="7"/>
        <v>0</v>
      </c>
      <c r="C484">
        <f>NOT('hospitalityq-nil'!C484="")*(OR(NOT(IFERROR(AND(INT('hospitalityq-nil'!C484)='hospitalityq-nil'!C484,'hospitalityq-nil'!C484&gt;=2018-50,'hospitalityq-nil'!C484&lt;=2018+50),FALSE)),SUMPRODUCT(--(TRIM('hospitalityq-nil'!C6:C484)=TRIM('hospitalityq-nil'!C484)),--(TRIM('hospitalityq-nil'!D6:D484)=TRIM('hospitalityq-nil'!D484)))&gt;1))</f>
        <v>0</v>
      </c>
      <c r="D484">
        <f>NOT('hospitalityq-nil'!D484="")*(OR(COUNTIF(reference!$C$144:$C$155,TRIM(LEFT('hospitalityq-nil'!D484,FIND(":",'hospitalityq-nil'!D484&amp;":")-1))&amp;":*")=0,SUMPRODUCT(--(TRIM('hospitalityq-nil'!C6:C484)=TRIM('hospitalityq-nil'!C484)),--(TRIM('hospitalityq-nil'!D6:D484)=TRIM('hospitalityq-nil'!D484)))&gt;1))</f>
        <v>0</v>
      </c>
    </row>
    <row r="485" spans="1:4" x14ac:dyDescent="0.25">
      <c r="A485">
        <f t="shared" si="7"/>
        <v>0</v>
      </c>
      <c r="C485">
        <f>NOT('hospitalityq-nil'!C485="")*(OR(NOT(IFERROR(AND(INT('hospitalityq-nil'!C485)='hospitalityq-nil'!C485,'hospitalityq-nil'!C485&gt;=2018-50,'hospitalityq-nil'!C485&lt;=2018+50),FALSE)),SUMPRODUCT(--(TRIM('hospitalityq-nil'!C6:C485)=TRIM('hospitalityq-nil'!C485)),--(TRIM('hospitalityq-nil'!D6:D485)=TRIM('hospitalityq-nil'!D485)))&gt;1))</f>
        <v>0</v>
      </c>
      <c r="D485">
        <f>NOT('hospitalityq-nil'!D485="")*(OR(COUNTIF(reference!$C$144:$C$155,TRIM(LEFT('hospitalityq-nil'!D485,FIND(":",'hospitalityq-nil'!D485&amp;":")-1))&amp;":*")=0,SUMPRODUCT(--(TRIM('hospitalityq-nil'!C6:C485)=TRIM('hospitalityq-nil'!C485)),--(TRIM('hospitalityq-nil'!D6:D485)=TRIM('hospitalityq-nil'!D485)))&gt;1))</f>
        <v>0</v>
      </c>
    </row>
    <row r="486" spans="1:4" x14ac:dyDescent="0.25">
      <c r="A486">
        <f t="shared" si="7"/>
        <v>0</v>
      </c>
      <c r="C486">
        <f>NOT('hospitalityq-nil'!C486="")*(OR(NOT(IFERROR(AND(INT('hospitalityq-nil'!C486)='hospitalityq-nil'!C486,'hospitalityq-nil'!C486&gt;=2018-50,'hospitalityq-nil'!C486&lt;=2018+50),FALSE)),SUMPRODUCT(--(TRIM('hospitalityq-nil'!C6:C486)=TRIM('hospitalityq-nil'!C486)),--(TRIM('hospitalityq-nil'!D6:D486)=TRIM('hospitalityq-nil'!D486)))&gt;1))</f>
        <v>0</v>
      </c>
      <c r="D486">
        <f>NOT('hospitalityq-nil'!D486="")*(OR(COUNTIF(reference!$C$144:$C$155,TRIM(LEFT('hospitalityq-nil'!D486,FIND(":",'hospitalityq-nil'!D486&amp;":")-1))&amp;":*")=0,SUMPRODUCT(--(TRIM('hospitalityq-nil'!C6:C486)=TRIM('hospitalityq-nil'!C486)),--(TRIM('hospitalityq-nil'!D6:D486)=TRIM('hospitalityq-nil'!D486)))&gt;1))</f>
        <v>0</v>
      </c>
    </row>
    <row r="487" spans="1:4" x14ac:dyDescent="0.25">
      <c r="A487">
        <f t="shared" si="7"/>
        <v>0</v>
      </c>
      <c r="C487">
        <f>NOT('hospitalityq-nil'!C487="")*(OR(NOT(IFERROR(AND(INT('hospitalityq-nil'!C487)='hospitalityq-nil'!C487,'hospitalityq-nil'!C487&gt;=2018-50,'hospitalityq-nil'!C487&lt;=2018+50),FALSE)),SUMPRODUCT(--(TRIM('hospitalityq-nil'!C6:C487)=TRIM('hospitalityq-nil'!C487)),--(TRIM('hospitalityq-nil'!D6:D487)=TRIM('hospitalityq-nil'!D487)))&gt;1))</f>
        <v>0</v>
      </c>
      <c r="D487">
        <f>NOT('hospitalityq-nil'!D487="")*(OR(COUNTIF(reference!$C$144:$C$155,TRIM(LEFT('hospitalityq-nil'!D487,FIND(":",'hospitalityq-nil'!D487&amp;":")-1))&amp;":*")=0,SUMPRODUCT(--(TRIM('hospitalityq-nil'!C6:C487)=TRIM('hospitalityq-nil'!C487)),--(TRIM('hospitalityq-nil'!D6:D487)=TRIM('hospitalityq-nil'!D487)))&gt;1))</f>
        <v>0</v>
      </c>
    </row>
    <row r="488" spans="1:4" x14ac:dyDescent="0.25">
      <c r="A488">
        <f t="shared" si="7"/>
        <v>0</v>
      </c>
      <c r="C488">
        <f>NOT('hospitalityq-nil'!C488="")*(OR(NOT(IFERROR(AND(INT('hospitalityq-nil'!C488)='hospitalityq-nil'!C488,'hospitalityq-nil'!C488&gt;=2018-50,'hospitalityq-nil'!C488&lt;=2018+50),FALSE)),SUMPRODUCT(--(TRIM('hospitalityq-nil'!C6:C488)=TRIM('hospitalityq-nil'!C488)),--(TRIM('hospitalityq-nil'!D6:D488)=TRIM('hospitalityq-nil'!D488)))&gt;1))</f>
        <v>0</v>
      </c>
      <c r="D488">
        <f>NOT('hospitalityq-nil'!D488="")*(OR(COUNTIF(reference!$C$144:$C$155,TRIM(LEFT('hospitalityq-nil'!D488,FIND(":",'hospitalityq-nil'!D488&amp;":")-1))&amp;":*")=0,SUMPRODUCT(--(TRIM('hospitalityq-nil'!C6:C488)=TRIM('hospitalityq-nil'!C488)),--(TRIM('hospitalityq-nil'!D6:D488)=TRIM('hospitalityq-nil'!D488)))&gt;1))</f>
        <v>0</v>
      </c>
    </row>
    <row r="489" spans="1:4" x14ac:dyDescent="0.25">
      <c r="A489">
        <f t="shared" si="7"/>
        <v>0</v>
      </c>
      <c r="C489">
        <f>NOT('hospitalityq-nil'!C489="")*(OR(NOT(IFERROR(AND(INT('hospitalityq-nil'!C489)='hospitalityq-nil'!C489,'hospitalityq-nil'!C489&gt;=2018-50,'hospitalityq-nil'!C489&lt;=2018+50),FALSE)),SUMPRODUCT(--(TRIM('hospitalityq-nil'!C6:C489)=TRIM('hospitalityq-nil'!C489)),--(TRIM('hospitalityq-nil'!D6:D489)=TRIM('hospitalityq-nil'!D489)))&gt;1))</f>
        <v>0</v>
      </c>
      <c r="D489">
        <f>NOT('hospitalityq-nil'!D489="")*(OR(COUNTIF(reference!$C$144:$C$155,TRIM(LEFT('hospitalityq-nil'!D489,FIND(":",'hospitalityq-nil'!D489&amp;":")-1))&amp;":*")=0,SUMPRODUCT(--(TRIM('hospitalityq-nil'!C6:C489)=TRIM('hospitalityq-nil'!C489)),--(TRIM('hospitalityq-nil'!D6:D489)=TRIM('hospitalityq-nil'!D489)))&gt;1))</f>
        <v>0</v>
      </c>
    </row>
    <row r="490" spans="1:4" x14ac:dyDescent="0.25">
      <c r="A490">
        <f t="shared" si="7"/>
        <v>0</v>
      </c>
      <c r="C490">
        <f>NOT('hospitalityq-nil'!C490="")*(OR(NOT(IFERROR(AND(INT('hospitalityq-nil'!C490)='hospitalityq-nil'!C490,'hospitalityq-nil'!C490&gt;=2018-50,'hospitalityq-nil'!C490&lt;=2018+50),FALSE)),SUMPRODUCT(--(TRIM('hospitalityq-nil'!C6:C490)=TRIM('hospitalityq-nil'!C490)),--(TRIM('hospitalityq-nil'!D6:D490)=TRIM('hospitalityq-nil'!D490)))&gt;1))</f>
        <v>0</v>
      </c>
      <c r="D490">
        <f>NOT('hospitalityq-nil'!D490="")*(OR(COUNTIF(reference!$C$144:$C$155,TRIM(LEFT('hospitalityq-nil'!D490,FIND(":",'hospitalityq-nil'!D490&amp;":")-1))&amp;":*")=0,SUMPRODUCT(--(TRIM('hospitalityq-nil'!C6:C490)=TRIM('hospitalityq-nil'!C490)),--(TRIM('hospitalityq-nil'!D6:D490)=TRIM('hospitalityq-nil'!D490)))&gt;1))</f>
        <v>0</v>
      </c>
    </row>
    <row r="491" spans="1:4" x14ac:dyDescent="0.25">
      <c r="A491">
        <f t="shared" si="7"/>
        <v>0</v>
      </c>
      <c r="C491">
        <f>NOT('hospitalityq-nil'!C491="")*(OR(NOT(IFERROR(AND(INT('hospitalityq-nil'!C491)='hospitalityq-nil'!C491,'hospitalityq-nil'!C491&gt;=2018-50,'hospitalityq-nil'!C491&lt;=2018+50),FALSE)),SUMPRODUCT(--(TRIM('hospitalityq-nil'!C6:C491)=TRIM('hospitalityq-nil'!C491)),--(TRIM('hospitalityq-nil'!D6:D491)=TRIM('hospitalityq-nil'!D491)))&gt;1))</f>
        <v>0</v>
      </c>
      <c r="D491">
        <f>NOT('hospitalityq-nil'!D491="")*(OR(COUNTIF(reference!$C$144:$C$155,TRIM(LEFT('hospitalityq-nil'!D491,FIND(":",'hospitalityq-nil'!D491&amp;":")-1))&amp;":*")=0,SUMPRODUCT(--(TRIM('hospitalityq-nil'!C6:C491)=TRIM('hospitalityq-nil'!C491)),--(TRIM('hospitalityq-nil'!D6:D491)=TRIM('hospitalityq-nil'!D491)))&gt;1))</f>
        <v>0</v>
      </c>
    </row>
    <row r="492" spans="1:4" x14ac:dyDescent="0.25">
      <c r="A492">
        <f t="shared" si="7"/>
        <v>0</v>
      </c>
      <c r="C492">
        <f>NOT('hospitalityq-nil'!C492="")*(OR(NOT(IFERROR(AND(INT('hospitalityq-nil'!C492)='hospitalityq-nil'!C492,'hospitalityq-nil'!C492&gt;=2018-50,'hospitalityq-nil'!C492&lt;=2018+50),FALSE)),SUMPRODUCT(--(TRIM('hospitalityq-nil'!C6:C492)=TRIM('hospitalityq-nil'!C492)),--(TRIM('hospitalityq-nil'!D6:D492)=TRIM('hospitalityq-nil'!D492)))&gt;1))</f>
        <v>0</v>
      </c>
      <c r="D492">
        <f>NOT('hospitalityq-nil'!D492="")*(OR(COUNTIF(reference!$C$144:$C$155,TRIM(LEFT('hospitalityq-nil'!D492,FIND(":",'hospitalityq-nil'!D492&amp;":")-1))&amp;":*")=0,SUMPRODUCT(--(TRIM('hospitalityq-nil'!C6:C492)=TRIM('hospitalityq-nil'!C492)),--(TRIM('hospitalityq-nil'!D6:D492)=TRIM('hospitalityq-nil'!D492)))&gt;1))</f>
        <v>0</v>
      </c>
    </row>
    <row r="493" spans="1:4" x14ac:dyDescent="0.25">
      <c r="A493">
        <f t="shared" si="7"/>
        <v>0</v>
      </c>
      <c r="C493">
        <f>NOT('hospitalityq-nil'!C493="")*(OR(NOT(IFERROR(AND(INT('hospitalityq-nil'!C493)='hospitalityq-nil'!C493,'hospitalityq-nil'!C493&gt;=2018-50,'hospitalityq-nil'!C493&lt;=2018+50),FALSE)),SUMPRODUCT(--(TRIM('hospitalityq-nil'!C6:C493)=TRIM('hospitalityq-nil'!C493)),--(TRIM('hospitalityq-nil'!D6:D493)=TRIM('hospitalityq-nil'!D493)))&gt;1))</f>
        <v>0</v>
      </c>
      <c r="D493">
        <f>NOT('hospitalityq-nil'!D493="")*(OR(COUNTIF(reference!$C$144:$C$155,TRIM(LEFT('hospitalityq-nil'!D493,FIND(":",'hospitalityq-nil'!D493&amp;":")-1))&amp;":*")=0,SUMPRODUCT(--(TRIM('hospitalityq-nil'!C6:C493)=TRIM('hospitalityq-nil'!C493)),--(TRIM('hospitalityq-nil'!D6:D493)=TRIM('hospitalityq-nil'!D493)))&gt;1))</f>
        <v>0</v>
      </c>
    </row>
    <row r="494" spans="1:4" x14ac:dyDescent="0.25">
      <c r="A494">
        <f t="shared" si="7"/>
        <v>0</v>
      </c>
      <c r="C494">
        <f>NOT('hospitalityq-nil'!C494="")*(OR(NOT(IFERROR(AND(INT('hospitalityq-nil'!C494)='hospitalityq-nil'!C494,'hospitalityq-nil'!C494&gt;=2018-50,'hospitalityq-nil'!C494&lt;=2018+50),FALSE)),SUMPRODUCT(--(TRIM('hospitalityq-nil'!C6:C494)=TRIM('hospitalityq-nil'!C494)),--(TRIM('hospitalityq-nil'!D6:D494)=TRIM('hospitalityq-nil'!D494)))&gt;1))</f>
        <v>0</v>
      </c>
      <c r="D494">
        <f>NOT('hospitalityq-nil'!D494="")*(OR(COUNTIF(reference!$C$144:$C$155,TRIM(LEFT('hospitalityq-nil'!D494,FIND(":",'hospitalityq-nil'!D494&amp;":")-1))&amp;":*")=0,SUMPRODUCT(--(TRIM('hospitalityq-nil'!C6:C494)=TRIM('hospitalityq-nil'!C494)),--(TRIM('hospitalityq-nil'!D6:D494)=TRIM('hospitalityq-nil'!D494)))&gt;1))</f>
        <v>0</v>
      </c>
    </row>
    <row r="495" spans="1:4" x14ac:dyDescent="0.25">
      <c r="A495">
        <f t="shared" si="7"/>
        <v>0</v>
      </c>
      <c r="C495">
        <f>NOT('hospitalityq-nil'!C495="")*(OR(NOT(IFERROR(AND(INT('hospitalityq-nil'!C495)='hospitalityq-nil'!C495,'hospitalityq-nil'!C495&gt;=2018-50,'hospitalityq-nil'!C495&lt;=2018+50),FALSE)),SUMPRODUCT(--(TRIM('hospitalityq-nil'!C6:C495)=TRIM('hospitalityq-nil'!C495)),--(TRIM('hospitalityq-nil'!D6:D495)=TRIM('hospitalityq-nil'!D495)))&gt;1))</f>
        <v>0</v>
      </c>
      <c r="D495">
        <f>NOT('hospitalityq-nil'!D495="")*(OR(COUNTIF(reference!$C$144:$C$155,TRIM(LEFT('hospitalityq-nil'!D495,FIND(":",'hospitalityq-nil'!D495&amp;":")-1))&amp;":*")=0,SUMPRODUCT(--(TRIM('hospitalityq-nil'!C6:C495)=TRIM('hospitalityq-nil'!C495)),--(TRIM('hospitalityq-nil'!D6:D495)=TRIM('hospitalityq-nil'!D495)))&gt;1))</f>
        <v>0</v>
      </c>
    </row>
    <row r="496" spans="1:4" x14ac:dyDescent="0.25">
      <c r="A496">
        <f t="shared" si="7"/>
        <v>0</v>
      </c>
      <c r="C496">
        <f>NOT('hospitalityq-nil'!C496="")*(OR(NOT(IFERROR(AND(INT('hospitalityq-nil'!C496)='hospitalityq-nil'!C496,'hospitalityq-nil'!C496&gt;=2018-50,'hospitalityq-nil'!C496&lt;=2018+50),FALSE)),SUMPRODUCT(--(TRIM('hospitalityq-nil'!C6:C496)=TRIM('hospitalityq-nil'!C496)),--(TRIM('hospitalityq-nil'!D6:D496)=TRIM('hospitalityq-nil'!D496)))&gt;1))</f>
        <v>0</v>
      </c>
      <c r="D496">
        <f>NOT('hospitalityq-nil'!D496="")*(OR(COUNTIF(reference!$C$144:$C$155,TRIM(LEFT('hospitalityq-nil'!D496,FIND(":",'hospitalityq-nil'!D496&amp;":")-1))&amp;":*")=0,SUMPRODUCT(--(TRIM('hospitalityq-nil'!C6:C496)=TRIM('hospitalityq-nil'!C496)),--(TRIM('hospitalityq-nil'!D6:D496)=TRIM('hospitalityq-nil'!D496)))&gt;1))</f>
        <v>0</v>
      </c>
    </row>
    <row r="497" spans="1:4" x14ac:dyDescent="0.25">
      <c r="A497">
        <f t="shared" si="7"/>
        <v>0</v>
      </c>
      <c r="C497">
        <f>NOT('hospitalityq-nil'!C497="")*(OR(NOT(IFERROR(AND(INT('hospitalityq-nil'!C497)='hospitalityq-nil'!C497,'hospitalityq-nil'!C497&gt;=2018-50,'hospitalityq-nil'!C497&lt;=2018+50),FALSE)),SUMPRODUCT(--(TRIM('hospitalityq-nil'!C6:C497)=TRIM('hospitalityq-nil'!C497)),--(TRIM('hospitalityq-nil'!D6:D497)=TRIM('hospitalityq-nil'!D497)))&gt;1))</f>
        <v>0</v>
      </c>
      <c r="D497">
        <f>NOT('hospitalityq-nil'!D497="")*(OR(COUNTIF(reference!$C$144:$C$155,TRIM(LEFT('hospitalityq-nil'!D497,FIND(":",'hospitalityq-nil'!D497&amp;":")-1))&amp;":*")=0,SUMPRODUCT(--(TRIM('hospitalityq-nil'!C6:C497)=TRIM('hospitalityq-nil'!C497)),--(TRIM('hospitalityq-nil'!D6:D497)=TRIM('hospitalityq-nil'!D497)))&gt;1))</f>
        <v>0</v>
      </c>
    </row>
    <row r="498" spans="1:4" x14ac:dyDescent="0.25">
      <c r="A498">
        <f t="shared" si="7"/>
        <v>0</v>
      </c>
      <c r="C498">
        <f>NOT('hospitalityq-nil'!C498="")*(OR(NOT(IFERROR(AND(INT('hospitalityq-nil'!C498)='hospitalityq-nil'!C498,'hospitalityq-nil'!C498&gt;=2018-50,'hospitalityq-nil'!C498&lt;=2018+50),FALSE)),SUMPRODUCT(--(TRIM('hospitalityq-nil'!C6:C498)=TRIM('hospitalityq-nil'!C498)),--(TRIM('hospitalityq-nil'!D6:D498)=TRIM('hospitalityq-nil'!D498)))&gt;1))</f>
        <v>0</v>
      </c>
      <c r="D498">
        <f>NOT('hospitalityq-nil'!D498="")*(OR(COUNTIF(reference!$C$144:$C$155,TRIM(LEFT('hospitalityq-nil'!D498,FIND(":",'hospitalityq-nil'!D498&amp;":")-1))&amp;":*")=0,SUMPRODUCT(--(TRIM('hospitalityq-nil'!C6:C498)=TRIM('hospitalityq-nil'!C498)),--(TRIM('hospitalityq-nil'!D6:D498)=TRIM('hospitalityq-nil'!D498)))&gt;1))</f>
        <v>0</v>
      </c>
    </row>
    <row r="499" spans="1:4" x14ac:dyDescent="0.25">
      <c r="A499">
        <f t="shared" si="7"/>
        <v>0</v>
      </c>
      <c r="C499">
        <f>NOT('hospitalityq-nil'!C499="")*(OR(NOT(IFERROR(AND(INT('hospitalityq-nil'!C499)='hospitalityq-nil'!C499,'hospitalityq-nil'!C499&gt;=2018-50,'hospitalityq-nil'!C499&lt;=2018+50),FALSE)),SUMPRODUCT(--(TRIM('hospitalityq-nil'!C6:C499)=TRIM('hospitalityq-nil'!C499)),--(TRIM('hospitalityq-nil'!D6:D499)=TRIM('hospitalityq-nil'!D499)))&gt;1))</f>
        <v>0</v>
      </c>
      <c r="D499">
        <f>NOT('hospitalityq-nil'!D499="")*(OR(COUNTIF(reference!$C$144:$C$155,TRIM(LEFT('hospitalityq-nil'!D499,FIND(":",'hospitalityq-nil'!D499&amp;":")-1))&amp;":*")=0,SUMPRODUCT(--(TRIM('hospitalityq-nil'!C6:C499)=TRIM('hospitalityq-nil'!C499)),--(TRIM('hospitalityq-nil'!D6:D499)=TRIM('hospitalityq-nil'!D499)))&gt;1))</f>
        <v>0</v>
      </c>
    </row>
    <row r="500" spans="1:4" x14ac:dyDescent="0.25">
      <c r="A500">
        <f t="shared" si="7"/>
        <v>0</v>
      </c>
      <c r="C500">
        <f>NOT('hospitalityq-nil'!C500="")*(OR(NOT(IFERROR(AND(INT('hospitalityq-nil'!C500)='hospitalityq-nil'!C500,'hospitalityq-nil'!C500&gt;=2018-50,'hospitalityq-nil'!C500&lt;=2018+50),FALSE)),SUMPRODUCT(--(TRIM('hospitalityq-nil'!C6:C500)=TRIM('hospitalityq-nil'!C500)),--(TRIM('hospitalityq-nil'!D6:D500)=TRIM('hospitalityq-nil'!D500)))&gt;1))</f>
        <v>0</v>
      </c>
      <c r="D500">
        <f>NOT('hospitalityq-nil'!D500="")*(OR(COUNTIF(reference!$C$144:$C$155,TRIM(LEFT('hospitalityq-nil'!D500,FIND(":",'hospitalityq-nil'!D500&amp;":")-1))&amp;":*")=0,SUMPRODUCT(--(TRIM('hospitalityq-nil'!C6:C500)=TRIM('hospitalityq-nil'!C500)),--(TRIM('hospitalityq-nil'!D6:D500)=TRIM('hospitalityq-nil'!D500)))&gt;1))</f>
        <v>0</v>
      </c>
    </row>
    <row r="501" spans="1:4" x14ac:dyDescent="0.25">
      <c r="A501">
        <f t="shared" si="7"/>
        <v>0</v>
      </c>
      <c r="C501">
        <f>NOT('hospitalityq-nil'!C501="")*(OR(NOT(IFERROR(AND(INT('hospitalityq-nil'!C501)='hospitalityq-nil'!C501,'hospitalityq-nil'!C501&gt;=2018-50,'hospitalityq-nil'!C501&lt;=2018+50),FALSE)),SUMPRODUCT(--(TRIM('hospitalityq-nil'!C6:C501)=TRIM('hospitalityq-nil'!C501)),--(TRIM('hospitalityq-nil'!D6:D501)=TRIM('hospitalityq-nil'!D501)))&gt;1))</f>
        <v>0</v>
      </c>
      <c r="D501">
        <f>NOT('hospitalityq-nil'!D501="")*(OR(COUNTIF(reference!$C$144:$C$155,TRIM(LEFT('hospitalityq-nil'!D501,FIND(":",'hospitalityq-nil'!D501&amp;":")-1))&amp;":*")=0,SUMPRODUCT(--(TRIM('hospitalityq-nil'!C6:C501)=TRIM('hospitalityq-nil'!C501)),--(TRIM('hospitalityq-nil'!D6:D501)=TRIM('hospitalityq-nil'!D501)))&gt;1))</f>
        <v>0</v>
      </c>
    </row>
    <row r="502" spans="1:4" x14ac:dyDescent="0.25">
      <c r="A502">
        <f t="shared" si="7"/>
        <v>0</v>
      </c>
      <c r="C502">
        <f>NOT('hospitalityq-nil'!C502="")*(OR(NOT(IFERROR(AND(INT('hospitalityq-nil'!C502)='hospitalityq-nil'!C502,'hospitalityq-nil'!C502&gt;=2018-50,'hospitalityq-nil'!C502&lt;=2018+50),FALSE)),SUMPRODUCT(--(TRIM('hospitalityq-nil'!C6:C502)=TRIM('hospitalityq-nil'!C502)),--(TRIM('hospitalityq-nil'!D6:D502)=TRIM('hospitalityq-nil'!D502)))&gt;1))</f>
        <v>0</v>
      </c>
      <c r="D502">
        <f>NOT('hospitalityq-nil'!D502="")*(OR(COUNTIF(reference!$C$144:$C$155,TRIM(LEFT('hospitalityq-nil'!D502,FIND(":",'hospitalityq-nil'!D502&amp;":")-1))&amp;":*")=0,SUMPRODUCT(--(TRIM('hospitalityq-nil'!C6:C502)=TRIM('hospitalityq-nil'!C502)),--(TRIM('hospitalityq-nil'!D6:D502)=TRIM('hospitalityq-nil'!D502)))&gt;1))</f>
        <v>0</v>
      </c>
    </row>
    <row r="503" spans="1:4" x14ac:dyDescent="0.25">
      <c r="A503">
        <f t="shared" si="7"/>
        <v>0</v>
      </c>
      <c r="C503">
        <f>NOT('hospitalityq-nil'!C503="")*(OR(NOT(IFERROR(AND(INT('hospitalityq-nil'!C503)='hospitalityq-nil'!C503,'hospitalityq-nil'!C503&gt;=2018-50,'hospitalityq-nil'!C503&lt;=2018+50),FALSE)),SUMPRODUCT(--(TRIM('hospitalityq-nil'!C6:C503)=TRIM('hospitalityq-nil'!C503)),--(TRIM('hospitalityq-nil'!D6:D503)=TRIM('hospitalityq-nil'!D503)))&gt;1))</f>
        <v>0</v>
      </c>
      <c r="D503">
        <f>NOT('hospitalityq-nil'!D503="")*(OR(COUNTIF(reference!$C$144:$C$155,TRIM(LEFT('hospitalityq-nil'!D503,FIND(":",'hospitalityq-nil'!D503&amp;":")-1))&amp;":*")=0,SUMPRODUCT(--(TRIM('hospitalityq-nil'!C6:C503)=TRIM('hospitalityq-nil'!C503)),--(TRIM('hospitalityq-nil'!D6:D503)=TRIM('hospitalityq-nil'!D503)))&gt;1))</f>
        <v>0</v>
      </c>
    </row>
    <row r="504" spans="1:4" x14ac:dyDescent="0.25">
      <c r="A504">
        <f t="shared" si="7"/>
        <v>0</v>
      </c>
      <c r="C504">
        <f>NOT('hospitalityq-nil'!C504="")*(OR(NOT(IFERROR(AND(INT('hospitalityq-nil'!C504)='hospitalityq-nil'!C504,'hospitalityq-nil'!C504&gt;=2018-50,'hospitalityq-nil'!C504&lt;=2018+50),FALSE)),SUMPRODUCT(--(TRIM('hospitalityq-nil'!C6:C504)=TRIM('hospitalityq-nil'!C504)),--(TRIM('hospitalityq-nil'!D6:D504)=TRIM('hospitalityq-nil'!D504)))&gt;1))</f>
        <v>0</v>
      </c>
      <c r="D504">
        <f>NOT('hospitalityq-nil'!D504="")*(OR(COUNTIF(reference!$C$144:$C$155,TRIM(LEFT('hospitalityq-nil'!D504,FIND(":",'hospitalityq-nil'!D504&amp;":")-1))&amp;":*")=0,SUMPRODUCT(--(TRIM('hospitalityq-nil'!C6:C504)=TRIM('hospitalityq-nil'!C504)),--(TRIM('hospitalityq-nil'!D6:D504)=TRIM('hospitalityq-nil'!D504)))&gt;1))</f>
        <v>0</v>
      </c>
    </row>
    <row r="505" spans="1:4" x14ac:dyDescent="0.25">
      <c r="A505">
        <f t="shared" si="7"/>
        <v>0</v>
      </c>
      <c r="C505">
        <f>NOT('hospitalityq-nil'!C505="")*(OR(NOT(IFERROR(AND(INT('hospitalityq-nil'!C505)='hospitalityq-nil'!C505,'hospitalityq-nil'!C505&gt;=2018-50,'hospitalityq-nil'!C505&lt;=2018+50),FALSE)),SUMPRODUCT(--(TRIM('hospitalityq-nil'!C6:C505)=TRIM('hospitalityq-nil'!C505)),--(TRIM('hospitalityq-nil'!D6:D505)=TRIM('hospitalityq-nil'!D505)))&gt;1))</f>
        <v>0</v>
      </c>
      <c r="D505">
        <f>NOT('hospitalityq-nil'!D505="")*(OR(COUNTIF(reference!$C$144:$C$155,TRIM(LEFT('hospitalityq-nil'!D505,FIND(":",'hospitalityq-nil'!D505&amp;":")-1))&amp;":*")=0,SUMPRODUCT(--(TRIM('hospitalityq-nil'!C6:C505)=TRIM('hospitalityq-nil'!C505)),--(TRIM('hospitalityq-nil'!D6:D505)=TRIM('hospitalityq-nil'!D505)))&gt;1))</f>
        <v>0</v>
      </c>
    </row>
    <row r="506" spans="1:4" x14ac:dyDescent="0.25">
      <c r="A506">
        <f t="shared" si="7"/>
        <v>0</v>
      </c>
      <c r="C506">
        <f>NOT('hospitalityq-nil'!C506="")*(OR(NOT(IFERROR(AND(INT('hospitalityq-nil'!C506)='hospitalityq-nil'!C506,'hospitalityq-nil'!C506&gt;=2018-50,'hospitalityq-nil'!C506&lt;=2018+50),FALSE)),SUMPRODUCT(--(TRIM('hospitalityq-nil'!C6:C506)=TRIM('hospitalityq-nil'!C506)),--(TRIM('hospitalityq-nil'!D6:D506)=TRIM('hospitalityq-nil'!D506)))&gt;1))</f>
        <v>0</v>
      </c>
      <c r="D506">
        <f>NOT('hospitalityq-nil'!D506="")*(OR(COUNTIF(reference!$C$144:$C$155,TRIM(LEFT('hospitalityq-nil'!D506,FIND(":",'hospitalityq-nil'!D506&amp;":")-1))&amp;":*")=0,SUMPRODUCT(--(TRIM('hospitalityq-nil'!C6:C506)=TRIM('hospitalityq-nil'!C506)),--(TRIM('hospitalityq-nil'!D6:D506)=TRIM('hospitalityq-nil'!D506)))&gt;1))</f>
        <v>0</v>
      </c>
    </row>
    <row r="507" spans="1:4" x14ac:dyDescent="0.25">
      <c r="A507">
        <f t="shared" si="7"/>
        <v>0</v>
      </c>
      <c r="C507">
        <f>NOT('hospitalityq-nil'!C507="")*(OR(NOT(IFERROR(AND(INT('hospitalityq-nil'!C507)='hospitalityq-nil'!C507,'hospitalityq-nil'!C507&gt;=2018-50,'hospitalityq-nil'!C507&lt;=2018+50),FALSE)),SUMPRODUCT(--(TRIM('hospitalityq-nil'!C6:C507)=TRIM('hospitalityq-nil'!C507)),--(TRIM('hospitalityq-nil'!D6:D507)=TRIM('hospitalityq-nil'!D507)))&gt;1))</f>
        <v>0</v>
      </c>
      <c r="D507">
        <f>NOT('hospitalityq-nil'!D507="")*(OR(COUNTIF(reference!$C$144:$C$155,TRIM(LEFT('hospitalityq-nil'!D507,FIND(":",'hospitalityq-nil'!D507&amp;":")-1))&amp;":*")=0,SUMPRODUCT(--(TRIM('hospitalityq-nil'!C6:C507)=TRIM('hospitalityq-nil'!C507)),--(TRIM('hospitalityq-nil'!D6:D507)=TRIM('hospitalityq-nil'!D507)))&gt;1))</f>
        <v>0</v>
      </c>
    </row>
    <row r="508" spans="1:4" x14ac:dyDescent="0.25">
      <c r="A508">
        <f t="shared" si="7"/>
        <v>0</v>
      </c>
      <c r="C508">
        <f>NOT('hospitalityq-nil'!C508="")*(OR(NOT(IFERROR(AND(INT('hospitalityq-nil'!C508)='hospitalityq-nil'!C508,'hospitalityq-nil'!C508&gt;=2018-50,'hospitalityq-nil'!C508&lt;=2018+50),FALSE)),SUMPRODUCT(--(TRIM('hospitalityq-nil'!C6:C508)=TRIM('hospitalityq-nil'!C508)),--(TRIM('hospitalityq-nil'!D6:D508)=TRIM('hospitalityq-nil'!D508)))&gt;1))</f>
        <v>0</v>
      </c>
      <c r="D508">
        <f>NOT('hospitalityq-nil'!D508="")*(OR(COUNTIF(reference!$C$144:$C$155,TRIM(LEFT('hospitalityq-nil'!D508,FIND(":",'hospitalityq-nil'!D508&amp;":")-1))&amp;":*")=0,SUMPRODUCT(--(TRIM('hospitalityq-nil'!C6:C508)=TRIM('hospitalityq-nil'!C508)),--(TRIM('hospitalityq-nil'!D6:D508)=TRIM('hospitalityq-nil'!D508)))&gt;1))</f>
        <v>0</v>
      </c>
    </row>
    <row r="509" spans="1:4" x14ac:dyDescent="0.25">
      <c r="A509">
        <f t="shared" si="7"/>
        <v>0</v>
      </c>
      <c r="C509">
        <f>NOT('hospitalityq-nil'!C509="")*(OR(NOT(IFERROR(AND(INT('hospitalityq-nil'!C509)='hospitalityq-nil'!C509,'hospitalityq-nil'!C509&gt;=2018-50,'hospitalityq-nil'!C509&lt;=2018+50),FALSE)),SUMPRODUCT(--(TRIM('hospitalityq-nil'!C6:C509)=TRIM('hospitalityq-nil'!C509)),--(TRIM('hospitalityq-nil'!D6:D509)=TRIM('hospitalityq-nil'!D509)))&gt;1))</f>
        <v>0</v>
      </c>
      <c r="D509">
        <f>NOT('hospitalityq-nil'!D509="")*(OR(COUNTIF(reference!$C$144:$C$155,TRIM(LEFT('hospitalityq-nil'!D509,FIND(":",'hospitalityq-nil'!D509&amp;":")-1))&amp;":*")=0,SUMPRODUCT(--(TRIM('hospitalityq-nil'!C6:C509)=TRIM('hospitalityq-nil'!C509)),--(TRIM('hospitalityq-nil'!D6:D509)=TRIM('hospitalityq-nil'!D509)))&gt;1))</f>
        <v>0</v>
      </c>
    </row>
    <row r="510" spans="1:4" x14ac:dyDescent="0.25">
      <c r="A510">
        <f t="shared" si="7"/>
        <v>0</v>
      </c>
      <c r="C510">
        <f>NOT('hospitalityq-nil'!C510="")*(OR(NOT(IFERROR(AND(INT('hospitalityq-nil'!C510)='hospitalityq-nil'!C510,'hospitalityq-nil'!C510&gt;=2018-50,'hospitalityq-nil'!C510&lt;=2018+50),FALSE)),SUMPRODUCT(--(TRIM('hospitalityq-nil'!C6:C510)=TRIM('hospitalityq-nil'!C510)),--(TRIM('hospitalityq-nil'!D6:D510)=TRIM('hospitalityq-nil'!D510)))&gt;1))</f>
        <v>0</v>
      </c>
      <c r="D510">
        <f>NOT('hospitalityq-nil'!D510="")*(OR(COUNTIF(reference!$C$144:$C$155,TRIM(LEFT('hospitalityq-nil'!D510,FIND(":",'hospitalityq-nil'!D510&amp;":")-1))&amp;":*")=0,SUMPRODUCT(--(TRIM('hospitalityq-nil'!C6:C510)=TRIM('hospitalityq-nil'!C510)),--(TRIM('hospitalityq-nil'!D6:D510)=TRIM('hospitalityq-nil'!D510)))&gt;1))</f>
        <v>0</v>
      </c>
    </row>
    <row r="511" spans="1:4" x14ac:dyDescent="0.25">
      <c r="A511">
        <f t="shared" si="7"/>
        <v>0</v>
      </c>
      <c r="C511">
        <f>NOT('hospitalityq-nil'!C511="")*(OR(NOT(IFERROR(AND(INT('hospitalityq-nil'!C511)='hospitalityq-nil'!C511,'hospitalityq-nil'!C511&gt;=2018-50,'hospitalityq-nil'!C511&lt;=2018+50),FALSE)),SUMPRODUCT(--(TRIM('hospitalityq-nil'!C6:C511)=TRIM('hospitalityq-nil'!C511)),--(TRIM('hospitalityq-nil'!D6:D511)=TRIM('hospitalityq-nil'!D511)))&gt;1))</f>
        <v>0</v>
      </c>
      <c r="D511">
        <f>NOT('hospitalityq-nil'!D511="")*(OR(COUNTIF(reference!$C$144:$C$155,TRIM(LEFT('hospitalityq-nil'!D511,FIND(":",'hospitalityq-nil'!D511&amp;":")-1))&amp;":*")=0,SUMPRODUCT(--(TRIM('hospitalityq-nil'!C6:C511)=TRIM('hospitalityq-nil'!C511)),--(TRIM('hospitalityq-nil'!D6:D511)=TRIM('hospitalityq-nil'!D511)))&gt;1))</f>
        <v>0</v>
      </c>
    </row>
    <row r="512" spans="1:4" x14ac:dyDescent="0.25">
      <c r="A512">
        <f t="shared" si="7"/>
        <v>0</v>
      </c>
      <c r="C512">
        <f>NOT('hospitalityq-nil'!C512="")*(OR(NOT(IFERROR(AND(INT('hospitalityq-nil'!C512)='hospitalityq-nil'!C512,'hospitalityq-nil'!C512&gt;=2018-50,'hospitalityq-nil'!C512&lt;=2018+50),FALSE)),SUMPRODUCT(--(TRIM('hospitalityq-nil'!C6:C512)=TRIM('hospitalityq-nil'!C512)),--(TRIM('hospitalityq-nil'!D6:D512)=TRIM('hospitalityq-nil'!D512)))&gt;1))</f>
        <v>0</v>
      </c>
      <c r="D512">
        <f>NOT('hospitalityq-nil'!D512="")*(OR(COUNTIF(reference!$C$144:$C$155,TRIM(LEFT('hospitalityq-nil'!D512,FIND(":",'hospitalityq-nil'!D512&amp;":")-1))&amp;":*")=0,SUMPRODUCT(--(TRIM('hospitalityq-nil'!C6:C512)=TRIM('hospitalityq-nil'!C512)),--(TRIM('hospitalityq-nil'!D6:D512)=TRIM('hospitalityq-nil'!D512)))&gt;1))</f>
        <v>0</v>
      </c>
    </row>
    <row r="513" spans="1:4" x14ac:dyDescent="0.25">
      <c r="A513">
        <f t="shared" si="7"/>
        <v>0</v>
      </c>
      <c r="C513">
        <f>NOT('hospitalityq-nil'!C513="")*(OR(NOT(IFERROR(AND(INT('hospitalityq-nil'!C513)='hospitalityq-nil'!C513,'hospitalityq-nil'!C513&gt;=2018-50,'hospitalityq-nil'!C513&lt;=2018+50),FALSE)),SUMPRODUCT(--(TRIM('hospitalityq-nil'!C6:C513)=TRIM('hospitalityq-nil'!C513)),--(TRIM('hospitalityq-nil'!D6:D513)=TRIM('hospitalityq-nil'!D513)))&gt;1))</f>
        <v>0</v>
      </c>
      <c r="D513">
        <f>NOT('hospitalityq-nil'!D513="")*(OR(COUNTIF(reference!$C$144:$C$155,TRIM(LEFT('hospitalityq-nil'!D513,FIND(":",'hospitalityq-nil'!D513&amp;":")-1))&amp;":*")=0,SUMPRODUCT(--(TRIM('hospitalityq-nil'!C6:C513)=TRIM('hospitalityq-nil'!C513)),--(TRIM('hospitalityq-nil'!D6:D513)=TRIM('hospitalityq-nil'!D513)))&gt;1))</f>
        <v>0</v>
      </c>
    </row>
    <row r="514" spans="1:4" x14ac:dyDescent="0.25">
      <c r="A514">
        <f t="shared" si="7"/>
        <v>0</v>
      </c>
      <c r="C514">
        <f>NOT('hospitalityq-nil'!C514="")*(OR(NOT(IFERROR(AND(INT('hospitalityq-nil'!C514)='hospitalityq-nil'!C514,'hospitalityq-nil'!C514&gt;=2018-50,'hospitalityq-nil'!C514&lt;=2018+50),FALSE)),SUMPRODUCT(--(TRIM('hospitalityq-nil'!C6:C514)=TRIM('hospitalityq-nil'!C514)),--(TRIM('hospitalityq-nil'!D6:D514)=TRIM('hospitalityq-nil'!D514)))&gt;1))</f>
        <v>0</v>
      </c>
      <c r="D514">
        <f>NOT('hospitalityq-nil'!D514="")*(OR(COUNTIF(reference!$C$144:$C$155,TRIM(LEFT('hospitalityq-nil'!D514,FIND(":",'hospitalityq-nil'!D514&amp;":")-1))&amp;":*")=0,SUMPRODUCT(--(TRIM('hospitalityq-nil'!C6:C514)=TRIM('hospitalityq-nil'!C514)),--(TRIM('hospitalityq-nil'!D6:D514)=TRIM('hospitalityq-nil'!D514)))&gt;1))</f>
        <v>0</v>
      </c>
    </row>
    <row r="515" spans="1:4" x14ac:dyDescent="0.25">
      <c r="A515">
        <f t="shared" si="7"/>
        <v>0</v>
      </c>
      <c r="C515">
        <f>NOT('hospitalityq-nil'!C515="")*(OR(NOT(IFERROR(AND(INT('hospitalityq-nil'!C515)='hospitalityq-nil'!C515,'hospitalityq-nil'!C515&gt;=2018-50,'hospitalityq-nil'!C515&lt;=2018+50),FALSE)),SUMPRODUCT(--(TRIM('hospitalityq-nil'!C6:C515)=TRIM('hospitalityq-nil'!C515)),--(TRIM('hospitalityq-nil'!D6:D515)=TRIM('hospitalityq-nil'!D515)))&gt;1))</f>
        <v>0</v>
      </c>
      <c r="D515">
        <f>NOT('hospitalityq-nil'!D515="")*(OR(COUNTIF(reference!$C$144:$C$155,TRIM(LEFT('hospitalityq-nil'!D515,FIND(":",'hospitalityq-nil'!D515&amp;":")-1))&amp;":*")=0,SUMPRODUCT(--(TRIM('hospitalityq-nil'!C6:C515)=TRIM('hospitalityq-nil'!C515)),--(TRIM('hospitalityq-nil'!D6:D515)=TRIM('hospitalityq-nil'!D515)))&gt;1))</f>
        <v>0</v>
      </c>
    </row>
    <row r="516" spans="1:4" x14ac:dyDescent="0.25">
      <c r="A516">
        <f t="shared" si="7"/>
        <v>0</v>
      </c>
      <c r="C516">
        <f>NOT('hospitalityq-nil'!C516="")*(OR(NOT(IFERROR(AND(INT('hospitalityq-nil'!C516)='hospitalityq-nil'!C516,'hospitalityq-nil'!C516&gt;=2018-50,'hospitalityq-nil'!C516&lt;=2018+50),FALSE)),SUMPRODUCT(--(TRIM('hospitalityq-nil'!C6:C516)=TRIM('hospitalityq-nil'!C516)),--(TRIM('hospitalityq-nil'!D6:D516)=TRIM('hospitalityq-nil'!D516)))&gt;1))</f>
        <v>0</v>
      </c>
      <c r="D516">
        <f>NOT('hospitalityq-nil'!D516="")*(OR(COUNTIF(reference!$C$144:$C$155,TRIM(LEFT('hospitalityq-nil'!D516,FIND(":",'hospitalityq-nil'!D516&amp;":")-1))&amp;":*")=0,SUMPRODUCT(--(TRIM('hospitalityq-nil'!C6:C516)=TRIM('hospitalityq-nil'!C516)),--(TRIM('hospitalityq-nil'!D6:D516)=TRIM('hospitalityq-nil'!D516)))&gt;1))</f>
        <v>0</v>
      </c>
    </row>
    <row r="517" spans="1:4" x14ac:dyDescent="0.25">
      <c r="A517">
        <f t="shared" si="7"/>
        <v>0</v>
      </c>
      <c r="C517">
        <f>NOT('hospitalityq-nil'!C517="")*(OR(NOT(IFERROR(AND(INT('hospitalityq-nil'!C517)='hospitalityq-nil'!C517,'hospitalityq-nil'!C517&gt;=2018-50,'hospitalityq-nil'!C517&lt;=2018+50),FALSE)),SUMPRODUCT(--(TRIM('hospitalityq-nil'!C6:C517)=TRIM('hospitalityq-nil'!C517)),--(TRIM('hospitalityq-nil'!D6:D517)=TRIM('hospitalityq-nil'!D517)))&gt;1))</f>
        <v>0</v>
      </c>
      <c r="D517">
        <f>NOT('hospitalityq-nil'!D517="")*(OR(COUNTIF(reference!$C$144:$C$155,TRIM(LEFT('hospitalityq-nil'!D517,FIND(":",'hospitalityq-nil'!D517&amp;":")-1))&amp;":*")=0,SUMPRODUCT(--(TRIM('hospitalityq-nil'!C6:C517)=TRIM('hospitalityq-nil'!C517)),--(TRIM('hospitalityq-nil'!D6:D517)=TRIM('hospitalityq-nil'!D517)))&gt;1))</f>
        <v>0</v>
      </c>
    </row>
    <row r="518" spans="1:4" x14ac:dyDescent="0.25">
      <c r="A518">
        <f t="shared" ref="A518:A581" si="8">IFERROR(MATCH(TRUE,INDEX(C518:D518&lt;&gt;0,),)+2,0)</f>
        <v>0</v>
      </c>
      <c r="C518">
        <f>NOT('hospitalityq-nil'!C518="")*(OR(NOT(IFERROR(AND(INT('hospitalityq-nil'!C518)='hospitalityq-nil'!C518,'hospitalityq-nil'!C518&gt;=2018-50,'hospitalityq-nil'!C518&lt;=2018+50),FALSE)),SUMPRODUCT(--(TRIM('hospitalityq-nil'!C6:C518)=TRIM('hospitalityq-nil'!C518)),--(TRIM('hospitalityq-nil'!D6:D518)=TRIM('hospitalityq-nil'!D518)))&gt;1))</f>
        <v>0</v>
      </c>
      <c r="D518">
        <f>NOT('hospitalityq-nil'!D518="")*(OR(COUNTIF(reference!$C$144:$C$155,TRIM(LEFT('hospitalityq-nil'!D518,FIND(":",'hospitalityq-nil'!D518&amp;":")-1))&amp;":*")=0,SUMPRODUCT(--(TRIM('hospitalityq-nil'!C6:C518)=TRIM('hospitalityq-nil'!C518)),--(TRIM('hospitalityq-nil'!D6:D518)=TRIM('hospitalityq-nil'!D518)))&gt;1))</f>
        <v>0</v>
      </c>
    </row>
    <row r="519" spans="1:4" x14ac:dyDescent="0.25">
      <c r="A519">
        <f t="shared" si="8"/>
        <v>0</v>
      </c>
      <c r="C519">
        <f>NOT('hospitalityq-nil'!C519="")*(OR(NOT(IFERROR(AND(INT('hospitalityq-nil'!C519)='hospitalityq-nil'!C519,'hospitalityq-nil'!C519&gt;=2018-50,'hospitalityq-nil'!C519&lt;=2018+50),FALSE)),SUMPRODUCT(--(TRIM('hospitalityq-nil'!C6:C519)=TRIM('hospitalityq-nil'!C519)),--(TRIM('hospitalityq-nil'!D6:D519)=TRIM('hospitalityq-nil'!D519)))&gt;1))</f>
        <v>0</v>
      </c>
      <c r="D519">
        <f>NOT('hospitalityq-nil'!D519="")*(OR(COUNTIF(reference!$C$144:$C$155,TRIM(LEFT('hospitalityq-nil'!D519,FIND(":",'hospitalityq-nil'!D519&amp;":")-1))&amp;":*")=0,SUMPRODUCT(--(TRIM('hospitalityq-nil'!C6:C519)=TRIM('hospitalityq-nil'!C519)),--(TRIM('hospitalityq-nil'!D6:D519)=TRIM('hospitalityq-nil'!D519)))&gt;1))</f>
        <v>0</v>
      </c>
    </row>
    <row r="520" spans="1:4" x14ac:dyDescent="0.25">
      <c r="A520">
        <f t="shared" si="8"/>
        <v>0</v>
      </c>
      <c r="C520">
        <f>NOT('hospitalityq-nil'!C520="")*(OR(NOT(IFERROR(AND(INT('hospitalityq-nil'!C520)='hospitalityq-nil'!C520,'hospitalityq-nil'!C520&gt;=2018-50,'hospitalityq-nil'!C520&lt;=2018+50),FALSE)),SUMPRODUCT(--(TRIM('hospitalityq-nil'!C6:C520)=TRIM('hospitalityq-nil'!C520)),--(TRIM('hospitalityq-nil'!D6:D520)=TRIM('hospitalityq-nil'!D520)))&gt;1))</f>
        <v>0</v>
      </c>
      <c r="D520">
        <f>NOT('hospitalityq-nil'!D520="")*(OR(COUNTIF(reference!$C$144:$C$155,TRIM(LEFT('hospitalityq-nil'!D520,FIND(":",'hospitalityq-nil'!D520&amp;":")-1))&amp;":*")=0,SUMPRODUCT(--(TRIM('hospitalityq-nil'!C6:C520)=TRIM('hospitalityq-nil'!C520)),--(TRIM('hospitalityq-nil'!D6:D520)=TRIM('hospitalityq-nil'!D520)))&gt;1))</f>
        <v>0</v>
      </c>
    </row>
    <row r="521" spans="1:4" x14ac:dyDescent="0.25">
      <c r="A521">
        <f t="shared" si="8"/>
        <v>0</v>
      </c>
      <c r="C521">
        <f>NOT('hospitalityq-nil'!C521="")*(OR(NOT(IFERROR(AND(INT('hospitalityq-nil'!C521)='hospitalityq-nil'!C521,'hospitalityq-nil'!C521&gt;=2018-50,'hospitalityq-nil'!C521&lt;=2018+50),FALSE)),SUMPRODUCT(--(TRIM('hospitalityq-nil'!C6:C521)=TRIM('hospitalityq-nil'!C521)),--(TRIM('hospitalityq-nil'!D6:D521)=TRIM('hospitalityq-nil'!D521)))&gt;1))</f>
        <v>0</v>
      </c>
      <c r="D521">
        <f>NOT('hospitalityq-nil'!D521="")*(OR(COUNTIF(reference!$C$144:$C$155,TRIM(LEFT('hospitalityq-nil'!D521,FIND(":",'hospitalityq-nil'!D521&amp;":")-1))&amp;":*")=0,SUMPRODUCT(--(TRIM('hospitalityq-nil'!C6:C521)=TRIM('hospitalityq-nil'!C521)),--(TRIM('hospitalityq-nil'!D6:D521)=TRIM('hospitalityq-nil'!D521)))&gt;1))</f>
        <v>0</v>
      </c>
    </row>
    <row r="522" spans="1:4" x14ac:dyDescent="0.25">
      <c r="A522">
        <f t="shared" si="8"/>
        <v>0</v>
      </c>
      <c r="C522">
        <f>NOT('hospitalityq-nil'!C522="")*(OR(NOT(IFERROR(AND(INT('hospitalityq-nil'!C522)='hospitalityq-nil'!C522,'hospitalityq-nil'!C522&gt;=2018-50,'hospitalityq-nil'!C522&lt;=2018+50),FALSE)),SUMPRODUCT(--(TRIM('hospitalityq-nil'!C6:C522)=TRIM('hospitalityq-nil'!C522)),--(TRIM('hospitalityq-nil'!D6:D522)=TRIM('hospitalityq-nil'!D522)))&gt;1))</f>
        <v>0</v>
      </c>
      <c r="D522">
        <f>NOT('hospitalityq-nil'!D522="")*(OR(COUNTIF(reference!$C$144:$C$155,TRIM(LEFT('hospitalityq-nil'!D522,FIND(":",'hospitalityq-nil'!D522&amp;":")-1))&amp;":*")=0,SUMPRODUCT(--(TRIM('hospitalityq-nil'!C6:C522)=TRIM('hospitalityq-nil'!C522)),--(TRIM('hospitalityq-nil'!D6:D522)=TRIM('hospitalityq-nil'!D522)))&gt;1))</f>
        <v>0</v>
      </c>
    </row>
    <row r="523" spans="1:4" x14ac:dyDescent="0.25">
      <c r="A523">
        <f t="shared" si="8"/>
        <v>0</v>
      </c>
      <c r="C523">
        <f>NOT('hospitalityq-nil'!C523="")*(OR(NOT(IFERROR(AND(INT('hospitalityq-nil'!C523)='hospitalityq-nil'!C523,'hospitalityq-nil'!C523&gt;=2018-50,'hospitalityq-nil'!C523&lt;=2018+50),FALSE)),SUMPRODUCT(--(TRIM('hospitalityq-nil'!C6:C523)=TRIM('hospitalityq-nil'!C523)),--(TRIM('hospitalityq-nil'!D6:D523)=TRIM('hospitalityq-nil'!D523)))&gt;1))</f>
        <v>0</v>
      </c>
      <c r="D523">
        <f>NOT('hospitalityq-nil'!D523="")*(OR(COUNTIF(reference!$C$144:$C$155,TRIM(LEFT('hospitalityq-nil'!D523,FIND(":",'hospitalityq-nil'!D523&amp;":")-1))&amp;":*")=0,SUMPRODUCT(--(TRIM('hospitalityq-nil'!C6:C523)=TRIM('hospitalityq-nil'!C523)),--(TRIM('hospitalityq-nil'!D6:D523)=TRIM('hospitalityq-nil'!D523)))&gt;1))</f>
        <v>0</v>
      </c>
    </row>
    <row r="524" spans="1:4" x14ac:dyDescent="0.25">
      <c r="A524">
        <f t="shared" si="8"/>
        <v>0</v>
      </c>
      <c r="C524">
        <f>NOT('hospitalityq-nil'!C524="")*(OR(NOT(IFERROR(AND(INT('hospitalityq-nil'!C524)='hospitalityq-nil'!C524,'hospitalityq-nil'!C524&gt;=2018-50,'hospitalityq-nil'!C524&lt;=2018+50),FALSE)),SUMPRODUCT(--(TRIM('hospitalityq-nil'!C6:C524)=TRIM('hospitalityq-nil'!C524)),--(TRIM('hospitalityq-nil'!D6:D524)=TRIM('hospitalityq-nil'!D524)))&gt;1))</f>
        <v>0</v>
      </c>
      <c r="D524">
        <f>NOT('hospitalityq-nil'!D524="")*(OR(COUNTIF(reference!$C$144:$C$155,TRIM(LEFT('hospitalityq-nil'!D524,FIND(":",'hospitalityq-nil'!D524&amp;":")-1))&amp;":*")=0,SUMPRODUCT(--(TRIM('hospitalityq-nil'!C6:C524)=TRIM('hospitalityq-nil'!C524)),--(TRIM('hospitalityq-nil'!D6:D524)=TRIM('hospitalityq-nil'!D524)))&gt;1))</f>
        <v>0</v>
      </c>
    </row>
    <row r="525" spans="1:4" x14ac:dyDescent="0.25">
      <c r="A525">
        <f t="shared" si="8"/>
        <v>0</v>
      </c>
      <c r="C525">
        <f>NOT('hospitalityq-nil'!C525="")*(OR(NOT(IFERROR(AND(INT('hospitalityq-nil'!C525)='hospitalityq-nil'!C525,'hospitalityq-nil'!C525&gt;=2018-50,'hospitalityq-nil'!C525&lt;=2018+50),FALSE)),SUMPRODUCT(--(TRIM('hospitalityq-nil'!C6:C525)=TRIM('hospitalityq-nil'!C525)),--(TRIM('hospitalityq-nil'!D6:D525)=TRIM('hospitalityq-nil'!D525)))&gt;1))</f>
        <v>0</v>
      </c>
      <c r="D525">
        <f>NOT('hospitalityq-nil'!D525="")*(OR(COUNTIF(reference!$C$144:$C$155,TRIM(LEFT('hospitalityq-nil'!D525,FIND(":",'hospitalityq-nil'!D525&amp;":")-1))&amp;":*")=0,SUMPRODUCT(--(TRIM('hospitalityq-nil'!C6:C525)=TRIM('hospitalityq-nil'!C525)),--(TRIM('hospitalityq-nil'!D6:D525)=TRIM('hospitalityq-nil'!D525)))&gt;1))</f>
        <v>0</v>
      </c>
    </row>
    <row r="526" spans="1:4" x14ac:dyDescent="0.25">
      <c r="A526">
        <f t="shared" si="8"/>
        <v>0</v>
      </c>
      <c r="C526">
        <f>NOT('hospitalityq-nil'!C526="")*(OR(NOT(IFERROR(AND(INT('hospitalityq-nil'!C526)='hospitalityq-nil'!C526,'hospitalityq-nil'!C526&gt;=2018-50,'hospitalityq-nil'!C526&lt;=2018+50),FALSE)),SUMPRODUCT(--(TRIM('hospitalityq-nil'!C6:C526)=TRIM('hospitalityq-nil'!C526)),--(TRIM('hospitalityq-nil'!D6:D526)=TRIM('hospitalityq-nil'!D526)))&gt;1))</f>
        <v>0</v>
      </c>
      <c r="D526">
        <f>NOT('hospitalityq-nil'!D526="")*(OR(COUNTIF(reference!$C$144:$C$155,TRIM(LEFT('hospitalityq-nil'!D526,FIND(":",'hospitalityq-nil'!D526&amp;":")-1))&amp;":*")=0,SUMPRODUCT(--(TRIM('hospitalityq-nil'!C6:C526)=TRIM('hospitalityq-nil'!C526)),--(TRIM('hospitalityq-nil'!D6:D526)=TRIM('hospitalityq-nil'!D526)))&gt;1))</f>
        <v>0</v>
      </c>
    </row>
    <row r="527" spans="1:4" x14ac:dyDescent="0.25">
      <c r="A527">
        <f t="shared" si="8"/>
        <v>0</v>
      </c>
      <c r="C527">
        <f>NOT('hospitalityq-nil'!C527="")*(OR(NOT(IFERROR(AND(INT('hospitalityq-nil'!C527)='hospitalityq-nil'!C527,'hospitalityq-nil'!C527&gt;=2018-50,'hospitalityq-nil'!C527&lt;=2018+50),FALSE)),SUMPRODUCT(--(TRIM('hospitalityq-nil'!C6:C527)=TRIM('hospitalityq-nil'!C527)),--(TRIM('hospitalityq-nil'!D6:D527)=TRIM('hospitalityq-nil'!D527)))&gt;1))</f>
        <v>0</v>
      </c>
      <c r="D527">
        <f>NOT('hospitalityq-nil'!D527="")*(OR(COUNTIF(reference!$C$144:$C$155,TRIM(LEFT('hospitalityq-nil'!D527,FIND(":",'hospitalityq-nil'!D527&amp;":")-1))&amp;":*")=0,SUMPRODUCT(--(TRIM('hospitalityq-nil'!C6:C527)=TRIM('hospitalityq-nil'!C527)),--(TRIM('hospitalityq-nil'!D6:D527)=TRIM('hospitalityq-nil'!D527)))&gt;1))</f>
        <v>0</v>
      </c>
    </row>
    <row r="528" spans="1:4" x14ac:dyDescent="0.25">
      <c r="A528">
        <f t="shared" si="8"/>
        <v>0</v>
      </c>
      <c r="C528">
        <f>NOT('hospitalityq-nil'!C528="")*(OR(NOT(IFERROR(AND(INT('hospitalityq-nil'!C528)='hospitalityq-nil'!C528,'hospitalityq-nil'!C528&gt;=2018-50,'hospitalityq-nil'!C528&lt;=2018+50),FALSE)),SUMPRODUCT(--(TRIM('hospitalityq-nil'!C6:C528)=TRIM('hospitalityq-nil'!C528)),--(TRIM('hospitalityq-nil'!D6:D528)=TRIM('hospitalityq-nil'!D528)))&gt;1))</f>
        <v>0</v>
      </c>
      <c r="D528">
        <f>NOT('hospitalityq-nil'!D528="")*(OR(COUNTIF(reference!$C$144:$C$155,TRIM(LEFT('hospitalityq-nil'!D528,FIND(":",'hospitalityq-nil'!D528&amp;":")-1))&amp;":*")=0,SUMPRODUCT(--(TRIM('hospitalityq-nil'!C6:C528)=TRIM('hospitalityq-nil'!C528)),--(TRIM('hospitalityq-nil'!D6:D528)=TRIM('hospitalityq-nil'!D528)))&gt;1))</f>
        <v>0</v>
      </c>
    </row>
    <row r="529" spans="1:4" x14ac:dyDescent="0.25">
      <c r="A529">
        <f t="shared" si="8"/>
        <v>0</v>
      </c>
      <c r="C529">
        <f>NOT('hospitalityq-nil'!C529="")*(OR(NOT(IFERROR(AND(INT('hospitalityq-nil'!C529)='hospitalityq-nil'!C529,'hospitalityq-nil'!C529&gt;=2018-50,'hospitalityq-nil'!C529&lt;=2018+50),FALSE)),SUMPRODUCT(--(TRIM('hospitalityq-nil'!C6:C529)=TRIM('hospitalityq-nil'!C529)),--(TRIM('hospitalityq-nil'!D6:D529)=TRIM('hospitalityq-nil'!D529)))&gt;1))</f>
        <v>0</v>
      </c>
      <c r="D529">
        <f>NOT('hospitalityq-nil'!D529="")*(OR(COUNTIF(reference!$C$144:$C$155,TRIM(LEFT('hospitalityq-nil'!D529,FIND(":",'hospitalityq-nil'!D529&amp;":")-1))&amp;":*")=0,SUMPRODUCT(--(TRIM('hospitalityq-nil'!C6:C529)=TRIM('hospitalityq-nil'!C529)),--(TRIM('hospitalityq-nil'!D6:D529)=TRIM('hospitalityq-nil'!D529)))&gt;1))</f>
        <v>0</v>
      </c>
    </row>
    <row r="530" spans="1:4" x14ac:dyDescent="0.25">
      <c r="A530">
        <f t="shared" si="8"/>
        <v>0</v>
      </c>
      <c r="C530">
        <f>NOT('hospitalityq-nil'!C530="")*(OR(NOT(IFERROR(AND(INT('hospitalityq-nil'!C530)='hospitalityq-nil'!C530,'hospitalityq-nil'!C530&gt;=2018-50,'hospitalityq-nil'!C530&lt;=2018+50),FALSE)),SUMPRODUCT(--(TRIM('hospitalityq-nil'!C6:C530)=TRIM('hospitalityq-nil'!C530)),--(TRIM('hospitalityq-nil'!D6:D530)=TRIM('hospitalityq-nil'!D530)))&gt;1))</f>
        <v>0</v>
      </c>
      <c r="D530">
        <f>NOT('hospitalityq-nil'!D530="")*(OR(COUNTIF(reference!$C$144:$C$155,TRIM(LEFT('hospitalityq-nil'!D530,FIND(":",'hospitalityq-nil'!D530&amp;":")-1))&amp;":*")=0,SUMPRODUCT(--(TRIM('hospitalityq-nil'!C6:C530)=TRIM('hospitalityq-nil'!C530)),--(TRIM('hospitalityq-nil'!D6:D530)=TRIM('hospitalityq-nil'!D530)))&gt;1))</f>
        <v>0</v>
      </c>
    </row>
    <row r="531" spans="1:4" x14ac:dyDescent="0.25">
      <c r="A531">
        <f t="shared" si="8"/>
        <v>0</v>
      </c>
      <c r="C531">
        <f>NOT('hospitalityq-nil'!C531="")*(OR(NOT(IFERROR(AND(INT('hospitalityq-nil'!C531)='hospitalityq-nil'!C531,'hospitalityq-nil'!C531&gt;=2018-50,'hospitalityq-nil'!C531&lt;=2018+50),FALSE)),SUMPRODUCT(--(TRIM('hospitalityq-nil'!C6:C531)=TRIM('hospitalityq-nil'!C531)),--(TRIM('hospitalityq-nil'!D6:D531)=TRIM('hospitalityq-nil'!D531)))&gt;1))</f>
        <v>0</v>
      </c>
      <c r="D531">
        <f>NOT('hospitalityq-nil'!D531="")*(OR(COUNTIF(reference!$C$144:$C$155,TRIM(LEFT('hospitalityq-nil'!D531,FIND(":",'hospitalityq-nil'!D531&amp;":")-1))&amp;":*")=0,SUMPRODUCT(--(TRIM('hospitalityq-nil'!C6:C531)=TRIM('hospitalityq-nil'!C531)),--(TRIM('hospitalityq-nil'!D6:D531)=TRIM('hospitalityq-nil'!D531)))&gt;1))</f>
        <v>0</v>
      </c>
    </row>
    <row r="532" spans="1:4" x14ac:dyDescent="0.25">
      <c r="A532">
        <f t="shared" si="8"/>
        <v>0</v>
      </c>
      <c r="C532">
        <f>NOT('hospitalityq-nil'!C532="")*(OR(NOT(IFERROR(AND(INT('hospitalityq-nil'!C532)='hospitalityq-nil'!C532,'hospitalityq-nil'!C532&gt;=2018-50,'hospitalityq-nil'!C532&lt;=2018+50),FALSE)),SUMPRODUCT(--(TRIM('hospitalityq-nil'!C6:C532)=TRIM('hospitalityq-nil'!C532)),--(TRIM('hospitalityq-nil'!D6:D532)=TRIM('hospitalityq-nil'!D532)))&gt;1))</f>
        <v>0</v>
      </c>
      <c r="D532">
        <f>NOT('hospitalityq-nil'!D532="")*(OR(COUNTIF(reference!$C$144:$C$155,TRIM(LEFT('hospitalityq-nil'!D532,FIND(":",'hospitalityq-nil'!D532&amp;":")-1))&amp;":*")=0,SUMPRODUCT(--(TRIM('hospitalityq-nil'!C6:C532)=TRIM('hospitalityq-nil'!C532)),--(TRIM('hospitalityq-nil'!D6:D532)=TRIM('hospitalityq-nil'!D532)))&gt;1))</f>
        <v>0</v>
      </c>
    </row>
    <row r="533" spans="1:4" x14ac:dyDescent="0.25">
      <c r="A533">
        <f t="shared" si="8"/>
        <v>0</v>
      </c>
      <c r="C533">
        <f>NOT('hospitalityq-nil'!C533="")*(OR(NOT(IFERROR(AND(INT('hospitalityq-nil'!C533)='hospitalityq-nil'!C533,'hospitalityq-nil'!C533&gt;=2018-50,'hospitalityq-nil'!C533&lt;=2018+50),FALSE)),SUMPRODUCT(--(TRIM('hospitalityq-nil'!C6:C533)=TRIM('hospitalityq-nil'!C533)),--(TRIM('hospitalityq-nil'!D6:D533)=TRIM('hospitalityq-nil'!D533)))&gt;1))</f>
        <v>0</v>
      </c>
      <c r="D533">
        <f>NOT('hospitalityq-nil'!D533="")*(OR(COUNTIF(reference!$C$144:$C$155,TRIM(LEFT('hospitalityq-nil'!D533,FIND(":",'hospitalityq-nil'!D533&amp;":")-1))&amp;":*")=0,SUMPRODUCT(--(TRIM('hospitalityq-nil'!C6:C533)=TRIM('hospitalityq-nil'!C533)),--(TRIM('hospitalityq-nil'!D6:D533)=TRIM('hospitalityq-nil'!D533)))&gt;1))</f>
        <v>0</v>
      </c>
    </row>
    <row r="534" spans="1:4" x14ac:dyDescent="0.25">
      <c r="A534">
        <f t="shared" si="8"/>
        <v>0</v>
      </c>
      <c r="C534">
        <f>NOT('hospitalityq-nil'!C534="")*(OR(NOT(IFERROR(AND(INT('hospitalityq-nil'!C534)='hospitalityq-nil'!C534,'hospitalityq-nil'!C534&gt;=2018-50,'hospitalityq-nil'!C534&lt;=2018+50),FALSE)),SUMPRODUCT(--(TRIM('hospitalityq-nil'!C6:C534)=TRIM('hospitalityq-nil'!C534)),--(TRIM('hospitalityq-nil'!D6:D534)=TRIM('hospitalityq-nil'!D534)))&gt;1))</f>
        <v>0</v>
      </c>
      <c r="D534">
        <f>NOT('hospitalityq-nil'!D534="")*(OR(COUNTIF(reference!$C$144:$C$155,TRIM(LEFT('hospitalityq-nil'!D534,FIND(":",'hospitalityq-nil'!D534&amp;":")-1))&amp;":*")=0,SUMPRODUCT(--(TRIM('hospitalityq-nil'!C6:C534)=TRIM('hospitalityq-nil'!C534)),--(TRIM('hospitalityq-nil'!D6:D534)=TRIM('hospitalityq-nil'!D534)))&gt;1))</f>
        <v>0</v>
      </c>
    </row>
    <row r="535" spans="1:4" x14ac:dyDescent="0.25">
      <c r="A535">
        <f t="shared" si="8"/>
        <v>0</v>
      </c>
      <c r="C535">
        <f>NOT('hospitalityq-nil'!C535="")*(OR(NOT(IFERROR(AND(INT('hospitalityq-nil'!C535)='hospitalityq-nil'!C535,'hospitalityq-nil'!C535&gt;=2018-50,'hospitalityq-nil'!C535&lt;=2018+50),FALSE)),SUMPRODUCT(--(TRIM('hospitalityq-nil'!C6:C535)=TRIM('hospitalityq-nil'!C535)),--(TRIM('hospitalityq-nil'!D6:D535)=TRIM('hospitalityq-nil'!D535)))&gt;1))</f>
        <v>0</v>
      </c>
      <c r="D535">
        <f>NOT('hospitalityq-nil'!D535="")*(OR(COUNTIF(reference!$C$144:$C$155,TRIM(LEFT('hospitalityq-nil'!D535,FIND(":",'hospitalityq-nil'!D535&amp;":")-1))&amp;":*")=0,SUMPRODUCT(--(TRIM('hospitalityq-nil'!C6:C535)=TRIM('hospitalityq-nil'!C535)),--(TRIM('hospitalityq-nil'!D6:D535)=TRIM('hospitalityq-nil'!D535)))&gt;1))</f>
        <v>0</v>
      </c>
    </row>
    <row r="536" spans="1:4" x14ac:dyDescent="0.25">
      <c r="A536">
        <f t="shared" si="8"/>
        <v>0</v>
      </c>
      <c r="C536">
        <f>NOT('hospitalityq-nil'!C536="")*(OR(NOT(IFERROR(AND(INT('hospitalityq-nil'!C536)='hospitalityq-nil'!C536,'hospitalityq-nil'!C536&gt;=2018-50,'hospitalityq-nil'!C536&lt;=2018+50),FALSE)),SUMPRODUCT(--(TRIM('hospitalityq-nil'!C6:C536)=TRIM('hospitalityq-nil'!C536)),--(TRIM('hospitalityq-nil'!D6:D536)=TRIM('hospitalityq-nil'!D536)))&gt;1))</f>
        <v>0</v>
      </c>
      <c r="D536">
        <f>NOT('hospitalityq-nil'!D536="")*(OR(COUNTIF(reference!$C$144:$C$155,TRIM(LEFT('hospitalityq-nil'!D536,FIND(":",'hospitalityq-nil'!D536&amp;":")-1))&amp;":*")=0,SUMPRODUCT(--(TRIM('hospitalityq-nil'!C6:C536)=TRIM('hospitalityq-nil'!C536)),--(TRIM('hospitalityq-nil'!D6:D536)=TRIM('hospitalityq-nil'!D536)))&gt;1))</f>
        <v>0</v>
      </c>
    </row>
    <row r="537" spans="1:4" x14ac:dyDescent="0.25">
      <c r="A537">
        <f t="shared" si="8"/>
        <v>0</v>
      </c>
      <c r="C537">
        <f>NOT('hospitalityq-nil'!C537="")*(OR(NOT(IFERROR(AND(INT('hospitalityq-nil'!C537)='hospitalityq-nil'!C537,'hospitalityq-nil'!C537&gt;=2018-50,'hospitalityq-nil'!C537&lt;=2018+50),FALSE)),SUMPRODUCT(--(TRIM('hospitalityq-nil'!C6:C537)=TRIM('hospitalityq-nil'!C537)),--(TRIM('hospitalityq-nil'!D6:D537)=TRIM('hospitalityq-nil'!D537)))&gt;1))</f>
        <v>0</v>
      </c>
      <c r="D537">
        <f>NOT('hospitalityq-nil'!D537="")*(OR(COUNTIF(reference!$C$144:$C$155,TRIM(LEFT('hospitalityq-nil'!D537,FIND(":",'hospitalityq-nil'!D537&amp;":")-1))&amp;":*")=0,SUMPRODUCT(--(TRIM('hospitalityq-nil'!C6:C537)=TRIM('hospitalityq-nil'!C537)),--(TRIM('hospitalityq-nil'!D6:D537)=TRIM('hospitalityq-nil'!D537)))&gt;1))</f>
        <v>0</v>
      </c>
    </row>
    <row r="538" spans="1:4" x14ac:dyDescent="0.25">
      <c r="A538">
        <f t="shared" si="8"/>
        <v>0</v>
      </c>
      <c r="C538">
        <f>NOT('hospitalityq-nil'!C538="")*(OR(NOT(IFERROR(AND(INT('hospitalityq-nil'!C538)='hospitalityq-nil'!C538,'hospitalityq-nil'!C538&gt;=2018-50,'hospitalityq-nil'!C538&lt;=2018+50),FALSE)),SUMPRODUCT(--(TRIM('hospitalityq-nil'!C6:C538)=TRIM('hospitalityq-nil'!C538)),--(TRIM('hospitalityq-nil'!D6:D538)=TRIM('hospitalityq-nil'!D538)))&gt;1))</f>
        <v>0</v>
      </c>
      <c r="D538">
        <f>NOT('hospitalityq-nil'!D538="")*(OR(COUNTIF(reference!$C$144:$C$155,TRIM(LEFT('hospitalityq-nil'!D538,FIND(":",'hospitalityq-nil'!D538&amp;":")-1))&amp;":*")=0,SUMPRODUCT(--(TRIM('hospitalityq-nil'!C6:C538)=TRIM('hospitalityq-nil'!C538)),--(TRIM('hospitalityq-nil'!D6:D538)=TRIM('hospitalityq-nil'!D538)))&gt;1))</f>
        <v>0</v>
      </c>
    </row>
    <row r="539" spans="1:4" x14ac:dyDescent="0.25">
      <c r="A539">
        <f t="shared" si="8"/>
        <v>0</v>
      </c>
      <c r="C539">
        <f>NOT('hospitalityq-nil'!C539="")*(OR(NOT(IFERROR(AND(INT('hospitalityq-nil'!C539)='hospitalityq-nil'!C539,'hospitalityq-nil'!C539&gt;=2018-50,'hospitalityq-nil'!C539&lt;=2018+50),FALSE)),SUMPRODUCT(--(TRIM('hospitalityq-nil'!C6:C539)=TRIM('hospitalityq-nil'!C539)),--(TRIM('hospitalityq-nil'!D6:D539)=TRIM('hospitalityq-nil'!D539)))&gt;1))</f>
        <v>0</v>
      </c>
      <c r="D539">
        <f>NOT('hospitalityq-nil'!D539="")*(OR(COUNTIF(reference!$C$144:$C$155,TRIM(LEFT('hospitalityq-nil'!D539,FIND(":",'hospitalityq-nil'!D539&amp;":")-1))&amp;":*")=0,SUMPRODUCT(--(TRIM('hospitalityq-nil'!C6:C539)=TRIM('hospitalityq-nil'!C539)),--(TRIM('hospitalityq-nil'!D6:D539)=TRIM('hospitalityq-nil'!D539)))&gt;1))</f>
        <v>0</v>
      </c>
    </row>
    <row r="540" spans="1:4" x14ac:dyDescent="0.25">
      <c r="A540">
        <f t="shared" si="8"/>
        <v>0</v>
      </c>
      <c r="C540">
        <f>NOT('hospitalityq-nil'!C540="")*(OR(NOT(IFERROR(AND(INT('hospitalityq-nil'!C540)='hospitalityq-nil'!C540,'hospitalityq-nil'!C540&gt;=2018-50,'hospitalityq-nil'!C540&lt;=2018+50),FALSE)),SUMPRODUCT(--(TRIM('hospitalityq-nil'!C6:C540)=TRIM('hospitalityq-nil'!C540)),--(TRIM('hospitalityq-nil'!D6:D540)=TRIM('hospitalityq-nil'!D540)))&gt;1))</f>
        <v>0</v>
      </c>
      <c r="D540">
        <f>NOT('hospitalityq-nil'!D540="")*(OR(COUNTIF(reference!$C$144:$C$155,TRIM(LEFT('hospitalityq-nil'!D540,FIND(":",'hospitalityq-nil'!D540&amp;":")-1))&amp;":*")=0,SUMPRODUCT(--(TRIM('hospitalityq-nil'!C6:C540)=TRIM('hospitalityq-nil'!C540)),--(TRIM('hospitalityq-nil'!D6:D540)=TRIM('hospitalityq-nil'!D540)))&gt;1))</f>
        <v>0</v>
      </c>
    </row>
    <row r="541" spans="1:4" x14ac:dyDescent="0.25">
      <c r="A541">
        <f t="shared" si="8"/>
        <v>0</v>
      </c>
      <c r="C541">
        <f>NOT('hospitalityq-nil'!C541="")*(OR(NOT(IFERROR(AND(INT('hospitalityq-nil'!C541)='hospitalityq-nil'!C541,'hospitalityq-nil'!C541&gt;=2018-50,'hospitalityq-nil'!C541&lt;=2018+50),FALSE)),SUMPRODUCT(--(TRIM('hospitalityq-nil'!C6:C541)=TRIM('hospitalityq-nil'!C541)),--(TRIM('hospitalityq-nil'!D6:D541)=TRIM('hospitalityq-nil'!D541)))&gt;1))</f>
        <v>0</v>
      </c>
      <c r="D541">
        <f>NOT('hospitalityq-nil'!D541="")*(OR(COUNTIF(reference!$C$144:$C$155,TRIM(LEFT('hospitalityq-nil'!D541,FIND(":",'hospitalityq-nil'!D541&amp;":")-1))&amp;":*")=0,SUMPRODUCT(--(TRIM('hospitalityq-nil'!C6:C541)=TRIM('hospitalityq-nil'!C541)),--(TRIM('hospitalityq-nil'!D6:D541)=TRIM('hospitalityq-nil'!D541)))&gt;1))</f>
        <v>0</v>
      </c>
    </row>
    <row r="542" spans="1:4" x14ac:dyDescent="0.25">
      <c r="A542">
        <f t="shared" si="8"/>
        <v>0</v>
      </c>
      <c r="C542">
        <f>NOT('hospitalityq-nil'!C542="")*(OR(NOT(IFERROR(AND(INT('hospitalityq-nil'!C542)='hospitalityq-nil'!C542,'hospitalityq-nil'!C542&gt;=2018-50,'hospitalityq-nil'!C542&lt;=2018+50),FALSE)),SUMPRODUCT(--(TRIM('hospitalityq-nil'!C6:C542)=TRIM('hospitalityq-nil'!C542)),--(TRIM('hospitalityq-nil'!D6:D542)=TRIM('hospitalityq-nil'!D542)))&gt;1))</f>
        <v>0</v>
      </c>
      <c r="D542">
        <f>NOT('hospitalityq-nil'!D542="")*(OR(COUNTIF(reference!$C$144:$C$155,TRIM(LEFT('hospitalityq-nil'!D542,FIND(":",'hospitalityq-nil'!D542&amp;":")-1))&amp;":*")=0,SUMPRODUCT(--(TRIM('hospitalityq-nil'!C6:C542)=TRIM('hospitalityq-nil'!C542)),--(TRIM('hospitalityq-nil'!D6:D542)=TRIM('hospitalityq-nil'!D542)))&gt;1))</f>
        <v>0</v>
      </c>
    </row>
    <row r="543" spans="1:4" x14ac:dyDescent="0.25">
      <c r="A543">
        <f t="shared" si="8"/>
        <v>0</v>
      </c>
      <c r="C543">
        <f>NOT('hospitalityq-nil'!C543="")*(OR(NOT(IFERROR(AND(INT('hospitalityq-nil'!C543)='hospitalityq-nil'!C543,'hospitalityq-nil'!C543&gt;=2018-50,'hospitalityq-nil'!C543&lt;=2018+50),FALSE)),SUMPRODUCT(--(TRIM('hospitalityq-nil'!C6:C543)=TRIM('hospitalityq-nil'!C543)),--(TRIM('hospitalityq-nil'!D6:D543)=TRIM('hospitalityq-nil'!D543)))&gt;1))</f>
        <v>0</v>
      </c>
      <c r="D543">
        <f>NOT('hospitalityq-nil'!D543="")*(OR(COUNTIF(reference!$C$144:$C$155,TRIM(LEFT('hospitalityq-nil'!D543,FIND(":",'hospitalityq-nil'!D543&amp;":")-1))&amp;":*")=0,SUMPRODUCT(--(TRIM('hospitalityq-nil'!C6:C543)=TRIM('hospitalityq-nil'!C543)),--(TRIM('hospitalityq-nil'!D6:D543)=TRIM('hospitalityq-nil'!D543)))&gt;1))</f>
        <v>0</v>
      </c>
    </row>
    <row r="544" spans="1:4" x14ac:dyDescent="0.25">
      <c r="A544">
        <f t="shared" si="8"/>
        <v>0</v>
      </c>
      <c r="C544">
        <f>NOT('hospitalityq-nil'!C544="")*(OR(NOT(IFERROR(AND(INT('hospitalityq-nil'!C544)='hospitalityq-nil'!C544,'hospitalityq-nil'!C544&gt;=2018-50,'hospitalityq-nil'!C544&lt;=2018+50),FALSE)),SUMPRODUCT(--(TRIM('hospitalityq-nil'!C6:C544)=TRIM('hospitalityq-nil'!C544)),--(TRIM('hospitalityq-nil'!D6:D544)=TRIM('hospitalityq-nil'!D544)))&gt;1))</f>
        <v>0</v>
      </c>
      <c r="D544">
        <f>NOT('hospitalityq-nil'!D544="")*(OR(COUNTIF(reference!$C$144:$C$155,TRIM(LEFT('hospitalityq-nil'!D544,FIND(":",'hospitalityq-nil'!D544&amp;":")-1))&amp;":*")=0,SUMPRODUCT(--(TRIM('hospitalityq-nil'!C6:C544)=TRIM('hospitalityq-nil'!C544)),--(TRIM('hospitalityq-nil'!D6:D544)=TRIM('hospitalityq-nil'!D544)))&gt;1))</f>
        <v>0</v>
      </c>
    </row>
    <row r="545" spans="1:4" x14ac:dyDescent="0.25">
      <c r="A545">
        <f t="shared" si="8"/>
        <v>0</v>
      </c>
      <c r="C545">
        <f>NOT('hospitalityq-nil'!C545="")*(OR(NOT(IFERROR(AND(INT('hospitalityq-nil'!C545)='hospitalityq-nil'!C545,'hospitalityq-nil'!C545&gt;=2018-50,'hospitalityq-nil'!C545&lt;=2018+50),FALSE)),SUMPRODUCT(--(TRIM('hospitalityq-nil'!C6:C545)=TRIM('hospitalityq-nil'!C545)),--(TRIM('hospitalityq-nil'!D6:D545)=TRIM('hospitalityq-nil'!D545)))&gt;1))</f>
        <v>0</v>
      </c>
      <c r="D545">
        <f>NOT('hospitalityq-nil'!D545="")*(OR(COUNTIF(reference!$C$144:$C$155,TRIM(LEFT('hospitalityq-nil'!D545,FIND(":",'hospitalityq-nil'!D545&amp;":")-1))&amp;":*")=0,SUMPRODUCT(--(TRIM('hospitalityq-nil'!C6:C545)=TRIM('hospitalityq-nil'!C545)),--(TRIM('hospitalityq-nil'!D6:D545)=TRIM('hospitalityq-nil'!D545)))&gt;1))</f>
        <v>0</v>
      </c>
    </row>
    <row r="546" spans="1:4" x14ac:dyDescent="0.25">
      <c r="A546">
        <f t="shared" si="8"/>
        <v>0</v>
      </c>
      <c r="C546">
        <f>NOT('hospitalityq-nil'!C546="")*(OR(NOT(IFERROR(AND(INT('hospitalityq-nil'!C546)='hospitalityq-nil'!C546,'hospitalityq-nil'!C546&gt;=2018-50,'hospitalityq-nil'!C546&lt;=2018+50),FALSE)),SUMPRODUCT(--(TRIM('hospitalityq-nil'!C6:C546)=TRIM('hospitalityq-nil'!C546)),--(TRIM('hospitalityq-nil'!D6:D546)=TRIM('hospitalityq-nil'!D546)))&gt;1))</f>
        <v>0</v>
      </c>
      <c r="D546">
        <f>NOT('hospitalityq-nil'!D546="")*(OR(COUNTIF(reference!$C$144:$C$155,TRIM(LEFT('hospitalityq-nil'!D546,FIND(":",'hospitalityq-nil'!D546&amp;":")-1))&amp;":*")=0,SUMPRODUCT(--(TRIM('hospitalityq-nil'!C6:C546)=TRIM('hospitalityq-nil'!C546)),--(TRIM('hospitalityq-nil'!D6:D546)=TRIM('hospitalityq-nil'!D546)))&gt;1))</f>
        <v>0</v>
      </c>
    </row>
    <row r="547" spans="1:4" x14ac:dyDescent="0.25">
      <c r="A547">
        <f t="shared" si="8"/>
        <v>0</v>
      </c>
      <c r="C547">
        <f>NOT('hospitalityq-nil'!C547="")*(OR(NOT(IFERROR(AND(INT('hospitalityq-nil'!C547)='hospitalityq-nil'!C547,'hospitalityq-nil'!C547&gt;=2018-50,'hospitalityq-nil'!C547&lt;=2018+50),FALSE)),SUMPRODUCT(--(TRIM('hospitalityq-nil'!C6:C547)=TRIM('hospitalityq-nil'!C547)),--(TRIM('hospitalityq-nil'!D6:D547)=TRIM('hospitalityq-nil'!D547)))&gt;1))</f>
        <v>0</v>
      </c>
      <c r="D547">
        <f>NOT('hospitalityq-nil'!D547="")*(OR(COUNTIF(reference!$C$144:$C$155,TRIM(LEFT('hospitalityq-nil'!D547,FIND(":",'hospitalityq-nil'!D547&amp;":")-1))&amp;":*")=0,SUMPRODUCT(--(TRIM('hospitalityq-nil'!C6:C547)=TRIM('hospitalityq-nil'!C547)),--(TRIM('hospitalityq-nil'!D6:D547)=TRIM('hospitalityq-nil'!D547)))&gt;1))</f>
        <v>0</v>
      </c>
    </row>
    <row r="548" spans="1:4" x14ac:dyDescent="0.25">
      <c r="A548">
        <f t="shared" si="8"/>
        <v>0</v>
      </c>
      <c r="C548">
        <f>NOT('hospitalityq-nil'!C548="")*(OR(NOT(IFERROR(AND(INT('hospitalityq-nil'!C548)='hospitalityq-nil'!C548,'hospitalityq-nil'!C548&gt;=2018-50,'hospitalityq-nil'!C548&lt;=2018+50),FALSE)),SUMPRODUCT(--(TRIM('hospitalityq-nil'!C6:C548)=TRIM('hospitalityq-nil'!C548)),--(TRIM('hospitalityq-nil'!D6:D548)=TRIM('hospitalityq-nil'!D548)))&gt;1))</f>
        <v>0</v>
      </c>
      <c r="D548">
        <f>NOT('hospitalityq-nil'!D548="")*(OR(COUNTIF(reference!$C$144:$C$155,TRIM(LEFT('hospitalityq-nil'!D548,FIND(":",'hospitalityq-nil'!D548&amp;":")-1))&amp;":*")=0,SUMPRODUCT(--(TRIM('hospitalityq-nil'!C6:C548)=TRIM('hospitalityq-nil'!C548)),--(TRIM('hospitalityq-nil'!D6:D548)=TRIM('hospitalityq-nil'!D548)))&gt;1))</f>
        <v>0</v>
      </c>
    </row>
    <row r="549" spans="1:4" x14ac:dyDescent="0.25">
      <c r="A549">
        <f t="shared" si="8"/>
        <v>0</v>
      </c>
      <c r="C549">
        <f>NOT('hospitalityq-nil'!C549="")*(OR(NOT(IFERROR(AND(INT('hospitalityq-nil'!C549)='hospitalityq-nil'!C549,'hospitalityq-nil'!C549&gt;=2018-50,'hospitalityq-nil'!C549&lt;=2018+50),FALSE)),SUMPRODUCT(--(TRIM('hospitalityq-nil'!C6:C549)=TRIM('hospitalityq-nil'!C549)),--(TRIM('hospitalityq-nil'!D6:D549)=TRIM('hospitalityq-nil'!D549)))&gt;1))</f>
        <v>0</v>
      </c>
      <c r="D549">
        <f>NOT('hospitalityq-nil'!D549="")*(OR(COUNTIF(reference!$C$144:$C$155,TRIM(LEFT('hospitalityq-nil'!D549,FIND(":",'hospitalityq-nil'!D549&amp;":")-1))&amp;":*")=0,SUMPRODUCT(--(TRIM('hospitalityq-nil'!C6:C549)=TRIM('hospitalityq-nil'!C549)),--(TRIM('hospitalityq-nil'!D6:D549)=TRIM('hospitalityq-nil'!D549)))&gt;1))</f>
        <v>0</v>
      </c>
    </row>
    <row r="550" spans="1:4" x14ac:dyDescent="0.25">
      <c r="A550">
        <f t="shared" si="8"/>
        <v>0</v>
      </c>
      <c r="C550">
        <f>NOT('hospitalityq-nil'!C550="")*(OR(NOT(IFERROR(AND(INT('hospitalityq-nil'!C550)='hospitalityq-nil'!C550,'hospitalityq-nil'!C550&gt;=2018-50,'hospitalityq-nil'!C550&lt;=2018+50),FALSE)),SUMPRODUCT(--(TRIM('hospitalityq-nil'!C6:C550)=TRIM('hospitalityq-nil'!C550)),--(TRIM('hospitalityq-nil'!D6:D550)=TRIM('hospitalityq-nil'!D550)))&gt;1))</f>
        <v>0</v>
      </c>
      <c r="D550">
        <f>NOT('hospitalityq-nil'!D550="")*(OR(COUNTIF(reference!$C$144:$C$155,TRIM(LEFT('hospitalityq-nil'!D550,FIND(":",'hospitalityq-nil'!D550&amp;":")-1))&amp;":*")=0,SUMPRODUCT(--(TRIM('hospitalityq-nil'!C6:C550)=TRIM('hospitalityq-nil'!C550)),--(TRIM('hospitalityq-nil'!D6:D550)=TRIM('hospitalityq-nil'!D550)))&gt;1))</f>
        <v>0</v>
      </c>
    </row>
    <row r="551" spans="1:4" x14ac:dyDescent="0.25">
      <c r="A551">
        <f t="shared" si="8"/>
        <v>0</v>
      </c>
      <c r="C551">
        <f>NOT('hospitalityq-nil'!C551="")*(OR(NOT(IFERROR(AND(INT('hospitalityq-nil'!C551)='hospitalityq-nil'!C551,'hospitalityq-nil'!C551&gt;=2018-50,'hospitalityq-nil'!C551&lt;=2018+50),FALSE)),SUMPRODUCT(--(TRIM('hospitalityq-nil'!C6:C551)=TRIM('hospitalityq-nil'!C551)),--(TRIM('hospitalityq-nil'!D6:D551)=TRIM('hospitalityq-nil'!D551)))&gt;1))</f>
        <v>0</v>
      </c>
      <c r="D551">
        <f>NOT('hospitalityq-nil'!D551="")*(OR(COUNTIF(reference!$C$144:$C$155,TRIM(LEFT('hospitalityq-nil'!D551,FIND(":",'hospitalityq-nil'!D551&amp;":")-1))&amp;":*")=0,SUMPRODUCT(--(TRIM('hospitalityq-nil'!C6:C551)=TRIM('hospitalityq-nil'!C551)),--(TRIM('hospitalityq-nil'!D6:D551)=TRIM('hospitalityq-nil'!D551)))&gt;1))</f>
        <v>0</v>
      </c>
    </row>
    <row r="552" spans="1:4" x14ac:dyDescent="0.25">
      <c r="A552">
        <f t="shared" si="8"/>
        <v>0</v>
      </c>
      <c r="C552">
        <f>NOT('hospitalityq-nil'!C552="")*(OR(NOT(IFERROR(AND(INT('hospitalityq-nil'!C552)='hospitalityq-nil'!C552,'hospitalityq-nil'!C552&gt;=2018-50,'hospitalityq-nil'!C552&lt;=2018+50),FALSE)),SUMPRODUCT(--(TRIM('hospitalityq-nil'!C6:C552)=TRIM('hospitalityq-nil'!C552)),--(TRIM('hospitalityq-nil'!D6:D552)=TRIM('hospitalityq-nil'!D552)))&gt;1))</f>
        <v>0</v>
      </c>
      <c r="D552">
        <f>NOT('hospitalityq-nil'!D552="")*(OR(COUNTIF(reference!$C$144:$C$155,TRIM(LEFT('hospitalityq-nil'!D552,FIND(":",'hospitalityq-nil'!D552&amp;":")-1))&amp;":*")=0,SUMPRODUCT(--(TRIM('hospitalityq-nil'!C6:C552)=TRIM('hospitalityq-nil'!C552)),--(TRIM('hospitalityq-nil'!D6:D552)=TRIM('hospitalityq-nil'!D552)))&gt;1))</f>
        <v>0</v>
      </c>
    </row>
    <row r="553" spans="1:4" x14ac:dyDescent="0.25">
      <c r="A553">
        <f t="shared" si="8"/>
        <v>0</v>
      </c>
      <c r="C553">
        <f>NOT('hospitalityq-nil'!C553="")*(OR(NOT(IFERROR(AND(INT('hospitalityq-nil'!C553)='hospitalityq-nil'!C553,'hospitalityq-nil'!C553&gt;=2018-50,'hospitalityq-nil'!C553&lt;=2018+50),FALSE)),SUMPRODUCT(--(TRIM('hospitalityq-nil'!C6:C553)=TRIM('hospitalityq-nil'!C553)),--(TRIM('hospitalityq-nil'!D6:D553)=TRIM('hospitalityq-nil'!D553)))&gt;1))</f>
        <v>0</v>
      </c>
      <c r="D553">
        <f>NOT('hospitalityq-nil'!D553="")*(OR(COUNTIF(reference!$C$144:$C$155,TRIM(LEFT('hospitalityq-nil'!D553,FIND(":",'hospitalityq-nil'!D553&amp;":")-1))&amp;":*")=0,SUMPRODUCT(--(TRIM('hospitalityq-nil'!C6:C553)=TRIM('hospitalityq-nil'!C553)),--(TRIM('hospitalityq-nil'!D6:D553)=TRIM('hospitalityq-nil'!D553)))&gt;1))</f>
        <v>0</v>
      </c>
    </row>
    <row r="554" spans="1:4" x14ac:dyDescent="0.25">
      <c r="A554">
        <f t="shared" si="8"/>
        <v>0</v>
      </c>
      <c r="C554">
        <f>NOT('hospitalityq-nil'!C554="")*(OR(NOT(IFERROR(AND(INT('hospitalityq-nil'!C554)='hospitalityq-nil'!C554,'hospitalityq-nil'!C554&gt;=2018-50,'hospitalityq-nil'!C554&lt;=2018+50),FALSE)),SUMPRODUCT(--(TRIM('hospitalityq-nil'!C6:C554)=TRIM('hospitalityq-nil'!C554)),--(TRIM('hospitalityq-nil'!D6:D554)=TRIM('hospitalityq-nil'!D554)))&gt;1))</f>
        <v>0</v>
      </c>
      <c r="D554">
        <f>NOT('hospitalityq-nil'!D554="")*(OR(COUNTIF(reference!$C$144:$C$155,TRIM(LEFT('hospitalityq-nil'!D554,FIND(":",'hospitalityq-nil'!D554&amp;":")-1))&amp;":*")=0,SUMPRODUCT(--(TRIM('hospitalityq-nil'!C6:C554)=TRIM('hospitalityq-nil'!C554)),--(TRIM('hospitalityq-nil'!D6:D554)=TRIM('hospitalityq-nil'!D554)))&gt;1))</f>
        <v>0</v>
      </c>
    </row>
    <row r="555" spans="1:4" x14ac:dyDescent="0.25">
      <c r="A555">
        <f t="shared" si="8"/>
        <v>0</v>
      </c>
      <c r="C555">
        <f>NOT('hospitalityq-nil'!C555="")*(OR(NOT(IFERROR(AND(INT('hospitalityq-nil'!C555)='hospitalityq-nil'!C555,'hospitalityq-nil'!C555&gt;=2018-50,'hospitalityq-nil'!C555&lt;=2018+50),FALSE)),SUMPRODUCT(--(TRIM('hospitalityq-nil'!C6:C555)=TRIM('hospitalityq-nil'!C555)),--(TRIM('hospitalityq-nil'!D6:D555)=TRIM('hospitalityq-nil'!D555)))&gt;1))</f>
        <v>0</v>
      </c>
      <c r="D555">
        <f>NOT('hospitalityq-nil'!D555="")*(OR(COUNTIF(reference!$C$144:$C$155,TRIM(LEFT('hospitalityq-nil'!D555,FIND(":",'hospitalityq-nil'!D555&amp;":")-1))&amp;":*")=0,SUMPRODUCT(--(TRIM('hospitalityq-nil'!C6:C555)=TRIM('hospitalityq-nil'!C555)),--(TRIM('hospitalityq-nil'!D6:D555)=TRIM('hospitalityq-nil'!D555)))&gt;1))</f>
        <v>0</v>
      </c>
    </row>
    <row r="556" spans="1:4" x14ac:dyDescent="0.25">
      <c r="A556">
        <f t="shared" si="8"/>
        <v>0</v>
      </c>
      <c r="C556">
        <f>NOT('hospitalityq-nil'!C556="")*(OR(NOT(IFERROR(AND(INT('hospitalityq-nil'!C556)='hospitalityq-nil'!C556,'hospitalityq-nil'!C556&gt;=2018-50,'hospitalityq-nil'!C556&lt;=2018+50),FALSE)),SUMPRODUCT(--(TRIM('hospitalityq-nil'!C6:C556)=TRIM('hospitalityq-nil'!C556)),--(TRIM('hospitalityq-nil'!D6:D556)=TRIM('hospitalityq-nil'!D556)))&gt;1))</f>
        <v>0</v>
      </c>
      <c r="D556">
        <f>NOT('hospitalityq-nil'!D556="")*(OR(COUNTIF(reference!$C$144:$C$155,TRIM(LEFT('hospitalityq-nil'!D556,FIND(":",'hospitalityq-nil'!D556&amp;":")-1))&amp;":*")=0,SUMPRODUCT(--(TRIM('hospitalityq-nil'!C6:C556)=TRIM('hospitalityq-nil'!C556)),--(TRIM('hospitalityq-nil'!D6:D556)=TRIM('hospitalityq-nil'!D556)))&gt;1))</f>
        <v>0</v>
      </c>
    </row>
    <row r="557" spans="1:4" x14ac:dyDescent="0.25">
      <c r="A557">
        <f t="shared" si="8"/>
        <v>0</v>
      </c>
      <c r="C557">
        <f>NOT('hospitalityq-nil'!C557="")*(OR(NOT(IFERROR(AND(INT('hospitalityq-nil'!C557)='hospitalityq-nil'!C557,'hospitalityq-nil'!C557&gt;=2018-50,'hospitalityq-nil'!C557&lt;=2018+50),FALSE)),SUMPRODUCT(--(TRIM('hospitalityq-nil'!C6:C557)=TRIM('hospitalityq-nil'!C557)),--(TRIM('hospitalityq-nil'!D6:D557)=TRIM('hospitalityq-nil'!D557)))&gt;1))</f>
        <v>0</v>
      </c>
      <c r="D557">
        <f>NOT('hospitalityq-nil'!D557="")*(OR(COUNTIF(reference!$C$144:$C$155,TRIM(LEFT('hospitalityq-nil'!D557,FIND(":",'hospitalityq-nil'!D557&amp;":")-1))&amp;":*")=0,SUMPRODUCT(--(TRIM('hospitalityq-nil'!C6:C557)=TRIM('hospitalityq-nil'!C557)),--(TRIM('hospitalityq-nil'!D6:D557)=TRIM('hospitalityq-nil'!D557)))&gt;1))</f>
        <v>0</v>
      </c>
    </row>
    <row r="558" spans="1:4" x14ac:dyDescent="0.25">
      <c r="A558">
        <f t="shared" si="8"/>
        <v>0</v>
      </c>
      <c r="C558">
        <f>NOT('hospitalityq-nil'!C558="")*(OR(NOT(IFERROR(AND(INT('hospitalityq-nil'!C558)='hospitalityq-nil'!C558,'hospitalityq-nil'!C558&gt;=2018-50,'hospitalityq-nil'!C558&lt;=2018+50),FALSE)),SUMPRODUCT(--(TRIM('hospitalityq-nil'!C6:C558)=TRIM('hospitalityq-nil'!C558)),--(TRIM('hospitalityq-nil'!D6:D558)=TRIM('hospitalityq-nil'!D558)))&gt;1))</f>
        <v>0</v>
      </c>
      <c r="D558">
        <f>NOT('hospitalityq-nil'!D558="")*(OR(COUNTIF(reference!$C$144:$C$155,TRIM(LEFT('hospitalityq-nil'!D558,FIND(":",'hospitalityq-nil'!D558&amp;":")-1))&amp;":*")=0,SUMPRODUCT(--(TRIM('hospitalityq-nil'!C6:C558)=TRIM('hospitalityq-nil'!C558)),--(TRIM('hospitalityq-nil'!D6:D558)=TRIM('hospitalityq-nil'!D558)))&gt;1))</f>
        <v>0</v>
      </c>
    </row>
    <row r="559" spans="1:4" x14ac:dyDescent="0.25">
      <c r="A559">
        <f t="shared" si="8"/>
        <v>0</v>
      </c>
      <c r="C559">
        <f>NOT('hospitalityq-nil'!C559="")*(OR(NOT(IFERROR(AND(INT('hospitalityq-nil'!C559)='hospitalityq-nil'!C559,'hospitalityq-nil'!C559&gt;=2018-50,'hospitalityq-nil'!C559&lt;=2018+50),FALSE)),SUMPRODUCT(--(TRIM('hospitalityq-nil'!C6:C559)=TRIM('hospitalityq-nil'!C559)),--(TRIM('hospitalityq-nil'!D6:D559)=TRIM('hospitalityq-nil'!D559)))&gt;1))</f>
        <v>0</v>
      </c>
      <c r="D559">
        <f>NOT('hospitalityq-nil'!D559="")*(OR(COUNTIF(reference!$C$144:$C$155,TRIM(LEFT('hospitalityq-nil'!D559,FIND(":",'hospitalityq-nil'!D559&amp;":")-1))&amp;":*")=0,SUMPRODUCT(--(TRIM('hospitalityq-nil'!C6:C559)=TRIM('hospitalityq-nil'!C559)),--(TRIM('hospitalityq-nil'!D6:D559)=TRIM('hospitalityq-nil'!D559)))&gt;1))</f>
        <v>0</v>
      </c>
    </row>
    <row r="560" spans="1:4" x14ac:dyDescent="0.25">
      <c r="A560">
        <f t="shared" si="8"/>
        <v>0</v>
      </c>
      <c r="C560">
        <f>NOT('hospitalityq-nil'!C560="")*(OR(NOT(IFERROR(AND(INT('hospitalityq-nil'!C560)='hospitalityq-nil'!C560,'hospitalityq-nil'!C560&gt;=2018-50,'hospitalityq-nil'!C560&lt;=2018+50),FALSE)),SUMPRODUCT(--(TRIM('hospitalityq-nil'!C6:C560)=TRIM('hospitalityq-nil'!C560)),--(TRIM('hospitalityq-nil'!D6:D560)=TRIM('hospitalityq-nil'!D560)))&gt;1))</f>
        <v>0</v>
      </c>
      <c r="D560">
        <f>NOT('hospitalityq-nil'!D560="")*(OR(COUNTIF(reference!$C$144:$C$155,TRIM(LEFT('hospitalityq-nil'!D560,FIND(":",'hospitalityq-nil'!D560&amp;":")-1))&amp;":*")=0,SUMPRODUCT(--(TRIM('hospitalityq-nil'!C6:C560)=TRIM('hospitalityq-nil'!C560)),--(TRIM('hospitalityq-nil'!D6:D560)=TRIM('hospitalityq-nil'!D560)))&gt;1))</f>
        <v>0</v>
      </c>
    </row>
    <row r="561" spans="1:4" x14ac:dyDescent="0.25">
      <c r="A561">
        <f t="shared" si="8"/>
        <v>0</v>
      </c>
      <c r="C561">
        <f>NOT('hospitalityq-nil'!C561="")*(OR(NOT(IFERROR(AND(INT('hospitalityq-nil'!C561)='hospitalityq-nil'!C561,'hospitalityq-nil'!C561&gt;=2018-50,'hospitalityq-nil'!C561&lt;=2018+50),FALSE)),SUMPRODUCT(--(TRIM('hospitalityq-nil'!C6:C561)=TRIM('hospitalityq-nil'!C561)),--(TRIM('hospitalityq-nil'!D6:D561)=TRIM('hospitalityq-nil'!D561)))&gt;1))</f>
        <v>0</v>
      </c>
      <c r="D561">
        <f>NOT('hospitalityq-nil'!D561="")*(OR(COUNTIF(reference!$C$144:$C$155,TRIM(LEFT('hospitalityq-nil'!D561,FIND(":",'hospitalityq-nil'!D561&amp;":")-1))&amp;":*")=0,SUMPRODUCT(--(TRIM('hospitalityq-nil'!C6:C561)=TRIM('hospitalityq-nil'!C561)),--(TRIM('hospitalityq-nil'!D6:D561)=TRIM('hospitalityq-nil'!D561)))&gt;1))</f>
        <v>0</v>
      </c>
    </row>
    <row r="562" spans="1:4" x14ac:dyDescent="0.25">
      <c r="A562">
        <f t="shared" si="8"/>
        <v>0</v>
      </c>
      <c r="C562">
        <f>NOT('hospitalityq-nil'!C562="")*(OR(NOT(IFERROR(AND(INT('hospitalityq-nil'!C562)='hospitalityq-nil'!C562,'hospitalityq-nil'!C562&gt;=2018-50,'hospitalityq-nil'!C562&lt;=2018+50),FALSE)),SUMPRODUCT(--(TRIM('hospitalityq-nil'!C6:C562)=TRIM('hospitalityq-nil'!C562)),--(TRIM('hospitalityq-nil'!D6:D562)=TRIM('hospitalityq-nil'!D562)))&gt;1))</f>
        <v>0</v>
      </c>
      <c r="D562">
        <f>NOT('hospitalityq-nil'!D562="")*(OR(COUNTIF(reference!$C$144:$C$155,TRIM(LEFT('hospitalityq-nil'!D562,FIND(":",'hospitalityq-nil'!D562&amp;":")-1))&amp;":*")=0,SUMPRODUCT(--(TRIM('hospitalityq-nil'!C6:C562)=TRIM('hospitalityq-nil'!C562)),--(TRIM('hospitalityq-nil'!D6:D562)=TRIM('hospitalityq-nil'!D562)))&gt;1))</f>
        <v>0</v>
      </c>
    </row>
    <row r="563" spans="1:4" x14ac:dyDescent="0.25">
      <c r="A563">
        <f t="shared" si="8"/>
        <v>0</v>
      </c>
      <c r="C563">
        <f>NOT('hospitalityq-nil'!C563="")*(OR(NOT(IFERROR(AND(INT('hospitalityq-nil'!C563)='hospitalityq-nil'!C563,'hospitalityq-nil'!C563&gt;=2018-50,'hospitalityq-nil'!C563&lt;=2018+50),FALSE)),SUMPRODUCT(--(TRIM('hospitalityq-nil'!C6:C563)=TRIM('hospitalityq-nil'!C563)),--(TRIM('hospitalityq-nil'!D6:D563)=TRIM('hospitalityq-nil'!D563)))&gt;1))</f>
        <v>0</v>
      </c>
      <c r="D563">
        <f>NOT('hospitalityq-nil'!D563="")*(OR(COUNTIF(reference!$C$144:$C$155,TRIM(LEFT('hospitalityq-nil'!D563,FIND(":",'hospitalityq-nil'!D563&amp;":")-1))&amp;":*")=0,SUMPRODUCT(--(TRIM('hospitalityq-nil'!C6:C563)=TRIM('hospitalityq-nil'!C563)),--(TRIM('hospitalityq-nil'!D6:D563)=TRIM('hospitalityq-nil'!D563)))&gt;1))</f>
        <v>0</v>
      </c>
    </row>
    <row r="564" spans="1:4" x14ac:dyDescent="0.25">
      <c r="A564">
        <f t="shared" si="8"/>
        <v>0</v>
      </c>
      <c r="C564">
        <f>NOT('hospitalityq-nil'!C564="")*(OR(NOT(IFERROR(AND(INT('hospitalityq-nil'!C564)='hospitalityq-nil'!C564,'hospitalityq-nil'!C564&gt;=2018-50,'hospitalityq-nil'!C564&lt;=2018+50),FALSE)),SUMPRODUCT(--(TRIM('hospitalityq-nil'!C6:C564)=TRIM('hospitalityq-nil'!C564)),--(TRIM('hospitalityq-nil'!D6:D564)=TRIM('hospitalityq-nil'!D564)))&gt;1))</f>
        <v>0</v>
      </c>
      <c r="D564">
        <f>NOT('hospitalityq-nil'!D564="")*(OR(COUNTIF(reference!$C$144:$C$155,TRIM(LEFT('hospitalityq-nil'!D564,FIND(":",'hospitalityq-nil'!D564&amp;":")-1))&amp;":*")=0,SUMPRODUCT(--(TRIM('hospitalityq-nil'!C6:C564)=TRIM('hospitalityq-nil'!C564)),--(TRIM('hospitalityq-nil'!D6:D564)=TRIM('hospitalityq-nil'!D564)))&gt;1))</f>
        <v>0</v>
      </c>
    </row>
    <row r="565" spans="1:4" x14ac:dyDescent="0.25">
      <c r="A565">
        <f t="shared" si="8"/>
        <v>0</v>
      </c>
      <c r="C565">
        <f>NOT('hospitalityq-nil'!C565="")*(OR(NOT(IFERROR(AND(INT('hospitalityq-nil'!C565)='hospitalityq-nil'!C565,'hospitalityq-nil'!C565&gt;=2018-50,'hospitalityq-nil'!C565&lt;=2018+50),FALSE)),SUMPRODUCT(--(TRIM('hospitalityq-nil'!C6:C565)=TRIM('hospitalityq-nil'!C565)),--(TRIM('hospitalityq-nil'!D6:D565)=TRIM('hospitalityq-nil'!D565)))&gt;1))</f>
        <v>0</v>
      </c>
      <c r="D565">
        <f>NOT('hospitalityq-nil'!D565="")*(OR(COUNTIF(reference!$C$144:$C$155,TRIM(LEFT('hospitalityq-nil'!D565,FIND(":",'hospitalityq-nil'!D565&amp;":")-1))&amp;":*")=0,SUMPRODUCT(--(TRIM('hospitalityq-nil'!C6:C565)=TRIM('hospitalityq-nil'!C565)),--(TRIM('hospitalityq-nil'!D6:D565)=TRIM('hospitalityq-nil'!D565)))&gt;1))</f>
        <v>0</v>
      </c>
    </row>
    <row r="566" spans="1:4" x14ac:dyDescent="0.25">
      <c r="A566">
        <f t="shared" si="8"/>
        <v>0</v>
      </c>
      <c r="C566">
        <f>NOT('hospitalityq-nil'!C566="")*(OR(NOT(IFERROR(AND(INT('hospitalityq-nil'!C566)='hospitalityq-nil'!C566,'hospitalityq-nil'!C566&gt;=2018-50,'hospitalityq-nil'!C566&lt;=2018+50),FALSE)),SUMPRODUCT(--(TRIM('hospitalityq-nil'!C6:C566)=TRIM('hospitalityq-nil'!C566)),--(TRIM('hospitalityq-nil'!D6:D566)=TRIM('hospitalityq-nil'!D566)))&gt;1))</f>
        <v>0</v>
      </c>
      <c r="D566">
        <f>NOT('hospitalityq-nil'!D566="")*(OR(COUNTIF(reference!$C$144:$C$155,TRIM(LEFT('hospitalityq-nil'!D566,FIND(":",'hospitalityq-nil'!D566&amp;":")-1))&amp;":*")=0,SUMPRODUCT(--(TRIM('hospitalityq-nil'!C6:C566)=TRIM('hospitalityq-nil'!C566)),--(TRIM('hospitalityq-nil'!D6:D566)=TRIM('hospitalityq-nil'!D566)))&gt;1))</f>
        <v>0</v>
      </c>
    </row>
    <row r="567" spans="1:4" x14ac:dyDescent="0.25">
      <c r="A567">
        <f t="shared" si="8"/>
        <v>0</v>
      </c>
      <c r="C567">
        <f>NOT('hospitalityq-nil'!C567="")*(OR(NOT(IFERROR(AND(INT('hospitalityq-nil'!C567)='hospitalityq-nil'!C567,'hospitalityq-nil'!C567&gt;=2018-50,'hospitalityq-nil'!C567&lt;=2018+50),FALSE)),SUMPRODUCT(--(TRIM('hospitalityq-nil'!C6:C567)=TRIM('hospitalityq-nil'!C567)),--(TRIM('hospitalityq-nil'!D6:D567)=TRIM('hospitalityq-nil'!D567)))&gt;1))</f>
        <v>0</v>
      </c>
      <c r="D567">
        <f>NOT('hospitalityq-nil'!D567="")*(OR(COUNTIF(reference!$C$144:$C$155,TRIM(LEFT('hospitalityq-nil'!D567,FIND(":",'hospitalityq-nil'!D567&amp;":")-1))&amp;":*")=0,SUMPRODUCT(--(TRIM('hospitalityq-nil'!C6:C567)=TRIM('hospitalityq-nil'!C567)),--(TRIM('hospitalityq-nil'!D6:D567)=TRIM('hospitalityq-nil'!D567)))&gt;1))</f>
        <v>0</v>
      </c>
    </row>
    <row r="568" spans="1:4" x14ac:dyDescent="0.25">
      <c r="A568">
        <f t="shared" si="8"/>
        <v>0</v>
      </c>
      <c r="C568">
        <f>NOT('hospitalityq-nil'!C568="")*(OR(NOT(IFERROR(AND(INT('hospitalityq-nil'!C568)='hospitalityq-nil'!C568,'hospitalityq-nil'!C568&gt;=2018-50,'hospitalityq-nil'!C568&lt;=2018+50),FALSE)),SUMPRODUCT(--(TRIM('hospitalityq-nil'!C6:C568)=TRIM('hospitalityq-nil'!C568)),--(TRIM('hospitalityq-nil'!D6:D568)=TRIM('hospitalityq-nil'!D568)))&gt;1))</f>
        <v>0</v>
      </c>
      <c r="D568">
        <f>NOT('hospitalityq-nil'!D568="")*(OR(COUNTIF(reference!$C$144:$C$155,TRIM(LEFT('hospitalityq-nil'!D568,FIND(":",'hospitalityq-nil'!D568&amp;":")-1))&amp;":*")=0,SUMPRODUCT(--(TRIM('hospitalityq-nil'!C6:C568)=TRIM('hospitalityq-nil'!C568)),--(TRIM('hospitalityq-nil'!D6:D568)=TRIM('hospitalityq-nil'!D568)))&gt;1))</f>
        <v>0</v>
      </c>
    </row>
    <row r="569" spans="1:4" x14ac:dyDescent="0.25">
      <c r="A569">
        <f t="shared" si="8"/>
        <v>0</v>
      </c>
      <c r="C569">
        <f>NOT('hospitalityq-nil'!C569="")*(OR(NOT(IFERROR(AND(INT('hospitalityq-nil'!C569)='hospitalityq-nil'!C569,'hospitalityq-nil'!C569&gt;=2018-50,'hospitalityq-nil'!C569&lt;=2018+50),FALSE)),SUMPRODUCT(--(TRIM('hospitalityq-nil'!C6:C569)=TRIM('hospitalityq-nil'!C569)),--(TRIM('hospitalityq-nil'!D6:D569)=TRIM('hospitalityq-nil'!D569)))&gt;1))</f>
        <v>0</v>
      </c>
      <c r="D569">
        <f>NOT('hospitalityq-nil'!D569="")*(OR(COUNTIF(reference!$C$144:$C$155,TRIM(LEFT('hospitalityq-nil'!D569,FIND(":",'hospitalityq-nil'!D569&amp;":")-1))&amp;":*")=0,SUMPRODUCT(--(TRIM('hospitalityq-nil'!C6:C569)=TRIM('hospitalityq-nil'!C569)),--(TRIM('hospitalityq-nil'!D6:D569)=TRIM('hospitalityq-nil'!D569)))&gt;1))</f>
        <v>0</v>
      </c>
    </row>
    <row r="570" spans="1:4" x14ac:dyDescent="0.25">
      <c r="A570">
        <f t="shared" si="8"/>
        <v>0</v>
      </c>
      <c r="C570">
        <f>NOT('hospitalityq-nil'!C570="")*(OR(NOT(IFERROR(AND(INT('hospitalityq-nil'!C570)='hospitalityq-nil'!C570,'hospitalityq-nil'!C570&gt;=2018-50,'hospitalityq-nil'!C570&lt;=2018+50),FALSE)),SUMPRODUCT(--(TRIM('hospitalityq-nil'!C6:C570)=TRIM('hospitalityq-nil'!C570)),--(TRIM('hospitalityq-nil'!D6:D570)=TRIM('hospitalityq-nil'!D570)))&gt;1))</f>
        <v>0</v>
      </c>
      <c r="D570">
        <f>NOT('hospitalityq-nil'!D570="")*(OR(COUNTIF(reference!$C$144:$C$155,TRIM(LEFT('hospitalityq-nil'!D570,FIND(":",'hospitalityq-nil'!D570&amp;":")-1))&amp;":*")=0,SUMPRODUCT(--(TRIM('hospitalityq-nil'!C6:C570)=TRIM('hospitalityq-nil'!C570)),--(TRIM('hospitalityq-nil'!D6:D570)=TRIM('hospitalityq-nil'!D570)))&gt;1))</f>
        <v>0</v>
      </c>
    </row>
    <row r="571" spans="1:4" x14ac:dyDescent="0.25">
      <c r="A571">
        <f t="shared" si="8"/>
        <v>0</v>
      </c>
      <c r="C571">
        <f>NOT('hospitalityq-nil'!C571="")*(OR(NOT(IFERROR(AND(INT('hospitalityq-nil'!C571)='hospitalityq-nil'!C571,'hospitalityq-nil'!C571&gt;=2018-50,'hospitalityq-nil'!C571&lt;=2018+50),FALSE)),SUMPRODUCT(--(TRIM('hospitalityq-nil'!C6:C571)=TRIM('hospitalityq-nil'!C571)),--(TRIM('hospitalityq-nil'!D6:D571)=TRIM('hospitalityq-nil'!D571)))&gt;1))</f>
        <v>0</v>
      </c>
      <c r="D571">
        <f>NOT('hospitalityq-nil'!D571="")*(OR(COUNTIF(reference!$C$144:$C$155,TRIM(LEFT('hospitalityq-nil'!D571,FIND(":",'hospitalityq-nil'!D571&amp;":")-1))&amp;":*")=0,SUMPRODUCT(--(TRIM('hospitalityq-nil'!C6:C571)=TRIM('hospitalityq-nil'!C571)),--(TRIM('hospitalityq-nil'!D6:D571)=TRIM('hospitalityq-nil'!D571)))&gt;1))</f>
        <v>0</v>
      </c>
    </row>
    <row r="572" spans="1:4" x14ac:dyDescent="0.25">
      <c r="A572">
        <f t="shared" si="8"/>
        <v>0</v>
      </c>
      <c r="C572">
        <f>NOT('hospitalityq-nil'!C572="")*(OR(NOT(IFERROR(AND(INT('hospitalityq-nil'!C572)='hospitalityq-nil'!C572,'hospitalityq-nil'!C572&gt;=2018-50,'hospitalityq-nil'!C572&lt;=2018+50),FALSE)),SUMPRODUCT(--(TRIM('hospitalityq-nil'!C6:C572)=TRIM('hospitalityq-nil'!C572)),--(TRIM('hospitalityq-nil'!D6:D572)=TRIM('hospitalityq-nil'!D572)))&gt;1))</f>
        <v>0</v>
      </c>
      <c r="D572">
        <f>NOT('hospitalityq-nil'!D572="")*(OR(COUNTIF(reference!$C$144:$C$155,TRIM(LEFT('hospitalityq-nil'!D572,FIND(":",'hospitalityq-nil'!D572&amp;":")-1))&amp;":*")=0,SUMPRODUCT(--(TRIM('hospitalityq-nil'!C6:C572)=TRIM('hospitalityq-nil'!C572)),--(TRIM('hospitalityq-nil'!D6:D572)=TRIM('hospitalityq-nil'!D572)))&gt;1))</f>
        <v>0</v>
      </c>
    </row>
    <row r="573" spans="1:4" x14ac:dyDescent="0.25">
      <c r="A573">
        <f t="shared" si="8"/>
        <v>0</v>
      </c>
      <c r="C573">
        <f>NOT('hospitalityq-nil'!C573="")*(OR(NOT(IFERROR(AND(INT('hospitalityq-nil'!C573)='hospitalityq-nil'!C573,'hospitalityq-nil'!C573&gt;=2018-50,'hospitalityq-nil'!C573&lt;=2018+50),FALSE)),SUMPRODUCT(--(TRIM('hospitalityq-nil'!C6:C573)=TRIM('hospitalityq-nil'!C573)),--(TRIM('hospitalityq-nil'!D6:D573)=TRIM('hospitalityq-nil'!D573)))&gt;1))</f>
        <v>0</v>
      </c>
      <c r="D573">
        <f>NOT('hospitalityq-nil'!D573="")*(OR(COUNTIF(reference!$C$144:$C$155,TRIM(LEFT('hospitalityq-nil'!D573,FIND(":",'hospitalityq-nil'!D573&amp;":")-1))&amp;":*")=0,SUMPRODUCT(--(TRIM('hospitalityq-nil'!C6:C573)=TRIM('hospitalityq-nil'!C573)),--(TRIM('hospitalityq-nil'!D6:D573)=TRIM('hospitalityq-nil'!D573)))&gt;1))</f>
        <v>0</v>
      </c>
    </row>
    <row r="574" spans="1:4" x14ac:dyDescent="0.25">
      <c r="A574">
        <f t="shared" si="8"/>
        <v>0</v>
      </c>
      <c r="C574">
        <f>NOT('hospitalityq-nil'!C574="")*(OR(NOT(IFERROR(AND(INT('hospitalityq-nil'!C574)='hospitalityq-nil'!C574,'hospitalityq-nil'!C574&gt;=2018-50,'hospitalityq-nil'!C574&lt;=2018+50),FALSE)),SUMPRODUCT(--(TRIM('hospitalityq-nil'!C6:C574)=TRIM('hospitalityq-nil'!C574)),--(TRIM('hospitalityq-nil'!D6:D574)=TRIM('hospitalityq-nil'!D574)))&gt;1))</f>
        <v>0</v>
      </c>
      <c r="D574">
        <f>NOT('hospitalityq-nil'!D574="")*(OR(COUNTIF(reference!$C$144:$C$155,TRIM(LEFT('hospitalityq-nil'!D574,FIND(":",'hospitalityq-nil'!D574&amp;":")-1))&amp;":*")=0,SUMPRODUCT(--(TRIM('hospitalityq-nil'!C6:C574)=TRIM('hospitalityq-nil'!C574)),--(TRIM('hospitalityq-nil'!D6:D574)=TRIM('hospitalityq-nil'!D574)))&gt;1))</f>
        <v>0</v>
      </c>
    </row>
    <row r="575" spans="1:4" x14ac:dyDescent="0.25">
      <c r="A575">
        <f t="shared" si="8"/>
        <v>0</v>
      </c>
      <c r="C575">
        <f>NOT('hospitalityq-nil'!C575="")*(OR(NOT(IFERROR(AND(INT('hospitalityq-nil'!C575)='hospitalityq-nil'!C575,'hospitalityq-nil'!C575&gt;=2018-50,'hospitalityq-nil'!C575&lt;=2018+50),FALSE)),SUMPRODUCT(--(TRIM('hospitalityq-nil'!C6:C575)=TRIM('hospitalityq-nil'!C575)),--(TRIM('hospitalityq-nil'!D6:D575)=TRIM('hospitalityq-nil'!D575)))&gt;1))</f>
        <v>0</v>
      </c>
      <c r="D575">
        <f>NOT('hospitalityq-nil'!D575="")*(OR(COUNTIF(reference!$C$144:$C$155,TRIM(LEFT('hospitalityq-nil'!D575,FIND(":",'hospitalityq-nil'!D575&amp;":")-1))&amp;":*")=0,SUMPRODUCT(--(TRIM('hospitalityq-nil'!C6:C575)=TRIM('hospitalityq-nil'!C575)),--(TRIM('hospitalityq-nil'!D6:D575)=TRIM('hospitalityq-nil'!D575)))&gt;1))</f>
        <v>0</v>
      </c>
    </row>
    <row r="576" spans="1:4" x14ac:dyDescent="0.25">
      <c r="A576">
        <f t="shared" si="8"/>
        <v>0</v>
      </c>
      <c r="C576">
        <f>NOT('hospitalityq-nil'!C576="")*(OR(NOT(IFERROR(AND(INT('hospitalityq-nil'!C576)='hospitalityq-nil'!C576,'hospitalityq-nil'!C576&gt;=2018-50,'hospitalityq-nil'!C576&lt;=2018+50),FALSE)),SUMPRODUCT(--(TRIM('hospitalityq-nil'!C6:C576)=TRIM('hospitalityq-nil'!C576)),--(TRIM('hospitalityq-nil'!D6:D576)=TRIM('hospitalityq-nil'!D576)))&gt;1))</f>
        <v>0</v>
      </c>
      <c r="D576">
        <f>NOT('hospitalityq-nil'!D576="")*(OR(COUNTIF(reference!$C$144:$C$155,TRIM(LEFT('hospitalityq-nil'!D576,FIND(":",'hospitalityq-nil'!D576&amp;":")-1))&amp;":*")=0,SUMPRODUCT(--(TRIM('hospitalityq-nil'!C6:C576)=TRIM('hospitalityq-nil'!C576)),--(TRIM('hospitalityq-nil'!D6:D576)=TRIM('hospitalityq-nil'!D576)))&gt;1))</f>
        <v>0</v>
      </c>
    </row>
    <row r="577" spans="1:4" x14ac:dyDescent="0.25">
      <c r="A577">
        <f t="shared" si="8"/>
        <v>0</v>
      </c>
      <c r="C577">
        <f>NOT('hospitalityq-nil'!C577="")*(OR(NOT(IFERROR(AND(INT('hospitalityq-nil'!C577)='hospitalityq-nil'!C577,'hospitalityq-nil'!C577&gt;=2018-50,'hospitalityq-nil'!C577&lt;=2018+50),FALSE)),SUMPRODUCT(--(TRIM('hospitalityq-nil'!C6:C577)=TRIM('hospitalityq-nil'!C577)),--(TRIM('hospitalityq-nil'!D6:D577)=TRIM('hospitalityq-nil'!D577)))&gt;1))</f>
        <v>0</v>
      </c>
      <c r="D577">
        <f>NOT('hospitalityq-nil'!D577="")*(OR(COUNTIF(reference!$C$144:$C$155,TRIM(LEFT('hospitalityq-nil'!D577,FIND(":",'hospitalityq-nil'!D577&amp;":")-1))&amp;":*")=0,SUMPRODUCT(--(TRIM('hospitalityq-nil'!C6:C577)=TRIM('hospitalityq-nil'!C577)),--(TRIM('hospitalityq-nil'!D6:D577)=TRIM('hospitalityq-nil'!D577)))&gt;1))</f>
        <v>0</v>
      </c>
    </row>
    <row r="578" spans="1:4" x14ac:dyDescent="0.25">
      <c r="A578">
        <f t="shared" si="8"/>
        <v>0</v>
      </c>
      <c r="C578">
        <f>NOT('hospitalityq-nil'!C578="")*(OR(NOT(IFERROR(AND(INT('hospitalityq-nil'!C578)='hospitalityq-nil'!C578,'hospitalityq-nil'!C578&gt;=2018-50,'hospitalityq-nil'!C578&lt;=2018+50),FALSE)),SUMPRODUCT(--(TRIM('hospitalityq-nil'!C6:C578)=TRIM('hospitalityq-nil'!C578)),--(TRIM('hospitalityq-nil'!D6:D578)=TRIM('hospitalityq-nil'!D578)))&gt;1))</f>
        <v>0</v>
      </c>
      <c r="D578">
        <f>NOT('hospitalityq-nil'!D578="")*(OR(COUNTIF(reference!$C$144:$C$155,TRIM(LEFT('hospitalityq-nil'!D578,FIND(":",'hospitalityq-nil'!D578&amp;":")-1))&amp;":*")=0,SUMPRODUCT(--(TRIM('hospitalityq-nil'!C6:C578)=TRIM('hospitalityq-nil'!C578)),--(TRIM('hospitalityq-nil'!D6:D578)=TRIM('hospitalityq-nil'!D578)))&gt;1))</f>
        <v>0</v>
      </c>
    </row>
    <row r="579" spans="1:4" x14ac:dyDescent="0.25">
      <c r="A579">
        <f t="shared" si="8"/>
        <v>0</v>
      </c>
      <c r="C579">
        <f>NOT('hospitalityq-nil'!C579="")*(OR(NOT(IFERROR(AND(INT('hospitalityq-nil'!C579)='hospitalityq-nil'!C579,'hospitalityq-nil'!C579&gt;=2018-50,'hospitalityq-nil'!C579&lt;=2018+50),FALSE)),SUMPRODUCT(--(TRIM('hospitalityq-nil'!C6:C579)=TRIM('hospitalityq-nil'!C579)),--(TRIM('hospitalityq-nil'!D6:D579)=TRIM('hospitalityq-nil'!D579)))&gt;1))</f>
        <v>0</v>
      </c>
      <c r="D579">
        <f>NOT('hospitalityq-nil'!D579="")*(OR(COUNTIF(reference!$C$144:$C$155,TRIM(LEFT('hospitalityq-nil'!D579,FIND(":",'hospitalityq-nil'!D579&amp;":")-1))&amp;":*")=0,SUMPRODUCT(--(TRIM('hospitalityq-nil'!C6:C579)=TRIM('hospitalityq-nil'!C579)),--(TRIM('hospitalityq-nil'!D6:D579)=TRIM('hospitalityq-nil'!D579)))&gt;1))</f>
        <v>0</v>
      </c>
    </row>
    <row r="580" spans="1:4" x14ac:dyDescent="0.25">
      <c r="A580">
        <f t="shared" si="8"/>
        <v>0</v>
      </c>
      <c r="C580">
        <f>NOT('hospitalityq-nil'!C580="")*(OR(NOT(IFERROR(AND(INT('hospitalityq-nil'!C580)='hospitalityq-nil'!C580,'hospitalityq-nil'!C580&gt;=2018-50,'hospitalityq-nil'!C580&lt;=2018+50),FALSE)),SUMPRODUCT(--(TRIM('hospitalityq-nil'!C6:C580)=TRIM('hospitalityq-nil'!C580)),--(TRIM('hospitalityq-nil'!D6:D580)=TRIM('hospitalityq-nil'!D580)))&gt;1))</f>
        <v>0</v>
      </c>
      <c r="D580">
        <f>NOT('hospitalityq-nil'!D580="")*(OR(COUNTIF(reference!$C$144:$C$155,TRIM(LEFT('hospitalityq-nil'!D580,FIND(":",'hospitalityq-nil'!D580&amp;":")-1))&amp;":*")=0,SUMPRODUCT(--(TRIM('hospitalityq-nil'!C6:C580)=TRIM('hospitalityq-nil'!C580)),--(TRIM('hospitalityq-nil'!D6:D580)=TRIM('hospitalityq-nil'!D580)))&gt;1))</f>
        <v>0</v>
      </c>
    </row>
    <row r="581" spans="1:4" x14ac:dyDescent="0.25">
      <c r="A581">
        <f t="shared" si="8"/>
        <v>0</v>
      </c>
      <c r="C581">
        <f>NOT('hospitalityq-nil'!C581="")*(OR(NOT(IFERROR(AND(INT('hospitalityq-nil'!C581)='hospitalityq-nil'!C581,'hospitalityq-nil'!C581&gt;=2018-50,'hospitalityq-nil'!C581&lt;=2018+50),FALSE)),SUMPRODUCT(--(TRIM('hospitalityq-nil'!C6:C581)=TRIM('hospitalityq-nil'!C581)),--(TRIM('hospitalityq-nil'!D6:D581)=TRIM('hospitalityq-nil'!D581)))&gt;1))</f>
        <v>0</v>
      </c>
      <c r="D581">
        <f>NOT('hospitalityq-nil'!D581="")*(OR(COUNTIF(reference!$C$144:$C$155,TRIM(LEFT('hospitalityq-nil'!D581,FIND(":",'hospitalityq-nil'!D581&amp;":")-1))&amp;":*")=0,SUMPRODUCT(--(TRIM('hospitalityq-nil'!C6:C581)=TRIM('hospitalityq-nil'!C581)),--(TRIM('hospitalityq-nil'!D6:D581)=TRIM('hospitalityq-nil'!D581)))&gt;1))</f>
        <v>0</v>
      </c>
    </row>
    <row r="582" spans="1:4" x14ac:dyDescent="0.25">
      <c r="A582">
        <f t="shared" ref="A582:A645" si="9">IFERROR(MATCH(TRUE,INDEX(C582:D582&lt;&gt;0,),)+2,0)</f>
        <v>0</v>
      </c>
      <c r="C582">
        <f>NOT('hospitalityq-nil'!C582="")*(OR(NOT(IFERROR(AND(INT('hospitalityq-nil'!C582)='hospitalityq-nil'!C582,'hospitalityq-nil'!C582&gt;=2018-50,'hospitalityq-nil'!C582&lt;=2018+50),FALSE)),SUMPRODUCT(--(TRIM('hospitalityq-nil'!C6:C582)=TRIM('hospitalityq-nil'!C582)),--(TRIM('hospitalityq-nil'!D6:D582)=TRIM('hospitalityq-nil'!D582)))&gt;1))</f>
        <v>0</v>
      </c>
      <c r="D582">
        <f>NOT('hospitalityq-nil'!D582="")*(OR(COUNTIF(reference!$C$144:$C$155,TRIM(LEFT('hospitalityq-nil'!D582,FIND(":",'hospitalityq-nil'!D582&amp;":")-1))&amp;":*")=0,SUMPRODUCT(--(TRIM('hospitalityq-nil'!C6:C582)=TRIM('hospitalityq-nil'!C582)),--(TRIM('hospitalityq-nil'!D6:D582)=TRIM('hospitalityq-nil'!D582)))&gt;1))</f>
        <v>0</v>
      </c>
    </row>
    <row r="583" spans="1:4" x14ac:dyDescent="0.25">
      <c r="A583">
        <f t="shared" si="9"/>
        <v>0</v>
      </c>
      <c r="C583">
        <f>NOT('hospitalityq-nil'!C583="")*(OR(NOT(IFERROR(AND(INT('hospitalityq-nil'!C583)='hospitalityq-nil'!C583,'hospitalityq-nil'!C583&gt;=2018-50,'hospitalityq-nil'!C583&lt;=2018+50),FALSE)),SUMPRODUCT(--(TRIM('hospitalityq-nil'!C6:C583)=TRIM('hospitalityq-nil'!C583)),--(TRIM('hospitalityq-nil'!D6:D583)=TRIM('hospitalityq-nil'!D583)))&gt;1))</f>
        <v>0</v>
      </c>
      <c r="D583">
        <f>NOT('hospitalityq-nil'!D583="")*(OR(COUNTIF(reference!$C$144:$C$155,TRIM(LEFT('hospitalityq-nil'!D583,FIND(":",'hospitalityq-nil'!D583&amp;":")-1))&amp;":*")=0,SUMPRODUCT(--(TRIM('hospitalityq-nil'!C6:C583)=TRIM('hospitalityq-nil'!C583)),--(TRIM('hospitalityq-nil'!D6:D583)=TRIM('hospitalityq-nil'!D583)))&gt;1))</f>
        <v>0</v>
      </c>
    </row>
    <row r="584" spans="1:4" x14ac:dyDescent="0.25">
      <c r="A584">
        <f t="shared" si="9"/>
        <v>0</v>
      </c>
      <c r="C584">
        <f>NOT('hospitalityq-nil'!C584="")*(OR(NOT(IFERROR(AND(INT('hospitalityq-nil'!C584)='hospitalityq-nil'!C584,'hospitalityq-nil'!C584&gt;=2018-50,'hospitalityq-nil'!C584&lt;=2018+50),FALSE)),SUMPRODUCT(--(TRIM('hospitalityq-nil'!C6:C584)=TRIM('hospitalityq-nil'!C584)),--(TRIM('hospitalityq-nil'!D6:D584)=TRIM('hospitalityq-nil'!D584)))&gt;1))</f>
        <v>0</v>
      </c>
      <c r="D584">
        <f>NOT('hospitalityq-nil'!D584="")*(OR(COUNTIF(reference!$C$144:$C$155,TRIM(LEFT('hospitalityq-nil'!D584,FIND(":",'hospitalityq-nil'!D584&amp;":")-1))&amp;":*")=0,SUMPRODUCT(--(TRIM('hospitalityq-nil'!C6:C584)=TRIM('hospitalityq-nil'!C584)),--(TRIM('hospitalityq-nil'!D6:D584)=TRIM('hospitalityq-nil'!D584)))&gt;1))</f>
        <v>0</v>
      </c>
    </row>
    <row r="585" spans="1:4" x14ac:dyDescent="0.25">
      <c r="A585">
        <f t="shared" si="9"/>
        <v>0</v>
      </c>
      <c r="C585">
        <f>NOT('hospitalityq-nil'!C585="")*(OR(NOT(IFERROR(AND(INT('hospitalityq-nil'!C585)='hospitalityq-nil'!C585,'hospitalityq-nil'!C585&gt;=2018-50,'hospitalityq-nil'!C585&lt;=2018+50),FALSE)),SUMPRODUCT(--(TRIM('hospitalityq-nil'!C6:C585)=TRIM('hospitalityq-nil'!C585)),--(TRIM('hospitalityq-nil'!D6:D585)=TRIM('hospitalityq-nil'!D585)))&gt;1))</f>
        <v>0</v>
      </c>
      <c r="D585">
        <f>NOT('hospitalityq-nil'!D585="")*(OR(COUNTIF(reference!$C$144:$C$155,TRIM(LEFT('hospitalityq-nil'!D585,FIND(":",'hospitalityq-nil'!D585&amp;":")-1))&amp;":*")=0,SUMPRODUCT(--(TRIM('hospitalityq-nil'!C6:C585)=TRIM('hospitalityq-nil'!C585)),--(TRIM('hospitalityq-nil'!D6:D585)=TRIM('hospitalityq-nil'!D585)))&gt;1))</f>
        <v>0</v>
      </c>
    </row>
    <row r="586" spans="1:4" x14ac:dyDescent="0.25">
      <c r="A586">
        <f t="shared" si="9"/>
        <v>0</v>
      </c>
      <c r="C586">
        <f>NOT('hospitalityq-nil'!C586="")*(OR(NOT(IFERROR(AND(INT('hospitalityq-nil'!C586)='hospitalityq-nil'!C586,'hospitalityq-nil'!C586&gt;=2018-50,'hospitalityq-nil'!C586&lt;=2018+50),FALSE)),SUMPRODUCT(--(TRIM('hospitalityq-nil'!C6:C586)=TRIM('hospitalityq-nil'!C586)),--(TRIM('hospitalityq-nil'!D6:D586)=TRIM('hospitalityq-nil'!D586)))&gt;1))</f>
        <v>0</v>
      </c>
      <c r="D586">
        <f>NOT('hospitalityq-nil'!D586="")*(OR(COUNTIF(reference!$C$144:$C$155,TRIM(LEFT('hospitalityq-nil'!D586,FIND(":",'hospitalityq-nil'!D586&amp;":")-1))&amp;":*")=0,SUMPRODUCT(--(TRIM('hospitalityq-nil'!C6:C586)=TRIM('hospitalityq-nil'!C586)),--(TRIM('hospitalityq-nil'!D6:D586)=TRIM('hospitalityq-nil'!D586)))&gt;1))</f>
        <v>0</v>
      </c>
    </row>
    <row r="587" spans="1:4" x14ac:dyDescent="0.25">
      <c r="A587">
        <f t="shared" si="9"/>
        <v>0</v>
      </c>
      <c r="C587">
        <f>NOT('hospitalityq-nil'!C587="")*(OR(NOT(IFERROR(AND(INT('hospitalityq-nil'!C587)='hospitalityq-nil'!C587,'hospitalityq-nil'!C587&gt;=2018-50,'hospitalityq-nil'!C587&lt;=2018+50),FALSE)),SUMPRODUCT(--(TRIM('hospitalityq-nil'!C6:C587)=TRIM('hospitalityq-nil'!C587)),--(TRIM('hospitalityq-nil'!D6:D587)=TRIM('hospitalityq-nil'!D587)))&gt;1))</f>
        <v>0</v>
      </c>
      <c r="D587">
        <f>NOT('hospitalityq-nil'!D587="")*(OR(COUNTIF(reference!$C$144:$C$155,TRIM(LEFT('hospitalityq-nil'!D587,FIND(":",'hospitalityq-nil'!D587&amp;":")-1))&amp;":*")=0,SUMPRODUCT(--(TRIM('hospitalityq-nil'!C6:C587)=TRIM('hospitalityq-nil'!C587)),--(TRIM('hospitalityq-nil'!D6:D587)=TRIM('hospitalityq-nil'!D587)))&gt;1))</f>
        <v>0</v>
      </c>
    </row>
    <row r="588" spans="1:4" x14ac:dyDescent="0.25">
      <c r="A588">
        <f t="shared" si="9"/>
        <v>0</v>
      </c>
      <c r="C588">
        <f>NOT('hospitalityq-nil'!C588="")*(OR(NOT(IFERROR(AND(INT('hospitalityq-nil'!C588)='hospitalityq-nil'!C588,'hospitalityq-nil'!C588&gt;=2018-50,'hospitalityq-nil'!C588&lt;=2018+50),FALSE)),SUMPRODUCT(--(TRIM('hospitalityq-nil'!C6:C588)=TRIM('hospitalityq-nil'!C588)),--(TRIM('hospitalityq-nil'!D6:D588)=TRIM('hospitalityq-nil'!D588)))&gt;1))</f>
        <v>0</v>
      </c>
      <c r="D588">
        <f>NOT('hospitalityq-nil'!D588="")*(OR(COUNTIF(reference!$C$144:$C$155,TRIM(LEFT('hospitalityq-nil'!D588,FIND(":",'hospitalityq-nil'!D588&amp;":")-1))&amp;":*")=0,SUMPRODUCT(--(TRIM('hospitalityq-nil'!C6:C588)=TRIM('hospitalityq-nil'!C588)),--(TRIM('hospitalityq-nil'!D6:D588)=TRIM('hospitalityq-nil'!D588)))&gt;1))</f>
        <v>0</v>
      </c>
    </row>
    <row r="589" spans="1:4" x14ac:dyDescent="0.25">
      <c r="A589">
        <f t="shared" si="9"/>
        <v>0</v>
      </c>
      <c r="C589">
        <f>NOT('hospitalityq-nil'!C589="")*(OR(NOT(IFERROR(AND(INT('hospitalityq-nil'!C589)='hospitalityq-nil'!C589,'hospitalityq-nil'!C589&gt;=2018-50,'hospitalityq-nil'!C589&lt;=2018+50),FALSE)),SUMPRODUCT(--(TRIM('hospitalityq-nil'!C6:C589)=TRIM('hospitalityq-nil'!C589)),--(TRIM('hospitalityq-nil'!D6:D589)=TRIM('hospitalityq-nil'!D589)))&gt;1))</f>
        <v>0</v>
      </c>
      <c r="D589">
        <f>NOT('hospitalityq-nil'!D589="")*(OR(COUNTIF(reference!$C$144:$C$155,TRIM(LEFT('hospitalityq-nil'!D589,FIND(":",'hospitalityq-nil'!D589&amp;":")-1))&amp;":*")=0,SUMPRODUCT(--(TRIM('hospitalityq-nil'!C6:C589)=TRIM('hospitalityq-nil'!C589)),--(TRIM('hospitalityq-nil'!D6:D589)=TRIM('hospitalityq-nil'!D589)))&gt;1))</f>
        <v>0</v>
      </c>
    </row>
    <row r="590" spans="1:4" x14ac:dyDescent="0.25">
      <c r="A590">
        <f t="shared" si="9"/>
        <v>0</v>
      </c>
      <c r="C590">
        <f>NOT('hospitalityq-nil'!C590="")*(OR(NOT(IFERROR(AND(INT('hospitalityq-nil'!C590)='hospitalityq-nil'!C590,'hospitalityq-nil'!C590&gt;=2018-50,'hospitalityq-nil'!C590&lt;=2018+50),FALSE)),SUMPRODUCT(--(TRIM('hospitalityq-nil'!C6:C590)=TRIM('hospitalityq-nil'!C590)),--(TRIM('hospitalityq-nil'!D6:D590)=TRIM('hospitalityq-nil'!D590)))&gt;1))</f>
        <v>0</v>
      </c>
      <c r="D590">
        <f>NOT('hospitalityq-nil'!D590="")*(OR(COUNTIF(reference!$C$144:$C$155,TRIM(LEFT('hospitalityq-nil'!D590,FIND(":",'hospitalityq-nil'!D590&amp;":")-1))&amp;":*")=0,SUMPRODUCT(--(TRIM('hospitalityq-nil'!C6:C590)=TRIM('hospitalityq-nil'!C590)),--(TRIM('hospitalityq-nil'!D6:D590)=TRIM('hospitalityq-nil'!D590)))&gt;1))</f>
        <v>0</v>
      </c>
    </row>
    <row r="591" spans="1:4" x14ac:dyDescent="0.25">
      <c r="A591">
        <f t="shared" si="9"/>
        <v>0</v>
      </c>
      <c r="C591">
        <f>NOT('hospitalityq-nil'!C591="")*(OR(NOT(IFERROR(AND(INT('hospitalityq-nil'!C591)='hospitalityq-nil'!C591,'hospitalityq-nil'!C591&gt;=2018-50,'hospitalityq-nil'!C591&lt;=2018+50),FALSE)),SUMPRODUCT(--(TRIM('hospitalityq-nil'!C6:C591)=TRIM('hospitalityq-nil'!C591)),--(TRIM('hospitalityq-nil'!D6:D591)=TRIM('hospitalityq-nil'!D591)))&gt;1))</f>
        <v>0</v>
      </c>
      <c r="D591">
        <f>NOT('hospitalityq-nil'!D591="")*(OR(COUNTIF(reference!$C$144:$C$155,TRIM(LEFT('hospitalityq-nil'!D591,FIND(":",'hospitalityq-nil'!D591&amp;":")-1))&amp;":*")=0,SUMPRODUCT(--(TRIM('hospitalityq-nil'!C6:C591)=TRIM('hospitalityq-nil'!C591)),--(TRIM('hospitalityq-nil'!D6:D591)=TRIM('hospitalityq-nil'!D591)))&gt;1))</f>
        <v>0</v>
      </c>
    </row>
    <row r="592" spans="1:4" x14ac:dyDescent="0.25">
      <c r="A592">
        <f t="shared" si="9"/>
        <v>0</v>
      </c>
      <c r="C592">
        <f>NOT('hospitalityq-nil'!C592="")*(OR(NOT(IFERROR(AND(INT('hospitalityq-nil'!C592)='hospitalityq-nil'!C592,'hospitalityq-nil'!C592&gt;=2018-50,'hospitalityq-nil'!C592&lt;=2018+50),FALSE)),SUMPRODUCT(--(TRIM('hospitalityq-nil'!C6:C592)=TRIM('hospitalityq-nil'!C592)),--(TRIM('hospitalityq-nil'!D6:D592)=TRIM('hospitalityq-nil'!D592)))&gt;1))</f>
        <v>0</v>
      </c>
      <c r="D592">
        <f>NOT('hospitalityq-nil'!D592="")*(OR(COUNTIF(reference!$C$144:$C$155,TRIM(LEFT('hospitalityq-nil'!D592,FIND(":",'hospitalityq-nil'!D592&amp;":")-1))&amp;":*")=0,SUMPRODUCT(--(TRIM('hospitalityq-nil'!C6:C592)=TRIM('hospitalityq-nil'!C592)),--(TRIM('hospitalityq-nil'!D6:D592)=TRIM('hospitalityq-nil'!D592)))&gt;1))</f>
        <v>0</v>
      </c>
    </row>
    <row r="593" spans="1:4" x14ac:dyDescent="0.25">
      <c r="A593">
        <f t="shared" si="9"/>
        <v>0</v>
      </c>
      <c r="C593">
        <f>NOT('hospitalityq-nil'!C593="")*(OR(NOT(IFERROR(AND(INT('hospitalityq-nil'!C593)='hospitalityq-nil'!C593,'hospitalityq-nil'!C593&gt;=2018-50,'hospitalityq-nil'!C593&lt;=2018+50),FALSE)),SUMPRODUCT(--(TRIM('hospitalityq-nil'!C6:C593)=TRIM('hospitalityq-nil'!C593)),--(TRIM('hospitalityq-nil'!D6:D593)=TRIM('hospitalityq-nil'!D593)))&gt;1))</f>
        <v>0</v>
      </c>
      <c r="D593">
        <f>NOT('hospitalityq-nil'!D593="")*(OR(COUNTIF(reference!$C$144:$C$155,TRIM(LEFT('hospitalityq-nil'!D593,FIND(":",'hospitalityq-nil'!D593&amp;":")-1))&amp;":*")=0,SUMPRODUCT(--(TRIM('hospitalityq-nil'!C6:C593)=TRIM('hospitalityq-nil'!C593)),--(TRIM('hospitalityq-nil'!D6:D593)=TRIM('hospitalityq-nil'!D593)))&gt;1))</f>
        <v>0</v>
      </c>
    </row>
    <row r="594" spans="1:4" x14ac:dyDescent="0.25">
      <c r="A594">
        <f t="shared" si="9"/>
        <v>0</v>
      </c>
      <c r="C594">
        <f>NOT('hospitalityq-nil'!C594="")*(OR(NOT(IFERROR(AND(INT('hospitalityq-nil'!C594)='hospitalityq-nil'!C594,'hospitalityq-nil'!C594&gt;=2018-50,'hospitalityq-nil'!C594&lt;=2018+50),FALSE)),SUMPRODUCT(--(TRIM('hospitalityq-nil'!C6:C594)=TRIM('hospitalityq-nil'!C594)),--(TRIM('hospitalityq-nil'!D6:D594)=TRIM('hospitalityq-nil'!D594)))&gt;1))</f>
        <v>0</v>
      </c>
      <c r="D594">
        <f>NOT('hospitalityq-nil'!D594="")*(OR(COUNTIF(reference!$C$144:$C$155,TRIM(LEFT('hospitalityq-nil'!D594,FIND(":",'hospitalityq-nil'!D594&amp;":")-1))&amp;":*")=0,SUMPRODUCT(--(TRIM('hospitalityq-nil'!C6:C594)=TRIM('hospitalityq-nil'!C594)),--(TRIM('hospitalityq-nil'!D6:D594)=TRIM('hospitalityq-nil'!D594)))&gt;1))</f>
        <v>0</v>
      </c>
    </row>
    <row r="595" spans="1:4" x14ac:dyDescent="0.25">
      <c r="A595">
        <f t="shared" si="9"/>
        <v>0</v>
      </c>
      <c r="C595">
        <f>NOT('hospitalityq-nil'!C595="")*(OR(NOT(IFERROR(AND(INT('hospitalityq-nil'!C595)='hospitalityq-nil'!C595,'hospitalityq-nil'!C595&gt;=2018-50,'hospitalityq-nil'!C595&lt;=2018+50),FALSE)),SUMPRODUCT(--(TRIM('hospitalityq-nil'!C6:C595)=TRIM('hospitalityq-nil'!C595)),--(TRIM('hospitalityq-nil'!D6:D595)=TRIM('hospitalityq-nil'!D595)))&gt;1))</f>
        <v>0</v>
      </c>
      <c r="D595">
        <f>NOT('hospitalityq-nil'!D595="")*(OR(COUNTIF(reference!$C$144:$C$155,TRIM(LEFT('hospitalityq-nil'!D595,FIND(":",'hospitalityq-nil'!D595&amp;":")-1))&amp;":*")=0,SUMPRODUCT(--(TRIM('hospitalityq-nil'!C6:C595)=TRIM('hospitalityq-nil'!C595)),--(TRIM('hospitalityq-nil'!D6:D595)=TRIM('hospitalityq-nil'!D595)))&gt;1))</f>
        <v>0</v>
      </c>
    </row>
    <row r="596" spans="1:4" x14ac:dyDescent="0.25">
      <c r="A596">
        <f t="shared" si="9"/>
        <v>0</v>
      </c>
      <c r="C596">
        <f>NOT('hospitalityq-nil'!C596="")*(OR(NOT(IFERROR(AND(INT('hospitalityq-nil'!C596)='hospitalityq-nil'!C596,'hospitalityq-nil'!C596&gt;=2018-50,'hospitalityq-nil'!C596&lt;=2018+50),FALSE)),SUMPRODUCT(--(TRIM('hospitalityq-nil'!C6:C596)=TRIM('hospitalityq-nil'!C596)),--(TRIM('hospitalityq-nil'!D6:D596)=TRIM('hospitalityq-nil'!D596)))&gt;1))</f>
        <v>0</v>
      </c>
      <c r="D596">
        <f>NOT('hospitalityq-nil'!D596="")*(OR(COUNTIF(reference!$C$144:$C$155,TRIM(LEFT('hospitalityq-nil'!D596,FIND(":",'hospitalityq-nil'!D596&amp;":")-1))&amp;":*")=0,SUMPRODUCT(--(TRIM('hospitalityq-nil'!C6:C596)=TRIM('hospitalityq-nil'!C596)),--(TRIM('hospitalityq-nil'!D6:D596)=TRIM('hospitalityq-nil'!D596)))&gt;1))</f>
        <v>0</v>
      </c>
    </row>
    <row r="597" spans="1:4" x14ac:dyDescent="0.25">
      <c r="A597">
        <f t="shared" si="9"/>
        <v>0</v>
      </c>
      <c r="C597">
        <f>NOT('hospitalityq-nil'!C597="")*(OR(NOT(IFERROR(AND(INT('hospitalityq-nil'!C597)='hospitalityq-nil'!C597,'hospitalityq-nil'!C597&gt;=2018-50,'hospitalityq-nil'!C597&lt;=2018+50),FALSE)),SUMPRODUCT(--(TRIM('hospitalityq-nil'!C6:C597)=TRIM('hospitalityq-nil'!C597)),--(TRIM('hospitalityq-nil'!D6:D597)=TRIM('hospitalityq-nil'!D597)))&gt;1))</f>
        <v>0</v>
      </c>
      <c r="D597">
        <f>NOT('hospitalityq-nil'!D597="")*(OR(COUNTIF(reference!$C$144:$C$155,TRIM(LEFT('hospitalityq-nil'!D597,FIND(":",'hospitalityq-nil'!D597&amp;":")-1))&amp;":*")=0,SUMPRODUCT(--(TRIM('hospitalityq-nil'!C6:C597)=TRIM('hospitalityq-nil'!C597)),--(TRIM('hospitalityq-nil'!D6:D597)=TRIM('hospitalityq-nil'!D597)))&gt;1))</f>
        <v>0</v>
      </c>
    </row>
    <row r="598" spans="1:4" x14ac:dyDescent="0.25">
      <c r="A598">
        <f t="shared" si="9"/>
        <v>0</v>
      </c>
      <c r="C598">
        <f>NOT('hospitalityq-nil'!C598="")*(OR(NOT(IFERROR(AND(INT('hospitalityq-nil'!C598)='hospitalityq-nil'!C598,'hospitalityq-nil'!C598&gt;=2018-50,'hospitalityq-nil'!C598&lt;=2018+50),FALSE)),SUMPRODUCT(--(TRIM('hospitalityq-nil'!C6:C598)=TRIM('hospitalityq-nil'!C598)),--(TRIM('hospitalityq-nil'!D6:D598)=TRIM('hospitalityq-nil'!D598)))&gt;1))</f>
        <v>0</v>
      </c>
      <c r="D598">
        <f>NOT('hospitalityq-nil'!D598="")*(OR(COUNTIF(reference!$C$144:$C$155,TRIM(LEFT('hospitalityq-nil'!D598,FIND(":",'hospitalityq-nil'!D598&amp;":")-1))&amp;":*")=0,SUMPRODUCT(--(TRIM('hospitalityq-nil'!C6:C598)=TRIM('hospitalityq-nil'!C598)),--(TRIM('hospitalityq-nil'!D6:D598)=TRIM('hospitalityq-nil'!D598)))&gt;1))</f>
        <v>0</v>
      </c>
    </row>
    <row r="599" spans="1:4" x14ac:dyDescent="0.25">
      <c r="A599">
        <f t="shared" si="9"/>
        <v>0</v>
      </c>
      <c r="C599">
        <f>NOT('hospitalityq-nil'!C599="")*(OR(NOT(IFERROR(AND(INT('hospitalityq-nil'!C599)='hospitalityq-nil'!C599,'hospitalityq-nil'!C599&gt;=2018-50,'hospitalityq-nil'!C599&lt;=2018+50),FALSE)),SUMPRODUCT(--(TRIM('hospitalityq-nil'!C6:C599)=TRIM('hospitalityq-nil'!C599)),--(TRIM('hospitalityq-nil'!D6:D599)=TRIM('hospitalityq-nil'!D599)))&gt;1))</f>
        <v>0</v>
      </c>
      <c r="D599">
        <f>NOT('hospitalityq-nil'!D599="")*(OR(COUNTIF(reference!$C$144:$C$155,TRIM(LEFT('hospitalityq-nil'!D599,FIND(":",'hospitalityq-nil'!D599&amp;":")-1))&amp;":*")=0,SUMPRODUCT(--(TRIM('hospitalityq-nil'!C6:C599)=TRIM('hospitalityq-nil'!C599)),--(TRIM('hospitalityq-nil'!D6:D599)=TRIM('hospitalityq-nil'!D599)))&gt;1))</f>
        <v>0</v>
      </c>
    </row>
    <row r="600" spans="1:4" x14ac:dyDescent="0.25">
      <c r="A600">
        <f t="shared" si="9"/>
        <v>0</v>
      </c>
      <c r="C600">
        <f>NOT('hospitalityq-nil'!C600="")*(OR(NOT(IFERROR(AND(INT('hospitalityq-nil'!C600)='hospitalityq-nil'!C600,'hospitalityq-nil'!C600&gt;=2018-50,'hospitalityq-nil'!C600&lt;=2018+50),FALSE)),SUMPRODUCT(--(TRIM('hospitalityq-nil'!C6:C600)=TRIM('hospitalityq-nil'!C600)),--(TRIM('hospitalityq-nil'!D6:D600)=TRIM('hospitalityq-nil'!D600)))&gt;1))</f>
        <v>0</v>
      </c>
      <c r="D600">
        <f>NOT('hospitalityq-nil'!D600="")*(OR(COUNTIF(reference!$C$144:$C$155,TRIM(LEFT('hospitalityq-nil'!D600,FIND(":",'hospitalityq-nil'!D600&amp;":")-1))&amp;":*")=0,SUMPRODUCT(--(TRIM('hospitalityq-nil'!C6:C600)=TRIM('hospitalityq-nil'!C600)),--(TRIM('hospitalityq-nil'!D6:D600)=TRIM('hospitalityq-nil'!D600)))&gt;1))</f>
        <v>0</v>
      </c>
    </row>
    <row r="601" spans="1:4" x14ac:dyDescent="0.25">
      <c r="A601">
        <f t="shared" si="9"/>
        <v>0</v>
      </c>
      <c r="C601">
        <f>NOT('hospitalityq-nil'!C601="")*(OR(NOT(IFERROR(AND(INT('hospitalityq-nil'!C601)='hospitalityq-nil'!C601,'hospitalityq-nil'!C601&gt;=2018-50,'hospitalityq-nil'!C601&lt;=2018+50),FALSE)),SUMPRODUCT(--(TRIM('hospitalityq-nil'!C6:C601)=TRIM('hospitalityq-nil'!C601)),--(TRIM('hospitalityq-nil'!D6:D601)=TRIM('hospitalityq-nil'!D601)))&gt;1))</f>
        <v>0</v>
      </c>
      <c r="D601">
        <f>NOT('hospitalityq-nil'!D601="")*(OR(COUNTIF(reference!$C$144:$C$155,TRIM(LEFT('hospitalityq-nil'!D601,FIND(":",'hospitalityq-nil'!D601&amp;":")-1))&amp;":*")=0,SUMPRODUCT(--(TRIM('hospitalityq-nil'!C6:C601)=TRIM('hospitalityq-nil'!C601)),--(TRIM('hospitalityq-nil'!D6:D601)=TRIM('hospitalityq-nil'!D601)))&gt;1))</f>
        <v>0</v>
      </c>
    </row>
    <row r="602" spans="1:4" x14ac:dyDescent="0.25">
      <c r="A602">
        <f t="shared" si="9"/>
        <v>0</v>
      </c>
      <c r="C602">
        <f>NOT('hospitalityq-nil'!C602="")*(OR(NOT(IFERROR(AND(INT('hospitalityq-nil'!C602)='hospitalityq-nil'!C602,'hospitalityq-nil'!C602&gt;=2018-50,'hospitalityq-nil'!C602&lt;=2018+50),FALSE)),SUMPRODUCT(--(TRIM('hospitalityq-nil'!C6:C602)=TRIM('hospitalityq-nil'!C602)),--(TRIM('hospitalityq-nil'!D6:D602)=TRIM('hospitalityq-nil'!D602)))&gt;1))</f>
        <v>0</v>
      </c>
      <c r="D602">
        <f>NOT('hospitalityq-nil'!D602="")*(OR(COUNTIF(reference!$C$144:$C$155,TRIM(LEFT('hospitalityq-nil'!D602,FIND(":",'hospitalityq-nil'!D602&amp;":")-1))&amp;":*")=0,SUMPRODUCT(--(TRIM('hospitalityq-nil'!C6:C602)=TRIM('hospitalityq-nil'!C602)),--(TRIM('hospitalityq-nil'!D6:D602)=TRIM('hospitalityq-nil'!D602)))&gt;1))</f>
        <v>0</v>
      </c>
    </row>
    <row r="603" spans="1:4" x14ac:dyDescent="0.25">
      <c r="A603">
        <f t="shared" si="9"/>
        <v>0</v>
      </c>
      <c r="C603">
        <f>NOT('hospitalityq-nil'!C603="")*(OR(NOT(IFERROR(AND(INT('hospitalityq-nil'!C603)='hospitalityq-nil'!C603,'hospitalityq-nil'!C603&gt;=2018-50,'hospitalityq-nil'!C603&lt;=2018+50),FALSE)),SUMPRODUCT(--(TRIM('hospitalityq-nil'!C6:C603)=TRIM('hospitalityq-nil'!C603)),--(TRIM('hospitalityq-nil'!D6:D603)=TRIM('hospitalityq-nil'!D603)))&gt;1))</f>
        <v>0</v>
      </c>
      <c r="D603">
        <f>NOT('hospitalityq-nil'!D603="")*(OR(COUNTIF(reference!$C$144:$C$155,TRIM(LEFT('hospitalityq-nil'!D603,FIND(":",'hospitalityq-nil'!D603&amp;":")-1))&amp;":*")=0,SUMPRODUCT(--(TRIM('hospitalityq-nil'!C6:C603)=TRIM('hospitalityq-nil'!C603)),--(TRIM('hospitalityq-nil'!D6:D603)=TRIM('hospitalityq-nil'!D603)))&gt;1))</f>
        <v>0</v>
      </c>
    </row>
    <row r="604" spans="1:4" x14ac:dyDescent="0.25">
      <c r="A604">
        <f t="shared" si="9"/>
        <v>0</v>
      </c>
      <c r="C604">
        <f>NOT('hospitalityq-nil'!C604="")*(OR(NOT(IFERROR(AND(INT('hospitalityq-nil'!C604)='hospitalityq-nil'!C604,'hospitalityq-nil'!C604&gt;=2018-50,'hospitalityq-nil'!C604&lt;=2018+50),FALSE)),SUMPRODUCT(--(TRIM('hospitalityq-nil'!C6:C604)=TRIM('hospitalityq-nil'!C604)),--(TRIM('hospitalityq-nil'!D6:D604)=TRIM('hospitalityq-nil'!D604)))&gt;1))</f>
        <v>0</v>
      </c>
      <c r="D604">
        <f>NOT('hospitalityq-nil'!D604="")*(OR(COUNTIF(reference!$C$144:$C$155,TRIM(LEFT('hospitalityq-nil'!D604,FIND(":",'hospitalityq-nil'!D604&amp;":")-1))&amp;":*")=0,SUMPRODUCT(--(TRIM('hospitalityq-nil'!C6:C604)=TRIM('hospitalityq-nil'!C604)),--(TRIM('hospitalityq-nil'!D6:D604)=TRIM('hospitalityq-nil'!D604)))&gt;1))</f>
        <v>0</v>
      </c>
    </row>
    <row r="605" spans="1:4" x14ac:dyDescent="0.25">
      <c r="A605">
        <f t="shared" si="9"/>
        <v>0</v>
      </c>
      <c r="C605">
        <f>NOT('hospitalityq-nil'!C605="")*(OR(NOT(IFERROR(AND(INT('hospitalityq-nil'!C605)='hospitalityq-nil'!C605,'hospitalityq-nil'!C605&gt;=2018-50,'hospitalityq-nil'!C605&lt;=2018+50),FALSE)),SUMPRODUCT(--(TRIM('hospitalityq-nil'!C6:C605)=TRIM('hospitalityq-nil'!C605)),--(TRIM('hospitalityq-nil'!D6:D605)=TRIM('hospitalityq-nil'!D605)))&gt;1))</f>
        <v>0</v>
      </c>
      <c r="D605">
        <f>NOT('hospitalityq-nil'!D605="")*(OR(COUNTIF(reference!$C$144:$C$155,TRIM(LEFT('hospitalityq-nil'!D605,FIND(":",'hospitalityq-nil'!D605&amp;":")-1))&amp;":*")=0,SUMPRODUCT(--(TRIM('hospitalityq-nil'!C6:C605)=TRIM('hospitalityq-nil'!C605)),--(TRIM('hospitalityq-nil'!D6:D605)=TRIM('hospitalityq-nil'!D605)))&gt;1))</f>
        <v>0</v>
      </c>
    </row>
    <row r="606" spans="1:4" x14ac:dyDescent="0.25">
      <c r="A606">
        <f t="shared" si="9"/>
        <v>0</v>
      </c>
      <c r="C606">
        <f>NOT('hospitalityq-nil'!C606="")*(OR(NOT(IFERROR(AND(INT('hospitalityq-nil'!C606)='hospitalityq-nil'!C606,'hospitalityq-nil'!C606&gt;=2018-50,'hospitalityq-nil'!C606&lt;=2018+50),FALSE)),SUMPRODUCT(--(TRIM('hospitalityq-nil'!C6:C606)=TRIM('hospitalityq-nil'!C606)),--(TRIM('hospitalityq-nil'!D6:D606)=TRIM('hospitalityq-nil'!D606)))&gt;1))</f>
        <v>0</v>
      </c>
      <c r="D606">
        <f>NOT('hospitalityq-nil'!D606="")*(OR(COUNTIF(reference!$C$144:$C$155,TRIM(LEFT('hospitalityq-nil'!D606,FIND(":",'hospitalityq-nil'!D606&amp;":")-1))&amp;":*")=0,SUMPRODUCT(--(TRIM('hospitalityq-nil'!C6:C606)=TRIM('hospitalityq-nil'!C606)),--(TRIM('hospitalityq-nil'!D6:D606)=TRIM('hospitalityq-nil'!D606)))&gt;1))</f>
        <v>0</v>
      </c>
    </row>
    <row r="607" spans="1:4" x14ac:dyDescent="0.25">
      <c r="A607">
        <f t="shared" si="9"/>
        <v>0</v>
      </c>
      <c r="C607">
        <f>NOT('hospitalityq-nil'!C607="")*(OR(NOT(IFERROR(AND(INT('hospitalityq-nil'!C607)='hospitalityq-nil'!C607,'hospitalityq-nil'!C607&gt;=2018-50,'hospitalityq-nil'!C607&lt;=2018+50),FALSE)),SUMPRODUCT(--(TRIM('hospitalityq-nil'!C6:C607)=TRIM('hospitalityq-nil'!C607)),--(TRIM('hospitalityq-nil'!D6:D607)=TRIM('hospitalityq-nil'!D607)))&gt;1))</f>
        <v>0</v>
      </c>
      <c r="D607">
        <f>NOT('hospitalityq-nil'!D607="")*(OR(COUNTIF(reference!$C$144:$C$155,TRIM(LEFT('hospitalityq-nil'!D607,FIND(":",'hospitalityq-nil'!D607&amp;":")-1))&amp;":*")=0,SUMPRODUCT(--(TRIM('hospitalityq-nil'!C6:C607)=TRIM('hospitalityq-nil'!C607)),--(TRIM('hospitalityq-nil'!D6:D607)=TRIM('hospitalityq-nil'!D607)))&gt;1))</f>
        <v>0</v>
      </c>
    </row>
    <row r="608" spans="1:4" x14ac:dyDescent="0.25">
      <c r="A608">
        <f t="shared" si="9"/>
        <v>0</v>
      </c>
      <c r="C608">
        <f>NOT('hospitalityq-nil'!C608="")*(OR(NOT(IFERROR(AND(INT('hospitalityq-nil'!C608)='hospitalityq-nil'!C608,'hospitalityq-nil'!C608&gt;=2018-50,'hospitalityq-nil'!C608&lt;=2018+50),FALSE)),SUMPRODUCT(--(TRIM('hospitalityq-nil'!C6:C608)=TRIM('hospitalityq-nil'!C608)),--(TRIM('hospitalityq-nil'!D6:D608)=TRIM('hospitalityq-nil'!D608)))&gt;1))</f>
        <v>0</v>
      </c>
      <c r="D608">
        <f>NOT('hospitalityq-nil'!D608="")*(OR(COUNTIF(reference!$C$144:$C$155,TRIM(LEFT('hospitalityq-nil'!D608,FIND(":",'hospitalityq-nil'!D608&amp;":")-1))&amp;":*")=0,SUMPRODUCT(--(TRIM('hospitalityq-nil'!C6:C608)=TRIM('hospitalityq-nil'!C608)),--(TRIM('hospitalityq-nil'!D6:D608)=TRIM('hospitalityq-nil'!D608)))&gt;1))</f>
        <v>0</v>
      </c>
    </row>
    <row r="609" spans="1:4" x14ac:dyDescent="0.25">
      <c r="A609">
        <f t="shared" si="9"/>
        <v>0</v>
      </c>
      <c r="C609">
        <f>NOT('hospitalityq-nil'!C609="")*(OR(NOT(IFERROR(AND(INT('hospitalityq-nil'!C609)='hospitalityq-nil'!C609,'hospitalityq-nil'!C609&gt;=2018-50,'hospitalityq-nil'!C609&lt;=2018+50),FALSE)),SUMPRODUCT(--(TRIM('hospitalityq-nil'!C6:C609)=TRIM('hospitalityq-nil'!C609)),--(TRIM('hospitalityq-nil'!D6:D609)=TRIM('hospitalityq-nil'!D609)))&gt;1))</f>
        <v>0</v>
      </c>
      <c r="D609">
        <f>NOT('hospitalityq-nil'!D609="")*(OR(COUNTIF(reference!$C$144:$C$155,TRIM(LEFT('hospitalityq-nil'!D609,FIND(":",'hospitalityq-nil'!D609&amp;":")-1))&amp;":*")=0,SUMPRODUCT(--(TRIM('hospitalityq-nil'!C6:C609)=TRIM('hospitalityq-nil'!C609)),--(TRIM('hospitalityq-nil'!D6:D609)=TRIM('hospitalityq-nil'!D609)))&gt;1))</f>
        <v>0</v>
      </c>
    </row>
    <row r="610" spans="1:4" x14ac:dyDescent="0.25">
      <c r="A610">
        <f t="shared" si="9"/>
        <v>0</v>
      </c>
      <c r="C610">
        <f>NOT('hospitalityq-nil'!C610="")*(OR(NOT(IFERROR(AND(INT('hospitalityq-nil'!C610)='hospitalityq-nil'!C610,'hospitalityq-nil'!C610&gt;=2018-50,'hospitalityq-nil'!C610&lt;=2018+50),FALSE)),SUMPRODUCT(--(TRIM('hospitalityq-nil'!C6:C610)=TRIM('hospitalityq-nil'!C610)),--(TRIM('hospitalityq-nil'!D6:D610)=TRIM('hospitalityq-nil'!D610)))&gt;1))</f>
        <v>0</v>
      </c>
      <c r="D610">
        <f>NOT('hospitalityq-nil'!D610="")*(OR(COUNTIF(reference!$C$144:$C$155,TRIM(LEFT('hospitalityq-nil'!D610,FIND(":",'hospitalityq-nil'!D610&amp;":")-1))&amp;":*")=0,SUMPRODUCT(--(TRIM('hospitalityq-nil'!C6:C610)=TRIM('hospitalityq-nil'!C610)),--(TRIM('hospitalityq-nil'!D6:D610)=TRIM('hospitalityq-nil'!D610)))&gt;1))</f>
        <v>0</v>
      </c>
    </row>
    <row r="611" spans="1:4" x14ac:dyDescent="0.25">
      <c r="A611">
        <f t="shared" si="9"/>
        <v>0</v>
      </c>
      <c r="C611">
        <f>NOT('hospitalityq-nil'!C611="")*(OR(NOT(IFERROR(AND(INT('hospitalityq-nil'!C611)='hospitalityq-nil'!C611,'hospitalityq-nil'!C611&gt;=2018-50,'hospitalityq-nil'!C611&lt;=2018+50),FALSE)),SUMPRODUCT(--(TRIM('hospitalityq-nil'!C6:C611)=TRIM('hospitalityq-nil'!C611)),--(TRIM('hospitalityq-nil'!D6:D611)=TRIM('hospitalityq-nil'!D611)))&gt;1))</f>
        <v>0</v>
      </c>
      <c r="D611">
        <f>NOT('hospitalityq-nil'!D611="")*(OR(COUNTIF(reference!$C$144:$C$155,TRIM(LEFT('hospitalityq-nil'!D611,FIND(":",'hospitalityq-nil'!D611&amp;":")-1))&amp;":*")=0,SUMPRODUCT(--(TRIM('hospitalityq-nil'!C6:C611)=TRIM('hospitalityq-nil'!C611)),--(TRIM('hospitalityq-nil'!D6:D611)=TRIM('hospitalityq-nil'!D611)))&gt;1))</f>
        <v>0</v>
      </c>
    </row>
    <row r="612" spans="1:4" x14ac:dyDescent="0.25">
      <c r="A612">
        <f t="shared" si="9"/>
        <v>0</v>
      </c>
      <c r="C612">
        <f>NOT('hospitalityq-nil'!C612="")*(OR(NOT(IFERROR(AND(INT('hospitalityq-nil'!C612)='hospitalityq-nil'!C612,'hospitalityq-nil'!C612&gt;=2018-50,'hospitalityq-nil'!C612&lt;=2018+50),FALSE)),SUMPRODUCT(--(TRIM('hospitalityq-nil'!C6:C612)=TRIM('hospitalityq-nil'!C612)),--(TRIM('hospitalityq-nil'!D6:D612)=TRIM('hospitalityq-nil'!D612)))&gt;1))</f>
        <v>0</v>
      </c>
      <c r="D612">
        <f>NOT('hospitalityq-nil'!D612="")*(OR(COUNTIF(reference!$C$144:$C$155,TRIM(LEFT('hospitalityq-nil'!D612,FIND(":",'hospitalityq-nil'!D612&amp;":")-1))&amp;":*")=0,SUMPRODUCT(--(TRIM('hospitalityq-nil'!C6:C612)=TRIM('hospitalityq-nil'!C612)),--(TRIM('hospitalityq-nil'!D6:D612)=TRIM('hospitalityq-nil'!D612)))&gt;1))</f>
        <v>0</v>
      </c>
    </row>
    <row r="613" spans="1:4" x14ac:dyDescent="0.25">
      <c r="A613">
        <f t="shared" si="9"/>
        <v>0</v>
      </c>
      <c r="C613">
        <f>NOT('hospitalityq-nil'!C613="")*(OR(NOT(IFERROR(AND(INT('hospitalityq-nil'!C613)='hospitalityq-nil'!C613,'hospitalityq-nil'!C613&gt;=2018-50,'hospitalityq-nil'!C613&lt;=2018+50),FALSE)),SUMPRODUCT(--(TRIM('hospitalityq-nil'!C6:C613)=TRIM('hospitalityq-nil'!C613)),--(TRIM('hospitalityq-nil'!D6:D613)=TRIM('hospitalityq-nil'!D613)))&gt;1))</f>
        <v>0</v>
      </c>
      <c r="D613">
        <f>NOT('hospitalityq-nil'!D613="")*(OR(COUNTIF(reference!$C$144:$C$155,TRIM(LEFT('hospitalityq-nil'!D613,FIND(":",'hospitalityq-nil'!D613&amp;":")-1))&amp;":*")=0,SUMPRODUCT(--(TRIM('hospitalityq-nil'!C6:C613)=TRIM('hospitalityq-nil'!C613)),--(TRIM('hospitalityq-nil'!D6:D613)=TRIM('hospitalityq-nil'!D613)))&gt;1))</f>
        <v>0</v>
      </c>
    </row>
    <row r="614" spans="1:4" x14ac:dyDescent="0.25">
      <c r="A614">
        <f t="shared" si="9"/>
        <v>0</v>
      </c>
      <c r="C614">
        <f>NOT('hospitalityq-nil'!C614="")*(OR(NOT(IFERROR(AND(INT('hospitalityq-nil'!C614)='hospitalityq-nil'!C614,'hospitalityq-nil'!C614&gt;=2018-50,'hospitalityq-nil'!C614&lt;=2018+50),FALSE)),SUMPRODUCT(--(TRIM('hospitalityq-nil'!C6:C614)=TRIM('hospitalityq-nil'!C614)),--(TRIM('hospitalityq-nil'!D6:D614)=TRIM('hospitalityq-nil'!D614)))&gt;1))</f>
        <v>0</v>
      </c>
      <c r="D614">
        <f>NOT('hospitalityq-nil'!D614="")*(OR(COUNTIF(reference!$C$144:$C$155,TRIM(LEFT('hospitalityq-nil'!D614,FIND(":",'hospitalityq-nil'!D614&amp;":")-1))&amp;":*")=0,SUMPRODUCT(--(TRIM('hospitalityq-nil'!C6:C614)=TRIM('hospitalityq-nil'!C614)),--(TRIM('hospitalityq-nil'!D6:D614)=TRIM('hospitalityq-nil'!D614)))&gt;1))</f>
        <v>0</v>
      </c>
    </row>
    <row r="615" spans="1:4" x14ac:dyDescent="0.25">
      <c r="A615">
        <f t="shared" si="9"/>
        <v>0</v>
      </c>
      <c r="C615">
        <f>NOT('hospitalityq-nil'!C615="")*(OR(NOT(IFERROR(AND(INT('hospitalityq-nil'!C615)='hospitalityq-nil'!C615,'hospitalityq-nil'!C615&gt;=2018-50,'hospitalityq-nil'!C615&lt;=2018+50),FALSE)),SUMPRODUCT(--(TRIM('hospitalityq-nil'!C6:C615)=TRIM('hospitalityq-nil'!C615)),--(TRIM('hospitalityq-nil'!D6:D615)=TRIM('hospitalityq-nil'!D615)))&gt;1))</f>
        <v>0</v>
      </c>
      <c r="D615">
        <f>NOT('hospitalityq-nil'!D615="")*(OR(COUNTIF(reference!$C$144:$C$155,TRIM(LEFT('hospitalityq-nil'!D615,FIND(":",'hospitalityq-nil'!D615&amp;":")-1))&amp;":*")=0,SUMPRODUCT(--(TRIM('hospitalityq-nil'!C6:C615)=TRIM('hospitalityq-nil'!C615)),--(TRIM('hospitalityq-nil'!D6:D615)=TRIM('hospitalityq-nil'!D615)))&gt;1))</f>
        <v>0</v>
      </c>
    </row>
    <row r="616" spans="1:4" x14ac:dyDescent="0.25">
      <c r="A616">
        <f t="shared" si="9"/>
        <v>0</v>
      </c>
      <c r="C616">
        <f>NOT('hospitalityq-nil'!C616="")*(OR(NOT(IFERROR(AND(INT('hospitalityq-nil'!C616)='hospitalityq-nil'!C616,'hospitalityq-nil'!C616&gt;=2018-50,'hospitalityq-nil'!C616&lt;=2018+50),FALSE)),SUMPRODUCT(--(TRIM('hospitalityq-nil'!C6:C616)=TRIM('hospitalityq-nil'!C616)),--(TRIM('hospitalityq-nil'!D6:D616)=TRIM('hospitalityq-nil'!D616)))&gt;1))</f>
        <v>0</v>
      </c>
      <c r="D616">
        <f>NOT('hospitalityq-nil'!D616="")*(OR(COUNTIF(reference!$C$144:$C$155,TRIM(LEFT('hospitalityq-nil'!D616,FIND(":",'hospitalityq-nil'!D616&amp;":")-1))&amp;":*")=0,SUMPRODUCT(--(TRIM('hospitalityq-nil'!C6:C616)=TRIM('hospitalityq-nil'!C616)),--(TRIM('hospitalityq-nil'!D6:D616)=TRIM('hospitalityq-nil'!D616)))&gt;1))</f>
        <v>0</v>
      </c>
    </row>
    <row r="617" spans="1:4" x14ac:dyDescent="0.25">
      <c r="A617">
        <f t="shared" si="9"/>
        <v>0</v>
      </c>
      <c r="C617">
        <f>NOT('hospitalityq-nil'!C617="")*(OR(NOT(IFERROR(AND(INT('hospitalityq-nil'!C617)='hospitalityq-nil'!C617,'hospitalityq-nil'!C617&gt;=2018-50,'hospitalityq-nil'!C617&lt;=2018+50),FALSE)),SUMPRODUCT(--(TRIM('hospitalityq-nil'!C6:C617)=TRIM('hospitalityq-nil'!C617)),--(TRIM('hospitalityq-nil'!D6:D617)=TRIM('hospitalityq-nil'!D617)))&gt;1))</f>
        <v>0</v>
      </c>
      <c r="D617">
        <f>NOT('hospitalityq-nil'!D617="")*(OR(COUNTIF(reference!$C$144:$C$155,TRIM(LEFT('hospitalityq-nil'!D617,FIND(":",'hospitalityq-nil'!D617&amp;":")-1))&amp;":*")=0,SUMPRODUCT(--(TRIM('hospitalityq-nil'!C6:C617)=TRIM('hospitalityq-nil'!C617)),--(TRIM('hospitalityq-nil'!D6:D617)=TRIM('hospitalityq-nil'!D617)))&gt;1))</f>
        <v>0</v>
      </c>
    </row>
    <row r="618" spans="1:4" x14ac:dyDescent="0.25">
      <c r="A618">
        <f t="shared" si="9"/>
        <v>0</v>
      </c>
      <c r="C618">
        <f>NOT('hospitalityq-nil'!C618="")*(OR(NOT(IFERROR(AND(INT('hospitalityq-nil'!C618)='hospitalityq-nil'!C618,'hospitalityq-nil'!C618&gt;=2018-50,'hospitalityq-nil'!C618&lt;=2018+50),FALSE)),SUMPRODUCT(--(TRIM('hospitalityq-nil'!C6:C618)=TRIM('hospitalityq-nil'!C618)),--(TRIM('hospitalityq-nil'!D6:D618)=TRIM('hospitalityq-nil'!D618)))&gt;1))</f>
        <v>0</v>
      </c>
      <c r="D618">
        <f>NOT('hospitalityq-nil'!D618="")*(OR(COUNTIF(reference!$C$144:$C$155,TRIM(LEFT('hospitalityq-nil'!D618,FIND(":",'hospitalityq-nil'!D618&amp;":")-1))&amp;":*")=0,SUMPRODUCT(--(TRIM('hospitalityq-nil'!C6:C618)=TRIM('hospitalityq-nil'!C618)),--(TRIM('hospitalityq-nil'!D6:D618)=TRIM('hospitalityq-nil'!D618)))&gt;1))</f>
        <v>0</v>
      </c>
    </row>
    <row r="619" spans="1:4" x14ac:dyDescent="0.25">
      <c r="A619">
        <f t="shared" si="9"/>
        <v>0</v>
      </c>
      <c r="C619">
        <f>NOT('hospitalityq-nil'!C619="")*(OR(NOT(IFERROR(AND(INT('hospitalityq-nil'!C619)='hospitalityq-nil'!C619,'hospitalityq-nil'!C619&gt;=2018-50,'hospitalityq-nil'!C619&lt;=2018+50),FALSE)),SUMPRODUCT(--(TRIM('hospitalityq-nil'!C6:C619)=TRIM('hospitalityq-nil'!C619)),--(TRIM('hospitalityq-nil'!D6:D619)=TRIM('hospitalityq-nil'!D619)))&gt;1))</f>
        <v>0</v>
      </c>
      <c r="D619">
        <f>NOT('hospitalityq-nil'!D619="")*(OR(COUNTIF(reference!$C$144:$C$155,TRIM(LEFT('hospitalityq-nil'!D619,FIND(":",'hospitalityq-nil'!D619&amp;":")-1))&amp;":*")=0,SUMPRODUCT(--(TRIM('hospitalityq-nil'!C6:C619)=TRIM('hospitalityq-nil'!C619)),--(TRIM('hospitalityq-nil'!D6:D619)=TRIM('hospitalityq-nil'!D619)))&gt;1))</f>
        <v>0</v>
      </c>
    </row>
    <row r="620" spans="1:4" x14ac:dyDescent="0.25">
      <c r="A620">
        <f t="shared" si="9"/>
        <v>0</v>
      </c>
      <c r="C620">
        <f>NOT('hospitalityq-nil'!C620="")*(OR(NOT(IFERROR(AND(INT('hospitalityq-nil'!C620)='hospitalityq-nil'!C620,'hospitalityq-nil'!C620&gt;=2018-50,'hospitalityq-nil'!C620&lt;=2018+50),FALSE)),SUMPRODUCT(--(TRIM('hospitalityq-nil'!C6:C620)=TRIM('hospitalityq-nil'!C620)),--(TRIM('hospitalityq-nil'!D6:D620)=TRIM('hospitalityq-nil'!D620)))&gt;1))</f>
        <v>0</v>
      </c>
      <c r="D620">
        <f>NOT('hospitalityq-nil'!D620="")*(OR(COUNTIF(reference!$C$144:$C$155,TRIM(LEFT('hospitalityq-nil'!D620,FIND(":",'hospitalityq-nil'!D620&amp;":")-1))&amp;":*")=0,SUMPRODUCT(--(TRIM('hospitalityq-nil'!C6:C620)=TRIM('hospitalityq-nil'!C620)),--(TRIM('hospitalityq-nil'!D6:D620)=TRIM('hospitalityq-nil'!D620)))&gt;1))</f>
        <v>0</v>
      </c>
    </row>
    <row r="621" spans="1:4" x14ac:dyDescent="0.25">
      <c r="A621">
        <f t="shared" si="9"/>
        <v>0</v>
      </c>
      <c r="C621">
        <f>NOT('hospitalityq-nil'!C621="")*(OR(NOT(IFERROR(AND(INT('hospitalityq-nil'!C621)='hospitalityq-nil'!C621,'hospitalityq-nil'!C621&gt;=2018-50,'hospitalityq-nil'!C621&lt;=2018+50),FALSE)),SUMPRODUCT(--(TRIM('hospitalityq-nil'!C6:C621)=TRIM('hospitalityq-nil'!C621)),--(TRIM('hospitalityq-nil'!D6:D621)=TRIM('hospitalityq-nil'!D621)))&gt;1))</f>
        <v>0</v>
      </c>
      <c r="D621">
        <f>NOT('hospitalityq-nil'!D621="")*(OR(COUNTIF(reference!$C$144:$C$155,TRIM(LEFT('hospitalityq-nil'!D621,FIND(":",'hospitalityq-nil'!D621&amp;":")-1))&amp;":*")=0,SUMPRODUCT(--(TRIM('hospitalityq-nil'!C6:C621)=TRIM('hospitalityq-nil'!C621)),--(TRIM('hospitalityq-nil'!D6:D621)=TRIM('hospitalityq-nil'!D621)))&gt;1))</f>
        <v>0</v>
      </c>
    </row>
    <row r="622" spans="1:4" x14ac:dyDescent="0.25">
      <c r="A622">
        <f t="shared" si="9"/>
        <v>0</v>
      </c>
      <c r="C622">
        <f>NOT('hospitalityq-nil'!C622="")*(OR(NOT(IFERROR(AND(INT('hospitalityq-nil'!C622)='hospitalityq-nil'!C622,'hospitalityq-nil'!C622&gt;=2018-50,'hospitalityq-nil'!C622&lt;=2018+50),FALSE)),SUMPRODUCT(--(TRIM('hospitalityq-nil'!C6:C622)=TRIM('hospitalityq-nil'!C622)),--(TRIM('hospitalityq-nil'!D6:D622)=TRIM('hospitalityq-nil'!D622)))&gt;1))</f>
        <v>0</v>
      </c>
      <c r="D622">
        <f>NOT('hospitalityq-nil'!D622="")*(OR(COUNTIF(reference!$C$144:$C$155,TRIM(LEFT('hospitalityq-nil'!D622,FIND(":",'hospitalityq-nil'!D622&amp;":")-1))&amp;":*")=0,SUMPRODUCT(--(TRIM('hospitalityq-nil'!C6:C622)=TRIM('hospitalityq-nil'!C622)),--(TRIM('hospitalityq-nil'!D6:D622)=TRIM('hospitalityq-nil'!D622)))&gt;1))</f>
        <v>0</v>
      </c>
    </row>
    <row r="623" spans="1:4" x14ac:dyDescent="0.25">
      <c r="A623">
        <f t="shared" si="9"/>
        <v>0</v>
      </c>
      <c r="C623">
        <f>NOT('hospitalityq-nil'!C623="")*(OR(NOT(IFERROR(AND(INT('hospitalityq-nil'!C623)='hospitalityq-nil'!C623,'hospitalityq-nil'!C623&gt;=2018-50,'hospitalityq-nil'!C623&lt;=2018+50),FALSE)),SUMPRODUCT(--(TRIM('hospitalityq-nil'!C6:C623)=TRIM('hospitalityq-nil'!C623)),--(TRIM('hospitalityq-nil'!D6:D623)=TRIM('hospitalityq-nil'!D623)))&gt;1))</f>
        <v>0</v>
      </c>
      <c r="D623">
        <f>NOT('hospitalityq-nil'!D623="")*(OR(COUNTIF(reference!$C$144:$C$155,TRIM(LEFT('hospitalityq-nil'!D623,FIND(":",'hospitalityq-nil'!D623&amp;":")-1))&amp;":*")=0,SUMPRODUCT(--(TRIM('hospitalityq-nil'!C6:C623)=TRIM('hospitalityq-nil'!C623)),--(TRIM('hospitalityq-nil'!D6:D623)=TRIM('hospitalityq-nil'!D623)))&gt;1))</f>
        <v>0</v>
      </c>
    </row>
    <row r="624" spans="1:4" x14ac:dyDescent="0.25">
      <c r="A624">
        <f t="shared" si="9"/>
        <v>0</v>
      </c>
      <c r="C624">
        <f>NOT('hospitalityq-nil'!C624="")*(OR(NOT(IFERROR(AND(INT('hospitalityq-nil'!C624)='hospitalityq-nil'!C624,'hospitalityq-nil'!C624&gt;=2018-50,'hospitalityq-nil'!C624&lt;=2018+50),FALSE)),SUMPRODUCT(--(TRIM('hospitalityq-nil'!C6:C624)=TRIM('hospitalityq-nil'!C624)),--(TRIM('hospitalityq-nil'!D6:D624)=TRIM('hospitalityq-nil'!D624)))&gt;1))</f>
        <v>0</v>
      </c>
      <c r="D624">
        <f>NOT('hospitalityq-nil'!D624="")*(OR(COUNTIF(reference!$C$144:$C$155,TRIM(LEFT('hospitalityq-nil'!D624,FIND(":",'hospitalityq-nil'!D624&amp;":")-1))&amp;":*")=0,SUMPRODUCT(--(TRIM('hospitalityq-nil'!C6:C624)=TRIM('hospitalityq-nil'!C624)),--(TRIM('hospitalityq-nil'!D6:D624)=TRIM('hospitalityq-nil'!D624)))&gt;1))</f>
        <v>0</v>
      </c>
    </row>
    <row r="625" spans="1:4" x14ac:dyDescent="0.25">
      <c r="A625">
        <f t="shared" si="9"/>
        <v>0</v>
      </c>
      <c r="C625">
        <f>NOT('hospitalityq-nil'!C625="")*(OR(NOT(IFERROR(AND(INT('hospitalityq-nil'!C625)='hospitalityq-nil'!C625,'hospitalityq-nil'!C625&gt;=2018-50,'hospitalityq-nil'!C625&lt;=2018+50),FALSE)),SUMPRODUCT(--(TRIM('hospitalityq-nil'!C6:C625)=TRIM('hospitalityq-nil'!C625)),--(TRIM('hospitalityq-nil'!D6:D625)=TRIM('hospitalityq-nil'!D625)))&gt;1))</f>
        <v>0</v>
      </c>
      <c r="D625">
        <f>NOT('hospitalityq-nil'!D625="")*(OR(COUNTIF(reference!$C$144:$C$155,TRIM(LEFT('hospitalityq-nil'!D625,FIND(":",'hospitalityq-nil'!D625&amp;":")-1))&amp;":*")=0,SUMPRODUCT(--(TRIM('hospitalityq-nil'!C6:C625)=TRIM('hospitalityq-nil'!C625)),--(TRIM('hospitalityq-nil'!D6:D625)=TRIM('hospitalityq-nil'!D625)))&gt;1))</f>
        <v>0</v>
      </c>
    </row>
    <row r="626" spans="1:4" x14ac:dyDescent="0.25">
      <c r="A626">
        <f t="shared" si="9"/>
        <v>0</v>
      </c>
      <c r="C626">
        <f>NOT('hospitalityq-nil'!C626="")*(OR(NOT(IFERROR(AND(INT('hospitalityq-nil'!C626)='hospitalityq-nil'!C626,'hospitalityq-nil'!C626&gt;=2018-50,'hospitalityq-nil'!C626&lt;=2018+50),FALSE)),SUMPRODUCT(--(TRIM('hospitalityq-nil'!C6:C626)=TRIM('hospitalityq-nil'!C626)),--(TRIM('hospitalityq-nil'!D6:D626)=TRIM('hospitalityq-nil'!D626)))&gt;1))</f>
        <v>0</v>
      </c>
      <c r="D626">
        <f>NOT('hospitalityq-nil'!D626="")*(OR(COUNTIF(reference!$C$144:$C$155,TRIM(LEFT('hospitalityq-nil'!D626,FIND(":",'hospitalityq-nil'!D626&amp;":")-1))&amp;":*")=0,SUMPRODUCT(--(TRIM('hospitalityq-nil'!C6:C626)=TRIM('hospitalityq-nil'!C626)),--(TRIM('hospitalityq-nil'!D6:D626)=TRIM('hospitalityq-nil'!D626)))&gt;1))</f>
        <v>0</v>
      </c>
    </row>
    <row r="627" spans="1:4" x14ac:dyDescent="0.25">
      <c r="A627">
        <f t="shared" si="9"/>
        <v>0</v>
      </c>
      <c r="C627">
        <f>NOT('hospitalityq-nil'!C627="")*(OR(NOT(IFERROR(AND(INT('hospitalityq-nil'!C627)='hospitalityq-nil'!C627,'hospitalityq-nil'!C627&gt;=2018-50,'hospitalityq-nil'!C627&lt;=2018+50),FALSE)),SUMPRODUCT(--(TRIM('hospitalityq-nil'!C6:C627)=TRIM('hospitalityq-nil'!C627)),--(TRIM('hospitalityq-nil'!D6:D627)=TRIM('hospitalityq-nil'!D627)))&gt;1))</f>
        <v>0</v>
      </c>
      <c r="D627">
        <f>NOT('hospitalityq-nil'!D627="")*(OR(COUNTIF(reference!$C$144:$C$155,TRIM(LEFT('hospitalityq-nil'!D627,FIND(":",'hospitalityq-nil'!D627&amp;":")-1))&amp;":*")=0,SUMPRODUCT(--(TRIM('hospitalityq-nil'!C6:C627)=TRIM('hospitalityq-nil'!C627)),--(TRIM('hospitalityq-nil'!D6:D627)=TRIM('hospitalityq-nil'!D627)))&gt;1))</f>
        <v>0</v>
      </c>
    </row>
    <row r="628" spans="1:4" x14ac:dyDescent="0.25">
      <c r="A628">
        <f t="shared" si="9"/>
        <v>0</v>
      </c>
      <c r="C628">
        <f>NOT('hospitalityq-nil'!C628="")*(OR(NOT(IFERROR(AND(INT('hospitalityq-nil'!C628)='hospitalityq-nil'!C628,'hospitalityq-nil'!C628&gt;=2018-50,'hospitalityq-nil'!C628&lt;=2018+50),FALSE)),SUMPRODUCT(--(TRIM('hospitalityq-nil'!C6:C628)=TRIM('hospitalityq-nil'!C628)),--(TRIM('hospitalityq-nil'!D6:D628)=TRIM('hospitalityq-nil'!D628)))&gt;1))</f>
        <v>0</v>
      </c>
      <c r="D628">
        <f>NOT('hospitalityq-nil'!D628="")*(OR(COUNTIF(reference!$C$144:$C$155,TRIM(LEFT('hospitalityq-nil'!D628,FIND(":",'hospitalityq-nil'!D628&amp;":")-1))&amp;":*")=0,SUMPRODUCT(--(TRIM('hospitalityq-nil'!C6:C628)=TRIM('hospitalityq-nil'!C628)),--(TRIM('hospitalityq-nil'!D6:D628)=TRIM('hospitalityq-nil'!D628)))&gt;1))</f>
        <v>0</v>
      </c>
    </row>
    <row r="629" spans="1:4" x14ac:dyDescent="0.25">
      <c r="A629">
        <f t="shared" si="9"/>
        <v>0</v>
      </c>
      <c r="C629">
        <f>NOT('hospitalityq-nil'!C629="")*(OR(NOT(IFERROR(AND(INT('hospitalityq-nil'!C629)='hospitalityq-nil'!C629,'hospitalityq-nil'!C629&gt;=2018-50,'hospitalityq-nil'!C629&lt;=2018+50),FALSE)),SUMPRODUCT(--(TRIM('hospitalityq-nil'!C6:C629)=TRIM('hospitalityq-nil'!C629)),--(TRIM('hospitalityq-nil'!D6:D629)=TRIM('hospitalityq-nil'!D629)))&gt;1))</f>
        <v>0</v>
      </c>
      <c r="D629">
        <f>NOT('hospitalityq-nil'!D629="")*(OR(COUNTIF(reference!$C$144:$C$155,TRIM(LEFT('hospitalityq-nil'!D629,FIND(":",'hospitalityq-nil'!D629&amp;":")-1))&amp;":*")=0,SUMPRODUCT(--(TRIM('hospitalityq-nil'!C6:C629)=TRIM('hospitalityq-nil'!C629)),--(TRIM('hospitalityq-nil'!D6:D629)=TRIM('hospitalityq-nil'!D629)))&gt;1))</f>
        <v>0</v>
      </c>
    </row>
    <row r="630" spans="1:4" x14ac:dyDescent="0.25">
      <c r="A630">
        <f t="shared" si="9"/>
        <v>0</v>
      </c>
      <c r="C630">
        <f>NOT('hospitalityq-nil'!C630="")*(OR(NOT(IFERROR(AND(INT('hospitalityq-nil'!C630)='hospitalityq-nil'!C630,'hospitalityq-nil'!C630&gt;=2018-50,'hospitalityq-nil'!C630&lt;=2018+50),FALSE)),SUMPRODUCT(--(TRIM('hospitalityq-nil'!C6:C630)=TRIM('hospitalityq-nil'!C630)),--(TRIM('hospitalityq-nil'!D6:D630)=TRIM('hospitalityq-nil'!D630)))&gt;1))</f>
        <v>0</v>
      </c>
      <c r="D630">
        <f>NOT('hospitalityq-nil'!D630="")*(OR(COUNTIF(reference!$C$144:$C$155,TRIM(LEFT('hospitalityq-nil'!D630,FIND(":",'hospitalityq-nil'!D630&amp;":")-1))&amp;":*")=0,SUMPRODUCT(--(TRIM('hospitalityq-nil'!C6:C630)=TRIM('hospitalityq-nil'!C630)),--(TRIM('hospitalityq-nil'!D6:D630)=TRIM('hospitalityq-nil'!D630)))&gt;1))</f>
        <v>0</v>
      </c>
    </row>
    <row r="631" spans="1:4" x14ac:dyDescent="0.25">
      <c r="A631">
        <f t="shared" si="9"/>
        <v>0</v>
      </c>
      <c r="C631">
        <f>NOT('hospitalityq-nil'!C631="")*(OR(NOT(IFERROR(AND(INT('hospitalityq-nil'!C631)='hospitalityq-nil'!C631,'hospitalityq-nil'!C631&gt;=2018-50,'hospitalityq-nil'!C631&lt;=2018+50),FALSE)),SUMPRODUCT(--(TRIM('hospitalityq-nil'!C6:C631)=TRIM('hospitalityq-nil'!C631)),--(TRIM('hospitalityq-nil'!D6:D631)=TRIM('hospitalityq-nil'!D631)))&gt;1))</f>
        <v>0</v>
      </c>
      <c r="D631">
        <f>NOT('hospitalityq-nil'!D631="")*(OR(COUNTIF(reference!$C$144:$C$155,TRIM(LEFT('hospitalityq-nil'!D631,FIND(":",'hospitalityq-nil'!D631&amp;":")-1))&amp;":*")=0,SUMPRODUCT(--(TRIM('hospitalityq-nil'!C6:C631)=TRIM('hospitalityq-nil'!C631)),--(TRIM('hospitalityq-nil'!D6:D631)=TRIM('hospitalityq-nil'!D631)))&gt;1))</f>
        <v>0</v>
      </c>
    </row>
    <row r="632" spans="1:4" x14ac:dyDescent="0.25">
      <c r="A632">
        <f t="shared" si="9"/>
        <v>0</v>
      </c>
      <c r="C632">
        <f>NOT('hospitalityq-nil'!C632="")*(OR(NOT(IFERROR(AND(INT('hospitalityq-nil'!C632)='hospitalityq-nil'!C632,'hospitalityq-nil'!C632&gt;=2018-50,'hospitalityq-nil'!C632&lt;=2018+50),FALSE)),SUMPRODUCT(--(TRIM('hospitalityq-nil'!C6:C632)=TRIM('hospitalityq-nil'!C632)),--(TRIM('hospitalityq-nil'!D6:D632)=TRIM('hospitalityq-nil'!D632)))&gt;1))</f>
        <v>0</v>
      </c>
      <c r="D632">
        <f>NOT('hospitalityq-nil'!D632="")*(OR(COUNTIF(reference!$C$144:$C$155,TRIM(LEFT('hospitalityq-nil'!D632,FIND(":",'hospitalityq-nil'!D632&amp;":")-1))&amp;":*")=0,SUMPRODUCT(--(TRIM('hospitalityq-nil'!C6:C632)=TRIM('hospitalityq-nil'!C632)),--(TRIM('hospitalityq-nil'!D6:D632)=TRIM('hospitalityq-nil'!D632)))&gt;1))</f>
        <v>0</v>
      </c>
    </row>
    <row r="633" spans="1:4" x14ac:dyDescent="0.25">
      <c r="A633">
        <f t="shared" si="9"/>
        <v>0</v>
      </c>
      <c r="C633">
        <f>NOT('hospitalityq-nil'!C633="")*(OR(NOT(IFERROR(AND(INT('hospitalityq-nil'!C633)='hospitalityq-nil'!C633,'hospitalityq-nil'!C633&gt;=2018-50,'hospitalityq-nil'!C633&lt;=2018+50),FALSE)),SUMPRODUCT(--(TRIM('hospitalityq-nil'!C6:C633)=TRIM('hospitalityq-nil'!C633)),--(TRIM('hospitalityq-nil'!D6:D633)=TRIM('hospitalityq-nil'!D633)))&gt;1))</f>
        <v>0</v>
      </c>
      <c r="D633">
        <f>NOT('hospitalityq-nil'!D633="")*(OR(COUNTIF(reference!$C$144:$C$155,TRIM(LEFT('hospitalityq-nil'!D633,FIND(":",'hospitalityq-nil'!D633&amp;":")-1))&amp;":*")=0,SUMPRODUCT(--(TRIM('hospitalityq-nil'!C6:C633)=TRIM('hospitalityq-nil'!C633)),--(TRIM('hospitalityq-nil'!D6:D633)=TRIM('hospitalityq-nil'!D633)))&gt;1))</f>
        <v>0</v>
      </c>
    </row>
    <row r="634" spans="1:4" x14ac:dyDescent="0.25">
      <c r="A634">
        <f t="shared" si="9"/>
        <v>0</v>
      </c>
      <c r="C634">
        <f>NOT('hospitalityq-nil'!C634="")*(OR(NOT(IFERROR(AND(INT('hospitalityq-nil'!C634)='hospitalityq-nil'!C634,'hospitalityq-nil'!C634&gt;=2018-50,'hospitalityq-nil'!C634&lt;=2018+50),FALSE)),SUMPRODUCT(--(TRIM('hospitalityq-nil'!C6:C634)=TRIM('hospitalityq-nil'!C634)),--(TRIM('hospitalityq-nil'!D6:D634)=TRIM('hospitalityq-nil'!D634)))&gt;1))</f>
        <v>0</v>
      </c>
      <c r="D634">
        <f>NOT('hospitalityq-nil'!D634="")*(OR(COUNTIF(reference!$C$144:$C$155,TRIM(LEFT('hospitalityq-nil'!D634,FIND(":",'hospitalityq-nil'!D634&amp;":")-1))&amp;":*")=0,SUMPRODUCT(--(TRIM('hospitalityq-nil'!C6:C634)=TRIM('hospitalityq-nil'!C634)),--(TRIM('hospitalityq-nil'!D6:D634)=TRIM('hospitalityq-nil'!D634)))&gt;1))</f>
        <v>0</v>
      </c>
    </row>
    <row r="635" spans="1:4" x14ac:dyDescent="0.25">
      <c r="A635">
        <f t="shared" si="9"/>
        <v>0</v>
      </c>
      <c r="C635">
        <f>NOT('hospitalityq-nil'!C635="")*(OR(NOT(IFERROR(AND(INT('hospitalityq-nil'!C635)='hospitalityq-nil'!C635,'hospitalityq-nil'!C635&gt;=2018-50,'hospitalityq-nil'!C635&lt;=2018+50),FALSE)),SUMPRODUCT(--(TRIM('hospitalityq-nil'!C6:C635)=TRIM('hospitalityq-nil'!C635)),--(TRIM('hospitalityq-nil'!D6:D635)=TRIM('hospitalityq-nil'!D635)))&gt;1))</f>
        <v>0</v>
      </c>
      <c r="D635">
        <f>NOT('hospitalityq-nil'!D635="")*(OR(COUNTIF(reference!$C$144:$C$155,TRIM(LEFT('hospitalityq-nil'!D635,FIND(":",'hospitalityq-nil'!D635&amp;":")-1))&amp;":*")=0,SUMPRODUCT(--(TRIM('hospitalityq-nil'!C6:C635)=TRIM('hospitalityq-nil'!C635)),--(TRIM('hospitalityq-nil'!D6:D635)=TRIM('hospitalityq-nil'!D635)))&gt;1))</f>
        <v>0</v>
      </c>
    </row>
    <row r="636" spans="1:4" x14ac:dyDescent="0.25">
      <c r="A636">
        <f t="shared" si="9"/>
        <v>0</v>
      </c>
      <c r="C636">
        <f>NOT('hospitalityq-nil'!C636="")*(OR(NOT(IFERROR(AND(INT('hospitalityq-nil'!C636)='hospitalityq-nil'!C636,'hospitalityq-nil'!C636&gt;=2018-50,'hospitalityq-nil'!C636&lt;=2018+50),FALSE)),SUMPRODUCT(--(TRIM('hospitalityq-nil'!C6:C636)=TRIM('hospitalityq-nil'!C636)),--(TRIM('hospitalityq-nil'!D6:D636)=TRIM('hospitalityq-nil'!D636)))&gt;1))</f>
        <v>0</v>
      </c>
      <c r="D636">
        <f>NOT('hospitalityq-nil'!D636="")*(OR(COUNTIF(reference!$C$144:$C$155,TRIM(LEFT('hospitalityq-nil'!D636,FIND(":",'hospitalityq-nil'!D636&amp;":")-1))&amp;":*")=0,SUMPRODUCT(--(TRIM('hospitalityq-nil'!C6:C636)=TRIM('hospitalityq-nil'!C636)),--(TRIM('hospitalityq-nil'!D6:D636)=TRIM('hospitalityq-nil'!D636)))&gt;1))</f>
        <v>0</v>
      </c>
    </row>
    <row r="637" spans="1:4" x14ac:dyDescent="0.25">
      <c r="A637">
        <f t="shared" si="9"/>
        <v>0</v>
      </c>
      <c r="C637">
        <f>NOT('hospitalityq-nil'!C637="")*(OR(NOT(IFERROR(AND(INT('hospitalityq-nil'!C637)='hospitalityq-nil'!C637,'hospitalityq-nil'!C637&gt;=2018-50,'hospitalityq-nil'!C637&lt;=2018+50),FALSE)),SUMPRODUCT(--(TRIM('hospitalityq-nil'!C6:C637)=TRIM('hospitalityq-nil'!C637)),--(TRIM('hospitalityq-nil'!D6:D637)=TRIM('hospitalityq-nil'!D637)))&gt;1))</f>
        <v>0</v>
      </c>
      <c r="D637">
        <f>NOT('hospitalityq-nil'!D637="")*(OR(COUNTIF(reference!$C$144:$C$155,TRIM(LEFT('hospitalityq-nil'!D637,FIND(":",'hospitalityq-nil'!D637&amp;":")-1))&amp;":*")=0,SUMPRODUCT(--(TRIM('hospitalityq-nil'!C6:C637)=TRIM('hospitalityq-nil'!C637)),--(TRIM('hospitalityq-nil'!D6:D637)=TRIM('hospitalityq-nil'!D637)))&gt;1))</f>
        <v>0</v>
      </c>
    </row>
    <row r="638" spans="1:4" x14ac:dyDescent="0.25">
      <c r="A638">
        <f t="shared" si="9"/>
        <v>0</v>
      </c>
      <c r="C638">
        <f>NOT('hospitalityq-nil'!C638="")*(OR(NOT(IFERROR(AND(INT('hospitalityq-nil'!C638)='hospitalityq-nil'!C638,'hospitalityq-nil'!C638&gt;=2018-50,'hospitalityq-nil'!C638&lt;=2018+50),FALSE)),SUMPRODUCT(--(TRIM('hospitalityq-nil'!C6:C638)=TRIM('hospitalityq-nil'!C638)),--(TRIM('hospitalityq-nil'!D6:D638)=TRIM('hospitalityq-nil'!D638)))&gt;1))</f>
        <v>0</v>
      </c>
      <c r="D638">
        <f>NOT('hospitalityq-nil'!D638="")*(OR(COUNTIF(reference!$C$144:$C$155,TRIM(LEFT('hospitalityq-nil'!D638,FIND(":",'hospitalityq-nil'!D638&amp;":")-1))&amp;":*")=0,SUMPRODUCT(--(TRIM('hospitalityq-nil'!C6:C638)=TRIM('hospitalityq-nil'!C638)),--(TRIM('hospitalityq-nil'!D6:D638)=TRIM('hospitalityq-nil'!D638)))&gt;1))</f>
        <v>0</v>
      </c>
    </row>
    <row r="639" spans="1:4" x14ac:dyDescent="0.25">
      <c r="A639">
        <f t="shared" si="9"/>
        <v>0</v>
      </c>
      <c r="C639">
        <f>NOT('hospitalityq-nil'!C639="")*(OR(NOT(IFERROR(AND(INT('hospitalityq-nil'!C639)='hospitalityq-nil'!C639,'hospitalityq-nil'!C639&gt;=2018-50,'hospitalityq-nil'!C639&lt;=2018+50),FALSE)),SUMPRODUCT(--(TRIM('hospitalityq-nil'!C6:C639)=TRIM('hospitalityq-nil'!C639)),--(TRIM('hospitalityq-nil'!D6:D639)=TRIM('hospitalityq-nil'!D639)))&gt;1))</f>
        <v>0</v>
      </c>
      <c r="D639">
        <f>NOT('hospitalityq-nil'!D639="")*(OR(COUNTIF(reference!$C$144:$C$155,TRIM(LEFT('hospitalityq-nil'!D639,FIND(":",'hospitalityq-nil'!D639&amp;":")-1))&amp;":*")=0,SUMPRODUCT(--(TRIM('hospitalityq-nil'!C6:C639)=TRIM('hospitalityq-nil'!C639)),--(TRIM('hospitalityq-nil'!D6:D639)=TRIM('hospitalityq-nil'!D639)))&gt;1))</f>
        <v>0</v>
      </c>
    </row>
    <row r="640" spans="1:4" x14ac:dyDescent="0.25">
      <c r="A640">
        <f t="shared" si="9"/>
        <v>0</v>
      </c>
      <c r="C640">
        <f>NOT('hospitalityq-nil'!C640="")*(OR(NOT(IFERROR(AND(INT('hospitalityq-nil'!C640)='hospitalityq-nil'!C640,'hospitalityq-nil'!C640&gt;=2018-50,'hospitalityq-nil'!C640&lt;=2018+50),FALSE)),SUMPRODUCT(--(TRIM('hospitalityq-nil'!C6:C640)=TRIM('hospitalityq-nil'!C640)),--(TRIM('hospitalityq-nil'!D6:D640)=TRIM('hospitalityq-nil'!D640)))&gt;1))</f>
        <v>0</v>
      </c>
      <c r="D640">
        <f>NOT('hospitalityq-nil'!D640="")*(OR(COUNTIF(reference!$C$144:$C$155,TRIM(LEFT('hospitalityq-nil'!D640,FIND(":",'hospitalityq-nil'!D640&amp;":")-1))&amp;":*")=0,SUMPRODUCT(--(TRIM('hospitalityq-nil'!C6:C640)=TRIM('hospitalityq-nil'!C640)),--(TRIM('hospitalityq-nil'!D6:D640)=TRIM('hospitalityq-nil'!D640)))&gt;1))</f>
        <v>0</v>
      </c>
    </row>
    <row r="641" spans="1:4" x14ac:dyDescent="0.25">
      <c r="A641">
        <f t="shared" si="9"/>
        <v>0</v>
      </c>
      <c r="C641">
        <f>NOT('hospitalityq-nil'!C641="")*(OR(NOT(IFERROR(AND(INT('hospitalityq-nil'!C641)='hospitalityq-nil'!C641,'hospitalityq-nil'!C641&gt;=2018-50,'hospitalityq-nil'!C641&lt;=2018+50),FALSE)),SUMPRODUCT(--(TRIM('hospitalityq-nil'!C6:C641)=TRIM('hospitalityq-nil'!C641)),--(TRIM('hospitalityq-nil'!D6:D641)=TRIM('hospitalityq-nil'!D641)))&gt;1))</f>
        <v>0</v>
      </c>
      <c r="D641">
        <f>NOT('hospitalityq-nil'!D641="")*(OR(COUNTIF(reference!$C$144:$C$155,TRIM(LEFT('hospitalityq-nil'!D641,FIND(":",'hospitalityq-nil'!D641&amp;":")-1))&amp;":*")=0,SUMPRODUCT(--(TRIM('hospitalityq-nil'!C6:C641)=TRIM('hospitalityq-nil'!C641)),--(TRIM('hospitalityq-nil'!D6:D641)=TRIM('hospitalityq-nil'!D641)))&gt;1))</f>
        <v>0</v>
      </c>
    </row>
    <row r="642" spans="1:4" x14ac:dyDescent="0.25">
      <c r="A642">
        <f t="shared" si="9"/>
        <v>0</v>
      </c>
      <c r="C642">
        <f>NOT('hospitalityq-nil'!C642="")*(OR(NOT(IFERROR(AND(INT('hospitalityq-nil'!C642)='hospitalityq-nil'!C642,'hospitalityq-nil'!C642&gt;=2018-50,'hospitalityq-nil'!C642&lt;=2018+50),FALSE)),SUMPRODUCT(--(TRIM('hospitalityq-nil'!C6:C642)=TRIM('hospitalityq-nil'!C642)),--(TRIM('hospitalityq-nil'!D6:D642)=TRIM('hospitalityq-nil'!D642)))&gt;1))</f>
        <v>0</v>
      </c>
      <c r="D642">
        <f>NOT('hospitalityq-nil'!D642="")*(OR(COUNTIF(reference!$C$144:$C$155,TRIM(LEFT('hospitalityq-nil'!D642,FIND(":",'hospitalityq-nil'!D642&amp;":")-1))&amp;":*")=0,SUMPRODUCT(--(TRIM('hospitalityq-nil'!C6:C642)=TRIM('hospitalityq-nil'!C642)),--(TRIM('hospitalityq-nil'!D6:D642)=TRIM('hospitalityq-nil'!D642)))&gt;1))</f>
        <v>0</v>
      </c>
    </row>
    <row r="643" spans="1:4" x14ac:dyDescent="0.25">
      <c r="A643">
        <f t="shared" si="9"/>
        <v>0</v>
      </c>
      <c r="C643">
        <f>NOT('hospitalityq-nil'!C643="")*(OR(NOT(IFERROR(AND(INT('hospitalityq-nil'!C643)='hospitalityq-nil'!C643,'hospitalityq-nil'!C643&gt;=2018-50,'hospitalityq-nil'!C643&lt;=2018+50),FALSE)),SUMPRODUCT(--(TRIM('hospitalityq-nil'!C6:C643)=TRIM('hospitalityq-nil'!C643)),--(TRIM('hospitalityq-nil'!D6:D643)=TRIM('hospitalityq-nil'!D643)))&gt;1))</f>
        <v>0</v>
      </c>
      <c r="D643">
        <f>NOT('hospitalityq-nil'!D643="")*(OR(COUNTIF(reference!$C$144:$C$155,TRIM(LEFT('hospitalityq-nil'!D643,FIND(":",'hospitalityq-nil'!D643&amp;":")-1))&amp;":*")=0,SUMPRODUCT(--(TRIM('hospitalityq-nil'!C6:C643)=TRIM('hospitalityq-nil'!C643)),--(TRIM('hospitalityq-nil'!D6:D643)=TRIM('hospitalityq-nil'!D643)))&gt;1))</f>
        <v>0</v>
      </c>
    </row>
    <row r="644" spans="1:4" x14ac:dyDescent="0.25">
      <c r="A644">
        <f t="shared" si="9"/>
        <v>0</v>
      </c>
      <c r="C644">
        <f>NOT('hospitalityq-nil'!C644="")*(OR(NOT(IFERROR(AND(INT('hospitalityq-nil'!C644)='hospitalityq-nil'!C644,'hospitalityq-nil'!C644&gt;=2018-50,'hospitalityq-nil'!C644&lt;=2018+50),FALSE)),SUMPRODUCT(--(TRIM('hospitalityq-nil'!C6:C644)=TRIM('hospitalityq-nil'!C644)),--(TRIM('hospitalityq-nil'!D6:D644)=TRIM('hospitalityq-nil'!D644)))&gt;1))</f>
        <v>0</v>
      </c>
      <c r="D644">
        <f>NOT('hospitalityq-nil'!D644="")*(OR(COUNTIF(reference!$C$144:$C$155,TRIM(LEFT('hospitalityq-nil'!D644,FIND(":",'hospitalityq-nil'!D644&amp;":")-1))&amp;":*")=0,SUMPRODUCT(--(TRIM('hospitalityq-nil'!C6:C644)=TRIM('hospitalityq-nil'!C644)),--(TRIM('hospitalityq-nil'!D6:D644)=TRIM('hospitalityq-nil'!D644)))&gt;1))</f>
        <v>0</v>
      </c>
    </row>
    <row r="645" spans="1:4" x14ac:dyDescent="0.25">
      <c r="A645">
        <f t="shared" si="9"/>
        <v>0</v>
      </c>
      <c r="C645">
        <f>NOT('hospitalityq-nil'!C645="")*(OR(NOT(IFERROR(AND(INT('hospitalityq-nil'!C645)='hospitalityq-nil'!C645,'hospitalityq-nil'!C645&gt;=2018-50,'hospitalityq-nil'!C645&lt;=2018+50),FALSE)),SUMPRODUCT(--(TRIM('hospitalityq-nil'!C6:C645)=TRIM('hospitalityq-nil'!C645)),--(TRIM('hospitalityq-nil'!D6:D645)=TRIM('hospitalityq-nil'!D645)))&gt;1))</f>
        <v>0</v>
      </c>
      <c r="D645">
        <f>NOT('hospitalityq-nil'!D645="")*(OR(COUNTIF(reference!$C$144:$C$155,TRIM(LEFT('hospitalityq-nil'!D645,FIND(":",'hospitalityq-nil'!D645&amp;":")-1))&amp;":*")=0,SUMPRODUCT(--(TRIM('hospitalityq-nil'!C6:C645)=TRIM('hospitalityq-nil'!C645)),--(TRIM('hospitalityq-nil'!D6:D645)=TRIM('hospitalityq-nil'!D645)))&gt;1))</f>
        <v>0</v>
      </c>
    </row>
    <row r="646" spans="1:4" x14ac:dyDescent="0.25">
      <c r="A646">
        <f t="shared" ref="A646:A709" si="10">IFERROR(MATCH(TRUE,INDEX(C646:D646&lt;&gt;0,),)+2,0)</f>
        <v>0</v>
      </c>
      <c r="C646">
        <f>NOT('hospitalityq-nil'!C646="")*(OR(NOT(IFERROR(AND(INT('hospitalityq-nil'!C646)='hospitalityq-nil'!C646,'hospitalityq-nil'!C646&gt;=2018-50,'hospitalityq-nil'!C646&lt;=2018+50),FALSE)),SUMPRODUCT(--(TRIM('hospitalityq-nil'!C6:C646)=TRIM('hospitalityq-nil'!C646)),--(TRIM('hospitalityq-nil'!D6:D646)=TRIM('hospitalityq-nil'!D646)))&gt;1))</f>
        <v>0</v>
      </c>
      <c r="D646">
        <f>NOT('hospitalityq-nil'!D646="")*(OR(COUNTIF(reference!$C$144:$C$155,TRIM(LEFT('hospitalityq-nil'!D646,FIND(":",'hospitalityq-nil'!D646&amp;":")-1))&amp;":*")=0,SUMPRODUCT(--(TRIM('hospitalityq-nil'!C6:C646)=TRIM('hospitalityq-nil'!C646)),--(TRIM('hospitalityq-nil'!D6:D646)=TRIM('hospitalityq-nil'!D646)))&gt;1))</f>
        <v>0</v>
      </c>
    </row>
    <row r="647" spans="1:4" x14ac:dyDescent="0.25">
      <c r="A647">
        <f t="shared" si="10"/>
        <v>0</v>
      </c>
      <c r="C647">
        <f>NOT('hospitalityq-nil'!C647="")*(OR(NOT(IFERROR(AND(INT('hospitalityq-nil'!C647)='hospitalityq-nil'!C647,'hospitalityq-nil'!C647&gt;=2018-50,'hospitalityq-nil'!C647&lt;=2018+50),FALSE)),SUMPRODUCT(--(TRIM('hospitalityq-nil'!C6:C647)=TRIM('hospitalityq-nil'!C647)),--(TRIM('hospitalityq-nil'!D6:D647)=TRIM('hospitalityq-nil'!D647)))&gt;1))</f>
        <v>0</v>
      </c>
      <c r="D647">
        <f>NOT('hospitalityq-nil'!D647="")*(OR(COUNTIF(reference!$C$144:$C$155,TRIM(LEFT('hospitalityq-nil'!D647,FIND(":",'hospitalityq-nil'!D647&amp;":")-1))&amp;":*")=0,SUMPRODUCT(--(TRIM('hospitalityq-nil'!C6:C647)=TRIM('hospitalityq-nil'!C647)),--(TRIM('hospitalityq-nil'!D6:D647)=TRIM('hospitalityq-nil'!D647)))&gt;1))</f>
        <v>0</v>
      </c>
    </row>
    <row r="648" spans="1:4" x14ac:dyDescent="0.25">
      <c r="A648">
        <f t="shared" si="10"/>
        <v>0</v>
      </c>
      <c r="C648">
        <f>NOT('hospitalityq-nil'!C648="")*(OR(NOT(IFERROR(AND(INT('hospitalityq-nil'!C648)='hospitalityq-nil'!C648,'hospitalityq-nil'!C648&gt;=2018-50,'hospitalityq-nil'!C648&lt;=2018+50),FALSE)),SUMPRODUCT(--(TRIM('hospitalityq-nil'!C6:C648)=TRIM('hospitalityq-nil'!C648)),--(TRIM('hospitalityq-nil'!D6:D648)=TRIM('hospitalityq-nil'!D648)))&gt;1))</f>
        <v>0</v>
      </c>
      <c r="D648">
        <f>NOT('hospitalityq-nil'!D648="")*(OR(COUNTIF(reference!$C$144:$C$155,TRIM(LEFT('hospitalityq-nil'!D648,FIND(":",'hospitalityq-nil'!D648&amp;":")-1))&amp;":*")=0,SUMPRODUCT(--(TRIM('hospitalityq-nil'!C6:C648)=TRIM('hospitalityq-nil'!C648)),--(TRIM('hospitalityq-nil'!D6:D648)=TRIM('hospitalityq-nil'!D648)))&gt;1))</f>
        <v>0</v>
      </c>
    </row>
    <row r="649" spans="1:4" x14ac:dyDescent="0.25">
      <c r="A649">
        <f t="shared" si="10"/>
        <v>0</v>
      </c>
      <c r="C649">
        <f>NOT('hospitalityq-nil'!C649="")*(OR(NOT(IFERROR(AND(INT('hospitalityq-nil'!C649)='hospitalityq-nil'!C649,'hospitalityq-nil'!C649&gt;=2018-50,'hospitalityq-nil'!C649&lt;=2018+50),FALSE)),SUMPRODUCT(--(TRIM('hospitalityq-nil'!C6:C649)=TRIM('hospitalityq-nil'!C649)),--(TRIM('hospitalityq-nil'!D6:D649)=TRIM('hospitalityq-nil'!D649)))&gt;1))</f>
        <v>0</v>
      </c>
      <c r="D649">
        <f>NOT('hospitalityq-nil'!D649="")*(OR(COUNTIF(reference!$C$144:$C$155,TRIM(LEFT('hospitalityq-nil'!D649,FIND(":",'hospitalityq-nil'!D649&amp;":")-1))&amp;":*")=0,SUMPRODUCT(--(TRIM('hospitalityq-nil'!C6:C649)=TRIM('hospitalityq-nil'!C649)),--(TRIM('hospitalityq-nil'!D6:D649)=TRIM('hospitalityq-nil'!D649)))&gt;1))</f>
        <v>0</v>
      </c>
    </row>
    <row r="650" spans="1:4" x14ac:dyDescent="0.25">
      <c r="A650">
        <f t="shared" si="10"/>
        <v>0</v>
      </c>
      <c r="C650">
        <f>NOT('hospitalityq-nil'!C650="")*(OR(NOT(IFERROR(AND(INT('hospitalityq-nil'!C650)='hospitalityq-nil'!C650,'hospitalityq-nil'!C650&gt;=2018-50,'hospitalityq-nil'!C650&lt;=2018+50),FALSE)),SUMPRODUCT(--(TRIM('hospitalityq-nil'!C6:C650)=TRIM('hospitalityq-nil'!C650)),--(TRIM('hospitalityq-nil'!D6:D650)=TRIM('hospitalityq-nil'!D650)))&gt;1))</f>
        <v>0</v>
      </c>
      <c r="D650">
        <f>NOT('hospitalityq-nil'!D650="")*(OR(COUNTIF(reference!$C$144:$C$155,TRIM(LEFT('hospitalityq-nil'!D650,FIND(":",'hospitalityq-nil'!D650&amp;":")-1))&amp;":*")=0,SUMPRODUCT(--(TRIM('hospitalityq-nil'!C6:C650)=TRIM('hospitalityq-nil'!C650)),--(TRIM('hospitalityq-nil'!D6:D650)=TRIM('hospitalityq-nil'!D650)))&gt;1))</f>
        <v>0</v>
      </c>
    </row>
    <row r="651" spans="1:4" x14ac:dyDescent="0.25">
      <c r="A651">
        <f t="shared" si="10"/>
        <v>0</v>
      </c>
      <c r="C651">
        <f>NOT('hospitalityq-nil'!C651="")*(OR(NOT(IFERROR(AND(INT('hospitalityq-nil'!C651)='hospitalityq-nil'!C651,'hospitalityq-nil'!C651&gt;=2018-50,'hospitalityq-nil'!C651&lt;=2018+50),FALSE)),SUMPRODUCT(--(TRIM('hospitalityq-nil'!C6:C651)=TRIM('hospitalityq-nil'!C651)),--(TRIM('hospitalityq-nil'!D6:D651)=TRIM('hospitalityq-nil'!D651)))&gt;1))</f>
        <v>0</v>
      </c>
      <c r="D651">
        <f>NOT('hospitalityq-nil'!D651="")*(OR(COUNTIF(reference!$C$144:$C$155,TRIM(LEFT('hospitalityq-nil'!D651,FIND(":",'hospitalityq-nil'!D651&amp;":")-1))&amp;":*")=0,SUMPRODUCT(--(TRIM('hospitalityq-nil'!C6:C651)=TRIM('hospitalityq-nil'!C651)),--(TRIM('hospitalityq-nil'!D6:D651)=TRIM('hospitalityq-nil'!D651)))&gt;1))</f>
        <v>0</v>
      </c>
    </row>
    <row r="652" spans="1:4" x14ac:dyDescent="0.25">
      <c r="A652">
        <f t="shared" si="10"/>
        <v>0</v>
      </c>
      <c r="C652">
        <f>NOT('hospitalityq-nil'!C652="")*(OR(NOT(IFERROR(AND(INT('hospitalityq-nil'!C652)='hospitalityq-nil'!C652,'hospitalityq-nil'!C652&gt;=2018-50,'hospitalityq-nil'!C652&lt;=2018+50),FALSE)),SUMPRODUCT(--(TRIM('hospitalityq-nil'!C6:C652)=TRIM('hospitalityq-nil'!C652)),--(TRIM('hospitalityq-nil'!D6:D652)=TRIM('hospitalityq-nil'!D652)))&gt;1))</f>
        <v>0</v>
      </c>
      <c r="D652">
        <f>NOT('hospitalityq-nil'!D652="")*(OR(COUNTIF(reference!$C$144:$C$155,TRIM(LEFT('hospitalityq-nil'!D652,FIND(":",'hospitalityq-nil'!D652&amp;":")-1))&amp;":*")=0,SUMPRODUCT(--(TRIM('hospitalityq-nil'!C6:C652)=TRIM('hospitalityq-nil'!C652)),--(TRIM('hospitalityq-nil'!D6:D652)=TRIM('hospitalityq-nil'!D652)))&gt;1))</f>
        <v>0</v>
      </c>
    </row>
    <row r="653" spans="1:4" x14ac:dyDescent="0.25">
      <c r="A653">
        <f t="shared" si="10"/>
        <v>0</v>
      </c>
      <c r="C653">
        <f>NOT('hospitalityq-nil'!C653="")*(OR(NOT(IFERROR(AND(INT('hospitalityq-nil'!C653)='hospitalityq-nil'!C653,'hospitalityq-nil'!C653&gt;=2018-50,'hospitalityq-nil'!C653&lt;=2018+50),FALSE)),SUMPRODUCT(--(TRIM('hospitalityq-nil'!C6:C653)=TRIM('hospitalityq-nil'!C653)),--(TRIM('hospitalityq-nil'!D6:D653)=TRIM('hospitalityq-nil'!D653)))&gt;1))</f>
        <v>0</v>
      </c>
      <c r="D653">
        <f>NOT('hospitalityq-nil'!D653="")*(OR(COUNTIF(reference!$C$144:$C$155,TRIM(LEFT('hospitalityq-nil'!D653,FIND(":",'hospitalityq-nil'!D653&amp;":")-1))&amp;":*")=0,SUMPRODUCT(--(TRIM('hospitalityq-nil'!C6:C653)=TRIM('hospitalityq-nil'!C653)),--(TRIM('hospitalityq-nil'!D6:D653)=TRIM('hospitalityq-nil'!D653)))&gt;1))</f>
        <v>0</v>
      </c>
    </row>
    <row r="654" spans="1:4" x14ac:dyDescent="0.25">
      <c r="A654">
        <f t="shared" si="10"/>
        <v>0</v>
      </c>
      <c r="C654">
        <f>NOT('hospitalityq-nil'!C654="")*(OR(NOT(IFERROR(AND(INT('hospitalityq-nil'!C654)='hospitalityq-nil'!C654,'hospitalityq-nil'!C654&gt;=2018-50,'hospitalityq-nil'!C654&lt;=2018+50),FALSE)),SUMPRODUCT(--(TRIM('hospitalityq-nil'!C6:C654)=TRIM('hospitalityq-nil'!C654)),--(TRIM('hospitalityq-nil'!D6:D654)=TRIM('hospitalityq-nil'!D654)))&gt;1))</f>
        <v>0</v>
      </c>
      <c r="D654">
        <f>NOT('hospitalityq-nil'!D654="")*(OR(COUNTIF(reference!$C$144:$C$155,TRIM(LEFT('hospitalityq-nil'!D654,FIND(":",'hospitalityq-nil'!D654&amp;":")-1))&amp;":*")=0,SUMPRODUCT(--(TRIM('hospitalityq-nil'!C6:C654)=TRIM('hospitalityq-nil'!C654)),--(TRIM('hospitalityq-nil'!D6:D654)=TRIM('hospitalityq-nil'!D654)))&gt;1))</f>
        <v>0</v>
      </c>
    </row>
    <row r="655" spans="1:4" x14ac:dyDescent="0.25">
      <c r="A655">
        <f t="shared" si="10"/>
        <v>0</v>
      </c>
      <c r="C655">
        <f>NOT('hospitalityq-nil'!C655="")*(OR(NOT(IFERROR(AND(INT('hospitalityq-nil'!C655)='hospitalityq-nil'!C655,'hospitalityq-nil'!C655&gt;=2018-50,'hospitalityq-nil'!C655&lt;=2018+50),FALSE)),SUMPRODUCT(--(TRIM('hospitalityq-nil'!C6:C655)=TRIM('hospitalityq-nil'!C655)),--(TRIM('hospitalityq-nil'!D6:D655)=TRIM('hospitalityq-nil'!D655)))&gt;1))</f>
        <v>0</v>
      </c>
      <c r="D655">
        <f>NOT('hospitalityq-nil'!D655="")*(OR(COUNTIF(reference!$C$144:$C$155,TRIM(LEFT('hospitalityq-nil'!D655,FIND(":",'hospitalityq-nil'!D655&amp;":")-1))&amp;":*")=0,SUMPRODUCT(--(TRIM('hospitalityq-nil'!C6:C655)=TRIM('hospitalityq-nil'!C655)),--(TRIM('hospitalityq-nil'!D6:D655)=TRIM('hospitalityq-nil'!D655)))&gt;1))</f>
        <v>0</v>
      </c>
    </row>
    <row r="656" spans="1:4" x14ac:dyDescent="0.25">
      <c r="A656">
        <f t="shared" si="10"/>
        <v>0</v>
      </c>
      <c r="C656">
        <f>NOT('hospitalityq-nil'!C656="")*(OR(NOT(IFERROR(AND(INT('hospitalityq-nil'!C656)='hospitalityq-nil'!C656,'hospitalityq-nil'!C656&gt;=2018-50,'hospitalityq-nil'!C656&lt;=2018+50),FALSE)),SUMPRODUCT(--(TRIM('hospitalityq-nil'!C6:C656)=TRIM('hospitalityq-nil'!C656)),--(TRIM('hospitalityq-nil'!D6:D656)=TRIM('hospitalityq-nil'!D656)))&gt;1))</f>
        <v>0</v>
      </c>
      <c r="D656">
        <f>NOT('hospitalityq-nil'!D656="")*(OR(COUNTIF(reference!$C$144:$C$155,TRIM(LEFT('hospitalityq-nil'!D656,FIND(":",'hospitalityq-nil'!D656&amp;":")-1))&amp;":*")=0,SUMPRODUCT(--(TRIM('hospitalityq-nil'!C6:C656)=TRIM('hospitalityq-nil'!C656)),--(TRIM('hospitalityq-nil'!D6:D656)=TRIM('hospitalityq-nil'!D656)))&gt;1))</f>
        <v>0</v>
      </c>
    </row>
    <row r="657" spans="1:4" x14ac:dyDescent="0.25">
      <c r="A657">
        <f t="shared" si="10"/>
        <v>0</v>
      </c>
      <c r="C657">
        <f>NOT('hospitalityq-nil'!C657="")*(OR(NOT(IFERROR(AND(INT('hospitalityq-nil'!C657)='hospitalityq-nil'!C657,'hospitalityq-nil'!C657&gt;=2018-50,'hospitalityq-nil'!C657&lt;=2018+50),FALSE)),SUMPRODUCT(--(TRIM('hospitalityq-nil'!C6:C657)=TRIM('hospitalityq-nil'!C657)),--(TRIM('hospitalityq-nil'!D6:D657)=TRIM('hospitalityq-nil'!D657)))&gt;1))</f>
        <v>0</v>
      </c>
      <c r="D657">
        <f>NOT('hospitalityq-nil'!D657="")*(OR(COUNTIF(reference!$C$144:$C$155,TRIM(LEFT('hospitalityq-nil'!D657,FIND(":",'hospitalityq-nil'!D657&amp;":")-1))&amp;":*")=0,SUMPRODUCT(--(TRIM('hospitalityq-nil'!C6:C657)=TRIM('hospitalityq-nil'!C657)),--(TRIM('hospitalityq-nil'!D6:D657)=TRIM('hospitalityq-nil'!D657)))&gt;1))</f>
        <v>0</v>
      </c>
    </row>
    <row r="658" spans="1:4" x14ac:dyDescent="0.25">
      <c r="A658">
        <f t="shared" si="10"/>
        <v>0</v>
      </c>
      <c r="C658">
        <f>NOT('hospitalityq-nil'!C658="")*(OR(NOT(IFERROR(AND(INT('hospitalityq-nil'!C658)='hospitalityq-nil'!C658,'hospitalityq-nil'!C658&gt;=2018-50,'hospitalityq-nil'!C658&lt;=2018+50),FALSE)),SUMPRODUCT(--(TRIM('hospitalityq-nil'!C6:C658)=TRIM('hospitalityq-nil'!C658)),--(TRIM('hospitalityq-nil'!D6:D658)=TRIM('hospitalityq-nil'!D658)))&gt;1))</f>
        <v>0</v>
      </c>
      <c r="D658">
        <f>NOT('hospitalityq-nil'!D658="")*(OR(COUNTIF(reference!$C$144:$C$155,TRIM(LEFT('hospitalityq-nil'!D658,FIND(":",'hospitalityq-nil'!D658&amp;":")-1))&amp;":*")=0,SUMPRODUCT(--(TRIM('hospitalityq-nil'!C6:C658)=TRIM('hospitalityq-nil'!C658)),--(TRIM('hospitalityq-nil'!D6:D658)=TRIM('hospitalityq-nil'!D658)))&gt;1))</f>
        <v>0</v>
      </c>
    </row>
    <row r="659" spans="1:4" x14ac:dyDescent="0.25">
      <c r="A659">
        <f t="shared" si="10"/>
        <v>0</v>
      </c>
      <c r="C659">
        <f>NOT('hospitalityq-nil'!C659="")*(OR(NOT(IFERROR(AND(INT('hospitalityq-nil'!C659)='hospitalityq-nil'!C659,'hospitalityq-nil'!C659&gt;=2018-50,'hospitalityq-nil'!C659&lt;=2018+50),FALSE)),SUMPRODUCT(--(TRIM('hospitalityq-nil'!C6:C659)=TRIM('hospitalityq-nil'!C659)),--(TRIM('hospitalityq-nil'!D6:D659)=TRIM('hospitalityq-nil'!D659)))&gt;1))</f>
        <v>0</v>
      </c>
      <c r="D659">
        <f>NOT('hospitalityq-nil'!D659="")*(OR(COUNTIF(reference!$C$144:$C$155,TRIM(LEFT('hospitalityq-nil'!D659,FIND(":",'hospitalityq-nil'!D659&amp;":")-1))&amp;":*")=0,SUMPRODUCT(--(TRIM('hospitalityq-nil'!C6:C659)=TRIM('hospitalityq-nil'!C659)),--(TRIM('hospitalityq-nil'!D6:D659)=TRIM('hospitalityq-nil'!D659)))&gt;1))</f>
        <v>0</v>
      </c>
    </row>
    <row r="660" spans="1:4" x14ac:dyDescent="0.25">
      <c r="A660">
        <f t="shared" si="10"/>
        <v>0</v>
      </c>
      <c r="C660">
        <f>NOT('hospitalityq-nil'!C660="")*(OR(NOT(IFERROR(AND(INT('hospitalityq-nil'!C660)='hospitalityq-nil'!C660,'hospitalityq-nil'!C660&gt;=2018-50,'hospitalityq-nil'!C660&lt;=2018+50),FALSE)),SUMPRODUCT(--(TRIM('hospitalityq-nil'!C6:C660)=TRIM('hospitalityq-nil'!C660)),--(TRIM('hospitalityq-nil'!D6:D660)=TRIM('hospitalityq-nil'!D660)))&gt;1))</f>
        <v>0</v>
      </c>
      <c r="D660">
        <f>NOT('hospitalityq-nil'!D660="")*(OR(COUNTIF(reference!$C$144:$C$155,TRIM(LEFT('hospitalityq-nil'!D660,FIND(":",'hospitalityq-nil'!D660&amp;":")-1))&amp;":*")=0,SUMPRODUCT(--(TRIM('hospitalityq-nil'!C6:C660)=TRIM('hospitalityq-nil'!C660)),--(TRIM('hospitalityq-nil'!D6:D660)=TRIM('hospitalityq-nil'!D660)))&gt;1))</f>
        <v>0</v>
      </c>
    </row>
    <row r="661" spans="1:4" x14ac:dyDescent="0.25">
      <c r="A661">
        <f t="shared" si="10"/>
        <v>0</v>
      </c>
      <c r="C661">
        <f>NOT('hospitalityq-nil'!C661="")*(OR(NOT(IFERROR(AND(INT('hospitalityq-nil'!C661)='hospitalityq-nil'!C661,'hospitalityq-nil'!C661&gt;=2018-50,'hospitalityq-nil'!C661&lt;=2018+50),FALSE)),SUMPRODUCT(--(TRIM('hospitalityq-nil'!C6:C661)=TRIM('hospitalityq-nil'!C661)),--(TRIM('hospitalityq-nil'!D6:D661)=TRIM('hospitalityq-nil'!D661)))&gt;1))</f>
        <v>0</v>
      </c>
      <c r="D661">
        <f>NOT('hospitalityq-nil'!D661="")*(OR(COUNTIF(reference!$C$144:$C$155,TRIM(LEFT('hospitalityq-nil'!D661,FIND(":",'hospitalityq-nil'!D661&amp;":")-1))&amp;":*")=0,SUMPRODUCT(--(TRIM('hospitalityq-nil'!C6:C661)=TRIM('hospitalityq-nil'!C661)),--(TRIM('hospitalityq-nil'!D6:D661)=TRIM('hospitalityq-nil'!D661)))&gt;1))</f>
        <v>0</v>
      </c>
    </row>
    <row r="662" spans="1:4" x14ac:dyDescent="0.25">
      <c r="A662">
        <f t="shared" si="10"/>
        <v>0</v>
      </c>
      <c r="C662">
        <f>NOT('hospitalityq-nil'!C662="")*(OR(NOT(IFERROR(AND(INT('hospitalityq-nil'!C662)='hospitalityq-nil'!C662,'hospitalityq-nil'!C662&gt;=2018-50,'hospitalityq-nil'!C662&lt;=2018+50),FALSE)),SUMPRODUCT(--(TRIM('hospitalityq-nil'!C6:C662)=TRIM('hospitalityq-nil'!C662)),--(TRIM('hospitalityq-nil'!D6:D662)=TRIM('hospitalityq-nil'!D662)))&gt;1))</f>
        <v>0</v>
      </c>
      <c r="D662">
        <f>NOT('hospitalityq-nil'!D662="")*(OR(COUNTIF(reference!$C$144:$C$155,TRIM(LEFT('hospitalityq-nil'!D662,FIND(":",'hospitalityq-nil'!D662&amp;":")-1))&amp;":*")=0,SUMPRODUCT(--(TRIM('hospitalityq-nil'!C6:C662)=TRIM('hospitalityq-nil'!C662)),--(TRIM('hospitalityq-nil'!D6:D662)=TRIM('hospitalityq-nil'!D662)))&gt;1))</f>
        <v>0</v>
      </c>
    </row>
    <row r="663" spans="1:4" x14ac:dyDescent="0.25">
      <c r="A663">
        <f t="shared" si="10"/>
        <v>0</v>
      </c>
      <c r="C663">
        <f>NOT('hospitalityq-nil'!C663="")*(OR(NOT(IFERROR(AND(INT('hospitalityq-nil'!C663)='hospitalityq-nil'!C663,'hospitalityq-nil'!C663&gt;=2018-50,'hospitalityq-nil'!C663&lt;=2018+50),FALSE)),SUMPRODUCT(--(TRIM('hospitalityq-nil'!C6:C663)=TRIM('hospitalityq-nil'!C663)),--(TRIM('hospitalityq-nil'!D6:D663)=TRIM('hospitalityq-nil'!D663)))&gt;1))</f>
        <v>0</v>
      </c>
      <c r="D663">
        <f>NOT('hospitalityq-nil'!D663="")*(OR(COUNTIF(reference!$C$144:$C$155,TRIM(LEFT('hospitalityq-nil'!D663,FIND(":",'hospitalityq-nil'!D663&amp;":")-1))&amp;":*")=0,SUMPRODUCT(--(TRIM('hospitalityq-nil'!C6:C663)=TRIM('hospitalityq-nil'!C663)),--(TRIM('hospitalityq-nil'!D6:D663)=TRIM('hospitalityq-nil'!D663)))&gt;1))</f>
        <v>0</v>
      </c>
    </row>
    <row r="664" spans="1:4" x14ac:dyDescent="0.25">
      <c r="A664">
        <f t="shared" si="10"/>
        <v>0</v>
      </c>
      <c r="C664">
        <f>NOT('hospitalityq-nil'!C664="")*(OR(NOT(IFERROR(AND(INT('hospitalityq-nil'!C664)='hospitalityq-nil'!C664,'hospitalityq-nil'!C664&gt;=2018-50,'hospitalityq-nil'!C664&lt;=2018+50),FALSE)),SUMPRODUCT(--(TRIM('hospitalityq-nil'!C6:C664)=TRIM('hospitalityq-nil'!C664)),--(TRIM('hospitalityq-nil'!D6:D664)=TRIM('hospitalityq-nil'!D664)))&gt;1))</f>
        <v>0</v>
      </c>
      <c r="D664">
        <f>NOT('hospitalityq-nil'!D664="")*(OR(COUNTIF(reference!$C$144:$C$155,TRIM(LEFT('hospitalityq-nil'!D664,FIND(":",'hospitalityq-nil'!D664&amp;":")-1))&amp;":*")=0,SUMPRODUCT(--(TRIM('hospitalityq-nil'!C6:C664)=TRIM('hospitalityq-nil'!C664)),--(TRIM('hospitalityq-nil'!D6:D664)=TRIM('hospitalityq-nil'!D664)))&gt;1))</f>
        <v>0</v>
      </c>
    </row>
    <row r="665" spans="1:4" x14ac:dyDescent="0.25">
      <c r="A665">
        <f t="shared" si="10"/>
        <v>0</v>
      </c>
      <c r="C665">
        <f>NOT('hospitalityq-nil'!C665="")*(OR(NOT(IFERROR(AND(INT('hospitalityq-nil'!C665)='hospitalityq-nil'!C665,'hospitalityq-nil'!C665&gt;=2018-50,'hospitalityq-nil'!C665&lt;=2018+50),FALSE)),SUMPRODUCT(--(TRIM('hospitalityq-nil'!C6:C665)=TRIM('hospitalityq-nil'!C665)),--(TRIM('hospitalityq-nil'!D6:D665)=TRIM('hospitalityq-nil'!D665)))&gt;1))</f>
        <v>0</v>
      </c>
      <c r="D665">
        <f>NOT('hospitalityq-nil'!D665="")*(OR(COUNTIF(reference!$C$144:$C$155,TRIM(LEFT('hospitalityq-nil'!D665,FIND(":",'hospitalityq-nil'!D665&amp;":")-1))&amp;":*")=0,SUMPRODUCT(--(TRIM('hospitalityq-nil'!C6:C665)=TRIM('hospitalityq-nil'!C665)),--(TRIM('hospitalityq-nil'!D6:D665)=TRIM('hospitalityq-nil'!D665)))&gt;1))</f>
        <v>0</v>
      </c>
    </row>
    <row r="666" spans="1:4" x14ac:dyDescent="0.25">
      <c r="A666">
        <f t="shared" si="10"/>
        <v>0</v>
      </c>
      <c r="C666">
        <f>NOT('hospitalityq-nil'!C666="")*(OR(NOT(IFERROR(AND(INT('hospitalityq-nil'!C666)='hospitalityq-nil'!C666,'hospitalityq-nil'!C666&gt;=2018-50,'hospitalityq-nil'!C666&lt;=2018+50),FALSE)),SUMPRODUCT(--(TRIM('hospitalityq-nil'!C6:C666)=TRIM('hospitalityq-nil'!C666)),--(TRIM('hospitalityq-nil'!D6:D666)=TRIM('hospitalityq-nil'!D666)))&gt;1))</f>
        <v>0</v>
      </c>
      <c r="D666">
        <f>NOT('hospitalityq-nil'!D666="")*(OR(COUNTIF(reference!$C$144:$C$155,TRIM(LEFT('hospitalityq-nil'!D666,FIND(":",'hospitalityq-nil'!D666&amp;":")-1))&amp;":*")=0,SUMPRODUCT(--(TRIM('hospitalityq-nil'!C6:C666)=TRIM('hospitalityq-nil'!C666)),--(TRIM('hospitalityq-nil'!D6:D666)=TRIM('hospitalityq-nil'!D666)))&gt;1))</f>
        <v>0</v>
      </c>
    </row>
    <row r="667" spans="1:4" x14ac:dyDescent="0.25">
      <c r="A667">
        <f t="shared" si="10"/>
        <v>0</v>
      </c>
      <c r="C667">
        <f>NOT('hospitalityq-nil'!C667="")*(OR(NOT(IFERROR(AND(INT('hospitalityq-nil'!C667)='hospitalityq-nil'!C667,'hospitalityq-nil'!C667&gt;=2018-50,'hospitalityq-nil'!C667&lt;=2018+50),FALSE)),SUMPRODUCT(--(TRIM('hospitalityq-nil'!C6:C667)=TRIM('hospitalityq-nil'!C667)),--(TRIM('hospitalityq-nil'!D6:D667)=TRIM('hospitalityq-nil'!D667)))&gt;1))</f>
        <v>0</v>
      </c>
      <c r="D667">
        <f>NOT('hospitalityq-nil'!D667="")*(OR(COUNTIF(reference!$C$144:$C$155,TRIM(LEFT('hospitalityq-nil'!D667,FIND(":",'hospitalityq-nil'!D667&amp;":")-1))&amp;":*")=0,SUMPRODUCT(--(TRIM('hospitalityq-nil'!C6:C667)=TRIM('hospitalityq-nil'!C667)),--(TRIM('hospitalityq-nil'!D6:D667)=TRIM('hospitalityq-nil'!D667)))&gt;1))</f>
        <v>0</v>
      </c>
    </row>
    <row r="668" spans="1:4" x14ac:dyDescent="0.25">
      <c r="A668">
        <f t="shared" si="10"/>
        <v>0</v>
      </c>
      <c r="C668">
        <f>NOT('hospitalityq-nil'!C668="")*(OR(NOT(IFERROR(AND(INT('hospitalityq-nil'!C668)='hospitalityq-nil'!C668,'hospitalityq-nil'!C668&gt;=2018-50,'hospitalityq-nil'!C668&lt;=2018+50),FALSE)),SUMPRODUCT(--(TRIM('hospitalityq-nil'!C6:C668)=TRIM('hospitalityq-nil'!C668)),--(TRIM('hospitalityq-nil'!D6:D668)=TRIM('hospitalityq-nil'!D668)))&gt;1))</f>
        <v>0</v>
      </c>
      <c r="D668">
        <f>NOT('hospitalityq-nil'!D668="")*(OR(COUNTIF(reference!$C$144:$C$155,TRIM(LEFT('hospitalityq-nil'!D668,FIND(":",'hospitalityq-nil'!D668&amp;":")-1))&amp;":*")=0,SUMPRODUCT(--(TRIM('hospitalityq-nil'!C6:C668)=TRIM('hospitalityq-nil'!C668)),--(TRIM('hospitalityq-nil'!D6:D668)=TRIM('hospitalityq-nil'!D668)))&gt;1))</f>
        <v>0</v>
      </c>
    </row>
    <row r="669" spans="1:4" x14ac:dyDescent="0.25">
      <c r="A669">
        <f t="shared" si="10"/>
        <v>0</v>
      </c>
      <c r="C669">
        <f>NOT('hospitalityq-nil'!C669="")*(OR(NOT(IFERROR(AND(INT('hospitalityq-nil'!C669)='hospitalityq-nil'!C669,'hospitalityq-nil'!C669&gt;=2018-50,'hospitalityq-nil'!C669&lt;=2018+50),FALSE)),SUMPRODUCT(--(TRIM('hospitalityq-nil'!C6:C669)=TRIM('hospitalityq-nil'!C669)),--(TRIM('hospitalityq-nil'!D6:D669)=TRIM('hospitalityq-nil'!D669)))&gt;1))</f>
        <v>0</v>
      </c>
      <c r="D669">
        <f>NOT('hospitalityq-nil'!D669="")*(OR(COUNTIF(reference!$C$144:$C$155,TRIM(LEFT('hospitalityq-nil'!D669,FIND(":",'hospitalityq-nil'!D669&amp;":")-1))&amp;":*")=0,SUMPRODUCT(--(TRIM('hospitalityq-nil'!C6:C669)=TRIM('hospitalityq-nil'!C669)),--(TRIM('hospitalityq-nil'!D6:D669)=TRIM('hospitalityq-nil'!D669)))&gt;1))</f>
        <v>0</v>
      </c>
    </row>
    <row r="670" spans="1:4" x14ac:dyDescent="0.25">
      <c r="A670">
        <f t="shared" si="10"/>
        <v>0</v>
      </c>
      <c r="C670">
        <f>NOT('hospitalityq-nil'!C670="")*(OR(NOT(IFERROR(AND(INT('hospitalityq-nil'!C670)='hospitalityq-nil'!C670,'hospitalityq-nil'!C670&gt;=2018-50,'hospitalityq-nil'!C670&lt;=2018+50),FALSE)),SUMPRODUCT(--(TRIM('hospitalityq-nil'!C6:C670)=TRIM('hospitalityq-nil'!C670)),--(TRIM('hospitalityq-nil'!D6:D670)=TRIM('hospitalityq-nil'!D670)))&gt;1))</f>
        <v>0</v>
      </c>
      <c r="D670">
        <f>NOT('hospitalityq-nil'!D670="")*(OR(COUNTIF(reference!$C$144:$C$155,TRIM(LEFT('hospitalityq-nil'!D670,FIND(":",'hospitalityq-nil'!D670&amp;":")-1))&amp;":*")=0,SUMPRODUCT(--(TRIM('hospitalityq-nil'!C6:C670)=TRIM('hospitalityq-nil'!C670)),--(TRIM('hospitalityq-nil'!D6:D670)=TRIM('hospitalityq-nil'!D670)))&gt;1))</f>
        <v>0</v>
      </c>
    </row>
    <row r="671" spans="1:4" x14ac:dyDescent="0.25">
      <c r="A671">
        <f t="shared" si="10"/>
        <v>0</v>
      </c>
      <c r="C671">
        <f>NOT('hospitalityq-nil'!C671="")*(OR(NOT(IFERROR(AND(INT('hospitalityq-nil'!C671)='hospitalityq-nil'!C671,'hospitalityq-nil'!C671&gt;=2018-50,'hospitalityq-nil'!C671&lt;=2018+50),FALSE)),SUMPRODUCT(--(TRIM('hospitalityq-nil'!C6:C671)=TRIM('hospitalityq-nil'!C671)),--(TRIM('hospitalityq-nil'!D6:D671)=TRIM('hospitalityq-nil'!D671)))&gt;1))</f>
        <v>0</v>
      </c>
      <c r="D671">
        <f>NOT('hospitalityq-nil'!D671="")*(OR(COUNTIF(reference!$C$144:$C$155,TRIM(LEFT('hospitalityq-nil'!D671,FIND(":",'hospitalityq-nil'!D671&amp;":")-1))&amp;":*")=0,SUMPRODUCT(--(TRIM('hospitalityq-nil'!C6:C671)=TRIM('hospitalityq-nil'!C671)),--(TRIM('hospitalityq-nil'!D6:D671)=TRIM('hospitalityq-nil'!D671)))&gt;1))</f>
        <v>0</v>
      </c>
    </row>
    <row r="672" spans="1:4" x14ac:dyDescent="0.25">
      <c r="A672">
        <f t="shared" si="10"/>
        <v>0</v>
      </c>
      <c r="C672">
        <f>NOT('hospitalityq-nil'!C672="")*(OR(NOT(IFERROR(AND(INT('hospitalityq-nil'!C672)='hospitalityq-nil'!C672,'hospitalityq-nil'!C672&gt;=2018-50,'hospitalityq-nil'!C672&lt;=2018+50),FALSE)),SUMPRODUCT(--(TRIM('hospitalityq-nil'!C6:C672)=TRIM('hospitalityq-nil'!C672)),--(TRIM('hospitalityq-nil'!D6:D672)=TRIM('hospitalityq-nil'!D672)))&gt;1))</f>
        <v>0</v>
      </c>
      <c r="D672">
        <f>NOT('hospitalityq-nil'!D672="")*(OR(COUNTIF(reference!$C$144:$C$155,TRIM(LEFT('hospitalityq-nil'!D672,FIND(":",'hospitalityq-nil'!D672&amp;":")-1))&amp;":*")=0,SUMPRODUCT(--(TRIM('hospitalityq-nil'!C6:C672)=TRIM('hospitalityq-nil'!C672)),--(TRIM('hospitalityq-nil'!D6:D672)=TRIM('hospitalityq-nil'!D672)))&gt;1))</f>
        <v>0</v>
      </c>
    </row>
    <row r="673" spans="1:4" x14ac:dyDescent="0.25">
      <c r="A673">
        <f t="shared" si="10"/>
        <v>0</v>
      </c>
      <c r="C673">
        <f>NOT('hospitalityq-nil'!C673="")*(OR(NOT(IFERROR(AND(INT('hospitalityq-nil'!C673)='hospitalityq-nil'!C673,'hospitalityq-nil'!C673&gt;=2018-50,'hospitalityq-nil'!C673&lt;=2018+50),FALSE)),SUMPRODUCT(--(TRIM('hospitalityq-nil'!C6:C673)=TRIM('hospitalityq-nil'!C673)),--(TRIM('hospitalityq-nil'!D6:D673)=TRIM('hospitalityq-nil'!D673)))&gt;1))</f>
        <v>0</v>
      </c>
      <c r="D673">
        <f>NOT('hospitalityq-nil'!D673="")*(OR(COUNTIF(reference!$C$144:$C$155,TRIM(LEFT('hospitalityq-nil'!D673,FIND(":",'hospitalityq-nil'!D673&amp;":")-1))&amp;":*")=0,SUMPRODUCT(--(TRIM('hospitalityq-nil'!C6:C673)=TRIM('hospitalityq-nil'!C673)),--(TRIM('hospitalityq-nil'!D6:D673)=TRIM('hospitalityq-nil'!D673)))&gt;1))</f>
        <v>0</v>
      </c>
    </row>
    <row r="674" spans="1:4" x14ac:dyDescent="0.25">
      <c r="A674">
        <f t="shared" si="10"/>
        <v>0</v>
      </c>
      <c r="C674">
        <f>NOT('hospitalityq-nil'!C674="")*(OR(NOT(IFERROR(AND(INT('hospitalityq-nil'!C674)='hospitalityq-nil'!C674,'hospitalityq-nil'!C674&gt;=2018-50,'hospitalityq-nil'!C674&lt;=2018+50),FALSE)),SUMPRODUCT(--(TRIM('hospitalityq-nil'!C6:C674)=TRIM('hospitalityq-nil'!C674)),--(TRIM('hospitalityq-nil'!D6:D674)=TRIM('hospitalityq-nil'!D674)))&gt;1))</f>
        <v>0</v>
      </c>
      <c r="D674">
        <f>NOT('hospitalityq-nil'!D674="")*(OR(COUNTIF(reference!$C$144:$C$155,TRIM(LEFT('hospitalityq-nil'!D674,FIND(":",'hospitalityq-nil'!D674&amp;":")-1))&amp;":*")=0,SUMPRODUCT(--(TRIM('hospitalityq-nil'!C6:C674)=TRIM('hospitalityq-nil'!C674)),--(TRIM('hospitalityq-nil'!D6:D674)=TRIM('hospitalityq-nil'!D674)))&gt;1))</f>
        <v>0</v>
      </c>
    </row>
    <row r="675" spans="1:4" x14ac:dyDescent="0.25">
      <c r="A675">
        <f t="shared" si="10"/>
        <v>0</v>
      </c>
      <c r="C675">
        <f>NOT('hospitalityq-nil'!C675="")*(OR(NOT(IFERROR(AND(INT('hospitalityq-nil'!C675)='hospitalityq-nil'!C675,'hospitalityq-nil'!C675&gt;=2018-50,'hospitalityq-nil'!C675&lt;=2018+50),FALSE)),SUMPRODUCT(--(TRIM('hospitalityq-nil'!C6:C675)=TRIM('hospitalityq-nil'!C675)),--(TRIM('hospitalityq-nil'!D6:D675)=TRIM('hospitalityq-nil'!D675)))&gt;1))</f>
        <v>0</v>
      </c>
      <c r="D675">
        <f>NOT('hospitalityq-nil'!D675="")*(OR(COUNTIF(reference!$C$144:$C$155,TRIM(LEFT('hospitalityq-nil'!D675,FIND(":",'hospitalityq-nil'!D675&amp;":")-1))&amp;":*")=0,SUMPRODUCT(--(TRIM('hospitalityq-nil'!C6:C675)=TRIM('hospitalityq-nil'!C675)),--(TRIM('hospitalityq-nil'!D6:D675)=TRIM('hospitalityq-nil'!D675)))&gt;1))</f>
        <v>0</v>
      </c>
    </row>
    <row r="676" spans="1:4" x14ac:dyDescent="0.25">
      <c r="A676">
        <f t="shared" si="10"/>
        <v>0</v>
      </c>
      <c r="C676">
        <f>NOT('hospitalityq-nil'!C676="")*(OR(NOT(IFERROR(AND(INT('hospitalityq-nil'!C676)='hospitalityq-nil'!C676,'hospitalityq-nil'!C676&gt;=2018-50,'hospitalityq-nil'!C676&lt;=2018+50),FALSE)),SUMPRODUCT(--(TRIM('hospitalityq-nil'!C6:C676)=TRIM('hospitalityq-nil'!C676)),--(TRIM('hospitalityq-nil'!D6:D676)=TRIM('hospitalityq-nil'!D676)))&gt;1))</f>
        <v>0</v>
      </c>
      <c r="D676">
        <f>NOT('hospitalityq-nil'!D676="")*(OR(COUNTIF(reference!$C$144:$C$155,TRIM(LEFT('hospitalityq-nil'!D676,FIND(":",'hospitalityq-nil'!D676&amp;":")-1))&amp;":*")=0,SUMPRODUCT(--(TRIM('hospitalityq-nil'!C6:C676)=TRIM('hospitalityq-nil'!C676)),--(TRIM('hospitalityq-nil'!D6:D676)=TRIM('hospitalityq-nil'!D676)))&gt;1))</f>
        <v>0</v>
      </c>
    </row>
    <row r="677" spans="1:4" x14ac:dyDescent="0.25">
      <c r="A677">
        <f t="shared" si="10"/>
        <v>0</v>
      </c>
      <c r="C677">
        <f>NOT('hospitalityq-nil'!C677="")*(OR(NOT(IFERROR(AND(INT('hospitalityq-nil'!C677)='hospitalityq-nil'!C677,'hospitalityq-nil'!C677&gt;=2018-50,'hospitalityq-nil'!C677&lt;=2018+50),FALSE)),SUMPRODUCT(--(TRIM('hospitalityq-nil'!C6:C677)=TRIM('hospitalityq-nil'!C677)),--(TRIM('hospitalityq-nil'!D6:D677)=TRIM('hospitalityq-nil'!D677)))&gt;1))</f>
        <v>0</v>
      </c>
      <c r="D677">
        <f>NOT('hospitalityq-nil'!D677="")*(OR(COUNTIF(reference!$C$144:$C$155,TRIM(LEFT('hospitalityq-nil'!D677,FIND(":",'hospitalityq-nil'!D677&amp;":")-1))&amp;":*")=0,SUMPRODUCT(--(TRIM('hospitalityq-nil'!C6:C677)=TRIM('hospitalityq-nil'!C677)),--(TRIM('hospitalityq-nil'!D6:D677)=TRIM('hospitalityq-nil'!D677)))&gt;1))</f>
        <v>0</v>
      </c>
    </row>
    <row r="678" spans="1:4" x14ac:dyDescent="0.25">
      <c r="A678">
        <f t="shared" si="10"/>
        <v>0</v>
      </c>
      <c r="C678">
        <f>NOT('hospitalityq-nil'!C678="")*(OR(NOT(IFERROR(AND(INT('hospitalityq-nil'!C678)='hospitalityq-nil'!C678,'hospitalityq-nil'!C678&gt;=2018-50,'hospitalityq-nil'!C678&lt;=2018+50),FALSE)),SUMPRODUCT(--(TRIM('hospitalityq-nil'!C6:C678)=TRIM('hospitalityq-nil'!C678)),--(TRIM('hospitalityq-nil'!D6:D678)=TRIM('hospitalityq-nil'!D678)))&gt;1))</f>
        <v>0</v>
      </c>
      <c r="D678">
        <f>NOT('hospitalityq-nil'!D678="")*(OR(COUNTIF(reference!$C$144:$C$155,TRIM(LEFT('hospitalityq-nil'!D678,FIND(":",'hospitalityq-nil'!D678&amp;":")-1))&amp;":*")=0,SUMPRODUCT(--(TRIM('hospitalityq-nil'!C6:C678)=TRIM('hospitalityq-nil'!C678)),--(TRIM('hospitalityq-nil'!D6:D678)=TRIM('hospitalityq-nil'!D678)))&gt;1))</f>
        <v>0</v>
      </c>
    </row>
    <row r="679" spans="1:4" x14ac:dyDescent="0.25">
      <c r="A679">
        <f t="shared" si="10"/>
        <v>0</v>
      </c>
      <c r="C679">
        <f>NOT('hospitalityq-nil'!C679="")*(OR(NOT(IFERROR(AND(INT('hospitalityq-nil'!C679)='hospitalityq-nil'!C679,'hospitalityq-nil'!C679&gt;=2018-50,'hospitalityq-nil'!C679&lt;=2018+50),FALSE)),SUMPRODUCT(--(TRIM('hospitalityq-nil'!C6:C679)=TRIM('hospitalityq-nil'!C679)),--(TRIM('hospitalityq-nil'!D6:D679)=TRIM('hospitalityq-nil'!D679)))&gt;1))</f>
        <v>0</v>
      </c>
      <c r="D679">
        <f>NOT('hospitalityq-nil'!D679="")*(OR(COUNTIF(reference!$C$144:$C$155,TRIM(LEFT('hospitalityq-nil'!D679,FIND(":",'hospitalityq-nil'!D679&amp;":")-1))&amp;":*")=0,SUMPRODUCT(--(TRIM('hospitalityq-nil'!C6:C679)=TRIM('hospitalityq-nil'!C679)),--(TRIM('hospitalityq-nil'!D6:D679)=TRIM('hospitalityq-nil'!D679)))&gt;1))</f>
        <v>0</v>
      </c>
    </row>
    <row r="680" spans="1:4" x14ac:dyDescent="0.25">
      <c r="A680">
        <f t="shared" si="10"/>
        <v>0</v>
      </c>
      <c r="C680">
        <f>NOT('hospitalityq-nil'!C680="")*(OR(NOT(IFERROR(AND(INT('hospitalityq-nil'!C680)='hospitalityq-nil'!C680,'hospitalityq-nil'!C680&gt;=2018-50,'hospitalityq-nil'!C680&lt;=2018+50),FALSE)),SUMPRODUCT(--(TRIM('hospitalityq-nil'!C6:C680)=TRIM('hospitalityq-nil'!C680)),--(TRIM('hospitalityq-nil'!D6:D680)=TRIM('hospitalityq-nil'!D680)))&gt;1))</f>
        <v>0</v>
      </c>
      <c r="D680">
        <f>NOT('hospitalityq-nil'!D680="")*(OR(COUNTIF(reference!$C$144:$C$155,TRIM(LEFT('hospitalityq-nil'!D680,FIND(":",'hospitalityq-nil'!D680&amp;":")-1))&amp;":*")=0,SUMPRODUCT(--(TRIM('hospitalityq-nil'!C6:C680)=TRIM('hospitalityq-nil'!C680)),--(TRIM('hospitalityq-nil'!D6:D680)=TRIM('hospitalityq-nil'!D680)))&gt;1))</f>
        <v>0</v>
      </c>
    </row>
    <row r="681" spans="1:4" x14ac:dyDescent="0.25">
      <c r="A681">
        <f t="shared" si="10"/>
        <v>0</v>
      </c>
      <c r="C681">
        <f>NOT('hospitalityq-nil'!C681="")*(OR(NOT(IFERROR(AND(INT('hospitalityq-nil'!C681)='hospitalityq-nil'!C681,'hospitalityq-nil'!C681&gt;=2018-50,'hospitalityq-nil'!C681&lt;=2018+50),FALSE)),SUMPRODUCT(--(TRIM('hospitalityq-nil'!C6:C681)=TRIM('hospitalityq-nil'!C681)),--(TRIM('hospitalityq-nil'!D6:D681)=TRIM('hospitalityq-nil'!D681)))&gt;1))</f>
        <v>0</v>
      </c>
      <c r="D681">
        <f>NOT('hospitalityq-nil'!D681="")*(OR(COUNTIF(reference!$C$144:$C$155,TRIM(LEFT('hospitalityq-nil'!D681,FIND(":",'hospitalityq-nil'!D681&amp;":")-1))&amp;":*")=0,SUMPRODUCT(--(TRIM('hospitalityq-nil'!C6:C681)=TRIM('hospitalityq-nil'!C681)),--(TRIM('hospitalityq-nil'!D6:D681)=TRIM('hospitalityq-nil'!D681)))&gt;1))</f>
        <v>0</v>
      </c>
    </row>
    <row r="682" spans="1:4" x14ac:dyDescent="0.25">
      <c r="A682">
        <f t="shared" si="10"/>
        <v>0</v>
      </c>
      <c r="C682">
        <f>NOT('hospitalityq-nil'!C682="")*(OR(NOT(IFERROR(AND(INT('hospitalityq-nil'!C682)='hospitalityq-nil'!C682,'hospitalityq-nil'!C682&gt;=2018-50,'hospitalityq-nil'!C682&lt;=2018+50),FALSE)),SUMPRODUCT(--(TRIM('hospitalityq-nil'!C6:C682)=TRIM('hospitalityq-nil'!C682)),--(TRIM('hospitalityq-nil'!D6:D682)=TRIM('hospitalityq-nil'!D682)))&gt;1))</f>
        <v>0</v>
      </c>
      <c r="D682">
        <f>NOT('hospitalityq-nil'!D682="")*(OR(COUNTIF(reference!$C$144:$C$155,TRIM(LEFT('hospitalityq-nil'!D682,FIND(":",'hospitalityq-nil'!D682&amp;":")-1))&amp;":*")=0,SUMPRODUCT(--(TRIM('hospitalityq-nil'!C6:C682)=TRIM('hospitalityq-nil'!C682)),--(TRIM('hospitalityq-nil'!D6:D682)=TRIM('hospitalityq-nil'!D682)))&gt;1))</f>
        <v>0</v>
      </c>
    </row>
    <row r="683" spans="1:4" x14ac:dyDescent="0.25">
      <c r="A683">
        <f t="shared" si="10"/>
        <v>0</v>
      </c>
      <c r="C683">
        <f>NOT('hospitalityq-nil'!C683="")*(OR(NOT(IFERROR(AND(INT('hospitalityq-nil'!C683)='hospitalityq-nil'!C683,'hospitalityq-nil'!C683&gt;=2018-50,'hospitalityq-nil'!C683&lt;=2018+50),FALSE)),SUMPRODUCT(--(TRIM('hospitalityq-nil'!C6:C683)=TRIM('hospitalityq-nil'!C683)),--(TRIM('hospitalityq-nil'!D6:D683)=TRIM('hospitalityq-nil'!D683)))&gt;1))</f>
        <v>0</v>
      </c>
      <c r="D683">
        <f>NOT('hospitalityq-nil'!D683="")*(OR(COUNTIF(reference!$C$144:$C$155,TRIM(LEFT('hospitalityq-nil'!D683,FIND(":",'hospitalityq-nil'!D683&amp;":")-1))&amp;":*")=0,SUMPRODUCT(--(TRIM('hospitalityq-nil'!C6:C683)=TRIM('hospitalityq-nil'!C683)),--(TRIM('hospitalityq-nil'!D6:D683)=TRIM('hospitalityq-nil'!D683)))&gt;1))</f>
        <v>0</v>
      </c>
    </row>
    <row r="684" spans="1:4" x14ac:dyDescent="0.25">
      <c r="A684">
        <f t="shared" si="10"/>
        <v>0</v>
      </c>
      <c r="C684">
        <f>NOT('hospitalityq-nil'!C684="")*(OR(NOT(IFERROR(AND(INT('hospitalityq-nil'!C684)='hospitalityq-nil'!C684,'hospitalityq-nil'!C684&gt;=2018-50,'hospitalityq-nil'!C684&lt;=2018+50),FALSE)),SUMPRODUCT(--(TRIM('hospitalityq-nil'!C6:C684)=TRIM('hospitalityq-nil'!C684)),--(TRIM('hospitalityq-nil'!D6:D684)=TRIM('hospitalityq-nil'!D684)))&gt;1))</f>
        <v>0</v>
      </c>
      <c r="D684">
        <f>NOT('hospitalityq-nil'!D684="")*(OR(COUNTIF(reference!$C$144:$C$155,TRIM(LEFT('hospitalityq-nil'!D684,FIND(":",'hospitalityq-nil'!D684&amp;":")-1))&amp;":*")=0,SUMPRODUCT(--(TRIM('hospitalityq-nil'!C6:C684)=TRIM('hospitalityq-nil'!C684)),--(TRIM('hospitalityq-nil'!D6:D684)=TRIM('hospitalityq-nil'!D684)))&gt;1))</f>
        <v>0</v>
      </c>
    </row>
    <row r="685" spans="1:4" x14ac:dyDescent="0.25">
      <c r="A685">
        <f t="shared" si="10"/>
        <v>0</v>
      </c>
      <c r="C685">
        <f>NOT('hospitalityq-nil'!C685="")*(OR(NOT(IFERROR(AND(INT('hospitalityq-nil'!C685)='hospitalityq-nil'!C685,'hospitalityq-nil'!C685&gt;=2018-50,'hospitalityq-nil'!C685&lt;=2018+50),FALSE)),SUMPRODUCT(--(TRIM('hospitalityq-nil'!C6:C685)=TRIM('hospitalityq-nil'!C685)),--(TRIM('hospitalityq-nil'!D6:D685)=TRIM('hospitalityq-nil'!D685)))&gt;1))</f>
        <v>0</v>
      </c>
      <c r="D685">
        <f>NOT('hospitalityq-nil'!D685="")*(OR(COUNTIF(reference!$C$144:$C$155,TRIM(LEFT('hospitalityq-nil'!D685,FIND(":",'hospitalityq-nil'!D685&amp;":")-1))&amp;":*")=0,SUMPRODUCT(--(TRIM('hospitalityq-nil'!C6:C685)=TRIM('hospitalityq-nil'!C685)),--(TRIM('hospitalityq-nil'!D6:D685)=TRIM('hospitalityq-nil'!D685)))&gt;1))</f>
        <v>0</v>
      </c>
    </row>
    <row r="686" spans="1:4" x14ac:dyDescent="0.25">
      <c r="A686">
        <f t="shared" si="10"/>
        <v>0</v>
      </c>
      <c r="C686">
        <f>NOT('hospitalityq-nil'!C686="")*(OR(NOT(IFERROR(AND(INT('hospitalityq-nil'!C686)='hospitalityq-nil'!C686,'hospitalityq-nil'!C686&gt;=2018-50,'hospitalityq-nil'!C686&lt;=2018+50),FALSE)),SUMPRODUCT(--(TRIM('hospitalityq-nil'!C6:C686)=TRIM('hospitalityq-nil'!C686)),--(TRIM('hospitalityq-nil'!D6:D686)=TRIM('hospitalityq-nil'!D686)))&gt;1))</f>
        <v>0</v>
      </c>
      <c r="D686">
        <f>NOT('hospitalityq-nil'!D686="")*(OR(COUNTIF(reference!$C$144:$C$155,TRIM(LEFT('hospitalityq-nil'!D686,FIND(":",'hospitalityq-nil'!D686&amp;":")-1))&amp;":*")=0,SUMPRODUCT(--(TRIM('hospitalityq-nil'!C6:C686)=TRIM('hospitalityq-nil'!C686)),--(TRIM('hospitalityq-nil'!D6:D686)=TRIM('hospitalityq-nil'!D686)))&gt;1))</f>
        <v>0</v>
      </c>
    </row>
    <row r="687" spans="1:4" x14ac:dyDescent="0.25">
      <c r="A687">
        <f t="shared" si="10"/>
        <v>0</v>
      </c>
      <c r="C687">
        <f>NOT('hospitalityq-nil'!C687="")*(OR(NOT(IFERROR(AND(INT('hospitalityq-nil'!C687)='hospitalityq-nil'!C687,'hospitalityq-nil'!C687&gt;=2018-50,'hospitalityq-nil'!C687&lt;=2018+50),FALSE)),SUMPRODUCT(--(TRIM('hospitalityq-nil'!C6:C687)=TRIM('hospitalityq-nil'!C687)),--(TRIM('hospitalityq-nil'!D6:D687)=TRIM('hospitalityq-nil'!D687)))&gt;1))</f>
        <v>0</v>
      </c>
      <c r="D687">
        <f>NOT('hospitalityq-nil'!D687="")*(OR(COUNTIF(reference!$C$144:$C$155,TRIM(LEFT('hospitalityq-nil'!D687,FIND(":",'hospitalityq-nil'!D687&amp;":")-1))&amp;":*")=0,SUMPRODUCT(--(TRIM('hospitalityq-nil'!C6:C687)=TRIM('hospitalityq-nil'!C687)),--(TRIM('hospitalityq-nil'!D6:D687)=TRIM('hospitalityq-nil'!D687)))&gt;1))</f>
        <v>0</v>
      </c>
    </row>
    <row r="688" spans="1:4" x14ac:dyDescent="0.25">
      <c r="A688">
        <f t="shared" si="10"/>
        <v>0</v>
      </c>
      <c r="C688">
        <f>NOT('hospitalityq-nil'!C688="")*(OR(NOT(IFERROR(AND(INT('hospitalityq-nil'!C688)='hospitalityq-nil'!C688,'hospitalityq-nil'!C688&gt;=2018-50,'hospitalityq-nil'!C688&lt;=2018+50),FALSE)),SUMPRODUCT(--(TRIM('hospitalityq-nil'!C6:C688)=TRIM('hospitalityq-nil'!C688)),--(TRIM('hospitalityq-nil'!D6:D688)=TRIM('hospitalityq-nil'!D688)))&gt;1))</f>
        <v>0</v>
      </c>
      <c r="D688">
        <f>NOT('hospitalityq-nil'!D688="")*(OR(COUNTIF(reference!$C$144:$C$155,TRIM(LEFT('hospitalityq-nil'!D688,FIND(":",'hospitalityq-nil'!D688&amp;":")-1))&amp;":*")=0,SUMPRODUCT(--(TRIM('hospitalityq-nil'!C6:C688)=TRIM('hospitalityq-nil'!C688)),--(TRIM('hospitalityq-nil'!D6:D688)=TRIM('hospitalityq-nil'!D688)))&gt;1))</f>
        <v>0</v>
      </c>
    </row>
    <row r="689" spans="1:4" x14ac:dyDescent="0.25">
      <c r="A689">
        <f t="shared" si="10"/>
        <v>0</v>
      </c>
      <c r="C689">
        <f>NOT('hospitalityq-nil'!C689="")*(OR(NOT(IFERROR(AND(INT('hospitalityq-nil'!C689)='hospitalityq-nil'!C689,'hospitalityq-nil'!C689&gt;=2018-50,'hospitalityq-nil'!C689&lt;=2018+50),FALSE)),SUMPRODUCT(--(TRIM('hospitalityq-nil'!C6:C689)=TRIM('hospitalityq-nil'!C689)),--(TRIM('hospitalityq-nil'!D6:D689)=TRIM('hospitalityq-nil'!D689)))&gt;1))</f>
        <v>0</v>
      </c>
      <c r="D689">
        <f>NOT('hospitalityq-nil'!D689="")*(OR(COUNTIF(reference!$C$144:$C$155,TRIM(LEFT('hospitalityq-nil'!D689,FIND(":",'hospitalityq-nil'!D689&amp;":")-1))&amp;":*")=0,SUMPRODUCT(--(TRIM('hospitalityq-nil'!C6:C689)=TRIM('hospitalityq-nil'!C689)),--(TRIM('hospitalityq-nil'!D6:D689)=TRIM('hospitalityq-nil'!D689)))&gt;1))</f>
        <v>0</v>
      </c>
    </row>
    <row r="690" spans="1:4" x14ac:dyDescent="0.25">
      <c r="A690">
        <f t="shared" si="10"/>
        <v>0</v>
      </c>
      <c r="C690">
        <f>NOT('hospitalityq-nil'!C690="")*(OR(NOT(IFERROR(AND(INT('hospitalityq-nil'!C690)='hospitalityq-nil'!C690,'hospitalityq-nil'!C690&gt;=2018-50,'hospitalityq-nil'!C690&lt;=2018+50),FALSE)),SUMPRODUCT(--(TRIM('hospitalityq-nil'!C6:C690)=TRIM('hospitalityq-nil'!C690)),--(TRIM('hospitalityq-nil'!D6:D690)=TRIM('hospitalityq-nil'!D690)))&gt;1))</f>
        <v>0</v>
      </c>
      <c r="D690">
        <f>NOT('hospitalityq-nil'!D690="")*(OR(COUNTIF(reference!$C$144:$C$155,TRIM(LEFT('hospitalityq-nil'!D690,FIND(":",'hospitalityq-nil'!D690&amp;":")-1))&amp;":*")=0,SUMPRODUCT(--(TRIM('hospitalityq-nil'!C6:C690)=TRIM('hospitalityq-nil'!C690)),--(TRIM('hospitalityq-nil'!D6:D690)=TRIM('hospitalityq-nil'!D690)))&gt;1))</f>
        <v>0</v>
      </c>
    </row>
    <row r="691" spans="1:4" x14ac:dyDescent="0.25">
      <c r="A691">
        <f t="shared" si="10"/>
        <v>0</v>
      </c>
      <c r="C691">
        <f>NOT('hospitalityq-nil'!C691="")*(OR(NOT(IFERROR(AND(INT('hospitalityq-nil'!C691)='hospitalityq-nil'!C691,'hospitalityq-nil'!C691&gt;=2018-50,'hospitalityq-nil'!C691&lt;=2018+50),FALSE)),SUMPRODUCT(--(TRIM('hospitalityq-nil'!C6:C691)=TRIM('hospitalityq-nil'!C691)),--(TRIM('hospitalityq-nil'!D6:D691)=TRIM('hospitalityq-nil'!D691)))&gt;1))</f>
        <v>0</v>
      </c>
      <c r="D691">
        <f>NOT('hospitalityq-nil'!D691="")*(OR(COUNTIF(reference!$C$144:$C$155,TRIM(LEFT('hospitalityq-nil'!D691,FIND(":",'hospitalityq-nil'!D691&amp;":")-1))&amp;":*")=0,SUMPRODUCT(--(TRIM('hospitalityq-nil'!C6:C691)=TRIM('hospitalityq-nil'!C691)),--(TRIM('hospitalityq-nil'!D6:D691)=TRIM('hospitalityq-nil'!D691)))&gt;1))</f>
        <v>0</v>
      </c>
    </row>
    <row r="692" spans="1:4" x14ac:dyDescent="0.25">
      <c r="A692">
        <f t="shared" si="10"/>
        <v>0</v>
      </c>
      <c r="C692">
        <f>NOT('hospitalityq-nil'!C692="")*(OR(NOT(IFERROR(AND(INT('hospitalityq-nil'!C692)='hospitalityq-nil'!C692,'hospitalityq-nil'!C692&gt;=2018-50,'hospitalityq-nil'!C692&lt;=2018+50),FALSE)),SUMPRODUCT(--(TRIM('hospitalityq-nil'!C6:C692)=TRIM('hospitalityq-nil'!C692)),--(TRIM('hospitalityq-nil'!D6:D692)=TRIM('hospitalityq-nil'!D692)))&gt;1))</f>
        <v>0</v>
      </c>
      <c r="D692">
        <f>NOT('hospitalityq-nil'!D692="")*(OR(COUNTIF(reference!$C$144:$C$155,TRIM(LEFT('hospitalityq-nil'!D692,FIND(":",'hospitalityq-nil'!D692&amp;":")-1))&amp;":*")=0,SUMPRODUCT(--(TRIM('hospitalityq-nil'!C6:C692)=TRIM('hospitalityq-nil'!C692)),--(TRIM('hospitalityq-nil'!D6:D692)=TRIM('hospitalityq-nil'!D692)))&gt;1))</f>
        <v>0</v>
      </c>
    </row>
    <row r="693" spans="1:4" x14ac:dyDescent="0.25">
      <c r="A693">
        <f t="shared" si="10"/>
        <v>0</v>
      </c>
      <c r="C693">
        <f>NOT('hospitalityq-nil'!C693="")*(OR(NOT(IFERROR(AND(INT('hospitalityq-nil'!C693)='hospitalityq-nil'!C693,'hospitalityq-nil'!C693&gt;=2018-50,'hospitalityq-nil'!C693&lt;=2018+50),FALSE)),SUMPRODUCT(--(TRIM('hospitalityq-nil'!C6:C693)=TRIM('hospitalityq-nil'!C693)),--(TRIM('hospitalityq-nil'!D6:D693)=TRIM('hospitalityq-nil'!D693)))&gt;1))</f>
        <v>0</v>
      </c>
      <c r="D693">
        <f>NOT('hospitalityq-nil'!D693="")*(OR(COUNTIF(reference!$C$144:$C$155,TRIM(LEFT('hospitalityq-nil'!D693,FIND(":",'hospitalityq-nil'!D693&amp;":")-1))&amp;":*")=0,SUMPRODUCT(--(TRIM('hospitalityq-nil'!C6:C693)=TRIM('hospitalityq-nil'!C693)),--(TRIM('hospitalityq-nil'!D6:D693)=TRIM('hospitalityq-nil'!D693)))&gt;1))</f>
        <v>0</v>
      </c>
    </row>
    <row r="694" spans="1:4" x14ac:dyDescent="0.25">
      <c r="A694">
        <f t="shared" si="10"/>
        <v>0</v>
      </c>
      <c r="C694">
        <f>NOT('hospitalityq-nil'!C694="")*(OR(NOT(IFERROR(AND(INT('hospitalityq-nil'!C694)='hospitalityq-nil'!C694,'hospitalityq-nil'!C694&gt;=2018-50,'hospitalityq-nil'!C694&lt;=2018+50),FALSE)),SUMPRODUCT(--(TRIM('hospitalityq-nil'!C6:C694)=TRIM('hospitalityq-nil'!C694)),--(TRIM('hospitalityq-nil'!D6:D694)=TRIM('hospitalityq-nil'!D694)))&gt;1))</f>
        <v>0</v>
      </c>
      <c r="D694">
        <f>NOT('hospitalityq-nil'!D694="")*(OR(COUNTIF(reference!$C$144:$C$155,TRIM(LEFT('hospitalityq-nil'!D694,FIND(":",'hospitalityq-nil'!D694&amp;":")-1))&amp;":*")=0,SUMPRODUCT(--(TRIM('hospitalityq-nil'!C6:C694)=TRIM('hospitalityq-nil'!C694)),--(TRIM('hospitalityq-nil'!D6:D694)=TRIM('hospitalityq-nil'!D694)))&gt;1))</f>
        <v>0</v>
      </c>
    </row>
    <row r="695" spans="1:4" x14ac:dyDescent="0.25">
      <c r="A695">
        <f t="shared" si="10"/>
        <v>0</v>
      </c>
      <c r="C695">
        <f>NOT('hospitalityq-nil'!C695="")*(OR(NOT(IFERROR(AND(INT('hospitalityq-nil'!C695)='hospitalityq-nil'!C695,'hospitalityq-nil'!C695&gt;=2018-50,'hospitalityq-nil'!C695&lt;=2018+50),FALSE)),SUMPRODUCT(--(TRIM('hospitalityq-nil'!C6:C695)=TRIM('hospitalityq-nil'!C695)),--(TRIM('hospitalityq-nil'!D6:D695)=TRIM('hospitalityq-nil'!D695)))&gt;1))</f>
        <v>0</v>
      </c>
      <c r="D695">
        <f>NOT('hospitalityq-nil'!D695="")*(OR(COUNTIF(reference!$C$144:$C$155,TRIM(LEFT('hospitalityq-nil'!D695,FIND(":",'hospitalityq-nil'!D695&amp;":")-1))&amp;":*")=0,SUMPRODUCT(--(TRIM('hospitalityq-nil'!C6:C695)=TRIM('hospitalityq-nil'!C695)),--(TRIM('hospitalityq-nil'!D6:D695)=TRIM('hospitalityq-nil'!D695)))&gt;1))</f>
        <v>0</v>
      </c>
    </row>
    <row r="696" spans="1:4" x14ac:dyDescent="0.25">
      <c r="A696">
        <f t="shared" si="10"/>
        <v>0</v>
      </c>
      <c r="C696">
        <f>NOT('hospitalityq-nil'!C696="")*(OR(NOT(IFERROR(AND(INT('hospitalityq-nil'!C696)='hospitalityq-nil'!C696,'hospitalityq-nil'!C696&gt;=2018-50,'hospitalityq-nil'!C696&lt;=2018+50),FALSE)),SUMPRODUCT(--(TRIM('hospitalityq-nil'!C6:C696)=TRIM('hospitalityq-nil'!C696)),--(TRIM('hospitalityq-nil'!D6:D696)=TRIM('hospitalityq-nil'!D696)))&gt;1))</f>
        <v>0</v>
      </c>
      <c r="D696">
        <f>NOT('hospitalityq-nil'!D696="")*(OR(COUNTIF(reference!$C$144:$C$155,TRIM(LEFT('hospitalityq-nil'!D696,FIND(":",'hospitalityq-nil'!D696&amp;":")-1))&amp;":*")=0,SUMPRODUCT(--(TRIM('hospitalityq-nil'!C6:C696)=TRIM('hospitalityq-nil'!C696)),--(TRIM('hospitalityq-nil'!D6:D696)=TRIM('hospitalityq-nil'!D696)))&gt;1))</f>
        <v>0</v>
      </c>
    </row>
    <row r="697" spans="1:4" x14ac:dyDescent="0.25">
      <c r="A697">
        <f t="shared" si="10"/>
        <v>0</v>
      </c>
      <c r="C697">
        <f>NOT('hospitalityq-nil'!C697="")*(OR(NOT(IFERROR(AND(INT('hospitalityq-nil'!C697)='hospitalityq-nil'!C697,'hospitalityq-nil'!C697&gt;=2018-50,'hospitalityq-nil'!C697&lt;=2018+50),FALSE)),SUMPRODUCT(--(TRIM('hospitalityq-nil'!C6:C697)=TRIM('hospitalityq-nil'!C697)),--(TRIM('hospitalityq-nil'!D6:D697)=TRIM('hospitalityq-nil'!D697)))&gt;1))</f>
        <v>0</v>
      </c>
      <c r="D697">
        <f>NOT('hospitalityq-nil'!D697="")*(OR(COUNTIF(reference!$C$144:$C$155,TRIM(LEFT('hospitalityq-nil'!D697,FIND(":",'hospitalityq-nil'!D697&amp;":")-1))&amp;":*")=0,SUMPRODUCT(--(TRIM('hospitalityq-nil'!C6:C697)=TRIM('hospitalityq-nil'!C697)),--(TRIM('hospitalityq-nil'!D6:D697)=TRIM('hospitalityq-nil'!D697)))&gt;1))</f>
        <v>0</v>
      </c>
    </row>
    <row r="698" spans="1:4" x14ac:dyDescent="0.25">
      <c r="A698">
        <f t="shared" si="10"/>
        <v>0</v>
      </c>
      <c r="C698">
        <f>NOT('hospitalityq-nil'!C698="")*(OR(NOT(IFERROR(AND(INT('hospitalityq-nil'!C698)='hospitalityq-nil'!C698,'hospitalityq-nil'!C698&gt;=2018-50,'hospitalityq-nil'!C698&lt;=2018+50),FALSE)),SUMPRODUCT(--(TRIM('hospitalityq-nil'!C6:C698)=TRIM('hospitalityq-nil'!C698)),--(TRIM('hospitalityq-nil'!D6:D698)=TRIM('hospitalityq-nil'!D698)))&gt;1))</f>
        <v>0</v>
      </c>
      <c r="D698">
        <f>NOT('hospitalityq-nil'!D698="")*(OR(COUNTIF(reference!$C$144:$C$155,TRIM(LEFT('hospitalityq-nil'!D698,FIND(":",'hospitalityq-nil'!D698&amp;":")-1))&amp;":*")=0,SUMPRODUCT(--(TRIM('hospitalityq-nil'!C6:C698)=TRIM('hospitalityq-nil'!C698)),--(TRIM('hospitalityq-nil'!D6:D698)=TRIM('hospitalityq-nil'!D698)))&gt;1))</f>
        <v>0</v>
      </c>
    </row>
    <row r="699" spans="1:4" x14ac:dyDescent="0.25">
      <c r="A699">
        <f t="shared" si="10"/>
        <v>0</v>
      </c>
      <c r="C699">
        <f>NOT('hospitalityq-nil'!C699="")*(OR(NOT(IFERROR(AND(INT('hospitalityq-nil'!C699)='hospitalityq-nil'!C699,'hospitalityq-nil'!C699&gt;=2018-50,'hospitalityq-nil'!C699&lt;=2018+50),FALSE)),SUMPRODUCT(--(TRIM('hospitalityq-nil'!C6:C699)=TRIM('hospitalityq-nil'!C699)),--(TRIM('hospitalityq-nil'!D6:D699)=TRIM('hospitalityq-nil'!D699)))&gt;1))</f>
        <v>0</v>
      </c>
      <c r="D699">
        <f>NOT('hospitalityq-nil'!D699="")*(OR(COUNTIF(reference!$C$144:$C$155,TRIM(LEFT('hospitalityq-nil'!D699,FIND(":",'hospitalityq-nil'!D699&amp;":")-1))&amp;":*")=0,SUMPRODUCT(--(TRIM('hospitalityq-nil'!C6:C699)=TRIM('hospitalityq-nil'!C699)),--(TRIM('hospitalityq-nil'!D6:D699)=TRIM('hospitalityq-nil'!D699)))&gt;1))</f>
        <v>0</v>
      </c>
    </row>
    <row r="700" spans="1:4" x14ac:dyDescent="0.25">
      <c r="A700">
        <f t="shared" si="10"/>
        <v>0</v>
      </c>
      <c r="C700">
        <f>NOT('hospitalityq-nil'!C700="")*(OR(NOT(IFERROR(AND(INT('hospitalityq-nil'!C700)='hospitalityq-nil'!C700,'hospitalityq-nil'!C700&gt;=2018-50,'hospitalityq-nil'!C700&lt;=2018+50),FALSE)),SUMPRODUCT(--(TRIM('hospitalityq-nil'!C6:C700)=TRIM('hospitalityq-nil'!C700)),--(TRIM('hospitalityq-nil'!D6:D700)=TRIM('hospitalityq-nil'!D700)))&gt;1))</f>
        <v>0</v>
      </c>
      <c r="D700">
        <f>NOT('hospitalityq-nil'!D700="")*(OR(COUNTIF(reference!$C$144:$C$155,TRIM(LEFT('hospitalityq-nil'!D700,FIND(":",'hospitalityq-nil'!D700&amp;":")-1))&amp;":*")=0,SUMPRODUCT(--(TRIM('hospitalityq-nil'!C6:C700)=TRIM('hospitalityq-nil'!C700)),--(TRIM('hospitalityq-nil'!D6:D700)=TRIM('hospitalityq-nil'!D700)))&gt;1))</f>
        <v>0</v>
      </c>
    </row>
    <row r="701" spans="1:4" x14ac:dyDescent="0.25">
      <c r="A701">
        <f t="shared" si="10"/>
        <v>0</v>
      </c>
      <c r="C701">
        <f>NOT('hospitalityq-nil'!C701="")*(OR(NOT(IFERROR(AND(INT('hospitalityq-nil'!C701)='hospitalityq-nil'!C701,'hospitalityq-nil'!C701&gt;=2018-50,'hospitalityq-nil'!C701&lt;=2018+50),FALSE)),SUMPRODUCT(--(TRIM('hospitalityq-nil'!C6:C701)=TRIM('hospitalityq-nil'!C701)),--(TRIM('hospitalityq-nil'!D6:D701)=TRIM('hospitalityq-nil'!D701)))&gt;1))</f>
        <v>0</v>
      </c>
      <c r="D701">
        <f>NOT('hospitalityq-nil'!D701="")*(OR(COUNTIF(reference!$C$144:$C$155,TRIM(LEFT('hospitalityq-nil'!D701,FIND(":",'hospitalityq-nil'!D701&amp;":")-1))&amp;":*")=0,SUMPRODUCT(--(TRIM('hospitalityq-nil'!C6:C701)=TRIM('hospitalityq-nil'!C701)),--(TRIM('hospitalityq-nil'!D6:D701)=TRIM('hospitalityq-nil'!D701)))&gt;1))</f>
        <v>0</v>
      </c>
    </row>
    <row r="702" spans="1:4" x14ac:dyDescent="0.25">
      <c r="A702">
        <f t="shared" si="10"/>
        <v>0</v>
      </c>
      <c r="C702">
        <f>NOT('hospitalityq-nil'!C702="")*(OR(NOT(IFERROR(AND(INT('hospitalityq-nil'!C702)='hospitalityq-nil'!C702,'hospitalityq-nil'!C702&gt;=2018-50,'hospitalityq-nil'!C702&lt;=2018+50),FALSE)),SUMPRODUCT(--(TRIM('hospitalityq-nil'!C6:C702)=TRIM('hospitalityq-nil'!C702)),--(TRIM('hospitalityq-nil'!D6:D702)=TRIM('hospitalityq-nil'!D702)))&gt;1))</f>
        <v>0</v>
      </c>
      <c r="D702">
        <f>NOT('hospitalityq-nil'!D702="")*(OR(COUNTIF(reference!$C$144:$C$155,TRIM(LEFT('hospitalityq-nil'!D702,FIND(":",'hospitalityq-nil'!D702&amp;":")-1))&amp;":*")=0,SUMPRODUCT(--(TRIM('hospitalityq-nil'!C6:C702)=TRIM('hospitalityq-nil'!C702)),--(TRIM('hospitalityq-nil'!D6:D702)=TRIM('hospitalityq-nil'!D702)))&gt;1))</f>
        <v>0</v>
      </c>
    </row>
    <row r="703" spans="1:4" x14ac:dyDescent="0.25">
      <c r="A703">
        <f t="shared" si="10"/>
        <v>0</v>
      </c>
      <c r="C703">
        <f>NOT('hospitalityq-nil'!C703="")*(OR(NOT(IFERROR(AND(INT('hospitalityq-nil'!C703)='hospitalityq-nil'!C703,'hospitalityq-nil'!C703&gt;=2018-50,'hospitalityq-nil'!C703&lt;=2018+50),FALSE)),SUMPRODUCT(--(TRIM('hospitalityq-nil'!C6:C703)=TRIM('hospitalityq-nil'!C703)),--(TRIM('hospitalityq-nil'!D6:D703)=TRIM('hospitalityq-nil'!D703)))&gt;1))</f>
        <v>0</v>
      </c>
      <c r="D703">
        <f>NOT('hospitalityq-nil'!D703="")*(OR(COUNTIF(reference!$C$144:$C$155,TRIM(LEFT('hospitalityq-nil'!D703,FIND(":",'hospitalityq-nil'!D703&amp;":")-1))&amp;":*")=0,SUMPRODUCT(--(TRIM('hospitalityq-nil'!C6:C703)=TRIM('hospitalityq-nil'!C703)),--(TRIM('hospitalityq-nil'!D6:D703)=TRIM('hospitalityq-nil'!D703)))&gt;1))</f>
        <v>0</v>
      </c>
    </row>
    <row r="704" spans="1:4" x14ac:dyDescent="0.25">
      <c r="A704">
        <f t="shared" si="10"/>
        <v>0</v>
      </c>
      <c r="C704">
        <f>NOT('hospitalityq-nil'!C704="")*(OR(NOT(IFERROR(AND(INT('hospitalityq-nil'!C704)='hospitalityq-nil'!C704,'hospitalityq-nil'!C704&gt;=2018-50,'hospitalityq-nil'!C704&lt;=2018+50),FALSE)),SUMPRODUCT(--(TRIM('hospitalityq-nil'!C6:C704)=TRIM('hospitalityq-nil'!C704)),--(TRIM('hospitalityq-nil'!D6:D704)=TRIM('hospitalityq-nil'!D704)))&gt;1))</f>
        <v>0</v>
      </c>
      <c r="D704">
        <f>NOT('hospitalityq-nil'!D704="")*(OR(COUNTIF(reference!$C$144:$C$155,TRIM(LEFT('hospitalityq-nil'!D704,FIND(":",'hospitalityq-nil'!D704&amp;":")-1))&amp;":*")=0,SUMPRODUCT(--(TRIM('hospitalityq-nil'!C6:C704)=TRIM('hospitalityq-nil'!C704)),--(TRIM('hospitalityq-nil'!D6:D704)=TRIM('hospitalityq-nil'!D704)))&gt;1))</f>
        <v>0</v>
      </c>
    </row>
    <row r="705" spans="1:4" x14ac:dyDescent="0.25">
      <c r="A705">
        <f t="shared" si="10"/>
        <v>0</v>
      </c>
      <c r="C705">
        <f>NOT('hospitalityq-nil'!C705="")*(OR(NOT(IFERROR(AND(INT('hospitalityq-nil'!C705)='hospitalityq-nil'!C705,'hospitalityq-nil'!C705&gt;=2018-50,'hospitalityq-nil'!C705&lt;=2018+50),FALSE)),SUMPRODUCT(--(TRIM('hospitalityq-nil'!C6:C705)=TRIM('hospitalityq-nil'!C705)),--(TRIM('hospitalityq-nil'!D6:D705)=TRIM('hospitalityq-nil'!D705)))&gt;1))</f>
        <v>0</v>
      </c>
      <c r="D705">
        <f>NOT('hospitalityq-nil'!D705="")*(OR(COUNTIF(reference!$C$144:$C$155,TRIM(LEFT('hospitalityq-nil'!D705,FIND(":",'hospitalityq-nil'!D705&amp;":")-1))&amp;":*")=0,SUMPRODUCT(--(TRIM('hospitalityq-nil'!C6:C705)=TRIM('hospitalityq-nil'!C705)),--(TRIM('hospitalityq-nil'!D6:D705)=TRIM('hospitalityq-nil'!D705)))&gt;1))</f>
        <v>0</v>
      </c>
    </row>
    <row r="706" spans="1:4" x14ac:dyDescent="0.25">
      <c r="A706">
        <f t="shared" si="10"/>
        <v>0</v>
      </c>
      <c r="C706">
        <f>NOT('hospitalityq-nil'!C706="")*(OR(NOT(IFERROR(AND(INT('hospitalityq-nil'!C706)='hospitalityq-nil'!C706,'hospitalityq-nil'!C706&gt;=2018-50,'hospitalityq-nil'!C706&lt;=2018+50),FALSE)),SUMPRODUCT(--(TRIM('hospitalityq-nil'!C6:C706)=TRIM('hospitalityq-nil'!C706)),--(TRIM('hospitalityq-nil'!D6:D706)=TRIM('hospitalityq-nil'!D706)))&gt;1))</f>
        <v>0</v>
      </c>
      <c r="D706">
        <f>NOT('hospitalityq-nil'!D706="")*(OR(COUNTIF(reference!$C$144:$C$155,TRIM(LEFT('hospitalityq-nil'!D706,FIND(":",'hospitalityq-nil'!D706&amp;":")-1))&amp;":*")=0,SUMPRODUCT(--(TRIM('hospitalityq-nil'!C6:C706)=TRIM('hospitalityq-nil'!C706)),--(TRIM('hospitalityq-nil'!D6:D706)=TRIM('hospitalityq-nil'!D706)))&gt;1))</f>
        <v>0</v>
      </c>
    </row>
    <row r="707" spans="1:4" x14ac:dyDescent="0.25">
      <c r="A707">
        <f t="shared" si="10"/>
        <v>0</v>
      </c>
      <c r="C707">
        <f>NOT('hospitalityq-nil'!C707="")*(OR(NOT(IFERROR(AND(INT('hospitalityq-nil'!C707)='hospitalityq-nil'!C707,'hospitalityq-nil'!C707&gt;=2018-50,'hospitalityq-nil'!C707&lt;=2018+50),FALSE)),SUMPRODUCT(--(TRIM('hospitalityq-nil'!C6:C707)=TRIM('hospitalityq-nil'!C707)),--(TRIM('hospitalityq-nil'!D6:D707)=TRIM('hospitalityq-nil'!D707)))&gt;1))</f>
        <v>0</v>
      </c>
      <c r="D707">
        <f>NOT('hospitalityq-nil'!D707="")*(OR(COUNTIF(reference!$C$144:$C$155,TRIM(LEFT('hospitalityq-nil'!D707,FIND(":",'hospitalityq-nil'!D707&amp;":")-1))&amp;":*")=0,SUMPRODUCT(--(TRIM('hospitalityq-nil'!C6:C707)=TRIM('hospitalityq-nil'!C707)),--(TRIM('hospitalityq-nil'!D6:D707)=TRIM('hospitalityq-nil'!D707)))&gt;1))</f>
        <v>0</v>
      </c>
    </row>
    <row r="708" spans="1:4" x14ac:dyDescent="0.25">
      <c r="A708">
        <f t="shared" si="10"/>
        <v>0</v>
      </c>
      <c r="C708">
        <f>NOT('hospitalityq-nil'!C708="")*(OR(NOT(IFERROR(AND(INT('hospitalityq-nil'!C708)='hospitalityq-nil'!C708,'hospitalityq-nil'!C708&gt;=2018-50,'hospitalityq-nil'!C708&lt;=2018+50),FALSE)),SUMPRODUCT(--(TRIM('hospitalityq-nil'!C6:C708)=TRIM('hospitalityq-nil'!C708)),--(TRIM('hospitalityq-nil'!D6:D708)=TRIM('hospitalityq-nil'!D708)))&gt;1))</f>
        <v>0</v>
      </c>
      <c r="D708">
        <f>NOT('hospitalityq-nil'!D708="")*(OR(COUNTIF(reference!$C$144:$C$155,TRIM(LEFT('hospitalityq-nil'!D708,FIND(":",'hospitalityq-nil'!D708&amp;":")-1))&amp;":*")=0,SUMPRODUCT(--(TRIM('hospitalityq-nil'!C6:C708)=TRIM('hospitalityq-nil'!C708)),--(TRIM('hospitalityq-nil'!D6:D708)=TRIM('hospitalityq-nil'!D708)))&gt;1))</f>
        <v>0</v>
      </c>
    </row>
    <row r="709" spans="1:4" x14ac:dyDescent="0.25">
      <c r="A709">
        <f t="shared" si="10"/>
        <v>0</v>
      </c>
      <c r="C709">
        <f>NOT('hospitalityq-nil'!C709="")*(OR(NOT(IFERROR(AND(INT('hospitalityq-nil'!C709)='hospitalityq-nil'!C709,'hospitalityq-nil'!C709&gt;=2018-50,'hospitalityq-nil'!C709&lt;=2018+50),FALSE)),SUMPRODUCT(--(TRIM('hospitalityq-nil'!C6:C709)=TRIM('hospitalityq-nil'!C709)),--(TRIM('hospitalityq-nil'!D6:D709)=TRIM('hospitalityq-nil'!D709)))&gt;1))</f>
        <v>0</v>
      </c>
      <c r="D709">
        <f>NOT('hospitalityq-nil'!D709="")*(OR(COUNTIF(reference!$C$144:$C$155,TRIM(LEFT('hospitalityq-nil'!D709,FIND(":",'hospitalityq-nil'!D709&amp;":")-1))&amp;":*")=0,SUMPRODUCT(--(TRIM('hospitalityq-nil'!C6:C709)=TRIM('hospitalityq-nil'!C709)),--(TRIM('hospitalityq-nil'!D6:D709)=TRIM('hospitalityq-nil'!D709)))&gt;1))</f>
        <v>0</v>
      </c>
    </row>
    <row r="710" spans="1:4" x14ac:dyDescent="0.25">
      <c r="A710">
        <f t="shared" ref="A710:A773" si="11">IFERROR(MATCH(TRUE,INDEX(C710:D710&lt;&gt;0,),)+2,0)</f>
        <v>0</v>
      </c>
      <c r="C710">
        <f>NOT('hospitalityq-nil'!C710="")*(OR(NOT(IFERROR(AND(INT('hospitalityq-nil'!C710)='hospitalityq-nil'!C710,'hospitalityq-nil'!C710&gt;=2018-50,'hospitalityq-nil'!C710&lt;=2018+50),FALSE)),SUMPRODUCT(--(TRIM('hospitalityq-nil'!C6:C710)=TRIM('hospitalityq-nil'!C710)),--(TRIM('hospitalityq-nil'!D6:D710)=TRIM('hospitalityq-nil'!D710)))&gt;1))</f>
        <v>0</v>
      </c>
      <c r="D710">
        <f>NOT('hospitalityq-nil'!D710="")*(OR(COUNTIF(reference!$C$144:$C$155,TRIM(LEFT('hospitalityq-nil'!D710,FIND(":",'hospitalityq-nil'!D710&amp;":")-1))&amp;":*")=0,SUMPRODUCT(--(TRIM('hospitalityq-nil'!C6:C710)=TRIM('hospitalityq-nil'!C710)),--(TRIM('hospitalityq-nil'!D6:D710)=TRIM('hospitalityq-nil'!D710)))&gt;1))</f>
        <v>0</v>
      </c>
    </row>
    <row r="711" spans="1:4" x14ac:dyDescent="0.25">
      <c r="A711">
        <f t="shared" si="11"/>
        <v>0</v>
      </c>
      <c r="C711">
        <f>NOT('hospitalityq-nil'!C711="")*(OR(NOT(IFERROR(AND(INT('hospitalityq-nil'!C711)='hospitalityq-nil'!C711,'hospitalityq-nil'!C711&gt;=2018-50,'hospitalityq-nil'!C711&lt;=2018+50),FALSE)),SUMPRODUCT(--(TRIM('hospitalityq-nil'!C6:C711)=TRIM('hospitalityq-nil'!C711)),--(TRIM('hospitalityq-nil'!D6:D711)=TRIM('hospitalityq-nil'!D711)))&gt;1))</f>
        <v>0</v>
      </c>
      <c r="D711">
        <f>NOT('hospitalityq-nil'!D711="")*(OR(COUNTIF(reference!$C$144:$C$155,TRIM(LEFT('hospitalityq-nil'!D711,FIND(":",'hospitalityq-nil'!D711&amp;":")-1))&amp;":*")=0,SUMPRODUCT(--(TRIM('hospitalityq-nil'!C6:C711)=TRIM('hospitalityq-nil'!C711)),--(TRIM('hospitalityq-nil'!D6:D711)=TRIM('hospitalityq-nil'!D711)))&gt;1))</f>
        <v>0</v>
      </c>
    </row>
    <row r="712" spans="1:4" x14ac:dyDescent="0.25">
      <c r="A712">
        <f t="shared" si="11"/>
        <v>0</v>
      </c>
      <c r="C712">
        <f>NOT('hospitalityq-nil'!C712="")*(OR(NOT(IFERROR(AND(INT('hospitalityq-nil'!C712)='hospitalityq-nil'!C712,'hospitalityq-nil'!C712&gt;=2018-50,'hospitalityq-nil'!C712&lt;=2018+50),FALSE)),SUMPRODUCT(--(TRIM('hospitalityq-nil'!C6:C712)=TRIM('hospitalityq-nil'!C712)),--(TRIM('hospitalityq-nil'!D6:D712)=TRIM('hospitalityq-nil'!D712)))&gt;1))</f>
        <v>0</v>
      </c>
      <c r="D712">
        <f>NOT('hospitalityq-nil'!D712="")*(OR(COUNTIF(reference!$C$144:$C$155,TRIM(LEFT('hospitalityq-nil'!D712,FIND(":",'hospitalityq-nil'!D712&amp;":")-1))&amp;":*")=0,SUMPRODUCT(--(TRIM('hospitalityq-nil'!C6:C712)=TRIM('hospitalityq-nil'!C712)),--(TRIM('hospitalityq-nil'!D6:D712)=TRIM('hospitalityq-nil'!D712)))&gt;1))</f>
        <v>0</v>
      </c>
    </row>
    <row r="713" spans="1:4" x14ac:dyDescent="0.25">
      <c r="A713">
        <f t="shared" si="11"/>
        <v>0</v>
      </c>
      <c r="C713">
        <f>NOT('hospitalityq-nil'!C713="")*(OR(NOT(IFERROR(AND(INT('hospitalityq-nil'!C713)='hospitalityq-nil'!C713,'hospitalityq-nil'!C713&gt;=2018-50,'hospitalityq-nil'!C713&lt;=2018+50),FALSE)),SUMPRODUCT(--(TRIM('hospitalityq-nil'!C6:C713)=TRIM('hospitalityq-nil'!C713)),--(TRIM('hospitalityq-nil'!D6:D713)=TRIM('hospitalityq-nil'!D713)))&gt;1))</f>
        <v>0</v>
      </c>
      <c r="D713">
        <f>NOT('hospitalityq-nil'!D713="")*(OR(COUNTIF(reference!$C$144:$C$155,TRIM(LEFT('hospitalityq-nil'!D713,FIND(":",'hospitalityq-nil'!D713&amp;":")-1))&amp;":*")=0,SUMPRODUCT(--(TRIM('hospitalityq-nil'!C6:C713)=TRIM('hospitalityq-nil'!C713)),--(TRIM('hospitalityq-nil'!D6:D713)=TRIM('hospitalityq-nil'!D713)))&gt;1))</f>
        <v>0</v>
      </c>
    </row>
    <row r="714" spans="1:4" x14ac:dyDescent="0.25">
      <c r="A714">
        <f t="shared" si="11"/>
        <v>0</v>
      </c>
      <c r="C714">
        <f>NOT('hospitalityq-nil'!C714="")*(OR(NOT(IFERROR(AND(INT('hospitalityq-nil'!C714)='hospitalityq-nil'!C714,'hospitalityq-nil'!C714&gt;=2018-50,'hospitalityq-nil'!C714&lt;=2018+50),FALSE)),SUMPRODUCT(--(TRIM('hospitalityq-nil'!C6:C714)=TRIM('hospitalityq-nil'!C714)),--(TRIM('hospitalityq-nil'!D6:D714)=TRIM('hospitalityq-nil'!D714)))&gt;1))</f>
        <v>0</v>
      </c>
      <c r="D714">
        <f>NOT('hospitalityq-nil'!D714="")*(OR(COUNTIF(reference!$C$144:$C$155,TRIM(LEFT('hospitalityq-nil'!D714,FIND(":",'hospitalityq-nil'!D714&amp;":")-1))&amp;":*")=0,SUMPRODUCT(--(TRIM('hospitalityq-nil'!C6:C714)=TRIM('hospitalityq-nil'!C714)),--(TRIM('hospitalityq-nil'!D6:D714)=TRIM('hospitalityq-nil'!D714)))&gt;1))</f>
        <v>0</v>
      </c>
    </row>
    <row r="715" spans="1:4" x14ac:dyDescent="0.25">
      <c r="A715">
        <f t="shared" si="11"/>
        <v>0</v>
      </c>
      <c r="C715">
        <f>NOT('hospitalityq-nil'!C715="")*(OR(NOT(IFERROR(AND(INT('hospitalityq-nil'!C715)='hospitalityq-nil'!C715,'hospitalityq-nil'!C715&gt;=2018-50,'hospitalityq-nil'!C715&lt;=2018+50),FALSE)),SUMPRODUCT(--(TRIM('hospitalityq-nil'!C6:C715)=TRIM('hospitalityq-nil'!C715)),--(TRIM('hospitalityq-nil'!D6:D715)=TRIM('hospitalityq-nil'!D715)))&gt;1))</f>
        <v>0</v>
      </c>
      <c r="D715">
        <f>NOT('hospitalityq-nil'!D715="")*(OR(COUNTIF(reference!$C$144:$C$155,TRIM(LEFT('hospitalityq-nil'!D715,FIND(":",'hospitalityq-nil'!D715&amp;":")-1))&amp;":*")=0,SUMPRODUCT(--(TRIM('hospitalityq-nil'!C6:C715)=TRIM('hospitalityq-nil'!C715)),--(TRIM('hospitalityq-nil'!D6:D715)=TRIM('hospitalityq-nil'!D715)))&gt;1))</f>
        <v>0</v>
      </c>
    </row>
    <row r="716" spans="1:4" x14ac:dyDescent="0.25">
      <c r="A716">
        <f t="shared" si="11"/>
        <v>0</v>
      </c>
      <c r="C716">
        <f>NOT('hospitalityq-nil'!C716="")*(OR(NOT(IFERROR(AND(INT('hospitalityq-nil'!C716)='hospitalityq-nil'!C716,'hospitalityq-nil'!C716&gt;=2018-50,'hospitalityq-nil'!C716&lt;=2018+50),FALSE)),SUMPRODUCT(--(TRIM('hospitalityq-nil'!C6:C716)=TRIM('hospitalityq-nil'!C716)),--(TRIM('hospitalityq-nil'!D6:D716)=TRIM('hospitalityq-nil'!D716)))&gt;1))</f>
        <v>0</v>
      </c>
      <c r="D716">
        <f>NOT('hospitalityq-nil'!D716="")*(OR(COUNTIF(reference!$C$144:$C$155,TRIM(LEFT('hospitalityq-nil'!D716,FIND(":",'hospitalityq-nil'!D716&amp;":")-1))&amp;":*")=0,SUMPRODUCT(--(TRIM('hospitalityq-nil'!C6:C716)=TRIM('hospitalityq-nil'!C716)),--(TRIM('hospitalityq-nil'!D6:D716)=TRIM('hospitalityq-nil'!D716)))&gt;1))</f>
        <v>0</v>
      </c>
    </row>
    <row r="717" spans="1:4" x14ac:dyDescent="0.25">
      <c r="A717">
        <f t="shared" si="11"/>
        <v>0</v>
      </c>
      <c r="C717">
        <f>NOT('hospitalityq-nil'!C717="")*(OR(NOT(IFERROR(AND(INT('hospitalityq-nil'!C717)='hospitalityq-nil'!C717,'hospitalityq-nil'!C717&gt;=2018-50,'hospitalityq-nil'!C717&lt;=2018+50),FALSE)),SUMPRODUCT(--(TRIM('hospitalityq-nil'!C6:C717)=TRIM('hospitalityq-nil'!C717)),--(TRIM('hospitalityq-nil'!D6:D717)=TRIM('hospitalityq-nil'!D717)))&gt;1))</f>
        <v>0</v>
      </c>
      <c r="D717">
        <f>NOT('hospitalityq-nil'!D717="")*(OR(COUNTIF(reference!$C$144:$C$155,TRIM(LEFT('hospitalityq-nil'!D717,FIND(":",'hospitalityq-nil'!D717&amp;":")-1))&amp;":*")=0,SUMPRODUCT(--(TRIM('hospitalityq-nil'!C6:C717)=TRIM('hospitalityq-nil'!C717)),--(TRIM('hospitalityq-nil'!D6:D717)=TRIM('hospitalityq-nil'!D717)))&gt;1))</f>
        <v>0</v>
      </c>
    </row>
    <row r="718" spans="1:4" x14ac:dyDescent="0.25">
      <c r="A718">
        <f t="shared" si="11"/>
        <v>0</v>
      </c>
      <c r="C718">
        <f>NOT('hospitalityq-nil'!C718="")*(OR(NOT(IFERROR(AND(INT('hospitalityq-nil'!C718)='hospitalityq-nil'!C718,'hospitalityq-nil'!C718&gt;=2018-50,'hospitalityq-nil'!C718&lt;=2018+50),FALSE)),SUMPRODUCT(--(TRIM('hospitalityq-nil'!C6:C718)=TRIM('hospitalityq-nil'!C718)),--(TRIM('hospitalityq-nil'!D6:D718)=TRIM('hospitalityq-nil'!D718)))&gt;1))</f>
        <v>0</v>
      </c>
      <c r="D718">
        <f>NOT('hospitalityq-nil'!D718="")*(OR(COUNTIF(reference!$C$144:$C$155,TRIM(LEFT('hospitalityq-nil'!D718,FIND(":",'hospitalityq-nil'!D718&amp;":")-1))&amp;":*")=0,SUMPRODUCT(--(TRIM('hospitalityq-nil'!C6:C718)=TRIM('hospitalityq-nil'!C718)),--(TRIM('hospitalityq-nil'!D6:D718)=TRIM('hospitalityq-nil'!D718)))&gt;1))</f>
        <v>0</v>
      </c>
    </row>
    <row r="719" spans="1:4" x14ac:dyDescent="0.25">
      <c r="A719">
        <f t="shared" si="11"/>
        <v>0</v>
      </c>
      <c r="C719">
        <f>NOT('hospitalityq-nil'!C719="")*(OR(NOT(IFERROR(AND(INT('hospitalityq-nil'!C719)='hospitalityq-nil'!C719,'hospitalityq-nil'!C719&gt;=2018-50,'hospitalityq-nil'!C719&lt;=2018+50),FALSE)),SUMPRODUCT(--(TRIM('hospitalityq-nil'!C6:C719)=TRIM('hospitalityq-nil'!C719)),--(TRIM('hospitalityq-nil'!D6:D719)=TRIM('hospitalityq-nil'!D719)))&gt;1))</f>
        <v>0</v>
      </c>
      <c r="D719">
        <f>NOT('hospitalityq-nil'!D719="")*(OR(COUNTIF(reference!$C$144:$C$155,TRIM(LEFT('hospitalityq-nil'!D719,FIND(":",'hospitalityq-nil'!D719&amp;":")-1))&amp;":*")=0,SUMPRODUCT(--(TRIM('hospitalityq-nil'!C6:C719)=TRIM('hospitalityq-nil'!C719)),--(TRIM('hospitalityq-nil'!D6:D719)=TRIM('hospitalityq-nil'!D719)))&gt;1))</f>
        <v>0</v>
      </c>
    </row>
    <row r="720" spans="1:4" x14ac:dyDescent="0.25">
      <c r="A720">
        <f t="shared" si="11"/>
        <v>0</v>
      </c>
      <c r="C720">
        <f>NOT('hospitalityq-nil'!C720="")*(OR(NOT(IFERROR(AND(INT('hospitalityq-nil'!C720)='hospitalityq-nil'!C720,'hospitalityq-nil'!C720&gt;=2018-50,'hospitalityq-nil'!C720&lt;=2018+50),FALSE)),SUMPRODUCT(--(TRIM('hospitalityq-nil'!C6:C720)=TRIM('hospitalityq-nil'!C720)),--(TRIM('hospitalityq-nil'!D6:D720)=TRIM('hospitalityq-nil'!D720)))&gt;1))</f>
        <v>0</v>
      </c>
      <c r="D720">
        <f>NOT('hospitalityq-nil'!D720="")*(OR(COUNTIF(reference!$C$144:$C$155,TRIM(LEFT('hospitalityq-nil'!D720,FIND(":",'hospitalityq-nil'!D720&amp;":")-1))&amp;":*")=0,SUMPRODUCT(--(TRIM('hospitalityq-nil'!C6:C720)=TRIM('hospitalityq-nil'!C720)),--(TRIM('hospitalityq-nil'!D6:D720)=TRIM('hospitalityq-nil'!D720)))&gt;1))</f>
        <v>0</v>
      </c>
    </row>
    <row r="721" spans="1:4" x14ac:dyDescent="0.25">
      <c r="A721">
        <f t="shared" si="11"/>
        <v>0</v>
      </c>
      <c r="C721">
        <f>NOT('hospitalityq-nil'!C721="")*(OR(NOT(IFERROR(AND(INT('hospitalityq-nil'!C721)='hospitalityq-nil'!C721,'hospitalityq-nil'!C721&gt;=2018-50,'hospitalityq-nil'!C721&lt;=2018+50),FALSE)),SUMPRODUCT(--(TRIM('hospitalityq-nil'!C6:C721)=TRIM('hospitalityq-nil'!C721)),--(TRIM('hospitalityq-nil'!D6:D721)=TRIM('hospitalityq-nil'!D721)))&gt;1))</f>
        <v>0</v>
      </c>
      <c r="D721">
        <f>NOT('hospitalityq-nil'!D721="")*(OR(COUNTIF(reference!$C$144:$C$155,TRIM(LEFT('hospitalityq-nil'!D721,FIND(":",'hospitalityq-nil'!D721&amp;":")-1))&amp;":*")=0,SUMPRODUCT(--(TRIM('hospitalityq-nil'!C6:C721)=TRIM('hospitalityq-nil'!C721)),--(TRIM('hospitalityq-nil'!D6:D721)=TRIM('hospitalityq-nil'!D721)))&gt;1))</f>
        <v>0</v>
      </c>
    </row>
    <row r="722" spans="1:4" x14ac:dyDescent="0.25">
      <c r="A722">
        <f t="shared" si="11"/>
        <v>0</v>
      </c>
      <c r="C722">
        <f>NOT('hospitalityq-nil'!C722="")*(OR(NOT(IFERROR(AND(INT('hospitalityq-nil'!C722)='hospitalityq-nil'!C722,'hospitalityq-nil'!C722&gt;=2018-50,'hospitalityq-nil'!C722&lt;=2018+50),FALSE)),SUMPRODUCT(--(TRIM('hospitalityq-nil'!C6:C722)=TRIM('hospitalityq-nil'!C722)),--(TRIM('hospitalityq-nil'!D6:D722)=TRIM('hospitalityq-nil'!D722)))&gt;1))</f>
        <v>0</v>
      </c>
      <c r="D722">
        <f>NOT('hospitalityq-nil'!D722="")*(OR(COUNTIF(reference!$C$144:$C$155,TRIM(LEFT('hospitalityq-nil'!D722,FIND(":",'hospitalityq-nil'!D722&amp;":")-1))&amp;":*")=0,SUMPRODUCT(--(TRIM('hospitalityq-nil'!C6:C722)=TRIM('hospitalityq-nil'!C722)),--(TRIM('hospitalityq-nil'!D6:D722)=TRIM('hospitalityq-nil'!D722)))&gt;1))</f>
        <v>0</v>
      </c>
    </row>
    <row r="723" spans="1:4" x14ac:dyDescent="0.25">
      <c r="A723">
        <f t="shared" si="11"/>
        <v>0</v>
      </c>
      <c r="C723">
        <f>NOT('hospitalityq-nil'!C723="")*(OR(NOT(IFERROR(AND(INT('hospitalityq-nil'!C723)='hospitalityq-nil'!C723,'hospitalityq-nil'!C723&gt;=2018-50,'hospitalityq-nil'!C723&lt;=2018+50),FALSE)),SUMPRODUCT(--(TRIM('hospitalityq-nil'!C6:C723)=TRIM('hospitalityq-nil'!C723)),--(TRIM('hospitalityq-nil'!D6:D723)=TRIM('hospitalityq-nil'!D723)))&gt;1))</f>
        <v>0</v>
      </c>
      <c r="D723">
        <f>NOT('hospitalityq-nil'!D723="")*(OR(COUNTIF(reference!$C$144:$C$155,TRIM(LEFT('hospitalityq-nil'!D723,FIND(":",'hospitalityq-nil'!D723&amp;":")-1))&amp;":*")=0,SUMPRODUCT(--(TRIM('hospitalityq-nil'!C6:C723)=TRIM('hospitalityq-nil'!C723)),--(TRIM('hospitalityq-nil'!D6:D723)=TRIM('hospitalityq-nil'!D723)))&gt;1))</f>
        <v>0</v>
      </c>
    </row>
    <row r="724" spans="1:4" x14ac:dyDescent="0.25">
      <c r="A724">
        <f t="shared" si="11"/>
        <v>0</v>
      </c>
      <c r="C724">
        <f>NOT('hospitalityq-nil'!C724="")*(OR(NOT(IFERROR(AND(INT('hospitalityq-nil'!C724)='hospitalityq-nil'!C724,'hospitalityq-nil'!C724&gt;=2018-50,'hospitalityq-nil'!C724&lt;=2018+50),FALSE)),SUMPRODUCT(--(TRIM('hospitalityq-nil'!C6:C724)=TRIM('hospitalityq-nil'!C724)),--(TRIM('hospitalityq-nil'!D6:D724)=TRIM('hospitalityq-nil'!D724)))&gt;1))</f>
        <v>0</v>
      </c>
      <c r="D724">
        <f>NOT('hospitalityq-nil'!D724="")*(OR(COUNTIF(reference!$C$144:$C$155,TRIM(LEFT('hospitalityq-nil'!D724,FIND(":",'hospitalityq-nil'!D724&amp;":")-1))&amp;":*")=0,SUMPRODUCT(--(TRIM('hospitalityq-nil'!C6:C724)=TRIM('hospitalityq-nil'!C724)),--(TRIM('hospitalityq-nil'!D6:D724)=TRIM('hospitalityq-nil'!D724)))&gt;1))</f>
        <v>0</v>
      </c>
    </row>
    <row r="725" spans="1:4" x14ac:dyDescent="0.25">
      <c r="A725">
        <f t="shared" si="11"/>
        <v>0</v>
      </c>
      <c r="C725">
        <f>NOT('hospitalityq-nil'!C725="")*(OR(NOT(IFERROR(AND(INT('hospitalityq-nil'!C725)='hospitalityq-nil'!C725,'hospitalityq-nil'!C725&gt;=2018-50,'hospitalityq-nil'!C725&lt;=2018+50),FALSE)),SUMPRODUCT(--(TRIM('hospitalityq-nil'!C6:C725)=TRIM('hospitalityq-nil'!C725)),--(TRIM('hospitalityq-nil'!D6:D725)=TRIM('hospitalityq-nil'!D725)))&gt;1))</f>
        <v>0</v>
      </c>
      <c r="D725">
        <f>NOT('hospitalityq-nil'!D725="")*(OR(COUNTIF(reference!$C$144:$C$155,TRIM(LEFT('hospitalityq-nil'!D725,FIND(":",'hospitalityq-nil'!D725&amp;":")-1))&amp;":*")=0,SUMPRODUCT(--(TRIM('hospitalityq-nil'!C6:C725)=TRIM('hospitalityq-nil'!C725)),--(TRIM('hospitalityq-nil'!D6:D725)=TRIM('hospitalityq-nil'!D725)))&gt;1))</f>
        <v>0</v>
      </c>
    </row>
    <row r="726" spans="1:4" x14ac:dyDescent="0.25">
      <c r="A726">
        <f t="shared" si="11"/>
        <v>0</v>
      </c>
      <c r="C726">
        <f>NOT('hospitalityq-nil'!C726="")*(OR(NOT(IFERROR(AND(INT('hospitalityq-nil'!C726)='hospitalityq-nil'!C726,'hospitalityq-nil'!C726&gt;=2018-50,'hospitalityq-nil'!C726&lt;=2018+50),FALSE)),SUMPRODUCT(--(TRIM('hospitalityq-nil'!C6:C726)=TRIM('hospitalityq-nil'!C726)),--(TRIM('hospitalityq-nil'!D6:D726)=TRIM('hospitalityq-nil'!D726)))&gt;1))</f>
        <v>0</v>
      </c>
      <c r="D726">
        <f>NOT('hospitalityq-nil'!D726="")*(OR(COUNTIF(reference!$C$144:$C$155,TRIM(LEFT('hospitalityq-nil'!D726,FIND(":",'hospitalityq-nil'!D726&amp;":")-1))&amp;":*")=0,SUMPRODUCT(--(TRIM('hospitalityq-nil'!C6:C726)=TRIM('hospitalityq-nil'!C726)),--(TRIM('hospitalityq-nil'!D6:D726)=TRIM('hospitalityq-nil'!D726)))&gt;1))</f>
        <v>0</v>
      </c>
    </row>
    <row r="727" spans="1:4" x14ac:dyDescent="0.25">
      <c r="A727">
        <f t="shared" si="11"/>
        <v>0</v>
      </c>
      <c r="C727">
        <f>NOT('hospitalityq-nil'!C727="")*(OR(NOT(IFERROR(AND(INT('hospitalityq-nil'!C727)='hospitalityq-nil'!C727,'hospitalityq-nil'!C727&gt;=2018-50,'hospitalityq-nil'!C727&lt;=2018+50),FALSE)),SUMPRODUCT(--(TRIM('hospitalityq-nil'!C6:C727)=TRIM('hospitalityq-nil'!C727)),--(TRIM('hospitalityq-nil'!D6:D727)=TRIM('hospitalityq-nil'!D727)))&gt;1))</f>
        <v>0</v>
      </c>
      <c r="D727">
        <f>NOT('hospitalityq-nil'!D727="")*(OR(COUNTIF(reference!$C$144:$C$155,TRIM(LEFT('hospitalityq-nil'!D727,FIND(":",'hospitalityq-nil'!D727&amp;":")-1))&amp;":*")=0,SUMPRODUCT(--(TRIM('hospitalityq-nil'!C6:C727)=TRIM('hospitalityq-nil'!C727)),--(TRIM('hospitalityq-nil'!D6:D727)=TRIM('hospitalityq-nil'!D727)))&gt;1))</f>
        <v>0</v>
      </c>
    </row>
    <row r="728" spans="1:4" x14ac:dyDescent="0.25">
      <c r="A728">
        <f t="shared" si="11"/>
        <v>0</v>
      </c>
      <c r="C728">
        <f>NOT('hospitalityq-nil'!C728="")*(OR(NOT(IFERROR(AND(INT('hospitalityq-nil'!C728)='hospitalityq-nil'!C728,'hospitalityq-nil'!C728&gt;=2018-50,'hospitalityq-nil'!C728&lt;=2018+50),FALSE)),SUMPRODUCT(--(TRIM('hospitalityq-nil'!C6:C728)=TRIM('hospitalityq-nil'!C728)),--(TRIM('hospitalityq-nil'!D6:D728)=TRIM('hospitalityq-nil'!D728)))&gt;1))</f>
        <v>0</v>
      </c>
      <c r="D728">
        <f>NOT('hospitalityq-nil'!D728="")*(OR(COUNTIF(reference!$C$144:$C$155,TRIM(LEFT('hospitalityq-nil'!D728,FIND(":",'hospitalityq-nil'!D728&amp;":")-1))&amp;":*")=0,SUMPRODUCT(--(TRIM('hospitalityq-nil'!C6:C728)=TRIM('hospitalityq-nil'!C728)),--(TRIM('hospitalityq-nil'!D6:D728)=TRIM('hospitalityq-nil'!D728)))&gt;1))</f>
        <v>0</v>
      </c>
    </row>
    <row r="729" spans="1:4" x14ac:dyDescent="0.25">
      <c r="A729">
        <f t="shared" si="11"/>
        <v>0</v>
      </c>
      <c r="C729">
        <f>NOT('hospitalityq-nil'!C729="")*(OR(NOT(IFERROR(AND(INT('hospitalityq-nil'!C729)='hospitalityq-nil'!C729,'hospitalityq-nil'!C729&gt;=2018-50,'hospitalityq-nil'!C729&lt;=2018+50),FALSE)),SUMPRODUCT(--(TRIM('hospitalityq-nil'!C6:C729)=TRIM('hospitalityq-nil'!C729)),--(TRIM('hospitalityq-nil'!D6:D729)=TRIM('hospitalityq-nil'!D729)))&gt;1))</f>
        <v>0</v>
      </c>
      <c r="D729">
        <f>NOT('hospitalityq-nil'!D729="")*(OR(COUNTIF(reference!$C$144:$C$155,TRIM(LEFT('hospitalityq-nil'!D729,FIND(":",'hospitalityq-nil'!D729&amp;":")-1))&amp;":*")=0,SUMPRODUCT(--(TRIM('hospitalityq-nil'!C6:C729)=TRIM('hospitalityq-nil'!C729)),--(TRIM('hospitalityq-nil'!D6:D729)=TRIM('hospitalityq-nil'!D729)))&gt;1))</f>
        <v>0</v>
      </c>
    </row>
    <row r="730" spans="1:4" x14ac:dyDescent="0.25">
      <c r="A730">
        <f t="shared" si="11"/>
        <v>0</v>
      </c>
      <c r="C730">
        <f>NOT('hospitalityq-nil'!C730="")*(OR(NOT(IFERROR(AND(INT('hospitalityq-nil'!C730)='hospitalityq-nil'!C730,'hospitalityq-nil'!C730&gt;=2018-50,'hospitalityq-nil'!C730&lt;=2018+50),FALSE)),SUMPRODUCT(--(TRIM('hospitalityq-nil'!C6:C730)=TRIM('hospitalityq-nil'!C730)),--(TRIM('hospitalityq-nil'!D6:D730)=TRIM('hospitalityq-nil'!D730)))&gt;1))</f>
        <v>0</v>
      </c>
      <c r="D730">
        <f>NOT('hospitalityq-nil'!D730="")*(OR(COUNTIF(reference!$C$144:$C$155,TRIM(LEFT('hospitalityq-nil'!D730,FIND(":",'hospitalityq-nil'!D730&amp;":")-1))&amp;":*")=0,SUMPRODUCT(--(TRIM('hospitalityq-nil'!C6:C730)=TRIM('hospitalityq-nil'!C730)),--(TRIM('hospitalityq-nil'!D6:D730)=TRIM('hospitalityq-nil'!D730)))&gt;1))</f>
        <v>0</v>
      </c>
    </row>
    <row r="731" spans="1:4" x14ac:dyDescent="0.25">
      <c r="A731">
        <f t="shared" si="11"/>
        <v>0</v>
      </c>
      <c r="C731">
        <f>NOT('hospitalityq-nil'!C731="")*(OR(NOT(IFERROR(AND(INT('hospitalityq-nil'!C731)='hospitalityq-nil'!C731,'hospitalityq-nil'!C731&gt;=2018-50,'hospitalityq-nil'!C731&lt;=2018+50),FALSE)),SUMPRODUCT(--(TRIM('hospitalityq-nil'!C6:C731)=TRIM('hospitalityq-nil'!C731)),--(TRIM('hospitalityq-nil'!D6:D731)=TRIM('hospitalityq-nil'!D731)))&gt;1))</f>
        <v>0</v>
      </c>
      <c r="D731">
        <f>NOT('hospitalityq-nil'!D731="")*(OR(COUNTIF(reference!$C$144:$C$155,TRIM(LEFT('hospitalityq-nil'!D731,FIND(":",'hospitalityq-nil'!D731&amp;":")-1))&amp;":*")=0,SUMPRODUCT(--(TRIM('hospitalityq-nil'!C6:C731)=TRIM('hospitalityq-nil'!C731)),--(TRIM('hospitalityq-nil'!D6:D731)=TRIM('hospitalityq-nil'!D731)))&gt;1))</f>
        <v>0</v>
      </c>
    </row>
    <row r="732" spans="1:4" x14ac:dyDescent="0.25">
      <c r="A732">
        <f t="shared" si="11"/>
        <v>0</v>
      </c>
      <c r="C732">
        <f>NOT('hospitalityq-nil'!C732="")*(OR(NOT(IFERROR(AND(INT('hospitalityq-nil'!C732)='hospitalityq-nil'!C732,'hospitalityq-nil'!C732&gt;=2018-50,'hospitalityq-nil'!C732&lt;=2018+50),FALSE)),SUMPRODUCT(--(TRIM('hospitalityq-nil'!C6:C732)=TRIM('hospitalityq-nil'!C732)),--(TRIM('hospitalityq-nil'!D6:D732)=TRIM('hospitalityq-nil'!D732)))&gt;1))</f>
        <v>0</v>
      </c>
      <c r="D732">
        <f>NOT('hospitalityq-nil'!D732="")*(OR(COUNTIF(reference!$C$144:$C$155,TRIM(LEFT('hospitalityq-nil'!D732,FIND(":",'hospitalityq-nil'!D732&amp;":")-1))&amp;":*")=0,SUMPRODUCT(--(TRIM('hospitalityq-nil'!C6:C732)=TRIM('hospitalityq-nil'!C732)),--(TRIM('hospitalityq-nil'!D6:D732)=TRIM('hospitalityq-nil'!D732)))&gt;1))</f>
        <v>0</v>
      </c>
    </row>
    <row r="733" spans="1:4" x14ac:dyDescent="0.25">
      <c r="A733">
        <f t="shared" si="11"/>
        <v>0</v>
      </c>
      <c r="C733">
        <f>NOT('hospitalityq-nil'!C733="")*(OR(NOT(IFERROR(AND(INT('hospitalityq-nil'!C733)='hospitalityq-nil'!C733,'hospitalityq-nil'!C733&gt;=2018-50,'hospitalityq-nil'!C733&lt;=2018+50),FALSE)),SUMPRODUCT(--(TRIM('hospitalityq-nil'!C6:C733)=TRIM('hospitalityq-nil'!C733)),--(TRIM('hospitalityq-nil'!D6:D733)=TRIM('hospitalityq-nil'!D733)))&gt;1))</f>
        <v>0</v>
      </c>
      <c r="D733">
        <f>NOT('hospitalityq-nil'!D733="")*(OR(COUNTIF(reference!$C$144:$C$155,TRIM(LEFT('hospitalityq-nil'!D733,FIND(":",'hospitalityq-nil'!D733&amp;":")-1))&amp;":*")=0,SUMPRODUCT(--(TRIM('hospitalityq-nil'!C6:C733)=TRIM('hospitalityq-nil'!C733)),--(TRIM('hospitalityq-nil'!D6:D733)=TRIM('hospitalityq-nil'!D733)))&gt;1))</f>
        <v>0</v>
      </c>
    </row>
    <row r="734" spans="1:4" x14ac:dyDescent="0.25">
      <c r="A734">
        <f t="shared" si="11"/>
        <v>0</v>
      </c>
      <c r="C734">
        <f>NOT('hospitalityq-nil'!C734="")*(OR(NOT(IFERROR(AND(INT('hospitalityq-nil'!C734)='hospitalityq-nil'!C734,'hospitalityq-nil'!C734&gt;=2018-50,'hospitalityq-nil'!C734&lt;=2018+50),FALSE)),SUMPRODUCT(--(TRIM('hospitalityq-nil'!C6:C734)=TRIM('hospitalityq-nil'!C734)),--(TRIM('hospitalityq-nil'!D6:D734)=TRIM('hospitalityq-nil'!D734)))&gt;1))</f>
        <v>0</v>
      </c>
      <c r="D734">
        <f>NOT('hospitalityq-nil'!D734="")*(OR(COUNTIF(reference!$C$144:$C$155,TRIM(LEFT('hospitalityq-nil'!D734,FIND(":",'hospitalityq-nil'!D734&amp;":")-1))&amp;":*")=0,SUMPRODUCT(--(TRIM('hospitalityq-nil'!C6:C734)=TRIM('hospitalityq-nil'!C734)),--(TRIM('hospitalityq-nil'!D6:D734)=TRIM('hospitalityq-nil'!D734)))&gt;1))</f>
        <v>0</v>
      </c>
    </row>
    <row r="735" spans="1:4" x14ac:dyDescent="0.25">
      <c r="A735">
        <f t="shared" si="11"/>
        <v>0</v>
      </c>
      <c r="C735">
        <f>NOT('hospitalityq-nil'!C735="")*(OR(NOT(IFERROR(AND(INT('hospitalityq-nil'!C735)='hospitalityq-nil'!C735,'hospitalityq-nil'!C735&gt;=2018-50,'hospitalityq-nil'!C735&lt;=2018+50),FALSE)),SUMPRODUCT(--(TRIM('hospitalityq-nil'!C6:C735)=TRIM('hospitalityq-nil'!C735)),--(TRIM('hospitalityq-nil'!D6:D735)=TRIM('hospitalityq-nil'!D735)))&gt;1))</f>
        <v>0</v>
      </c>
      <c r="D735">
        <f>NOT('hospitalityq-nil'!D735="")*(OR(COUNTIF(reference!$C$144:$C$155,TRIM(LEFT('hospitalityq-nil'!D735,FIND(":",'hospitalityq-nil'!D735&amp;":")-1))&amp;":*")=0,SUMPRODUCT(--(TRIM('hospitalityq-nil'!C6:C735)=TRIM('hospitalityq-nil'!C735)),--(TRIM('hospitalityq-nil'!D6:D735)=TRIM('hospitalityq-nil'!D735)))&gt;1))</f>
        <v>0</v>
      </c>
    </row>
    <row r="736" spans="1:4" x14ac:dyDescent="0.25">
      <c r="A736">
        <f t="shared" si="11"/>
        <v>0</v>
      </c>
      <c r="C736">
        <f>NOT('hospitalityq-nil'!C736="")*(OR(NOT(IFERROR(AND(INT('hospitalityq-nil'!C736)='hospitalityq-nil'!C736,'hospitalityq-nil'!C736&gt;=2018-50,'hospitalityq-nil'!C736&lt;=2018+50),FALSE)),SUMPRODUCT(--(TRIM('hospitalityq-nil'!C6:C736)=TRIM('hospitalityq-nil'!C736)),--(TRIM('hospitalityq-nil'!D6:D736)=TRIM('hospitalityq-nil'!D736)))&gt;1))</f>
        <v>0</v>
      </c>
      <c r="D736">
        <f>NOT('hospitalityq-nil'!D736="")*(OR(COUNTIF(reference!$C$144:$C$155,TRIM(LEFT('hospitalityq-nil'!D736,FIND(":",'hospitalityq-nil'!D736&amp;":")-1))&amp;":*")=0,SUMPRODUCT(--(TRIM('hospitalityq-nil'!C6:C736)=TRIM('hospitalityq-nil'!C736)),--(TRIM('hospitalityq-nil'!D6:D736)=TRIM('hospitalityq-nil'!D736)))&gt;1))</f>
        <v>0</v>
      </c>
    </row>
    <row r="737" spans="1:4" x14ac:dyDescent="0.25">
      <c r="A737">
        <f t="shared" si="11"/>
        <v>0</v>
      </c>
      <c r="C737">
        <f>NOT('hospitalityq-nil'!C737="")*(OR(NOT(IFERROR(AND(INT('hospitalityq-nil'!C737)='hospitalityq-nil'!C737,'hospitalityq-nil'!C737&gt;=2018-50,'hospitalityq-nil'!C737&lt;=2018+50),FALSE)),SUMPRODUCT(--(TRIM('hospitalityq-nil'!C6:C737)=TRIM('hospitalityq-nil'!C737)),--(TRIM('hospitalityq-nil'!D6:D737)=TRIM('hospitalityq-nil'!D737)))&gt;1))</f>
        <v>0</v>
      </c>
      <c r="D737">
        <f>NOT('hospitalityq-nil'!D737="")*(OR(COUNTIF(reference!$C$144:$C$155,TRIM(LEFT('hospitalityq-nil'!D737,FIND(":",'hospitalityq-nil'!D737&amp;":")-1))&amp;":*")=0,SUMPRODUCT(--(TRIM('hospitalityq-nil'!C6:C737)=TRIM('hospitalityq-nil'!C737)),--(TRIM('hospitalityq-nil'!D6:D737)=TRIM('hospitalityq-nil'!D737)))&gt;1))</f>
        <v>0</v>
      </c>
    </row>
    <row r="738" spans="1:4" x14ac:dyDescent="0.25">
      <c r="A738">
        <f t="shared" si="11"/>
        <v>0</v>
      </c>
      <c r="C738">
        <f>NOT('hospitalityq-nil'!C738="")*(OR(NOT(IFERROR(AND(INT('hospitalityq-nil'!C738)='hospitalityq-nil'!C738,'hospitalityq-nil'!C738&gt;=2018-50,'hospitalityq-nil'!C738&lt;=2018+50),FALSE)),SUMPRODUCT(--(TRIM('hospitalityq-nil'!C6:C738)=TRIM('hospitalityq-nil'!C738)),--(TRIM('hospitalityq-nil'!D6:D738)=TRIM('hospitalityq-nil'!D738)))&gt;1))</f>
        <v>0</v>
      </c>
      <c r="D738">
        <f>NOT('hospitalityq-nil'!D738="")*(OR(COUNTIF(reference!$C$144:$C$155,TRIM(LEFT('hospitalityq-nil'!D738,FIND(":",'hospitalityq-nil'!D738&amp;":")-1))&amp;":*")=0,SUMPRODUCT(--(TRIM('hospitalityq-nil'!C6:C738)=TRIM('hospitalityq-nil'!C738)),--(TRIM('hospitalityq-nil'!D6:D738)=TRIM('hospitalityq-nil'!D738)))&gt;1))</f>
        <v>0</v>
      </c>
    </row>
    <row r="739" spans="1:4" x14ac:dyDescent="0.25">
      <c r="A739">
        <f t="shared" si="11"/>
        <v>0</v>
      </c>
      <c r="C739">
        <f>NOT('hospitalityq-nil'!C739="")*(OR(NOT(IFERROR(AND(INT('hospitalityq-nil'!C739)='hospitalityq-nil'!C739,'hospitalityq-nil'!C739&gt;=2018-50,'hospitalityq-nil'!C739&lt;=2018+50),FALSE)),SUMPRODUCT(--(TRIM('hospitalityq-nil'!C6:C739)=TRIM('hospitalityq-nil'!C739)),--(TRIM('hospitalityq-nil'!D6:D739)=TRIM('hospitalityq-nil'!D739)))&gt;1))</f>
        <v>0</v>
      </c>
      <c r="D739">
        <f>NOT('hospitalityq-nil'!D739="")*(OR(COUNTIF(reference!$C$144:$C$155,TRIM(LEFT('hospitalityq-nil'!D739,FIND(":",'hospitalityq-nil'!D739&amp;":")-1))&amp;":*")=0,SUMPRODUCT(--(TRIM('hospitalityq-nil'!C6:C739)=TRIM('hospitalityq-nil'!C739)),--(TRIM('hospitalityq-nil'!D6:D739)=TRIM('hospitalityq-nil'!D739)))&gt;1))</f>
        <v>0</v>
      </c>
    </row>
    <row r="740" spans="1:4" x14ac:dyDescent="0.25">
      <c r="A740">
        <f t="shared" si="11"/>
        <v>0</v>
      </c>
      <c r="C740">
        <f>NOT('hospitalityq-nil'!C740="")*(OR(NOT(IFERROR(AND(INT('hospitalityq-nil'!C740)='hospitalityq-nil'!C740,'hospitalityq-nil'!C740&gt;=2018-50,'hospitalityq-nil'!C740&lt;=2018+50),FALSE)),SUMPRODUCT(--(TRIM('hospitalityq-nil'!C6:C740)=TRIM('hospitalityq-nil'!C740)),--(TRIM('hospitalityq-nil'!D6:D740)=TRIM('hospitalityq-nil'!D740)))&gt;1))</f>
        <v>0</v>
      </c>
      <c r="D740">
        <f>NOT('hospitalityq-nil'!D740="")*(OR(COUNTIF(reference!$C$144:$C$155,TRIM(LEFT('hospitalityq-nil'!D740,FIND(":",'hospitalityq-nil'!D740&amp;":")-1))&amp;":*")=0,SUMPRODUCT(--(TRIM('hospitalityq-nil'!C6:C740)=TRIM('hospitalityq-nil'!C740)),--(TRIM('hospitalityq-nil'!D6:D740)=TRIM('hospitalityq-nil'!D740)))&gt;1))</f>
        <v>0</v>
      </c>
    </row>
    <row r="741" spans="1:4" x14ac:dyDescent="0.25">
      <c r="A741">
        <f t="shared" si="11"/>
        <v>0</v>
      </c>
      <c r="C741">
        <f>NOT('hospitalityq-nil'!C741="")*(OR(NOT(IFERROR(AND(INT('hospitalityq-nil'!C741)='hospitalityq-nil'!C741,'hospitalityq-nil'!C741&gt;=2018-50,'hospitalityq-nil'!C741&lt;=2018+50),FALSE)),SUMPRODUCT(--(TRIM('hospitalityq-nil'!C6:C741)=TRIM('hospitalityq-nil'!C741)),--(TRIM('hospitalityq-nil'!D6:D741)=TRIM('hospitalityq-nil'!D741)))&gt;1))</f>
        <v>0</v>
      </c>
      <c r="D741">
        <f>NOT('hospitalityq-nil'!D741="")*(OR(COUNTIF(reference!$C$144:$C$155,TRIM(LEFT('hospitalityq-nil'!D741,FIND(":",'hospitalityq-nil'!D741&amp;":")-1))&amp;":*")=0,SUMPRODUCT(--(TRIM('hospitalityq-nil'!C6:C741)=TRIM('hospitalityq-nil'!C741)),--(TRIM('hospitalityq-nil'!D6:D741)=TRIM('hospitalityq-nil'!D741)))&gt;1))</f>
        <v>0</v>
      </c>
    </row>
    <row r="742" spans="1:4" x14ac:dyDescent="0.25">
      <c r="A742">
        <f t="shared" si="11"/>
        <v>0</v>
      </c>
      <c r="C742">
        <f>NOT('hospitalityq-nil'!C742="")*(OR(NOT(IFERROR(AND(INT('hospitalityq-nil'!C742)='hospitalityq-nil'!C742,'hospitalityq-nil'!C742&gt;=2018-50,'hospitalityq-nil'!C742&lt;=2018+50),FALSE)),SUMPRODUCT(--(TRIM('hospitalityq-nil'!C6:C742)=TRIM('hospitalityq-nil'!C742)),--(TRIM('hospitalityq-nil'!D6:D742)=TRIM('hospitalityq-nil'!D742)))&gt;1))</f>
        <v>0</v>
      </c>
      <c r="D742">
        <f>NOT('hospitalityq-nil'!D742="")*(OR(COUNTIF(reference!$C$144:$C$155,TRIM(LEFT('hospitalityq-nil'!D742,FIND(":",'hospitalityq-nil'!D742&amp;":")-1))&amp;":*")=0,SUMPRODUCT(--(TRIM('hospitalityq-nil'!C6:C742)=TRIM('hospitalityq-nil'!C742)),--(TRIM('hospitalityq-nil'!D6:D742)=TRIM('hospitalityq-nil'!D742)))&gt;1))</f>
        <v>0</v>
      </c>
    </row>
    <row r="743" spans="1:4" x14ac:dyDescent="0.25">
      <c r="A743">
        <f t="shared" si="11"/>
        <v>0</v>
      </c>
      <c r="C743">
        <f>NOT('hospitalityq-nil'!C743="")*(OR(NOT(IFERROR(AND(INT('hospitalityq-nil'!C743)='hospitalityq-nil'!C743,'hospitalityq-nil'!C743&gt;=2018-50,'hospitalityq-nil'!C743&lt;=2018+50),FALSE)),SUMPRODUCT(--(TRIM('hospitalityq-nil'!C6:C743)=TRIM('hospitalityq-nil'!C743)),--(TRIM('hospitalityq-nil'!D6:D743)=TRIM('hospitalityq-nil'!D743)))&gt;1))</f>
        <v>0</v>
      </c>
      <c r="D743">
        <f>NOT('hospitalityq-nil'!D743="")*(OR(COUNTIF(reference!$C$144:$C$155,TRIM(LEFT('hospitalityq-nil'!D743,FIND(":",'hospitalityq-nil'!D743&amp;":")-1))&amp;":*")=0,SUMPRODUCT(--(TRIM('hospitalityq-nil'!C6:C743)=TRIM('hospitalityq-nil'!C743)),--(TRIM('hospitalityq-nil'!D6:D743)=TRIM('hospitalityq-nil'!D743)))&gt;1))</f>
        <v>0</v>
      </c>
    </row>
    <row r="744" spans="1:4" x14ac:dyDescent="0.25">
      <c r="A744">
        <f t="shared" si="11"/>
        <v>0</v>
      </c>
      <c r="C744">
        <f>NOT('hospitalityq-nil'!C744="")*(OR(NOT(IFERROR(AND(INT('hospitalityq-nil'!C744)='hospitalityq-nil'!C744,'hospitalityq-nil'!C744&gt;=2018-50,'hospitalityq-nil'!C744&lt;=2018+50),FALSE)),SUMPRODUCT(--(TRIM('hospitalityq-nil'!C6:C744)=TRIM('hospitalityq-nil'!C744)),--(TRIM('hospitalityq-nil'!D6:D744)=TRIM('hospitalityq-nil'!D744)))&gt;1))</f>
        <v>0</v>
      </c>
      <c r="D744">
        <f>NOT('hospitalityq-nil'!D744="")*(OR(COUNTIF(reference!$C$144:$C$155,TRIM(LEFT('hospitalityq-nil'!D744,FIND(":",'hospitalityq-nil'!D744&amp;":")-1))&amp;":*")=0,SUMPRODUCT(--(TRIM('hospitalityq-nil'!C6:C744)=TRIM('hospitalityq-nil'!C744)),--(TRIM('hospitalityq-nil'!D6:D744)=TRIM('hospitalityq-nil'!D744)))&gt;1))</f>
        <v>0</v>
      </c>
    </row>
    <row r="745" spans="1:4" x14ac:dyDescent="0.25">
      <c r="A745">
        <f t="shared" si="11"/>
        <v>0</v>
      </c>
      <c r="C745">
        <f>NOT('hospitalityq-nil'!C745="")*(OR(NOT(IFERROR(AND(INT('hospitalityq-nil'!C745)='hospitalityq-nil'!C745,'hospitalityq-nil'!C745&gt;=2018-50,'hospitalityq-nil'!C745&lt;=2018+50),FALSE)),SUMPRODUCT(--(TRIM('hospitalityq-nil'!C6:C745)=TRIM('hospitalityq-nil'!C745)),--(TRIM('hospitalityq-nil'!D6:D745)=TRIM('hospitalityq-nil'!D745)))&gt;1))</f>
        <v>0</v>
      </c>
      <c r="D745">
        <f>NOT('hospitalityq-nil'!D745="")*(OR(COUNTIF(reference!$C$144:$C$155,TRIM(LEFT('hospitalityq-nil'!D745,FIND(":",'hospitalityq-nil'!D745&amp;":")-1))&amp;":*")=0,SUMPRODUCT(--(TRIM('hospitalityq-nil'!C6:C745)=TRIM('hospitalityq-nil'!C745)),--(TRIM('hospitalityq-nil'!D6:D745)=TRIM('hospitalityq-nil'!D745)))&gt;1))</f>
        <v>0</v>
      </c>
    </row>
    <row r="746" spans="1:4" x14ac:dyDescent="0.25">
      <c r="A746">
        <f t="shared" si="11"/>
        <v>0</v>
      </c>
      <c r="C746">
        <f>NOT('hospitalityq-nil'!C746="")*(OR(NOT(IFERROR(AND(INT('hospitalityq-nil'!C746)='hospitalityq-nil'!C746,'hospitalityq-nil'!C746&gt;=2018-50,'hospitalityq-nil'!C746&lt;=2018+50),FALSE)),SUMPRODUCT(--(TRIM('hospitalityq-nil'!C6:C746)=TRIM('hospitalityq-nil'!C746)),--(TRIM('hospitalityq-nil'!D6:D746)=TRIM('hospitalityq-nil'!D746)))&gt;1))</f>
        <v>0</v>
      </c>
      <c r="D746">
        <f>NOT('hospitalityq-nil'!D746="")*(OR(COUNTIF(reference!$C$144:$C$155,TRIM(LEFT('hospitalityq-nil'!D746,FIND(":",'hospitalityq-nil'!D746&amp;":")-1))&amp;":*")=0,SUMPRODUCT(--(TRIM('hospitalityq-nil'!C6:C746)=TRIM('hospitalityq-nil'!C746)),--(TRIM('hospitalityq-nil'!D6:D746)=TRIM('hospitalityq-nil'!D746)))&gt;1))</f>
        <v>0</v>
      </c>
    </row>
    <row r="747" spans="1:4" x14ac:dyDescent="0.25">
      <c r="A747">
        <f t="shared" si="11"/>
        <v>0</v>
      </c>
      <c r="C747">
        <f>NOT('hospitalityq-nil'!C747="")*(OR(NOT(IFERROR(AND(INT('hospitalityq-nil'!C747)='hospitalityq-nil'!C747,'hospitalityq-nil'!C747&gt;=2018-50,'hospitalityq-nil'!C747&lt;=2018+50),FALSE)),SUMPRODUCT(--(TRIM('hospitalityq-nil'!C6:C747)=TRIM('hospitalityq-nil'!C747)),--(TRIM('hospitalityq-nil'!D6:D747)=TRIM('hospitalityq-nil'!D747)))&gt;1))</f>
        <v>0</v>
      </c>
      <c r="D747">
        <f>NOT('hospitalityq-nil'!D747="")*(OR(COUNTIF(reference!$C$144:$C$155,TRIM(LEFT('hospitalityq-nil'!D747,FIND(":",'hospitalityq-nil'!D747&amp;":")-1))&amp;":*")=0,SUMPRODUCT(--(TRIM('hospitalityq-nil'!C6:C747)=TRIM('hospitalityq-nil'!C747)),--(TRIM('hospitalityq-nil'!D6:D747)=TRIM('hospitalityq-nil'!D747)))&gt;1))</f>
        <v>0</v>
      </c>
    </row>
    <row r="748" spans="1:4" x14ac:dyDescent="0.25">
      <c r="A748">
        <f t="shared" si="11"/>
        <v>0</v>
      </c>
      <c r="C748">
        <f>NOT('hospitalityq-nil'!C748="")*(OR(NOT(IFERROR(AND(INT('hospitalityq-nil'!C748)='hospitalityq-nil'!C748,'hospitalityq-nil'!C748&gt;=2018-50,'hospitalityq-nil'!C748&lt;=2018+50),FALSE)),SUMPRODUCT(--(TRIM('hospitalityq-nil'!C6:C748)=TRIM('hospitalityq-nil'!C748)),--(TRIM('hospitalityq-nil'!D6:D748)=TRIM('hospitalityq-nil'!D748)))&gt;1))</f>
        <v>0</v>
      </c>
      <c r="D748">
        <f>NOT('hospitalityq-nil'!D748="")*(OR(COUNTIF(reference!$C$144:$C$155,TRIM(LEFT('hospitalityq-nil'!D748,FIND(":",'hospitalityq-nil'!D748&amp;":")-1))&amp;":*")=0,SUMPRODUCT(--(TRIM('hospitalityq-nil'!C6:C748)=TRIM('hospitalityq-nil'!C748)),--(TRIM('hospitalityq-nil'!D6:D748)=TRIM('hospitalityq-nil'!D748)))&gt;1))</f>
        <v>0</v>
      </c>
    </row>
    <row r="749" spans="1:4" x14ac:dyDescent="0.25">
      <c r="A749">
        <f t="shared" si="11"/>
        <v>0</v>
      </c>
      <c r="C749">
        <f>NOT('hospitalityq-nil'!C749="")*(OR(NOT(IFERROR(AND(INT('hospitalityq-nil'!C749)='hospitalityq-nil'!C749,'hospitalityq-nil'!C749&gt;=2018-50,'hospitalityq-nil'!C749&lt;=2018+50),FALSE)),SUMPRODUCT(--(TRIM('hospitalityq-nil'!C6:C749)=TRIM('hospitalityq-nil'!C749)),--(TRIM('hospitalityq-nil'!D6:D749)=TRIM('hospitalityq-nil'!D749)))&gt;1))</f>
        <v>0</v>
      </c>
      <c r="D749">
        <f>NOT('hospitalityq-nil'!D749="")*(OR(COUNTIF(reference!$C$144:$C$155,TRIM(LEFT('hospitalityq-nil'!D749,FIND(":",'hospitalityq-nil'!D749&amp;":")-1))&amp;":*")=0,SUMPRODUCT(--(TRIM('hospitalityq-nil'!C6:C749)=TRIM('hospitalityq-nil'!C749)),--(TRIM('hospitalityq-nil'!D6:D749)=TRIM('hospitalityq-nil'!D749)))&gt;1))</f>
        <v>0</v>
      </c>
    </row>
    <row r="750" spans="1:4" x14ac:dyDescent="0.25">
      <c r="A750">
        <f t="shared" si="11"/>
        <v>0</v>
      </c>
      <c r="C750">
        <f>NOT('hospitalityq-nil'!C750="")*(OR(NOT(IFERROR(AND(INT('hospitalityq-nil'!C750)='hospitalityq-nil'!C750,'hospitalityq-nil'!C750&gt;=2018-50,'hospitalityq-nil'!C750&lt;=2018+50),FALSE)),SUMPRODUCT(--(TRIM('hospitalityq-nil'!C6:C750)=TRIM('hospitalityq-nil'!C750)),--(TRIM('hospitalityq-nil'!D6:D750)=TRIM('hospitalityq-nil'!D750)))&gt;1))</f>
        <v>0</v>
      </c>
      <c r="D750">
        <f>NOT('hospitalityq-nil'!D750="")*(OR(COUNTIF(reference!$C$144:$C$155,TRIM(LEFT('hospitalityq-nil'!D750,FIND(":",'hospitalityq-nil'!D750&amp;":")-1))&amp;":*")=0,SUMPRODUCT(--(TRIM('hospitalityq-nil'!C6:C750)=TRIM('hospitalityq-nil'!C750)),--(TRIM('hospitalityq-nil'!D6:D750)=TRIM('hospitalityq-nil'!D750)))&gt;1))</f>
        <v>0</v>
      </c>
    </row>
    <row r="751" spans="1:4" x14ac:dyDescent="0.25">
      <c r="A751">
        <f t="shared" si="11"/>
        <v>0</v>
      </c>
      <c r="C751">
        <f>NOT('hospitalityq-nil'!C751="")*(OR(NOT(IFERROR(AND(INT('hospitalityq-nil'!C751)='hospitalityq-nil'!C751,'hospitalityq-nil'!C751&gt;=2018-50,'hospitalityq-nil'!C751&lt;=2018+50),FALSE)),SUMPRODUCT(--(TRIM('hospitalityq-nil'!C6:C751)=TRIM('hospitalityq-nil'!C751)),--(TRIM('hospitalityq-nil'!D6:D751)=TRIM('hospitalityq-nil'!D751)))&gt;1))</f>
        <v>0</v>
      </c>
      <c r="D751">
        <f>NOT('hospitalityq-nil'!D751="")*(OR(COUNTIF(reference!$C$144:$C$155,TRIM(LEFT('hospitalityq-nil'!D751,FIND(":",'hospitalityq-nil'!D751&amp;":")-1))&amp;":*")=0,SUMPRODUCT(--(TRIM('hospitalityq-nil'!C6:C751)=TRIM('hospitalityq-nil'!C751)),--(TRIM('hospitalityq-nil'!D6:D751)=TRIM('hospitalityq-nil'!D751)))&gt;1))</f>
        <v>0</v>
      </c>
    </row>
    <row r="752" spans="1:4" x14ac:dyDescent="0.25">
      <c r="A752">
        <f t="shared" si="11"/>
        <v>0</v>
      </c>
      <c r="C752">
        <f>NOT('hospitalityq-nil'!C752="")*(OR(NOT(IFERROR(AND(INT('hospitalityq-nil'!C752)='hospitalityq-nil'!C752,'hospitalityq-nil'!C752&gt;=2018-50,'hospitalityq-nil'!C752&lt;=2018+50),FALSE)),SUMPRODUCT(--(TRIM('hospitalityq-nil'!C6:C752)=TRIM('hospitalityq-nil'!C752)),--(TRIM('hospitalityq-nil'!D6:D752)=TRIM('hospitalityq-nil'!D752)))&gt;1))</f>
        <v>0</v>
      </c>
      <c r="D752">
        <f>NOT('hospitalityq-nil'!D752="")*(OR(COUNTIF(reference!$C$144:$C$155,TRIM(LEFT('hospitalityq-nil'!D752,FIND(":",'hospitalityq-nil'!D752&amp;":")-1))&amp;":*")=0,SUMPRODUCT(--(TRIM('hospitalityq-nil'!C6:C752)=TRIM('hospitalityq-nil'!C752)),--(TRIM('hospitalityq-nil'!D6:D752)=TRIM('hospitalityq-nil'!D752)))&gt;1))</f>
        <v>0</v>
      </c>
    </row>
    <row r="753" spans="1:4" x14ac:dyDescent="0.25">
      <c r="A753">
        <f t="shared" si="11"/>
        <v>0</v>
      </c>
      <c r="C753">
        <f>NOT('hospitalityq-nil'!C753="")*(OR(NOT(IFERROR(AND(INT('hospitalityq-nil'!C753)='hospitalityq-nil'!C753,'hospitalityq-nil'!C753&gt;=2018-50,'hospitalityq-nil'!C753&lt;=2018+50),FALSE)),SUMPRODUCT(--(TRIM('hospitalityq-nil'!C6:C753)=TRIM('hospitalityq-nil'!C753)),--(TRIM('hospitalityq-nil'!D6:D753)=TRIM('hospitalityq-nil'!D753)))&gt;1))</f>
        <v>0</v>
      </c>
      <c r="D753">
        <f>NOT('hospitalityq-nil'!D753="")*(OR(COUNTIF(reference!$C$144:$C$155,TRIM(LEFT('hospitalityq-nil'!D753,FIND(":",'hospitalityq-nil'!D753&amp;":")-1))&amp;":*")=0,SUMPRODUCT(--(TRIM('hospitalityq-nil'!C6:C753)=TRIM('hospitalityq-nil'!C753)),--(TRIM('hospitalityq-nil'!D6:D753)=TRIM('hospitalityq-nil'!D753)))&gt;1))</f>
        <v>0</v>
      </c>
    </row>
    <row r="754" spans="1:4" x14ac:dyDescent="0.25">
      <c r="A754">
        <f t="shared" si="11"/>
        <v>0</v>
      </c>
      <c r="C754">
        <f>NOT('hospitalityq-nil'!C754="")*(OR(NOT(IFERROR(AND(INT('hospitalityq-nil'!C754)='hospitalityq-nil'!C754,'hospitalityq-nil'!C754&gt;=2018-50,'hospitalityq-nil'!C754&lt;=2018+50),FALSE)),SUMPRODUCT(--(TRIM('hospitalityq-nil'!C6:C754)=TRIM('hospitalityq-nil'!C754)),--(TRIM('hospitalityq-nil'!D6:D754)=TRIM('hospitalityq-nil'!D754)))&gt;1))</f>
        <v>0</v>
      </c>
      <c r="D754">
        <f>NOT('hospitalityq-nil'!D754="")*(OR(COUNTIF(reference!$C$144:$C$155,TRIM(LEFT('hospitalityq-nil'!D754,FIND(":",'hospitalityq-nil'!D754&amp;":")-1))&amp;":*")=0,SUMPRODUCT(--(TRIM('hospitalityq-nil'!C6:C754)=TRIM('hospitalityq-nil'!C754)),--(TRIM('hospitalityq-nil'!D6:D754)=TRIM('hospitalityq-nil'!D754)))&gt;1))</f>
        <v>0</v>
      </c>
    </row>
    <row r="755" spans="1:4" x14ac:dyDescent="0.25">
      <c r="A755">
        <f t="shared" si="11"/>
        <v>0</v>
      </c>
      <c r="C755">
        <f>NOT('hospitalityq-nil'!C755="")*(OR(NOT(IFERROR(AND(INT('hospitalityq-nil'!C755)='hospitalityq-nil'!C755,'hospitalityq-nil'!C755&gt;=2018-50,'hospitalityq-nil'!C755&lt;=2018+50),FALSE)),SUMPRODUCT(--(TRIM('hospitalityq-nil'!C6:C755)=TRIM('hospitalityq-nil'!C755)),--(TRIM('hospitalityq-nil'!D6:D755)=TRIM('hospitalityq-nil'!D755)))&gt;1))</f>
        <v>0</v>
      </c>
      <c r="D755">
        <f>NOT('hospitalityq-nil'!D755="")*(OR(COUNTIF(reference!$C$144:$C$155,TRIM(LEFT('hospitalityq-nil'!D755,FIND(":",'hospitalityq-nil'!D755&amp;":")-1))&amp;":*")=0,SUMPRODUCT(--(TRIM('hospitalityq-nil'!C6:C755)=TRIM('hospitalityq-nil'!C755)),--(TRIM('hospitalityq-nil'!D6:D755)=TRIM('hospitalityq-nil'!D755)))&gt;1))</f>
        <v>0</v>
      </c>
    </row>
    <row r="756" spans="1:4" x14ac:dyDescent="0.25">
      <c r="A756">
        <f t="shared" si="11"/>
        <v>0</v>
      </c>
      <c r="C756">
        <f>NOT('hospitalityq-nil'!C756="")*(OR(NOT(IFERROR(AND(INT('hospitalityq-nil'!C756)='hospitalityq-nil'!C756,'hospitalityq-nil'!C756&gt;=2018-50,'hospitalityq-nil'!C756&lt;=2018+50),FALSE)),SUMPRODUCT(--(TRIM('hospitalityq-nil'!C6:C756)=TRIM('hospitalityq-nil'!C756)),--(TRIM('hospitalityq-nil'!D6:D756)=TRIM('hospitalityq-nil'!D756)))&gt;1))</f>
        <v>0</v>
      </c>
      <c r="D756">
        <f>NOT('hospitalityq-nil'!D756="")*(OR(COUNTIF(reference!$C$144:$C$155,TRIM(LEFT('hospitalityq-nil'!D756,FIND(":",'hospitalityq-nil'!D756&amp;":")-1))&amp;":*")=0,SUMPRODUCT(--(TRIM('hospitalityq-nil'!C6:C756)=TRIM('hospitalityq-nil'!C756)),--(TRIM('hospitalityq-nil'!D6:D756)=TRIM('hospitalityq-nil'!D756)))&gt;1))</f>
        <v>0</v>
      </c>
    </row>
    <row r="757" spans="1:4" x14ac:dyDescent="0.25">
      <c r="A757">
        <f t="shared" si="11"/>
        <v>0</v>
      </c>
      <c r="C757">
        <f>NOT('hospitalityq-nil'!C757="")*(OR(NOT(IFERROR(AND(INT('hospitalityq-nil'!C757)='hospitalityq-nil'!C757,'hospitalityq-nil'!C757&gt;=2018-50,'hospitalityq-nil'!C757&lt;=2018+50),FALSE)),SUMPRODUCT(--(TRIM('hospitalityq-nil'!C6:C757)=TRIM('hospitalityq-nil'!C757)),--(TRIM('hospitalityq-nil'!D6:D757)=TRIM('hospitalityq-nil'!D757)))&gt;1))</f>
        <v>0</v>
      </c>
      <c r="D757">
        <f>NOT('hospitalityq-nil'!D757="")*(OR(COUNTIF(reference!$C$144:$C$155,TRIM(LEFT('hospitalityq-nil'!D757,FIND(":",'hospitalityq-nil'!D757&amp;":")-1))&amp;":*")=0,SUMPRODUCT(--(TRIM('hospitalityq-nil'!C6:C757)=TRIM('hospitalityq-nil'!C757)),--(TRIM('hospitalityq-nil'!D6:D757)=TRIM('hospitalityq-nil'!D757)))&gt;1))</f>
        <v>0</v>
      </c>
    </row>
    <row r="758" spans="1:4" x14ac:dyDescent="0.25">
      <c r="A758">
        <f t="shared" si="11"/>
        <v>0</v>
      </c>
      <c r="C758">
        <f>NOT('hospitalityq-nil'!C758="")*(OR(NOT(IFERROR(AND(INT('hospitalityq-nil'!C758)='hospitalityq-nil'!C758,'hospitalityq-nil'!C758&gt;=2018-50,'hospitalityq-nil'!C758&lt;=2018+50),FALSE)),SUMPRODUCT(--(TRIM('hospitalityq-nil'!C6:C758)=TRIM('hospitalityq-nil'!C758)),--(TRIM('hospitalityq-nil'!D6:D758)=TRIM('hospitalityq-nil'!D758)))&gt;1))</f>
        <v>0</v>
      </c>
      <c r="D758">
        <f>NOT('hospitalityq-nil'!D758="")*(OR(COUNTIF(reference!$C$144:$C$155,TRIM(LEFT('hospitalityq-nil'!D758,FIND(":",'hospitalityq-nil'!D758&amp;":")-1))&amp;":*")=0,SUMPRODUCT(--(TRIM('hospitalityq-nil'!C6:C758)=TRIM('hospitalityq-nil'!C758)),--(TRIM('hospitalityq-nil'!D6:D758)=TRIM('hospitalityq-nil'!D758)))&gt;1))</f>
        <v>0</v>
      </c>
    </row>
    <row r="759" spans="1:4" x14ac:dyDescent="0.25">
      <c r="A759">
        <f t="shared" si="11"/>
        <v>0</v>
      </c>
      <c r="C759">
        <f>NOT('hospitalityq-nil'!C759="")*(OR(NOT(IFERROR(AND(INT('hospitalityq-nil'!C759)='hospitalityq-nil'!C759,'hospitalityq-nil'!C759&gt;=2018-50,'hospitalityq-nil'!C759&lt;=2018+50),FALSE)),SUMPRODUCT(--(TRIM('hospitalityq-nil'!C6:C759)=TRIM('hospitalityq-nil'!C759)),--(TRIM('hospitalityq-nil'!D6:D759)=TRIM('hospitalityq-nil'!D759)))&gt;1))</f>
        <v>0</v>
      </c>
      <c r="D759">
        <f>NOT('hospitalityq-nil'!D759="")*(OR(COUNTIF(reference!$C$144:$C$155,TRIM(LEFT('hospitalityq-nil'!D759,FIND(":",'hospitalityq-nil'!D759&amp;":")-1))&amp;":*")=0,SUMPRODUCT(--(TRIM('hospitalityq-nil'!C6:C759)=TRIM('hospitalityq-nil'!C759)),--(TRIM('hospitalityq-nil'!D6:D759)=TRIM('hospitalityq-nil'!D759)))&gt;1))</f>
        <v>0</v>
      </c>
    </row>
    <row r="760" spans="1:4" x14ac:dyDescent="0.25">
      <c r="A760">
        <f t="shared" si="11"/>
        <v>0</v>
      </c>
      <c r="C760">
        <f>NOT('hospitalityq-nil'!C760="")*(OR(NOT(IFERROR(AND(INT('hospitalityq-nil'!C760)='hospitalityq-nil'!C760,'hospitalityq-nil'!C760&gt;=2018-50,'hospitalityq-nil'!C760&lt;=2018+50),FALSE)),SUMPRODUCT(--(TRIM('hospitalityq-nil'!C6:C760)=TRIM('hospitalityq-nil'!C760)),--(TRIM('hospitalityq-nil'!D6:D760)=TRIM('hospitalityq-nil'!D760)))&gt;1))</f>
        <v>0</v>
      </c>
      <c r="D760">
        <f>NOT('hospitalityq-nil'!D760="")*(OR(COUNTIF(reference!$C$144:$C$155,TRIM(LEFT('hospitalityq-nil'!D760,FIND(":",'hospitalityq-nil'!D760&amp;":")-1))&amp;":*")=0,SUMPRODUCT(--(TRIM('hospitalityq-nil'!C6:C760)=TRIM('hospitalityq-nil'!C760)),--(TRIM('hospitalityq-nil'!D6:D760)=TRIM('hospitalityq-nil'!D760)))&gt;1))</f>
        <v>0</v>
      </c>
    </row>
    <row r="761" spans="1:4" x14ac:dyDescent="0.25">
      <c r="A761">
        <f t="shared" si="11"/>
        <v>0</v>
      </c>
      <c r="C761">
        <f>NOT('hospitalityq-nil'!C761="")*(OR(NOT(IFERROR(AND(INT('hospitalityq-nil'!C761)='hospitalityq-nil'!C761,'hospitalityq-nil'!C761&gt;=2018-50,'hospitalityq-nil'!C761&lt;=2018+50),FALSE)),SUMPRODUCT(--(TRIM('hospitalityq-nil'!C6:C761)=TRIM('hospitalityq-nil'!C761)),--(TRIM('hospitalityq-nil'!D6:D761)=TRIM('hospitalityq-nil'!D761)))&gt;1))</f>
        <v>0</v>
      </c>
      <c r="D761">
        <f>NOT('hospitalityq-nil'!D761="")*(OR(COUNTIF(reference!$C$144:$C$155,TRIM(LEFT('hospitalityq-nil'!D761,FIND(":",'hospitalityq-nil'!D761&amp;":")-1))&amp;":*")=0,SUMPRODUCT(--(TRIM('hospitalityq-nil'!C6:C761)=TRIM('hospitalityq-nil'!C761)),--(TRIM('hospitalityq-nil'!D6:D761)=TRIM('hospitalityq-nil'!D761)))&gt;1))</f>
        <v>0</v>
      </c>
    </row>
    <row r="762" spans="1:4" x14ac:dyDescent="0.25">
      <c r="A762">
        <f t="shared" si="11"/>
        <v>0</v>
      </c>
      <c r="C762">
        <f>NOT('hospitalityq-nil'!C762="")*(OR(NOT(IFERROR(AND(INT('hospitalityq-nil'!C762)='hospitalityq-nil'!C762,'hospitalityq-nil'!C762&gt;=2018-50,'hospitalityq-nil'!C762&lt;=2018+50),FALSE)),SUMPRODUCT(--(TRIM('hospitalityq-nil'!C6:C762)=TRIM('hospitalityq-nil'!C762)),--(TRIM('hospitalityq-nil'!D6:D762)=TRIM('hospitalityq-nil'!D762)))&gt;1))</f>
        <v>0</v>
      </c>
      <c r="D762">
        <f>NOT('hospitalityq-nil'!D762="")*(OR(COUNTIF(reference!$C$144:$C$155,TRIM(LEFT('hospitalityq-nil'!D762,FIND(":",'hospitalityq-nil'!D762&amp;":")-1))&amp;":*")=0,SUMPRODUCT(--(TRIM('hospitalityq-nil'!C6:C762)=TRIM('hospitalityq-nil'!C762)),--(TRIM('hospitalityq-nil'!D6:D762)=TRIM('hospitalityq-nil'!D762)))&gt;1))</f>
        <v>0</v>
      </c>
    </row>
    <row r="763" spans="1:4" x14ac:dyDescent="0.25">
      <c r="A763">
        <f t="shared" si="11"/>
        <v>0</v>
      </c>
      <c r="C763">
        <f>NOT('hospitalityq-nil'!C763="")*(OR(NOT(IFERROR(AND(INT('hospitalityq-nil'!C763)='hospitalityq-nil'!C763,'hospitalityq-nil'!C763&gt;=2018-50,'hospitalityq-nil'!C763&lt;=2018+50),FALSE)),SUMPRODUCT(--(TRIM('hospitalityq-nil'!C6:C763)=TRIM('hospitalityq-nil'!C763)),--(TRIM('hospitalityq-nil'!D6:D763)=TRIM('hospitalityq-nil'!D763)))&gt;1))</f>
        <v>0</v>
      </c>
      <c r="D763">
        <f>NOT('hospitalityq-nil'!D763="")*(OR(COUNTIF(reference!$C$144:$C$155,TRIM(LEFT('hospitalityq-nil'!D763,FIND(":",'hospitalityq-nil'!D763&amp;":")-1))&amp;":*")=0,SUMPRODUCT(--(TRIM('hospitalityq-nil'!C6:C763)=TRIM('hospitalityq-nil'!C763)),--(TRIM('hospitalityq-nil'!D6:D763)=TRIM('hospitalityq-nil'!D763)))&gt;1))</f>
        <v>0</v>
      </c>
    </row>
    <row r="764" spans="1:4" x14ac:dyDescent="0.25">
      <c r="A764">
        <f t="shared" si="11"/>
        <v>0</v>
      </c>
      <c r="C764">
        <f>NOT('hospitalityq-nil'!C764="")*(OR(NOT(IFERROR(AND(INT('hospitalityq-nil'!C764)='hospitalityq-nil'!C764,'hospitalityq-nil'!C764&gt;=2018-50,'hospitalityq-nil'!C764&lt;=2018+50),FALSE)),SUMPRODUCT(--(TRIM('hospitalityq-nil'!C6:C764)=TRIM('hospitalityq-nil'!C764)),--(TRIM('hospitalityq-nil'!D6:D764)=TRIM('hospitalityq-nil'!D764)))&gt;1))</f>
        <v>0</v>
      </c>
      <c r="D764">
        <f>NOT('hospitalityq-nil'!D764="")*(OR(COUNTIF(reference!$C$144:$C$155,TRIM(LEFT('hospitalityq-nil'!D764,FIND(":",'hospitalityq-nil'!D764&amp;":")-1))&amp;":*")=0,SUMPRODUCT(--(TRIM('hospitalityq-nil'!C6:C764)=TRIM('hospitalityq-nil'!C764)),--(TRIM('hospitalityq-nil'!D6:D764)=TRIM('hospitalityq-nil'!D764)))&gt;1))</f>
        <v>0</v>
      </c>
    </row>
    <row r="765" spans="1:4" x14ac:dyDescent="0.25">
      <c r="A765">
        <f t="shared" si="11"/>
        <v>0</v>
      </c>
      <c r="C765">
        <f>NOT('hospitalityq-nil'!C765="")*(OR(NOT(IFERROR(AND(INT('hospitalityq-nil'!C765)='hospitalityq-nil'!C765,'hospitalityq-nil'!C765&gt;=2018-50,'hospitalityq-nil'!C765&lt;=2018+50),FALSE)),SUMPRODUCT(--(TRIM('hospitalityq-nil'!C6:C765)=TRIM('hospitalityq-nil'!C765)),--(TRIM('hospitalityq-nil'!D6:D765)=TRIM('hospitalityq-nil'!D765)))&gt;1))</f>
        <v>0</v>
      </c>
      <c r="D765">
        <f>NOT('hospitalityq-nil'!D765="")*(OR(COUNTIF(reference!$C$144:$C$155,TRIM(LEFT('hospitalityq-nil'!D765,FIND(":",'hospitalityq-nil'!D765&amp;":")-1))&amp;":*")=0,SUMPRODUCT(--(TRIM('hospitalityq-nil'!C6:C765)=TRIM('hospitalityq-nil'!C765)),--(TRIM('hospitalityq-nil'!D6:D765)=TRIM('hospitalityq-nil'!D765)))&gt;1))</f>
        <v>0</v>
      </c>
    </row>
    <row r="766" spans="1:4" x14ac:dyDescent="0.25">
      <c r="A766">
        <f t="shared" si="11"/>
        <v>0</v>
      </c>
      <c r="C766">
        <f>NOT('hospitalityq-nil'!C766="")*(OR(NOT(IFERROR(AND(INT('hospitalityq-nil'!C766)='hospitalityq-nil'!C766,'hospitalityq-nil'!C766&gt;=2018-50,'hospitalityq-nil'!C766&lt;=2018+50),FALSE)),SUMPRODUCT(--(TRIM('hospitalityq-nil'!C6:C766)=TRIM('hospitalityq-nil'!C766)),--(TRIM('hospitalityq-nil'!D6:D766)=TRIM('hospitalityq-nil'!D766)))&gt;1))</f>
        <v>0</v>
      </c>
      <c r="D766">
        <f>NOT('hospitalityq-nil'!D766="")*(OR(COUNTIF(reference!$C$144:$C$155,TRIM(LEFT('hospitalityq-nil'!D766,FIND(":",'hospitalityq-nil'!D766&amp;":")-1))&amp;":*")=0,SUMPRODUCT(--(TRIM('hospitalityq-nil'!C6:C766)=TRIM('hospitalityq-nil'!C766)),--(TRIM('hospitalityq-nil'!D6:D766)=TRIM('hospitalityq-nil'!D766)))&gt;1))</f>
        <v>0</v>
      </c>
    </row>
    <row r="767" spans="1:4" x14ac:dyDescent="0.25">
      <c r="A767">
        <f t="shared" si="11"/>
        <v>0</v>
      </c>
      <c r="C767">
        <f>NOT('hospitalityq-nil'!C767="")*(OR(NOT(IFERROR(AND(INT('hospitalityq-nil'!C767)='hospitalityq-nil'!C767,'hospitalityq-nil'!C767&gt;=2018-50,'hospitalityq-nil'!C767&lt;=2018+50),FALSE)),SUMPRODUCT(--(TRIM('hospitalityq-nil'!C6:C767)=TRIM('hospitalityq-nil'!C767)),--(TRIM('hospitalityq-nil'!D6:D767)=TRIM('hospitalityq-nil'!D767)))&gt;1))</f>
        <v>0</v>
      </c>
      <c r="D767">
        <f>NOT('hospitalityq-nil'!D767="")*(OR(COUNTIF(reference!$C$144:$C$155,TRIM(LEFT('hospitalityq-nil'!D767,FIND(":",'hospitalityq-nil'!D767&amp;":")-1))&amp;":*")=0,SUMPRODUCT(--(TRIM('hospitalityq-nil'!C6:C767)=TRIM('hospitalityq-nil'!C767)),--(TRIM('hospitalityq-nil'!D6:D767)=TRIM('hospitalityq-nil'!D767)))&gt;1))</f>
        <v>0</v>
      </c>
    </row>
    <row r="768" spans="1:4" x14ac:dyDescent="0.25">
      <c r="A768">
        <f t="shared" si="11"/>
        <v>0</v>
      </c>
      <c r="C768">
        <f>NOT('hospitalityq-nil'!C768="")*(OR(NOT(IFERROR(AND(INT('hospitalityq-nil'!C768)='hospitalityq-nil'!C768,'hospitalityq-nil'!C768&gt;=2018-50,'hospitalityq-nil'!C768&lt;=2018+50),FALSE)),SUMPRODUCT(--(TRIM('hospitalityq-nil'!C6:C768)=TRIM('hospitalityq-nil'!C768)),--(TRIM('hospitalityq-nil'!D6:D768)=TRIM('hospitalityq-nil'!D768)))&gt;1))</f>
        <v>0</v>
      </c>
      <c r="D768">
        <f>NOT('hospitalityq-nil'!D768="")*(OR(COUNTIF(reference!$C$144:$C$155,TRIM(LEFT('hospitalityq-nil'!D768,FIND(":",'hospitalityq-nil'!D768&amp;":")-1))&amp;":*")=0,SUMPRODUCT(--(TRIM('hospitalityq-nil'!C6:C768)=TRIM('hospitalityq-nil'!C768)),--(TRIM('hospitalityq-nil'!D6:D768)=TRIM('hospitalityq-nil'!D768)))&gt;1))</f>
        <v>0</v>
      </c>
    </row>
    <row r="769" spans="1:4" x14ac:dyDescent="0.25">
      <c r="A769">
        <f t="shared" si="11"/>
        <v>0</v>
      </c>
      <c r="C769">
        <f>NOT('hospitalityq-nil'!C769="")*(OR(NOT(IFERROR(AND(INT('hospitalityq-nil'!C769)='hospitalityq-nil'!C769,'hospitalityq-nil'!C769&gt;=2018-50,'hospitalityq-nil'!C769&lt;=2018+50),FALSE)),SUMPRODUCT(--(TRIM('hospitalityq-nil'!C6:C769)=TRIM('hospitalityq-nil'!C769)),--(TRIM('hospitalityq-nil'!D6:D769)=TRIM('hospitalityq-nil'!D769)))&gt;1))</f>
        <v>0</v>
      </c>
      <c r="D769">
        <f>NOT('hospitalityq-nil'!D769="")*(OR(COUNTIF(reference!$C$144:$C$155,TRIM(LEFT('hospitalityq-nil'!D769,FIND(":",'hospitalityq-nil'!D769&amp;":")-1))&amp;":*")=0,SUMPRODUCT(--(TRIM('hospitalityq-nil'!C6:C769)=TRIM('hospitalityq-nil'!C769)),--(TRIM('hospitalityq-nil'!D6:D769)=TRIM('hospitalityq-nil'!D769)))&gt;1))</f>
        <v>0</v>
      </c>
    </row>
    <row r="770" spans="1:4" x14ac:dyDescent="0.25">
      <c r="A770">
        <f t="shared" si="11"/>
        <v>0</v>
      </c>
      <c r="C770">
        <f>NOT('hospitalityq-nil'!C770="")*(OR(NOT(IFERROR(AND(INT('hospitalityq-nil'!C770)='hospitalityq-nil'!C770,'hospitalityq-nil'!C770&gt;=2018-50,'hospitalityq-nil'!C770&lt;=2018+50),FALSE)),SUMPRODUCT(--(TRIM('hospitalityq-nil'!C6:C770)=TRIM('hospitalityq-nil'!C770)),--(TRIM('hospitalityq-nil'!D6:D770)=TRIM('hospitalityq-nil'!D770)))&gt;1))</f>
        <v>0</v>
      </c>
      <c r="D770">
        <f>NOT('hospitalityq-nil'!D770="")*(OR(COUNTIF(reference!$C$144:$C$155,TRIM(LEFT('hospitalityq-nil'!D770,FIND(":",'hospitalityq-nil'!D770&amp;":")-1))&amp;":*")=0,SUMPRODUCT(--(TRIM('hospitalityq-nil'!C6:C770)=TRIM('hospitalityq-nil'!C770)),--(TRIM('hospitalityq-nil'!D6:D770)=TRIM('hospitalityq-nil'!D770)))&gt;1))</f>
        <v>0</v>
      </c>
    </row>
    <row r="771" spans="1:4" x14ac:dyDescent="0.25">
      <c r="A771">
        <f t="shared" si="11"/>
        <v>0</v>
      </c>
      <c r="C771">
        <f>NOT('hospitalityq-nil'!C771="")*(OR(NOT(IFERROR(AND(INT('hospitalityq-nil'!C771)='hospitalityq-nil'!C771,'hospitalityq-nil'!C771&gt;=2018-50,'hospitalityq-nil'!C771&lt;=2018+50),FALSE)),SUMPRODUCT(--(TRIM('hospitalityq-nil'!C6:C771)=TRIM('hospitalityq-nil'!C771)),--(TRIM('hospitalityq-nil'!D6:D771)=TRIM('hospitalityq-nil'!D771)))&gt;1))</f>
        <v>0</v>
      </c>
      <c r="D771">
        <f>NOT('hospitalityq-nil'!D771="")*(OR(COUNTIF(reference!$C$144:$C$155,TRIM(LEFT('hospitalityq-nil'!D771,FIND(":",'hospitalityq-nil'!D771&amp;":")-1))&amp;":*")=0,SUMPRODUCT(--(TRIM('hospitalityq-nil'!C6:C771)=TRIM('hospitalityq-nil'!C771)),--(TRIM('hospitalityq-nil'!D6:D771)=TRIM('hospitalityq-nil'!D771)))&gt;1))</f>
        <v>0</v>
      </c>
    </row>
    <row r="772" spans="1:4" x14ac:dyDescent="0.25">
      <c r="A772">
        <f t="shared" si="11"/>
        <v>0</v>
      </c>
      <c r="C772">
        <f>NOT('hospitalityq-nil'!C772="")*(OR(NOT(IFERROR(AND(INT('hospitalityq-nil'!C772)='hospitalityq-nil'!C772,'hospitalityq-nil'!C772&gt;=2018-50,'hospitalityq-nil'!C772&lt;=2018+50),FALSE)),SUMPRODUCT(--(TRIM('hospitalityq-nil'!C6:C772)=TRIM('hospitalityq-nil'!C772)),--(TRIM('hospitalityq-nil'!D6:D772)=TRIM('hospitalityq-nil'!D772)))&gt;1))</f>
        <v>0</v>
      </c>
      <c r="D772">
        <f>NOT('hospitalityq-nil'!D772="")*(OR(COUNTIF(reference!$C$144:$C$155,TRIM(LEFT('hospitalityq-nil'!D772,FIND(":",'hospitalityq-nil'!D772&amp;":")-1))&amp;":*")=0,SUMPRODUCT(--(TRIM('hospitalityq-nil'!C6:C772)=TRIM('hospitalityq-nil'!C772)),--(TRIM('hospitalityq-nil'!D6:D772)=TRIM('hospitalityq-nil'!D772)))&gt;1))</f>
        <v>0</v>
      </c>
    </row>
    <row r="773" spans="1:4" x14ac:dyDescent="0.25">
      <c r="A773">
        <f t="shared" si="11"/>
        <v>0</v>
      </c>
      <c r="C773">
        <f>NOT('hospitalityq-nil'!C773="")*(OR(NOT(IFERROR(AND(INT('hospitalityq-nil'!C773)='hospitalityq-nil'!C773,'hospitalityq-nil'!C773&gt;=2018-50,'hospitalityq-nil'!C773&lt;=2018+50),FALSE)),SUMPRODUCT(--(TRIM('hospitalityq-nil'!C6:C773)=TRIM('hospitalityq-nil'!C773)),--(TRIM('hospitalityq-nil'!D6:D773)=TRIM('hospitalityq-nil'!D773)))&gt;1))</f>
        <v>0</v>
      </c>
      <c r="D773">
        <f>NOT('hospitalityq-nil'!D773="")*(OR(COUNTIF(reference!$C$144:$C$155,TRIM(LEFT('hospitalityq-nil'!D773,FIND(":",'hospitalityq-nil'!D773&amp;":")-1))&amp;":*")=0,SUMPRODUCT(--(TRIM('hospitalityq-nil'!C6:C773)=TRIM('hospitalityq-nil'!C773)),--(TRIM('hospitalityq-nil'!D6:D773)=TRIM('hospitalityq-nil'!D773)))&gt;1))</f>
        <v>0</v>
      </c>
    </row>
    <row r="774" spans="1:4" x14ac:dyDescent="0.25">
      <c r="A774">
        <f t="shared" ref="A774:A837" si="12">IFERROR(MATCH(TRUE,INDEX(C774:D774&lt;&gt;0,),)+2,0)</f>
        <v>0</v>
      </c>
      <c r="C774">
        <f>NOT('hospitalityq-nil'!C774="")*(OR(NOT(IFERROR(AND(INT('hospitalityq-nil'!C774)='hospitalityq-nil'!C774,'hospitalityq-nil'!C774&gt;=2018-50,'hospitalityq-nil'!C774&lt;=2018+50),FALSE)),SUMPRODUCT(--(TRIM('hospitalityq-nil'!C6:C774)=TRIM('hospitalityq-nil'!C774)),--(TRIM('hospitalityq-nil'!D6:D774)=TRIM('hospitalityq-nil'!D774)))&gt;1))</f>
        <v>0</v>
      </c>
      <c r="D774">
        <f>NOT('hospitalityq-nil'!D774="")*(OR(COUNTIF(reference!$C$144:$C$155,TRIM(LEFT('hospitalityq-nil'!D774,FIND(":",'hospitalityq-nil'!D774&amp;":")-1))&amp;":*")=0,SUMPRODUCT(--(TRIM('hospitalityq-nil'!C6:C774)=TRIM('hospitalityq-nil'!C774)),--(TRIM('hospitalityq-nil'!D6:D774)=TRIM('hospitalityq-nil'!D774)))&gt;1))</f>
        <v>0</v>
      </c>
    </row>
    <row r="775" spans="1:4" x14ac:dyDescent="0.25">
      <c r="A775">
        <f t="shared" si="12"/>
        <v>0</v>
      </c>
      <c r="C775">
        <f>NOT('hospitalityq-nil'!C775="")*(OR(NOT(IFERROR(AND(INT('hospitalityq-nil'!C775)='hospitalityq-nil'!C775,'hospitalityq-nil'!C775&gt;=2018-50,'hospitalityq-nil'!C775&lt;=2018+50),FALSE)),SUMPRODUCT(--(TRIM('hospitalityq-nil'!C6:C775)=TRIM('hospitalityq-nil'!C775)),--(TRIM('hospitalityq-nil'!D6:D775)=TRIM('hospitalityq-nil'!D775)))&gt;1))</f>
        <v>0</v>
      </c>
      <c r="D775">
        <f>NOT('hospitalityq-nil'!D775="")*(OR(COUNTIF(reference!$C$144:$C$155,TRIM(LEFT('hospitalityq-nil'!D775,FIND(":",'hospitalityq-nil'!D775&amp;":")-1))&amp;":*")=0,SUMPRODUCT(--(TRIM('hospitalityq-nil'!C6:C775)=TRIM('hospitalityq-nil'!C775)),--(TRIM('hospitalityq-nil'!D6:D775)=TRIM('hospitalityq-nil'!D775)))&gt;1))</f>
        <v>0</v>
      </c>
    </row>
    <row r="776" spans="1:4" x14ac:dyDescent="0.25">
      <c r="A776">
        <f t="shared" si="12"/>
        <v>0</v>
      </c>
      <c r="C776">
        <f>NOT('hospitalityq-nil'!C776="")*(OR(NOT(IFERROR(AND(INT('hospitalityq-nil'!C776)='hospitalityq-nil'!C776,'hospitalityq-nil'!C776&gt;=2018-50,'hospitalityq-nil'!C776&lt;=2018+50),FALSE)),SUMPRODUCT(--(TRIM('hospitalityq-nil'!C6:C776)=TRIM('hospitalityq-nil'!C776)),--(TRIM('hospitalityq-nil'!D6:D776)=TRIM('hospitalityq-nil'!D776)))&gt;1))</f>
        <v>0</v>
      </c>
      <c r="D776">
        <f>NOT('hospitalityq-nil'!D776="")*(OR(COUNTIF(reference!$C$144:$C$155,TRIM(LEFT('hospitalityq-nil'!D776,FIND(":",'hospitalityq-nil'!D776&amp;":")-1))&amp;":*")=0,SUMPRODUCT(--(TRIM('hospitalityq-nil'!C6:C776)=TRIM('hospitalityq-nil'!C776)),--(TRIM('hospitalityq-nil'!D6:D776)=TRIM('hospitalityq-nil'!D776)))&gt;1))</f>
        <v>0</v>
      </c>
    </row>
    <row r="777" spans="1:4" x14ac:dyDescent="0.25">
      <c r="A777">
        <f t="shared" si="12"/>
        <v>0</v>
      </c>
      <c r="C777">
        <f>NOT('hospitalityq-nil'!C777="")*(OR(NOT(IFERROR(AND(INT('hospitalityq-nil'!C777)='hospitalityq-nil'!C777,'hospitalityq-nil'!C777&gt;=2018-50,'hospitalityq-nil'!C777&lt;=2018+50),FALSE)),SUMPRODUCT(--(TRIM('hospitalityq-nil'!C6:C777)=TRIM('hospitalityq-nil'!C777)),--(TRIM('hospitalityq-nil'!D6:D777)=TRIM('hospitalityq-nil'!D777)))&gt;1))</f>
        <v>0</v>
      </c>
      <c r="D777">
        <f>NOT('hospitalityq-nil'!D777="")*(OR(COUNTIF(reference!$C$144:$C$155,TRIM(LEFT('hospitalityq-nil'!D777,FIND(":",'hospitalityq-nil'!D777&amp;":")-1))&amp;":*")=0,SUMPRODUCT(--(TRIM('hospitalityq-nil'!C6:C777)=TRIM('hospitalityq-nil'!C777)),--(TRIM('hospitalityq-nil'!D6:D777)=TRIM('hospitalityq-nil'!D777)))&gt;1))</f>
        <v>0</v>
      </c>
    </row>
    <row r="778" spans="1:4" x14ac:dyDescent="0.25">
      <c r="A778">
        <f t="shared" si="12"/>
        <v>0</v>
      </c>
      <c r="C778">
        <f>NOT('hospitalityq-nil'!C778="")*(OR(NOT(IFERROR(AND(INT('hospitalityq-nil'!C778)='hospitalityq-nil'!C778,'hospitalityq-nil'!C778&gt;=2018-50,'hospitalityq-nil'!C778&lt;=2018+50),FALSE)),SUMPRODUCT(--(TRIM('hospitalityq-nil'!C6:C778)=TRIM('hospitalityq-nil'!C778)),--(TRIM('hospitalityq-nil'!D6:D778)=TRIM('hospitalityq-nil'!D778)))&gt;1))</f>
        <v>0</v>
      </c>
      <c r="D778">
        <f>NOT('hospitalityq-nil'!D778="")*(OR(COUNTIF(reference!$C$144:$C$155,TRIM(LEFT('hospitalityq-nil'!D778,FIND(":",'hospitalityq-nil'!D778&amp;":")-1))&amp;":*")=0,SUMPRODUCT(--(TRIM('hospitalityq-nil'!C6:C778)=TRIM('hospitalityq-nil'!C778)),--(TRIM('hospitalityq-nil'!D6:D778)=TRIM('hospitalityq-nil'!D778)))&gt;1))</f>
        <v>0</v>
      </c>
    </row>
    <row r="779" spans="1:4" x14ac:dyDescent="0.25">
      <c r="A779">
        <f t="shared" si="12"/>
        <v>0</v>
      </c>
      <c r="C779">
        <f>NOT('hospitalityq-nil'!C779="")*(OR(NOT(IFERROR(AND(INT('hospitalityq-nil'!C779)='hospitalityq-nil'!C779,'hospitalityq-nil'!C779&gt;=2018-50,'hospitalityq-nil'!C779&lt;=2018+50),FALSE)),SUMPRODUCT(--(TRIM('hospitalityq-nil'!C6:C779)=TRIM('hospitalityq-nil'!C779)),--(TRIM('hospitalityq-nil'!D6:D779)=TRIM('hospitalityq-nil'!D779)))&gt;1))</f>
        <v>0</v>
      </c>
      <c r="D779">
        <f>NOT('hospitalityq-nil'!D779="")*(OR(COUNTIF(reference!$C$144:$C$155,TRIM(LEFT('hospitalityq-nil'!D779,FIND(":",'hospitalityq-nil'!D779&amp;":")-1))&amp;":*")=0,SUMPRODUCT(--(TRIM('hospitalityq-nil'!C6:C779)=TRIM('hospitalityq-nil'!C779)),--(TRIM('hospitalityq-nil'!D6:D779)=TRIM('hospitalityq-nil'!D779)))&gt;1))</f>
        <v>0</v>
      </c>
    </row>
    <row r="780" spans="1:4" x14ac:dyDescent="0.25">
      <c r="A780">
        <f t="shared" si="12"/>
        <v>0</v>
      </c>
      <c r="C780">
        <f>NOT('hospitalityq-nil'!C780="")*(OR(NOT(IFERROR(AND(INT('hospitalityq-nil'!C780)='hospitalityq-nil'!C780,'hospitalityq-nil'!C780&gt;=2018-50,'hospitalityq-nil'!C780&lt;=2018+50),FALSE)),SUMPRODUCT(--(TRIM('hospitalityq-nil'!C6:C780)=TRIM('hospitalityq-nil'!C780)),--(TRIM('hospitalityq-nil'!D6:D780)=TRIM('hospitalityq-nil'!D780)))&gt;1))</f>
        <v>0</v>
      </c>
      <c r="D780">
        <f>NOT('hospitalityq-nil'!D780="")*(OR(COUNTIF(reference!$C$144:$C$155,TRIM(LEFT('hospitalityq-nil'!D780,FIND(":",'hospitalityq-nil'!D780&amp;":")-1))&amp;":*")=0,SUMPRODUCT(--(TRIM('hospitalityq-nil'!C6:C780)=TRIM('hospitalityq-nil'!C780)),--(TRIM('hospitalityq-nil'!D6:D780)=TRIM('hospitalityq-nil'!D780)))&gt;1))</f>
        <v>0</v>
      </c>
    </row>
    <row r="781" spans="1:4" x14ac:dyDescent="0.25">
      <c r="A781">
        <f t="shared" si="12"/>
        <v>0</v>
      </c>
      <c r="C781">
        <f>NOT('hospitalityq-nil'!C781="")*(OR(NOT(IFERROR(AND(INT('hospitalityq-nil'!C781)='hospitalityq-nil'!C781,'hospitalityq-nil'!C781&gt;=2018-50,'hospitalityq-nil'!C781&lt;=2018+50),FALSE)),SUMPRODUCT(--(TRIM('hospitalityq-nil'!C6:C781)=TRIM('hospitalityq-nil'!C781)),--(TRIM('hospitalityq-nil'!D6:D781)=TRIM('hospitalityq-nil'!D781)))&gt;1))</f>
        <v>0</v>
      </c>
      <c r="D781">
        <f>NOT('hospitalityq-nil'!D781="")*(OR(COUNTIF(reference!$C$144:$C$155,TRIM(LEFT('hospitalityq-nil'!D781,FIND(":",'hospitalityq-nil'!D781&amp;":")-1))&amp;":*")=0,SUMPRODUCT(--(TRIM('hospitalityq-nil'!C6:C781)=TRIM('hospitalityq-nil'!C781)),--(TRIM('hospitalityq-nil'!D6:D781)=TRIM('hospitalityq-nil'!D781)))&gt;1))</f>
        <v>0</v>
      </c>
    </row>
    <row r="782" spans="1:4" x14ac:dyDescent="0.25">
      <c r="A782">
        <f t="shared" si="12"/>
        <v>0</v>
      </c>
      <c r="C782">
        <f>NOT('hospitalityq-nil'!C782="")*(OR(NOT(IFERROR(AND(INT('hospitalityq-nil'!C782)='hospitalityq-nil'!C782,'hospitalityq-nil'!C782&gt;=2018-50,'hospitalityq-nil'!C782&lt;=2018+50),FALSE)),SUMPRODUCT(--(TRIM('hospitalityq-nil'!C6:C782)=TRIM('hospitalityq-nil'!C782)),--(TRIM('hospitalityq-nil'!D6:D782)=TRIM('hospitalityq-nil'!D782)))&gt;1))</f>
        <v>0</v>
      </c>
      <c r="D782">
        <f>NOT('hospitalityq-nil'!D782="")*(OR(COUNTIF(reference!$C$144:$C$155,TRIM(LEFT('hospitalityq-nil'!D782,FIND(":",'hospitalityq-nil'!D782&amp;":")-1))&amp;":*")=0,SUMPRODUCT(--(TRIM('hospitalityq-nil'!C6:C782)=TRIM('hospitalityq-nil'!C782)),--(TRIM('hospitalityq-nil'!D6:D782)=TRIM('hospitalityq-nil'!D782)))&gt;1))</f>
        <v>0</v>
      </c>
    </row>
    <row r="783" spans="1:4" x14ac:dyDescent="0.25">
      <c r="A783">
        <f t="shared" si="12"/>
        <v>0</v>
      </c>
      <c r="C783">
        <f>NOT('hospitalityq-nil'!C783="")*(OR(NOT(IFERROR(AND(INT('hospitalityq-nil'!C783)='hospitalityq-nil'!C783,'hospitalityq-nil'!C783&gt;=2018-50,'hospitalityq-nil'!C783&lt;=2018+50),FALSE)),SUMPRODUCT(--(TRIM('hospitalityq-nil'!C6:C783)=TRIM('hospitalityq-nil'!C783)),--(TRIM('hospitalityq-nil'!D6:D783)=TRIM('hospitalityq-nil'!D783)))&gt;1))</f>
        <v>0</v>
      </c>
      <c r="D783">
        <f>NOT('hospitalityq-nil'!D783="")*(OR(COUNTIF(reference!$C$144:$C$155,TRIM(LEFT('hospitalityq-nil'!D783,FIND(":",'hospitalityq-nil'!D783&amp;":")-1))&amp;":*")=0,SUMPRODUCT(--(TRIM('hospitalityq-nil'!C6:C783)=TRIM('hospitalityq-nil'!C783)),--(TRIM('hospitalityq-nil'!D6:D783)=TRIM('hospitalityq-nil'!D783)))&gt;1))</f>
        <v>0</v>
      </c>
    </row>
    <row r="784" spans="1:4" x14ac:dyDescent="0.25">
      <c r="A784">
        <f t="shared" si="12"/>
        <v>0</v>
      </c>
      <c r="C784">
        <f>NOT('hospitalityq-nil'!C784="")*(OR(NOT(IFERROR(AND(INT('hospitalityq-nil'!C784)='hospitalityq-nil'!C784,'hospitalityq-nil'!C784&gt;=2018-50,'hospitalityq-nil'!C784&lt;=2018+50),FALSE)),SUMPRODUCT(--(TRIM('hospitalityq-nil'!C6:C784)=TRIM('hospitalityq-nil'!C784)),--(TRIM('hospitalityq-nil'!D6:D784)=TRIM('hospitalityq-nil'!D784)))&gt;1))</f>
        <v>0</v>
      </c>
      <c r="D784">
        <f>NOT('hospitalityq-nil'!D784="")*(OR(COUNTIF(reference!$C$144:$C$155,TRIM(LEFT('hospitalityq-nil'!D784,FIND(":",'hospitalityq-nil'!D784&amp;":")-1))&amp;":*")=0,SUMPRODUCT(--(TRIM('hospitalityq-nil'!C6:C784)=TRIM('hospitalityq-nil'!C784)),--(TRIM('hospitalityq-nil'!D6:D784)=TRIM('hospitalityq-nil'!D784)))&gt;1))</f>
        <v>0</v>
      </c>
    </row>
    <row r="785" spans="1:4" x14ac:dyDescent="0.25">
      <c r="A785">
        <f t="shared" si="12"/>
        <v>0</v>
      </c>
      <c r="C785">
        <f>NOT('hospitalityq-nil'!C785="")*(OR(NOT(IFERROR(AND(INT('hospitalityq-nil'!C785)='hospitalityq-nil'!C785,'hospitalityq-nil'!C785&gt;=2018-50,'hospitalityq-nil'!C785&lt;=2018+50),FALSE)),SUMPRODUCT(--(TRIM('hospitalityq-nil'!C6:C785)=TRIM('hospitalityq-nil'!C785)),--(TRIM('hospitalityq-nil'!D6:D785)=TRIM('hospitalityq-nil'!D785)))&gt;1))</f>
        <v>0</v>
      </c>
      <c r="D785">
        <f>NOT('hospitalityq-nil'!D785="")*(OR(COUNTIF(reference!$C$144:$C$155,TRIM(LEFT('hospitalityq-nil'!D785,FIND(":",'hospitalityq-nil'!D785&amp;":")-1))&amp;":*")=0,SUMPRODUCT(--(TRIM('hospitalityq-nil'!C6:C785)=TRIM('hospitalityq-nil'!C785)),--(TRIM('hospitalityq-nil'!D6:D785)=TRIM('hospitalityq-nil'!D785)))&gt;1))</f>
        <v>0</v>
      </c>
    </row>
    <row r="786" spans="1:4" x14ac:dyDescent="0.25">
      <c r="A786">
        <f t="shared" si="12"/>
        <v>0</v>
      </c>
      <c r="C786">
        <f>NOT('hospitalityq-nil'!C786="")*(OR(NOT(IFERROR(AND(INT('hospitalityq-nil'!C786)='hospitalityq-nil'!C786,'hospitalityq-nil'!C786&gt;=2018-50,'hospitalityq-nil'!C786&lt;=2018+50),FALSE)),SUMPRODUCT(--(TRIM('hospitalityq-nil'!C6:C786)=TRIM('hospitalityq-nil'!C786)),--(TRIM('hospitalityq-nil'!D6:D786)=TRIM('hospitalityq-nil'!D786)))&gt;1))</f>
        <v>0</v>
      </c>
      <c r="D786">
        <f>NOT('hospitalityq-nil'!D786="")*(OR(COUNTIF(reference!$C$144:$C$155,TRIM(LEFT('hospitalityq-nil'!D786,FIND(":",'hospitalityq-nil'!D786&amp;":")-1))&amp;":*")=0,SUMPRODUCT(--(TRIM('hospitalityq-nil'!C6:C786)=TRIM('hospitalityq-nil'!C786)),--(TRIM('hospitalityq-nil'!D6:D786)=TRIM('hospitalityq-nil'!D786)))&gt;1))</f>
        <v>0</v>
      </c>
    </row>
    <row r="787" spans="1:4" x14ac:dyDescent="0.25">
      <c r="A787">
        <f t="shared" si="12"/>
        <v>0</v>
      </c>
      <c r="C787">
        <f>NOT('hospitalityq-nil'!C787="")*(OR(NOT(IFERROR(AND(INT('hospitalityq-nil'!C787)='hospitalityq-nil'!C787,'hospitalityq-nil'!C787&gt;=2018-50,'hospitalityq-nil'!C787&lt;=2018+50),FALSE)),SUMPRODUCT(--(TRIM('hospitalityq-nil'!C6:C787)=TRIM('hospitalityq-nil'!C787)),--(TRIM('hospitalityq-nil'!D6:D787)=TRIM('hospitalityq-nil'!D787)))&gt;1))</f>
        <v>0</v>
      </c>
      <c r="D787">
        <f>NOT('hospitalityq-nil'!D787="")*(OR(COUNTIF(reference!$C$144:$C$155,TRIM(LEFT('hospitalityq-nil'!D787,FIND(":",'hospitalityq-nil'!D787&amp;":")-1))&amp;":*")=0,SUMPRODUCT(--(TRIM('hospitalityq-nil'!C6:C787)=TRIM('hospitalityq-nil'!C787)),--(TRIM('hospitalityq-nil'!D6:D787)=TRIM('hospitalityq-nil'!D787)))&gt;1))</f>
        <v>0</v>
      </c>
    </row>
    <row r="788" spans="1:4" x14ac:dyDescent="0.25">
      <c r="A788">
        <f t="shared" si="12"/>
        <v>0</v>
      </c>
      <c r="C788">
        <f>NOT('hospitalityq-nil'!C788="")*(OR(NOT(IFERROR(AND(INT('hospitalityq-nil'!C788)='hospitalityq-nil'!C788,'hospitalityq-nil'!C788&gt;=2018-50,'hospitalityq-nil'!C788&lt;=2018+50),FALSE)),SUMPRODUCT(--(TRIM('hospitalityq-nil'!C6:C788)=TRIM('hospitalityq-nil'!C788)),--(TRIM('hospitalityq-nil'!D6:D788)=TRIM('hospitalityq-nil'!D788)))&gt;1))</f>
        <v>0</v>
      </c>
      <c r="D788">
        <f>NOT('hospitalityq-nil'!D788="")*(OR(COUNTIF(reference!$C$144:$C$155,TRIM(LEFT('hospitalityq-nil'!D788,FIND(":",'hospitalityq-nil'!D788&amp;":")-1))&amp;":*")=0,SUMPRODUCT(--(TRIM('hospitalityq-nil'!C6:C788)=TRIM('hospitalityq-nil'!C788)),--(TRIM('hospitalityq-nil'!D6:D788)=TRIM('hospitalityq-nil'!D788)))&gt;1))</f>
        <v>0</v>
      </c>
    </row>
    <row r="789" spans="1:4" x14ac:dyDescent="0.25">
      <c r="A789">
        <f t="shared" si="12"/>
        <v>0</v>
      </c>
      <c r="C789">
        <f>NOT('hospitalityq-nil'!C789="")*(OR(NOT(IFERROR(AND(INT('hospitalityq-nil'!C789)='hospitalityq-nil'!C789,'hospitalityq-nil'!C789&gt;=2018-50,'hospitalityq-nil'!C789&lt;=2018+50),FALSE)),SUMPRODUCT(--(TRIM('hospitalityq-nil'!C6:C789)=TRIM('hospitalityq-nil'!C789)),--(TRIM('hospitalityq-nil'!D6:D789)=TRIM('hospitalityq-nil'!D789)))&gt;1))</f>
        <v>0</v>
      </c>
      <c r="D789">
        <f>NOT('hospitalityq-nil'!D789="")*(OR(COUNTIF(reference!$C$144:$C$155,TRIM(LEFT('hospitalityq-nil'!D789,FIND(":",'hospitalityq-nil'!D789&amp;":")-1))&amp;":*")=0,SUMPRODUCT(--(TRIM('hospitalityq-nil'!C6:C789)=TRIM('hospitalityq-nil'!C789)),--(TRIM('hospitalityq-nil'!D6:D789)=TRIM('hospitalityq-nil'!D789)))&gt;1))</f>
        <v>0</v>
      </c>
    </row>
    <row r="790" spans="1:4" x14ac:dyDescent="0.25">
      <c r="A790">
        <f t="shared" si="12"/>
        <v>0</v>
      </c>
      <c r="C790">
        <f>NOT('hospitalityq-nil'!C790="")*(OR(NOT(IFERROR(AND(INT('hospitalityq-nil'!C790)='hospitalityq-nil'!C790,'hospitalityq-nil'!C790&gt;=2018-50,'hospitalityq-nil'!C790&lt;=2018+50),FALSE)),SUMPRODUCT(--(TRIM('hospitalityq-nil'!C6:C790)=TRIM('hospitalityq-nil'!C790)),--(TRIM('hospitalityq-nil'!D6:D790)=TRIM('hospitalityq-nil'!D790)))&gt;1))</f>
        <v>0</v>
      </c>
      <c r="D790">
        <f>NOT('hospitalityq-nil'!D790="")*(OR(COUNTIF(reference!$C$144:$C$155,TRIM(LEFT('hospitalityq-nil'!D790,FIND(":",'hospitalityq-nil'!D790&amp;":")-1))&amp;":*")=0,SUMPRODUCT(--(TRIM('hospitalityq-nil'!C6:C790)=TRIM('hospitalityq-nil'!C790)),--(TRIM('hospitalityq-nil'!D6:D790)=TRIM('hospitalityq-nil'!D790)))&gt;1))</f>
        <v>0</v>
      </c>
    </row>
    <row r="791" spans="1:4" x14ac:dyDescent="0.25">
      <c r="A791">
        <f t="shared" si="12"/>
        <v>0</v>
      </c>
      <c r="C791">
        <f>NOT('hospitalityq-nil'!C791="")*(OR(NOT(IFERROR(AND(INT('hospitalityq-nil'!C791)='hospitalityq-nil'!C791,'hospitalityq-nil'!C791&gt;=2018-50,'hospitalityq-nil'!C791&lt;=2018+50),FALSE)),SUMPRODUCT(--(TRIM('hospitalityq-nil'!C6:C791)=TRIM('hospitalityq-nil'!C791)),--(TRIM('hospitalityq-nil'!D6:D791)=TRIM('hospitalityq-nil'!D791)))&gt;1))</f>
        <v>0</v>
      </c>
      <c r="D791">
        <f>NOT('hospitalityq-nil'!D791="")*(OR(COUNTIF(reference!$C$144:$C$155,TRIM(LEFT('hospitalityq-nil'!D791,FIND(":",'hospitalityq-nil'!D791&amp;":")-1))&amp;":*")=0,SUMPRODUCT(--(TRIM('hospitalityq-nil'!C6:C791)=TRIM('hospitalityq-nil'!C791)),--(TRIM('hospitalityq-nil'!D6:D791)=TRIM('hospitalityq-nil'!D791)))&gt;1))</f>
        <v>0</v>
      </c>
    </row>
    <row r="792" spans="1:4" x14ac:dyDescent="0.25">
      <c r="A792">
        <f t="shared" si="12"/>
        <v>0</v>
      </c>
      <c r="C792">
        <f>NOT('hospitalityq-nil'!C792="")*(OR(NOT(IFERROR(AND(INT('hospitalityq-nil'!C792)='hospitalityq-nil'!C792,'hospitalityq-nil'!C792&gt;=2018-50,'hospitalityq-nil'!C792&lt;=2018+50),FALSE)),SUMPRODUCT(--(TRIM('hospitalityq-nil'!C6:C792)=TRIM('hospitalityq-nil'!C792)),--(TRIM('hospitalityq-nil'!D6:D792)=TRIM('hospitalityq-nil'!D792)))&gt;1))</f>
        <v>0</v>
      </c>
      <c r="D792">
        <f>NOT('hospitalityq-nil'!D792="")*(OR(COUNTIF(reference!$C$144:$C$155,TRIM(LEFT('hospitalityq-nil'!D792,FIND(":",'hospitalityq-nil'!D792&amp;":")-1))&amp;":*")=0,SUMPRODUCT(--(TRIM('hospitalityq-nil'!C6:C792)=TRIM('hospitalityq-nil'!C792)),--(TRIM('hospitalityq-nil'!D6:D792)=TRIM('hospitalityq-nil'!D792)))&gt;1))</f>
        <v>0</v>
      </c>
    </row>
    <row r="793" spans="1:4" x14ac:dyDescent="0.25">
      <c r="A793">
        <f t="shared" si="12"/>
        <v>0</v>
      </c>
      <c r="C793">
        <f>NOT('hospitalityq-nil'!C793="")*(OR(NOT(IFERROR(AND(INT('hospitalityq-nil'!C793)='hospitalityq-nil'!C793,'hospitalityq-nil'!C793&gt;=2018-50,'hospitalityq-nil'!C793&lt;=2018+50),FALSE)),SUMPRODUCT(--(TRIM('hospitalityq-nil'!C6:C793)=TRIM('hospitalityq-nil'!C793)),--(TRIM('hospitalityq-nil'!D6:D793)=TRIM('hospitalityq-nil'!D793)))&gt;1))</f>
        <v>0</v>
      </c>
      <c r="D793">
        <f>NOT('hospitalityq-nil'!D793="")*(OR(COUNTIF(reference!$C$144:$C$155,TRIM(LEFT('hospitalityq-nil'!D793,FIND(":",'hospitalityq-nil'!D793&amp;":")-1))&amp;":*")=0,SUMPRODUCT(--(TRIM('hospitalityq-nil'!C6:C793)=TRIM('hospitalityq-nil'!C793)),--(TRIM('hospitalityq-nil'!D6:D793)=TRIM('hospitalityq-nil'!D793)))&gt;1))</f>
        <v>0</v>
      </c>
    </row>
    <row r="794" spans="1:4" x14ac:dyDescent="0.25">
      <c r="A794">
        <f t="shared" si="12"/>
        <v>0</v>
      </c>
      <c r="C794">
        <f>NOT('hospitalityq-nil'!C794="")*(OR(NOT(IFERROR(AND(INT('hospitalityq-nil'!C794)='hospitalityq-nil'!C794,'hospitalityq-nil'!C794&gt;=2018-50,'hospitalityq-nil'!C794&lt;=2018+50),FALSE)),SUMPRODUCT(--(TRIM('hospitalityq-nil'!C6:C794)=TRIM('hospitalityq-nil'!C794)),--(TRIM('hospitalityq-nil'!D6:D794)=TRIM('hospitalityq-nil'!D794)))&gt;1))</f>
        <v>0</v>
      </c>
      <c r="D794">
        <f>NOT('hospitalityq-nil'!D794="")*(OR(COUNTIF(reference!$C$144:$C$155,TRIM(LEFT('hospitalityq-nil'!D794,FIND(":",'hospitalityq-nil'!D794&amp;":")-1))&amp;":*")=0,SUMPRODUCT(--(TRIM('hospitalityq-nil'!C6:C794)=TRIM('hospitalityq-nil'!C794)),--(TRIM('hospitalityq-nil'!D6:D794)=TRIM('hospitalityq-nil'!D794)))&gt;1))</f>
        <v>0</v>
      </c>
    </row>
    <row r="795" spans="1:4" x14ac:dyDescent="0.25">
      <c r="A795">
        <f t="shared" si="12"/>
        <v>0</v>
      </c>
      <c r="C795">
        <f>NOT('hospitalityq-nil'!C795="")*(OR(NOT(IFERROR(AND(INT('hospitalityq-nil'!C795)='hospitalityq-nil'!C795,'hospitalityq-nil'!C795&gt;=2018-50,'hospitalityq-nil'!C795&lt;=2018+50),FALSE)),SUMPRODUCT(--(TRIM('hospitalityq-nil'!C6:C795)=TRIM('hospitalityq-nil'!C795)),--(TRIM('hospitalityq-nil'!D6:D795)=TRIM('hospitalityq-nil'!D795)))&gt;1))</f>
        <v>0</v>
      </c>
      <c r="D795">
        <f>NOT('hospitalityq-nil'!D795="")*(OR(COUNTIF(reference!$C$144:$C$155,TRIM(LEFT('hospitalityq-nil'!D795,FIND(":",'hospitalityq-nil'!D795&amp;":")-1))&amp;":*")=0,SUMPRODUCT(--(TRIM('hospitalityq-nil'!C6:C795)=TRIM('hospitalityq-nil'!C795)),--(TRIM('hospitalityq-nil'!D6:D795)=TRIM('hospitalityq-nil'!D795)))&gt;1))</f>
        <v>0</v>
      </c>
    </row>
    <row r="796" spans="1:4" x14ac:dyDescent="0.25">
      <c r="A796">
        <f t="shared" si="12"/>
        <v>0</v>
      </c>
      <c r="C796">
        <f>NOT('hospitalityq-nil'!C796="")*(OR(NOT(IFERROR(AND(INT('hospitalityq-nil'!C796)='hospitalityq-nil'!C796,'hospitalityq-nil'!C796&gt;=2018-50,'hospitalityq-nil'!C796&lt;=2018+50),FALSE)),SUMPRODUCT(--(TRIM('hospitalityq-nil'!C6:C796)=TRIM('hospitalityq-nil'!C796)),--(TRIM('hospitalityq-nil'!D6:D796)=TRIM('hospitalityq-nil'!D796)))&gt;1))</f>
        <v>0</v>
      </c>
      <c r="D796">
        <f>NOT('hospitalityq-nil'!D796="")*(OR(COUNTIF(reference!$C$144:$C$155,TRIM(LEFT('hospitalityq-nil'!D796,FIND(":",'hospitalityq-nil'!D796&amp;":")-1))&amp;":*")=0,SUMPRODUCT(--(TRIM('hospitalityq-nil'!C6:C796)=TRIM('hospitalityq-nil'!C796)),--(TRIM('hospitalityq-nil'!D6:D796)=TRIM('hospitalityq-nil'!D796)))&gt;1))</f>
        <v>0</v>
      </c>
    </row>
    <row r="797" spans="1:4" x14ac:dyDescent="0.25">
      <c r="A797">
        <f t="shared" si="12"/>
        <v>0</v>
      </c>
      <c r="C797">
        <f>NOT('hospitalityq-nil'!C797="")*(OR(NOT(IFERROR(AND(INT('hospitalityq-nil'!C797)='hospitalityq-nil'!C797,'hospitalityq-nil'!C797&gt;=2018-50,'hospitalityq-nil'!C797&lt;=2018+50),FALSE)),SUMPRODUCT(--(TRIM('hospitalityq-nil'!C6:C797)=TRIM('hospitalityq-nil'!C797)),--(TRIM('hospitalityq-nil'!D6:D797)=TRIM('hospitalityq-nil'!D797)))&gt;1))</f>
        <v>0</v>
      </c>
      <c r="D797">
        <f>NOT('hospitalityq-nil'!D797="")*(OR(COUNTIF(reference!$C$144:$C$155,TRIM(LEFT('hospitalityq-nil'!D797,FIND(":",'hospitalityq-nil'!D797&amp;":")-1))&amp;":*")=0,SUMPRODUCT(--(TRIM('hospitalityq-nil'!C6:C797)=TRIM('hospitalityq-nil'!C797)),--(TRIM('hospitalityq-nil'!D6:D797)=TRIM('hospitalityq-nil'!D797)))&gt;1))</f>
        <v>0</v>
      </c>
    </row>
    <row r="798" spans="1:4" x14ac:dyDescent="0.25">
      <c r="A798">
        <f t="shared" si="12"/>
        <v>0</v>
      </c>
      <c r="C798">
        <f>NOT('hospitalityq-nil'!C798="")*(OR(NOT(IFERROR(AND(INT('hospitalityq-nil'!C798)='hospitalityq-nil'!C798,'hospitalityq-nil'!C798&gt;=2018-50,'hospitalityq-nil'!C798&lt;=2018+50),FALSE)),SUMPRODUCT(--(TRIM('hospitalityq-nil'!C6:C798)=TRIM('hospitalityq-nil'!C798)),--(TRIM('hospitalityq-nil'!D6:D798)=TRIM('hospitalityq-nil'!D798)))&gt;1))</f>
        <v>0</v>
      </c>
      <c r="D798">
        <f>NOT('hospitalityq-nil'!D798="")*(OR(COUNTIF(reference!$C$144:$C$155,TRIM(LEFT('hospitalityq-nil'!D798,FIND(":",'hospitalityq-nil'!D798&amp;":")-1))&amp;":*")=0,SUMPRODUCT(--(TRIM('hospitalityq-nil'!C6:C798)=TRIM('hospitalityq-nil'!C798)),--(TRIM('hospitalityq-nil'!D6:D798)=TRIM('hospitalityq-nil'!D798)))&gt;1))</f>
        <v>0</v>
      </c>
    </row>
    <row r="799" spans="1:4" x14ac:dyDescent="0.25">
      <c r="A799">
        <f t="shared" si="12"/>
        <v>0</v>
      </c>
      <c r="C799">
        <f>NOT('hospitalityq-nil'!C799="")*(OR(NOT(IFERROR(AND(INT('hospitalityq-nil'!C799)='hospitalityq-nil'!C799,'hospitalityq-nil'!C799&gt;=2018-50,'hospitalityq-nil'!C799&lt;=2018+50),FALSE)),SUMPRODUCT(--(TRIM('hospitalityq-nil'!C6:C799)=TRIM('hospitalityq-nil'!C799)),--(TRIM('hospitalityq-nil'!D6:D799)=TRIM('hospitalityq-nil'!D799)))&gt;1))</f>
        <v>0</v>
      </c>
      <c r="D799">
        <f>NOT('hospitalityq-nil'!D799="")*(OR(COUNTIF(reference!$C$144:$C$155,TRIM(LEFT('hospitalityq-nil'!D799,FIND(":",'hospitalityq-nil'!D799&amp;":")-1))&amp;":*")=0,SUMPRODUCT(--(TRIM('hospitalityq-nil'!C6:C799)=TRIM('hospitalityq-nil'!C799)),--(TRIM('hospitalityq-nil'!D6:D799)=TRIM('hospitalityq-nil'!D799)))&gt;1))</f>
        <v>0</v>
      </c>
    </row>
    <row r="800" spans="1:4" x14ac:dyDescent="0.25">
      <c r="A800">
        <f t="shared" si="12"/>
        <v>0</v>
      </c>
      <c r="C800">
        <f>NOT('hospitalityq-nil'!C800="")*(OR(NOT(IFERROR(AND(INT('hospitalityq-nil'!C800)='hospitalityq-nil'!C800,'hospitalityq-nil'!C800&gt;=2018-50,'hospitalityq-nil'!C800&lt;=2018+50),FALSE)),SUMPRODUCT(--(TRIM('hospitalityq-nil'!C6:C800)=TRIM('hospitalityq-nil'!C800)),--(TRIM('hospitalityq-nil'!D6:D800)=TRIM('hospitalityq-nil'!D800)))&gt;1))</f>
        <v>0</v>
      </c>
      <c r="D800">
        <f>NOT('hospitalityq-nil'!D800="")*(OR(COUNTIF(reference!$C$144:$C$155,TRIM(LEFT('hospitalityq-nil'!D800,FIND(":",'hospitalityq-nil'!D800&amp;":")-1))&amp;":*")=0,SUMPRODUCT(--(TRIM('hospitalityq-nil'!C6:C800)=TRIM('hospitalityq-nil'!C800)),--(TRIM('hospitalityq-nil'!D6:D800)=TRIM('hospitalityq-nil'!D800)))&gt;1))</f>
        <v>0</v>
      </c>
    </row>
    <row r="801" spans="1:4" x14ac:dyDescent="0.25">
      <c r="A801">
        <f t="shared" si="12"/>
        <v>0</v>
      </c>
      <c r="C801">
        <f>NOT('hospitalityq-nil'!C801="")*(OR(NOT(IFERROR(AND(INT('hospitalityq-nil'!C801)='hospitalityq-nil'!C801,'hospitalityq-nil'!C801&gt;=2018-50,'hospitalityq-nil'!C801&lt;=2018+50),FALSE)),SUMPRODUCT(--(TRIM('hospitalityq-nil'!C6:C801)=TRIM('hospitalityq-nil'!C801)),--(TRIM('hospitalityq-nil'!D6:D801)=TRIM('hospitalityq-nil'!D801)))&gt;1))</f>
        <v>0</v>
      </c>
      <c r="D801">
        <f>NOT('hospitalityq-nil'!D801="")*(OR(COUNTIF(reference!$C$144:$C$155,TRIM(LEFT('hospitalityq-nil'!D801,FIND(":",'hospitalityq-nil'!D801&amp;":")-1))&amp;":*")=0,SUMPRODUCT(--(TRIM('hospitalityq-nil'!C6:C801)=TRIM('hospitalityq-nil'!C801)),--(TRIM('hospitalityq-nil'!D6:D801)=TRIM('hospitalityq-nil'!D801)))&gt;1))</f>
        <v>0</v>
      </c>
    </row>
    <row r="802" spans="1:4" x14ac:dyDescent="0.25">
      <c r="A802">
        <f t="shared" si="12"/>
        <v>0</v>
      </c>
      <c r="C802">
        <f>NOT('hospitalityq-nil'!C802="")*(OR(NOT(IFERROR(AND(INT('hospitalityq-nil'!C802)='hospitalityq-nil'!C802,'hospitalityq-nil'!C802&gt;=2018-50,'hospitalityq-nil'!C802&lt;=2018+50),FALSE)),SUMPRODUCT(--(TRIM('hospitalityq-nil'!C6:C802)=TRIM('hospitalityq-nil'!C802)),--(TRIM('hospitalityq-nil'!D6:D802)=TRIM('hospitalityq-nil'!D802)))&gt;1))</f>
        <v>0</v>
      </c>
      <c r="D802">
        <f>NOT('hospitalityq-nil'!D802="")*(OR(COUNTIF(reference!$C$144:$C$155,TRIM(LEFT('hospitalityq-nil'!D802,FIND(":",'hospitalityq-nil'!D802&amp;":")-1))&amp;":*")=0,SUMPRODUCT(--(TRIM('hospitalityq-nil'!C6:C802)=TRIM('hospitalityq-nil'!C802)),--(TRIM('hospitalityq-nil'!D6:D802)=TRIM('hospitalityq-nil'!D802)))&gt;1))</f>
        <v>0</v>
      </c>
    </row>
    <row r="803" spans="1:4" x14ac:dyDescent="0.25">
      <c r="A803">
        <f t="shared" si="12"/>
        <v>0</v>
      </c>
      <c r="C803">
        <f>NOT('hospitalityq-nil'!C803="")*(OR(NOT(IFERROR(AND(INT('hospitalityq-nil'!C803)='hospitalityq-nil'!C803,'hospitalityq-nil'!C803&gt;=2018-50,'hospitalityq-nil'!C803&lt;=2018+50),FALSE)),SUMPRODUCT(--(TRIM('hospitalityq-nil'!C6:C803)=TRIM('hospitalityq-nil'!C803)),--(TRIM('hospitalityq-nil'!D6:D803)=TRIM('hospitalityq-nil'!D803)))&gt;1))</f>
        <v>0</v>
      </c>
      <c r="D803">
        <f>NOT('hospitalityq-nil'!D803="")*(OR(COUNTIF(reference!$C$144:$C$155,TRIM(LEFT('hospitalityq-nil'!D803,FIND(":",'hospitalityq-nil'!D803&amp;":")-1))&amp;":*")=0,SUMPRODUCT(--(TRIM('hospitalityq-nil'!C6:C803)=TRIM('hospitalityq-nil'!C803)),--(TRIM('hospitalityq-nil'!D6:D803)=TRIM('hospitalityq-nil'!D803)))&gt;1))</f>
        <v>0</v>
      </c>
    </row>
    <row r="804" spans="1:4" x14ac:dyDescent="0.25">
      <c r="A804">
        <f t="shared" si="12"/>
        <v>0</v>
      </c>
      <c r="C804">
        <f>NOT('hospitalityq-nil'!C804="")*(OR(NOT(IFERROR(AND(INT('hospitalityq-nil'!C804)='hospitalityq-nil'!C804,'hospitalityq-nil'!C804&gt;=2018-50,'hospitalityq-nil'!C804&lt;=2018+50),FALSE)),SUMPRODUCT(--(TRIM('hospitalityq-nil'!C6:C804)=TRIM('hospitalityq-nil'!C804)),--(TRIM('hospitalityq-nil'!D6:D804)=TRIM('hospitalityq-nil'!D804)))&gt;1))</f>
        <v>0</v>
      </c>
      <c r="D804">
        <f>NOT('hospitalityq-nil'!D804="")*(OR(COUNTIF(reference!$C$144:$C$155,TRIM(LEFT('hospitalityq-nil'!D804,FIND(":",'hospitalityq-nil'!D804&amp;":")-1))&amp;":*")=0,SUMPRODUCT(--(TRIM('hospitalityq-nil'!C6:C804)=TRIM('hospitalityq-nil'!C804)),--(TRIM('hospitalityq-nil'!D6:D804)=TRIM('hospitalityq-nil'!D804)))&gt;1))</f>
        <v>0</v>
      </c>
    </row>
    <row r="805" spans="1:4" x14ac:dyDescent="0.25">
      <c r="A805">
        <f t="shared" si="12"/>
        <v>0</v>
      </c>
      <c r="C805">
        <f>NOT('hospitalityq-nil'!C805="")*(OR(NOT(IFERROR(AND(INT('hospitalityq-nil'!C805)='hospitalityq-nil'!C805,'hospitalityq-nil'!C805&gt;=2018-50,'hospitalityq-nil'!C805&lt;=2018+50),FALSE)),SUMPRODUCT(--(TRIM('hospitalityq-nil'!C6:C805)=TRIM('hospitalityq-nil'!C805)),--(TRIM('hospitalityq-nil'!D6:D805)=TRIM('hospitalityq-nil'!D805)))&gt;1))</f>
        <v>0</v>
      </c>
      <c r="D805">
        <f>NOT('hospitalityq-nil'!D805="")*(OR(COUNTIF(reference!$C$144:$C$155,TRIM(LEFT('hospitalityq-nil'!D805,FIND(":",'hospitalityq-nil'!D805&amp;":")-1))&amp;":*")=0,SUMPRODUCT(--(TRIM('hospitalityq-nil'!C6:C805)=TRIM('hospitalityq-nil'!C805)),--(TRIM('hospitalityq-nil'!D6:D805)=TRIM('hospitalityq-nil'!D805)))&gt;1))</f>
        <v>0</v>
      </c>
    </row>
    <row r="806" spans="1:4" x14ac:dyDescent="0.25">
      <c r="A806">
        <f t="shared" si="12"/>
        <v>0</v>
      </c>
      <c r="C806">
        <f>NOT('hospitalityq-nil'!C806="")*(OR(NOT(IFERROR(AND(INT('hospitalityq-nil'!C806)='hospitalityq-nil'!C806,'hospitalityq-nil'!C806&gt;=2018-50,'hospitalityq-nil'!C806&lt;=2018+50),FALSE)),SUMPRODUCT(--(TRIM('hospitalityq-nil'!C6:C806)=TRIM('hospitalityq-nil'!C806)),--(TRIM('hospitalityq-nil'!D6:D806)=TRIM('hospitalityq-nil'!D806)))&gt;1))</f>
        <v>0</v>
      </c>
      <c r="D806">
        <f>NOT('hospitalityq-nil'!D806="")*(OR(COUNTIF(reference!$C$144:$C$155,TRIM(LEFT('hospitalityq-nil'!D806,FIND(":",'hospitalityq-nil'!D806&amp;":")-1))&amp;":*")=0,SUMPRODUCT(--(TRIM('hospitalityq-nil'!C6:C806)=TRIM('hospitalityq-nil'!C806)),--(TRIM('hospitalityq-nil'!D6:D806)=TRIM('hospitalityq-nil'!D806)))&gt;1))</f>
        <v>0</v>
      </c>
    </row>
    <row r="807" spans="1:4" x14ac:dyDescent="0.25">
      <c r="A807">
        <f t="shared" si="12"/>
        <v>0</v>
      </c>
      <c r="C807">
        <f>NOT('hospitalityq-nil'!C807="")*(OR(NOT(IFERROR(AND(INT('hospitalityq-nil'!C807)='hospitalityq-nil'!C807,'hospitalityq-nil'!C807&gt;=2018-50,'hospitalityq-nil'!C807&lt;=2018+50),FALSE)),SUMPRODUCT(--(TRIM('hospitalityq-nil'!C6:C807)=TRIM('hospitalityq-nil'!C807)),--(TRIM('hospitalityq-nil'!D6:D807)=TRIM('hospitalityq-nil'!D807)))&gt;1))</f>
        <v>0</v>
      </c>
      <c r="D807">
        <f>NOT('hospitalityq-nil'!D807="")*(OR(COUNTIF(reference!$C$144:$C$155,TRIM(LEFT('hospitalityq-nil'!D807,FIND(":",'hospitalityq-nil'!D807&amp;":")-1))&amp;":*")=0,SUMPRODUCT(--(TRIM('hospitalityq-nil'!C6:C807)=TRIM('hospitalityq-nil'!C807)),--(TRIM('hospitalityq-nil'!D6:D807)=TRIM('hospitalityq-nil'!D807)))&gt;1))</f>
        <v>0</v>
      </c>
    </row>
    <row r="808" spans="1:4" x14ac:dyDescent="0.25">
      <c r="A808">
        <f t="shared" si="12"/>
        <v>0</v>
      </c>
      <c r="C808">
        <f>NOT('hospitalityq-nil'!C808="")*(OR(NOT(IFERROR(AND(INT('hospitalityq-nil'!C808)='hospitalityq-nil'!C808,'hospitalityq-nil'!C808&gt;=2018-50,'hospitalityq-nil'!C808&lt;=2018+50),FALSE)),SUMPRODUCT(--(TRIM('hospitalityq-nil'!C6:C808)=TRIM('hospitalityq-nil'!C808)),--(TRIM('hospitalityq-nil'!D6:D808)=TRIM('hospitalityq-nil'!D808)))&gt;1))</f>
        <v>0</v>
      </c>
      <c r="D808">
        <f>NOT('hospitalityq-nil'!D808="")*(OR(COUNTIF(reference!$C$144:$C$155,TRIM(LEFT('hospitalityq-nil'!D808,FIND(":",'hospitalityq-nil'!D808&amp;":")-1))&amp;":*")=0,SUMPRODUCT(--(TRIM('hospitalityq-nil'!C6:C808)=TRIM('hospitalityq-nil'!C808)),--(TRIM('hospitalityq-nil'!D6:D808)=TRIM('hospitalityq-nil'!D808)))&gt;1))</f>
        <v>0</v>
      </c>
    </row>
    <row r="809" spans="1:4" x14ac:dyDescent="0.25">
      <c r="A809">
        <f t="shared" si="12"/>
        <v>0</v>
      </c>
      <c r="C809">
        <f>NOT('hospitalityq-nil'!C809="")*(OR(NOT(IFERROR(AND(INT('hospitalityq-nil'!C809)='hospitalityq-nil'!C809,'hospitalityq-nil'!C809&gt;=2018-50,'hospitalityq-nil'!C809&lt;=2018+50),FALSE)),SUMPRODUCT(--(TRIM('hospitalityq-nil'!C6:C809)=TRIM('hospitalityq-nil'!C809)),--(TRIM('hospitalityq-nil'!D6:D809)=TRIM('hospitalityq-nil'!D809)))&gt;1))</f>
        <v>0</v>
      </c>
      <c r="D809">
        <f>NOT('hospitalityq-nil'!D809="")*(OR(COUNTIF(reference!$C$144:$C$155,TRIM(LEFT('hospitalityq-nil'!D809,FIND(":",'hospitalityq-nil'!D809&amp;":")-1))&amp;":*")=0,SUMPRODUCT(--(TRIM('hospitalityq-nil'!C6:C809)=TRIM('hospitalityq-nil'!C809)),--(TRIM('hospitalityq-nil'!D6:D809)=TRIM('hospitalityq-nil'!D809)))&gt;1))</f>
        <v>0</v>
      </c>
    </row>
    <row r="810" spans="1:4" x14ac:dyDescent="0.25">
      <c r="A810">
        <f t="shared" si="12"/>
        <v>0</v>
      </c>
      <c r="C810">
        <f>NOT('hospitalityq-nil'!C810="")*(OR(NOT(IFERROR(AND(INT('hospitalityq-nil'!C810)='hospitalityq-nil'!C810,'hospitalityq-nil'!C810&gt;=2018-50,'hospitalityq-nil'!C810&lt;=2018+50),FALSE)),SUMPRODUCT(--(TRIM('hospitalityq-nil'!C6:C810)=TRIM('hospitalityq-nil'!C810)),--(TRIM('hospitalityq-nil'!D6:D810)=TRIM('hospitalityq-nil'!D810)))&gt;1))</f>
        <v>0</v>
      </c>
      <c r="D810">
        <f>NOT('hospitalityq-nil'!D810="")*(OR(COUNTIF(reference!$C$144:$C$155,TRIM(LEFT('hospitalityq-nil'!D810,FIND(":",'hospitalityq-nil'!D810&amp;":")-1))&amp;":*")=0,SUMPRODUCT(--(TRIM('hospitalityq-nil'!C6:C810)=TRIM('hospitalityq-nil'!C810)),--(TRIM('hospitalityq-nil'!D6:D810)=TRIM('hospitalityq-nil'!D810)))&gt;1))</f>
        <v>0</v>
      </c>
    </row>
    <row r="811" spans="1:4" x14ac:dyDescent="0.25">
      <c r="A811">
        <f t="shared" si="12"/>
        <v>0</v>
      </c>
      <c r="C811">
        <f>NOT('hospitalityq-nil'!C811="")*(OR(NOT(IFERROR(AND(INT('hospitalityq-nil'!C811)='hospitalityq-nil'!C811,'hospitalityq-nil'!C811&gt;=2018-50,'hospitalityq-nil'!C811&lt;=2018+50),FALSE)),SUMPRODUCT(--(TRIM('hospitalityq-nil'!C6:C811)=TRIM('hospitalityq-nil'!C811)),--(TRIM('hospitalityq-nil'!D6:D811)=TRIM('hospitalityq-nil'!D811)))&gt;1))</f>
        <v>0</v>
      </c>
      <c r="D811">
        <f>NOT('hospitalityq-nil'!D811="")*(OR(COUNTIF(reference!$C$144:$C$155,TRIM(LEFT('hospitalityq-nil'!D811,FIND(":",'hospitalityq-nil'!D811&amp;":")-1))&amp;":*")=0,SUMPRODUCT(--(TRIM('hospitalityq-nil'!C6:C811)=TRIM('hospitalityq-nil'!C811)),--(TRIM('hospitalityq-nil'!D6:D811)=TRIM('hospitalityq-nil'!D811)))&gt;1))</f>
        <v>0</v>
      </c>
    </row>
    <row r="812" spans="1:4" x14ac:dyDescent="0.25">
      <c r="A812">
        <f t="shared" si="12"/>
        <v>0</v>
      </c>
      <c r="C812">
        <f>NOT('hospitalityq-nil'!C812="")*(OR(NOT(IFERROR(AND(INT('hospitalityq-nil'!C812)='hospitalityq-nil'!C812,'hospitalityq-nil'!C812&gt;=2018-50,'hospitalityq-nil'!C812&lt;=2018+50),FALSE)),SUMPRODUCT(--(TRIM('hospitalityq-nil'!C6:C812)=TRIM('hospitalityq-nil'!C812)),--(TRIM('hospitalityq-nil'!D6:D812)=TRIM('hospitalityq-nil'!D812)))&gt;1))</f>
        <v>0</v>
      </c>
      <c r="D812">
        <f>NOT('hospitalityq-nil'!D812="")*(OR(COUNTIF(reference!$C$144:$C$155,TRIM(LEFT('hospitalityq-nil'!D812,FIND(":",'hospitalityq-nil'!D812&amp;":")-1))&amp;":*")=0,SUMPRODUCT(--(TRIM('hospitalityq-nil'!C6:C812)=TRIM('hospitalityq-nil'!C812)),--(TRIM('hospitalityq-nil'!D6:D812)=TRIM('hospitalityq-nil'!D812)))&gt;1))</f>
        <v>0</v>
      </c>
    </row>
    <row r="813" spans="1:4" x14ac:dyDescent="0.25">
      <c r="A813">
        <f t="shared" si="12"/>
        <v>0</v>
      </c>
      <c r="C813">
        <f>NOT('hospitalityq-nil'!C813="")*(OR(NOT(IFERROR(AND(INT('hospitalityq-nil'!C813)='hospitalityq-nil'!C813,'hospitalityq-nil'!C813&gt;=2018-50,'hospitalityq-nil'!C813&lt;=2018+50),FALSE)),SUMPRODUCT(--(TRIM('hospitalityq-nil'!C6:C813)=TRIM('hospitalityq-nil'!C813)),--(TRIM('hospitalityq-nil'!D6:D813)=TRIM('hospitalityq-nil'!D813)))&gt;1))</f>
        <v>0</v>
      </c>
      <c r="D813">
        <f>NOT('hospitalityq-nil'!D813="")*(OR(COUNTIF(reference!$C$144:$C$155,TRIM(LEFT('hospitalityq-nil'!D813,FIND(":",'hospitalityq-nil'!D813&amp;":")-1))&amp;":*")=0,SUMPRODUCT(--(TRIM('hospitalityq-nil'!C6:C813)=TRIM('hospitalityq-nil'!C813)),--(TRIM('hospitalityq-nil'!D6:D813)=TRIM('hospitalityq-nil'!D813)))&gt;1))</f>
        <v>0</v>
      </c>
    </row>
    <row r="814" spans="1:4" x14ac:dyDescent="0.25">
      <c r="A814">
        <f t="shared" si="12"/>
        <v>0</v>
      </c>
      <c r="C814">
        <f>NOT('hospitalityq-nil'!C814="")*(OR(NOT(IFERROR(AND(INT('hospitalityq-nil'!C814)='hospitalityq-nil'!C814,'hospitalityq-nil'!C814&gt;=2018-50,'hospitalityq-nil'!C814&lt;=2018+50),FALSE)),SUMPRODUCT(--(TRIM('hospitalityq-nil'!C6:C814)=TRIM('hospitalityq-nil'!C814)),--(TRIM('hospitalityq-nil'!D6:D814)=TRIM('hospitalityq-nil'!D814)))&gt;1))</f>
        <v>0</v>
      </c>
      <c r="D814">
        <f>NOT('hospitalityq-nil'!D814="")*(OR(COUNTIF(reference!$C$144:$C$155,TRIM(LEFT('hospitalityq-nil'!D814,FIND(":",'hospitalityq-nil'!D814&amp;":")-1))&amp;":*")=0,SUMPRODUCT(--(TRIM('hospitalityq-nil'!C6:C814)=TRIM('hospitalityq-nil'!C814)),--(TRIM('hospitalityq-nil'!D6:D814)=TRIM('hospitalityq-nil'!D814)))&gt;1))</f>
        <v>0</v>
      </c>
    </row>
    <row r="815" spans="1:4" x14ac:dyDescent="0.25">
      <c r="A815">
        <f t="shared" si="12"/>
        <v>0</v>
      </c>
      <c r="C815">
        <f>NOT('hospitalityq-nil'!C815="")*(OR(NOT(IFERROR(AND(INT('hospitalityq-nil'!C815)='hospitalityq-nil'!C815,'hospitalityq-nil'!C815&gt;=2018-50,'hospitalityq-nil'!C815&lt;=2018+50),FALSE)),SUMPRODUCT(--(TRIM('hospitalityq-nil'!C6:C815)=TRIM('hospitalityq-nil'!C815)),--(TRIM('hospitalityq-nil'!D6:D815)=TRIM('hospitalityq-nil'!D815)))&gt;1))</f>
        <v>0</v>
      </c>
      <c r="D815">
        <f>NOT('hospitalityq-nil'!D815="")*(OR(COUNTIF(reference!$C$144:$C$155,TRIM(LEFT('hospitalityq-nil'!D815,FIND(":",'hospitalityq-nil'!D815&amp;":")-1))&amp;":*")=0,SUMPRODUCT(--(TRIM('hospitalityq-nil'!C6:C815)=TRIM('hospitalityq-nil'!C815)),--(TRIM('hospitalityq-nil'!D6:D815)=TRIM('hospitalityq-nil'!D815)))&gt;1))</f>
        <v>0</v>
      </c>
    </row>
    <row r="816" spans="1:4" x14ac:dyDescent="0.25">
      <c r="A816">
        <f t="shared" si="12"/>
        <v>0</v>
      </c>
      <c r="C816">
        <f>NOT('hospitalityq-nil'!C816="")*(OR(NOT(IFERROR(AND(INT('hospitalityq-nil'!C816)='hospitalityq-nil'!C816,'hospitalityq-nil'!C816&gt;=2018-50,'hospitalityq-nil'!C816&lt;=2018+50),FALSE)),SUMPRODUCT(--(TRIM('hospitalityq-nil'!C6:C816)=TRIM('hospitalityq-nil'!C816)),--(TRIM('hospitalityq-nil'!D6:D816)=TRIM('hospitalityq-nil'!D816)))&gt;1))</f>
        <v>0</v>
      </c>
      <c r="D816">
        <f>NOT('hospitalityq-nil'!D816="")*(OR(COUNTIF(reference!$C$144:$C$155,TRIM(LEFT('hospitalityq-nil'!D816,FIND(":",'hospitalityq-nil'!D816&amp;":")-1))&amp;":*")=0,SUMPRODUCT(--(TRIM('hospitalityq-nil'!C6:C816)=TRIM('hospitalityq-nil'!C816)),--(TRIM('hospitalityq-nil'!D6:D816)=TRIM('hospitalityq-nil'!D816)))&gt;1))</f>
        <v>0</v>
      </c>
    </row>
    <row r="817" spans="1:4" x14ac:dyDescent="0.25">
      <c r="A817">
        <f t="shared" si="12"/>
        <v>0</v>
      </c>
      <c r="C817">
        <f>NOT('hospitalityq-nil'!C817="")*(OR(NOT(IFERROR(AND(INT('hospitalityq-nil'!C817)='hospitalityq-nil'!C817,'hospitalityq-nil'!C817&gt;=2018-50,'hospitalityq-nil'!C817&lt;=2018+50),FALSE)),SUMPRODUCT(--(TRIM('hospitalityq-nil'!C6:C817)=TRIM('hospitalityq-nil'!C817)),--(TRIM('hospitalityq-nil'!D6:D817)=TRIM('hospitalityq-nil'!D817)))&gt;1))</f>
        <v>0</v>
      </c>
      <c r="D817">
        <f>NOT('hospitalityq-nil'!D817="")*(OR(COUNTIF(reference!$C$144:$C$155,TRIM(LEFT('hospitalityq-nil'!D817,FIND(":",'hospitalityq-nil'!D817&amp;":")-1))&amp;":*")=0,SUMPRODUCT(--(TRIM('hospitalityq-nil'!C6:C817)=TRIM('hospitalityq-nil'!C817)),--(TRIM('hospitalityq-nil'!D6:D817)=TRIM('hospitalityq-nil'!D817)))&gt;1))</f>
        <v>0</v>
      </c>
    </row>
    <row r="818" spans="1:4" x14ac:dyDescent="0.25">
      <c r="A818">
        <f t="shared" si="12"/>
        <v>0</v>
      </c>
      <c r="C818">
        <f>NOT('hospitalityq-nil'!C818="")*(OR(NOT(IFERROR(AND(INT('hospitalityq-nil'!C818)='hospitalityq-nil'!C818,'hospitalityq-nil'!C818&gt;=2018-50,'hospitalityq-nil'!C818&lt;=2018+50),FALSE)),SUMPRODUCT(--(TRIM('hospitalityq-nil'!C6:C818)=TRIM('hospitalityq-nil'!C818)),--(TRIM('hospitalityq-nil'!D6:D818)=TRIM('hospitalityq-nil'!D818)))&gt;1))</f>
        <v>0</v>
      </c>
      <c r="D818">
        <f>NOT('hospitalityq-nil'!D818="")*(OR(COUNTIF(reference!$C$144:$C$155,TRIM(LEFT('hospitalityq-nil'!D818,FIND(":",'hospitalityq-nil'!D818&amp;":")-1))&amp;":*")=0,SUMPRODUCT(--(TRIM('hospitalityq-nil'!C6:C818)=TRIM('hospitalityq-nil'!C818)),--(TRIM('hospitalityq-nil'!D6:D818)=TRIM('hospitalityq-nil'!D818)))&gt;1))</f>
        <v>0</v>
      </c>
    </row>
    <row r="819" spans="1:4" x14ac:dyDescent="0.25">
      <c r="A819">
        <f t="shared" si="12"/>
        <v>0</v>
      </c>
      <c r="C819">
        <f>NOT('hospitalityq-nil'!C819="")*(OR(NOT(IFERROR(AND(INT('hospitalityq-nil'!C819)='hospitalityq-nil'!C819,'hospitalityq-nil'!C819&gt;=2018-50,'hospitalityq-nil'!C819&lt;=2018+50),FALSE)),SUMPRODUCT(--(TRIM('hospitalityq-nil'!C6:C819)=TRIM('hospitalityq-nil'!C819)),--(TRIM('hospitalityq-nil'!D6:D819)=TRIM('hospitalityq-nil'!D819)))&gt;1))</f>
        <v>0</v>
      </c>
      <c r="D819">
        <f>NOT('hospitalityq-nil'!D819="")*(OR(COUNTIF(reference!$C$144:$C$155,TRIM(LEFT('hospitalityq-nil'!D819,FIND(":",'hospitalityq-nil'!D819&amp;":")-1))&amp;":*")=0,SUMPRODUCT(--(TRIM('hospitalityq-nil'!C6:C819)=TRIM('hospitalityq-nil'!C819)),--(TRIM('hospitalityq-nil'!D6:D819)=TRIM('hospitalityq-nil'!D819)))&gt;1))</f>
        <v>0</v>
      </c>
    </row>
    <row r="820" spans="1:4" x14ac:dyDescent="0.25">
      <c r="A820">
        <f t="shared" si="12"/>
        <v>0</v>
      </c>
      <c r="C820">
        <f>NOT('hospitalityq-nil'!C820="")*(OR(NOT(IFERROR(AND(INT('hospitalityq-nil'!C820)='hospitalityq-nil'!C820,'hospitalityq-nil'!C820&gt;=2018-50,'hospitalityq-nil'!C820&lt;=2018+50),FALSE)),SUMPRODUCT(--(TRIM('hospitalityq-nil'!C6:C820)=TRIM('hospitalityq-nil'!C820)),--(TRIM('hospitalityq-nil'!D6:D820)=TRIM('hospitalityq-nil'!D820)))&gt;1))</f>
        <v>0</v>
      </c>
      <c r="D820">
        <f>NOT('hospitalityq-nil'!D820="")*(OR(COUNTIF(reference!$C$144:$C$155,TRIM(LEFT('hospitalityq-nil'!D820,FIND(":",'hospitalityq-nil'!D820&amp;":")-1))&amp;":*")=0,SUMPRODUCT(--(TRIM('hospitalityq-nil'!C6:C820)=TRIM('hospitalityq-nil'!C820)),--(TRIM('hospitalityq-nil'!D6:D820)=TRIM('hospitalityq-nil'!D820)))&gt;1))</f>
        <v>0</v>
      </c>
    </row>
    <row r="821" spans="1:4" x14ac:dyDescent="0.25">
      <c r="A821">
        <f t="shared" si="12"/>
        <v>0</v>
      </c>
      <c r="C821">
        <f>NOT('hospitalityq-nil'!C821="")*(OR(NOT(IFERROR(AND(INT('hospitalityq-nil'!C821)='hospitalityq-nil'!C821,'hospitalityq-nil'!C821&gt;=2018-50,'hospitalityq-nil'!C821&lt;=2018+50),FALSE)),SUMPRODUCT(--(TRIM('hospitalityq-nil'!C6:C821)=TRIM('hospitalityq-nil'!C821)),--(TRIM('hospitalityq-nil'!D6:D821)=TRIM('hospitalityq-nil'!D821)))&gt;1))</f>
        <v>0</v>
      </c>
      <c r="D821">
        <f>NOT('hospitalityq-nil'!D821="")*(OR(COUNTIF(reference!$C$144:$C$155,TRIM(LEFT('hospitalityq-nil'!D821,FIND(":",'hospitalityq-nil'!D821&amp;":")-1))&amp;":*")=0,SUMPRODUCT(--(TRIM('hospitalityq-nil'!C6:C821)=TRIM('hospitalityq-nil'!C821)),--(TRIM('hospitalityq-nil'!D6:D821)=TRIM('hospitalityq-nil'!D821)))&gt;1))</f>
        <v>0</v>
      </c>
    </row>
    <row r="822" spans="1:4" x14ac:dyDescent="0.25">
      <c r="A822">
        <f t="shared" si="12"/>
        <v>0</v>
      </c>
      <c r="C822">
        <f>NOT('hospitalityq-nil'!C822="")*(OR(NOT(IFERROR(AND(INT('hospitalityq-nil'!C822)='hospitalityq-nil'!C822,'hospitalityq-nil'!C822&gt;=2018-50,'hospitalityq-nil'!C822&lt;=2018+50),FALSE)),SUMPRODUCT(--(TRIM('hospitalityq-nil'!C6:C822)=TRIM('hospitalityq-nil'!C822)),--(TRIM('hospitalityq-nil'!D6:D822)=TRIM('hospitalityq-nil'!D822)))&gt;1))</f>
        <v>0</v>
      </c>
      <c r="D822">
        <f>NOT('hospitalityq-nil'!D822="")*(OR(COUNTIF(reference!$C$144:$C$155,TRIM(LEFT('hospitalityq-nil'!D822,FIND(":",'hospitalityq-nil'!D822&amp;":")-1))&amp;":*")=0,SUMPRODUCT(--(TRIM('hospitalityq-nil'!C6:C822)=TRIM('hospitalityq-nil'!C822)),--(TRIM('hospitalityq-nil'!D6:D822)=TRIM('hospitalityq-nil'!D822)))&gt;1))</f>
        <v>0</v>
      </c>
    </row>
    <row r="823" spans="1:4" x14ac:dyDescent="0.25">
      <c r="A823">
        <f t="shared" si="12"/>
        <v>0</v>
      </c>
      <c r="C823">
        <f>NOT('hospitalityq-nil'!C823="")*(OR(NOT(IFERROR(AND(INT('hospitalityq-nil'!C823)='hospitalityq-nil'!C823,'hospitalityq-nil'!C823&gt;=2018-50,'hospitalityq-nil'!C823&lt;=2018+50),FALSE)),SUMPRODUCT(--(TRIM('hospitalityq-nil'!C6:C823)=TRIM('hospitalityq-nil'!C823)),--(TRIM('hospitalityq-nil'!D6:D823)=TRIM('hospitalityq-nil'!D823)))&gt;1))</f>
        <v>0</v>
      </c>
      <c r="D823">
        <f>NOT('hospitalityq-nil'!D823="")*(OR(COUNTIF(reference!$C$144:$C$155,TRIM(LEFT('hospitalityq-nil'!D823,FIND(":",'hospitalityq-nil'!D823&amp;":")-1))&amp;":*")=0,SUMPRODUCT(--(TRIM('hospitalityq-nil'!C6:C823)=TRIM('hospitalityq-nil'!C823)),--(TRIM('hospitalityq-nil'!D6:D823)=TRIM('hospitalityq-nil'!D823)))&gt;1))</f>
        <v>0</v>
      </c>
    </row>
    <row r="824" spans="1:4" x14ac:dyDescent="0.25">
      <c r="A824">
        <f t="shared" si="12"/>
        <v>0</v>
      </c>
      <c r="C824">
        <f>NOT('hospitalityq-nil'!C824="")*(OR(NOT(IFERROR(AND(INT('hospitalityq-nil'!C824)='hospitalityq-nil'!C824,'hospitalityq-nil'!C824&gt;=2018-50,'hospitalityq-nil'!C824&lt;=2018+50),FALSE)),SUMPRODUCT(--(TRIM('hospitalityq-nil'!C6:C824)=TRIM('hospitalityq-nil'!C824)),--(TRIM('hospitalityq-nil'!D6:D824)=TRIM('hospitalityq-nil'!D824)))&gt;1))</f>
        <v>0</v>
      </c>
      <c r="D824">
        <f>NOT('hospitalityq-nil'!D824="")*(OR(COUNTIF(reference!$C$144:$C$155,TRIM(LEFT('hospitalityq-nil'!D824,FIND(":",'hospitalityq-nil'!D824&amp;":")-1))&amp;":*")=0,SUMPRODUCT(--(TRIM('hospitalityq-nil'!C6:C824)=TRIM('hospitalityq-nil'!C824)),--(TRIM('hospitalityq-nil'!D6:D824)=TRIM('hospitalityq-nil'!D824)))&gt;1))</f>
        <v>0</v>
      </c>
    </row>
    <row r="825" spans="1:4" x14ac:dyDescent="0.25">
      <c r="A825">
        <f t="shared" si="12"/>
        <v>0</v>
      </c>
      <c r="C825">
        <f>NOT('hospitalityq-nil'!C825="")*(OR(NOT(IFERROR(AND(INT('hospitalityq-nil'!C825)='hospitalityq-nil'!C825,'hospitalityq-nil'!C825&gt;=2018-50,'hospitalityq-nil'!C825&lt;=2018+50),FALSE)),SUMPRODUCT(--(TRIM('hospitalityq-nil'!C6:C825)=TRIM('hospitalityq-nil'!C825)),--(TRIM('hospitalityq-nil'!D6:D825)=TRIM('hospitalityq-nil'!D825)))&gt;1))</f>
        <v>0</v>
      </c>
      <c r="D825">
        <f>NOT('hospitalityq-nil'!D825="")*(OR(COUNTIF(reference!$C$144:$C$155,TRIM(LEFT('hospitalityq-nil'!D825,FIND(":",'hospitalityq-nil'!D825&amp;":")-1))&amp;":*")=0,SUMPRODUCT(--(TRIM('hospitalityq-nil'!C6:C825)=TRIM('hospitalityq-nil'!C825)),--(TRIM('hospitalityq-nil'!D6:D825)=TRIM('hospitalityq-nil'!D825)))&gt;1))</f>
        <v>0</v>
      </c>
    </row>
    <row r="826" spans="1:4" x14ac:dyDescent="0.25">
      <c r="A826">
        <f t="shared" si="12"/>
        <v>0</v>
      </c>
      <c r="C826">
        <f>NOT('hospitalityq-nil'!C826="")*(OR(NOT(IFERROR(AND(INT('hospitalityq-nil'!C826)='hospitalityq-nil'!C826,'hospitalityq-nil'!C826&gt;=2018-50,'hospitalityq-nil'!C826&lt;=2018+50),FALSE)),SUMPRODUCT(--(TRIM('hospitalityq-nil'!C6:C826)=TRIM('hospitalityq-nil'!C826)),--(TRIM('hospitalityq-nil'!D6:D826)=TRIM('hospitalityq-nil'!D826)))&gt;1))</f>
        <v>0</v>
      </c>
      <c r="D826">
        <f>NOT('hospitalityq-nil'!D826="")*(OR(COUNTIF(reference!$C$144:$C$155,TRIM(LEFT('hospitalityq-nil'!D826,FIND(":",'hospitalityq-nil'!D826&amp;":")-1))&amp;":*")=0,SUMPRODUCT(--(TRIM('hospitalityq-nil'!C6:C826)=TRIM('hospitalityq-nil'!C826)),--(TRIM('hospitalityq-nil'!D6:D826)=TRIM('hospitalityq-nil'!D826)))&gt;1))</f>
        <v>0</v>
      </c>
    </row>
    <row r="827" spans="1:4" x14ac:dyDescent="0.25">
      <c r="A827">
        <f t="shared" si="12"/>
        <v>0</v>
      </c>
      <c r="C827">
        <f>NOT('hospitalityq-nil'!C827="")*(OR(NOT(IFERROR(AND(INT('hospitalityq-nil'!C827)='hospitalityq-nil'!C827,'hospitalityq-nil'!C827&gt;=2018-50,'hospitalityq-nil'!C827&lt;=2018+50),FALSE)),SUMPRODUCT(--(TRIM('hospitalityq-nil'!C6:C827)=TRIM('hospitalityq-nil'!C827)),--(TRIM('hospitalityq-nil'!D6:D827)=TRIM('hospitalityq-nil'!D827)))&gt;1))</f>
        <v>0</v>
      </c>
      <c r="D827">
        <f>NOT('hospitalityq-nil'!D827="")*(OR(COUNTIF(reference!$C$144:$C$155,TRIM(LEFT('hospitalityq-nil'!D827,FIND(":",'hospitalityq-nil'!D827&amp;":")-1))&amp;":*")=0,SUMPRODUCT(--(TRIM('hospitalityq-nil'!C6:C827)=TRIM('hospitalityq-nil'!C827)),--(TRIM('hospitalityq-nil'!D6:D827)=TRIM('hospitalityq-nil'!D827)))&gt;1))</f>
        <v>0</v>
      </c>
    </row>
    <row r="828" spans="1:4" x14ac:dyDescent="0.25">
      <c r="A828">
        <f t="shared" si="12"/>
        <v>0</v>
      </c>
      <c r="C828">
        <f>NOT('hospitalityq-nil'!C828="")*(OR(NOT(IFERROR(AND(INT('hospitalityq-nil'!C828)='hospitalityq-nil'!C828,'hospitalityq-nil'!C828&gt;=2018-50,'hospitalityq-nil'!C828&lt;=2018+50),FALSE)),SUMPRODUCT(--(TRIM('hospitalityq-nil'!C6:C828)=TRIM('hospitalityq-nil'!C828)),--(TRIM('hospitalityq-nil'!D6:D828)=TRIM('hospitalityq-nil'!D828)))&gt;1))</f>
        <v>0</v>
      </c>
      <c r="D828">
        <f>NOT('hospitalityq-nil'!D828="")*(OR(COUNTIF(reference!$C$144:$C$155,TRIM(LEFT('hospitalityq-nil'!D828,FIND(":",'hospitalityq-nil'!D828&amp;":")-1))&amp;":*")=0,SUMPRODUCT(--(TRIM('hospitalityq-nil'!C6:C828)=TRIM('hospitalityq-nil'!C828)),--(TRIM('hospitalityq-nil'!D6:D828)=TRIM('hospitalityq-nil'!D828)))&gt;1))</f>
        <v>0</v>
      </c>
    </row>
    <row r="829" spans="1:4" x14ac:dyDescent="0.25">
      <c r="A829">
        <f t="shared" si="12"/>
        <v>0</v>
      </c>
      <c r="C829">
        <f>NOT('hospitalityq-nil'!C829="")*(OR(NOT(IFERROR(AND(INT('hospitalityq-nil'!C829)='hospitalityq-nil'!C829,'hospitalityq-nil'!C829&gt;=2018-50,'hospitalityq-nil'!C829&lt;=2018+50),FALSE)),SUMPRODUCT(--(TRIM('hospitalityq-nil'!C6:C829)=TRIM('hospitalityq-nil'!C829)),--(TRIM('hospitalityq-nil'!D6:D829)=TRIM('hospitalityq-nil'!D829)))&gt;1))</f>
        <v>0</v>
      </c>
      <c r="D829">
        <f>NOT('hospitalityq-nil'!D829="")*(OR(COUNTIF(reference!$C$144:$C$155,TRIM(LEFT('hospitalityq-nil'!D829,FIND(":",'hospitalityq-nil'!D829&amp;":")-1))&amp;":*")=0,SUMPRODUCT(--(TRIM('hospitalityq-nil'!C6:C829)=TRIM('hospitalityq-nil'!C829)),--(TRIM('hospitalityq-nil'!D6:D829)=TRIM('hospitalityq-nil'!D829)))&gt;1))</f>
        <v>0</v>
      </c>
    </row>
    <row r="830" spans="1:4" x14ac:dyDescent="0.25">
      <c r="A830">
        <f t="shared" si="12"/>
        <v>0</v>
      </c>
      <c r="C830">
        <f>NOT('hospitalityq-nil'!C830="")*(OR(NOT(IFERROR(AND(INT('hospitalityq-nil'!C830)='hospitalityq-nil'!C830,'hospitalityq-nil'!C830&gt;=2018-50,'hospitalityq-nil'!C830&lt;=2018+50),FALSE)),SUMPRODUCT(--(TRIM('hospitalityq-nil'!C6:C830)=TRIM('hospitalityq-nil'!C830)),--(TRIM('hospitalityq-nil'!D6:D830)=TRIM('hospitalityq-nil'!D830)))&gt;1))</f>
        <v>0</v>
      </c>
      <c r="D830">
        <f>NOT('hospitalityq-nil'!D830="")*(OR(COUNTIF(reference!$C$144:$C$155,TRIM(LEFT('hospitalityq-nil'!D830,FIND(":",'hospitalityq-nil'!D830&amp;":")-1))&amp;":*")=0,SUMPRODUCT(--(TRIM('hospitalityq-nil'!C6:C830)=TRIM('hospitalityq-nil'!C830)),--(TRIM('hospitalityq-nil'!D6:D830)=TRIM('hospitalityq-nil'!D830)))&gt;1))</f>
        <v>0</v>
      </c>
    </row>
    <row r="831" spans="1:4" x14ac:dyDescent="0.25">
      <c r="A831">
        <f t="shared" si="12"/>
        <v>0</v>
      </c>
      <c r="C831">
        <f>NOT('hospitalityq-nil'!C831="")*(OR(NOT(IFERROR(AND(INT('hospitalityq-nil'!C831)='hospitalityq-nil'!C831,'hospitalityq-nil'!C831&gt;=2018-50,'hospitalityq-nil'!C831&lt;=2018+50),FALSE)),SUMPRODUCT(--(TRIM('hospitalityq-nil'!C6:C831)=TRIM('hospitalityq-nil'!C831)),--(TRIM('hospitalityq-nil'!D6:D831)=TRIM('hospitalityq-nil'!D831)))&gt;1))</f>
        <v>0</v>
      </c>
      <c r="D831">
        <f>NOT('hospitalityq-nil'!D831="")*(OR(COUNTIF(reference!$C$144:$C$155,TRIM(LEFT('hospitalityq-nil'!D831,FIND(":",'hospitalityq-nil'!D831&amp;":")-1))&amp;":*")=0,SUMPRODUCT(--(TRIM('hospitalityq-nil'!C6:C831)=TRIM('hospitalityq-nil'!C831)),--(TRIM('hospitalityq-nil'!D6:D831)=TRIM('hospitalityq-nil'!D831)))&gt;1))</f>
        <v>0</v>
      </c>
    </row>
    <row r="832" spans="1:4" x14ac:dyDescent="0.25">
      <c r="A832">
        <f t="shared" si="12"/>
        <v>0</v>
      </c>
      <c r="C832">
        <f>NOT('hospitalityq-nil'!C832="")*(OR(NOT(IFERROR(AND(INT('hospitalityq-nil'!C832)='hospitalityq-nil'!C832,'hospitalityq-nil'!C832&gt;=2018-50,'hospitalityq-nil'!C832&lt;=2018+50),FALSE)),SUMPRODUCT(--(TRIM('hospitalityq-nil'!C6:C832)=TRIM('hospitalityq-nil'!C832)),--(TRIM('hospitalityq-nil'!D6:D832)=TRIM('hospitalityq-nil'!D832)))&gt;1))</f>
        <v>0</v>
      </c>
      <c r="D832">
        <f>NOT('hospitalityq-nil'!D832="")*(OR(COUNTIF(reference!$C$144:$C$155,TRIM(LEFT('hospitalityq-nil'!D832,FIND(":",'hospitalityq-nil'!D832&amp;":")-1))&amp;":*")=0,SUMPRODUCT(--(TRIM('hospitalityq-nil'!C6:C832)=TRIM('hospitalityq-nil'!C832)),--(TRIM('hospitalityq-nil'!D6:D832)=TRIM('hospitalityq-nil'!D832)))&gt;1))</f>
        <v>0</v>
      </c>
    </row>
    <row r="833" spans="1:4" x14ac:dyDescent="0.25">
      <c r="A833">
        <f t="shared" si="12"/>
        <v>0</v>
      </c>
      <c r="C833">
        <f>NOT('hospitalityq-nil'!C833="")*(OR(NOT(IFERROR(AND(INT('hospitalityq-nil'!C833)='hospitalityq-nil'!C833,'hospitalityq-nil'!C833&gt;=2018-50,'hospitalityq-nil'!C833&lt;=2018+50),FALSE)),SUMPRODUCT(--(TRIM('hospitalityq-nil'!C6:C833)=TRIM('hospitalityq-nil'!C833)),--(TRIM('hospitalityq-nil'!D6:D833)=TRIM('hospitalityq-nil'!D833)))&gt;1))</f>
        <v>0</v>
      </c>
      <c r="D833">
        <f>NOT('hospitalityq-nil'!D833="")*(OR(COUNTIF(reference!$C$144:$C$155,TRIM(LEFT('hospitalityq-nil'!D833,FIND(":",'hospitalityq-nil'!D833&amp;":")-1))&amp;":*")=0,SUMPRODUCT(--(TRIM('hospitalityq-nil'!C6:C833)=TRIM('hospitalityq-nil'!C833)),--(TRIM('hospitalityq-nil'!D6:D833)=TRIM('hospitalityq-nil'!D833)))&gt;1))</f>
        <v>0</v>
      </c>
    </row>
    <row r="834" spans="1:4" x14ac:dyDescent="0.25">
      <c r="A834">
        <f t="shared" si="12"/>
        <v>0</v>
      </c>
      <c r="C834">
        <f>NOT('hospitalityq-nil'!C834="")*(OR(NOT(IFERROR(AND(INT('hospitalityq-nil'!C834)='hospitalityq-nil'!C834,'hospitalityq-nil'!C834&gt;=2018-50,'hospitalityq-nil'!C834&lt;=2018+50),FALSE)),SUMPRODUCT(--(TRIM('hospitalityq-nil'!C6:C834)=TRIM('hospitalityq-nil'!C834)),--(TRIM('hospitalityq-nil'!D6:D834)=TRIM('hospitalityq-nil'!D834)))&gt;1))</f>
        <v>0</v>
      </c>
      <c r="D834">
        <f>NOT('hospitalityq-nil'!D834="")*(OR(COUNTIF(reference!$C$144:$C$155,TRIM(LEFT('hospitalityq-nil'!D834,FIND(":",'hospitalityq-nil'!D834&amp;":")-1))&amp;":*")=0,SUMPRODUCT(--(TRIM('hospitalityq-nil'!C6:C834)=TRIM('hospitalityq-nil'!C834)),--(TRIM('hospitalityq-nil'!D6:D834)=TRIM('hospitalityq-nil'!D834)))&gt;1))</f>
        <v>0</v>
      </c>
    </row>
    <row r="835" spans="1:4" x14ac:dyDescent="0.25">
      <c r="A835">
        <f t="shared" si="12"/>
        <v>0</v>
      </c>
      <c r="C835">
        <f>NOT('hospitalityq-nil'!C835="")*(OR(NOT(IFERROR(AND(INT('hospitalityq-nil'!C835)='hospitalityq-nil'!C835,'hospitalityq-nil'!C835&gt;=2018-50,'hospitalityq-nil'!C835&lt;=2018+50),FALSE)),SUMPRODUCT(--(TRIM('hospitalityq-nil'!C6:C835)=TRIM('hospitalityq-nil'!C835)),--(TRIM('hospitalityq-nil'!D6:D835)=TRIM('hospitalityq-nil'!D835)))&gt;1))</f>
        <v>0</v>
      </c>
      <c r="D835">
        <f>NOT('hospitalityq-nil'!D835="")*(OR(COUNTIF(reference!$C$144:$C$155,TRIM(LEFT('hospitalityq-nil'!D835,FIND(":",'hospitalityq-nil'!D835&amp;":")-1))&amp;":*")=0,SUMPRODUCT(--(TRIM('hospitalityq-nil'!C6:C835)=TRIM('hospitalityq-nil'!C835)),--(TRIM('hospitalityq-nil'!D6:D835)=TRIM('hospitalityq-nil'!D835)))&gt;1))</f>
        <v>0</v>
      </c>
    </row>
    <row r="836" spans="1:4" x14ac:dyDescent="0.25">
      <c r="A836">
        <f t="shared" si="12"/>
        <v>0</v>
      </c>
      <c r="C836">
        <f>NOT('hospitalityq-nil'!C836="")*(OR(NOT(IFERROR(AND(INT('hospitalityq-nil'!C836)='hospitalityq-nil'!C836,'hospitalityq-nil'!C836&gt;=2018-50,'hospitalityq-nil'!C836&lt;=2018+50),FALSE)),SUMPRODUCT(--(TRIM('hospitalityq-nil'!C6:C836)=TRIM('hospitalityq-nil'!C836)),--(TRIM('hospitalityq-nil'!D6:D836)=TRIM('hospitalityq-nil'!D836)))&gt;1))</f>
        <v>0</v>
      </c>
      <c r="D836">
        <f>NOT('hospitalityq-nil'!D836="")*(OR(COUNTIF(reference!$C$144:$C$155,TRIM(LEFT('hospitalityq-nil'!D836,FIND(":",'hospitalityq-nil'!D836&amp;":")-1))&amp;":*")=0,SUMPRODUCT(--(TRIM('hospitalityq-nil'!C6:C836)=TRIM('hospitalityq-nil'!C836)),--(TRIM('hospitalityq-nil'!D6:D836)=TRIM('hospitalityq-nil'!D836)))&gt;1))</f>
        <v>0</v>
      </c>
    </row>
    <row r="837" spans="1:4" x14ac:dyDescent="0.25">
      <c r="A837">
        <f t="shared" si="12"/>
        <v>0</v>
      </c>
      <c r="C837">
        <f>NOT('hospitalityq-nil'!C837="")*(OR(NOT(IFERROR(AND(INT('hospitalityq-nil'!C837)='hospitalityq-nil'!C837,'hospitalityq-nil'!C837&gt;=2018-50,'hospitalityq-nil'!C837&lt;=2018+50),FALSE)),SUMPRODUCT(--(TRIM('hospitalityq-nil'!C6:C837)=TRIM('hospitalityq-nil'!C837)),--(TRIM('hospitalityq-nil'!D6:D837)=TRIM('hospitalityq-nil'!D837)))&gt;1))</f>
        <v>0</v>
      </c>
      <c r="D837">
        <f>NOT('hospitalityq-nil'!D837="")*(OR(COUNTIF(reference!$C$144:$C$155,TRIM(LEFT('hospitalityq-nil'!D837,FIND(":",'hospitalityq-nil'!D837&amp;":")-1))&amp;":*")=0,SUMPRODUCT(--(TRIM('hospitalityq-nil'!C6:C837)=TRIM('hospitalityq-nil'!C837)),--(TRIM('hospitalityq-nil'!D6:D837)=TRIM('hospitalityq-nil'!D837)))&gt;1))</f>
        <v>0</v>
      </c>
    </row>
    <row r="838" spans="1:4" x14ac:dyDescent="0.25">
      <c r="A838">
        <f t="shared" ref="A838:A901" si="13">IFERROR(MATCH(TRUE,INDEX(C838:D838&lt;&gt;0,),)+2,0)</f>
        <v>0</v>
      </c>
      <c r="C838">
        <f>NOT('hospitalityq-nil'!C838="")*(OR(NOT(IFERROR(AND(INT('hospitalityq-nil'!C838)='hospitalityq-nil'!C838,'hospitalityq-nil'!C838&gt;=2018-50,'hospitalityq-nil'!C838&lt;=2018+50),FALSE)),SUMPRODUCT(--(TRIM('hospitalityq-nil'!C6:C838)=TRIM('hospitalityq-nil'!C838)),--(TRIM('hospitalityq-nil'!D6:D838)=TRIM('hospitalityq-nil'!D838)))&gt;1))</f>
        <v>0</v>
      </c>
      <c r="D838">
        <f>NOT('hospitalityq-nil'!D838="")*(OR(COUNTIF(reference!$C$144:$C$155,TRIM(LEFT('hospitalityq-nil'!D838,FIND(":",'hospitalityq-nil'!D838&amp;":")-1))&amp;":*")=0,SUMPRODUCT(--(TRIM('hospitalityq-nil'!C6:C838)=TRIM('hospitalityq-nil'!C838)),--(TRIM('hospitalityq-nil'!D6:D838)=TRIM('hospitalityq-nil'!D838)))&gt;1))</f>
        <v>0</v>
      </c>
    </row>
    <row r="839" spans="1:4" x14ac:dyDescent="0.25">
      <c r="A839">
        <f t="shared" si="13"/>
        <v>0</v>
      </c>
      <c r="C839">
        <f>NOT('hospitalityq-nil'!C839="")*(OR(NOT(IFERROR(AND(INT('hospitalityq-nil'!C839)='hospitalityq-nil'!C839,'hospitalityq-nil'!C839&gt;=2018-50,'hospitalityq-nil'!C839&lt;=2018+50),FALSE)),SUMPRODUCT(--(TRIM('hospitalityq-nil'!C6:C839)=TRIM('hospitalityq-nil'!C839)),--(TRIM('hospitalityq-nil'!D6:D839)=TRIM('hospitalityq-nil'!D839)))&gt;1))</f>
        <v>0</v>
      </c>
      <c r="D839">
        <f>NOT('hospitalityq-nil'!D839="")*(OR(COUNTIF(reference!$C$144:$C$155,TRIM(LEFT('hospitalityq-nil'!D839,FIND(":",'hospitalityq-nil'!D839&amp;":")-1))&amp;":*")=0,SUMPRODUCT(--(TRIM('hospitalityq-nil'!C6:C839)=TRIM('hospitalityq-nil'!C839)),--(TRIM('hospitalityq-nil'!D6:D839)=TRIM('hospitalityq-nil'!D839)))&gt;1))</f>
        <v>0</v>
      </c>
    </row>
    <row r="840" spans="1:4" x14ac:dyDescent="0.25">
      <c r="A840">
        <f t="shared" si="13"/>
        <v>0</v>
      </c>
      <c r="C840">
        <f>NOT('hospitalityq-nil'!C840="")*(OR(NOT(IFERROR(AND(INT('hospitalityq-nil'!C840)='hospitalityq-nil'!C840,'hospitalityq-nil'!C840&gt;=2018-50,'hospitalityq-nil'!C840&lt;=2018+50),FALSE)),SUMPRODUCT(--(TRIM('hospitalityq-nil'!C6:C840)=TRIM('hospitalityq-nil'!C840)),--(TRIM('hospitalityq-nil'!D6:D840)=TRIM('hospitalityq-nil'!D840)))&gt;1))</f>
        <v>0</v>
      </c>
      <c r="D840">
        <f>NOT('hospitalityq-nil'!D840="")*(OR(COUNTIF(reference!$C$144:$C$155,TRIM(LEFT('hospitalityq-nil'!D840,FIND(":",'hospitalityq-nil'!D840&amp;":")-1))&amp;":*")=0,SUMPRODUCT(--(TRIM('hospitalityq-nil'!C6:C840)=TRIM('hospitalityq-nil'!C840)),--(TRIM('hospitalityq-nil'!D6:D840)=TRIM('hospitalityq-nil'!D840)))&gt;1))</f>
        <v>0</v>
      </c>
    </row>
    <row r="841" spans="1:4" x14ac:dyDescent="0.25">
      <c r="A841">
        <f t="shared" si="13"/>
        <v>0</v>
      </c>
      <c r="C841">
        <f>NOT('hospitalityq-nil'!C841="")*(OR(NOT(IFERROR(AND(INT('hospitalityq-nil'!C841)='hospitalityq-nil'!C841,'hospitalityq-nil'!C841&gt;=2018-50,'hospitalityq-nil'!C841&lt;=2018+50),FALSE)),SUMPRODUCT(--(TRIM('hospitalityq-nil'!C6:C841)=TRIM('hospitalityq-nil'!C841)),--(TRIM('hospitalityq-nil'!D6:D841)=TRIM('hospitalityq-nil'!D841)))&gt;1))</f>
        <v>0</v>
      </c>
      <c r="D841">
        <f>NOT('hospitalityq-nil'!D841="")*(OR(COUNTIF(reference!$C$144:$C$155,TRIM(LEFT('hospitalityq-nil'!D841,FIND(":",'hospitalityq-nil'!D841&amp;":")-1))&amp;":*")=0,SUMPRODUCT(--(TRIM('hospitalityq-nil'!C6:C841)=TRIM('hospitalityq-nil'!C841)),--(TRIM('hospitalityq-nil'!D6:D841)=TRIM('hospitalityq-nil'!D841)))&gt;1))</f>
        <v>0</v>
      </c>
    </row>
    <row r="842" spans="1:4" x14ac:dyDescent="0.25">
      <c r="A842">
        <f t="shared" si="13"/>
        <v>0</v>
      </c>
      <c r="C842">
        <f>NOT('hospitalityq-nil'!C842="")*(OR(NOT(IFERROR(AND(INT('hospitalityq-nil'!C842)='hospitalityq-nil'!C842,'hospitalityq-nil'!C842&gt;=2018-50,'hospitalityq-nil'!C842&lt;=2018+50),FALSE)),SUMPRODUCT(--(TRIM('hospitalityq-nil'!C6:C842)=TRIM('hospitalityq-nil'!C842)),--(TRIM('hospitalityq-nil'!D6:D842)=TRIM('hospitalityq-nil'!D842)))&gt;1))</f>
        <v>0</v>
      </c>
      <c r="D842">
        <f>NOT('hospitalityq-nil'!D842="")*(OR(COUNTIF(reference!$C$144:$C$155,TRIM(LEFT('hospitalityq-nil'!D842,FIND(":",'hospitalityq-nil'!D842&amp;":")-1))&amp;":*")=0,SUMPRODUCT(--(TRIM('hospitalityq-nil'!C6:C842)=TRIM('hospitalityq-nil'!C842)),--(TRIM('hospitalityq-nil'!D6:D842)=TRIM('hospitalityq-nil'!D842)))&gt;1))</f>
        <v>0</v>
      </c>
    </row>
    <row r="843" spans="1:4" x14ac:dyDescent="0.25">
      <c r="A843">
        <f t="shared" si="13"/>
        <v>0</v>
      </c>
      <c r="C843">
        <f>NOT('hospitalityq-nil'!C843="")*(OR(NOT(IFERROR(AND(INT('hospitalityq-nil'!C843)='hospitalityq-nil'!C843,'hospitalityq-nil'!C843&gt;=2018-50,'hospitalityq-nil'!C843&lt;=2018+50),FALSE)),SUMPRODUCT(--(TRIM('hospitalityq-nil'!C6:C843)=TRIM('hospitalityq-nil'!C843)),--(TRIM('hospitalityq-nil'!D6:D843)=TRIM('hospitalityq-nil'!D843)))&gt;1))</f>
        <v>0</v>
      </c>
      <c r="D843">
        <f>NOT('hospitalityq-nil'!D843="")*(OR(COUNTIF(reference!$C$144:$C$155,TRIM(LEFT('hospitalityq-nil'!D843,FIND(":",'hospitalityq-nil'!D843&amp;":")-1))&amp;":*")=0,SUMPRODUCT(--(TRIM('hospitalityq-nil'!C6:C843)=TRIM('hospitalityq-nil'!C843)),--(TRIM('hospitalityq-nil'!D6:D843)=TRIM('hospitalityq-nil'!D843)))&gt;1))</f>
        <v>0</v>
      </c>
    </row>
    <row r="844" spans="1:4" x14ac:dyDescent="0.25">
      <c r="A844">
        <f t="shared" si="13"/>
        <v>0</v>
      </c>
      <c r="C844">
        <f>NOT('hospitalityq-nil'!C844="")*(OR(NOT(IFERROR(AND(INT('hospitalityq-nil'!C844)='hospitalityq-nil'!C844,'hospitalityq-nil'!C844&gt;=2018-50,'hospitalityq-nil'!C844&lt;=2018+50),FALSE)),SUMPRODUCT(--(TRIM('hospitalityq-nil'!C6:C844)=TRIM('hospitalityq-nil'!C844)),--(TRIM('hospitalityq-nil'!D6:D844)=TRIM('hospitalityq-nil'!D844)))&gt;1))</f>
        <v>0</v>
      </c>
      <c r="D844">
        <f>NOT('hospitalityq-nil'!D844="")*(OR(COUNTIF(reference!$C$144:$C$155,TRIM(LEFT('hospitalityq-nil'!D844,FIND(":",'hospitalityq-nil'!D844&amp;":")-1))&amp;":*")=0,SUMPRODUCT(--(TRIM('hospitalityq-nil'!C6:C844)=TRIM('hospitalityq-nil'!C844)),--(TRIM('hospitalityq-nil'!D6:D844)=TRIM('hospitalityq-nil'!D844)))&gt;1))</f>
        <v>0</v>
      </c>
    </row>
    <row r="845" spans="1:4" x14ac:dyDescent="0.25">
      <c r="A845">
        <f t="shared" si="13"/>
        <v>0</v>
      </c>
      <c r="C845">
        <f>NOT('hospitalityq-nil'!C845="")*(OR(NOT(IFERROR(AND(INT('hospitalityq-nil'!C845)='hospitalityq-nil'!C845,'hospitalityq-nil'!C845&gt;=2018-50,'hospitalityq-nil'!C845&lt;=2018+50),FALSE)),SUMPRODUCT(--(TRIM('hospitalityq-nil'!C6:C845)=TRIM('hospitalityq-nil'!C845)),--(TRIM('hospitalityq-nil'!D6:D845)=TRIM('hospitalityq-nil'!D845)))&gt;1))</f>
        <v>0</v>
      </c>
      <c r="D845">
        <f>NOT('hospitalityq-nil'!D845="")*(OR(COUNTIF(reference!$C$144:$C$155,TRIM(LEFT('hospitalityq-nil'!D845,FIND(":",'hospitalityq-nil'!D845&amp;":")-1))&amp;":*")=0,SUMPRODUCT(--(TRIM('hospitalityq-nil'!C6:C845)=TRIM('hospitalityq-nil'!C845)),--(TRIM('hospitalityq-nil'!D6:D845)=TRIM('hospitalityq-nil'!D845)))&gt;1))</f>
        <v>0</v>
      </c>
    </row>
    <row r="846" spans="1:4" x14ac:dyDescent="0.25">
      <c r="A846">
        <f t="shared" si="13"/>
        <v>0</v>
      </c>
      <c r="C846">
        <f>NOT('hospitalityq-nil'!C846="")*(OR(NOT(IFERROR(AND(INT('hospitalityq-nil'!C846)='hospitalityq-nil'!C846,'hospitalityq-nil'!C846&gt;=2018-50,'hospitalityq-nil'!C846&lt;=2018+50),FALSE)),SUMPRODUCT(--(TRIM('hospitalityq-nil'!C6:C846)=TRIM('hospitalityq-nil'!C846)),--(TRIM('hospitalityq-nil'!D6:D846)=TRIM('hospitalityq-nil'!D846)))&gt;1))</f>
        <v>0</v>
      </c>
      <c r="D846">
        <f>NOT('hospitalityq-nil'!D846="")*(OR(COUNTIF(reference!$C$144:$C$155,TRIM(LEFT('hospitalityq-nil'!D846,FIND(":",'hospitalityq-nil'!D846&amp;":")-1))&amp;":*")=0,SUMPRODUCT(--(TRIM('hospitalityq-nil'!C6:C846)=TRIM('hospitalityq-nil'!C846)),--(TRIM('hospitalityq-nil'!D6:D846)=TRIM('hospitalityq-nil'!D846)))&gt;1))</f>
        <v>0</v>
      </c>
    </row>
    <row r="847" spans="1:4" x14ac:dyDescent="0.25">
      <c r="A847">
        <f t="shared" si="13"/>
        <v>0</v>
      </c>
      <c r="C847">
        <f>NOT('hospitalityq-nil'!C847="")*(OR(NOT(IFERROR(AND(INT('hospitalityq-nil'!C847)='hospitalityq-nil'!C847,'hospitalityq-nil'!C847&gt;=2018-50,'hospitalityq-nil'!C847&lt;=2018+50),FALSE)),SUMPRODUCT(--(TRIM('hospitalityq-nil'!C6:C847)=TRIM('hospitalityq-nil'!C847)),--(TRIM('hospitalityq-nil'!D6:D847)=TRIM('hospitalityq-nil'!D847)))&gt;1))</f>
        <v>0</v>
      </c>
      <c r="D847">
        <f>NOT('hospitalityq-nil'!D847="")*(OR(COUNTIF(reference!$C$144:$C$155,TRIM(LEFT('hospitalityq-nil'!D847,FIND(":",'hospitalityq-nil'!D847&amp;":")-1))&amp;":*")=0,SUMPRODUCT(--(TRIM('hospitalityq-nil'!C6:C847)=TRIM('hospitalityq-nil'!C847)),--(TRIM('hospitalityq-nil'!D6:D847)=TRIM('hospitalityq-nil'!D847)))&gt;1))</f>
        <v>0</v>
      </c>
    </row>
    <row r="848" spans="1:4" x14ac:dyDescent="0.25">
      <c r="A848">
        <f t="shared" si="13"/>
        <v>0</v>
      </c>
      <c r="C848">
        <f>NOT('hospitalityq-nil'!C848="")*(OR(NOT(IFERROR(AND(INT('hospitalityq-nil'!C848)='hospitalityq-nil'!C848,'hospitalityq-nil'!C848&gt;=2018-50,'hospitalityq-nil'!C848&lt;=2018+50),FALSE)),SUMPRODUCT(--(TRIM('hospitalityq-nil'!C6:C848)=TRIM('hospitalityq-nil'!C848)),--(TRIM('hospitalityq-nil'!D6:D848)=TRIM('hospitalityq-nil'!D848)))&gt;1))</f>
        <v>0</v>
      </c>
      <c r="D848">
        <f>NOT('hospitalityq-nil'!D848="")*(OR(COUNTIF(reference!$C$144:$C$155,TRIM(LEFT('hospitalityq-nil'!D848,FIND(":",'hospitalityq-nil'!D848&amp;":")-1))&amp;":*")=0,SUMPRODUCT(--(TRIM('hospitalityq-nil'!C6:C848)=TRIM('hospitalityq-nil'!C848)),--(TRIM('hospitalityq-nil'!D6:D848)=TRIM('hospitalityq-nil'!D848)))&gt;1))</f>
        <v>0</v>
      </c>
    </row>
    <row r="849" spans="1:4" x14ac:dyDescent="0.25">
      <c r="A849">
        <f t="shared" si="13"/>
        <v>0</v>
      </c>
      <c r="C849">
        <f>NOT('hospitalityq-nil'!C849="")*(OR(NOT(IFERROR(AND(INT('hospitalityq-nil'!C849)='hospitalityq-nil'!C849,'hospitalityq-nil'!C849&gt;=2018-50,'hospitalityq-nil'!C849&lt;=2018+50),FALSE)),SUMPRODUCT(--(TRIM('hospitalityq-nil'!C6:C849)=TRIM('hospitalityq-nil'!C849)),--(TRIM('hospitalityq-nil'!D6:D849)=TRIM('hospitalityq-nil'!D849)))&gt;1))</f>
        <v>0</v>
      </c>
      <c r="D849">
        <f>NOT('hospitalityq-nil'!D849="")*(OR(COUNTIF(reference!$C$144:$C$155,TRIM(LEFT('hospitalityq-nil'!D849,FIND(":",'hospitalityq-nil'!D849&amp;":")-1))&amp;":*")=0,SUMPRODUCT(--(TRIM('hospitalityq-nil'!C6:C849)=TRIM('hospitalityq-nil'!C849)),--(TRIM('hospitalityq-nil'!D6:D849)=TRIM('hospitalityq-nil'!D849)))&gt;1))</f>
        <v>0</v>
      </c>
    </row>
    <row r="850" spans="1:4" x14ac:dyDescent="0.25">
      <c r="A850">
        <f t="shared" si="13"/>
        <v>0</v>
      </c>
      <c r="C850">
        <f>NOT('hospitalityq-nil'!C850="")*(OR(NOT(IFERROR(AND(INT('hospitalityq-nil'!C850)='hospitalityq-nil'!C850,'hospitalityq-nil'!C850&gt;=2018-50,'hospitalityq-nil'!C850&lt;=2018+50),FALSE)),SUMPRODUCT(--(TRIM('hospitalityq-nil'!C6:C850)=TRIM('hospitalityq-nil'!C850)),--(TRIM('hospitalityq-nil'!D6:D850)=TRIM('hospitalityq-nil'!D850)))&gt;1))</f>
        <v>0</v>
      </c>
      <c r="D850">
        <f>NOT('hospitalityq-nil'!D850="")*(OR(COUNTIF(reference!$C$144:$C$155,TRIM(LEFT('hospitalityq-nil'!D850,FIND(":",'hospitalityq-nil'!D850&amp;":")-1))&amp;":*")=0,SUMPRODUCT(--(TRIM('hospitalityq-nil'!C6:C850)=TRIM('hospitalityq-nil'!C850)),--(TRIM('hospitalityq-nil'!D6:D850)=TRIM('hospitalityq-nil'!D850)))&gt;1))</f>
        <v>0</v>
      </c>
    </row>
    <row r="851" spans="1:4" x14ac:dyDescent="0.25">
      <c r="A851">
        <f t="shared" si="13"/>
        <v>0</v>
      </c>
      <c r="C851">
        <f>NOT('hospitalityq-nil'!C851="")*(OR(NOT(IFERROR(AND(INT('hospitalityq-nil'!C851)='hospitalityq-nil'!C851,'hospitalityq-nil'!C851&gt;=2018-50,'hospitalityq-nil'!C851&lt;=2018+50),FALSE)),SUMPRODUCT(--(TRIM('hospitalityq-nil'!C6:C851)=TRIM('hospitalityq-nil'!C851)),--(TRIM('hospitalityq-nil'!D6:D851)=TRIM('hospitalityq-nil'!D851)))&gt;1))</f>
        <v>0</v>
      </c>
      <c r="D851">
        <f>NOT('hospitalityq-nil'!D851="")*(OR(COUNTIF(reference!$C$144:$C$155,TRIM(LEFT('hospitalityq-nil'!D851,FIND(":",'hospitalityq-nil'!D851&amp;":")-1))&amp;":*")=0,SUMPRODUCT(--(TRIM('hospitalityq-nil'!C6:C851)=TRIM('hospitalityq-nil'!C851)),--(TRIM('hospitalityq-nil'!D6:D851)=TRIM('hospitalityq-nil'!D851)))&gt;1))</f>
        <v>0</v>
      </c>
    </row>
    <row r="852" spans="1:4" x14ac:dyDescent="0.25">
      <c r="A852">
        <f t="shared" si="13"/>
        <v>0</v>
      </c>
      <c r="C852">
        <f>NOT('hospitalityq-nil'!C852="")*(OR(NOT(IFERROR(AND(INT('hospitalityq-nil'!C852)='hospitalityq-nil'!C852,'hospitalityq-nil'!C852&gt;=2018-50,'hospitalityq-nil'!C852&lt;=2018+50),FALSE)),SUMPRODUCT(--(TRIM('hospitalityq-nil'!C6:C852)=TRIM('hospitalityq-nil'!C852)),--(TRIM('hospitalityq-nil'!D6:D852)=TRIM('hospitalityq-nil'!D852)))&gt;1))</f>
        <v>0</v>
      </c>
      <c r="D852">
        <f>NOT('hospitalityq-nil'!D852="")*(OR(COUNTIF(reference!$C$144:$C$155,TRIM(LEFT('hospitalityq-nil'!D852,FIND(":",'hospitalityq-nil'!D852&amp;":")-1))&amp;":*")=0,SUMPRODUCT(--(TRIM('hospitalityq-nil'!C6:C852)=TRIM('hospitalityq-nil'!C852)),--(TRIM('hospitalityq-nil'!D6:D852)=TRIM('hospitalityq-nil'!D852)))&gt;1))</f>
        <v>0</v>
      </c>
    </row>
    <row r="853" spans="1:4" x14ac:dyDescent="0.25">
      <c r="A853">
        <f t="shared" si="13"/>
        <v>0</v>
      </c>
      <c r="C853">
        <f>NOT('hospitalityq-nil'!C853="")*(OR(NOT(IFERROR(AND(INT('hospitalityq-nil'!C853)='hospitalityq-nil'!C853,'hospitalityq-nil'!C853&gt;=2018-50,'hospitalityq-nil'!C853&lt;=2018+50),FALSE)),SUMPRODUCT(--(TRIM('hospitalityq-nil'!C6:C853)=TRIM('hospitalityq-nil'!C853)),--(TRIM('hospitalityq-nil'!D6:D853)=TRIM('hospitalityq-nil'!D853)))&gt;1))</f>
        <v>0</v>
      </c>
      <c r="D853">
        <f>NOT('hospitalityq-nil'!D853="")*(OR(COUNTIF(reference!$C$144:$C$155,TRIM(LEFT('hospitalityq-nil'!D853,FIND(":",'hospitalityq-nil'!D853&amp;":")-1))&amp;":*")=0,SUMPRODUCT(--(TRIM('hospitalityq-nil'!C6:C853)=TRIM('hospitalityq-nil'!C853)),--(TRIM('hospitalityq-nil'!D6:D853)=TRIM('hospitalityq-nil'!D853)))&gt;1))</f>
        <v>0</v>
      </c>
    </row>
    <row r="854" spans="1:4" x14ac:dyDescent="0.25">
      <c r="A854">
        <f t="shared" si="13"/>
        <v>0</v>
      </c>
      <c r="C854">
        <f>NOT('hospitalityq-nil'!C854="")*(OR(NOT(IFERROR(AND(INT('hospitalityq-nil'!C854)='hospitalityq-nil'!C854,'hospitalityq-nil'!C854&gt;=2018-50,'hospitalityq-nil'!C854&lt;=2018+50),FALSE)),SUMPRODUCT(--(TRIM('hospitalityq-nil'!C6:C854)=TRIM('hospitalityq-nil'!C854)),--(TRIM('hospitalityq-nil'!D6:D854)=TRIM('hospitalityq-nil'!D854)))&gt;1))</f>
        <v>0</v>
      </c>
      <c r="D854">
        <f>NOT('hospitalityq-nil'!D854="")*(OR(COUNTIF(reference!$C$144:$C$155,TRIM(LEFT('hospitalityq-nil'!D854,FIND(":",'hospitalityq-nil'!D854&amp;":")-1))&amp;":*")=0,SUMPRODUCT(--(TRIM('hospitalityq-nil'!C6:C854)=TRIM('hospitalityq-nil'!C854)),--(TRIM('hospitalityq-nil'!D6:D854)=TRIM('hospitalityq-nil'!D854)))&gt;1))</f>
        <v>0</v>
      </c>
    </row>
    <row r="855" spans="1:4" x14ac:dyDescent="0.25">
      <c r="A855">
        <f t="shared" si="13"/>
        <v>0</v>
      </c>
      <c r="C855">
        <f>NOT('hospitalityq-nil'!C855="")*(OR(NOT(IFERROR(AND(INT('hospitalityq-nil'!C855)='hospitalityq-nil'!C855,'hospitalityq-nil'!C855&gt;=2018-50,'hospitalityq-nil'!C855&lt;=2018+50),FALSE)),SUMPRODUCT(--(TRIM('hospitalityq-nil'!C6:C855)=TRIM('hospitalityq-nil'!C855)),--(TRIM('hospitalityq-nil'!D6:D855)=TRIM('hospitalityq-nil'!D855)))&gt;1))</f>
        <v>0</v>
      </c>
      <c r="D855">
        <f>NOT('hospitalityq-nil'!D855="")*(OR(COUNTIF(reference!$C$144:$C$155,TRIM(LEFT('hospitalityq-nil'!D855,FIND(":",'hospitalityq-nil'!D855&amp;":")-1))&amp;":*")=0,SUMPRODUCT(--(TRIM('hospitalityq-nil'!C6:C855)=TRIM('hospitalityq-nil'!C855)),--(TRIM('hospitalityq-nil'!D6:D855)=TRIM('hospitalityq-nil'!D855)))&gt;1))</f>
        <v>0</v>
      </c>
    </row>
    <row r="856" spans="1:4" x14ac:dyDescent="0.25">
      <c r="A856">
        <f t="shared" si="13"/>
        <v>0</v>
      </c>
      <c r="C856">
        <f>NOT('hospitalityq-nil'!C856="")*(OR(NOT(IFERROR(AND(INT('hospitalityq-nil'!C856)='hospitalityq-nil'!C856,'hospitalityq-nil'!C856&gt;=2018-50,'hospitalityq-nil'!C856&lt;=2018+50),FALSE)),SUMPRODUCT(--(TRIM('hospitalityq-nil'!C6:C856)=TRIM('hospitalityq-nil'!C856)),--(TRIM('hospitalityq-nil'!D6:D856)=TRIM('hospitalityq-nil'!D856)))&gt;1))</f>
        <v>0</v>
      </c>
      <c r="D856">
        <f>NOT('hospitalityq-nil'!D856="")*(OR(COUNTIF(reference!$C$144:$C$155,TRIM(LEFT('hospitalityq-nil'!D856,FIND(":",'hospitalityq-nil'!D856&amp;":")-1))&amp;":*")=0,SUMPRODUCT(--(TRIM('hospitalityq-nil'!C6:C856)=TRIM('hospitalityq-nil'!C856)),--(TRIM('hospitalityq-nil'!D6:D856)=TRIM('hospitalityq-nil'!D856)))&gt;1))</f>
        <v>0</v>
      </c>
    </row>
    <row r="857" spans="1:4" x14ac:dyDescent="0.25">
      <c r="A857">
        <f t="shared" si="13"/>
        <v>0</v>
      </c>
      <c r="C857">
        <f>NOT('hospitalityq-nil'!C857="")*(OR(NOT(IFERROR(AND(INT('hospitalityq-nil'!C857)='hospitalityq-nil'!C857,'hospitalityq-nil'!C857&gt;=2018-50,'hospitalityq-nil'!C857&lt;=2018+50),FALSE)),SUMPRODUCT(--(TRIM('hospitalityq-nil'!C6:C857)=TRIM('hospitalityq-nil'!C857)),--(TRIM('hospitalityq-nil'!D6:D857)=TRIM('hospitalityq-nil'!D857)))&gt;1))</f>
        <v>0</v>
      </c>
      <c r="D857">
        <f>NOT('hospitalityq-nil'!D857="")*(OR(COUNTIF(reference!$C$144:$C$155,TRIM(LEFT('hospitalityq-nil'!D857,FIND(":",'hospitalityq-nil'!D857&amp;":")-1))&amp;":*")=0,SUMPRODUCT(--(TRIM('hospitalityq-nil'!C6:C857)=TRIM('hospitalityq-nil'!C857)),--(TRIM('hospitalityq-nil'!D6:D857)=TRIM('hospitalityq-nil'!D857)))&gt;1))</f>
        <v>0</v>
      </c>
    </row>
    <row r="858" spans="1:4" x14ac:dyDescent="0.25">
      <c r="A858">
        <f t="shared" si="13"/>
        <v>0</v>
      </c>
      <c r="C858">
        <f>NOT('hospitalityq-nil'!C858="")*(OR(NOT(IFERROR(AND(INT('hospitalityq-nil'!C858)='hospitalityq-nil'!C858,'hospitalityq-nil'!C858&gt;=2018-50,'hospitalityq-nil'!C858&lt;=2018+50),FALSE)),SUMPRODUCT(--(TRIM('hospitalityq-nil'!C6:C858)=TRIM('hospitalityq-nil'!C858)),--(TRIM('hospitalityq-nil'!D6:D858)=TRIM('hospitalityq-nil'!D858)))&gt;1))</f>
        <v>0</v>
      </c>
      <c r="D858">
        <f>NOT('hospitalityq-nil'!D858="")*(OR(COUNTIF(reference!$C$144:$C$155,TRIM(LEFT('hospitalityq-nil'!D858,FIND(":",'hospitalityq-nil'!D858&amp;":")-1))&amp;":*")=0,SUMPRODUCT(--(TRIM('hospitalityq-nil'!C6:C858)=TRIM('hospitalityq-nil'!C858)),--(TRIM('hospitalityq-nil'!D6:D858)=TRIM('hospitalityq-nil'!D858)))&gt;1))</f>
        <v>0</v>
      </c>
    </row>
    <row r="859" spans="1:4" x14ac:dyDescent="0.25">
      <c r="A859">
        <f t="shared" si="13"/>
        <v>0</v>
      </c>
      <c r="C859">
        <f>NOT('hospitalityq-nil'!C859="")*(OR(NOT(IFERROR(AND(INT('hospitalityq-nil'!C859)='hospitalityq-nil'!C859,'hospitalityq-nil'!C859&gt;=2018-50,'hospitalityq-nil'!C859&lt;=2018+50),FALSE)),SUMPRODUCT(--(TRIM('hospitalityq-nil'!C6:C859)=TRIM('hospitalityq-nil'!C859)),--(TRIM('hospitalityq-nil'!D6:D859)=TRIM('hospitalityq-nil'!D859)))&gt;1))</f>
        <v>0</v>
      </c>
      <c r="D859">
        <f>NOT('hospitalityq-nil'!D859="")*(OR(COUNTIF(reference!$C$144:$C$155,TRIM(LEFT('hospitalityq-nil'!D859,FIND(":",'hospitalityq-nil'!D859&amp;":")-1))&amp;":*")=0,SUMPRODUCT(--(TRIM('hospitalityq-nil'!C6:C859)=TRIM('hospitalityq-nil'!C859)),--(TRIM('hospitalityq-nil'!D6:D859)=TRIM('hospitalityq-nil'!D859)))&gt;1))</f>
        <v>0</v>
      </c>
    </row>
    <row r="860" spans="1:4" x14ac:dyDescent="0.25">
      <c r="A860">
        <f t="shared" si="13"/>
        <v>0</v>
      </c>
      <c r="C860">
        <f>NOT('hospitalityq-nil'!C860="")*(OR(NOT(IFERROR(AND(INT('hospitalityq-nil'!C860)='hospitalityq-nil'!C860,'hospitalityq-nil'!C860&gt;=2018-50,'hospitalityq-nil'!C860&lt;=2018+50),FALSE)),SUMPRODUCT(--(TRIM('hospitalityq-nil'!C6:C860)=TRIM('hospitalityq-nil'!C860)),--(TRIM('hospitalityq-nil'!D6:D860)=TRIM('hospitalityq-nil'!D860)))&gt;1))</f>
        <v>0</v>
      </c>
      <c r="D860">
        <f>NOT('hospitalityq-nil'!D860="")*(OR(COUNTIF(reference!$C$144:$C$155,TRIM(LEFT('hospitalityq-nil'!D860,FIND(":",'hospitalityq-nil'!D860&amp;":")-1))&amp;":*")=0,SUMPRODUCT(--(TRIM('hospitalityq-nil'!C6:C860)=TRIM('hospitalityq-nil'!C860)),--(TRIM('hospitalityq-nil'!D6:D860)=TRIM('hospitalityq-nil'!D860)))&gt;1))</f>
        <v>0</v>
      </c>
    </row>
    <row r="861" spans="1:4" x14ac:dyDescent="0.25">
      <c r="A861">
        <f t="shared" si="13"/>
        <v>0</v>
      </c>
      <c r="C861">
        <f>NOT('hospitalityq-nil'!C861="")*(OR(NOT(IFERROR(AND(INT('hospitalityq-nil'!C861)='hospitalityq-nil'!C861,'hospitalityq-nil'!C861&gt;=2018-50,'hospitalityq-nil'!C861&lt;=2018+50),FALSE)),SUMPRODUCT(--(TRIM('hospitalityq-nil'!C6:C861)=TRIM('hospitalityq-nil'!C861)),--(TRIM('hospitalityq-nil'!D6:D861)=TRIM('hospitalityq-nil'!D861)))&gt;1))</f>
        <v>0</v>
      </c>
      <c r="D861">
        <f>NOT('hospitalityq-nil'!D861="")*(OR(COUNTIF(reference!$C$144:$C$155,TRIM(LEFT('hospitalityq-nil'!D861,FIND(":",'hospitalityq-nil'!D861&amp;":")-1))&amp;":*")=0,SUMPRODUCT(--(TRIM('hospitalityq-nil'!C6:C861)=TRIM('hospitalityq-nil'!C861)),--(TRIM('hospitalityq-nil'!D6:D861)=TRIM('hospitalityq-nil'!D861)))&gt;1))</f>
        <v>0</v>
      </c>
    </row>
    <row r="862" spans="1:4" x14ac:dyDescent="0.25">
      <c r="A862">
        <f t="shared" si="13"/>
        <v>0</v>
      </c>
      <c r="C862">
        <f>NOT('hospitalityq-nil'!C862="")*(OR(NOT(IFERROR(AND(INT('hospitalityq-nil'!C862)='hospitalityq-nil'!C862,'hospitalityq-nil'!C862&gt;=2018-50,'hospitalityq-nil'!C862&lt;=2018+50),FALSE)),SUMPRODUCT(--(TRIM('hospitalityq-nil'!C6:C862)=TRIM('hospitalityq-nil'!C862)),--(TRIM('hospitalityq-nil'!D6:D862)=TRIM('hospitalityq-nil'!D862)))&gt;1))</f>
        <v>0</v>
      </c>
      <c r="D862">
        <f>NOT('hospitalityq-nil'!D862="")*(OR(COUNTIF(reference!$C$144:$C$155,TRIM(LEFT('hospitalityq-nil'!D862,FIND(":",'hospitalityq-nil'!D862&amp;":")-1))&amp;":*")=0,SUMPRODUCT(--(TRIM('hospitalityq-nil'!C6:C862)=TRIM('hospitalityq-nil'!C862)),--(TRIM('hospitalityq-nil'!D6:D862)=TRIM('hospitalityq-nil'!D862)))&gt;1))</f>
        <v>0</v>
      </c>
    </row>
    <row r="863" spans="1:4" x14ac:dyDescent="0.25">
      <c r="A863">
        <f t="shared" si="13"/>
        <v>0</v>
      </c>
      <c r="C863">
        <f>NOT('hospitalityq-nil'!C863="")*(OR(NOT(IFERROR(AND(INT('hospitalityq-nil'!C863)='hospitalityq-nil'!C863,'hospitalityq-nil'!C863&gt;=2018-50,'hospitalityq-nil'!C863&lt;=2018+50),FALSE)),SUMPRODUCT(--(TRIM('hospitalityq-nil'!C6:C863)=TRIM('hospitalityq-nil'!C863)),--(TRIM('hospitalityq-nil'!D6:D863)=TRIM('hospitalityq-nil'!D863)))&gt;1))</f>
        <v>0</v>
      </c>
      <c r="D863">
        <f>NOT('hospitalityq-nil'!D863="")*(OR(COUNTIF(reference!$C$144:$C$155,TRIM(LEFT('hospitalityq-nil'!D863,FIND(":",'hospitalityq-nil'!D863&amp;":")-1))&amp;":*")=0,SUMPRODUCT(--(TRIM('hospitalityq-nil'!C6:C863)=TRIM('hospitalityq-nil'!C863)),--(TRIM('hospitalityq-nil'!D6:D863)=TRIM('hospitalityq-nil'!D863)))&gt;1))</f>
        <v>0</v>
      </c>
    </row>
    <row r="864" spans="1:4" x14ac:dyDescent="0.25">
      <c r="A864">
        <f t="shared" si="13"/>
        <v>0</v>
      </c>
      <c r="C864">
        <f>NOT('hospitalityq-nil'!C864="")*(OR(NOT(IFERROR(AND(INT('hospitalityq-nil'!C864)='hospitalityq-nil'!C864,'hospitalityq-nil'!C864&gt;=2018-50,'hospitalityq-nil'!C864&lt;=2018+50),FALSE)),SUMPRODUCT(--(TRIM('hospitalityq-nil'!C6:C864)=TRIM('hospitalityq-nil'!C864)),--(TRIM('hospitalityq-nil'!D6:D864)=TRIM('hospitalityq-nil'!D864)))&gt;1))</f>
        <v>0</v>
      </c>
      <c r="D864">
        <f>NOT('hospitalityq-nil'!D864="")*(OR(COUNTIF(reference!$C$144:$C$155,TRIM(LEFT('hospitalityq-nil'!D864,FIND(":",'hospitalityq-nil'!D864&amp;":")-1))&amp;":*")=0,SUMPRODUCT(--(TRIM('hospitalityq-nil'!C6:C864)=TRIM('hospitalityq-nil'!C864)),--(TRIM('hospitalityq-nil'!D6:D864)=TRIM('hospitalityq-nil'!D864)))&gt;1))</f>
        <v>0</v>
      </c>
    </row>
    <row r="865" spans="1:4" x14ac:dyDescent="0.25">
      <c r="A865">
        <f t="shared" si="13"/>
        <v>0</v>
      </c>
      <c r="C865">
        <f>NOT('hospitalityq-nil'!C865="")*(OR(NOT(IFERROR(AND(INT('hospitalityq-nil'!C865)='hospitalityq-nil'!C865,'hospitalityq-nil'!C865&gt;=2018-50,'hospitalityq-nil'!C865&lt;=2018+50),FALSE)),SUMPRODUCT(--(TRIM('hospitalityq-nil'!C6:C865)=TRIM('hospitalityq-nil'!C865)),--(TRIM('hospitalityq-nil'!D6:D865)=TRIM('hospitalityq-nil'!D865)))&gt;1))</f>
        <v>0</v>
      </c>
      <c r="D865">
        <f>NOT('hospitalityq-nil'!D865="")*(OR(COUNTIF(reference!$C$144:$C$155,TRIM(LEFT('hospitalityq-nil'!D865,FIND(":",'hospitalityq-nil'!D865&amp;":")-1))&amp;":*")=0,SUMPRODUCT(--(TRIM('hospitalityq-nil'!C6:C865)=TRIM('hospitalityq-nil'!C865)),--(TRIM('hospitalityq-nil'!D6:D865)=TRIM('hospitalityq-nil'!D865)))&gt;1))</f>
        <v>0</v>
      </c>
    </row>
    <row r="866" spans="1:4" x14ac:dyDescent="0.25">
      <c r="A866">
        <f t="shared" si="13"/>
        <v>0</v>
      </c>
      <c r="C866">
        <f>NOT('hospitalityq-nil'!C866="")*(OR(NOT(IFERROR(AND(INT('hospitalityq-nil'!C866)='hospitalityq-nil'!C866,'hospitalityq-nil'!C866&gt;=2018-50,'hospitalityq-nil'!C866&lt;=2018+50),FALSE)),SUMPRODUCT(--(TRIM('hospitalityq-nil'!C6:C866)=TRIM('hospitalityq-nil'!C866)),--(TRIM('hospitalityq-nil'!D6:D866)=TRIM('hospitalityq-nil'!D866)))&gt;1))</f>
        <v>0</v>
      </c>
      <c r="D866">
        <f>NOT('hospitalityq-nil'!D866="")*(OR(COUNTIF(reference!$C$144:$C$155,TRIM(LEFT('hospitalityq-nil'!D866,FIND(":",'hospitalityq-nil'!D866&amp;":")-1))&amp;":*")=0,SUMPRODUCT(--(TRIM('hospitalityq-nil'!C6:C866)=TRIM('hospitalityq-nil'!C866)),--(TRIM('hospitalityq-nil'!D6:D866)=TRIM('hospitalityq-nil'!D866)))&gt;1))</f>
        <v>0</v>
      </c>
    </row>
    <row r="867" spans="1:4" x14ac:dyDescent="0.25">
      <c r="A867">
        <f t="shared" si="13"/>
        <v>0</v>
      </c>
      <c r="C867">
        <f>NOT('hospitalityq-nil'!C867="")*(OR(NOT(IFERROR(AND(INT('hospitalityq-nil'!C867)='hospitalityq-nil'!C867,'hospitalityq-nil'!C867&gt;=2018-50,'hospitalityq-nil'!C867&lt;=2018+50),FALSE)),SUMPRODUCT(--(TRIM('hospitalityq-nil'!C6:C867)=TRIM('hospitalityq-nil'!C867)),--(TRIM('hospitalityq-nil'!D6:D867)=TRIM('hospitalityq-nil'!D867)))&gt;1))</f>
        <v>0</v>
      </c>
      <c r="D867">
        <f>NOT('hospitalityq-nil'!D867="")*(OR(COUNTIF(reference!$C$144:$C$155,TRIM(LEFT('hospitalityq-nil'!D867,FIND(":",'hospitalityq-nil'!D867&amp;":")-1))&amp;":*")=0,SUMPRODUCT(--(TRIM('hospitalityq-nil'!C6:C867)=TRIM('hospitalityq-nil'!C867)),--(TRIM('hospitalityq-nil'!D6:D867)=TRIM('hospitalityq-nil'!D867)))&gt;1))</f>
        <v>0</v>
      </c>
    </row>
    <row r="868" spans="1:4" x14ac:dyDescent="0.25">
      <c r="A868">
        <f t="shared" si="13"/>
        <v>0</v>
      </c>
      <c r="C868">
        <f>NOT('hospitalityq-nil'!C868="")*(OR(NOT(IFERROR(AND(INT('hospitalityq-nil'!C868)='hospitalityq-nil'!C868,'hospitalityq-nil'!C868&gt;=2018-50,'hospitalityq-nil'!C868&lt;=2018+50),FALSE)),SUMPRODUCT(--(TRIM('hospitalityq-nil'!C6:C868)=TRIM('hospitalityq-nil'!C868)),--(TRIM('hospitalityq-nil'!D6:D868)=TRIM('hospitalityq-nil'!D868)))&gt;1))</f>
        <v>0</v>
      </c>
      <c r="D868">
        <f>NOT('hospitalityq-nil'!D868="")*(OR(COUNTIF(reference!$C$144:$C$155,TRIM(LEFT('hospitalityq-nil'!D868,FIND(":",'hospitalityq-nil'!D868&amp;":")-1))&amp;":*")=0,SUMPRODUCT(--(TRIM('hospitalityq-nil'!C6:C868)=TRIM('hospitalityq-nil'!C868)),--(TRIM('hospitalityq-nil'!D6:D868)=TRIM('hospitalityq-nil'!D868)))&gt;1))</f>
        <v>0</v>
      </c>
    </row>
    <row r="869" spans="1:4" x14ac:dyDescent="0.25">
      <c r="A869">
        <f t="shared" si="13"/>
        <v>0</v>
      </c>
      <c r="C869">
        <f>NOT('hospitalityq-nil'!C869="")*(OR(NOT(IFERROR(AND(INT('hospitalityq-nil'!C869)='hospitalityq-nil'!C869,'hospitalityq-nil'!C869&gt;=2018-50,'hospitalityq-nil'!C869&lt;=2018+50),FALSE)),SUMPRODUCT(--(TRIM('hospitalityq-nil'!C6:C869)=TRIM('hospitalityq-nil'!C869)),--(TRIM('hospitalityq-nil'!D6:D869)=TRIM('hospitalityq-nil'!D869)))&gt;1))</f>
        <v>0</v>
      </c>
      <c r="D869">
        <f>NOT('hospitalityq-nil'!D869="")*(OR(COUNTIF(reference!$C$144:$C$155,TRIM(LEFT('hospitalityq-nil'!D869,FIND(":",'hospitalityq-nil'!D869&amp;":")-1))&amp;":*")=0,SUMPRODUCT(--(TRIM('hospitalityq-nil'!C6:C869)=TRIM('hospitalityq-nil'!C869)),--(TRIM('hospitalityq-nil'!D6:D869)=TRIM('hospitalityq-nil'!D869)))&gt;1))</f>
        <v>0</v>
      </c>
    </row>
    <row r="870" spans="1:4" x14ac:dyDescent="0.25">
      <c r="A870">
        <f t="shared" si="13"/>
        <v>0</v>
      </c>
      <c r="C870">
        <f>NOT('hospitalityq-nil'!C870="")*(OR(NOT(IFERROR(AND(INT('hospitalityq-nil'!C870)='hospitalityq-nil'!C870,'hospitalityq-nil'!C870&gt;=2018-50,'hospitalityq-nil'!C870&lt;=2018+50),FALSE)),SUMPRODUCT(--(TRIM('hospitalityq-nil'!C6:C870)=TRIM('hospitalityq-nil'!C870)),--(TRIM('hospitalityq-nil'!D6:D870)=TRIM('hospitalityq-nil'!D870)))&gt;1))</f>
        <v>0</v>
      </c>
      <c r="D870">
        <f>NOT('hospitalityq-nil'!D870="")*(OR(COUNTIF(reference!$C$144:$C$155,TRIM(LEFT('hospitalityq-nil'!D870,FIND(":",'hospitalityq-nil'!D870&amp;":")-1))&amp;":*")=0,SUMPRODUCT(--(TRIM('hospitalityq-nil'!C6:C870)=TRIM('hospitalityq-nil'!C870)),--(TRIM('hospitalityq-nil'!D6:D870)=TRIM('hospitalityq-nil'!D870)))&gt;1))</f>
        <v>0</v>
      </c>
    </row>
    <row r="871" spans="1:4" x14ac:dyDescent="0.25">
      <c r="A871">
        <f t="shared" si="13"/>
        <v>0</v>
      </c>
      <c r="C871">
        <f>NOT('hospitalityq-nil'!C871="")*(OR(NOT(IFERROR(AND(INT('hospitalityq-nil'!C871)='hospitalityq-nil'!C871,'hospitalityq-nil'!C871&gt;=2018-50,'hospitalityq-nil'!C871&lt;=2018+50),FALSE)),SUMPRODUCT(--(TRIM('hospitalityq-nil'!C6:C871)=TRIM('hospitalityq-nil'!C871)),--(TRIM('hospitalityq-nil'!D6:D871)=TRIM('hospitalityq-nil'!D871)))&gt;1))</f>
        <v>0</v>
      </c>
      <c r="D871">
        <f>NOT('hospitalityq-nil'!D871="")*(OR(COUNTIF(reference!$C$144:$C$155,TRIM(LEFT('hospitalityq-nil'!D871,FIND(":",'hospitalityq-nil'!D871&amp;":")-1))&amp;":*")=0,SUMPRODUCT(--(TRIM('hospitalityq-nil'!C6:C871)=TRIM('hospitalityq-nil'!C871)),--(TRIM('hospitalityq-nil'!D6:D871)=TRIM('hospitalityq-nil'!D871)))&gt;1))</f>
        <v>0</v>
      </c>
    </row>
    <row r="872" spans="1:4" x14ac:dyDescent="0.25">
      <c r="A872">
        <f t="shared" si="13"/>
        <v>0</v>
      </c>
      <c r="C872">
        <f>NOT('hospitalityq-nil'!C872="")*(OR(NOT(IFERROR(AND(INT('hospitalityq-nil'!C872)='hospitalityq-nil'!C872,'hospitalityq-nil'!C872&gt;=2018-50,'hospitalityq-nil'!C872&lt;=2018+50),FALSE)),SUMPRODUCT(--(TRIM('hospitalityq-nil'!C6:C872)=TRIM('hospitalityq-nil'!C872)),--(TRIM('hospitalityq-nil'!D6:D872)=TRIM('hospitalityq-nil'!D872)))&gt;1))</f>
        <v>0</v>
      </c>
      <c r="D872">
        <f>NOT('hospitalityq-nil'!D872="")*(OR(COUNTIF(reference!$C$144:$C$155,TRIM(LEFT('hospitalityq-nil'!D872,FIND(":",'hospitalityq-nil'!D872&amp;":")-1))&amp;":*")=0,SUMPRODUCT(--(TRIM('hospitalityq-nil'!C6:C872)=TRIM('hospitalityq-nil'!C872)),--(TRIM('hospitalityq-nil'!D6:D872)=TRIM('hospitalityq-nil'!D872)))&gt;1))</f>
        <v>0</v>
      </c>
    </row>
    <row r="873" spans="1:4" x14ac:dyDescent="0.25">
      <c r="A873">
        <f t="shared" si="13"/>
        <v>0</v>
      </c>
      <c r="C873">
        <f>NOT('hospitalityq-nil'!C873="")*(OR(NOT(IFERROR(AND(INT('hospitalityq-nil'!C873)='hospitalityq-nil'!C873,'hospitalityq-nil'!C873&gt;=2018-50,'hospitalityq-nil'!C873&lt;=2018+50),FALSE)),SUMPRODUCT(--(TRIM('hospitalityq-nil'!C6:C873)=TRIM('hospitalityq-nil'!C873)),--(TRIM('hospitalityq-nil'!D6:D873)=TRIM('hospitalityq-nil'!D873)))&gt;1))</f>
        <v>0</v>
      </c>
      <c r="D873">
        <f>NOT('hospitalityq-nil'!D873="")*(OR(COUNTIF(reference!$C$144:$C$155,TRIM(LEFT('hospitalityq-nil'!D873,FIND(":",'hospitalityq-nil'!D873&amp;":")-1))&amp;":*")=0,SUMPRODUCT(--(TRIM('hospitalityq-nil'!C6:C873)=TRIM('hospitalityq-nil'!C873)),--(TRIM('hospitalityq-nil'!D6:D873)=TRIM('hospitalityq-nil'!D873)))&gt;1))</f>
        <v>0</v>
      </c>
    </row>
    <row r="874" spans="1:4" x14ac:dyDescent="0.25">
      <c r="A874">
        <f t="shared" si="13"/>
        <v>0</v>
      </c>
      <c r="C874">
        <f>NOT('hospitalityq-nil'!C874="")*(OR(NOT(IFERROR(AND(INT('hospitalityq-nil'!C874)='hospitalityq-nil'!C874,'hospitalityq-nil'!C874&gt;=2018-50,'hospitalityq-nil'!C874&lt;=2018+50),FALSE)),SUMPRODUCT(--(TRIM('hospitalityq-nil'!C6:C874)=TRIM('hospitalityq-nil'!C874)),--(TRIM('hospitalityq-nil'!D6:D874)=TRIM('hospitalityq-nil'!D874)))&gt;1))</f>
        <v>0</v>
      </c>
      <c r="D874">
        <f>NOT('hospitalityq-nil'!D874="")*(OR(COUNTIF(reference!$C$144:$C$155,TRIM(LEFT('hospitalityq-nil'!D874,FIND(":",'hospitalityq-nil'!D874&amp;":")-1))&amp;":*")=0,SUMPRODUCT(--(TRIM('hospitalityq-nil'!C6:C874)=TRIM('hospitalityq-nil'!C874)),--(TRIM('hospitalityq-nil'!D6:D874)=TRIM('hospitalityq-nil'!D874)))&gt;1))</f>
        <v>0</v>
      </c>
    </row>
    <row r="875" spans="1:4" x14ac:dyDescent="0.25">
      <c r="A875">
        <f t="shared" si="13"/>
        <v>0</v>
      </c>
      <c r="C875">
        <f>NOT('hospitalityq-nil'!C875="")*(OR(NOT(IFERROR(AND(INT('hospitalityq-nil'!C875)='hospitalityq-nil'!C875,'hospitalityq-nil'!C875&gt;=2018-50,'hospitalityq-nil'!C875&lt;=2018+50),FALSE)),SUMPRODUCT(--(TRIM('hospitalityq-nil'!C6:C875)=TRIM('hospitalityq-nil'!C875)),--(TRIM('hospitalityq-nil'!D6:D875)=TRIM('hospitalityq-nil'!D875)))&gt;1))</f>
        <v>0</v>
      </c>
      <c r="D875">
        <f>NOT('hospitalityq-nil'!D875="")*(OR(COUNTIF(reference!$C$144:$C$155,TRIM(LEFT('hospitalityq-nil'!D875,FIND(":",'hospitalityq-nil'!D875&amp;":")-1))&amp;":*")=0,SUMPRODUCT(--(TRIM('hospitalityq-nil'!C6:C875)=TRIM('hospitalityq-nil'!C875)),--(TRIM('hospitalityq-nil'!D6:D875)=TRIM('hospitalityq-nil'!D875)))&gt;1))</f>
        <v>0</v>
      </c>
    </row>
    <row r="876" spans="1:4" x14ac:dyDescent="0.25">
      <c r="A876">
        <f t="shared" si="13"/>
        <v>0</v>
      </c>
      <c r="C876">
        <f>NOT('hospitalityq-nil'!C876="")*(OR(NOT(IFERROR(AND(INT('hospitalityq-nil'!C876)='hospitalityq-nil'!C876,'hospitalityq-nil'!C876&gt;=2018-50,'hospitalityq-nil'!C876&lt;=2018+50),FALSE)),SUMPRODUCT(--(TRIM('hospitalityq-nil'!C6:C876)=TRIM('hospitalityq-nil'!C876)),--(TRIM('hospitalityq-nil'!D6:D876)=TRIM('hospitalityq-nil'!D876)))&gt;1))</f>
        <v>0</v>
      </c>
      <c r="D876">
        <f>NOT('hospitalityq-nil'!D876="")*(OR(COUNTIF(reference!$C$144:$C$155,TRIM(LEFT('hospitalityq-nil'!D876,FIND(":",'hospitalityq-nil'!D876&amp;":")-1))&amp;":*")=0,SUMPRODUCT(--(TRIM('hospitalityq-nil'!C6:C876)=TRIM('hospitalityq-nil'!C876)),--(TRIM('hospitalityq-nil'!D6:D876)=TRIM('hospitalityq-nil'!D876)))&gt;1))</f>
        <v>0</v>
      </c>
    </row>
    <row r="877" spans="1:4" x14ac:dyDescent="0.25">
      <c r="A877">
        <f t="shared" si="13"/>
        <v>0</v>
      </c>
      <c r="C877">
        <f>NOT('hospitalityq-nil'!C877="")*(OR(NOT(IFERROR(AND(INT('hospitalityq-nil'!C877)='hospitalityq-nil'!C877,'hospitalityq-nil'!C877&gt;=2018-50,'hospitalityq-nil'!C877&lt;=2018+50),FALSE)),SUMPRODUCT(--(TRIM('hospitalityq-nil'!C6:C877)=TRIM('hospitalityq-nil'!C877)),--(TRIM('hospitalityq-nil'!D6:D877)=TRIM('hospitalityq-nil'!D877)))&gt;1))</f>
        <v>0</v>
      </c>
      <c r="D877">
        <f>NOT('hospitalityq-nil'!D877="")*(OR(COUNTIF(reference!$C$144:$C$155,TRIM(LEFT('hospitalityq-nil'!D877,FIND(":",'hospitalityq-nil'!D877&amp;":")-1))&amp;":*")=0,SUMPRODUCT(--(TRIM('hospitalityq-nil'!C6:C877)=TRIM('hospitalityq-nil'!C877)),--(TRIM('hospitalityq-nil'!D6:D877)=TRIM('hospitalityq-nil'!D877)))&gt;1))</f>
        <v>0</v>
      </c>
    </row>
    <row r="878" spans="1:4" x14ac:dyDescent="0.25">
      <c r="A878">
        <f t="shared" si="13"/>
        <v>0</v>
      </c>
      <c r="C878">
        <f>NOT('hospitalityq-nil'!C878="")*(OR(NOT(IFERROR(AND(INT('hospitalityq-nil'!C878)='hospitalityq-nil'!C878,'hospitalityq-nil'!C878&gt;=2018-50,'hospitalityq-nil'!C878&lt;=2018+50),FALSE)),SUMPRODUCT(--(TRIM('hospitalityq-nil'!C6:C878)=TRIM('hospitalityq-nil'!C878)),--(TRIM('hospitalityq-nil'!D6:D878)=TRIM('hospitalityq-nil'!D878)))&gt;1))</f>
        <v>0</v>
      </c>
      <c r="D878">
        <f>NOT('hospitalityq-nil'!D878="")*(OR(COUNTIF(reference!$C$144:$C$155,TRIM(LEFT('hospitalityq-nil'!D878,FIND(":",'hospitalityq-nil'!D878&amp;":")-1))&amp;":*")=0,SUMPRODUCT(--(TRIM('hospitalityq-nil'!C6:C878)=TRIM('hospitalityq-nil'!C878)),--(TRIM('hospitalityq-nil'!D6:D878)=TRIM('hospitalityq-nil'!D878)))&gt;1))</f>
        <v>0</v>
      </c>
    </row>
    <row r="879" spans="1:4" x14ac:dyDescent="0.25">
      <c r="A879">
        <f t="shared" si="13"/>
        <v>0</v>
      </c>
      <c r="C879">
        <f>NOT('hospitalityq-nil'!C879="")*(OR(NOT(IFERROR(AND(INT('hospitalityq-nil'!C879)='hospitalityq-nil'!C879,'hospitalityq-nil'!C879&gt;=2018-50,'hospitalityq-nil'!C879&lt;=2018+50),FALSE)),SUMPRODUCT(--(TRIM('hospitalityq-nil'!C6:C879)=TRIM('hospitalityq-nil'!C879)),--(TRIM('hospitalityq-nil'!D6:D879)=TRIM('hospitalityq-nil'!D879)))&gt;1))</f>
        <v>0</v>
      </c>
      <c r="D879">
        <f>NOT('hospitalityq-nil'!D879="")*(OR(COUNTIF(reference!$C$144:$C$155,TRIM(LEFT('hospitalityq-nil'!D879,FIND(":",'hospitalityq-nil'!D879&amp;":")-1))&amp;":*")=0,SUMPRODUCT(--(TRIM('hospitalityq-nil'!C6:C879)=TRIM('hospitalityq-nil'!C879)),--(TRIM('hospitalityq-nil'!D6:D879)=TRIM('hospitalityq-nil'!D879)))&gt;1))</f>
        <v>0</v>
      </c>
    </row>
    <row r="880" spans="1:4" x14ac:dyDescent="0.25">
      <c r="A880">
        <f t="shared" si="13"/>
        <v>0</v>
      </c>
      <c r="C880">
        <f>NOT('hospitalityq-nil'!C880="")*(OR(NOT(IFERROR(AND(INT('hospitalityq-nil'!C880)='hospitalityq-nil'!C880,'hospitalityq-nil'!C880&gt;=2018-50,'hospitalityq-nil'!C880&lt;=2018+50),FALSE)),SUMPRODUCT(--(TRIM('hospitalityq-nil'!C6:C880)=TRIM('hospitalityq-nil'!C880)),--(TRIM('hospitalityq-nil'!D6:D880)=TRIM('hospitalityq-nil'!D880)))&gt;1))</f>
        <v>0</v>
      </c>
      <c r="D880">
        <f>NOT('hospitalityq-nil'!D880="")*(OR(COUNTIF(reference!$C$144:$C$155,TRIM(LEFT('hospitalityq-nil'!D880,FIND(":",'hospitalityq-nil'!D880&amp;":")-1))&amp;":*")=0,SUMPRODUCT(--(TRIM('hospitalityq-nil'!C6:C880)=TRIM('hospitalityq-nil'!C880)),--(TRIM('hospitalityq-nil'!D6:D880)=TRIM('hospitalityq-nil'!D880)))&gt;1))</f>
        <v>0</v>
      </c>
    </row>
    <row r="881" spans="1:4" x14ac:dyDescent="0.25">
      <c r="A881">
        <f t="shared" si="13"/>
        <v>0</v>
      </c>
      <c r="C881">
        <f>NOT('hospitalityq-nil'!C881="")*(OR(NOT(IFERROR(AND(INT('hospitalityq-nil'!C881)='hospitalityq-nil'!C881,'hospitalityq-nil'!C881&gt;=2018-50,'hospitalityq-nil'!C881&lt;=2018+50),FALSE)),SUMPRODUCT(--(TRIM('hospitalityq-nil'!C6:C881)=TRIM('hospitalityq-nil'!C881)),--(TRIM('hospitalityq-nil'!D6:D881)=TRIM('hospitalityq-nil'!D881)))&gt;1))</f>
        <v>0</v>
      </c>
      <c r="D881">
        <f>NOT('hospitalityq-nil'!D881="")*(OR(COUNTIF(reference!$C$144:$C$155,TRIM(LEFT('hospitalityq-nil'!D881,FIND(":",'hospitalityq-nil'!D881&amp;":")-1))&amp;":*")=0,SUMPRODUCT(--(TRIM('hospitalityq-nil'!C6:C881)=TRIM('hospitalityq-nil'!C881)),--(TRIM('hospitalityq-nil'!D6:D881)=TRIM('hospitalityq-nil'!D881)))&gt;1))</f>
        <v>0</v>
      </c>
    </row>
    <row r="882" spans="1:4" x14ac:dyDescent="0.25">
      <c r="A882">
        <f t="shared" si="13"/>
        <v>0</v>
      </c>
      <c r="C882">
        <f>NOT('hospitalityq-nil'!C882="")*(OR(NOT(IFERROR(AND(INT('hospitalityq-nil'!C882)='hospitalityq-nil'!C882,'hospitalityq-nil'!C882&gt;=2018-50,'hospitalityq-nil'!C882&lt;=2018+50),FALSE)),SUMPRODUCT(--(TRIM('hospitalityq-nil'!C6:C882)=TRIM('hospitalityq-nil'!C882)),--(TRIM('hospitalityq-nil'!D6:D882)=TRIM('hospitalityq-nil'!D882)))&gt;1))</f>
        <v>0</v>
      </c>
      <c r="D882">
        <f>NOT('hospitalityq-nil'!D882="")*(OR(COUNTIF(reference!$C$144:$C$155,TRIM(LEFT('hospitalityq-nil'!D882,FIND(":",'hospitalityq-nil'!D882&amp;":")-1))&amp;":*")=0,SUMPRODUCT(--(TRIM('hospitalityq-nil'!C6:C882)=TRIM('hospitalityq-nil'!C882)),--(TRIM('hospitalityq-nil'!D6:D882)=TRIM('hospitalityq-nil'!D882)))&gt;1))</f>
        <v>0</v>
      </c>
    </row>
    <row r="883" spans="1:4" x14ac:dyDescent="0.25">
      <c r="A883">
        <f t="shared" si="13"/>
        <v>0</v>
      </c>
      <c r="C883">
        <f>NOT('hospitalityq-nil'!C883="")*(OR(NOT(IFERROR(AND(INT('hospitalityq-nil'!C883)='hospitalityq-nil'!C883,'hospitalityq-nil'!C883&gt;=2018-50,'hospitalityq-nil'!C883&lt;=2018+50),FALSE)),SUMPRODUCT(--(TRIM('hospitalityq-nil'!C6:C883)=TRIM('hospitalityq-nil'!C883)),--(TRIM('hospitalityq-nil'!D6:D883)=TRIM('hospitalityq-nil'!D883)))&gt;1))</f>
        <v>0</v>
      </c>
      <c r="D883">
        <f>NOT('hospitalityq-nil'!D883="")*(OR(COUNTIF(reference!$C$144:$C$155,TRIM(LEFT('hospitalityq-nil'!D883,FIND(":",'hospitalityq-nil'!D883&amp;":")-1))&amp;":*")=0,SUMPRODUCT(--(TRIM('hospitalityq-nil'!C6:C883)=TRIM('hospitalityq-nil'!C883)),--(TRIM('hospitalityq-nil'!D6:D883)=TRIM('hospitalityq-nil'!D883)))&gt;1))</f>
        <v>0</v>
      </c>
    </row>
    <row r="884" spans="1:4" x14ac:dyDescent="0.25">
      <c r="A884">
        <f t="shared" si="13"/>
        <v>0</v>
      </c>
      <c r="C884">
        <f>NOT('hospitalityq-nil'!C884="")*(OR(NOT(IFERROR(AND(INT('hospitalityq-nil'!C884)='hospitalityq-nil'!C884,'hospitalityq-nil'!C884&gt;=2018-50,'hospitalityq-nil'!C884&lt;=2018+50),FALSE)),SUMPRODUCT(--(TRIM('hospitalityq-nil'!C6:C884)=TRIM('hospitalityq-nil'!C884)),--(TRIM('hospitalityq-nil'!D6:D884)=TRIM('hospitalityq-nil'!D884)))&gt;1))</f>
        <v>0</v>
      </c>
      <c r="D884">
        <f>NOT('hospitalityq-nil'!D884="")*(OR(COUNTIF(reference!$C$144:$C$155,TRIM(LEFT('hospitalityq-nil'!D884,FIND(":",'hospitalityq-nil'!D884&amp;":")-1))&amp;":*")=0,SUMPRODUCT(--(TRIM('hospitalityq-nil'!C6:C884)=TRIM('hospitalityq-nil'!C884)),--(TRIM('hospitalityq-nil'!D6:D884)=TRIM('hospitalityq-nil'!D884)))&gt;1))</f>
        <v>0</v>
      </c>
    </row>
    <row r="885" spans="1:4" x14ac:dyDescent="0.25">
      <c r="A885">
        <f t="shared" si="13"/>
        <v>0</v>
      </c>
      <c r="C885">
        <f>NOT('hospitalityq-nil'!C885="")*(OR(NOT(IFERROR(AND(INT('hospitalityq-nil'!C885)='hospitalityq-nil'!C885,'hospitalityq-nil'!C885&gt;=2018-50,'hospitalityq-nil'!C885&lt;=2018+50),FALSE)),SUMPRODUCT(--(TRIM('hospitalityq-nil'!C6:C885)=TRIM('hospitalityq-nil'!C885)),--(TRIM('hospitalityq-nil'!D6:D885)=TRIM('hospitalityq-nil'!D885)))&gt;1))</f>
        <v>0</v>
      </c>
      <c r="D885">
        <f>NOT('hospitalityq-nil'!D885="")*(OR(COUNTIF(reference!$C$144:$C$155,TRIM(LEFT('hospitalityq-nil'!D885,FIND(":",'hospitalityq-nil'!D885&amp;":")-1))&amp;":*")=0,SUMPRODUCT(--(TRIM('hospitalityq-nil'!C6:C885)=TRIM('hospitalityq-nil'!C885)),--(TRIM('hospitalityq-nil'!D6:D885)=TRIM('hospitalityq-nil'!D885)))&gt;1))</f>
        <v>0</v>
      </c>
    </row>
    <row r="886" spans="1:4" x14ac:dyDescent="0.25">
      <c r="A886">
        <f t="shared" si="13"/>
        <v>0</v>
      </c>
      <c r="C886">
        <f>NOT('hospitalityq-nil'!C886="")*(OR(NOT(IFERROR(AND(INT('hospitalityq-nil'!C886)='hospitalityq-nil'!C886,'hospitalityq-nil'!C886&gt;=2018-50,'hospitalityq-nil'!C886&lt;=2018+50),FALSE)),SUMPRODUCT(--(TRIM('hospitalityq-nil'!C6:C886)=TRIM('hospitalityq-nil'!C886)),--(TRIM('hospitalityq-nil'!D6:D886)=TRIM('hospitalityq-nil'!D886)))&gt;1))</f>
        <v>0</v>
      </c>
      <c r="D886">
        <f>NOT('hospitalityq-nil'!D886="")*(OR(COUNTIF(reference!$C$144:$C$155,TRIM(LEFT('hospitalityq-nil'!D886,FIND(":",'hospitalityq-nil'!D886&amp;":")-1))&amp;":*")=0,SUMPRODUCT(--(TRIM('hospitalityq-nil'!C6:C886)=TRIM('hospitalityq-nil'!C886)),--(TRIM('hospitalityq-nil'!D6:D886)=TRIM('hospitalityq-nil'!D886)))&gt;1))</f>
        <v>0</v>
      </c>
    </row>
    <row r="887" spans="1:4" x14ac:dyDescent="0.25">
      <c r="A887">
        <f t="shared" si="13"/>
        <v>0</v>
      </c>
      <c r="C887">
        <f>NOT('hospitalityq-nil'!C887="")*(OR(NOT(IFERROR(AND(INT('hospitalityq-nil'!C887)='hospitalityq-nil'!C887,'hospitalityq-nil'!C887&gt;=2018-50,'hospitalityq-nil'!C887&lt;=2018+50),FALSE)),SUMPRODUCT(--(TRIM('hospitalityq-nil'!C6:C887)=TRIM('hospitalityq-nil'!C887)),--(TRIM('hospitalityq-nil'!D6:D887)=TRIM('hospitalityq-nil'!D887)))&gt;1))</f>
        <v>0</v>
      </c>
      <c r="D887">
        <f>NOT('hospitalityq-nil'!D887="")*(OR(COUNTIF(reference!$C$144:$C$155,TRIM(LEFT('hospitalityq-nil'!D887,FIND(":",'hospitalityq-nil'!D887&amp;":")-1))&amp;":*")=0,SUMPRODUCT(--(TRIM('hospitalityq-nil'!C6:C887)=TRIM('hospitalityq-nil'!C887)),--(TRIM('hospitalityq-nil'!D6:D887)=TRIM('hospitalityq-nil'!D887)))&gt;1))</f>
        <v>0</v>
      </c>
    </row>
    <row r="888" spans="1:4" x14ac:dyDescent="0.25">
      <c r="A888">
        <f t="shared" si="13"/>
        <v>0</v>
      </c>
      <c r="C888">
        <f>NOT('hospitalityq-nil'!C888="")*(OR(NOT(IFERROR(AND(INT('hospitalityq-nil'!C888)='hospitalityq-nil'!C888,'hospitalityq-nil'!C888&gt;=2018-50,'hospitalityq-nil'!C888&lt;=2018+50),FALSE)),SUMPRODUCT(--(TRIM('hospitalityq-nil'!C6:C888)=TRIM('hospitalityq-nil'!C888)),--(TRIM('hospitalityq-nil'!D6:D888)=TRIM('hospitalityq-nil'!D888)))&gt;1))</f>
        <v>0</v>
      </c>
      <c r="D888">
        <f>NOT('hospitalityq-nil'!D888="")*(OR(COUNTIF(reference!$C$144:$C$155,TRIM(LEFT('hospitalityq-nil'!D888,FIND(":",'hospitalityq-nil'!D888&amp;":")-1))&amp;":*")=0,SUMPRODUCT(--(TRIM('hospitalityq-nil'!C6:C888)=TRIM('hospitalityq-nil'!C888)),--(TRIM('hospitalityq-nil'!D6:D888)=TRIM('hospitalityq-nil'!D888)))&gt;1))</f>
        <v>0</v>
      </c>
    </row>
    <row r="889" spans="1:4" x14ac:dyDescent="0.25">
      <c r="A889">
        <f t="shared" si="13"/>
        <v>0</v>
      </c>
      <c r="C889">
        <f>NOT('hospitalityq-nil'!C889="")*(OR(NOT(IFERROR(AND(INT('hospitalityq-nil'!C889)='hospitalityq-nil'!C889,'hospitalityq-nil'!C889&gt;=2018-50,'hospitalityq-nil'!C889&lt;=2018+50),FALSE)),SUMPRODUCT(--(TRIM('hospitalityq-nil'!C6:C889)=TRIM('hospitalityq-nil'!C889)),--(TRIM('hospitalityq-nil'!D6:D889)=TRIM('hospitalityq-nil'!D889)))&gt;1))</f>
        <v>0</v>
      </c>
      <c r="D889">
        <f>NOT('hospitalityq-nil'!D889="")*(OR(COUNTIF(reference!$C$144:$C$155,TRIM(LEFT('hospitalityq-nil'!D889,FIND(":",'hospitalityq-nil'!D889&amp;":")-1))&amp;":*")=0,SUMPRODUCT(--(TRIM('hospitalityq-nil'!C6:C889)=TRIM('hospitalityq-nil'!C889)),--(TRIM('hospitalityq-nil'!D6:D889)=TRIM('hospitalityq-nil'!D889)))&gt;1))</f>
        <v>0</v>
      </c>
    </row>
    <row r="890" spans="1:4" x14ac:dyDescent="0.25">
      <c r="A890">
        <f t="shared" si="13"/>
        <v>0</v>
      </c>
      <c r="C890">
        <f>NOT('hospitalityq-nil'!C890="")*(OR(NOT(IFERROR(AND(INT('hospitalityq-nil'!C890)='hospitalityq-nil'!C890,'hospitalityq-nil'!C890&gt;=2018-50,'hospitalityq-nil'!C890&lt;=2018+50),FALSE)),SUMPRODUCT(--(TRIM('hospitalityq-nil'!C6:C890)=TRIM('hospitalityq-nil'!C890)),--(TRIM('hospitalityq-nil'!D6:D890)=TRIM('hospitalityq-nil'!D890)))&gt;1))</f>
        <v>0</v>
      </c>
      <c r="D890">
        <f>NOT('hospitalityq-nil'!D890="")*(OR(COUNTIF(reference!$C$144:$C$155,TRIM(LEFT('hospitalityq-nil'!D890,FIND(":",'hospitalityq-nil'!D890&amp;":")-1))&amp;":*")=0,SUMPRODUCT(--(TRIM('hospitalityq-nil'!C6:C890)=TRIM('hospitalityq-nil'!C890)),--(TRIM('hospitalityq-nil'!D6:D890)=TRIM('hospitalityq-nil'!D890)))&gt;1))</f>
        <v>0</v>
      </c>
    </row>
    <row r="891" spans="1:4" x14ac:dyDescent="0.25">
      <c r="A891">
        <f t="shared" si="13"/>
        <v>0</v>
      </c>
      <c r="C891">
        <f>NOT('hospitalityq-nil'!C891="")*(OR(NOT(IFERROR(AND(INT('hospitalityq-nil'!C891)='hospitalityq-nil'!C891,'hospitalityq-nil'!C891&gt;=2018-50,'hospitalityq-nil'!C891&lt;=2018+50),FALSE)),SUMPRODUCT(--(TRIM('hospitalityq-nil'!C6:C891)=TRIM('hospitalityq-nil'!C891)),--(TRIM('hospitalityq-nil'!D6:D891)=TRIM('hospitalityq-nil'!D891)))&gt;1))</f>
        <v>0</v>
      </c>
      <c r="D891">
        <f>NOT('hospitalityq-nil'!D891="")*(OR(COUNTIF(reference!$C$144:$C$155,TRIM(LEFT('hospitalityq-nil'!D891,FIND(":",'hospitalityq-nil'!D891&amp;":")-1))&amp;":*")=0,SUMPRODUCT(--(TRIM('hospitalityq-nil'!C6:C891)=TRIM('hospitalityq-nil'!C891)),--(TRIM('hospitalityq-nil'!D6:D891)=TRIM('hospitalityq-nil'!D891)))&gt;1))</f>
        <v>0</v>
      </c>
    </row>
    <row r="892" spans="1:4" x14ac:dyDescent="0.25">
      <c r="A892">
        <f t="shared" si="13"/>
        <v>0</v>
      </c>
      <c r="C892">
        <f>NOT('hospitalityq-nil'!C892="")*(OR(NOT(IFERROR(AND(INT('hospitalityq-nil'!C892)='hospitalityq-nil'!C892,'hospitalityq-nil'!C892&gt;=2018-50,'hospitalityq-nil'!C892&lt;=2018+50),FALSE)),SUMPRODUCT(--(TRIM('hospitalityq-nil'!C6:C892)=TRIM('hospitalityq-nil'!C892)),--(TRIM('hospitalityq-nil'!D6:D892)=TRIM('hospitalityq-nil'!D892)))&gt;1))</f>
        <v>0</v>
      </c>
      <c r="D892">
        <f>NOT('hospitalityq-nil'!D892="")*(OR(COUNTIF(reference!$C$144:$C$155,TRIM(LEFT('hospitalityq-nil'!D892,FIND(":",'hospitalityq-nil'!D892&amp;":")-1))&amp;":*")=0,SUMPRODUCT(--(TRIM('hospitalityq-nil'!C6:C892)=TRIM('hospitalityq-nil'!C892)),--(TRIM('hospitalityq-nil'!D6:D892)=TRIM('hospitalityq-nil'!D892)))&gt;1))</f>
        <v>0</v>
      </c>
    </row>
    <row r="893" spans="1:4" x14ac:dyDescent="0.25">
      <c r="A893">
        <f t="shared" si="13"/>
        <v>0</v>
      </c>
      <c r="C893">
        <f>NOT('hospitalityq-nil'!C893="")*(OR(NOT(IFERROR(AND(INT('hospitalityq-nil'!C893)='hospitalityq-nil'!C893,'hospitalityq-nil'!C893&gt;=2018-50,'hospitalityq-nil'!C893&lt;=2018+50),FALSE)),SUMPRODUCT(--(TRIM('hospitalityq-nil'!C6:C893)=TRIM('hospitalityq-nil'!C893)),--(TRIM('hospitalityq-nil'!D6:D893)=TRIM('hospitalityq-nil'!D893)))&gt;1))</f>
        <v>0</v>
      </c>
      <c r="D893">
        <f>NOT('hospitalityq-nil'!D893="")*(OR(COUNTIF(reference!$C$144:$C$155,TRIM(LEFT('hospitalityq-nil'!D893,FIND(":",'hospitalityq-nil'!D893&amp;":")-1))&amp;":*")=0,SUMPRODUCT(--(TRIM('hospitalityq-nil'!C6:C893)=TRIM('hospitalityq-nil'!C893)),--(TRIM('hospitalityq-nil'!D6:D893)=TRIM('hospitalityq-nil'!D893)))&gt;1))</f>
        <v>0</v>
      </c>
    </row>
    <row r="894" spans="1:4" x14ac:dyDescent="0.25">
      <c r="A894">
        <f t="shared" si="13"/>
        <v>0</v>
      </c>
      <c r="C894">
        <f>NOT('hospitalityq-nil'!C894="")*(OR(NOT(IFERROR(AND(INT('hospitalityq-nil'!C894)='hospitalityq-nil'!C894,'hospitalityq-nil'!C894&gt;=2018-50,'hospitalityq-nil'!C894&lt;=2018+50),FALSE)),SUMPRODUCT(--(TRIM('hospitalityq-nil'!C6:C894)=TRIM('hospitalityq-nil'!C894)),--(TRIM('hospitalityq-nil'!D6:D894)=TRIM('hospitalityq-nil'!D894)))&gt;1))</f>
        <v>0</v>
      </c>
      <c r="D894">
        <f>NOT('hospitalityq-nil'!D894="")*(OR(COUNTIF(reference!$C$144:$C$155,TRIM(LEFT('hospitalityq-nil'!D894,FIND(":",'hospitalityq-nil'!D894&amp;":")-1))&amp;":*")=0,SUMPRODUCT(--(TRIM('hospitalityq-nil'!C6:C894)=TRIM('hospitalityq-nil'!C894)),--(TRIM('hospitalityq-nil'!D6:D894)=TRIM('hospitalityq-nil'!D894)))&gt;1))</f>
        <v>0</v>
      </c>
    </row>
    <row r="895" spans="1:4" x14ac:dyDescent="0.25">
      <c r="A895">
        <f t="shared" si="13"/>
        <v>0</v>
      </c>
      <c r="C895">
        <f>NOT('hospitalityq-nil'!C895="")*(OR(NOT(IFERROR(AND(INT('hospitalityq-nil'!C895)='hospitalityq-nil'!C895,'hospitalityq-nil'!C895&gt;=2018-50,'hospitalityq-nil'!C895&lt;=2018+50),FALSE)),SUMPRODUCT(--(TRIM('hospitalityq-nil'!C6:C895)=TRIM('hospitalityq-nil'!C895)),--(TRIM('hospitalityq-nil'!D6:D895)=TRIM('hospitalityq-nil'!D895)))&gt;1))</f>
        <v>0</v>
      </c>
      <c r="D895">
        <f>NOT('hospitalityq-nil'!D895="")*(OR(COUNTIF(reference!$C$144:$C$155,TRIM(LEFT('hospitalityq-nil'!D895,FIND(":",'hospitalityq-nil'!D895&amp;":")-1))&amp;":*")=0,SUMPRODUCT(--(TRIM('hospitalityq-nil'!C6:C895)=TRIM('hospitalityq-nil'!C895)),--(TRIM('hospitalityq-nil'!D6:D895)=TRIM('hospitalityq-nil'!D895)))&gt;1))</f>
        <v>0</v>
      </c>
    </row>
    <row r="896" spans="1:4" x14ac:dyDescent="0.25">
      <c r="A896">
        <f t="shared" si="13"/>
        <v>0</v>
      </c>
      <c r="C896">
        <f>NOT('hospitalityq-nil'!C896="")*(OR(NOT(IFERROR(AND(INT('hospitalityq-nil'!C896)='hospitalityq-nil'!C896,'hospitalityq-nil'!C896&gt;=2018-50,'hospitalityq-nil'!C896&lt;=2018+50),FALSE)),SUMPRODUCT(--(TRIM('hospitalityq-nil'!C6:C896)=TRIM('hospitalityq-nil'!C896)),--(TRIM('hospitalityq-nil'!D6:D896)=TRIM('hospitalityq-nil'!D896)))&gt;1))</f>
        <v>0</v>
      </c>
      <c r="D896">
        <f>NOT('hospitalityq-nil'!D896="")*(OR(COUNTIF(reference!$C$144:$C$155,TRIM(LEFT('hospitalityq-nil'!D896,FIND(":",'hospitalityq-nil'!D896&amp;":")-1))&amp;":*")=0,SUMPRODUCT(--(TRIM('hospitalityq-nil'!C6:C896)=TRIM('hospitalityq-nil'!C896)),--(TRIM('hospitalityq-nil'!D6:D896)=TRIM('hospitalityq-nil'!D896)))&gt;1))</f>
        <v>0</v>
      </c>
    </row>
    <row r="897" spans="1:4" x14ac:dyDescent="0.25">
      <c r="A897">
        <f t="shared" si="13"/>
        <v>0</v>
      </c>
      <c r="C897">
        <f>NOT('hospitalityq-nil'!C897="")*(OR(NOT(IFERROR(AND(INT('hospitalityq-nil'!C897)='hospitalityq-nil'!C897,'hospitalityq-nil'!C897&gt;=2018-50,'hospitalityq-nil'!C897&lt;=2018+50),FALSE)),SUMPRODUCT(--(TRIM('hospitalityq-nil'!C6:C897)=TRIM('hospitalityq-nil'!C897)),--(TRIM('hospitalityq-nil'!D6:D897)=TRIM('hospitalityq-nil'!D897)))&gt;1))</f>
        <v>0</v>
      </c>
      <c r="D897">
        <f>NOT('hospitalityq-nil'!D897="")*(OR(COUNTIF(reference!$C$144:$C$155,TRIM(LEFT('hospitalityq-nil'!D897,FIND(":",'hospitalityq-nil'!D897&amp;":")-1))&amp;":*")=0,SUMPRODUCT(--(TRIM('hospitalityq-nil'!C6:C897)=TRIM('hospitalityq-nil'!C897)),--(TRIM('hospitalityq-nil'!D6:D897)=TRIM('hospitalityq-nil'!D897)))&gt;1))</f>
        <v>0</v>
      </c>
    </row>
    <row r="898" spans="1:4" x14ac:dyDescent="0.25">
      <c r="A898">
        <f t="shared" si="13"/>
        <v>0</v>
      </c>
      <c r="C898">
        <f>NOT('hospitalityq-nil'!C898="")*(OR(NOT(IFERROR(AND(INT('hospitalityq-nil'!C898)='hospitalityq-nil'!C898,'hospitalityq-nil'!C898&gt;=2018-50,'hospitalityq-nil'!C898&lt;=2018+50),FALSE)),SUMPRODUCT(--(TRIM('hospitalityq-nil'!C6:C898)=TRIM('hospitalityq-nil'!C898)),--(TRIM('hospitalityq-nil'!D6:D898)=TRIM('hospitalityq-nil'!D898)))&gt;1))</f>
        <v>0</v>
      </c>
      <c r="D898">
        <f>NOT('hospitalityq-nil'!D898="")*(OR(COUNTIF(reference!$C$144:$C$155,TRIM(LEFT('hospitalityq-nil'!D898,FIND(":",'hospitalityq-nil'!D898&amp;":")-1))&amp;":*")=0,SUMPRODUCT(--(TRIM('hospitalityq-nil'!C6:C898)=TRIM('hospitalityq-nil'!C898)),--(TRIM('hospitalityq-nil'!D6:D898)=TRIM('hospitalityq-nil'!D898)))&gt;1))</f>
        <v>0</v>
      </c>
    </row>
    <row r="899" spans="1:4" x14ac:dyDescent="0.25">
      <c r="A899">
        <f t="shared" si="13"/>
        <v>0</v>
      </c>
      <c r="C899">
        <f>NOT('hospitalityq-nil'!C899="")*(OR(NOT(IFERROR(AND(INT('hospitalityq-nil'!C899)='hospitalityq-nil'!C899,'hospitalityq-nil'!C899&gt;=2018-50,'hospitalityq-nil'!C899&lt;=2018+50),FALSE)),SUMPRODUCT(--(TRIM('hospitalityq-nil'!C6:C899)=TRIM('hospitalityq-nil'!C899)),--(TRIM('hospitalityq-nil'!D6:D899)=TRIM('hospitalityq-nil'!D899)))&gt;1))</f>
        <v>0</v>
      </c>
      <c r="D899">
        <f>NOT('hospitalityq-nil'!D899="")*(OR(COUNTIF(reference!$C$144:$C$155,TRIM(LEFT('hospitalityq-nil'!D899,FIND(":",'hospitalityq-nil'!D899&amp;":")-1))&amp;":*")=0,SUMPRODUCT(--(TRIM('hospitalityq-nil'!C6:C899)=TRIM('hospitalityq-nil'!C899)),--(TRIM('hospitalityq-nil'!D6:D899)=TRIM('hospitalityq-nil'!D899)))&gt;1))</f>
        <v>0</v>
      </c>
    </row>
    <row r="900" spans="1:4" x14ac:dyDescent="0.25">
      <c r="A900">
        <f t="shared" si="13"/>
        <v>0</v>
      </c>
      <c r="C900">
        <f>NOT('hospitalityq-nil'!C900="")*(OR(NOT(IFERROR(AND(INT('hospitalityq-nil'!C900)='hospitalityq-nil'!C900,'hospitalityq-nil'!C900&gt;=2018-50,'hospitalityq-nil'!C900&lt;=2018+50),FALSE)),SUMPRODUCT(--(TRIM('hospitalityq-nil'!C6:C900)=TRIM('hospitalityq-nil'!C900)),--(TRIM('hospitalityq-nil'!D6:D900)=TRIM('hospitalityq-nil'!D900)))&gt;1))</f>
        <v>0</v>
      </c>
      <c r="D900">
        <f>NOT('hospitalityq-nil'!D900="")*(OR(COUNTIF(reference!$C$144:$C$155,TRIM(LEFT('hospitalityq-nil'!D900,FIND(":",'hospitalityq-nil'!D900&amp;":")-1))&amp;":*")=0,SUMPRODUCT(--(TRIM('hospitalityq-nil'!C6:C900)=TRIM('hospitalityq-nil'!C900)),--(TRIM('hospitalityq-nil'!D6:D900)=TRIM('hospitalityq-nil'!D900)))&gt;1))</f>
        <v>0</v>
      </c>
    </row>
    <row r="901" spans="1:4" x14ac:dyDescent="0.25">
      <c r="A901">
        <f t="shared" si="13"/>
        <v>0</v>
      </c>
      <c r="C901">
        <f>NOT('hospitalityq-nil'!C901="")*(OR(NOT(IFERROR(AND(INT('hospitalityq-nil'!C901)='hospitalityq-nil'!C901,'hospitalityq-nil'!C901&gt;=2018-50,'hospitalityq-nil'!C901&lt;=2018+50),FALSE)),SUMPRODUCT(--(TRIM('hospitalityq-nil'!C6:C901)=TRIM('hospitalityq-nil'!C901)),--(TRIM('hospitalityq-nil'!D6:D901)=TRIM('hospitalityq-nil'!D901)))&gt;1))</f>
        <v>0</v>
      </c>
      <c r="D901">
        <f>NOT('hospitalityq-nil'!D901="")*(OR(COUNTIF(reference!$C$144:$C$155,TRIM(LEFT('hospitalityq-nil'!D901,FIND(":",'hospitalityq-nil'!D901&amp;":")-1))&amp;":*")=0,SUMPRODUCT(--(TRIM('hospitalityq-nil'!C6:C901)=TRIM('hospitalityq-nil'!C901)),--(TRIM('hospitalityq-nil'!D6:D901)=TRIM('hospitalityq-nil'!D901)))&gt;1))</f>
        <v>0</v>
      </c>
    </row>
    <row r="902" spans="1:4" x14ac:dyDescent="0.25">
      <c r="A902">
        <f t="shared" ref="A902:A965" si="14">IFERROR(MATCH(TRUE,INDEX(C902:D902&lt;&gt;0,),)+2,0)</f>
        <v>0</v>
      </c>
      <c r="C902">
        <f>NOT('hospitalityq-nil'!C902="")*(OR(NOT(IFERROR(AND(INT('hospitalityq-nil'!C902)='hospitalityq-nil'!C902,'hospitalityq-nil'!C902&gt;=2018-50,'hospitalityq-nil'!C902&lt;=2018+50),FALSE)),SUMPRODUCT(--(TRIM('hospitalityq-nil'!C6:C902)=TRIM('hospitalityq-nil'!C902)),--(TRIM('hospitalityq-nil'!D6:D902)=TRIM('hospitalityq-nil'!D902)))&gt;1))</f>
        <v>0</v>
      </c>
      <c r="D902">
        <f>NOT('hospitalityq-nil'!D902="")*(OR(COUNTIF(reference!$C$144:$C$155,TRIM(LEFT('hospitalityq-nil'!D902,FIND(":",'hospitalityq-nil'!D902&amp;":")-1))&amp;":*")=0,SUMPRODUCT(--(TRIM('hospitalityq-nil'!C6:C902)=TRIM('hospitalityq-nil'!C902)),--(TRIM('hospitalityq-nil'!D6:D902)=TRIM('hospitalityq-nil'!D902)))&gt;1))</f>
        <v>0</v>
      </c>
    </row>
    <row r="903" spans="1:4" x14ac:dyDescent="0.25">
      <c r="A903">
        <f t="shared" si="14"/>
        <v>0</v>
      </c>
      <c r="C903">
        <f>NOT('hospitalityq-nil'!C903="")*(OR(NOT(IFERROR(AND(INT('hospitalityq-nil'!C903)='hospitalityq-nil'!C903,'hospitalityq-nil'!C903&gt;=2018-50,'hospitalityq-nil'!C903&lt;=2018+50),FALSE)),SUMPRODUCT(--(TRIM('hospitalityq-nil'!C6:C903)=TRIM('hospitalityq-nil'!C903)),--(TRIM('hospitalityq-nil'!D6:D903)=TRIM('hospitalityq-nil'!D903)))&gt;1))</f>
        <v>0</v>
      </c>
      <c r="D903">
        <f>NOT('hospitalityq-nil'!D903="")*(OR(COUNTIF(reference!$C$144:$C$155,TRIM(LEFT('hospitalityq-nil'!D903,FIND(":",'hospitalityq-nil'!D903&amp;":")-1))&amp;":*")=0,SUMPRODUCT(--(TRIM('hospitalityq-nil'!C6:C903)=TRIM('hospitalityq-nil'!C903)),--(TRIM('hospitalityq-nil'!D6:D903)=TRIM('hospitalityq-nil'!D903)))&gt;1))</f>
        <v>0</v>
      </c>
    </row>
    <row r="904" spans="1:4" x14ac:dyDescent="0.25">
      <c r="A904">
        <f t="shared" si="14"/>
        <v>0</v>
      </c>
      <c r="C904">
        <f>NOT('hospitalityq-nil'!C904="")*(OR(NOT(IFERROR(AND(INT('hospitalityq-nil'!C904)='hospitalityq-nil'!C904,'hospitalityq-nil'!C904&gt;=2018-50,'hospitalityq-nil'!C904&lt;=2018+50),FALSE)),SUMPRODUCT(--(TRIM('hospitalityq-nil'!C6:C904)=TRIM('hospitalityq-nil'!C904)),--(TRIM('hospitalityq-nil'!D6:D904)=TRIM('hospitalityq-nil'!D904)))&gt;1))</f>
        <v>0</v>
      </c>
      <c r="D904">
        <f>NOT('hospitalityq-nil'!D904="")*(OR(COUNTIF(reference!$C$144:$C$155,TRIM(LEFT('hospitalityq-nil'!D904,FIND(":",'hospitalityq-nil'!D904&amp;":")-1))&amp;":*")=0,SUMPRODUCT(--(TRIM('hospitalityq-nil'!C6:C904)=TRIM('hospitalityq-nil'!C904)),--(TRIM('hospitalityq-nil'!D6:D904)=TRIM('hospitalityq-nil'!D904)))&gt;1))</f>
        <v>0</v>
      </c>
    </row>
    <row r="905" spans="1:4" x14ac:dyDescent="0.25">
      <c r="A905">
        <f t="shared" si="14"/>
        <v>0</v>
      </c>
      <c r="C905">
        <f>NOT('hospitalityq-nil'!C905="")*(OR(NOT(IFERROR(AND(INT('hospitalityq-nil'!C905)='hospitalityq-nil'!C905,'hospitalityq-nil'!C905&gt;=2018-50,'hospitalityq-nil'!C905&lt;=2018+50),FALSE)),SUMPRODUCT(--(TRIM('hospitalityq-nil'!C6:C905)=TRIM('hospitalityq-nil'!C905)),--(TRIM('hospitalityq-nil'!D6:D905)=TRIM('hospitalityq-nil'!D905)))&gt;1))</f>
        <v>0</v>
      </c>
      <c r="D905">
        <f>NOT('hospitalityq-nil'!D905="")*(OR(COUNTIF(reference!$C$144:$C$155,TRIM(LEFT('hospitalityq-nil'!D905,FIND(":",'hospitalityq-nil'!D905&amp;":")-1))&amp;":*")=0,SUMPRODUCT(--(TRIM('hospitalityq-nil'!C6:C905)=TRIM('hospitalityq-nil'!C905)),--(TRIM('hospitalityq-nil'!D6:D905)=TRIM('hospitalityq-nil'!D905)))&gt;1))</f>
        <v>0</v>
      </c>
    </row>
    <row r="906" spans="1:4" x14ac:dyDescent="0.25">
      <c r="A906">
        <f t="shared" si="14"/>
        <v>0</v>
      </c>
      <c r="C906">
        <f>NOT('hospitalityq-nil'!C906="")*(OR(NOT(IFERROR(AND(INT('hospitalityq-nil'!C906)='hospitalityq-nil'!C906,'hospitalityq-nil'!C906&gt;=2018-50,'hospitalityq-nil'!C906&lt;=2018+50),FALSE)),SUMPRODUCT(--(TRIM('hospitalityq-nil'!C6:C906)=TRIM('hospitalityq-nil'!C906)),--(TRIM('hospitalityq-nil'!D6:D906)=TRIM('hospitalityq-nil'!D906)))&gt;1))</f>
        <v>0</v>
      </c>
      <c r="D906">
        <f>NOT('hospitalityq-nil'!D906="")*(OR(COUNTIF(reference!$C$144:$C$155,TRIM(LEFT('hospitalityq-nil'!D906,FIND(":",'hospitalityq-nil'!D906&amp;":")-1))&amp;":*")=0,SUMPRODUCT(--(TRIM('hospitalityq-nil'!C6:C906)=TRIM('hospitalityq-nil'!C906)),--(TRIM('hospitalityq-nil'!D6:D906)=TRIM('hospitalityq-nil'!D906)))&gt;1))</f>
        <v>0</v>
      </c>
    </row>
    <row r="907" spans="1:4" x14ac:dyDescent="0.25">
      <c r="A907">
        <f t="shared" si="14"/>
        <v>0</v>
      </c>
      <c r="C907">
        <f>NOT('hospitalityq-nil'!C907="")*(OR(NOT(IFERROR(AND(INT('hospitalityq-nil'!C907)='hospitalityq-nil'!C907,'hospitalityq-nil'!C907&gt;=2018-50,'hospitalityq-nil'!C907&lt;=2018+50),FALSE)),SUMPRODUCT(--(TRIM('hospitalityq-nil'!C6:C907)=TRIM('hospitalityq-nil'!C907)),--(TRIM('hospitalityq-nil'!D6:D907)=TRIM('hospitalityq-nil'!D907)))&gt;1))</f>
        <v>0</v>
      </c>
      <c r="D907">
        <f>NOT('hospitalityq-nil'!D907="")*(OR(COUNTIF(reference!$C$144:$C$155,TRIM(LEFT('hospitalityq-nil'!D907,FIND(":",'hospitalityq-nil'!D907&amp;":")-1))&amp;":*")=0,SUMPRODUCT(--(TRIM('hospitalityq-nil'!C6:C907)=TRIM('hospitalityq-nil'!C907)),--(TRIM('hospitalityq-nil'!D6:D907)=TRIM('hospitalityq-nil'!D907)))&gt;1))</f>
        <v>0</v>
      </c>
    </row>
    <row r="908" spans="1:4" x14ac:dyDescent="0.25">
      <c r="A908">
        <f t="shared" si="14"/>
        <v>0</v>
      </c>
      <c r="C908">
        <f>NOT('hospitalityq-nil'!C908="")*(OR(NOT(IFERROR(AND(INT('hospitalityq-nil'!C908)='hospitalityq-nil'!C908,'hospitalityq-nil'!C908&gt;=2018-50,'hospitalityq-nil'!C908&lt;=2018+50),FALSE)),SUMPRODUCT(--(TRIM('hospitalityq-nil'!C6:C908)=TRIM('hospitalityq-nil'!C908)),--(TRIM('hospitalityq-nil'!D6:D908)=TRIM('hospitalityq-nil'!D908)))&gt;1))</f>
        <v>0</v>
      </c>
      <c r="D908">
        <f>NOT('hospitalityq-nil'!D908="")*(OR(COUNTIF(reference!$C$144:$C$155,TRIM(LEFT('hospitalityq-nil'!D908,FIND(":",'hospitalityq-nil'!D908&amp;":")-1))&amp;":*")=0,SUMPRODUCT(--(TRIM('hospitalityq-nil'!C6:C908)=TRIM('hospitalityq-nil'!C908)),--(TRIM('hospitalityq-nil'!D6:D908)=TRIM('hospitalityq-nil'!D908)))&gt;1))</f>
        <v>0</v>
      </c>
    </row>
    <row r="909" spans="1:4" x14ac:dyDescent="0.25">
      <c r="A909">
        <f t="shared" si="14"/>
        <v>0</v>
      </c>
      <c r="C909">
        <f>NOT('hospitalityq-nil'!C909="")*(OR(NOT(IFERROR(AND(INT('hospitalityq-nil'!C909)='hospitalityq-nil'!C909,'hospitalityq-nil'!C909&gt;=2018-50,'hospitalityq-nil'!C909&lt;=2018+50),FALSE)),SUMPRODUCT(--(TRIM('hospitalityq-nil'!C6:C909)=TRIM('hospitalityq-nil'!C909)),--(TRIM('hospitalityq-nil'!D6:D909)=TRIM('hospitalityq-nil'!D909)))&gt;1))</f>
        <v>0</v>
      </c>
      <c r="D909">
        <f>NOT('hospitalityq-nil'!D909="")*(OR(COUNTIF(reference!$C$144:$C$155,TRIM(LEFT('hospitalityq-nil'!D909,FIND(":",'hospitalityq-nil'!D909&amp;":")-1))&amp;":*")=0,SUMPRODUCT(--(TRIM('hospitalityq-nil'!C6:C909)=TRIM('hospitalityq-nil'!C909)),--(TRIM('hospitalityq-nil'!D6:D909)=TRIM('hospitalityq-nil'!D909)))&gt;1))</f>
        <v>0</v>
      </c>
    </row>
    <row r="910" spans="1:4" x14ac:dyDescent="0.25">
      <c r="A910">
        <f t="shared" si="14"/>
        <v>0</v>
      </c>
      <c r="C910">
        <f>NOT('hospitalityq-nil'!C910="")*(OR(NOT(IFERROR(AND(INT('hospitalityq-nil'!C910)='hospitalityq-nil'!C910,'hospitalityq-nil'!C910&gt;=2018-50,'hospitalityq-nil'!C910&lt;=2018+50),FALSE)),SUMPRODUCT(--(TRIM('hospitalityq-nil'!C6:C910)=TRIM('hospitalityq-nil'!C910)),--(TRIM('hospitalityq-nil'!D6:D910)=TRIM('hospitalityq-nil'!D910)))&gt;1))</f>
        <v>0</v>
      </c>
      <c r="D910">
        <f>NOT('hospitalityq-nil'!D910="")*(OR(COUNTIF(reference!$C$144:$C$155,TRIM(LEFT('hospitalityq-nil'!D910,FIND(":",'hospitalityq-nil'!D910&amp;":")-1))&amp;":*")=0,SUMPRODUCT(--(TRIM('hospitalityq-nil'!C6:C910)=TRIM('hospitalityq-nil'!C910)),--(TRIM('hospitalityq-nil'!D6:D910)=TRIM('hospitalityq-nil'!D910)))&gt;1))</f>
        <v>0</v>
      </c>
    </row>
    <row r="911" spans="1:4" x14ac:dyDescent="0.25">
      <c r="A911">
        <f t="shared" si="14"/>
        <v>0</v>
      </c>
      <c r="C911">
        <f>NOT('hospitalityq-nil'!C911="")*(OR(NOT(IFERROR(AND(INT('hospitalityq-nil'!C911)='hospitalityq-nil'!C911,'hospitalityq-nil'!C911&gt;=2018-50,'hospitalityq-nil'!C911&lt;=2018+50),FALSE)),SUMPRODUCT(--(TRIM('hospitalityq-nil'!C6:C911)=TRIM('hospitalityq-nil'!C911)),--(TRIM('hospitalityq-nil'!D6:D911)=TRIM('hospitalityq-nil'!D911)))&gt;1))</f>
        <v>0</v>
      </c>
      <c r="D911">
        <f>NOT('hospitalityq-nil'!D911="")*(OR(COUNTIF(reference!$C$144:$C$155,TRIM(LEFT('hospitalityq-nil'!D911,FIND(":",'hospitalityq-nil'!D911&amp;":")-1))&amp;":*")=0,SUMPRODUCT(--(TRIM('hospitalityq-nil'!C6:C911)=TRIM('hospitalityq-nil'!C911)),--(TRIM('hospitalityq-nil'!D6:D911)=TRIM('hospitalityq-nil'!D911)))&gt;1))</f>
        <v>0</v>
      </c>
    </row>
    <row r="912" spans="1:4" x14ac:dyDescent="0.25">
      <c r="A912">
        <f t="shared" si="14"/>
        <v>0</v>
      </c>
      <c r="C912">
        <f>NOT('hospitalityq-nil'!C912="")*(OR(NOT(IFERROR(AND(INT('hospitalityq-nil'!C912)='hospitalityq-nil'!C912,'hospitalityq-nil'!C912&gt;=2018-50,'hospitalityq-nil'!C912&lt;=2018+50),FALSE)),SUMPRODUCT(--(TRIM('hospitalityq-nil'!C6:C912)=TRIM('hospitalityq-nil'!C912)),--(TRIM('hospitalityq-nil'!D6:D912)=TRIM('hospitalityq-nil'!D912)))&gt;1))</f>
        <v>0</v>
      </c>
      <c r="D912">
        <f>NOT('hospitalityq-nil'!D912="")*(OR(COUNTIF(reference!$C$144:$C$155,TRIM(LEFT('hospitalityq-nil'!D912,FIND(":",'hospitalityq-nil'!D912&amp;":")-1))&amp;":*")=0,SUMPRODUCT(--(TRIM('hospitalityq-nil'!C6:C912)=TRIM('hospitalityq-nil'!C912)),--(TRIM('hospitalityq-nil'!D6:D912)=TRIM('hospitalityq-nil'!D912)))&gt;1))</f>
        <v>0</v>
      </c>
    </row>
    <row r="913" spans="1:4" x14ac:dyDescent="0.25">
      <c r="A913">
        <f t="shared" si="14"/>
        <v>0</v>
      </c>
      <c r="C913">
        <f>NOT('hospitalityq-nil'!C913="")*(OR(NOT(IFERROR(AND(INT('hospitalityq-nil'!C913)='hospitalityq-nil'!C913,'hospitalityq-nil'!C913&gt;=2018-50,'hospitalityq-nil'!C913&lt;=2018+50),FALSE)),SUMPRODUCT(--(TRIM('hospitalityq-nil'!C6:C913)=TRIM('hospitalityq-nil'!C913)),--(TRIM('hospitalityq-nil'!D6:D913)=TRIM('hospitalityq-nil'!D913)))&gt;1))</f>
        <v>0</v>
      </c>
      <c r="D913">
        <f>NOT('hospitalityq-nil'!D913="")*(OR(COUNTIF(reference!$C$144:$C$155,TRIM(LEFT('hospitalityq-nil'!D913,FIND(":",'hospitalityq-nil'!D913&amp;":")-1))&amp;":*")=0,SUMPRODUCT(--(TRIM('hospitalityq-nil'!C6:C913)=TRIM('hospitalityq-nil'!C913)),--(TRIM('hospitalityq-nil'!D6:D913)=TRIM('hospitalityq-nil'!D913)))&gt;1))</f>
        <v>0</v>
      </c>
    </row>
    <row r="914" spans="1:4" x14ac:dyDescent="0.25">
      <c r="A914">
        <f t="shared" si="14"/>
        <v>0</v>
      </c>
      <c r="C914">
        <f>NOT('hospitalityq-nil'!C914="")*(OR(NOT(IFERROR(AND(INT('hospitalityq-nil'!C914)='hospitalityq-nil'!C914,'hospitalityq-nil'!C914&gt;=2018-50,'hospitalityq-nil'!C914&lt;=2018+50),FALSE)),SUMPRODUCT(--(TRIM('hospitalityq-nil'!C6:C914)=TRIM('hospitalityq-nil'!C914)),--(TRIM('hospitalityq-nil'!D6:D914)=TRIM('hospitalityq-nil'!D914)))&gt;1))</f>
        <v>0</v>
      </c>
      <c r="D914">
        <f>NOT('hospitalityq-nil'!D914="")*(OR(COUNTIF(reference!$C$144:$C$155,TRIM(LEFT('hospitalityq-nil'!D914,FIND(":",'hospitalityq-nil'!D914&amp;":")-1))&amp;":*")=0,SUMPRODUCT(--(TRIM('hospitalityq-nil'!C6:C914)=TRIM('hospitalityq-nil'!C914)),--(TRIM('hospitalityq-nil'!D6:D914)=TRIM('hospitalityq-nil'!D914)))&gt;1))</f>
        <v>0</v>
      </c>
    </row>
    <row r="915" spans="1:4" x14ac:dyDescent="0.25">
      <c r="A915">
        <f t="shared" si="14"/>
        <v>0</v>
      </c>
      <c r="C915">
        <f>NOT('hospitalityq-nil'!C915="")*(OR(NOT(IFERROR(AND(INT('hospitalityq-nil'!C915)='hospitalityq-nil'!C915,'hospitalityq-nil'!C915&gt;=2018-50,'hospitalityq-nil'!C915&lt;=2018+50),FALSE)),SUMPRODUCT(--(TRIM('hospitalityq-nil'!C6:C915)=TRIM('hospitalityq-nil'!C915)),--(TRIM('hospitalityq-nil'!D6:D915)=TRIM('hospitalityq-nil'!D915)))&gt;1))</f>
        <v>0</v>
      </c>
      <c r="D915">
        <f>NOT('hospitalityq-nil'!D915="")*(OR(COUNTIF(reference!$C$144:$C$155,TRIM(LEFT('hospitalityq-nil'!D915,FIND(":",'hospitalityq-nil'!D915&amp;":")-1))&amp;":*")=0,SUMPRODUCT(--(TRIM('hospitalityq-nil'!C6:C915)=TRIM('hospitalityq-nil'!C915)),--(TRIM('hospitalityq-nil'!D6:D915)=TRIM('hospitalityq-nil'!D915)))&gt;1))</f>
        <v>0</v>
      </c>
    </row>
    <row r="916" spans="1:4" x14ac:dyDescent="0.25">
      <c r="A916">
        <f t="shared" si="14"/>
        <v>0</v>
      </c>
      <c r="C916">
        <f>NOT('hospitalityq-nil'!C916="")*(OR(NOT(IFERROR(AND(INT('hospitalityq-nil'!C916)='hospitalityq-nil'!C916,'hospitalityq-nil'!C916&gt;=2018-50,'hospitalityq-nil'!C916&lt;=2018+50),FALSE)),SUMPRODUCT(--(TRIM('hospitalityq-nil'!C6:C916)=TRIM('hospitalityq-nil'!C916)),--(TRIM('hospitalityq-nil'!D6:D916)=TRIM('hospitalityq-nil'!D916)))&gt;1))</f>
        <v>0</v>
      </c>
      <c r="D916">
        <f>NOT('hospitalityq-nil'!D916="")*(OR(COUNTIF(reference!$C$144:$C$155,TRIM(LEFT('hospitalityq-nil'!D916,FIND(":",'hospitalityq-nil'!D916&amp;":")-1))&amp;":*")=0,SUMPRODUCT(--(TRIM('hospitalityq-nil'!C6:C916)=TRIM('hospitalityq-nil'!C916)),--(TRIM('hospitalityq-nil'!D6:D916)=TRIM('hospitalityq-nil'!D916)))&gt;1))</f>
        <v>0</v>
      </c>
    </row>
    <row r="917" spans="1:4" x14ac:dyDescent="0.25">
      <c r="A917">
        <f t="shared" si="14"/>
        <v>0</v>
      </c>
      <c r="C917">
        <f>NOT('hospitalityq-nil'!C917="")*(OR(NOT(IFERROR(AND(INT('hospitalityq-nil'!C917)='hospitalityq-nil'!C917,'hospitalityq-nil'!C917&gt;=2018-50,'hospitalityq-nil'!C917&lt;=2018+50),FALSE)),SUMPRODUCT(--(TRIM('hospitalityq-nil'!C6:C917)=TRIM('hospitalityq-nil'!C917)),--(TRIM('hospitalityq-nil'!D6:D917)=TRIM('hospitalityq-nil'!D917)))&gt;1))</f>
        <v>0</v>
      </c>
      <c r="D917">
        <f>NOT('hospitalityq-nil'!D917="")*(OR(COUNTIF(reference!$C$144:$C$155,TRIM(LEFT('hospitalityq-nil'!D917,FIND(":",'hospitalityq-nil'!D917&amp;":")-1))&amp;":*")=0,SUMPRODUCT(--(TRIM('hospitalityq-nil'!C6:C917)=TRIM('hospitalityq-nil'!C917)),--(TRIM('hospitalityq-nil'!D6:D917)=TRIM('hospitalityq-nil'!D917)))&gt;1))</f>
        <v>0</v>
      </c>
    </row>
    <row r="918" spans="1:4" x14ac:dyDescent="0.25">
      <c r="A918">
        <f t="shared" si="14"/>
        <v>0</v>
      </c>
      <c r="C918">
        <f>NOT('hospitalityq-nil'!C918="")*(OR(NOT(IFERROR(AND(INT('hospitalityq-nil'!C918)='hospitalityq-nil'!C918,'hospitalityq-nil'!C918&gt;=2018-50,'hospitalityq-nil'!C918&lt;=2018+50),FALSE)),SUMPRODUCT(--(TRIM('hospitalityq-nil'!C6:C918)=TRIM('hospitalityq-nil'!C918)),--(TRIM('hospitalityq-nil'!D6:D918)=TRIM('hospitalityq-nil'!D918)))&gt;1))</f>
        <v>0</v>
      </c>
      <c r="D918">
        <f>NOT('hospitalityq-nil'!D918="")*(OR(COUNTIF(reference!$C$144:$C$155,TRIM(LEFT('hospitalityq-nil'!D918,FIND(":",'hospitalityq-nil'!D918&amp;":")-1))&amp;":*")=0,SUMPRODUCT(--(TRIM('hospitalityq-nil'!C6:C918)=TRIM('hospitalityq-nil'!C918)),--(TRIM('hospitalityq-nil'!D6:D918)=TRIM('hospitalityq-nil'!D918)))&gt;1))</f>
        <v>0</v>
      </c>
    </row>
    <row r="919" spans="1:4" x14ac:dyDescent="0.25">
      <c r="A919">
        <f t="shared" si="14"/>
        <v>0</v>
      </c>
      <c r="C919">
        <f>NOT('hospitalityq-nil'!C919="")*(OR(NOT(IFERROR(AND(INT('hospitalityq-nil'!C919)='hospitalityq-nil'!C919,'hospitalityq-nil'!C919&gt;=2018-50,'hospitalityq-nil'!C919&lt;=2018+50),FALSE)),SUMPRODUCT(--(TRIM('hospitalityq-nil'!C6:C919)=TRIM('hospitalityq-nil'!C919)),--(TRIM('hospitalityq-nil'!D6:D919)=TRIM('hospitalityq-nil'!D919)))&gt;1))</f>
        <v>0</v>
      </c>
      <c r="D919">
        <f>NOT('hospitalityq-nil'!D919="")*(OR(COUNTIF(reference!$C$144:$C$155,TRIM(LEFT('hospitalityq-nil'!D919,FIND(":",'hospitalityq-nil'!D919&amp;":")-1))&amp;":*")=0,SUMPRODUCT(--(TRIM('hospitalityq-nil'!C6:C919)=TRIM('hospitalityq-nil'!C919)),--(TRIM('hospitalityq-nil'!D6:D919)=TRIM('hospitalityq-nil'!D919)))&gt;1))</f>
        <v>0</v>
      </c>
    </row>
    <row r="920" spans="1:4" x14ac:dyDescent="0.25">
      <c r="A920">
        <f t="shared" si="14"/>
        <v>0</v>
      </c>
      <c r="C920">
        <f>NOT('hospitalityq-nil'!C920="")*(OR(NOT(IFERROR(AND(INT('hospitalityq-nil'!C920)='hospitalityq-nil'!C920,'hospitalityq-nil'!C920&gt;=2018-50,'hospitalityq-nil'!C920&lt;=2018+50),FALSE)),SUMPRODUCT(--(TRIM('hospitalityq-nil'!C6:C920)=TRIM('hospitalityq-nil'!C920)),--(TRIM('hospitalityq-nil'!D6:D920)=TRIM('hospitalityq-nil'!D920)))&gt;1))</f>
        <v>0</v>
      </c>
      <c r="D920">
        <f>NOT('hospitalityq-nil'!D920="")*(OR(COUNTIF(reference!$C$144:$C$155,TRIM(LEFT('hospitalityq-nil'!D920,FIND(":",'hospitalityq-nil'!D920&amp;":")-1))&amp;":*")=0,SUMPRODUCT(--(TRIM('hospitalityq-nil'!C6:C920)=TRIM('hospitalityq-nil'!C920)),--(TRIM('hospitalityq-nil'!D6:D920)=TRIM('hospitalityq-nil'!D920)))&gt;1))</f>
        <v>0</v>
      </c>
    </row>
    <row r="921" spans="1:4" x14ac:dyDescent="0.25">
      <c r="A921">
        <f t="shared" si="14"/>
        <v>0</v>
      </c>
      <c r="C921">
        <f>NOT('hospitalityq-nil'!C921="")*(OR(NOT(IFERROR(AND(INT('hospitalityq-nil'!C921)='hospitalityq-nil'!C921,'hospitalityq-nil'!C921&gt;=2018-50,'hospitalityq-nil'!C921&lt;=2018+50),FALSE)),SUMPRODUCT(--(TRIM('hospitalityq-nil'!C6:C921)=TRIM('hospitalityq-nil'!C921)),--(TRIM('hospitalityq-nil'!D6:D921)=TRIM('hospitalityq-nil'!D921)))&gt;1))</f>
        <v>0</v>
      </c>
      <c r="D921">
        <f>NOT('hospitalityq-nil'!D921="")*(OR(COUNTIF(reference!$C$144:$C$155,TRIM(LEFT('hospitalityq-nil'!D921,FIND(":",'hospitalityq-nil'!D921&amp;":")-1))&amp;":*")=0,SUMPRODUCT(--(TRIM('hospitalityq-nil'!C6:C921)=TRIM('hospitalityq-nil'!C921)),--(TRIM('hospitalityq-nil'!D6:D921)=TRIM('hospitalityq-nil'!D921)))&gt;1))</f>
        <v>0</v>
      </c>
    </row>
    <row r="922" spans="1:4" x14ac:dyDescent="0.25">
      <c r="A922">
        <f t="shared" si="14"/>
        <v>0</v>
      </c>
      <c r="C922">
        <f>NOT('hospitalityq-nil'!C922="")*(OR(NOT(IFERROR(AND(INT('hospitalityq-nil'!C922)='hospitalityq-nil'!C922,'hospitalityq-nil'!C922&gt;=2018-50,'hospitalityq-nil'!C922&lt;=2018+50),FALSE)),SUMPRODUCT(--(TRIM('hospitalityq-nil'!C6:C922)=TRIM('hospitalityq-nil'!C922)),--(TRIM('hospitalityq-nil'!D6:D922)=TRIM('hospitalityq-nil'!D922)))&gt;1))</f>
        <v>0</v>
      </c>
      <c r="D922">
        <f>NOT('hospitalityq-nil'!D922="")*(OR(COUNTIF(reference!$C$144:$C$155,TRIM(LEFT('hospitalityq-nil'!D922,FIND(":",'hospitalityq-nil'!D922&amp;":")-1))&amp;":*")=0,SUMPRODUCT(--(TRIM('hospitalityq-nil'!C6:C922)=TRIM('hospitalityq-nil'!C922)),--(TRIM('hospitalityq-nil'!D6:D922)=TRIM('hospitalityq-nil'!D922)))&gt;1))</f>
        <v>0</v>
      </c>
    </row>
    <row r="923" spans="1:4" x14ac:dyDescent="0.25">
      <c r="A923">
        <f t="shared" si="14"/>
        <v>0</v>
      </c>
      <c r="C923">
        <f>NOT('hospitalityq-nil'!C923="")*(OR(NOT(IFERROR(AND(INT('hospitalityq-nil'!C923)='hospitalityq-nil'!C923,'hospitalityq-nil'!C923&gt;=2018-50,'hospitalityq-nil'!C923&lt;=2018+50),FALSE)),SUMPRODUCT(--(TRIM('hospitalityq-nil'!C6:C923)=TRIM('hospitalityq-nil'!C923)),--(TRIM('hospitalityq-nil'!D6:D923)=TRIM('hospitalityq-nil'!D923)))&gt;1))</f>
        <v>0</v>
      </c>
      <c r="D923">
        <f>NOT('hospitalityq-nil'!D923="")*(OR(COUNTIF(reference!$C$144:$C$155,TRIM(LEFT('hospitalityq-nil'!D923,FIND(":",'hospitalityq-nil'!D923&amp;":")-1))&amp;":*")=0,SUMPRODUCT(--(TRIM('hospitalityq-nil'!C6:C923)=TRIM('hospitalityq-nil'!C923)),--(TRIM('hospitalityq-nil'!D6:D923)=TRIM('hospitalityq-nil'!D923)))&gt;1))</f>
        <v>0</v>
      </c>
    </row>
    <row r="924" spans="1:4" x14ac:dyDescent="0.25">
      <c r="A924">
        <f t="shared" si="14"/>
        <v>0</v>
      </c>
      <c r="C924">
        <f>NOT('hospitalityq-nil'!C924="")*(OR(NOT(IFERROR(AND(INT('hospitalityq-nil'!C924)='hospitalityq-nil'!C924,'hospitalityq-nil'!C924&gt;=2018-50,'hospitalityq-nil'!C924&lt;=2018+50),FALSE)),SUMPRODUCT(--(TRIM('hospitalityq-nil'!C6:C924)=TRIM('hospitalityq-nil'!C924)),--(TRIM('hospitalityq-nil'!D6:D924)=TRIM('hospitalityq-nil'!D924)))&gt;1))</f>
        <v>0</v>
      </c>
      <c r="D924">
        <f>NOT('hospitalityq-nil'!D924="")*(OR(COUNTIF(reference!$C$144:$C$155,TRIM(LEFT('hospitalityq-nil'!D924,FIND(":",'hospitalityq-nil'!D924&amp;":")-1))&amp;":*")=0,SUMPRODUCT(--(TRIM('hospitalityq-nil'!C6:C924)=TRIM('hospitalityq-nil'!C924)),--(TRIM('hospitalityq-nil'!D6:D924)=TRIM('hospitalityq-nil'!D924)))&gt;1))</f>
        <v>0</v>
      </c>
    </row>
    <row r="925" spans="1:4" x14ac:dyDescent="0.25">
      <c r="A925">
        <f t="shared" si="14"/>
        <v>0</v>
      </c>
      <c r="C925">
        <f>NOT('hospitalityq-nil'!C925="")*(OR(NOT(IFERROR(AND(INT('hospitalityq-nil'!C925)='hospitalityq-nil'!C925,'hospitalityq-nil'!C925&gt;=2018-50,'hospitalityq-nil'!C925&lt;=2018+50),FALSE)),SUMPRODUCT(--(TRIM('hospitalityq-nil'!C6:C925)=TRIM('hospitalityq-nil'!C925)),--(TRIM('hospitalityq-nil'!D6:D925)=TRIM('hospitalityq-nil'!D925)))&gt;1))</f>
        <v>0</v>
      </c>
      <c r="D925">
        <f>NOT('hospitalityq-nil'!D925="")*(OR(COUNTIF(reference!$C$144:$C$155,TRIM(LEFT('hospitalityq-nil'!D925,FIND(":",'hospitalityq-nil'!D925&amp;":")-1))&amp;":*")=0,SUMPRODUCT(--(TRIM('hospitalityq-nil'!C6:C925)=TRIM('hospitalityq-nil'!C925)),--(TRIM('hospitalityq-nil'!D6:D925)=TRIM('hospitalityq-nil'!D925)))&gt;1))</f>
        <v>0</v>
      </c>
    </row>
    <row r="926" spans="1:4" x14ac:dyDescent="0.25">
      <c r="A926">
        <f t="shared" si="14"/>
        <v>0</v>
      </c>
      <c r="C926">
        <f>NOT('hospitalityq-nil'!C926="")*(OR(NOT(IFERROR(AND(INT('hospitalityq-nil'!C926)='hospitalityq-nil'!C926,'hospitalityq-nil'!C926&gt;=2018-50,'hospitalityq-nil'!C926&lt;=2018+50),FALSE)),SUMPRODUCT(--(TRIM('hospitalityq-nil'!C6:C926)=TRIM('hospitalityq-nil'!C926)),--(TRIM('hospitalityq-nil'!D6:D926)=TRIM('hospitalityq-nil'!D926)))&gt;1))</f>
        <v>0</v>
      </c>
      <c r="D926">
        <f>NOT('hospitalityq-nil'!D926="")*(OR(COUNTIF(reference!$C$144:$C$155,TRIM(LEFT('hospitalityq-nil'!D926,FIND(":",'hospitalityq-nil'!D926&amp;":")-1))&amp;":*")=0,SUMPRODUCT(--(TRIM('hospitalityq-nil'!C6:C926)=TRIM('hospitalityq-nil'!C926)),--(TRIM('hospitalityq-nil'!D6:D926)=TRIM('hospitalityq-nil'!D926)))&gt;1))</f>
        <v>0</v>
      </c>
    </row>
    <row r="927" spans="1:4" x14ac:dyDescent="0.25">
      <c r="A927">
        <f t="shared" si="14"/>
        <v>0</v>
      </c>
      <c r="C927">
        <f>NOT('hospitalityq-nil'!C927="")*(OR(NOT(IFERROR(AND(INT('hospitalityq-nil'!C927)='hospitalityq-nil'!C927,'hospitalityq-nil'!C927&gt;=2018-50,'hospitalityq-nil'!C927&lt;=2018+50),FALSE)),SUMPRODUCT(--(TRIM('hospitalityq-nil'!C6:C927)=TRIM('hospitalityq-nil'!C927)),--(TRIM('hospitalityq-nil'!D6:D927)=TRIM('hospitalityq-nil'!D927)))&gt;1))</f>
        <v>0</v>
      </c>
      <c r="D927">
        <f>NOT('hospitalityq-nil'!D927="")*(OR(COUNTIF(reference!$C$144:$C$155,TRIM(LEFT('hospitalityq-nil'!D927,FIND(":",'hospitalityq-nil'!D927&amp;":")-1))&amp;":*")=0,SUMPRODUCT(--(TRIM('hospitalityq-nil'!C6:C927)=TRIM('hospitalityq-nil'!C927)),--(TRIM('hospitalityq-nil'!D6:D927)=TRIM('hospitalityq-nil'!D927)))&gt;1))</f>
        <v>0</v>
      </c>
    </row>
    <row r="928" spans="1:4" x14ac:dyDescent="0.25">
      <c r="A928">
        <f t="shared" si="14"/>
        <v>0</v>
      </c>
      <c r="C928">
        <f>NOT('hospitalityq-nil'!C928="")*(OR(NOT(IFERROR(AND(INT('hospitalityq-nil'!C928)='hospitalityq-nil'!C928,'hospitalityq-nil'!C928&gt;=2018-50,'hospitalityq-nil'!C928&lt;=2018+50),FALSE)),SUMPRODUCT(--(TRIM('hospitalityq-nil'!C6:C928)=TRIM('hospitalityq-nil'!C928)),--(TRIM('hospitalityq-nil'!D6:D928)=TRIM('hospitalityq-nil'!D928)))&gt;1))</f>
        <v>0</v>
      </c>
      <c r="D928">
        <f>NOT('hospitalityq-nil'!D928="")*(OR(COUNTIF(reference!$C$144:$C$155,TRIM(LEFT('hospitalityq-nil'!D928,FIND(":",'hospitalityq-nil'!D928&amp;":")-1))&amp;":*")=0,SUMPRODUCT(--(TRIM('hospitalityq-nil'!C6:C928)=TRIM('hospitalityq-nil'!C928)),--(TRIM('hospitalityq-nil'!D6:D928)=TRIM('hospitalityq-nil'!D928)))&gt;1))</f>
        <v>0</v>
      </c>
    </row>
    <row r="929" spans="1:4" x14ac:dyDescent="0.25">
      <c r="A929">
        <f t="shared" si="14"/>
        <v>0</v>
      </c>
      <c r="C929">
        <f>NOT('hospitalityq-nil'!C929="")*(OR(NOT(IFERROR(AND(INT('hospitalityq-nil'!C929)='hospitalityq-nil'!C929,'hospitalityq-nil'!C929&gt;=2018-50,'hospitalityq-nil'!C929&lt;=2018+50),FALSE)),SUMPRODUCT(--(TRIM('hospitalityq-nil'!C6:C929)=TRIM('hospitalityq-nil'!C929)),--(TRIM('hospitalityq-nil'!D6:D929)=TRIM('hospitalityq-nil'!D929)))&gt;1))</f>
        <v>0</v>
      </c>
      <c r="D929">
        <f>NOT('hospitalityq-nil'!D929="")*(OR(COUNTIF(reference!$C$144:$C$155,TRIM(LEFT('hospitalityq-nil'!D929,FIND(":",'hospitalityq-nil'!D929&amp;":")-1))&amp;":*")=0,SUMPRODUCT(--(TRIM('hospitalityq-nil'!C6:C929)=TRIM('hospitalityq-nil'!C929)),--(TRIM('hospitalityq-nil'!D6:D929)=TRIM('hospitalityq-nil'!D929)))&gt;1))</f>
        <v>0</v>
      </c>
    </row>
    <row r="930" spans="1:4" x14ac:dyDescent="0.25">
      <c r="A930">
        <f t="shared" si="14"/>
        <v>0</v>
      </c>
      <c r="C930">
        <f>NOT('hospitalityq-nil'!C930="")*(OR(NOT(IFERROR(AND(INT('hospitalityq-nil'!C930)='hospitalityq-nil'!C930,'hospitalityq-nil'!C930&gt;=2018-50,'hospitalityq-nil'!C930&lt;=2018+50),FALSE)),SUMPRODUCT(--(TRIM('hospitalityq-nil'!C6:C930)=TRIM('hospitalityq-nil'!C930)),--(TRIM('hospitalityq-nil'!D6:D930)=TRIM('hospitalityq-nil'!D930)))&gt;1))</f>
        <v>0</v>
      </c>
      <c r="D930">
        <f>NOT('hospitalityq-nil'!D930="")*(OR(COUNTIF(reference!$C$144:$C$155,TRIM(LEFT('hospitalityq-nil'!D930,FIND(":",'hospitalityq-nil'!D930&amp;":")-1))&amp;":*")=0,SUMPRODUCT(--(TRIM('hospitalityq-nil'!C6:C930)=TRIM('hospitalityq-nil'!C930)),--(TRIM('hospitalityq-nil'!D6:D930)=TRIM('hospitalityq-nil'!D930)))&gt;1))</f>
        <v>0</v>
      </c>
    </row>
    <row r="931" spans="1:4" x14ac:dyDescent="0.25">
      <c r="A931">
        <f t="shared" si="14"/>
        <v>0</v>
      </c>
      <c r="C931">
        <f>NOT('hospitalityq-nil'!C931="")*(OR(NOT(IFERROR(AND(INT('hospitalityq-nil'!C931)='hospitalityq-nil'!C931,'hospitalityq-nil'!C931&gt;=2018-50,'hospitalityq-nil'!C931&lt;=2018+50),FALSE)),SUMPRODUCT(--(TRIM('hospitalityq-nil'!C6:C931)=TRIM('hospitalityq-nil'!C931)),--(TRIM('hospitalityq-nil'!D6:D931)=TRIM('hospitalityq-nil'!D931)))&gt;1))</f>
        <v>0</v>
      </c>
      <c r="D931">
        <f>NOT('hospitalityq-nil'!D931="")*(OR(COUNTIF(reference!$C$144:$C$155,TRIM(LEFT('hospitalityq-nil'!D931,FIND(":",'hospitalityq-nil'!D931&amp;":")-1))&amp;":*")=0,SUMPRODUCT(--(TRIM('hospitalityq-nil'!C6:C931)=TRIM('hospitalityq-nil'!C931)),--(TRIM('hospitalityq-nil'!D6:D931)=TRIM('hospitalityq-nil'!D931)))&gt;1))</f>
        <v>0</v>
      </c>
    </row>
    <row r="932" spans="1:4" x14ac:dyDescent="0.25">
      <c r="A932">
        <f t="shared" si="14"/>
        <v>0</v>
      </c>
      <c r="C932">
        <f>NOT('hospitalityq-nil'!C932="")*(OR(NOT(IFERROR(AND(INT('hospitalityq-nil'!C932)='hospitalityq-nil'!C932,'hospitalityq-nil'!C932&gt;=2018-50,'hospitalityq-nil'!C932&lt;=2018+50),FALSE)),SUMPRODUCT(--(TRIM('hospitalityq-nil'!C6:C932)=TRIM('hospitalityq-nil'!C932)),--(TRIM('hospitalityq-nil'!D6:D932)=TRIM('hospitalityq-nil'!D932)))&gt;1))</f>
        <v>0</v>
      </c>
      <c r="D932">
        <f>NOT('hospitalityq-nil'!D932="")*(OR(COUNTIF(reference!$C$144:$C$155,TRIM(LEFT('hospitalityq-nil'!D932,FIND(":",'hospitalityq-nil'!D932&amp;":")-1))&amp;":*")=0,SUMPRODUCT(--(TRIM('hospitalityq-nil'!C6:C932)=TRIM('hospitalityq-nil'!C932)),--(TRIM('hospitalityq-nil'!D6:D932)=TRIM('hospitalityq-nil'!D932)))&gt;1))</f>
        <v>0</v>
      </c>
    </row>
    <row r="933" spans="1:4" x14ac:dyDescent="0.25">
      <c r="A933">
        <f t="shared" si="14"/>
        <v>0</v>
      </c>
      <c r="C933">
        <f>NOT('hospitalityq-nil'!C933="")*(OR(NOT(IFERROR(AND(INT('hospitalityq-nil'!C933)='hospitalityq-nil'!C933,'hospitalityq-nil'!C933&gt;=2018-50,'hospitalityq-nil'!C933&lt;=2018+50),FALSE)),SUMPRODUCT(--(TRIM('hospitalityq-nil'!C6:C933)=TRIM('hospitalityq-nil'!C933)),--(TRIM('hospitalityq-nil'!D6:D933)=TRIM('hospitalityq-nil'!D933)))&gt;1))</f>
        <v>0</v>
      </c>
      <c r="D933">
        <f>NOT('hospitalityq-nil'!D933="")*(OR(COUNTIF(reference!$C$144:$C$155,TRIM(LEFT('hospitalityq-nil'!D933,FIND(":",'hospitalityq-nil'!D933&amp;":")-1))&amp;":*")=0,SUMPRODUCT(--(TRIM('hospitalityq-nil'!C6:C933)=TRIM('hospitalityq-nil'!C933)),--(TRIM('hospitalityq-nil'!D6:D933)=TRIM('hospitalityq-nil'!D933)))&gt;1))</f>
        <v>0</v>
      </c>
    </row>
    <row r="934" spans="1:4" x14ac:dyDescent="0.25">
      <c r="A934">
        <f t="shared" si="14"/>
        <v>0</v>
      </c>
      <c r="C934">
        <f>NOT('hospitalityq-nil'!C934="")*(OR(NOT(IFERROR(AND(INT('hospitalityq-nil'!C934)='hospitalityq-nil'!C934,'hospitalityq-nil'!C934&gt;=2018-50,'hospitalityq-nil'!C934&lt;=2018+50),FALSE)),SUMPRODUCT(--(TRIM('hospitalityq-nil'!C6:C934)=TRIM('hospitalityq-nil'!C934)),--(TRIM('hospitalityq-nil'!D6:D934)=TRIM('hospitalityq-nil'!D934)))&gt;1))</f>
        <v>0</v>
      </c>
      <c r="D934">
        <f>NOT('hospitalityq-nil'!D934="")*(OR(COUNTIF(reference!$C$144:$C$155,TRIM(LEFT('hospitalityq-nil'!D934,FIND(":",'hospitalityq-nil'!D934&amp;":")-1))&amp;":*")=0,SUMPRODUCT(--(TRIM('hospitalityq-nil'!C6:C934)=TRIM('hospitalityq-nil'!C934)),--(TRIM('hospitalityq-nil'!D6:D934)=TRIM('hospitalityq-nil'!D934)))&gt;1))</f>
        <v>0</v>
      </c>
    </row>
    <row r="935" spans="1:4" x14ac:dyDescent="0.25">
      <c r="A935">
        <f t="shared" si="14"/>
        <v>0</v>
      </c>
      <c r="C935">
        <f>NOT('hospitalityq-nil'!C935="")*(OR(NOT(IFERROR(AND(INT('hospitalityq-nil'!C935)='hospitalityq-nil'!C935,'hospitalityq-nil'!C935&gt;=2018-50,'hospitalityq-nil'!C935&lt;=2018+50),FALSE)),SUMPRODUCT(--(TRIM('hospitalityq-nil'!C6:C935)=TRIM('hospitalityq-nil'!C935)),--(TRIM('hospitalityq-nil'!D6:D935)=TRIM('hospitalityq-nil'!D935)))&gt;1))</f>
        <v>0</v>
      </c>
      <c r="D935">
        <f>NOT('hospitalityq-nil'!D935="")*(OR(COUNTIF(reference!$C$144:$C$155,TRIM(LEFT('hospitalityq-nil'!D935,FIND(":",'hospitalityq-nil'!D935&amp;":")-1))&amp;":*")=0,SUMPRODUCT(--(TRIM('hospitalityq-nil'!C6:C935)=TRIM('hospitalityq-nil'!C935)),--(TRIM('hospitalityq-nil'!D6:D935)=TRIM('hospitalityq-nil'!D935)))&gt;1))</f>
        <v>0</v>
      </c>
    </row>
    <row r="936" spans="1:4" x14ac:dyDescent="0.25">
      <c r="A936">
        <f t="shared" si="14"/>
        <v>0</v>
      </c>
      <c r="C936">
        <f>NOT('hospitalityq-nil'!C936="")*(OR(NOT(IFERROR(AND(INT('hospitalityq-nil'!C936)='hospitalityq-nil'!C936,'hospitalityq-nil'!C936&gt;=2018-50,'hospitalityq-nil'!C936&lt;=2018+50),FALSE)),SUMPRODUCT(--(TRIM('hospitalityq-nil'!C6:C936)=TRIM('hospitalityq-nil'!C936)),--(TRIM('hospitalityq-nil'!D6:D936)=TRIM('hospitalityq-nil'!D936)))&gt;1))</f>
        <v>0</v>
      </c>
      <c r="D936">
        <f>NOT('hospitalityq-nil'!D936="")*(OR(COUNTIF(reference!$C$144:$C$155,TRIM(LEFT('hospitalityq-nil'!D936,FIND(":",'hospitalityq-nil'!D936&amp;":")-1))&amp;":*")=0,SUMPRODUCT(--(TRIM('hospitalityq-nil'!C6:C936)=TRIM('hospitalityq-nil'!C936)),--(TRIM('hospitalityq-nil'!D6:D936)=TRIM('hospitalityq-nil'!D936)))&gt;1))</f>
        <v>0</v>
      </c>
    </row>
    <row r="937" spans="1:4" x14ac:dyDescent="0.25">
      <c r="A937">
        <f t="shared" si="14"/>
        <v>0</v>
      </c>
      <c r="C937">
        <f>NOT('hospitalityq-nil'!C937="")*(OR(NOT(IFERROR(AND(INT('hospitalityq-nil'!C937)='hospitalityq-nil'!C937,'hospitalityq-nil'!C937&gt;=2018-50,'hospitalityq-nil'!C937&lt;=2018+50),FALSE)),SUMPRODUCT(--(TRIM('hospitalityq-nil'!C6:C937)=TRIM('hospitalityq-nil'!C937)),--(TRIM('hospitalityq-nil'!D6:D937)=TRIM('hospitalityq-nil'!D937)))&gt;1))</f>
        <v>0</v>
      </c>
      <c r="D937">
        <f>NOT('hospitalityq-nil'!D937="")*(OR(COUNTIF(reference!$C$144:$C$155,TRIM(LEFT('hospitalityq-nil'!D937,FIND(":",'hospitalityq-nil'!D937&amp;":")-1))&amp;":*")=0,SUMPRODUCT(--(TRIM('hospitalityq-nil'!C6:C937)=TRIM('hospitalityq-nil'!C937)),--(TRIM('hospitalityq-nil'!D6:D937)=TRIM('hospitalityq-nil'!D937)))&gt;1))</f>
        <v>0</v>
      </c>
    </row>
    <row r="938" spans="1:4" x14ac:dyDescent="0.25">
      <c r="A938">
        <f t="shared" si="14"/>
        <v>0</v>
      </c>
      <c r="C938">
        <f>NOT('hospitalityq-nil'!C938="")*(OR(NOT(IFERROR(AND(INT('hospitalityq-nil'!C938)='hospitalityq-nil'!C938,'hospitalityq-nil'!C938&gt;=2018-50,'hospitalityq-nil'!C938&lt;=2018+50),FALSE)),SUMPRODUCT(--(TRIM('hospitalityq-nil'!C6:C938)=TRIM('hospitalityq-nil'!C938)),--(TRIM('hospitalityq-nil'!D6:D938)=TRIM('hospitalityq-nil'!D938)))&gt;1))</f>
        <v>0</v>
      </c>
      <c r="D938">
        <f>NOT('hospitalityq-nil'!D938="")*(OR(COUNTIF(reference!$C$144:$C$155,TRIM(LEFT('hospitalityq-nil'!D938,FIND(":",'hospitalityq-nil'!D938&amp;":")-1))&amp;":*")=0,SUMPRODUCT(--(TRIM('hospitalityq-nil'!C6:C938)=TRIM('hospitalityq-nil'!C938)),--(TRIM('hospitalityq-nil'!D6:D938)=TRIM('hospitalityq-nil'!D938)))&gt;1))</f>
        <v>0</v>
      </c>
    </row>
    <row r="939" spans="1:4" x14ac:dyDescent="0.25">
      <c r="A939">
        <f t="shared" si="14"/>
        <v>0</v>
      </c>
      <c r="C939">
        <f>NOT('hospitalityq-nil'!C939="")*(OR(NOT(IFERROR(AND(INT('hospitalityq-nil'!C939)='hospitalityq-nil'!C939,'hospitalityq-nil'!C939&gt;=2018-50,'hospitalityq-nil'!C939&lt;=2018+50),FALSE)),SUMPRODUCT(--(TRIM('hospitalityq-nil'!C6:C939)=TRIM('hospitalityq-nil'!C939)),--(TRIM('hospitalityq-nil'!D6:D939)=TRIM('hospitalityq-nil'!D939)))&gt;1))</f>
        <v>0</v>
      </c>
      <c r="D939">
        <f>NOT('hospitalityq-nil'!D939="")*(OR(COUNTIF(reference!$C$144:$C$155,TRIM(LEFT('hospitalityq-nil'!D939,FIND(":",'hospitalityq-nil'!D939&amp;":")-1))&amp;":*")=0,SUMPRODUCT(--(TRIM('hospitalityq-nil'!C6:C939)=TRIM('hospitalityq-nil'!C939)),--(TRIM('hospitalityq-nil'!D6:D939)=TRIM('hospitalityq-nil'!D939)))&gt;1))</f>
        <v>0</v>
      </c>
    </row>
    <row r="940" spans="1:4" x14ac:dyDescent="0.25">
      <c r="A940">
        <f t="shared" si="14"/>
        <v>0</v>
      </c>
      <c r="C940">
        <f>NOT('hospitalityq-nil'!C940="")*(OR(NOT(IFERROR(AND(INT('hospitalityq-nil'!C940)='hospitalityq-nil'!C940,'hospitalityq-nil'!C940&gt;=2018-50,'hospitalityq-nil'!C940&lt;=2018+50),FALSE)),SUMPRODUCT(--(TRIM('hospitalityq-nil'!C6:C940)=TRIM('hospitalityq-nil'!C940)),--(TRIM('hospitalityq-nil'!D6:D940)=TRIM('hospitalityq-nil'!D940)))&gt;1))</f>
        <v>0</v>
      </c>
      <c r="D940">
        <f>NOT('hospitalityq-nil'!D940="")*(OR(COUNTIF(reference!$C$144:$C$155,TRIM(LEFT('hospitalityq-nil'!D940,FIND(":",'hospitalityq-nil'!D940&amp;":")-1))&amp;":*")=0,SUMPRODUCT(--(TRIM('hospitalityq-nil'!C6:C940)=TRIM('hospitalityq-nil'!C940)),--(TRIM('hospitalityq-nil'!D6:D940)=TRIM('hospitalityq-nil'!D940)))&gt;1))</f>
        <v>0</v>
      </c>
    </row>
    <row r="941" spans="1:4" x14ac:dyDescent="0.25">
      <c r="A941">
        <f t="shared" si="14"/>
        <v>0</v>
      </c>
      <c r="C941">
        <f>NOT('hospitalityq-nil'!C941="")*(OR(NOT(IFERROR(AND(INT('hospitalityq-nil'!C941)='hospitalityq-nil'!C941,'hospitalityq-nil'!C941&gt;=2018-50,'hospitalityq-nil'!C941&lt;=2018+50),FALSE)),SUMPRODUCT(--(TRIM('hospitalityq-nil'!C6:C941)=TRIM('hospitalityq-nil'!C941)),--(TRIM('hospitalityq-nil'!D6:D941)=TRIM('hospitalityq-nil'!D941)))&gt;1))</f>
        <v>0</v>
      </c>
      <c r="D941">
        <f>NOT('hospitalityq-nil'!D941="")*(OR(COUNTIF(reference!$C$144:$C$155,TRIM(LEFT('hospitalityq-nil'!D941,FIND(":",'hospitalityq-nil'!D941&amp;":")-1))&amp;":*")=0,SUMPRODUCT(--(TRIM('hospitalityq-nil'!C6:C941)=TRIM('hospitalityq-nil'!C941)),--(TRIM('hospitalityq-nil'!D6:D941)=TRIM('hospitalityq-nil'!D941)))&gt;1))</f>
        <v>0</v>
      </c>
    </row>
    <row r="942" spans="1:4" x14ac:dyDescent="0.25">
      <c r="A942">
        <f t="shared" si="14"/>
        <v>0</v>
      </c>
      <c r="C942">
        <f>NOT('hospitalityq-nil'!C942="")*(OR(NOT(IFERROR(AND(INT('hospitalityq-nil'!C942)='hospitalityq-nil'!C942,'hospitalityq-nil'!C942&gt;=2018-50,'hospitalityq-nil'!C942&lt;=2018+50),FALSE)),SUMPRODUCT(--(TRIM('hospitalityq-nil'!C6:C942)=TRIM('hospitalityq-nil'!C942)),--(TRIM('hospitalityq-nil'!D6:D942)=TRIM('hospitalityq-nil'!D942)))&gt;1))</f>
        <v>0</v>
      </c>
      <c r="D942">
        <f>NOT('hospitalityq-nil'!D942="")*(OR(COUNTIF(reference!$C$144:$C$155,TRIM(LEFT('hospitalityq-nil'!D942,FIND(":",'hospitalityq-nil'!D942&amp;":")-1))&amp;":*")=0,SUMPRODUCT(--(TRIM('hospitalityq-nil'!C6:C942)=TRIM('hospitalityq-nil'!C942)),--(TRIM('hospitalityq-nil'!D6:D942)=TRIM('hospitalityq-nil'!D942)))&gt;1))</f>
        <v>0</v>
      </c>
    </row>
    <row r="943" spans="1:4" x14ac:dyDescent="0.25">
      <c r="A943">
        <f t="shared" si="14"/>
        <v>0</v>
      </c>
      <c r="C943">
        <f>NOT('hospitalityq-nil'!C943="")*(OR(NOT(IFERROR(AND(INT('hospitalityq-nil'!C943)='hospitalityq-nil'!C943,'hospitalityq-nil'!C943&gt;=2018-50,'hospitalityq-nil'!C943&lt;=2018+50),FALSE)),SUMPRODUCT(--(TRIM('hospitalityq-nil'!C6:C943)=TRIM('hospitalityq-nil'!C943)),--(TRIM('hospitalityq-nil'!D6:D943)=TRIM('hospitalityq-nil'!D943)))&gt;1))</f>
        <v>0</v>
      </c>
      <c r="D943">
        <f>NOT('hospitalityq-nil'!D943="")*(OR(COUNTIF(reference!$C$144:$C$155,TRIM(LEFT('hospitalityq-nil'!D943,FIND(":",'hospitalityq-nil'!D943&amp;":")-1))&amp;":*")=0,SUMPRODUCT(--(TRIM('hospitalityq-nil'!C6:C943)=TRIM('hospitalityq-nil'!C943)),--(TRIM('hospitalityq-nil'!D6:D943)=TRIM('hospitalityq-nil'!D943)))&gt;1))</f>
        <v>0</v>
      </c>
    </row>
    <row r="944" spans="1:4" x14ac:dyDescent="0.25">
      <c r="A944">
        <f t="shared" si="14"/>
        <v>0</v>
      </c>
      <c r="C944">
        <f>NOT('hospitalityq-nil'!C944="")*(OR(NOT(IFERROR(AND(INT('hospitalityq-nil'!C944)='hospitalityq-nil'!C944,'hospitalityq-nil'!C944&gt;=2018-50,'hospitalityq-nil'!C944&lt;=2018+50),FALSE)),SUMPRODUCT(--(TRIM('hospitalityq-nil'!C6:C944)=TRIM('hospitalityq-nil'!C944)),--(TRIM('hospitalityq-nil'!D6:D944)=TRIM('hospitalityq-nil'!D944)))&gt;1))</f>
        <v>0</v>
      </c>
      <c r="D944">
        <f>NOT('hospitalityq-nil'!D944="")*(OR(COUNTIF(reference!$C$144:$C$155,TRIM(LEFT('hospitalityq-nil'!D944,FIND(":",'hospitalityq-nil'!D944&amp;":")-1))&amp;":*")=0,SUMPRODUCT(--(TRIM('hospitalityq-nil'!C6:C944)=TRIM('hospitalityq-nil'!C944)),--(TRIM('hospitalityq-nil'!D6:D944)=TRIM('hospitalityq-nil'!D944)))&gt;1))</f>
        <v>0</v>
      </c>
    </row>
    <row r="945" spans="1:4" x14ac:dyDescent="0.25">
      <c r="A945">
        <f t="shared" si="14"/>
        <v>0</v>
      </c>
      <c r="C945">
        <f>NOT('hospitalityq-nil'!C945="")*(OR(NOT(IFERROR(AND(INT('hospitalityq-nil'!C945)='hospitalityq-nil'!C945,'hospitalityq-nil'!C945&gt;=2018-50,'hospitalityq-nil'!C945&lt;=2018+50),FALSE)),SUMPRODUCT(--(TRIM('hospitalityq-nil'!C6:C945)=TRIM('hospitalityq-nil'!C945)),--(TRIM('hospitalityq-nil'!D6:D945)=TRIM('hospitalityq-nil'!D945)))&gt;1))</f>
        <v>0</v>
      </c>
      <c r="D945">
        <f>NOT('hospitalityq-nil'!D945="")*(OR(COUNTIF(reference!$C$144:$C$155,TRIM(LEFT('hospitalityq-nil'!D945,FIND(":",'hospitalityq-nil'!D945&amp;":")-1))&amp;":*")=0,SUMPRODUCT(--(TRIM('hospitalityq-nil'!C6:C945)=TRIM('hospitalityq-nil'!C945)),--(TRIM('hospitalityq-nil'!D6:D945)=TRIM('hospitalityq-nil'!D945)))&gt;1))</f>
        <v>0</v>
      </c>
    </row>
    <row r="946" spans="1:4" x14ac:dyDescent="0.25">
      <c r="A946">
        <f t="shared" si="14"/>
        <v>0</v>
      </c>
      <c r="C946">
        <f>NOT('hospitalityq-nil'!C946="")*(OR(NOT(IFERROR(AND(INT('hospitalityq-nil'!C946)='hospitalityq-nil'!C946,'hospitalityq-nil'!C946&gt;=2018-50,'hospitalityq-nil'!C946&lt;=2018+50),FALSE)),SUMPRODUCT(--(TRIM('hospitalityq-nil'!C6:C946)=TRIM('hospitalityq-nil'!C946)),--(TRIM('hospitalityq-nil'!D6:D946)=TRIM('hospitalityq-nil'!D946)))&gt;1))</f>
        <v>0</v>
      </c>
      <c r="D946">
        <f>NOT('hospitalityq-nil'!D946="")*(OR(COUNTIF(reference!$C$144:$C$155,TRIM(LEFT('hospitalityq-nil'!D946,FIND(":",'hospitalityq-nil'!D946&amp;":")-1))&amp;":*")=0,SUMPRODUCT(--(TRIM('hospitalityq-nil'!C6:C946)=TRIM('hospitalityq-nil'!C946)),--(TRIM('hospitalityq-nil'!D6:D946)=TRIM('hospitalityq-nil'!D946)))&gt;1))</f>
        <v>0</v>
      </c>
    </row>
    <row r="947" spans="1:4" x14ac:dyDescent="0.25">
      <c r="A947">
        <f t="shared" si="14"/>
        <v>0</v>
      </c>
      <c r="C947">
        <f>NOT('hospitalityq-nil'!C947="")*(OR(NOT(IFERROR(AND(INT('hospitalityq-nil'!C947)='hospitalityq-nil'!C947,'hospitalityq-nil'!C947&gt;=2018-50,'hospitalityq-nil'!C947&lt;=2018+50),FALSE)),SUMPRODUCT(--(TRIM('hospitalityq-nil'!C6:C947)=TRIM('hospitalityq-nil'!C947)),--(TRIM('hospitalityq-nil'!D6:D947)=TRIM('hospitalityq-nil'!D947)))&gt;1))</f>
        <v>0</v>
      </c>
      <c r="D947">
        <f>NOT('hospitalityq-nil'!D947="")*(OR(COUNTIF(reference!$C$144:$C$155,TRIM(LEFT('hospitalityq-nil'!D947,FIND(":",'hospitalityq-nil'!D947&amp;":")-1))&amp;":*")=0,SUMPRODUCT(--(TRIM('hospitalityq-nil'!C6:C947)=TRIM('hospitalityq-nil'!C947)),--(TRIM('hospitalityq-nil'!D6:D947)=TRIM('hospitalityq-nil'!D947)))&gt;1))</f>
        <v>0</v>
      </c>
    </row>
    <row r="948" spans="1:4" x14ac:dyDescent="0.25">
      <c r="A948">
        <f t="shared" si="14"/>
        <v>0</v>
      </c>
      <c r="C948">
        <f>NOT('hospitalityq-nil'!C948="")*(OR(NOT(IFERROR(AND(INT('hospitalityq-nil'!C948)='hospitalityq-nil'!C948,'hospitalityq-nil'!C948&gt;=2018-50,'hospitalityq-nil'!C948&lt;=2018+50),FALSE)),SUMPRODUCT(--(TRIM('hospitalityq-nil'!C6:C948)=TRIM('hospitalityq-nil'!C948)),--(TRIM('hospitalityq-nil'!D6:D948)=TRIM('hospitalityq-nil'!D948)))&gt;1))</f>
        <v>0</v>
      </c>
      <c r="D948">
        <f>NOT('hospitalityq-nil'!D948="")*(OR(COUNTIF(reference!$C$144:$C$155,TRIM(LEFT('hospitalityq-nil'!D948,FIND(":",'hospitalityq-nil'!D948&amp;":")-1))&amp;":*")=0,SUMPRODUCT(--(TRIM('hospitalityq-nil'!C6:C948)=TRIM('hospitalityq-nil'!C948)),--(TRIM('hospitalityq-nil'!D6:D948)=TRIM('hospitalityq-nil'!D948)))&gt;1))</f>
        <v>0</v>
      </c>
    </row>
    <row r="949" spans="1:4" x14ac:dyDescent="0.25">
      <c r="A949">
        <f t="shared" si="14"/>
        <v>0</v>
      </c>
      <c r="C949">
        <f>NOT('hospitalityq-nil'!C949="")*(OR(NOT(IFERROR(AND(INT('hospitalityq-nil'!C949)='hospitalityq-nil'!C949,'hospitalityq-nil'!C949&gt;=2018-50,'hospitalityq-nil'!C949&lt;=2018+50),FALSE)),SUMPRODUCT(--(TRIM('hospitalityq-nil'!C6:C949)=TRIM('hospitalityq-nil'!C949)),--(TRIM('hospitalityq-nil'!D6:D949)=TRIM('hospitalityq-nil'!D949)))&gt;1))</f>
        <v>0</v>
      </c>
      <c r="D949">
        <f>NOT('hospitalityq-nil'!D949="")*(OR(COUNTIF(reference!$C$144:$C$155,TRIM(LEFT('hospitalityq-nil'!D949,FIND(":",'hospitalityq-nil'!D949&amp;":")-1))&amp;":*")=0,SUMPRODUCT(--(TRIM('hospitalityq-nil'!C6:C949)=TRIM('hospitalityq-nil'!C949)),--(TRIM('hospitalityq-nil'!D6:D949)=TRIM('hospitalityq-nil'!D949)))&gt;1))</f>
        <v>0</v>
      </c>
    </row>
    <row r="950" spans="1:4" x14ac:dyDescent="0.25">
      <c r="A950">
        <f t="shared" si="14"/>
        <v>0</v>
      </c>
      <c r="C950">
        <f>NOT('hospitalityq-nil'!C950="")*(OR(NOT(IFERROR(AND(INT('hospitalityq-nil'!C950)='hospitalityq-nil'!C950,'hospitalityq-nil'!C950&gt;=2018-50,'hospitalityq-nil'!C950&lt;=2018+50),FALSE)),SUMPRODUCT(--(TRIM('hospitalityq-nil'!C6:C950)=TRIM('hospitalityq-nil'!C950)),--(TRIM('hospitalityq-nil'!D6:D950)=TRIM('hospitalityq-nil'!D950)))&gt;1))</f>
        <v>0</v>
      </c>
      <c r="D950">
        <f>NOT('hospitalityq-nil'!D950="")*(OR(COUNTIF(reference!$C$144:$C$155,TRIM(LEFT('hospitalityq-nil'!D950,FIND(":",'hospitalityq-nil'!D950&amp;":")-1))&amp;":*")=0,SUMPRODUCT(--(TRIM('hospitalityq-nil'!C6:C950)=TRIM('hospitalityq-nil'!C950)),--(TRIM('hospitalityq-nil'!D6:D950)=TRIM('hospitalityq-nil'!D950)))&gt;1))</f>
        <v>0</v>
      </c>
    </row>
    <row r="951" spans="1:4" x14ac:dyDescent="0.25">
      <c r="A951">
        <f t="shared" si="14"/>
        <v>0</v>
      </c>
      <c r="C951">
        <f>NOT('hospitalityq-nil'!C951="")*(OR(NOT(IFERROR(AND(INT('hospitalityq-nil'!C951)='hospitalityq-nil'!C951,'hospitalityq-nil'!C951&gt;=2018-50,'hospitalityq-nil'!C951&lt;=2018+50),FALSE)),SUMPRODUCT(--(TRIM('hospitalityq-nil'!C6:C951)=TRIM('hospitalityq-nil'!C951)),--(TRIM('hospitalityq-nil'!D6:D951)=TRIM('hospitalityq-nil'!D951)))&gt;1))</f>
        <v>0</v>
      </c>
      <c r="D951">
        <f>NOT('hospitalityq-nil'!D951="")*(OR(COUNTIF(reference!$C$144:$C$155,TRIM(LEFT('hospitalityq-nil'!D951,FIND(":",'hospitalityq-nil'!D951&amp;":")-1))&amp;":*")=0,SUMPRODUCT(--(TRIM('hospitalityq-nil'!C6:C951)=TRIM('hospitalityq-nil'!C951)),--(TRIM('hospitalityq-nil'!D6:D951)=TRIM('hospitalityq-nil'!D951)))&gt;1))</f>
        <v>0</v>
      </c>
    </row>
    <row r="952" spans="1:4" x14ac:dyDescent="0.25">
      <c r="A952">
        <f t="shared" si="14"/>
        <v>0</v>
      </c>
      <c r="C952">
        <f>NOT('hospitalityq-nil'!C952="")*(OR(NOT(IFERROR(AND(INT('hospitalityq-nil'!C952)='hospitalityq-nil'!C952,'hospitalityq-nil'!C952&gt;=2018-50,'hospitalityq-nil'!C952&lt;=2018+50),FALSE)),SUMPRODUCT(--(TRIM('hospitalityq-nil'!C6:C952)=TRIM('hospitalityq-nil'!C952)),--(TRIM('hospitalityq-nil'!D6:D952)=TRIM('hospitalityq-nil'!D952)))&gt;1))</f>
        <v>0</v>
      </c>
      <c r="D952">
        <f>NOT('hospitalityq-nil'!D952="")*(OR(COUNTIF(reference!$C$144:$C$155,TRIM(LEFT('hospitalityq-nil'!D952,FIND(":",'hospitalityq-nil'!D952&amp;":")-1))&amp;":*")=0,SUMPRODUCT(--(TRIM('hospitalityq-nil'!C6:C952)=TRIM('hospitalityq-nil'!C952)),--(TRIM('hospitalityq-nil'!D6:D952)=TRIM('hospitalityq-nil'!D952)))&gt;1))</f>
        <v>0</v>
      </c>
    </row>
    <row r="953" spans="1:4" x14ac:dyDescent="0.25">
      <c r="A953">
        <f t="shared" si="14"/>
        <v>0</v>
      </c>
      <c r="C953">
        <f>NOT('hospitalityq-nil'!C953="")*(OR(NOT(IFERROR(AND(INT('hospitalityq-nil'!C953)='hospitalityq-nil'!C953,'hospitalityq-nil'!C953&gt;=2018-50,'hospitalityq-nil'!C953&lt;=2018+50),FALSE)),SUMPRODUCT(--(TRIM('hospitalityq-nil'!C6:C953)=TRIM('hospitalityq-nil'!C953)),--(TRIM('hospitalityq-nil'!D6:D953)=TRIM('hospitalityq-nil'!D953)))&gt;1))</f>
        <v>0</v>
      </c>
      <c r="D953">
        <f>NOT('hospitalityq-nil'!D953="")*(OR(COUNTIF(reference!$C$144:$C$155,TRIM(LEFT('hospitalityq-nil'!D953,FIND(":",'hospitalityq-nil'!D953&amp;":")-1))&amp;":*")=0,SUMPRODUCT(--(TRIM('hospitalityq-nil'!C6:C953)=TRIM('hospitalityq-nil'!C953)),--(TRIM('hospitalityq-nil'!D6:D953)=TRIM('hospitalityq-nil'!D953)))&gt;1))</f>
        <v>0</v>
      </c>
    </row>
    <row r="954" spans="1:4" x14ac:dyDescent="0.25">
      <c r="A954">
        <f t="shared" si="14"/>
        <v>0</v>
      </c>
      <c r="C954">
        <f>NOT('hospitalityq-nil'!C954="")*(OR(NOT(IFERROR(AND(INT('hospitalityq-nil'!C954)='hospitalityq-nil'!C954,'hospitalityq-nil'!C954&gt;=2018-50,'hospitalityq-nil'!C954&lt;=2018+50),FALSE)),SUMPRODUCT(--(TRIM('hospitalityq-nil'!C6:C954)=TRIM('hospitalityq-nil'!C954)),--(TRIM('hospitalityq-nil'!D6:D954)=TRIM('hospitalityq-nil'!D954)))&gt;1))</f>
        <v>0</v>
      </c>
      <c r="D954">
        <f>NOT('hospitalityq-nil'!D954="")*(OR(COUNTIF(reference!$C$144:$C$155,TRIM(LEFT('hospitalityq-nil'!D954,FIND(":",'hospitalityq-nil'!D954&amp;":")-1))&amp;":*")=0,SUMPRODUCT(--(TRIM('hospitalityq-nil'!C6:C954)=TRIM('hospitalityq-nil'!C954)),--(TRIM('hospitalityq-nil'!D6:D954)=TRIM('hospitalityq-nil'!D954)))&gt;1))</f>
        <v>0</v>
      </c>
    </row>
    <row r="955" spans="1:4" x14ac:dyDescent="0.25">
      <c r="A955">
        <f t="shared" si="14"/>
        <v>0</v>
      </c>
      <c r="C955">
        <f>NOT('hospitalityq-nil'!C955="")*(OR(NOT(IFERROR(AND(INT('hospitalityq-nil'!C955)='hospitalityq-nil'!C955,'hospitalityq-nil'!C955&gt;=2018-50,'hospitalityq-nil'!C955&lt;=2018+50),FALSE)),SUMPRODUCT(--(TRIM('hospitalityq-nil'!C6:C955)=TRIM('hospitalityq-nil'!C955)),--(TRIM('hospitalityq-nil'!D6:D955)=TRIM('hospitalityq-nil'!D955)))&gt;1))</f>
        <v>0</v>
      </c>
      <c r="D955">
        <f>NOT('hospitalityq-nil'!D955="")*(OR(COUNTIF(reference!$C$144:$C$155,TRIM(LEFT('hospitalityq-nil'!D955,FIND(":",'hospitalityq-nil'!D955&amp;":")-1))&amp;":*")=0,SUMPRODUCT(--(TRIM('hospitalityq-nil'!C6:C955)=TRIM('hospitalityq-nil'!C955)),--(TRIM('hospitalityq-nil'!D6:D955)=TRIM('hospitalityq-nil'!D955)))&gt;1))</f>
        <v>0</v>
      </c>
    </row>
    <row r="956" spans="1:4" x14ac:dyDescent="0.25">
      <c r="A956">
        <f t="shared" si="14"/>
        <v>0</v>
      </c>
      <c r="C956">
        <f>NOT('hospitalityq-nil'!C956="")*(OR(NOT(IFERROR(AND(INT('hospitalityq-nil'!C956)='hospitalityq-nil'!C956,'hospitalityq-nil'!C956&gt;=2018-50,'hospitalityq-nil'!C956&lt;=2018+50),FALSE)),SUMPRODUCT(--(TRIM('hospitalityq-nil'!C6:C956)=TRIM('hospitalityq-nil'!C956)),--(TRIM('hospitalityq-nil'!D6:D956)=TRIM('hospitalityq-nil'!D956)))&gt;1))</f>
        <v>0</v>
      </c>
      <c r="D956">
        <f>NOT('hospitalityq-nil'!D956="")*(OR(COUNTIF(reference!$C$144:$C$155,TRIM(LEFT('hospitalityq-nil'!D956,FIND(":",'hospitalityq-nil'!D956&amp;":")-1))&amp;":*")=0,SUMPRODUCT(--(TRIM('hospitalityq-nil'!C6:C956)=TRIM('hospitalityq-nil'!C956)),--(TRIM('hospitalityq-nil'!D6:D956)=TRIM('hospitalityq-nil'!D956)))&gt;1))</f>
        <v>0</v>
      </c>
    </row>
    <row r="957" spans="1:4" x14ac:dyDescent="0.25">
      <c r="A957">
        <f t="shared" si="14"/>
        <v>0</v>
      </c>
      <c r="C957">
        <f>NOT('hospitalityq-nil'!C957="")*(OR(NOT(IFERROR(AND(INT('hospitalityq-nil'!C957)='hospitalityq-nil'!C957,'hospitalityq-nil'!C957&gt;=2018-50,'hospitalityq-nil'!C957&lt;=2018+50),FALSE)),SUMPRODUCT(--(TRIM('hospitalityq-nil'!C6:C957)=TRIM('hospitalityq-nil'!C957)),--(TRIM('hospitalityq-nil'!D6:D957)=TRIM('hospitalityq-nil'!D957)))&gt;1))</f>
        <v>0</v>
      </c>
      <c r="D957">
        <f>NOT('hospitalityq-nil'!D957="")*(OR(COUNTIF(reference!$C$144:$C$155,TRIM(LEFT('hospitalityq-nil'!D957,FIND(":",'hospitalityq-nil'!D957&amp;":")-1))&amp;":*")=0,SUMPRODUCT(--(TRIM('hospitalityq-nil'!C6:C957)=TRIM('hospitalityq-nil'!C957)),--(TRIM('hospitalityq-nil'!D6:D957)=TRIM('hospitalityq-nil'!D957)))&gt;1))</f>
        <v>0</v>
      </c>
    </row>
    <row r="958" spans="1:4" x14ac:dyDescent="0.25">
      <c r="A958">
        <f t="shared" si="14"/>
        <v>0</v>
      </c>
      <c r="C958">
        <f>NOT('hospitalityq-nil'!C958="")*(OR(NOT(IFERROR(AND(INT('hospitalityq-nil'!C958)='hospitalityq-nil'!C958,'hospitalityq-nil'!C958&gt;=2018-50,'hospitalityq-nil'!C958&lt;=2018+50),FALSE)),SUMPRODUCT(--(TRIM('hospitalityq-nil'!C6:C958)=TRIM('hospitalityq-nil'!C958)),--(TRIM('hospitalityq-nil'!D6:D958)=TRIM('hospitalityq-nil'!D958)))&gt;1))</f>
        <v>0</v>
      </c>
      <c r="D958">
        <f>NOT('hospitalityq-nil'!D958="")*(OR(COUNTIF(reference!$C$144:$C$155,TRIM(LEFT('hospitalityq-nil'!D958,FIND(":",'hospitalityq-nil'!D958&amp;":")-1))&amp;":*")=0,SUMPRODUCT(--(TRIM('hospitalityq-nil'!C6:C958)=TRIM('hospitalityq-nil'!C958)),--(TRIM('hospitalityq-nil'!D6:D958)=TRIM('hospitalityq-nil'!D958)))&gt;1))</f>
        <v>0</v>
      </c>
    </row>
    <row r="959" spans="1:4" x14ac:dyDescent="0.25">
      <c r="A959">
        <f t="shared" si="14"/>
        <v>0</v>
      </c>
      <c r="C959">
        <f>NOT('hospitalityq-nil'!C959="")*(OR(NOT(IFERROR(AND(INT('hospitalityq-nil'!C959)='hospitalityq-nil'!C959,'hospitalityq-nil'!C959&gt;=2018-50,'hospitalityq-nil'!C959&lt;=2018+50),FALSE)),SUMPRODUCT(--(TRIM('hospitalityq-nil'!C6:C959)=TRIM('hospitalityq-nil'!C959)),--(TRIM('hospitalityq-nil'!D6:D959)=TRIM('hospitalityq-nil'!D959)))&gt;1))</f>
        <v>0</v>
      </c>
      <c r="D959">
        <f>NOT('hospitalityq-nil'!D959="")*(OR(COUNTIF(reference!$C$144:$C$155,TRIM(LEFT('hospitalityq-nil'!D959,FIND(":",'hospitalityq-nil'!D959&amp;":")-1))&amp;":*")=0,SUMPRODUCT(--(TRIM('hospitalityq-nil'!C6:C959)=TRIM('hospitalityq-nil'!C959)),--(TRIM('hospitalityq-nil'!D6:D959)=TRIM('hospitalityq-nil'!D959)))&gt;1))</f>
        <v>0</v>
      </c>
    </row>
    <row r="960" spans="1:4" x14ac:dyDescent="0.25">
      <c r="A960">
        <f t="shared" si="14"/>
        <v>0</v>
      </c>
      <c r="C960">
        <f>NOT('hospitalityq-nil'!C960="")*(OR(NOT(IFERROR(AND(INT('hospitalityq-nil'!C960)='hospitalityq-nil'!C960,'hospitalityq-nil'!C960&gt;=2018-50,'hospitalityq-nil'!C960&lt;=2018+50),FALSE)),SUMPRODUCT(--(TRIM('hospitalityq-nil'!C6:C960)=TRIM('hospitalityq-nil'!C960)),--(TRIM('hospitalityq-nil'!D6:D960)=TRIM('hospitalityq-nil'!D960)))&gt;1))</f>
        <v>0</v>
      </c>
      <c r="D960">
        <f>NOT('hospitalityq-nil'!D960="")*(OR(COUNTIF(reference!$C$144:$C$155,TRIM(LEFT('hospitalityq-nil'!D960,FIND(":",'hospitalityq-nil'!D960&amp;":")-1))&amp;":*")=0,SUMPRODUCT(--(TRIM('hospitalityq-nil'!C6:C960)=TRIM('hospitalityq-nil'!C960)),--(TRIM('hospitalityq-nil'!D6:D960)=TRIM('hospitalityq-nil'!D960)))&gt;1))</f>
        <v>0</v>
      </c>
    </row>
    <row r="961" spans="1:4" x14ac:dyDescent="0.25">
      <c r="A961">
        <f t="shared" si="14"/>
        <v>0</v>
      </c>
      <c r="C961">
        <f>NOT('hospitalityq-nil'!C961="")*(OR(NOT(IFERROR(AND(INT('hospitalityq-nil'!C961)='hospitalityq-nil'!C961,'hospitalityq-nil'!C961&gt;=2018-50,'hospitalityq-nil'!C961&lt;=2018+50),FALSE)),SUMPRODUCT(--(TRIM('hospitalityq-nil'!C6:C961)=TRIM('hospitalityq-nil'!C961)),--(TRIM('hospitalityq-nil'!D6:D961)=TRIM('hospitalityq-nil'!D961)))&gt;1))</f>
        <v>0</v>
      </c>
      <c r="D961">
        <f>NOT('hospitalityq-nil'!D961="")*(OR(COUNTIF(reference!$C$144:$C$155,TRIM(LEFT('hospitalityq-nil'!D961,FIND(":",'hospitalityq-nil'!D961&amp;":")-1))&amp;":*")=0,SUMPRODUCT(--(TRIM('hospitalityq-nil'!C6:C961)=TRIM('hospitalityq-nil'!C961)),--(TRIM('hospitalityq-nil'!D6:D961)=TRIM('hospitalityq-nil'!D961)))&gt;1))</f>
        <v>0</v>
      </c>
    </row>
    <row r="962" spans="1:4" x14ac:dyDescent="0.25">
      <c r="A962">
        <f t="shared" si="14"/>
        <v>0</v>
      </c>
      <c r="C962">
        <f>NOT('hospitalityq-nil'!C962="")*(OR(NOT(IFERROR(AND(INT('hospitalityq-nil'!C962)='hospitalityq-nil'!C962,'hospitalityq-nil'!C962&gt;=2018-50,'hospitalityq-nil'!C962&lt;=2018+50),FALSE)),SUMPRODUCT(--(TRIM('hospitalityq-nil'!C6:C962)=TRIM('hospitalityq-nil'!C962)),--(TRIM('hospitalityq-nil'!D6:D962)=TRIM('hospitalityq-nil'!D962)))&gt;1))</f>
        <v>0</v>
      </c>
      <c r="D962">
        <f>NOT('hospitalityq-nil'!D962="")*(OR(COUNTIF(reference!$C$144:$C$155,TRIM(LEFT('hospitalityq-nil'!D962,FIND(":",'hospitalityq-nil'!D962&amp;":")-1))&amp;":*")=0,SUMPRODUCT(--(TRIM('hospitalityq-nil'!C6:C962)=TRIM('hospitalityq-nil'!C962)),--(TRIM('hospitalityq-nil'!D6:D962)=TRIM('hospitalityq-nil'!D962)))&gt;1))</f>
        <v>0</v>
      </c>
    </row>
    <row r="963" spans="1:4" x14ac:dyDescent="0.25">
      <c r="A963">
        <f t="shared" si="14"/>
        <v>0</v>
      </c>
      <c r="C963">
        <f>NOT('hospitalityq-nil'!C963="")*(OR(NOT(IFERROR(AND(INT('hospitalityq-nil'!C963)='hospitalityq-nil'!C963,'hospitalityq-nil'!C963&gt;=2018-50,'hospitalityq-nil'!C963&lt;=2018+50),FALSE)),SUMPRODUCT(--(TRIM('hospitalityq-nil'!C6:C963)=TRIM('hospitalityq-nil'!C963)),--(TRIM('hospitalityq-nil'!D6:D963)=TRIM('hospitalityq-nil'!D963)))&gt;1))</f>
        <v>0</v>
      </c>
      <c r="D963">
        <f>NOT('hospitalityq-nil'!D963="")*(OR(COUNTIF(reference!$C$144:$C$155,TRIM(LEFT('hospitalityq-nil'!D963,FIND(":",'hospitalityq-nil'!D963&amp;":")-1))&amp;":*")=0,SUMPRODUCT(--(TRIM('hospitalityq-nil'!C6:C963)=TRIM('hospitalityq-nil'!C963)),--(TRIM('hospitalityq-nil'!D6:D963)=TRIM('hospitalityq-nil'!D963)))&gt;1))</f>
        <v>0</v>
      </c>
    </row>
    <row r="964" spans="1:4" x14ac:dyDescent="0.25">
      <c r="A964">
        <f t="shared" si="14"/>
        <v>0</v>
      </c>
      <c r="C964">
        <f>NOT('hospitalityq-nil'!C964="")*(OR(NOT(IFERROR(AND(INT('hospitalityq-nil'!C964)='hospitalityq-nil'!C964,'hospitalityq-nil'!C964&gt;=2018-50,'hospitalityq-nil'!C964&lt;=2018+50),FALSE)),SUMPRODUCT(--(TRIM('hospitalityq-nil'!C6:C964)=TRIM('hospitalityq-nil'!C964)),--(TRIM('hospitalityq-nil'!D6:D964)=TRIM('hospitalityq-nil'!D964)))&gt;1))</f>
        <v>0</v>
      </c>
      <c r="D964">
        <f>NOT('hospitalityq-nil'!D964="")*(OR(COUNTIF(reference!$C$144:$C$155,TRIM(LEFT('hospitalityq-nil'!D964,FIND(":",'hospitalityq-nil'!D964&amp;":")-1))&amp;":*")=0,SUMPRODUCT(--(TRIM('hospitalityq-nil'!C6:C964)=TRIM('hospitalityq-nil'!C964)),--(TRIM('hospitalityq-nil'!D6:D964)=TRIM('hospitalityq-nil'!D964)))&gt;1))</f>
        <v>0</v>
      </c>
    </row>
    <row r="965" spans="1:4" x14ac:dyDescent="0.25">
      <c r="A965">
        <f t="shared" si="14"/>
        <v>0</v>
      </c>
      <c r="C965">
        <f>NOT('hospitalityq-nil'!C965="")*(OR(NOT(IFERROR(AND(INT('hospitalityq-nil'!C965)='hospitalityq-nil'!C965,'hospitalityq-nil'!C965&gt;=2018-50,'hospitalityq-nil'!C965&lt;=2018+50),FALSE)),SUMPRODUCT(--(TRIM('hospitalityq-nil'!C6:C965)=TRIM('hospitalityq-nil'!C965)),--(TRIM('hospitalityq-nil'!D6:D965)=TRIM('hospitalityq-nil'!D965)))&gt;1))</f>
        <v>0</v>
      </c>
      <c r="D965">
        <f>NOT('hospitalityq-nil'!D965="")*(OR(COUNTIF(reference!$C$144:$C$155,TRIM(LEFT('hospitalityq-nil'!D965,FIND(":",'hospitalityq-nil'!D965&amp;":")-1))&amp;":*")=0,SUMPRODUCT(--(TRIM('hospitalityq-nil'!C6:C965)=TRIM('hospitalityq-nil'!C965)),--(TRIM('hospitalityq-nil'!D6:D965)=TRIM('hospitalityq-nil'!D965)))&gt;1))</f>
        <v>0</v>
      </c>
    </row>
    <row r="966" spans="1:4" x14ac:dyDescent="0.25">
      <c r="A966">
        <f t="shared" ref="A966:A1029" si="15">IFERROR(MATCH(TRUE,INDEX(C966:D966&lt;&gt;0,),)+2,0)</f>
        <v>0</v>
      </c>
      <c r="C966">
        <f>NOT('hospitalityq-nil'!C966="")*(OR(NOT(IFERROR(AND(INT('hospitalityq-nil'!C966)='hospitalityq-nil'!C966,'hospitalityq-nil'!C966&gt;=2018-50,'hospitalityq-nil'!C966&lt;=2018+50),FALSE)),SUMPRODUCT(--(TRIM('hospitalityq-nil'!C6:C966)=TRIM('hospitalityq-nil'!C966)),--(TRIM('hospitalityq-nil'!D6:D966)=TRIM('hospitalityq-nil'!D966)))&gt;1))</f>
        <v>0</v>
      </c>
      <c r="D966">
        <f>NOT('hospitalityq-nil'!D966="")*(OR(COUNTIF(reference!$C$144:$C$155,TRIM(LEFT('hospitalityq-nil'!D966,FIND(":",'hospitalityq-nil'!D966&amp;":")-1))&amp;":*")=0,SUMPRODUCT(--(TRIM('hospitalityq-nil'!C6:C966)=TRIM('hospitalityq-nil'!C966)),--(TRIM('hospitalityq-nil'!D6:D966)=TRIM('hospitalityq-nil'!D966)))&gt;1))</f>
        <v>0</v>
      </c>
    </row>
    <row r="967" spans="1:4" x14ac:dyDescent="0.25">
      <c r="A967">
        <f t="shared" si="15"/>
        <v>0</v>
      </c>
      <c r="C967">
        <f>NOT('hospitalityq-nil'!C967="")*(OR(NOT(IFERROR(AND(INT('hospitalityq-nil'!C967)='hospitalityq-nil'!C967,'hospitalityq-nil'!C967&gt;=2018-50,'hospitalityq-nil'!C967&lt;=2018+50),FALSE)),SUMPRODUCT(--(TRIM('hospitalityq-nil'!C6:C967)=TRIM('hospitalityq-nil'!C967)),--(TRIM('hospitalityq-nil'!D6:D967)=TRIM('hospitalityq-nil'!D967)))&gt;1))</f>
        <v>0</v>
      </c>
      <c r="D967">
        <f>NOT('hospitalityq-nil'!D967="")*(OR(COUNTIF(reference!$C$144:$C$155,TRIM(LEFT('hospitalityq-nil'!D967,FIND(":",'hospitalityq-nil'!D967&amp;":")-1))&amp;":*")=0,SUMPRODUCT(--(TRIM('hospitalityq-nil'!C6:C967)=TRIM('hospitalityq-nil'!C967)),--(TRIM('hospitalityq-nil'!D6:D967)=TRIM('hospitalityq-nil'!D967)))&gt;1))</f>
        <v>0</v>
      </c>
    </row>
    <row r="968" spans="1:4" x14ac:dyDescent="0.25">
      <c r="A968">
        <f t="shared" si="15"/>
        <v>0</v>
      </c>
      <c r="C968">
        <f>NOT('hospitalityq-nil'!C968="")*(OR(NOT(IFERROR(AND(INT('hospitalityq-nil'!C968)='hospitalityq-nil'!C968,'hospitalityq-nil'!C968&gt;=2018-50,'hospitalityq-nil'!C968&lt;=2018+50),FALSE)),SUMPRODUCT(--(TRIM('hospitalityq-nil'!C6:C968)=TRIM('hospitalityq-nil'!C968)),--(TRIM('hospitalityq-nil'!D6:D968)=TRIM('hospitalityq-nil'!D968)))&gt;1))</f>
        <v>0</v>
      </c>
      <c r="D968">
        <f>NOT('hospitalityq-nil'!D968="")*(OR(COUNTIF(reference!$C$144:$C$155,TRIM(LEFT('hospitalityq-nil'!D968,FIND(":",'hospitalityq-nil'!D968&amp;":")-1))&amp;":*")=0,SUMPRODUCT(--(TRIM('hospitalityq-nil'!C6:C968)=TRIM('hospitalityq-nil'!C968)),--(TRIM('hospitalityq-nil'!D6:D968)=TRIM('hospitalityq-nil'!D968)))&gt;1))</f>
        <v>0</v>
      </c>
    </row>
    <row r="969" spans="1:4" x14ac:dyDescent="0.25">
      <c r="A969">
        <f t="shared" si="15"/>
        <v>0</v>
      </c>
      <c r="C969">
        <f>NOT('hospitalityq-nil'!C969="")*(OR(NOT(IFERROR(AND(INT('hospitalityq-nil'!C969)='hospitalityq-nil'!C969,'hospitalityq-nil'!C969&gt;=2018-50,'hospitalityq-nil'!C969&lt;=2018+50),FALSE)),SUMPRODUCT(--(TRIM('hospitalityq-nil'!C6:C969)=TRIM('hospitalityq-nil'!C969)),--(TRIM('hospitalityq-nil'!D6:D969)=TRIM('hospitalityq-nil'!D969)))&gt;1))</f>
        <v>0</v>
      </c>
      <c r="D969">
        <f>NOT('hospitalityq-nil'!D969="")*(OR(COUNTIF(reference!$C$144:$C$155,TRIM(LEFT('hospitalityq-nil'!D969,FIND(":",'hospitalityq-nil'!D969&amp;":")-1))&amp;":*")=0,SUMPRODUCT(--(TRIM('hospitalityq-nil'!C6:C969)=TRIM('hospitalityq-nil'!C969)),--(TRIM('hospitalityq-nil'!D6:D969)=TRIM('hospitalityq-nil'!D969)))&gt;1))</f>
        <v>0</v>
      </c>
    </row>
    <row r="970" spans="1:4" x14ac:dyDescent="0.25">
      <c r="A970">
        <f t="shared" si="15"/>
        <v>0</v>
      </c>
      <c r="C970">
        <f>NOT('hospitalityq-nil'!C970="")*(OR(NOT(IFERROR(AND(INT('hospitalityq-nil'!C970)='hospitalityq-nil'!C970,'hospitalityq-nil'!C970&gt;=2018-50,'hospitalityq-nil'!C970&lt;=2018+50),FALSE)),SUMPRODUCT(--(TRIM('hospitalityq-nil'!C6:C970)=TRIM('hospitalityq-nil'!C970)),--(TRIM('hospitalityq-nil'!D6:D970)=TRIM('hospitalityq-nil'!D970)))&gt;1))</f>
        <v>0</v>
      </c>
      <c r="D970">
        <f>NOT('hospitalityq-nil'!D970="")*(OR(COUNTIF(reference!$C$144:$C$155,TRIM(LEFT('hospitalityq-nil'!D970,FIND(":",'hospitalityq-nil'!D970&amp;":")-1))&amp;":*")=0,SUMPRODUCT(--(TRIM('hospitalityq-nil'!C6:C970)=TRIM('hospitalityq-nil'!C970)),--(TRIM('hospitalityq-nil'!D6:D970)=TRIM('hospitalityq-nil'!D970)))&gt;1))</f>
        <v>0</v>
      </c>
    </row>
    <row r="971" spans="1:4" x14ac:dyDescent="0.25">
      <c r="A971">
        <f t="shared" si="15"/>
        <v>0</v>
      </c>
      <c r="C971">
        <f>NOT('hospitalityq-nil'!C971="")*(OR(NOT(IFERROR(AND(INT('hospitalityq-nil'!C971)='hospitalityq-nil'!C971,'hospitalityq-nil'!C971&gt;=2018-50,'hospitalityq-nil'!C971&lt;=2018+50),FALSE)),SUMPRODUCT(--(TRIM('hospitalityq-nil'!C6:C971)=TRIM('hospitalityq-nil'!C971)),--(TRIM('hospitalityq-nil'!D6:D971)=TRIM('hospitalityq-nil'!D971)))&gt;1))</f>
        <v>0</v>
      </c>
      <c r="D971">
        <f>NOT('hospitalityq-nil'!D971="")*(OR(COUNTIF(reference!$C$144:$C$155,TRIM(LEFT('hospitalityq-nil'!D971,FIND(":",'hospitalityq-nil'!D971&amp;":")-1))&amp;":*")=0,SUMPRODUCT(--(TRIM('hospitalityq-nil'!C6:C971)=TRIM('hospitalityq-nil'!C971)),--(TRIM('hospitalityq-nil'!D6:D971)=TRIM('hospitalityq-nil'!D971)))&gt;1))</f>
        <v>0</v>
      </c>
    </row>
    <row r="972" spans="1:4" x14ac:dyDescent="0.25">
      <c r="A972">
        <f t="shared" si="15"/>
        <v>0</v>
      </c>
      <c r="C972">
        <f>NOT('hospitalityq-nil'!C972="")*(OR(NOT(IFERROR(AND(INT('hospitalityq-nil'!C972)='hospitalityq-nil'!C972,'hospitalityq-nil'!C972&gt;=2018-50,'hospitalityq-nil'!C972&lt;=2018+50),FALSE)),SUMPRODUCT(--(TRIM('hospitalityq-nil'!C6:C972)=TRIM('hospitalityq-nil'!C972)),--(TRIM('hospitalityq-nil'!D6:D972)=TRIM('hospitalityq-nil'!D972)))&gt;1))</f>
        <v>0</v>
      </c>
      <c r="D972">
        <f>NOT('hospitalityq-nil'!D972="")*(OR(COUNTIF(reference!$C$144:$C$155,TRIM(LEFT('hospitalityq-nil'!D972,FIND(":",'hospitalityq-nil'!D972&amp;":")-1))&amp;":*")=0,SUMPRODUCT(--(TRIM('hospitalityq-nil'!C6:C972)=TRIM('hospitalityq-nil'!C972)),--(TRIM('hospitalityq-nil'!D6:D972)=TRIM('hospitalityq-nil'!D972)))&gt;1))</f>
        <v>0</v>
      </c>
    </row>
    <row r="973" spans="1:4" x14ac:dyDescent="0.25">
      <c r="A973">
        <f t="shared" si="15"/>
        <v>0</v>
      </c>
      <c r="C973">
        <f>NOT('hospitalityq-nil'!C973="")*(OR(NOT(IFERROR(AND(INT('hospitalityq-nil'!C973)='hospitalityq-nil'!C973,'hospitalityq-nil'!C973&gt;=2018-50,'hospitalityq-nil'!C973&lt;=2018+50),FALSE)),SUMPRODUCT(--(TRIM('hospitalityq-nil'!C6:C973)=TRIM('hospitalityq-nil'!C973)),--(TRIM('hospitalityq-nil'!D6:D973)=TRIM('hospitalityq-nil'!D973)))&gt;1))</f>
        <v>0</v>
      </c>
      <c r="D973">
        <f>NOT('hospitalityq-nil'!D973="")*(OR(COUNTIF(reference!$C$144:$C$155,TRIM(LEFT('hospitalityq-nil'!D973,FIND(":",'hospitalityq-nil'!D973&amp;":")-1))&amp;":*")=0,SUMPRODUCT(--(TRIM('hospitalityq-nil'!C6:C973)=TRIM('hospitalityq-nil'!C973)),--(TRIM('hospitalityq-nil'!D6:D973)=TRIM('hospitalityq-nil'!D973)))&gt;1))</f>
        <v>0</v>
      </c>
    </row>
    <row r="974" spans="1:4" x14ac:dyDescent="0.25">
      <c r="A974">
        <f t="shared" si="15"/>
        <v>0</v>
      </c>
      <c r="C974">
        <f>NOT('hospitalityq-nil'!C974="")*(OR(NOT(IFERROR(AND(INT('hospitalityq-nil'!C974)='hospitalityq-nil'!C974,'hospitalityq-nil'!C974&gt;=2018-50,'hospitalityq-nil'!C974&lt;=2018+50),FALSE)),SUMPRODUCT(--(TRIM('hospitalityq-nil'!C6:C974)=TRIM('hospitalityq-nil'!C974)),--(TRIM('hospitalityq-nil'!D6:D974)=TRIM('hospitalityq-nil'!D974)))&gt;1))</f>
        <v>0</v>
      </c>
      <c r="D974">
        <f>NOT('hospitalityq-nil'!D974="")*(OR(COUNTIF(reference!$C$144:$C$155,TRIM(LEFT('hospitalityq-nil'!D974,FIND(":",'hospitalityq-nil'!D974&amp;":")-1))&amp;":*")=0,SUMPRODUCT(--(TRIM('hospitalityq-nil'!C6:C974)=TRIM('hospitalityq-nil'!C974)),--(TRIM('hospitalityq-nil'!D6:D974)=TRIM('hospitalityq-nil'!D974)))&gt;1))</f>
        <v>0</v>
      </c>
    </row>
    <row r="975" spans="1:4" x14ac:dyDescent="0.25">
      <c r="A975">
        <f t="shared" si="15"/>
        <v>0</v>
      </c>
      <c r="C975">
        <f>NOT('hospitalityq-nil'!C975="")*(OR(NOT(IFERROR(AND(INT('hospitalityq-nil'!C975)='hospitalityq-nil'!C975,'hospitalityq-nil'!C975&gt;=2018-50,'hospitalityq-nil'!C975&lt;=2018+50),FALSE)),SUMPRODUCT(--(TRIM('hospitalityq-nil'!C6:C975)=TRIM('hospitalityq-nil'!C975)),--(TRIM('hospitalityq-nil'!D6:D975)=TRIM('hospitalityq-nil'!D975)))&gt;1))</f>
        <v>0</v>
      </c>
      <c r="D975">
        <f>NOT('hospitalityq-nil'!D975="")*(OR(COUNTIF(reference!$C$144:$C$155,TRIM(LEFT('hospitalityq-nil'!D975,FIND(":",'hospitalityq-nil'!D975&amp;":")-1))&amp;":*")=0,SUMPRODUCT(--(TRIM('hospitalityq-nil'!C6:C975)=TRIM('hospitalityq-nil'!C975)),--(TRIM('hospitalityq-nil'!D6:D975)=TRIM('hospitalityq-nil'!D975)))&gt;1))</f>
        <v>0</v>
      </c>
    </row>
    <row r="976" spans="1:4" x14ac:dyDescent="0.25">
      <c r="A976">
        <f t="shared" si="15"/>
        <v>0</v>
      </c>
      <c r="C976">
        <f>NOT('hospitalityq-nil'!C976="")*(OR(NOT(IFERROR(AND(INT('hospitalityq-nil'!C976)='hospitalityq-nil'!C976,'hospitalityq-nil'!C976&gt;=2018-50,'hospitalityq-nil'!C976&lt;=2018+50),FALSE)),SUMPRODUCT(--(TRIM('hospitalityq-nil'!C6:C976)=TRIM('hospitalityq-nil'!C976)),--(TRIM('hospitalityq-nil'!D6:D976)=TRIM('hospitalityq-nil'!D976)))&gt;1))</f>
        <v>0</v>
      </c>
      <c r="D976">
        <f>NOT('hospitalityq-nil'!D976="")*(OR(COUNTIF(reference!$C$144:$C$155,TRIM(LEFT('hospitalityq-nil'!D976,FIND(":",'hospitalityq-nil'!D976&amp;":")-1))&amp;":*")=0,SUMPRODUCT(--(TRIM('hospitalityq-nil'!C6:C976)=TRIM('hospitalityq-nil'!C976)),--(TRIM('hospitalityq-nil'!D6:D976)=TRIM('hospitalityq-nil'!D976)))&gt;1))</f>
        <v>0</v>
      </c>
    </row>
    <row r="977" spans="1:4" x14ac:dyDescent="0.25">
      <c r="A977">
        <f t="shared" si="15"/>
        <v>0</v>
      </c>
      <c r="C977">
        <f>NOT('hospitalityq-nil'!C977="")*(OR(NOT(IFERROR(AND(INT('hospitalityq-nil'!C977)='hospitalityq-nil'!C977,'hospitalityq-nil'!C977&gt;=2018-50,'hospitalityq-nil'!C977&lt;=2018+50),FALSE)),SUMPRODUCT(--(TRIM('hospitalityq-nil'!C6:C977)=TRIM('hospitalityq-nil'!C977)),--(TRIM('hospitalityq-nil'!D6:D977)=TRIM('hospitalityq-nil'!D977)))&gt;1))</f>
        <v>0</v>
      </c>
      <c r="D977">
        <f>NOT('hospitalityq-nil'!D977="")*(OR(COUNTIF(reference!$C$144:$C$155,TRIM(LEFT('hospitalityq-nil'!D977,FIND(":",'hospitalityq-nil'!D977&amp;":")-1))&amp;":*")=0,SUMPRODUCT(--(TRIM('hospitalityq-nil'!C6:C977)=TRIM('hospitalityq-nil'!C977)),--(TRIM('hospitalityq-nil'!D6:D977)=TRIM('hospitalityq-nil'!D977)))&gt;1))</f>
        <v>0</v>
      </c>
    </row>
    <row r="978" spans="1:4" x14ac:dyDescent="0.25">
      <c r="A978">
        <f t="shared" si="15"/>
        <v>0</v>
      </c>
      <c r="C978">
        <f>NOT('hospitalityq-nil'!C978="")*(OR(NOT(IFERROR(AND(INT('hospitalityq-nil'!C978)='hospitalityq-nil'!C978,'hospitalityq-nil'!C978&gt;=2018-50,'hospitalityq-nil'!C978&lt;=2018+50),FALSE)),SUMPRODUCT(--(TRIM('hospitalityq-nil'!C6:C978)=TRIM('hospitalityq-nil'!C978)),--(TRIM('hospitalityq-nil'!D6:D978)=TRIM('hospitalityq-nil'!D978)))&gt;1))</f>
        <v>0</v>
      </c>
      <c r="D978">
        <f>NOT('hospitalityq-nil'!D978="")*(OR(COUNTIF(reference!$C$144:$C$155,TRIM(LEFT('hospitalityq-nil'!D978,FIND(":",'hospitalityq-nil'!D978&amp;":")-1))&amp;":*")=0,SUMPRODUCT(--(TRIM('hospitalityq-nil'!C6:C978)=TRIM('hospitalityq-nil'!C978)),--(TRIM('hospitalityq-nil'!D6:D978)=TRIM('hospitalityq-nil'!D978)))&gt;1))</f>
        <v>0</v>
      </c>
    </row>
    <row r="979" spans="1:4" x14ac:dyDescent="0.25">
      <c r="A979">
        <f t="shared" si="15"/>
        <v>0</v>
      </c>
      <c r="C979">
        <f>NOT('hospitalityq-nil'!C979="")*(OR(NOT(IFERROR(AND(INT('hospitalityq-nil'!C979)='hospitalityq-nil'!C979,'hospitalityq-nil'!C979&gt;=2018-50,'hospitalityq-nil'!C979&lt;=2018+50),FALSE)),SUMPRODUCT(--(TRIM('hospitalityq-nil'!C6:C979)=TRIM('hospitalityq-nil'!C979)),--(TRIM('hospitalityq-nil'!D6:D979)=TRIM('hospitalityq-nil'!D979)))&gt;1))</f>
        <v>0</v>
      </c>
      <c r="D979">
        <f>NOT('hospitalityq-nil'!D979="")*(OR(COUNTIF(reference!$C$144:$C$155,TRIM(LEFT('hospitalityq-nil'!D979,FIND(":",'hospitalityq-nil'!D979&amp;":")-1))&amp;":*")=0,SUMPRODUCT(--(TRIM('hospitalityq-nil'!C6:C979)=TRIM('hospitalityq-nil'!C979)),--(TRIM('hospitalityq-nil'!D6:D979)=TRIM('hospitalityq-nil'!D979)))&gt;1))</f>
        <v>0</v>
      </c>
    </row>
    <row r="980" spans="1:4" x14ac:dyDescent="0.25">
      <c r="A980">
        <f t="shared" si="15"/>
        <v>0</v>
      </c>
      <c r="C980">
        <f>NOT('hospitalityq-nil'!C980="")*(OR(NOT(IFERROR(AND(INT('hospitalityq-nil'!C980)='hospitalityq-nil'!C980,'hospitalityq-nil'!C980&gt;=2018-50,'hospitalityq-nil'!C980&lt;=2018+50),FALSE)),SUMPRODUCT(--(TRIM('hospitalityq-nil'!C6:C980)=TRIM('hospitalityq-nil'!C980)),--(TRIM('hospitalityq-nil'!D6:D980)=TRIM('hospitalityq-nil'!D980)))&gt;1))</f>
        <v>0</v>
      </c>
      <c r="D980">
        <f>NOT('hospitalityq-nil'!D980="")*(OR(COUNTIF(reference!$C$144:$C$155,TRIM(LEFT('hospitalityq-nil'!D980,FIND(":",'hospitalityq-nil'!D980&amp;":")-1))&amp;":*")=0,SUMPRODUCT(--(TRIM('hospitalityq-nil'!C6:C980)=TRIM('hospitalityq-nil'!C980)),--(TRIM('hospitalityq-nil'!D6:D980)=TRIM('hospitalityq-nil'!D980)))&gt;1))</f>
        <v>0</v>
      </c>
    </row>
    <row r="981" spans="1:4" x14ac:dyDescent="0.25">
      <c r="A981">
        <f t="shared" si="15"/>
        <v>0</v>
      </c>
      <c r="C981">
        <f>NOT('hospitalityq-nil'!C981="")*(OR(NOT(IFERROR(AND(INT('hospitalityq-nil'!C981)='hospitalityq-nil'!C981,'hospitalityq-nil'!C981&gt;=2018-50,'hospitalityq-nil'!C981&lt;=2018+50),FALSE)),SUMPRODUCT(--(TRIM('hospitalityq-nil'!C6:C981)=TRIM('hospitalityq-nil'!C981)),--(TRIM('hospitalityq-nil'!D6:D981)=TRIM('hospitalityq-nil'!D981)))&gt;1))</f>
        <v>0</v>
      </c>
      <c r="D981">
        <f>NOT('hospitalityq-nil'!D981="")*(OR(COUNTIF(reference!$C$144:$C$155,TRIM(LEFT('hospitalityq-nil'!D981,FIND(":",'hospitalityq-nil'!D981&amp;":")-1))&amp;":*")=0,SUMPRODUCT(--(TRIM('hospitalityq-nil'!C6:C981)=TRIM('hospitalityq-nil'!C981)),--(TRIM('hospitalityq-nil'!D6:D981)=TRIM('hospitalityq-nil'!D981)))&gt;1))</f>
        <v>0</v>
      </c>
    </row>
    <row r="982" spans="1:4" x14ac:dyDescent="0.25">
      <c r="A982">
        <f t="shared" si="15"/>
        <v>0</v>
      </c>
      <c r="C982">
        <f>NOT('hospitalityq-nil'!C982="")*(OR(NOT(IFERROR(AND(INT('hospitalityq-nil'!C982)='hospitalityq-nil'!C982,'hospitalityq-nil'!C982&gt;=2018-50,'hospitalityq-nil'!C982&lt;=2018+50),FALSE)),SUMPRODUCT(--(TRIM('hospitalityq-nil'!C6:C982)=TRIM('hospitalityq-nil'!C982)),--(TRIM('hospitalityq-nil'!D6:D982)=TRIM('hospitalityq-nil'!D982)))&gt;1))</f>
        <v>0</v>
      </c>
      <c r="D982">
        <f>NOT('hospitalityq-nil'!D982="")*(OR(COUNTIF(reference!$C$144:$C$155,TRIM(LEFT('hospitalityq-nil'!D982,FIND(":",'hospitalityq-nil'!D982&amp;":")-1))&amp;":*")=0,SUMPRODUCT(--(TRIM('hospitalityq-nil'!C6:C982)=TRIM('hospitalityq-nil'!C982)),--(TRIM('hospitalityq-nil'!D6:D982)=TRIM('hospitalityq-nil'!D982)))&gt;1))</f>
        <v>0</v>
      </c>
    </row>
    <row r="983" spans="1:4" x14ac:dyDescent="0.25">
      <c r="A983">
        <f t="shared" si="15"/>
        <v>0</v>
      </c>
      <c r="C983">
        <f>NOT('hospitalityq-nil'!C983="")*(OR(NOT(IFERROR(AND(INT('hospitalityq-nil'!C983)='hospitalityq-nil'!C983,'hospitalityq-nil'!C983&gt;=2018-50,'hospitalityq-nil'!C983&lt;=2018+50),FALSE)),SUMPRODUCT(--(TRIM('hospitalityq-nil'!C6:C983)=TRIM('hospitalityq-nil'!C983)),--(TRIM('hospitalityq-nil'!D6:D983)=TRIM('hospitalityq-nil'!D983)))&gt;1))</f>
        <v>0</v>
      </c>
      <c r="D983">
        <f>NOT('hospitalityq-nil'!D983="")*(OR(COUNTIF(reference!$C$144:$C$155,TRIM(LEFT('hospitalityq-nil'!D983,FIND(":",'hospitalityq-nil'!D983&amp;":")-1))&amp;":*")=0,SUMPRODUCT(--(TRIM('hospitalityq-nil'!C6:C983)=TRIM('hospitalityq-nil'!C983)),--(TRIM('hospitalityq-nil'!D6:D983)=TRIM('hospitalityq-nil'!D983)))&gt;1))</f>
        <v>0</v>
      </c>
    </row>
    <row r="984" spans="1:4" x14ac:dyDescent="0.25">
      <c r="A984">
        <f t="shared" si="15"/>
        <v>0</v>
      </c>
      <c r="C984">
        <f>NOT('hospitalityq-nil'!C984="")*(OR(NOT(IFERROR(AND(INT('hospitalityq-nil'!C984)='hospitalityq-nil'!C984,'hospitalityq-nil'!C984&gt;=2018-50,'hospitalityq-nil'!C984&lt;=2018+50),FALSE)),SUMPRODUCT(--(TRIM('hospitalityq-nil'!C6:C984)=TRIM('hospitalityq-nil'!C984)),--(TRIM('hospitalityq-nil'!D6:D984)=TRIM('hospitalityq-nil'!D984)))&gt;1))</f>
        <v>0</v>
      </c>
      <c r="D984">
        <f>NOT('hospitalityq-nil'!D984="")*(OR(COUNTIF(reference!$C$144:$C$155,TRIM(LEFT('hospitalityq-nil'!D984,FIND(":",'hospitalityq-nil'!D984&amp;":")-1))&amp;":*")=0,SUMPRODUCT(--(TRIM('hospitalityq-nil'!C6:C984)=TRIM('hospitalityq-nil'!C984)),--(TRIM('hospitalityq-nil'!D6:D984)=TRIM('hospitalityq-nil'!D984)))&gt;1))</f>
        <v>0</v>
      </c>
    </row>
    <row r="985" spans="1:4" x14ac:dyDescent="0.25">
      <c r="A985">
        <f t="shared" si="15"/>
        <v>0</v>
      </c>
      <c r="C985">
        <f>NOT('hospitalityq-nil'!C985="")*(OR(NOT(IFERROR(AND(INT('hospitalityq-nil'!C985)='hospitalityq-nil'!C985,'hospitalityq-nil'!C985&gt;=2018-50,'hospitalityq-nil'!C985&lt;=2018+50),FALSE)),SUMPRODUCT(--(TRIM('hospitalityq-nil'!C6:C985)=TRIM('hospitalityq-nil'!C985)),--(TRIM('hospitalityq-nil'!D6:D985)=TRIM('hospitalityq-nil'!D985)))&gt;1))</f>
        <v>0</v>
      </c>
      <c r="D985">
        <f>NOT('hospitalityq-nil'!D985="")*(OR(COUNTIF(reference!$C$144:$C$155,TRIM(LEFT('hospitalityq-nil'!D985,FIND(":",'hospitalityq-nil'!D985&amp;":")-1))&amp;":*")=0,SUMPRODUCT(--(TRIM('hospitalityq-nil'!C6:C985)=TRIM('hospitalityq-nil'!C985)),--(TRIM('hospitalityq-nil'!D6:D985)=TRIM('hospitalityq-nil'!D985)))&gt;1))</f>
        <v>0</v>
      </c>
    </row>
    <row r="986" spans="1:4" x14ac:dyDescent="0.25">
      <c r="A986">
        <f t="shared" si="15"/>
        <v>0</v>
      </c>
      <c r="C986">
        <f>NOT('hospitalityq-nil'!C986="")*(OR(NOT(IFERROR(AND(INT('hospitalityq-nil'!C986)='hospitalityq-nil'!C986,'hospitalityq-nil'!C986&gt;=2018-50,'hospitalityq-nil'!C986&lt;=2018+50),FALSE)),SUMPRODUCT(--(TRIM('hospitalityq-nil'!C6:C986)=TRIM('hospitalityq-nil'!C986)),--(TRIM('hospitalityq-nil'!D6:D986)=TRIM('hospitalityq-nil'!D986)))&gt;1))</f>
        <v>0</v>
      </c>
      <c r="D986">
        <f>NOT('hospitalityq-nil'!D986="")*(OR(COUNTIF(reference!$C$144:$C$155,TRIM(LEFT('hospitalityq-nil'!D986,FIND(":",'hospitalityq-nil'!D986&amp;":")-1))&amp;":*")=0,SUMPRODUCT(--(TRIM('hospitalityq-nil'!C6:C986)=TRIM('hospitalityq-nil'!C986)),--(TRIM('hospitalityq-nil'!D6:D986)=TRIM('hospitalityq-nil'!D986)))&gt;1))</f>
        <v>0</v>
      </c>
    </row>
    <row r="987" spans="1:4" x14ac:dyDescent="0.25">
      <c r="A987">
        <f t="shared" si="15"/>
        <v>0</v>
      </c>
      <c r="C987">
        <f>NOT('hospitalityq-nil'!C987="")*(OR(NOT(IFERROR(AND(INT('hospitalityq-nil'!C987)='hospitalityq-nil'!C987,'hospitalityq-nil'!C987&gt;=2018-50,'hospitalityq-nil'!C987&lt;=2018+50),FALSE)),SUMPRODUCT(--(TRIM('hospitalityq-nil'!C6:C987)=TRIM('hospitalityq-nil'!C987)),--(TRIM('hospitalityq-nil'!D6:D987)=TRIM('hospitalityq-nil'!D987)))&gt;1))</f>
        <v>0</v>
      </c>
      <c r="D987">
        <f>NOT('hospitalityq-nil'!D987="")*(OR(COUNTIF(reference!$C$144:$C$155,TRIM(LEFT('hospitalityq-nil'!D987,FIND(":",'hospitalityq-nil'!D987&amp;":")-1))&amp;":*")=0,SUMPRODUCT(--(TRIM('hospitalityq-nil'!C6:C987)=TRIM('hospitalityq-nil'!C987)),--(TRIM('hospitalityq-nil'!D6:D987)=TRIM('hospitalityq-nil'!D987)))&gt;1))</f>
        <v>0</v>
      </c>
    </row>
    <row r="988" spans="1:4" x14ac:dyDescent="0.25">
      <c r="A988">
        <f t="shared" si="15"/>
        <v>0</v>
      </c>
      <c r="C988">
        <f>NOT('hospitalityq-nil'!C988="")*(OR(NOT(IFERROR(AND(INT('hospitalityq-nil'!C988)='hospitalityq-nil'!C988,'hospitalityq-nil'!C988&gt;=2018-50,'hospitalityq-nil'!C988&lt;=2018+50),FALSE)),SUMPRODUCT(--(TRIM('hospitalityq-nil'!C6:C988)=TRIM('hospitalityq-nil'!C988)),--(TRIM('hospitalityq-nil'!D6:D988)=TRIM('hospitalityq-nil'!D988)))&gt;1))</f>
        <v>0</v>
      </c>
      <c r="D988">
        <f>NOT('hospitalityq-nil'!D988="")*(OR(COUNTIF(reference!$C$144:$C$155,TRIM(LEFT('hospitalityq-nil'!D988,FIND(":",'hospitalityq-nil'!D988&amp;":")-1))&amp;":*")=0,SUMPRODUCT(--(TRIM('hospitalityq-nil'!C6:C988)=TRIM('hospitalityq-nil'!C988)),--(TRIM('hospitalityq-nil'!D6:D988)=TRIM('hospitalityq-nil'!D988)))&gt;1))</f>
        <v>0</v>
      </c>
    </row>
    <row r="989" spans="1:4" x14ac:dyDescent="0.25">
      <c r="A989">
        <f t="shared" si="15"/>
        <v>0</v>
      </c>
      <c r="C989">
        <f>NOT('hospitalityq-nil'!C989="")*(OR(NOT(IFERROR(AND(INT('hospitalityq-nil'!C989)='hospitalityq-nil'!C989,'hospitalityq-nil'!C989&gt;=2018-50,'hospitalityq-nil'!C989&lt;=2018+50),FALSE)),SUMPRODUCT(--(TRIM('hospitalityq-nil'!C6:C989)=TRIM('hospitalityq-nil'!C989)),--(TRIM('hospitalityq-nil'!D6:D989)=TRIM('hospitalityq-nil'!D989)))&gt;1))</f>
        <v>0</v>
      </c>
      <c r="D989">
        <f>NOT('hospitalityq-nil'!D989="")*(OR(COUNTIF(reference!$C$144:$C$155,TRIM(LEFT('hospitalityq-nil'!D989,FIND(":",'hospitalityq-nil'!D989&amp;":")-1))&amp;":*")=0,SUMPRODUCT(--(TRIM('hospitalityq-nil'!C6:C989)=TRIM('hospitalityq-nil'!C989)),--(TRIM('hospitalityq-nil'!D6:D989)=TRIM('hospitalityq-nil'!D989)))&gt;1))</f>
        <v>0</v>
      </c>
    </row>
    <row r="990" spans="1:4" x14ac:dyDescent="0.25">
      <c r="A990">
        <f t="shared" si="15"/>
        <v>0</v>
      </c>
      <c r="C990">
        <f>NOT('hospitalityq-nil'!C990="")*(OR(NOT(IFERROR(AND(INT('hospitalityq-nil'!C990)='hospitalityq-nil'!C990,'hospitalityq-nil'!C990&gt;=2018-50,'hospitalityq-nil'!C990&lt;=2018+50),FALSE)),SUMPRODUCT(--(TRIM('hospitalityq-nil'!C6:C990)=TRIM('hospitalityq-nil'!C990)),--(TRIM('hospitalityq-nil'!D6:D990)=TRIM('hospitalityq-nil'!D990)))&gt;1))</f>
        <v>0</v>
      </c>
      <c r="D990">
        <f>NOT('hospitalityq-nil'!D990="")*(OR(COUNTIF(reference!$C$144:$C$155,TRIM(LEFT('hospitalityq-nil'!D990,FIND(":",'hospitalityq-nil'!D990&amp;":")-1))&amp;":*")=0,SUMPRODUCT(--(TRIM('hospitalityq-nil'!C6:C990)=TRIM('hospitalityq-nil'!C990)),--(TRIM('hospitalityq-nil'!D6:D990)=TRIM('hospitalityq-nil'!D990)))&gt;1))</f>
        <v>0</v>
      </c>
    </row>
    <row r="991" spans="1:4" x14ac:dyDescent="0.25">
      <c r="A991">
        <f t="shared" si="15"/>
        <v>0</v>
      </c>
      <c r="C991">
        <f>NOT('hospitalityq-nil'!C991="")*(OR(NOT(IFERROR(AND(INT('hospitalityq-nil'!C991)='hospitalityq-nil'!C991,'hospitalityq-nil'!C991&gt;=2018-50,'hospitalityq-nil'!C991&lt;=2018+50),FALSE)),SUMPRODUCT(--(TRIM('hospitalityq-nil'!C6:C991)=TRIM('hospitalityq-nil'!C991)),--(TRIM('hospitalityq-nil'!D6:D991)=TRIM('hospitalityq-nil'!D991)))&gt;1))</f>
        <v>0</v>
      </c>
      <c r="D991">
        <f>NOT('hospitalityq-nil'!D991="")*(OR(COUNTIF(reference!$C$144:$C$155,TRIM(LEFT('hospitalityq-nil'!D991,FIND(":",'hospitalityq-nil'!D991&amp;":")-1))&amp;":*")=0,SUMPRODUCT(--(TRIM('hospitalityq-nil'!C6:C991)=TRIM('hospitalityq-nil'!C991)),--(TRIM('hospitalityq-nil'!D6:D991)=TRIM('hospitalityq-nil'!D991)))&gt;1))</f>
        <v>0</v>
      </c>
    </row>
    <row r="992" spans="1:4" x14ac:dyDescent="0.25">
      <c r="A992">
        <f t="shared" si="15"/>
        <v>0</v>
      </c>
      <c r="C992">
        <f>NOT('hospitalityq-nil'!C992="")*(OR(NOT(IFERROR(AND(INT('hospitalityq-nil'!C992)='hospitalityq-nil'!C992,'hospitalityq-nil'!C992&gt;=2018-50,'hospitalityq-nil'!C992&lt;=2018+50),FALSE)),SUMPRODUCT(--(TRIM('hospitalityq-nil'!C6:C992)=TRIM('hospitalityq-nil'!C992)),--(TRIM('hospitalityq-nil'!D6:D992)=TRIM('hospitalityq-nil'!D992)))&gt;1))</f>
        <v>0</v>
      </c>
      <c r="D992">
        <f>NOT('hospitalityq-nil'!D992="")*(OR(COUNTIF(reference!$C$144:$C$155,TRIM(LEFT('hospitalityq-nil'!D992,FIND(":",'hospitalityq-nil'!D992&amp;":")-1))&amp;":*")=0,SUMPRODUCT(--(TRIM('hospitalityq-nil'!C6:C992)=TRIM('hospitalityq-nil'!C992)),--(TRIM('hospitalityq-nil'!D6:D992)=TRIM('hospitalityq-nil'!D992)))&gt;1))</f>
        <v>0</v>
      </c>
    </row>
    <row r="993" spans="1:4" x14ac:dyDescent="0.25">
      <c r="A993">
        <f t="shared" si="15"/>
        <v>0</v>
      </c>
      <c r="C993">
        <f>NOT('hospitalityq-nil'!C993="")*(OR(NOT(IFERROR(AND(INT('hospitalityq-nil'!C993)='hospitalityq-nil'!C993,'hospitalityq-nil'!C993&gt;=2018-50,'hospitalityq-nil'!C993&lt;=2018+50),FALSE)),SUMPRODUCT(--(TRIM('hospitalityq-nil'!C6:C993)=TRIM('hospitalityq-nil'!C993)),--(TRIM('hospitalityq-nil'!D6:D993)=TRIM('hospitalityq-nil'!D993)))&gt;1))</f>
        <v>0</v>
      </c>
      <c r="D993">
        <f>NOT('hospitalityq-nil'!D993="")*(OR(COUNTIF(reference!$C$144:$C$155,TRIM(LEFT('hospitalityq-nil'!D993,FIND(":",'hospitalityq-nil'!D993&amp;":")-1))&amp;":*")=0,SUMPRODUCT(--(TRIM('hospitalityq-nil'!C6:C993)=TRIM('hospitalityq-nil'!C993)),--(TRIM('hospitalityq-nil'!D6:D993)=TRIM('hospitalityq-nil'!D993)))&gt;1))</f>
        <v>0</v>
      </c>
    </row>
    <row r="994" spans="1:4" x14ac:dyDescent="0.25">
      <c r="A994">
        <f t="shared" si="15"/>
        <v>0</v>
      </c>
      <c r="C994">
        <f>NOT('hospitalityq-nil'!C994="")*(OR(NOT(IFERROR(AND(INT('hospitalityq-nil'!C994)='hospitalityq-nil'!C994,'hospitalityq-nil'!C994&gt;=2018-50,'hospitalityq-nil'!C994&lt;=2018+50),FALSE)),SUMPRODUCT(--(TRIM('hospitalityq-nil'!C6:C994)=TRIM('hospitalityq-nil'!C994)),--(TRIM('hospitalityq-nil'!D6:D994)=TRIM('hospitalityq-nil'!D994)))&gt;1))</f>
        <v>0</v>
      </c>
      <c r="D994">
        <f>NOT('hospitalityq-nil'!D994="")*(OR(COUNTIF(reference!$C$144:$C$155,TRIM(LEFT('hospitalityq-nil'!D994,FIND(":",'hospitalityq-nil'!D994&amp;":")-1))&amp;":*")=0,SUMPRODUCT(--(TRIM('hospitalityq-nil'!C6:C994)=TRIM('hospitalityq-nil'!C994)),--(TRIM('hospitalityq-nil'!D6:D994)=TRIM('hospitalityq-nil'!D994)))&gt;1))</f>
        <v>0</v>
      </c>
    </row>
    <row r="995" spans="1:4" x14ac:dyDescent="0.25">
      <c r="A995">
        <f t="shared" si="15"/>
        <v>0</v>
      </c>
      <c r="C995">
        <f>NOT('hospitalityq-nil'!C995="")*(OR(NOT(IFERROR(AND(INT('hospitalityq-nil'!C995)='hospitalityq-nil'!C995,'hospitalityq-nil'!C995&gt;=2018-50,'hospitalityq-nil'!C995&lt;=2018+50),FALSE)),SUMPRODUCT(--(TRIM('hospitalityq-nil'!C6:C995)=TRIM('hospitalityq-nil'!C995)),--(TRIM('hospitalityq-nil'!D6:D995)=TRIM('hospitalityq-nil'!D995)))&gt;1))</f>
        <v>0</v>
      </c>
      <c r="D995">
        <f>NOT('hospitalityq-nil'!D995="")*(OR(COUNTIF(reference!$C$144:$C$155,TRIM(LEFT('hospitalityq-nil'!D995,FIND(":",'hospitalityq-nil'!D995&amp;":")-1))&amp;":*")=0,SUMPRODUCT(--(TRIM('hospitalityq-nil'!C6:C995)=TRIM('hospitalityq-nil'!C995)),--(TRIM('hospitalityq-nil'!D6:D995)=TRIM('hospitalityq-nil'!D995)))&gt;1))</f>
        <v>0</v>
      </c>
    </row>
    <row r="996" spans="1:4" x14ac:dyDescent="0.25">
      <c r="A996">
        <f t="shared" si="15"/>
        <v>0</v>
      </c>
      <c r="C996">
        <f>NOT('hospitalityq-nil'!C996="")*(OR(NOT(IFERROR(AND(INT('hospitalityq-nil'!C996)='hospitalityq-nil'!C996,'hospitalityq-nil'!C996&gt;=2018-50,'hospitalityq-nil'!C996&lt;=2018+50),FALSE)),SUMPRODUCT(--(TRIM('hospitalityq-nil'!C6:C996)=TRIM('hospitalityq-nil'!C996)),--(TRIM('hospitalityq-nil'!D6:D996)=TRIM('hospitalityq-nil'!D996)))&gt;1))</f>
        <v>0</v>
      </c>
      <c r="D996">
        <f>NOT('hospitalityq-nil'!D996="")*(OR(COUNTIF(reference!$C$144:$C$155,TRIM(LEFT('hospitalityq-nil'!D996,FIND(":",'hospitalityq-nil'!D996&amp;":")-1))&amp;":*")=0,SUMPRODUCT(--(TRIM('hospitalityq-nil'!C6:C996)=TRIM('hospitalityq-nil'!C996)),--(TRIM('hospitalityq-nil'!D6:D996)=TRIM('hospitalityq-nil'!D996)))&gt;1))</f>
        <v>0</v>
      </c>
    </row>
    <row r="997" spans="1:4" x14ac:dyDescent="0.25">
      <c r="A997">
        <f t="shared" si="15"/>
        <v>0</v>
      </c>
      <c r="C997">
        <f>NOT('hospitalityq-nil'!C997="")*(OR(NOT(IFERROR(AND(INT('hospitalityq-nil'!C997)='hospitalityq-nil'!C997,'hospitalityq-nil'!C997&gt;=2018-50,'hospitalityq-nil'!C997&lt;=2018+50),FALSE)),SUMPRODUCT(--(TRIM('hospitalityq-nil'!C6:C997)=TRIM('hospitalityq-nil'!C997)),--(TRIM('hospitalityq-nil'!D6:D997)=TRIM('hospitalityq-nil'!D997)))&gt;1))</f>
        <v>0</v>
      </c>
      <c r="D997">
        <f>NOT('hospitalityq-nil'!D997="")*(OR(COUNTIF(reference!$C$144:$C$155,TRIM(LEFT('hospitalityq-nil'!D997,FIND(":",'hospitalityq-nil'!D997&amp;":")-1))&amp;":*")=0,SUMPRODUCT(--(TRIM('hospitalityq-nil'!C6:C997)=TRIM('hospitalityq-nil'!C997)),--(TRIM('hospitalityq-nil'!D6:D997)=TRIM('hospitalityq-nil'!D997)))&gt;1))</f>
        <v>0</v>
      </c>
    </row>
    <row r="998" spans="1:4" x14ac:dyDescent="0.25">
      <c r="A998">
        <f t="shared" si="15"/>
        <v>0</v>
      </c>
      <c r="C998">
        <f>NOT('hospitalityq-nil'!C998="")*(OR(NOT(IFERROR(AND(INT('hospitalityq-nil'!C998)='hospitalityq-nil'!C998,'hospitalityq-nil'!C998&gt;=2018-50,'hospitalityq-nil'!C998&lt;=2018+50),FALSE)),SUMPRODUCT(--(TRIM('hospitalityq-nil'!C6:C998)=TRIM('hospitalityq-nil'!C998)),--(TRIM('hospitalityq-nil'!D6:D998)=TRIM('hospitalityq-nil'!D998)))&gt;1))</f>
        <v>0</v>
      </c>
      <c r="D998">
        <f>NOT('hospitalityq-nil'!D998="")*(OR(COUNTIF(reference!$C$144:$C$155,TRIM(LEFT('hospitalityq-nil'!D998,FIND(":",'hospitalityq-nil'!D998&amp;":")-1))&amp;":*")=0,SUMPRODUCT(--(TRIM('hospitalityq-nil'!C6:C998)=TRIM('hospitalityq-nil'!C998)),--(TRIM('hospitalityq-nil'!D6:D998)=TRIM('hospitalityq-nil'!D998)))&gt;1))</f>
        <v>0</v>
      </c>
    </row>
    <row r="999" spans="1:4" x14ac:dyDescent="0.25">
      <c r="A999">
        <f t="shared" si="15"/>
        <v>0</v>
      </c>
      <c r="C999">
        <f>NOT('hospitalityq-nil'!C999="")*(OR(NOT(IFERROR(AND(INT('hospitalityq-nil'!C999)='hospitalityq-nil'!C999,'hospitalityq-nil'!C999&gt;=2018-50,'hospitalityq-nil'!C999&lt;=2018+50),FALSE)),SUMPRODUCT(--(TRIM('hospitalityq-nil'!C6:C999)=TRIM('hospitalityq-nil'!C999)),--(TRIM('hospitalityq-nil'!D6:D999)=TRIM('hospitalityq-nil'!D999)))&gt;1))</f>
        <v>0</v>
      </c>
      <c r="D999">
        <f>NOT('hospitalityq-nil'!D999="")*(OR(COUNTIF(reference!$C$144:$C$155,TRIM(LEFT('hospitalityq-nil'!D999,FIND(":",'hospitalityq-nil'!D999&amp;":")-1))&amp;":*")=0,SUMPRODUCT(--(TRIM('hospitalityq-nil'!C6:C999)=TRIM('hospitalityq-nil'!C999)),--(TRIM('hospitalityq-nil'!D6:D999)=TRIM('hospitalityq-nil'!D999)))&gt;1))</f>
        <v>0</v>
      </c>
    </row>
    <row r="1000" spans="1:4" x14ac:dyDescent="0.25">
      <c r="A1000">
        <f t="shared" si="15"/>
        <v>0</v>
      </c>
      <c r="C1000">
        <f>NOT('hospitalityq-nil'!C1000="")*(OR(NOT(IFERROR(AND(INT('hospitalityq-nil'!C1000)='hospitalityq-nil'!C1000,'hospitalityq-nil'!C1000&gt;=2018-50,'hospitalityq-nil'!C1000&lt;=2018+50),FALSE)),SUMPRODUCT(--(TRIM('hospitalityq-nil'!C6:C1000)=TRIM('hospitalityq-nil'!C1000)),--(TRIM('hospitalityq-nil'!D6:D1000)=TRIM('hospitalityq-nil'!D1000)))&gt;1))</f>
        <v>0</v>
      </c>
      <c r="D1000">
        <f>NOT('hospitalityq-nil'!D1000="")*(OR(COUNTIF(reference!$C$144:$C$155,TRIM(LEFT('hospitalityq-nil'!D1000,FIND(":",'hospitalityq-nil'!D1000&amp;":")-1))&amp;":*")=0,SUMPRODUCT(--(TRIM('hospitalityq-nil'!C6:C1000)=TRIM('hospitalityq-nil'!C1000)),--(TRIM('hospitalityq-nil'!D6:D1000)=TRIM('hospitalityq-nil'!D1000)))&gt;1))</f>
        <v>0</v>
      </c>
    </row>
    <row r="1001" spans="1:4" x14ac:dyDescent="0.25">
      <c r="A1001">
        <f t="shared" si="15"/>
        <v>0</v>
      </c>
      <c r="C1001">
        <f>NOT('hospitalityq-nil'!C1001="")*(OR(NOT(IFERROR(AND(INT('hospitalityq-nil'!C1001)='hospitalityq-nil'!C1001,'hospitalityq-nil'!C1001&gt;=2018-50,'hospitalityq-nil'!C1001&lt;=2018+50),FALSE)),SUMPRODUCT(--(TRIM('hospitalityq-nil'!C6:C1001)=TRIM('hospitalityq-nil'!C1001)),--(TRIM('hospitalityq-nil'!D6:D1001)=TRIM('hospitalityq-nil'!D1001)))&gt;1))</f>
        <v>0</v>
      </c>
      <c r="D1001">
        <f>NOT('hospitalityq-nil'!D1001="")*(OR(COUNTIF(reference!$C$144:$C$155,TRIM(LEFT('hospitalityq-nil'!D1001,FIND(":",'hospitalityq-nil'!D1001&amp;":")-1))&amp;":*")=0,SUMPRODUCT(--(TRIM('hospitalityq-nil'!C6:C1001)=TRIM('hospitalityq-nil'!C1001)),--(TRIM('hospitalityq-nil'!D6:D1001)=TRIM('hospitalityq-nil'!D1001)))&gt;1))</f>
        <v>0</v>
      </c>
    </row>
    <row r="1002" spans="1:4" x14ac:dyDescent="0.25">
      <c r="A1002">
        <f t="shared" si="15"/>
        <v>0</v>
      </c>
      <c r="C1002">
        <f>NOT('hospitalityq-nil'!C1002="")*(OR(NOT(IFERROR(AND(INT('hospitalityq-nil'!C1002)='hospitalityq-nil'!C1002,'hospitalityq-nil'!C1002&gt;=2018-50,'hospitalityq-nil'!C1002&lt;=2018+50),FALSE)),SUMPRODUCT(--(TRIM('hospitalityq-nil'!C6:C1002)=TRIM('hospitalityq-nil'!C1002)),--(TRIM('hospitalityq-nil'!D6:D1002)=TRIM('hospitalityq-nil'!D1002)))&gt;1))</f>
        <v>0</v>
      </c>
      <c r="D1002">
        <f>NOT('hospitalityq-nil'!D1002="")*(OR(COUNTIF(reference!$C$144:$C$155,TRIM(LEFT('hospitalityq-nil'!D1002,FIND(":",'hospitalityq-nil'!D1002&amp;":")-1))&amp;":*")=0,SUMPRODUCT(--(TRIM('hospitalityq-nil'!C6:C1002)=TRIM('hospitalityq-nil'!C1002)),--(TRIM('hospitalityq-nil'!D6:D1002)=TRIM('hospitalityq-nil'!D1002)))&gt;1))</f>
        <v>0</v>
      </c>
    </row>
    <row r="1003" spans="1:4" x14ac:dyDescent="0.25">
      <c r="A1003">
        <f t="shared" si="15"/>
        <v>0</v>
      </c>
      <c r="C1003">
        <f>NOT('hospitalityq-nil'!C1003="")*(OR(NOT(IFERROR(AND(INT('hospitalityq-nil'!C1003)='hospitalityq-nil'!C1003,'hospitalityq-nil'!C1003&gt;=2018-50,'hospitalityq-nil'!C1003&lt;=2018+50),FALSE)),SUMPRODUCT(--(TRIM('hospitalityq-nil'!C6:C1003)=TRIM('hospitalityq-nil'!C1003)),--(TRIM('hospitalityq-nil'!D6:D1003)=TRIM('hospitalityq-nil'!D1003)))&gt;1))</f>
        <v>0</v>
      </c>
      <c r="D1003">
        <f>NOT('hospitalityq-nil'!D1003="")*(OR(COUNTIF(reference!$C$144:$C$155,TRIM(LEFT('hospitalityq-nil'!D1003,FIND(":",'hospitalityq-nil'!D1003&amp;":")-1))&amp;":*")=0,SUMPRODUCT(--(TRIM('hospitalityq-nil'!C6:C1003)=TRIM('hospitalityq-nil'!C1003)),--(TRIM('hospitalityq-nil'!D6:D1003)=TRIM('hospitalityq-nil'!D1003)))&gt;1))</f>
        <v>0</v>
      </c>
    </row>
    <row r="1004" spans="1:4" x14ac:dyDescent="0.25">
      <c r="A1004">
        <f t="shared" si="15"/>
        <v>0</v>
      </c>
      <c r="C1004">
        <f>NOT('hospitalityq-nil'!C1004="")*(OR(NOT(IFERROR(AND(INT('hospitalityq-nil'!C1004)='hospitalityq-nil'!C1004,'hospitalityq-nil'!C1004&gt;=2018-50,'hospitalityq-nil'!C1004&lt;=2018+50),FALSE)),SUMPRODUCT(--(TRIM('hospitalityq-nil'!C6:C1004)=TRIM('hospitalityq-nil'!C1004)),--(TRIM('hospitalityq-nil'!D6:D1004)=TRIM('hospitalityq-nil'!D1004)))&gt;1))</f>
        <v>0</v>
      </c>
      <c r="D1004">
        <f>NOT('hospitalityq-nil'!D1004="")*(OR(COUNTIF(reference!$C$144:$C$155,TRIM(LEFT('hospitalityq-nil'!D1004,FIND(":",'hospitalityq-nil'!D1004&amp;":")-1))&amp;":*")=0,SUMPRODUCT(--(TRIM('hospitalityq-nil'!C6:C1004)=TRIM('hospitalityq-nil'!C1004)),--(TRIM('hospitalityq-nil'!D6:D1004)=TRIM('hospitalityq-nil'!D1004)))&gt;1))</f>
        <v>0</v>
      </c>
    </row>
    <row r="1005" spans="1:4" x14ac:dyDescent="0.25">
      <c r="A1005">
        <f t="shared" si="15"/>
        <v>0</v>
      </c>
      <c r="C1005">
        <f>NOT('hospitalityq-nil'!C1005="")*(OR(NOT(IFERROR(AND(INT('hospitalityq-nil'!C1005)='hospitalityq-nil'!C1005,'hospitalityq-nil'!C1005&gt;=2018-50,'hospitalityq-nil'!C1005&lt;=2018+50),FALSE)),SUMPRODUCT(--(TRIM('hospitalityq-nil'!C6:C1005)=TRIM('hospitalityq-nil'!C1005)),--(TRIM('hospitalityq-nil'!D6:D1005)=TRIM('hospitalityq-nil'!D1005)))&gt;1))</f>
        <v>0</v>
      </c>
      <c r="D1005">
        <f>NOT('hospitalityq-nil'!D1005="")*(OR(COUNTIF(reference!$C$144:$C$155,TRIM(LEFT('hospitalityq-nil'!D1005,FIND(":",'hospitalityq-nil'!D1005&amp;":")-1))&amp;":*")=0,SUMPRODUCT(--(TRIM('hospitalityq-nil'!C6:C1005)=TRIM('hospitalityq-nil'!C1005)),--(TRIM('hospitalityq-nil'!D6:D1005)=TRIM('hospitalityq-nil'!D1005)))&gt;1))</f>
        <v>0</v>
      </c>
    </row>
    <row r="1006" spans="1:4" x14ac:dyDescent="0.25">
      <c r="A1006">
        <f t="shared" si="15"/>
        <v>0</v>
      </c>
      <c r="C1006">
        <f>NOT('hospitalityq-nil'!C1006="")*(OR(NOT(IFERROR(AND(INT('hospitalityq-nil'!C1006)='hospitalityq-nil'!C1006,'hospitalityq-nil'!C1006&gt;=2018-50,'hospitalityq-nil'!C1006&lt;=2018+50),FALSE)),SUMPRODUCT(--(TRIM('hospitalityq-nil'!C6:C1006)=TRIM('hospitalityq-nil'!C1006)),--(TRIM('hospitalityq-nil'!D6:D1006)=TRIM('hospitalityq-nil'!D1006)))&gt;1))</f>
        <v>0</v>
      </c>
      <c r="D1006">
        <f>NOT('hospitalityq-nil'!D1006="")*(OR(COUNTIF(reference!$C$144:$C$155,TRIM(LEFT('hospitalityq-nil'!D1006,FIND(":",'hospitalityq-nil'!D1006&amp;":")-1))&amp;":*")=0,SUMPRODUCT(--(TRIM('hospitalityq-nil'!C6:C1006)=TRIM('hospitalityq-nil'!C1006)),--(TRIM('hospitalityq-nil'!D6:D1006)=TRIM('hospitalityq-nil'!D1006)))&gt;1))</f>
        <v>0</v>
      </c>
    </row>
    <row r="1007" spans="1:4" x14ac:dyDescent="0.25">
      <c r="A1007">
        <f t="shared" si="15"/>
        <v>0</v>
      </c>
      <c r="C1007">
        <f>NOT('hospitalityq-nil'!C1007="")*(OR(NOT(IFERROR(AND(INT('hospitalityq-nil'!C1007)='hospitalityq-nil'!C1007,'hospitalityq-nil'!C1007&gt;=2018-50,'hospitalityq-nil'!C1007&lt;=2018+50),FALSE)),SUMPRODUCT(--(TRIM('hospitalityq-nil'!C6:C1007)=TRIM('hospitalityq-nil'!C1007)),--(TRIM('hospitalityq-nil'!D6:D1007)=TRIM('hospitalityq-nil'!D1007)))&gt;1))</f>
        <v>0</v>
      </c>
      <c r="D1007">
        <f>NOT('hospitalityq-nil'!D1007="")*(OR(COUNTIF(reference!$C$144:$C$155,TRIM(LEFT('hospitalityq-nil'!D1007,FIND(":",'hospitalityq-nil'!D1007&amp;":")-1))&amp;":*")=0,SUMPRODUCT(--(TRIM('hospitalityq-nil'!C6:C1007)=TRIM('hospitalityq-nil'!C1007)),--(TRIM('hospitalityq-nil'!D6:D1007)=TRIM('hospitalityq-nil'!D1007)))&gt;1))</f>
        <v>0</v>
      </c>
    </row>
    <row r="1008" spans="1:4" x14ac:dyDescent="0.25">
      <c r="A1008">
        <f t="shared" si="15"/>
        <v>0</v>
      </c>
      <c r="C1008">
        <f>NOT('hospitalityq-nil'!C1008="")*(OR(NOT(IFERROR(AND(INT('hospitalityq-nil'!C1008)='hospitalityq-nil'!C1008,'hospitalityq-nil'!C1008&gt;=2018-50,'hospitalityq-nil'!C1008&lt;=2018+50),FALSE)),SUMPRODUCT(--(TRIM('hospitalityq-nil'!C6:C1008)=TRIM('hospitalityq-nil'!C1008)),--(TRIM('hospitalityq-nil'!D6:D1008)=TRIM('hospitalityq-nil'!D1008)))&gt;1))</f>
        <v>0</v>
      </c>
      <c r="D1008">
        <f>NOT('hospitalityq-nil'!D1008="")*(OR(COUNTIF(reference!$C$144:$C$155,TRIM(LEFT('hospitalityq-nil'!D1008,FIND(":",'hospitalityq-nil'!D1008&amp;":")-1))&amp;":*")=0,SUMPRODUCT(--(TRIM('hospitalityq-nil'!C6:C1008)=TRIM('hospitalityq-nil'!C1008)),--(TRIM('hospitalityq-nil'!D6:D1008)=TRIM('hospitalityq-nil'!D1008)))&gt;1))</f>
        <v>0</v>
      </c>
    </row>
    <row r="1009" spans="1:4" x14ac:dyDescent="0.25">
      <c r="A1009">
        <f t="shared" si="15"/>
        <v>0</v>
      </c>
      <c r="C1009">
        <f>NOT('hospitalityq-nil'!C1009="")*(OR(NOT(IFERROR(AND(INT('hospitalityq-nil'!C1009)='hospitalityq-nil'!C1009,'hospitalityq-nil'!C1009&gt;=2018-50,'hospitalityq-nil'!C1009&lt;=2018+50),FALSE)),SUMPRODUCT(--(TRIM('hospitalityq-nil'!C6:C1009)=TRIM('hospitalityq-nil'!C1009)),--(TRIM('hospitalityq-nil'!D6:D1009)=TRIM('hospitalityq-nil'!D1009)))&gt;1))</f>
        <v>0</v>
      </c>
      <c r="D1009">
        <f>NOT('hospitalityq-nil'!D1009="")*(OR(COUNTIF(reference!$C$144:$C$155,TRIM(LEFT('hospitalityq-nil'!D1009,FIND(":",'hospitalityq-nil'!D1009&amp;":")-1))&amp;":*")=0,SUMPRODUCT(--(TRIM('hospitalityq-nil'!C6:C1009)=TRIM('hospitalityq-nil'!C1009)),--(TRIM('hospitalityq-nil'!D6:D1009)=TRIM('hospitalityq-nil'!D1009)))&gt;1))</f>
        <v>0</v>
      </c>
    </row>
    <row r="1010" spans="1:4" x14ac:dyDescent="0.25">
      <c r="A1010">
        <f t="shared" si="15"/>
        <v>0</v>
      </c>
      <c r="C1010">
        <f>NOT('hospitalityq-nil'!C1010="")*(OR(NOT(IFERROR(AND(INT('hospitalityq-nil'!C1010)='hospitalityq-nil'!C1010,'hospitalityq-nil'!C1010&gt;=2018-50,'hospitalityq-nil'!C1010&lt;=2018+50),FALSE)),SUMPRODUCT(--(TRIM('hospitalityq-nil'!C6:C1010)=TRIM('hospitalityq-nil'!C1010)),--(TRIM('hospitalityq-nil'!D6:D1010)=TRIM('hospitalityq-nil'!D1010)))&gt;1))</f>
        <v>0</v>
      </c>
      <c r="D1010">
        <f>NOT('hospitalityq-nil'!D1010="")*(OR(COUNTIF(reference!$C$144:$C$155,TRIM(LEFT('hospitalityq-nil'!D1010,FIND(":",'hospitalityq-nil'!D1010&amp;":")-1))&amp;":*")=0,SUMPRODUCT(--(TRIM('hospitalityq-nil'!C6:C1010)=TRIM('hospitalityq-nil'!C1010)),--(TRIM('hospitalityq-nil'!D6:D1010)=TRIM('hospitalityq-nil'!D1010)))&gt;1))</f>
        <v>0</v>
      </c>
    </row>
    <row r="1011" spans="1:4" x14ac:dyDescent="0.25">
      <c r="A1011">
        <f t="shared" si="15"/>
        <v>0</v>
      </c>
      <c r="C1011">
        <f>NOT('hospitalityq-nil'!C1011="")*(OR(NOT(IFERROR(AND(INT('hospitalityq-nil'!C1011)='hospitalityq-nil'!C1011,'hospitalityq-nil'!C1011&gt;=2018-50,'hospitalityq-nil'!C1011&lt;=2018+50),FALSE)),SUMPRODUCT(--(TRIM('hospitalityq-nil'!C6:C1011)=TRIM('hospitalityq-nil'!C1011)),--(TRIM('hospitalityq-nil'!D6:D1011)=TRIM('hospitalityq-nil'!D1011)))&gt;1))</f>
        <v>0</v>
      </c>
      <c r="D1011">
        <f>NOT('hospitalityq-nil'!D1011="")*(OR(COUNTIF(reference!$C$144:$C$155,TRIM(LEFT('hospitalityq-nil'!D1011,FIND(":",'hospitalityq-nil'!D1011&amp;":")-1))&amp;":*")=0,SUMPRODUCT(--(TRIM('hospitalityq-nil'!C6:C1011)=TRIM('hospitalityq-nil'!C1011)),--(TRIM('hospitalityq-nil'!D6:D1011)=TRIM('hospitalityq-nil'!D1011)))&gt;1))</f>
        <v>0</v>
      </c>
    </row>
    <row r="1012" spans="1:4" x14ac:dyDescent="0.25">
      <c r="A1012">
        <f t="shared" si="15"/>
        <v>0</v>
      </c>
      <c r="C1012">
        <f>NOT('hospitalityq-nil'!C1012="")*(OR(NOT(IFERROR(AND(INT('hospitalityq-nil'!C1012)='hospitalityq-nil'!C1012,'hospitalityq-nil'!C1012&gt;=2018-50,'hospitalityq-nil'!C1012&lt;=2018+50),FALSE)),SUMPRODUCT(--(TRIM('hospitalityq-nil'!C6:C1012)=TRIM('hospitalityq-nil'!C1012)),--(TRIM('hospitalityq-nil'!D6:D1012)=TRIM('hospitalityq-nil'!D1012)))&gt;1))</f>
        <v>0</v>
      </c>
      <c r="D1012">
        <f>NOT('hospitalityq-nil'!D1012="")*(OR(COUNTIF(reference!$C$144:$C$155,TRIM(LEFT('hospitalityq-nil'!D1012,FIND(":",'hospitalityq-nil'!D1012&amp;":")-1))&amp;":*")=0,SUMPRODUCT(--(TRIM('hospitalityq-nil'!C6:C1012)=TRIM('hospitalityq-nil'!C1012)),--(TRIM('hospitalityq-nil'!D6:D1012)=TRIM('hospitalityq-nil'!D1012)))&gt;1))</f>
        <v>0</v>
      </c>
    </row>
    <row r="1013" spans="1:4" x14ac:dyDescent="0.25">
      <c r="A1013">
        <f t="shared" si="15"/>
        <v>0</v>
      </c>
      <c r="C1013">
        <f>NOT('hospitalityq-nil'!C1013="")*(OR(NOT(IFERROR(AND(INT('hospitalityq-nil'!C1013)='hospitalityq-nil'!C1013,'hospitalityq-nil'!C1013&gt;=2018-50,'hospitalityq-nil'!C1013&lt;=2018+50),FALSE)),SUMPRODUCT(--(TRIM('hospitalityq-nil'!C6:C1013)=TRIM('hospitalityq-nil'!C1013)),--(TRIM('hospitalityq-nil'!D6:D1013)=TRIM('hospitalityq-nil'!D1013)))&gt;1))</f>
        <v>0</v>
      </c>
      <c r="D1013">
        <f>NOT('hospitalityq-nil'!D1013="")*(OR(COUNTIF(reference!$C$144:$C$155,TRIM(LEFT('hospitalityq-nil'!D1013,FIND(":",'hospitalityq-nil'!D1013&amp;":")-1))&amp;":*")=0,SUMPRODUCT(--(TRIM('hospitalityq-nil'!C6:C1013)=TRIM('hospitalityq-nil'!C1013)),--(TRIM('hospitalityq-nil'!D6:D1013)=TRIM('hospitalityq-nil'!D1013)))&gt;1))</f>
        <v>0</v>
      </c>
    </row>
    <row r="1014" spans="1:4" x14ac:dyDescent="0.25">
      <c r="A1014">
        <f t="shared" si="15"/>
        <v>0</v>
      </c>
      <c r="C1014">
        <f>NOT('hospitalityq-nil'!C1014="")*(OR(NOT(IFERROR(AND(INT('hospitalityq-nil'!C1014)='hospitalityq-nil'!C1014,'hospitalityq-nil'!C1014&gt;=2018-50,'hospitalityq-nil'!C1014&lt;=2018+50),FALSE)),SUMPRODUCT(--(TRIM('hospitalityq-nil'!C6:C1014)=TRIM('hospitalityq-nil'!C1014)),--(TRIM('hospitalityq-nil'!D6:D1014)=TRIM('hospitalityq-nil'!D1014)))&gt;1))</f>
        <v>0</v>
      </c>
      <c r="D1014">
        <f>NOT('hospitalityq-nil'!D1014="")*(OR(COUNTIF(reference!$C$144:$C$155,TRIM(LEFT('hospitalityq-nil'!D1014,FIND(":",'hospitalityq-nil'!D1014&amp;":")-1))&amp;":*")=0,SUMPRODUCT(--(TRIM('hospitalityq-nil'!C6:C1014)=TRIM('hospitalityq-nil'!C1014)),--(TRIM('hospitalityq-nil'!D6:D1014)=TRIM('hospitalityq-nil'!D1014)))&gt;1))</f>
        <v>0</v>
      </c>
    </row>
    <row r="1015" spans="1:4" x14ac:dyDescent="0.25">
      <c r="A1015">
        <f t="shared" si="15"/>
        <v>0</v>
      </c>
      <c r="C1015">
        <f>NOT('hospitalityq-nil'!C1015="")*(OR(NOT(IFERROR(AND(INT('hospitalityq-nil'!C1015)='hospitalityq-nil'!C1015,'hospitalityq-nil'!C1015&gt;=2018-50,'hospitalityq-nil'!C1015&lt;=2018+50),FALSE)),SUMPRODUCT(--(TRIM('hospitalityq-nil'!C6:C1015)=TRIM('hospitalityq-nil'!C1015)),--(TRIM('hospitalityq-nil'!D6:D1015)=TRIM('hospitalityq-nil'!D1015)))&gt;1))</f>
        <v>0</v>
      </c>
      <c r="D1015">
        <f>NOT('hospitalityq-nil'!D1015="")*(OR(COUNTIF(reference!$C$144:$C$155,TRIM(LEFT('hospitalityq-nil'!D1015,FIND(":",'hospitalityq-nil'!D1015&amp;":")-1))&amp;":*")=0,SUMPRODUCT(--(TRIM('hospitalityq-nil'!C6:C1015)=TRIM('hospitalityq-nil'!C1015)),--(TRIM('hospitalityq-nil'!D6:D1015)=TRIM('hospitalityq-nil'!D1015)))&gt;1))</f>
        <v>0</v>
      </c>
    </row>
    <row r="1016" spans="1:4" x14ac:dyDescent="0.25">
      <c r="A1016">
        <f t="shared" si="15"/>
        <v>0</v>
      </c>
      <c r="C1016">
        <f>NOT('hospitalityq-nil'!C1016="")*(OR(NOT(IFERROR(AND(INT('hospitalityq-nil'!C1016)='hospitalityq-nil'!C1016,'hospitalityq-nil'!C1016&gt;=2018-50,'hospitalityq-nil'!C1016&lt;=2018+50),FALSE)),SUMPRODUCT(--(TRIM('hospitalityq-nil'!C6:C1016)=TRIM('hospitalityq-nil'!C1016)),--(TRIM('hospitalityq-nil'!D6:D1016)=TRIM('hospitalityq-nil'!D1016)))&gt;1))</f>
        <v>0</v>
      </c>
      <c r="D1016">
        <f>NOT('hospitalityq-nil'!D1016="")*(OR(COUNTIF(reference!$C$144:$C$155,TRIM(LEFT('hospitalityq-nil'!D1016,FIND(":",'hospitalityq-nil'!D1016&amp;":")-1))&amp;":*")=0,SUMPRODUCT(--(TRIM('hospitalityq-nil'!C6:C1016)=TRIM('hospitalityq-nil'!C1016)),--(TRIM('hospitalityq-nil'!D6:D1016)=TRIM('hospitalityq-nil'!D1016)))&gt;1))</f>
        <v>0</v>
      </c>
    </row>
    <row r="1017" spans="1:4" x14ac:dyDescent="0.25">
      <c r="A1017">
        <f t="shared" si="15"/>
        <v>0</v>
      </c>
      <c r="C1017">
        <f>NOT('hospitalityq-nil'!C1017="")*(OR(NOT(IFERROR(AND(INT('hospitalityq-nil'!C1017)='hospitalityq-nil'!C1017,'hospitalityq-nil'!C1017&gt;=2018-50,'hospitalityq-nil'!C1017&lt;=2018+50),FALSE)),SUMPRODUCT(--(TRIM('hospitalityq-nil'!C6:C1017)=TRIM('hospitalityq-nil'!C1017)),--(TRIM('hospitalityq-nil'!D6:D1017)=TRIM('hospitalityq-nil'!D1017)))&gt;1))</f>
        <v>0</v>
      </c>
      <c r="D1017">
        <f>NOT('hospitalityq-nil'!D1017="")*(OR(COUNTIF(reference!$C$144:$C$155,TRIM(LEFT('hospitalityq-nil'!D1017,FIND(":",'hospitalityq-nil'!D1017&amp;":")-1))&amp;":*")=0,SUMPRODUCT(--(TRIM('hospitalityq-nil'!C6:C1017)=TRIM('hospitalityq-nil'!C1017)),--(TRIM('hospitalityq-nil'!D6:D1017)=TRIM('hospitalityq-nil'!D1017)))&gt;1))</f>
        <v>0</v>
      </c>
    </row>
    <row r="1018" spans="1:4" x14ac:dyDescent="0.25">
      <c r="A1018">
        <f t="shared" si="15"/>
        <v>0</v>
      </c>
      <c r="C1018">
        <f>NOT('hospitalityq-nil'!C1018="")*(OR(NOT(IFERROR(AND(INT('hospitalityq-nil'!C1018)='hospitalityq-nil'!C1018,'hospitalityq-nil'!C1018&gt;=2018-50,'hospitalityq-nil'!C1018&lt;=2018+50),FALSE)),SUMPRODUCT(--(TRIM('hospitalityq-nil'!C6:C1018)=TRIM('hospitalityq-nil'!C1018)),--(TRIM('hospitalityq-nil'!D6:D1018)=TRIM('hospitalityq-nil'!D1018)))&gt;1))</f>
        <v>0</v>
      </c>
      <c r="D1018">
        <f>NOT('hospitalityq-nil'!D1018="")*(OR(COUNTIF(reference!$C$144:$C$155,TRIM(LEFT('hospitalityq-nil'!D1018,FIND(":",'hospitalityq-nil'!D1018&amp;":")-1))&amp;":*")=0,SUMPRODUCT(--(TRIM('hospitalityq-nil'!C6:C1018)=TRIM('hospitalityq-nil'!C1018)),--(TRIM('hospitalityq-nil'!D6:D1018)=TRIM('hospitalityq-nil'!D1018)))&gt;1))</f>
        <v>0</v>
      </c>
    </row>
    <row r="1019" spans="1:4" x14ac:dyDescent="0.25">
      <c r="A1019">
        <f t="shared" si="15"/>
        <v>0</v>
      </c>
      <c r="C1019">
        <f>NOT('hospitalityq-nil'!C1019="")*(OR(NOT(IFERROR(AND(INT('hospitalityq-nil'!C1019)='hospitalityq-nil'!C1019,'hospitalityq-nil'!C1019&gt;=2018-50,'hospitalityq-nil'!C1019&lt;=2018+50),FALSE)),SUMPRODUCT(--(TRIM('hospitalityq-nil'!C6:C1019)=TRIM('hospitalityq-nil'!C1019)),--(TRIM('hospitalityq-nil'!D6:D1019)=TRIM('hospitalityq-nil'!D1019)))&gt;1))</f>
        <v>0</v>
      </c>
      <c r="D1019">
        <f>NOT('hospitalityq-nil'!D1019="")*(OR(COUNTIF(reference!$C$144:$C$155,TRIM(LEFT('hospitalityq-nil'!D1019,FIND(":",'hospitalityq-nil'!D1019&amp;":")-1))&amp;":*")=0,SUMPRODUCT(--(TRIM('hospitalityq-nil'!C6:C1019)=TRIM('hospitalityq-nil'!C1019)),--(TRIM('hospitalityq-nil'!D6:D1019)=TRIM('hospitalityq-nil'!D1019)))&gt;1))</f>
        <v>0</v>
      </c>
    </row>
    <row r="1020" spans="1:4" x14ac:dyDescent="0.25">
      <c r="A1020">
        <f t="shared" si="15"/>
        <v>0</v>
      </c>
      <c r="C1020">
        <f>NOT('hospitalityq-nil'!C1020="")*(OR(NOT(IFERROR(AND(INT('hospitalityq-nil'!C1020)='hospitalityq-nil'!C1020,'hospitalityq-nil'!C1020&gt;=2018-50,'hospitalityq-nil'!C1020&lt;=2018+50),FALSE)),SUMPRODUCT(--(TRIM('hospitalityq-nil'!C6:C1020)=TRIM('hospitalityq-nil'!C1020)),--(TRIM('hospitalityq-nil'!D6:D1020)=TRIM('hospitalityq-nil'!D1020)))&gt;1))</f>
        <v>0</v>
      </c>
      <c r="D1020">
        <f>NOT('hospitalityq-nil'!D1020="")*(OR(COUNTIF(reference!$C$144:$C$155,TRIM(LEFT('hospitalityq-nil'!D1020,FIND(":",'hospitalityq-nil'!D1020&amp;":")-1))&amp;":*")=0,SUMPRODUCT(--(TRIM('hospitalityq-nil'!C6:C1020)=TRIM('hospitalityq-nil'!C1020)),--(TRIM('hospitalityq-nil'!D6:D1020)=TRIM('hospitalityq-nil'!D1020)))&gt;1))</f>
        <v>0</v>
      </c>
    </row>
    <row r="1021" spans="1:4" x14ac:dyDescent="0.25">
      <c r="A1021">
        <f t="shared" si="15"/>
        <v>0</v>
      </c>
      <c r="C1021">
        <f>NOT('hospitalityq-nil'!C1021="")*(OR(NOT(IFERROR(AND(INT('hospitalityq-nil'!C1021)='hospitalityq-nil'!C1021,'hospitalityq-nil'!C1021&gt;=2018-50,'hospitalityq-nil'!C1021&lt;=2018+50),FALSE)),SUMPRODUCT(--(TRIM('hospitalityq-nil'!C6:C1021)=TRIM('hospitalityq-nil'!C1021)),--(TRIM('hospitalityq-nil'!D6:D1021)=TRIM('hospitalityq-nil'!D1021)))&gt;1))</f>
        <v>0</v>
      </c>
      <c r="D1021">
        <f>NOT('hospitalityq-nil'!D1021="")*(OR(COUNTIF(reference!$C$144:$C$155,TRIM(LEFT('hospitalityq-nil'!D1021,FIND(":",'hospitalityq-nil'!D1021&amp;":")-1))&amp;":*")=0,SUMPRODUCT(--(TRIM('hospitalityq-nil'!C6:C1021)=TRIM('hospitalityq-nil'!C1021)),--(TRIM('hospitalityq-nil'!D6:D1021)=TRIM('hospitalityq-nil'!D1021)))&gt;1))</f>
        <v>0</v>
      </c>
    </row>
    <row r="1022" spans="1:4" x14ac:dyDescent="0.25">
      <c r="A1022">
        <f t="shared" si="15"/>
        <v>0</v>
      </c>
      <c r="C1022">
        <f>NOT('hospitalityq-nil'!C1022="")*(OR(NOT(IFERROR(AND(INT('hospitalityq-nil'!C1022)='hospitalityq-nil'!C1022,'hospitalityq-nil'!C1022&gt;=2018-50,'hospitalityq-nil'!C1022&lt;=2018+50),FALSE)),SUMPRODUCT(--(TRIM('hospitalityq-nil'!C6:C1022)=TRIM('hospitalityq-nil'!C1022)),--(TRIM('hospitalityq-nil'!D6:D1022)=TRIM('hospitalityq-nil'!D1022)))&gt;1))</f>
        <v>0</v>
      </c>
      <c r="D1022">
        <f>NOT('hospitalityq-nil'!D1022="")*(OR(COUNTIF(reference!$C$144:$C$155,TRIM(LEFT('hospitalityq-nil'!D1022,FIND(":",'hospitalityq-nil'!D1022&amp;":")-1))&amp;":*")=0,SUMPRODUCT(--(TRIM('hospitalityq-nil'!C6:C1022)=TRIM('hospitalityq-nil'!C1022)),--(TRIM('hospitalityq-nil'!D6:D1022)=TRIM('hospitalityq-nil'!D1022)))&gt;1))</f>
        <v>0</v>
      </c>
    </row>
    <row r="1023" spans="1:4" x14ac:dyDescent="0.25">
      <c r="A1023">
        <f t="shared" si="15"/>
        <v>0</v>
      </c>
      <c r="C1023">
        <f>NOT('hospitalityq-nil'!C1023="")*(OR(NOT(IFERROR(AND(INT('hospitalityq-nil'!C1023)='hospitalityq-nil'!C1023,'hospitalityq-nil'!C1023&gt;=2018-50,'hospitalityq-nil'!C1023&lt;=2018+50),FALSE)),SUMPRODUCT(--(TRIM('hospitalityq-nil'!C6:C1023)=TRIM('hospitalityq-nil'!C1023)),--(TRIM('hospitalityq-nil'!D6:D1023)=TRIM('hospitalityq-nil'!D1023)))&gt;1))</f>
        <v>0</v>
      </c>
      <c r="D1023">
        <f>NOT('hospitalityq-nil'!D1023="")*(OR(COUNTIF(reference!$C$144:$C$155,TRIM(LEFT('hospitalityq-nil'!D1023,FIND(":",'hospitalityq-nil'!D1023&amp;":")-1))&amp;":*")=0,SUMPRODUCT(--(TRIM('hospitalityq-nil'!C6:C1023)=TRIM('hospitalityq-nil'!C1023)),--(TRIM('hospitalityq-nil'!D6:D1023)=TRIM('hospitalityq-nil'!D1023)))&gt;1))</f>
        <v>0</v>
      </c>
    </row>
    <row r="1024" spans="1:4" x14ac:dyDescent="0.25">
      <c r="A1024">
        <f t="shared" si="15"/>
        <v>0</v>
      </c>
      <c r="C1024">
        <f>NOT('hospitalityq-nil'!C1024="")*(OR(NOT(IFERROR(AND(INT('hospitalityq-nil'!C1024)='hospitalityq-nil'!C1024,'hospitalityq-nil'!C1024&gt;=2018-50,'hospitalityq-nil'!C1024&lt;=2018+50),FALSE)),SUMPRODUCT(--(TRIM('hospitalityq-nil'!C6:C1024)=TRIM('hospitalityq-nil'!C1024)),--(TRIM('hospitalityq-nil'!D6:D1024)=TRIM('hospitalityq-nil'!D1024)))&gt;1))</f>
        <v>0</v>
      </c>
      <c r="D1024">
        <f>NOT('hospitalityq-nil'!D1024="")*(OR(COUNTIF(reference!$C$144:$C$155,TRIM(LEFT('hospitalityq-nil'!D1024,FIND(":",'hospitalityq-nil'!D1024&amp;":")-1))&amp;":*")=0,SUMPRODUCT(--(TRIM('hospitalityq-nil'!C6:C1024)=TRIM('hospitalityq-nil'!C1024)),--(TRIM('hospitalityq-nil'!D6:D1024)=TRIM('hospitalityq-nil'!D1024)))&gt;1))</f>
        <v>0</v>
      </c>
    </row>
    <row r="1025" spans="1:4" x14ac:dyDescent="0.25">
      <c r="A1025">
        <f t="shared" si="15"/>
        <v>0</v>
      </c>
      <c r="C1025">
        <f>NOT('hospitalityq-nil'!C1025="")*(OR(NOT(IFERROR(AND(INT('hospitalityq-nil'!C1025)='hospitalityq-nil'!C1025,'hospitalityq-nil'!C1025&gt;=2018-50,'hospitalityq-nil'!C1025&lt;=2018+50),FALSE)),SUMPRODUCT(--(TRIM('hospitalityq-nil'!C6:C1025)=TRIM('hospitalityq-nil'!C1025)),--(TRIM('hospitalityq-nil'!D6:D1025)=TRIM('hospitalityq-nil'!D1025)))&gt;1))</f>
        <v>0</v>
      </c>
      <c r="D1025">
        <f>NOT('hospitalityq-nil'!D1025="")*(OR(COUNTIF(reference!$C$144:$C$155,TRIM(LEFT('hospitalityq-nil'!D1025,FIND(":",'hospitalityq-nil'!D1025&amp;":")-1))&amp;":*")=0,SUMPRODUCT(--(TRIM('hospitalityq-nil'!C6:C1025)=TRIM('hospitalityq-nil'!C1025)),--(TRIM('hospitalityq-nil'!D6:D1025)=TRIM('hospitalityq-nil'!D1025)))&gt;1))</f>
        <v>0</v>
      </c>
    </row>
    <row r="1026" spans="1:4" x14ac:dyDescent="0.25">
      <c r="A1026">
        <f t="shared" si="15"/>
        <v>0</v>
      </c>
      <c r="C1026">
        <f>NOT('hospitalityq-nil'!C1026="")*(OR(NOT(IFERROR(AND(INT('hospitalityq-nil'!C1026)='hospitalityq-nil'!C1026,'hospitalityq-nil'!C1026&gt;=2018-50,'hospitalityq-nil'!C1026&lt;=2018+50),FALSE)),SUMPRODUCT(--(TRIM('hospitalityq-nil'!C6:C1026)=TRIM('hospitalityq-nil'!C1026)),--(TRIM('hospitalityq-nil'!D6:D1026)=TRIM('hospitalityq-nil'!D1026)))&gt;1))</f>
        <v>0</v>
      </c>
      <c r="D1026">
        <f>NOT('hospitalityq-nil'!D1026="")*(OR(COUNTIF(reference!$C$144:$C$155,TRIM(LEFT('hospitalityq-nil'!D1026,FIND(":",'hospitalityq-nil'!D1026&amp;":")-1))&amp;":*")=0,SUMPRODUCT(--(TRIM('hospitalityq-nil'!C6:C1026)=TRIM('hospitalityq-nil'!C1026)),--(TRIM('hospitalityq-nil'!D6:D1026)=TRIM('hospitalityq-nil'!D1026)))&gt;1))</f>
        <v>0</v>
      </c>
    </row>
    <row r="1027" spans="1:4" x14ac:dyDescent="0.25">
      <c r="A1027">
        <f t="shared" si="15"/>
        <v>0</v>
      </c>
      <c r="C1027">
        <f>NOT('hospitalityq-nil'!C1027="")*(OR(NOT(IFERROR(AND(INT('hospitalityq-nil'!C1027)='hospitalityq-nil'!C1027,'hospitalityq-nil'!C1027&gt;=2018-50,'hospitalityq-nil'!C1027&lt;=2018+50),FALSE)),SUMPRODUCT(--(TRIM('hospitalityq-nil'!C6:C1027)=TRIM('hospitalityq-nil'!C1027)),--(TRIM('hospitalityq-nil'!D6:D1027)=TRIM('hospitalityq-nil'!D1027)))&gt;1))</f>
        <v>0</v>
      </c>
      <c r="D1027">
        <f>NOT('hospitalityq-nil'!D1027="")*(OR(COUNTIF(reference!$C$144:$C$155,TRIM(LEFT('hospitalityq-nil'!D1027,FIND(":",'hospitalityq-nil'!D1027&amp;":")-1))&amp;":*")=0,SUMPRODUCT(--(TRIM('hospitalityq-nil'!C6:C1027)=TRIM('hospitalityq-nil'!C1027)),--(TRIM('hospitalityq-nil'!D6:D1027)=TRIM('hospitalityq-nil'!D1027)))&gt;1))</f>
        <v>0</v>
      </c>
    </row>
    <row r="1028" spans="1:4" x14ac:dyDescent="0.25">
      <c r="A1028">
        <f t="shared" si="15"/>
        <v>0</v>
      </c>
      <c r="C1028">
        <f>NOT('hospitalityq-nil'!C1028="")*(OR(NOT(IFERROR(AND(INT('hospitalityq-nil'!C1028)='hospitalityq-nil'!C1028,'hospitalityq-nil'!C1028&gt;=2018-50,'hospitalityq-nil'!C1028&lt;=2018+50),FALSE)),SUMPRODUCT(--(TRIM('hospitalityq-nil'!C6:C1028)=TRIM('hospitalityq-nil'!C1028)),--(TRIM('hospitalityq-nil'!D6:D1028)=TRIM('hospitalityq-nil'!D1028)))&gt;1))</f>
        <v>0</v>
      </c>
      <c r="D1028">
        <f>NOT('hospitalityq-nil'!D1028="")*(OR(COUNTIF(reference!$C$144:$C$155,TRIM(LEFT('hospitalityq-nil'!D1028,FIND(":",'hospitalityq-nil'!D1028&amp;":")-1))&amp;":*")=0,SUMPRODUCT(--(TRIM('hospitalityq-nil'!C6:C1028)=TRIM('hospitalityq-nil'!C1028)),--(TRIM('hospitalityq-nil'!D6:D1028)=TRIM('hospitalityq-nil'!D1028)))&gt;1))</f>
        <v>0</v>
      </c>
    </row>
    <row r="1029" spans="1:4" x14ac:dyDescent="0.25">
      <c r="A1029">
        <f t="shared" si="15"/>
        <v>0</v>
      </c>
      <c r="C1029">
        <f>NOT('hospitalityq-nil'!C1029="")*(OR(NOT(IFERROR(AND(INT('hospitalityq-nil'!C1029)='hospitalityq-nil'!C1029,'hospitalityq-nil'!C1029&gt;=2018-50,'hospitalityq-nil'!C1029&lt;=2018+50),FALSE)),SUMPRODUCT(--(TRIM('hospitalityq-nil'!C6:C1029)=TRIM('hospitalityq-nil'!C1029)),--(TRIM('hospitalityq-nil'!D6:D1029)=TRIM('hospitalityq-nil'!D1029)))&gt;1))</f>
        <v>0</v>
      </c>
      <c r="D1029">
        <f>NOT('hospitalityq-nil'!D1029="")*(OR(COUNTIF(reference!$C$144:$C$155,TRIM(LEFT('hospitalityq-nil'!D1029,FIND(":",'hospitalityq-nil'!D1029&amp;":")-1))&amp;":*")=0,SUMPRODUCT(--(TRIM('hospitalityq-nil'!C6:C1029)=TRIM('hospitalityq-nil'!C1029)),--(TRIM('hospitalityq-nil'!D6:D1029)=TRIM('hospitalityq-nil'!D1029)))&gt;1))</f>
        <v>0</v>
      </c>
    </row>
    <row r="1030" spans="1:4" x14ac:dyDescent="0.25">
      <c r="A1030">
        <f t="shared" ref="A1030:A1093" si="16">IFERROR(MATCH(TRUE,INDEX(C1030:D1030&lt;&gt;0,),)+2,0)</f>
        <v>0</v>
      </c>
      <c r="C1030">
        <f>NOT('hospitalityq-nil'!C1030="")*(OR(NOT(IFERROR(AND(INT('hospitalityq-nil'!C1030)='hospitalityq-nil'!C1030,'hospitalityq-nil'!C1030&gt;=2018-50,'hospitalityq-nil'!C1030&lt;=2018+50),FALSE)),SUMPRODUCT(--(TRIM('hospitalityq-nil'!C6:C1030)=TRIM('hospitalityq-nil'!C1030)),--(TRIM('hospitalityq-nil'!D6:D1030)=TRIM('hospitalityq-nil'!D1030)))&gt;1))</f>
        <v>0</v>
      </c>
      <c r="D1030">
        <f>NOT('hospitalityq-nil'!D1030="")*(OR(COUNTIF(reference!$C$144:$C$155,TRIM(LEFT('hospitalityq-nil'!D1030,FIND(":",'hospitalityq-nil'!D1030&amp;":")-1))&amp;":*")=0,SUMPRODUCT(--(TRIM('hospitalityq-nil'!C6:C1030)=TRIM('hospitalityq-nil'!C1030)),--(TRIM('hospitalityq-nil'!D6:D1030)=TRIM('hospitalityq-nil'!D1030)))&gt;1))</f>
        <v>0</v>
      </c>
    </row>
    <row r="1031" spans="1:4" x14ac:dyDescent="0.25">
      <c r="A1031">
        <f t="shared" si="16"/>
        <v>0</v>
      </c>
      <c r="C1031">
        <f>NOT('hospitalityq-nil'!C1031="")*(OR(NOT(IFERROR(AND(INT('hospitalityq-nil'!C1031)='hospitalityq-nil'!C1031,'hospitalityq-nil'!C1031&gt;=2018-50,'hospitalityq-nil'!C1031&lt;=2018+50),FALSE)),SUMPRODUCT(--(TRIM('hospitalityq-nil'!C6:C1031)=TRIM('hospitalityq-nil'!C1031)),--(TRIM('hospitalityq-nil'!D6:D1031)=TRIM('hospitalityq-nil'!D1031)))&gt;1))</f>
        <v>0</v>
      </c>
      <c r="D1031">
        <f>NOT('hospitalityq-nil'!D1031="")*(OR(COUNTIF(reference!$C$144:$C$155,TRIM(LEFT('hospitalityq-nil'!D1031,FIND(":",'hospitalityq-nil'!D1031&amp;":")-1))&amp;":*")=0,SUMPRODUCT(--(TRIM('hospitalityq-nil'!C6:C1031)=TRIM('hospitalityq-nil'!C1031)),--(TRIM('hospitalityq-nil'!D6:D1031)=TRIM('hospitalityq-nil'!D1031)))&gt;1))</f>
        <v>0</v>
      </c>
    </row>
    <row r="1032" spans="1:4" x14ac:dyDescent="0.25">
      <c r="A1032">
        <f t="shared" si="16"/>
        <v>0</v>
      </c>
      <c r="C1032">
        <f>NOT('hospitalityq-nil'!C1032="")*(OR(NOT(IFERROR(AND(INT('hospitalityq-nil'!C1032)='hospitalityq-nil'!C1032,'hospitalityq-nil'!C1032&gt;=2018-50,'hospitalityq-nil'!C1032&lt;=2018+50),FALSE)),SUMPRODUCT(--(TRIM('hospitalityq-nil'!C6:C1032)=TRIM('hospitalityq-nil'!C1032)),--(TRIM('hospitalityq-nil'!D6:D1032)=TRIM('hospitalityq-nil'!D1032)))&gt;1))</f>
        <v>0</v>
      </c>
      <c r="D1032">
        <f>NOT('hospitalityq-nil'!D1032="")*(OR(COUNTIF(reference!$C$144:$C$155,TRIM(LEFT('hospitalityq-nil'!D1032,FIND(":",'hospitalityq-nil'!D1032&amp;":")-1))&amp;":*")=0,SUMPRODUCT(--(TRIM('hospitalityq-nil'!C6:C1032)=TRIM('hospitalityq-nil'!C1032)),--(TRIM('hospitalityq-nil'!D6:D1032)=TRIM('hospitalityq-nil'!D1032)))&gt;1))</f>
        <v>0</v>
      </c>
    </row>
    <row r="1033" spans="1:4" x14ac:dyDescent="0.25">
      <c r="A1033">
        <f t="shared" si="16"/>
        <v>0</v>
      </c>
      <c r="C1033">
        <f>NOT('hospitalityq-nil'!C1033="")*(OR(NOT(IFERROR(AND(INT('hospitalityq-nil'!C1033)='hospitalityq-nil'!C1033,'hospitalityq-nil'!C1033&gt;=2018-50,'hospitalityq-nil'!C1033&lt;=2018+50),FALSE)),SUMPRODUCT(--(TRIM('hospitalityq-nil'!C6:C1033)=TRIM('hospitalityq-nil'!C1033)),--(TRIM('hospitalityq-nil'!D6:D1033)=TRIM('hospitalityq-nil'!D1033)))&gt;1))</f>
        <v>0</v>
      </c>
      <c r="D1033">
        <f>NOT('hospitalityq-nil'!D1033="")*(OR(COUNTIF(reference!$C$144:$C$155,TRIM(LEFT('hospitalityq-nil'!D1033,FIND(":",'hospitalityq-nil'!D1033&amp;":")-1))&amp;":*")=0,SUMPRODUCT(--(TRIM('hospitalityq-nil'!C6:C1033)=TRIM('hospitalityq-nil'!C1033)),--(TRIM('hospitalityq-nil'!D6:D1033)=TRIM('hospitalityq-nil'!D1033)))&gt;1))</f>
        <v>0</v>
      </c>
    </row>
    <row r="1034" spans="1:4" x14ac:dyDescent="0.25">
      <c r="A1034">
        <f t="shared" si="16"/>
        <v>0</v>
      </c>
      <c r="C1034">
        <f>NOT('hospitalityq-nil'!C1034="")*(OR(NOT(IFERROR(AND(INT('hospitalityq-nil'!C1034)='hospitalityq-nil'!C1034,'hospitalityq-nil'!C1034&gt;=2018-50,'hospitalityq-nil'!C1034&lt;=2018+50),FALSE)),SUMPRODUCT(--(TRIM('hospitalityq-nil'!C6:C1034)=TRIM('hospitalityq-nil'!C1034)),--(TRIM('hospitalityq-nil'!D6:D1034)=TRIM('hospitalityq-nil'!D1034)))&gt;1))</f>
        <v>0</v>
      </c>
      <c r="D1034">
        <f>NOT('hospitalityq-nil'!D1034="")*(OR(COUNTIF(reference!$C$144:$C$155,TRIM(LEFT('hospitalityq-nil'!D1034,FIND(":",'hospitalityq-nil'!D1034&amp;":")-1))&amp;":*")=0,SUMPRODUCT(--(TRIM('hospitalityq-nil'!C6:C1034)=TRIM('hospitalityq-nil'!C1034)),--(TRIM('hospitalityq-nil'!D6:D1034)=TRIM('hospitalityq-nil'!D1034)))&gt;1))</f>
        <v>0</v>
      </c>
    </row>
    <row r="1035" spans="1:4" x14ac:dyDescent="0.25">
      <c r="A1035">
        <f t="shared" si="16"/>
        <v>0</v>
      </c>
      <c r="C1035">
        <f>NOT('hospitalityq-nil'!C1035="")*(OR(NOT(IFERROR(AND(INT('hospitalityq-nil'!C1035)='hospitalityq-nil'!C1035,'hospitalityq-nil'!C1035&gt;=2018-50,'hospitalityq-nil'!C1035&lt;=2018+50),FALSE)),SUMPRODUCT(--(TRIM('hospitalityq-nil'!C6:C1035)=TRIM('hospitalityq-nil'!C1035)),--(TRIM('hospitalityq-nil'!D6:D1035)=TRIM('hospitalityq-nil'!D1035)))&gt;1))</f>
        <v>0</v>
      </c>
      <c r="D1035">
        <f>NOT('hospitalityq-nil'!D1035="")*(OR(COUNTIF(reference!$C$144:$C$155,TRIM(LEFT('hospitalityq-nil'!D1035,FIND(":",'hospitalityq-nil'!D1035&amp;":")-1))&amp;":*")=0,SUMPRODUCT(--(TRIM('hospitalityq-nil'!C6:C1035)=TRIM('hospitalityq-nil'!C1035)),--(TRIM('hospitalityq-nil'!D6:D1035)=TRIM('hospitalityq-nil'!D1035)))&gt;1))</f>
        <v>0</v>
      </c>
    </row>
    <row r="1036" spans="1:4" x14ac:dyDescent="0.25">
      <c r="A1036">
        <f t="shared" si="16"/>
        <v>0</v>
      </c>
      <c r="C1036">
        <f>NOT('hospitalityq-nil'!C1036="")*(OR(NOT(IFERROR(AND(INT('hospitalityq-nil'!C1036)='hospitalityq-nil'!C1036,'hospitalityq-nil'!C1036&gt;=2018-50,'hospitalityq-nil'!C1036&lt;=2018+50),FALSE)),SUMPRODUCT(--(TRIM('hospitalityq-nil'!C6:C1036)=TRIM('hospitalityq-nil'!C1036)),--(TRIM('hospitalityq-nil'!D6:D1036)=TRIM('hospitalityq-nil'!D1036)))&gt;1))</f>
        <v>0</v>
      </c>
      <c r="D1036">
        <f>NOT('hospitalityq-nil'!D1036="")*(OR(COUNTIF(reference!$C$144:$C$155,TRIM(LEFT('hospitalityq-nil'!D1036,FIND(":",'hospitalityq-nil'!D1036&amp;":")-1))&amp;":*")=0,SUMPRODUCT(--(TRIM('hospitalityq-nil'!C6:C1036)=TRIM('hospitalityq-nil'!C1036)),--(TRIM('hospitalityq-nil'!D6:D1036)=TRIM('hospitalityq-nil'!D1036)))&gt;1))</f>
        <v>0</v>
      </c>
    </row>
    <row r="1037" spans="1:4" x14ac:dyDescent="0.25">
      <c r="A1037">
        <f t="shared" si="16"/>
        <v>0</v>
      </c>
      <c r="C1037">
        <f>NOT('hospitalityq-nil'!C1037="")*(OR(NOT(IFERROR(AND(INT('hospitalityq-nil'!C1037)='hospitalityq-nil'!C1037,'hospitalityq-nil'!C1037&gt;=2018-50,'hospitalityq-nil'!C1037&lt;=2018+50),FALSE)),SUMPRODUCT(--(TRIM('hospitalityq-nil'!C6:C1037)=TRIM('hospitalityq-nil'!C1037)),--(TRIM('hospitalityq-nil'!D6:D1037)=TRIM('hospitalityq-nil'!D1037)))&gt;1))</f>
        <v>0</v>
      </c>
      <c r="D1037">
        <f>NOT('hospitalityq-nil'!D1037="")*(OR(COUNTIF(reference!$C$144:$C$155,TRIM(LEFT('hospitalityq-nil'!D1037,FIND(":",'hospitalityq-nil'!D1037&amp;":")-1))&amp;":*")=0,SUMPRODUCT(--(TRIM('hospitalityq-nil'!C6:C1037)=TRIM('hospitalityq-nil'!C1037)),--(TRIM('hospitalityq-nil'!D6:D1037)=TRIM('hospitalityq-nil'!D1037)))&gt;1))</f>
        <v>0</v>
      </c>
    </row>
    <row r="1038" spans="1:4" x14ac:dyDescent="0.25">
      <c r="A1038">
        <f t="shared" si="16"/>
        <v>0</v>
      </c>
      <c r="C1038">
        <f>NOT('hospitalityq-nil'!C1038="")*(OR(NOT(IFERROR(AND(INT('hospitalityq-nil'!C1038)='hospitalityq-nil'!C1038,'hospitalityq-nil'!C1038&gt;=2018-50,'hospitalityq-nil'!C1038&lt;=2018+50),FALSE)),SUMPRODUCT(--(TRIM('hospitalityq-nil'!C6:C1038)=TRIM('hospitalityq-nil'!C1038)),--(TRIM('hospitalityq-nil'!D6:D1038)=TRIM('hospitalityq-nil'!D1038)))&gt;1))</f>
        <v>0</v>
      </c>
      <c r="D1038">
        <f>NOT('hospitalityq-nil'!D1038="")*(OR(COUNTIF(reference!$C$144:$C$155,TRIM(LEFT('hospitalityq-nil'!D1038,FIND(":",'hospitalityq-nil'!D1038&amp;":")-1))&amp;":*")=0,SUMPRODUCT(--(TRIM('hospitalityq-nil'!C6:C1038)=TRIM('hospitalityq-nil'!C1038)),--(TRIM('hospitalityq-nil'!D6:D1038)=TRIM('hospitalityq-nil'!D1038)))&gt;1))</f>
        <v>0</v>
      </c>
    </row>
    <row r="1039" spans="1:4" x14ac:dyDescent="0.25">
      <c r="A1039">
        <f t="shared" si="16"/>
        <v>0</v>
      </c>
      <c r="C1039">
        <f>NOT('hospitalityq-nil'!C1039="")*(OR(NOT(IFERROR(AND(INT('hospitalityq-nil'!C1039)='hospitalityq-nil'!C1039,'hospitalityq-nil'!C1039&gt;=2018-50,'hospitalityq-nil'!C1039&lt;=2018+50),FALSE)),SUMPRODUCT(--(TRIM('hospitalityq-nil'!C6:C1039)=TRIM('hospitalityq-nil'!C1039)),--(TRIM('hospitalityq-nil'!D6:D1039)=TRIM('hospitalityq-nil'!D1039)))&gt;1))</f>
        <v>0</v>
      </c>
      <c r="D1039">
        <f>NOT('hospitalityq-nil'!D1039="")*(OR(COUNTIF(reference!$C$144:$C$155,TRIM(LEFT('hospitalityq-nil'!D1039,FIND(":",'hospitalityq-nil'!D1039&amp;":")-1))&amp;":*")=0,SUMPRODUCT(--(TRIM('hospitalityq-nil'!C6:C1039)=TRIM('hospitalityq-nil'!C1039)),--(TRIM('hospitalityq-nil'!D6:D1039)=TRIM('hospitalityq-nil'!D1039)))&gt;1))</f>
        <v>0</v>
      </c>
    </row>
    <row r="1040" spans="1:4" x14ac:dyDescent="0.25">
      <c r="A1040">
        <f t="shared" si="16"/>
        <v>0</v>
      </c>
      <c r="C1040">
        <f>NOT('hospitalityq-nil'!C1040="")*(OR(NOT(IFERROR(AND(INT('hospitalityq-nil'!C1040)='hospitalityq-nil'!C1040,'hospitalityq-nil'!C1040&gt;=2018-50,'hospitalityq-nil'!C1040&lt;=2018+50),FALSE)),SUMPRODUCT(--(TRIM('hospitalityq-nil'!C6:C1040)=TRIM('hospitalityq-nil'!C1040)),--(TRIM('hospitalityq-nil'!D6:D1040)=TRIM('hospitalityq-nil'!D1040)))&gt;1))</f>
        <v>0</v>
      </c>
      <c r="D1040">
        <f>NOT('hospitalityq-nil'!D1040="")*(OR(COUNTIF(reference!$C$144:$C$155,TRIM(LEFT('hospitalityq-nil'!D1040,FIND(":",'hospitalityq-nil'!D1040&amp;":")-1))&amp;":*")=0,SUMPRODUCT(--(TRIM('hospitalityq-nil'!C6:C1040)=TRIM('hospitalityq-nil'!C1040)),--(TRIM('hospitalityq-nil'!D6:D1040)=TRIM('hospitalityq-nil'!D1040)))&gt;1))</f>
        <v>0</v>
      </c>
    </row>
    <row r="1041" spans="1:4" x14ac:dyDescent="0.25">
      <c r="A1041">
        <f t="shared" si="16"/>
        <v>0</v>
      </c>
      <c r="C1041">
        <f>NOT('hospitalityq-nil'!C1041="")*(OR(NOT(IFERROR(AND(INT('hospitalityq-nil'!C1041)='hospitalityq-nil'!C1041,'hospitalityq-nil'!C1041&gt;=2018-50,'hospitalityq-nil'!C1041&lt;=2018+50),FALSE)),SUMPRODUCT(--(TRIM('hospitalityq-nil'!C6:C1041)=TRIM('hospitalityq-nil'!C1041)),--(TRIM('hospitalityq-nil'!D6:D1041)=TRIM('hospitalityq-nil'!D1041)))&gt;1))</f>
        <v>0</v>
      </c>
      <c r="D1041">
        <f>NOT('hospitalityq-nil'!D1041="")*(OR(COUNTIF(reference!$C$144:$C$155,TRIM(LEFT('hospitalityq-nil'!D1041,FIND(":",'hospitalityq-nil'!D1041&amp;":")-1))&amp;":*")=0,SUMPRODUCT(--(TRIM('hospitalityq-nil'!C6:C1041)=TRIM('hospitalityq-nil'!C1041)),--(TRIM('hospitalityq-nil'!D6:D1041)=TRIM('hospitalityq-nil'!D1041)))&gt;1))</f>
        <v>0</v>
      </c>
    </row>
    <row r="1042" spans="1:4" x14ac:dyDescent="0.25">
      <c r="A1042">
        <f t="shared" si="16"/>
        <v>0</v>
      </c>
      <c r="C1042">
        <f>NOT('hospitalityq-nil'!C1042="")*(OR(NOT(IFERROR(AND(INT('hospitalityq-nil'!C1042)='hospitalityq-nil'!C1042,'hospitalityq-nil'!C1042&gt;=2018-50,'hospitalityq-nil'!C1042&lt;=2018+50),FALSE)),SUMPRODUCT(--(TRIM('hospitalityq-nil'!C6:C1042)=TRIM('hospitalityq-nil'!C1042)),--(TRIM('hospitalityq-nil'!D6:D1042)=TRIM('hospitalityq-nil'!D1042)))&gt;1))</f>
        <v>0</v>
      </c>
      <c r="D1042">
        <f>NOT('hospitalityq-nil'!D1042="")*(OR(COUNTIF(reference!$C$144:$C$155,TRIM(LEFT('hospitalityq-nil'!D1042,FIND(":",'hospitalityq-nil'!D1042&amp;":")-1))&amp;":*")=0,SUMPRODUCT(--(TRIM('hospitalityq-nil'!C6:C1042)=TRIM('hospitalityq-nil'!C1042)),--(TRIM('hospitalityq-nil'!D6:D1042)=TRIM('hospitalityq-nil'!D1042)))&gt;1))</f>
        <v>0</v>
      </c>
    </row>
    <row r="1043" spans="1:4" x14ac:dyDescent="0.25">
      <c r="A1043">
        <f t="shared" si="16"/>
        <v>0</v>
      </c>
      <c r="C1043">
        <f>NOT('hospitalityq-nil'!C1043="")*(OR(NOT(IFERROR(AND(INT('hospitalityq-nil'!C1043)='hospitalityq-nil'!C1043,'hospitalityq-nil'!C1043&gt;=2018-50,'hospitalityq-nil'!C1043&lt;=2018+50),FALSE)),SUMPRODUCT(--(TRIM('hospitalityq-nil'!C6:C1043)=TRIM('hospitalityq-nil'!C1043)),--(TRIM('hospitalityq-nil'!D6:D1043)=TRIM('hospitalityq-nil'!D1043)))&gt;1))</f>
        <v>0</v>
      </c>
      <c r="D1043">
        <f>NOT('hospitalityq-nil'!D1043="")*(OR(COUNTIF(reference!$C$144:$C$155,TRIM(LEFT('hospitalityq-nil'!D1043,FIND(":",'hospitalityq-nil'!D1043&amp;":")-1))&amp;":*")=0,SUMPRODUCT(--(TRIM('hospitalityq-nil'!C6:C1043)=TRIM('hospitalityq-nil'!C1043)),--(TRIM('hospitalityq-nil'!D6:D1043)=TRIM('hospitalityq-nil'!D1043)))&gt;1))</f>
        <v>0</v>
      </c>
    </row>
    <row r="1044" spans="1:4" x14ac:dyDescent="0.25">
      <c r="A1044">
        <f t="shared" si="16"/>
        <v>0</v>
      </c>
      <c r="C1044">
        <f>NOT('hospitalityq-nil'!C1044="")*(OR(NOT(IFERROR(AND(INT('hospitalityq-nil'!C1044)='hospitalityq-nil'!C1044,'hospitalityq-nil'!C1044&gt;=2018-50,'hospitalityq-nil'!C1044&lt;=2018+50),FALSE)),SUMPRODUCT(--(TRIM('hospitalityq-nil'!C6:C1044)=TRIM('hospitalityq-nil'!C1044)),--(TRIM('hospitalityq-nil'!D6:D1044)=TRIM('hospitalityq-nil'!D1044)))&gt;1))</f>
        <v>0</v>
      </c>
      <c r="D1044">
        <f>NOT('hospitalityq-nil'!D1044="")*(OR(COUNTIF(reference!$C$144:$C$155,TRIM(LEFT('hospitalityq-nil'!D1044,FIND(":",'hospitalityq-nil'!D1044&amp;":")-1))&amp;":*")=0,SUMPRODUCT(--(TRIM('hospitalityq-nil'!C6:C1044)=TRIM('hospitalityq-nil'!C1044)),--(TRIM('hospitalityq-nil'!D6:D1044)=TRIM('hospitalityq-nil'!D1044)))&gt;1))</f>
        <v>0</v>
      </c>
    </row>
    <row r="1045" spans="1:4" x14ac:dyDescent="0.25">
      <c r="A1045">
        <f t="shared" si="16"/>
        <v>0</v>
      </c>
      <c r="C1045">
        <f>NOT('hospitalityq-nil'!C1045="")*(OR(NOT(IFERROR(AND(INT('hospitalityq-nil'!C1045)='hospitalityq-nil'!C1045,'hospitalityq-nil'!C1045&gt;=2018-50,'hospitalityq-nil'!C1045&lt;=2018+50),FALSE)),SUMPRODUCT(--(TRIM('hospitalityq-nil'!C6:C1045)=TRIM('hospitalityq-nil'!C1045)),--(TRIM('hospitalityq-nil'!D6:D1045)=TRIM('hospitalityq-nil'!D1045)))&gt;1))</f>
        <v>0</v>
      </c>
      <c r="D1045">
        <f>NOT('hospitalityq-nil'!D1045="")*(OR(COUNTIF(reference!$C$144:$C$155,TRIM(LEFT('hospitalityq-nil'!D1045,FIND(":",'hospitalityq-nil'!D1045&amp;":")-1))&amp;":*")=0,SUMPRODUCT(--(TRIM('hospitalityq-nil'!C6:C1045)=TRIM('hospitalityq-nil'!C1045)),--(TRIM('hospitalityq-nil'!D6:D1045)=TRIM('hospitalityq-nil'!D1045)))&gt;1))</f>
        <v>0</v>
      </c>
    </row>
    <row r="1046" spans="1:4" x14ac:dyDescent="0.25">
      <c r="A1046">
        <f t="shared" si="16"/>
        <v>0</v>
      </c>
      <c r="C1046">
        <f>NOT('hospitalityq-nil'!C1046="")*(OR(NOT(IFERROR(AND(INT('hospitalityq-nil'!C1046)='hospitalityq-nil'!C1046,'hospitalityq-nil'!C1046&gt;=2018-50,'hospitalityq-nil'!C1046&lt;=2018+50),FALSE)),SUMPRODUCT(--(TRIM('hospitalityq-nil'!C6:C1046)=TRIM('hospitalityq-nil'!C1046)),--(TRIM('hospitalityq-nil'!D6:D1046)=TRIM('hospitalityq-nil'!D1046)))&gt;1))</f>
        <v>0</v>
      </c>
      <c r="D1046">
        <f>NOT('hospitalityq-nil'!D1046="")*(OR(COUNTIF(reference!$C$144:$C$155,TRIM(LEFT('hospitalityq-nil'!D1046,FIND(":",'hospitalityq-nil'!D1046&amp;":")-1))&amp;":*")=0,SUMPRODUCT(--(TRIM('hospitalityq-nil'!C6:C1046)=TRIM('hospitalityq-nil'!C1046)),--(TRIM('hospitalityq-nil'!D6:D1046)=TRIM('hospitalityq-nil'!D1046)))&gt;1))</f>
        <v>0</v>
      </c>
    </row>
    <row r="1047" spans="1:4" x14ac:dyDescent="0.25">
      <c r="A1047">
        <f t="shared" si="16"/>
        <v>0</v>
      </c>
      <c r="C1047">
        <f>NOT('hospitalityq-nil'!C1047="")*(OR(NOT(IFERROR(AND(INT('hospitalityq-nil'!C1047)='hospitalityq-nil'!C1047,'hospitalityq-nil'!C1047&gt;=2018-50,'hospitalityq-nil'!C1047&lt;=2018+50),FALSE)),SUMPRODUCT(--(TRIM('hospitalityq-nil'!C6:C1047)=TRIM('hospitalityq-nil'!C1047)),--(TRIM('hospitalityq-nil'!D6:D1047)=TRIM('hospitalityq-nil'!D1047)))&gt;1))</f>
        <v>0</v>
      </c>
      <c r="D1047">
        <f>NOT('hospitalityq-nil'!D1047="")*(OR(COUNTIF(reference!$C$144:$C$155,TRIM(LEFT('hospitalityq-nil'!D1047,FIND(":",'hospitalityq-nil'!D1047&amp;":")-1))&amp;":*")=0,SUMPRODUCT(--(TRIM('hospitalityq-nil'!C6:C1047)=TRIM('hospitalityq-nil'!C1047)),--(TRIM('hospitalityq-nil'!D6:D1047)=TRIM('hospitalityq-nil'!D1047)))&gt;1))</f>
        <v>0</v>
      </c>
    </row>
    <row r="1048" spans="1:4" x14ac:dyDescent="0.25">
      <c r="A1048">
        <f t="shared" si="16"/>
        <v>0</v>
      </c>
      <c r="C1048">
        <f>NOT('hospitalityq-nil'!C1048="")*(OR(NOT(IFERROR(AND(INT('hospitalityq-nil'!C1048)='hospitalityq-nil'!C1048,'hospitalityq-nil'!C1048&gt;=2018-50,'hospitalityq-nil'!C1048&lt;=2018+50),FALSE)),SUMPRODUCT(--(TRIM('hospitalityq-nil'!C6:C1048)=TRIM('hospitalityq-nil'!C1048)),--(TRIM('hospitalityq-nil'!D6:D1048)=TRIM('hospitalityq-nil'!D1048)))&gt;1))</f>
        <v>0</v>
      </c>
      <c r="D1048">
        <f>NOT('hospitalityq-nil'!D1048="")*(OR(COUNTIF(reference!$C$144:$C$155,TRIM(LEFT('hospitalityq-nil'!D1048,FIND(":",'hospitalityq-nil'!D1048&amp;":")-1))&amp;":*")=0,SUMPRODUCT(--(TRIM('hospitalityq-nil'!C6:C1048)=TRIM('hospitalityq-nil'!C1048)),--(TRIM('hospitalityq-nil'!D6:D1048)=TRIM('hospitalityq-nil'!D1048)))&gt;1))</f>
        <v>0</v>
      </c>
    </row>
    <row r="1049" spans="1:4" x14ac:dyDescent="0.25">
      <c r="A1049">
        <f t="shared" si="16"/>
        <v>0</v>
      </c>
      <c r="C1049">
        <f>NOT('hospitalityq-nil'!C1049="")*(OR(NOT(IFERROR(AND(INT('hospitalityq-nil'!C1049)='hospitalityq-nil'!C1049,'hospitalityq-nil'!C1049&gt;=2018-50,'hospitalityq-nil'!C1049&lt;=2018+50),FALSE)),SUMPRODUCT(--(TRIM('hospitalityq-nil'!C6:C1049)=TRIM('hospitalityq-nil'!C1049)),--(TRIM('hospitalityq-nil'!D6:D1049)=TRIM('hospitalityq-nil'!D1049)))&gt;1))</f>
        <v>0</v>
      </c>
      <c r="D1049">
        <f>NOT('hospitalityq-nil'!D1049="")*(OR(COUNTIF(reference!$C$144:$C$155,TRIM(LEFT('hospitalityq-nil'!D1049,FIND(":",'hospitalityq-nil'!D1049&amp;":")-1))&amp;":*")=0,SUMPRODUCT(--(TRIM('hospitalityq-nil'!C6:C1049)=TRIM('hospitalityq-nil'!C1049)),--(TRIM('hospitalityq-nil'!D6:D1049)=TRIM('hospitalityq-nil'!D1049)))&gt;1))</f>
        <v>0</v>
      </c>
    </row>
    <row r="1050" spans="1:4" x14ac:dyDescent="0.25">
      <c r="A1050">
        <f t="shared" si="16"/>
        <v>0</v>
      </c>
      <c r="C1050">
        <f>NOT('hospitalityq-nil'!C1050="")*(OR(NOT(IFERROR(AND(INT('hospitalityq-nil'!C1050)='hospitalityq-nil'!C1050,'hospitalityq-nil'!C1050&gt;=2018-50,'hospitalityq-nil'!C1050&lt;=2018+50),FALSE)),SUMPRODUCT(--(TRIM('hospitalityq-nil'!C6:C1050)=TRIM('hospitalityq-nil'!C1050)),--(TRIM('hospitalityq-nil'!D6:D1050)=TRIM('hospitalityq-nil'!D1050)))&gt;1))</f>
        <v>0</v>
      </c>
      <c r="D1050">
        <f>NOT('hospitalityq-nil'!D1050="")*(OR(COUNTIF(reference!$C$144:$C$155,TRIM(LEFT('hospitalityq-nil'!D1050,FIND(":",'hospitalityq-nil'!D1050&amp;":")-1))&amp;":*")=0,SUMPRODUCT(--(TRIM('hospitalityq-nil'!C6:C1050)=TRIM('hospitalityq-nil'!C1050)),--(TRIM('hospitalityq-nil'!D6:D1050)=TRIM('hospitalityq-nil'!D1050)))&gt;1))</f>
        <v>0</v>
      </c>
    </row>
    <row r="1051" spans="1:4" x14ac:dyDescent="0.25">
      <c r="A1051">
        <f t="shared" si="16"/>
        <v>0</v>
      </c>
      <c r="C1051">
        <f>NOT('hospitalityq-nil'!C1051="")*(OR(NOT(IFERROR(AND(INT('hospitalityq-nil'!C1051)='hospitalityq-nil'!C1051,'hospitalityq-nil'!C1051&gt;=2018-50,'hospitalityq-nil'!C1051&lt;=2018+50),FALSE)),SUMPRODUCT(--(TRIM('hospitalityq-nil'!C6:C1051)=TRIM('hospitalityq-nil'!C1051)),--(TRIM('hospitalityq-nil'!D6:D1051)=TRIM('hospitalityq-nil'!D1051)))&gt;1))</f>
        <v>0</v>
      </c>
      <c r="D1051">
        <f>NOT('hospitalityq-nil'!D1051="")*(OR(COUNTIF(reference!$C$144:$C$155,TRIM(LEFT('hospitalityq-nil'!D1051,FIND(":",'hospitalityq-nil'!D1051&amp;":")-1))&amp;":*")=0,SUMPRODUCT(--(TRIM('hospitalityq-nil'!C6:C1051)=TRIM('hospitalityq-nil'!C1051)),--(TRIM('hospitalityq-nil'!D6:D1051)=TRIM('hospitalityq-nil'!D1051)))&gt;1))</f>
        <v>0</v>
      </c>
    </row>
    <row r="1052" spans="1:4" x14ac:dyDescent="0.25">
      <c r="A1052">
        <f t="shared" si="16"/>
        <v>0</v>
      </c>
      <c r="C1052">
        <f>NOT('hospitalityq-nil'!C1052="")*(OR(NOT(IFERROR(AND(INT('hospitalityq-nil'!C1052)='hospitalityq-nil'!C1052,'hospitalityq-nil'!C1052&gt;=2018-50,'hospitalityq-nil'!C1052&lt;=2018+50),FALSE)),SUMPRODUCT(--(TRIM('hospitalityq-nil'!C6:C1052)=TRIM('hospitalityq-nil'!C1052)),--(TRIM('hospitalityq-nil'!D6:D1052)=TRIM('hospitalityq-nil'!D1052)))&gt;1))</f>
        <v>0</v>
      </c>
      <c r="D1052">
        <f>NOT('hospitalityq-nil'!D1052="")*(OR(COUNTIF(reference!$C$144:$C$155,TRIM(LEFT('hospitalityq-nil'!D1052,FIND(":",'hospitalityq-nil'!D1052&amp;":")-1))&amp;":*")=0,SUMPRODUCT(--(TRIM('hospitalityq-nil'!C6:C1052)=TRIM('hospitalityq-nil'!C1052)),--(TRIM('hospitalityq-nil'!D6:D1052)=TRIM('hospitalityq-nil'!D1052)))&gt;1))</f>
        <v>0</v>
      </c>
    </row>
    <row r="1053" spans="1:4" x14ac:dyDescent="0.25">
      <c r="A1053">
        <f t="shared" si="16"/>
        <v>0</v>
      </c>
      <c r="C1053">
        <f>NOT('hospitalityq-nil'!C1053="")*(OR(NOT(IFERROR(AND(INT('hospitalityq-nil'!C1053)='hospitalityq-nil'!C1053,'hospitalityq-nil'!C1053&gt;=2018-50,'hospitalityq-nil'!C1053&lt;=2018+50),FALSE)),SUMPRODUCT(--(TRIM('hospitalityq-nil'!C6:C1053)=TRIM('hospitalityq-nil'!C1053)),--(TRIM('hospitalityq-nil'!D6:D1053)=TRIM('hospitalityq-nil'!D1053)))&gt;1))</f>
        <v>0</v>
      </c>
      <c r="D1053">
        <f>NOT('hospitalityq-nil'!D1053="")*(OR(COUNTIF(reference!$C$144:$C$155,TRIM(LEFT('hospitalityq-nil'!D1053,FIND(":",'hospitalityq-nil'!D1053&amp;":")-1))&amp;":*")=0,SUMPRODUCT(--(TRIM('hospitalityq-nil'!C6:C1053)=TRIM('hospitalityq-nil'!C1053)),--(TRIM('hospitalityq-nil'!D6:D1053)=TRIM('hospitalityq-nil'!D1053)))&gt;1))</f>
        <v>0</v>
      </c>
    </row>
    <row r="1054" spans="1:4" x14ac:dyDescent="0.25">
      <c r="A1054">
        <f t="shared" si="16"/>
        <v>0</v>
      </c>
      <c r="C1054">
        <f>NOT('hospitalityq-nil'!C1054="")*(OR(NOT(IFERROR(AND(INT('hospitalityq-nil'!C1054)='hospitalityq-nil'!C1054,'hospitalityq-nil'!C1054&gt;=2018-50,'hospitalityq-nil'!C1054&lt;=2018+50),FALSE)),SUMPRODUCT(--(TRIM('hospitalityq-nil'!C6:C1054)=TRIM('hospitalityq-nil'!C1054)),--(TRIM('hospitalityq-nil'!D6:D1054)=TRIM('hospitalityq-nil'!D1054)))&gt;1))</f>
        <v>0</v>
      </c>
      <c r="D1054">
        <f>NOT('hospitalityq-nil'!D1054="")*(OR(COUNTIF(reference!$C$144:$C$155,TRIM(LEFT('hospitalityq-nil'!D1054,FIND(":",'hospitalityq-nil'!D1054&amp;":")-1))&amp;":*")=0,SUMPRODUCT(--(TRIM('hospitalityq-nil'!C6:C1054)=TRIM('hospitalityq-nil'!C1054)),--(TRIM('hospitalityq-nil'!D6:D1054)=TRIM('hospitalityq-nil'!D1054)))&gt;1))</f>
        <v>0</v>
      </c>
    </row>
    <row r="1055" spans="1:4" x14ac:dyDescent="0.25">
      <c r="A1055">
        <f t="shared" si="16"/>
        <v>0</v>
      </c>
      <c r="C1055">
        <f>NOT('hospitalityq-nil'!C1055="")*(OR(NOT(IFERROR(AND(INT('hospitalityq-nil'!C1055)='hospitalityq-nil'!C1055,'hospitalityq-nil'!C1055&gt;=2018-50,'hospitalityq-nil'!C1055&lt;=2018+50),FALSE)),SUMPRODUCT(--(TRIM('hospitalityq-nil'!C6:C1055)=TRIM('hospitalityq-nil'!C1055)),--(TRIM('hospitalityq-nil'!D6:D1055)=TRIM('hospitalityq-nil'!D1055)))&gt;1))</f>
        <v>0</v>
      </c>
      <c r="D1055">
        <f>NOT('hospitalityq-nil'!D1055="")*(OR(COUNTIF(reference!$C$144:$C$155,TRIM(LEFT('hospitalityq-nil'!D1055,FIND(":",'hospitalityq-nil'!D1055&amp;":")-1))&amp;":*")=0,SUMPRODUCT(--(TRIM('hospitalityq-nil'!C6:C1055)=TRIM('hospitalityq-nil'!C1055)),--(TRIM('hospitalityq-nil'!D6:D1055)=TRIM('hospitalityq-nil'!D1055)))&gt;1))</f>
        <v>0</v>
      </c>
    </row>
    <row r="1056" spans="1:4" x14ac:dyDescent="0.25">
      <c r="A1056">
        <f t="shared" si="16"/>
        <v>0</v>
      </c>
      <c r="C1056">
        <f>NOT('hospitalityq-nil'!C1056="")*(OR(NOT(IFERROR(AND(INT('hospitalityq-nil'!C1056)='hospitalityq-nil'!C1056,'hospitalityq-nil'!C1056&gt;=2018-50,'hospitalityq-nil'!C1056&lt;=2018+50),FALSE)),SUMPRODUCT(--(TRIM('hospitalityq-nil'!C6:C1056)=TRIM('hospitalityq-nil'!C1056)),--(TRIM('hospitalityq-nil'!D6:D1056)=TRIM('hospitalityq-nil'!D1056)))&gt;1))</f>
        <v>0</v>
      </c>
      <c r="D1056">
        <f>NOT('hospitalityq-nil'!D1056="")*(OR(COUNTIF(reference!$C$144:$C$155,TRIM(LEFT('hospitalityq-nil'!D1056,FIND(":",'hospitalityq-nil'!D1056&amp;":")-1))&amp;":*")=0,SUMPRODUCT(--(TRIM('hospitalityq-nil'!C6:C1056)=TRIM('hospitalityq-nil'!C1056)),--(TRIM('hospitalityq-nil'!D6:D1056)=TRIM('hospitalityq-nil'!D1056)))&gt;1))</f>
        <v>0</v>
      </c>
    </row>
    <row r="1057" spans="1:4" x14ac:dyDescent="0.25">
      <c r="A1057">
        <f t="shared" si="16"/>
        <v>0</v>
      </c>
      <c r="C1057">
        <f>NOT('hospitalityq-nil'!C1057="")*(OR(NOT(IFERROR(AND(INT('hospitalityq-nil'!C1057)='hospitalityq-nil'!C1057,'hospitalityq-nil'!C1057&gt;=2018-50,'hospitalityq-nil'!C1057&lt;=2018+50),FALSE)),SUMPRODUCT(--(TRIM('hospitalityq-nil'!C6:C1057)=TRIM('hospitalityq-nil'!C1057)),--(TRIM('hospitalityq-nil'!D6:D1057)=TRIM('hospitalityq-nil'!D1057)))&gt;1))</f>
        <v>0</v>
      </c>
      <c r="D1057">
        <f>NOT('hospitalityq-nil'!D1057="")*(OR(COUNTIF(reference!$C$144:$C$155,TRIM(LEFT('hospitalityq-nil'!D1057,FIND(":",'hospitalityq-nil'!D1057&amp;":")-1))&amp;":*")=0,SUMPRODUCT(--(TRIM('hospitalityq-nil'!C6:C1057)=TRIM('hospitalityq-nil'!C1057)),--(TRIM('hospitalityq-nil'!D6:D1057)=TRIM('hospitalityq-nil'!D1057)))&gt;1))</f>
        <v>0</v>
      </c>
    </row>
    <row r="1058" spans="1:4" x14ac:dyDescent="0.25">
      <c r="A1058">
        <f t="shared" si="16"/>
        <v>0</v>
      </c>
      <c r="C1058">
        <f>NOT('hospitalityq-nil'!C1058="")*(OR(NOT(IFERROR(AND(INT('hospitalityq-nil'!C1058)='hospitalityq-nil'!C1058,'hospitalityq-nil'!C1058&gt;=2018-50,'hospitalityq-nil'!C1058&lt;=2018+50),FALSE)),SUMPRODUCT(--(TRIM('hospitalityq-nil'!C6:C1058)=TRIM('hospitalityq-nil'!C1058)),--(TRIM('hospitalityq-nil'!D6:D1058)=TRIM('hospitalityq-nil'!D1058)))&gt;1))</f>
        <v>0</v>
      </c>
      <c r="D1058">
        <f>NOT('hospitalityq-nil'!D1058="")*(OR(COUNTIF(reference!$C$144:$C$155,TRIM(LEFT('hospitalityq-nil'!D1058,FIND(":",'hospitalityq-nil'!D1058&amp;":")-1))&amp;":*")=0,SUMPRODUCT(--(TRIM('hospitalityq-nil'!C6:C1058)=TRIM('hospitalityq-nil'!C1058)),--(TRIM('hospitalityq-nil'!D6:D1058)=TRIM('hospitalityq-nil'!D1058)))&gt;1))</f>
        <v>0</v>
      </c>
    </row>
    <row r="1059" spans="1:4" x14ac:dyDescent="0.25">
      <c r="A1059">
        <f t="shared" si="16"/>
        <v>0</v>
      </c>
      <c r="C1059">
        <f>NOT('hospitalityq-nil'!C1059="")*(OR(NOT(IFERROR(AND(INT('hospitalityq-nil'!C1059)='hospitalityq-nil'!C1059,'hospitalityq-nil'!C1059&gt;=2018-50,'hospitalityq-nil'!C1059&lt;=2018+50),FALSE)),SUMPRODUCT(--(TRIM('hospitalityq-nil'!C6:C1059)=TRIM('hospitalityq-nil'!C1059)),--(TRIM('hospitalityq-nil'!D6:D1059)=TRIM('hospitalityq-nil'!D1059)))&gt;1))</f>
        <v>0</v>
      </c>
      <c r="D1059">
        <f>NOT('hospitalityq-nil'!D1059="")*(OR(COUNTIF(reference!$C$144:$C$155,TRIM(LEFT('hospitalityq-nil'!D1059,FIND(":",'hospitalityq-nil'!D1059&amp;":")-1))&amp;":*")=0,SUMPRODUCT(--(TRIM('hospitalityq-nil'!C6:C1059)=TRIM('hospitalityq-nil'!C1059)),--(TRIM('hospitalityq-nil'!D6:D1059)=TRIM('hospitalityq-nil'!D1059)))&gt;1))</f>
        <v>0</v>
      </c>
    </row>
    <row r="1060" spans="1:4" x14ac:dyDescent="0.25">
      <c r="A1060">
        <f t="shared" si="16"/>
        <v>0</v>
      </c>
      <c r="C1060">
        <f>NOT('hospitalityq-nil'!C1060="")*(OR(NOT(IFERROR(AND(INT('hospitalityq-nil'!C1060)='hospitalityq-nil'!C1060,'hospitalityq-nil'!C1060&gt;=2018-50,'hospitalityq-nil'!C1060&lt;=2018+50),FALSE)),SUMPRODUCT(--(TRIM('hospitalityq-nil'!C6:C1060)=TRIM('hospitalityq-nil'!C1060)),--(TRIM('hospitalityq-nil'!D6:D1060)=TRIM('hospitalityq-nil'!D1060)))&gt;1))</f>
        <v>0</v>
      </c>
      <c r="D1060">
        <f>NOT('hospitalityq-nil'!D1060="")*(OR(COUNTIF(reference!$C$144:$C$155,TRIM(LEFT('hospitalityq-nil'!D1060,FIND(":",'hospitalityq-nil'!D1060&amp;":")-1))&amp;":*")=0,SUMPRODUCT(--(TRIM('hospitalityq-nil'!C6:C1060)=TRIM('hospitalityq-nil'!C1060)),--(TRIM('hospitalityq-nil'!D6:D1060)=TRIM('hospitalityq-nil'!D1060)))&gt;1))</f>
        <v>0</v>
      </c>
    </row>
    <row r="1061" spans="1:4" x14ac:dyDescent="0.25">
      <c r="A1061">
        <f t="shared" si="16"/>
        <v>0</v>
      </c>
      <c r="C1061">
        <f>NOT('hospitalityq-nil'!C1061="")*(OR(NOT(IFERROR(AND(INT('hospitalityq-nil'!C1061)='hospitalityq-nil'!C1061,'hospitalityq-nil'!C1061&gt;=2018-50,'hospitalityq-nil'!C1061&lt;=2018+50),FALSE)),SUMPRODUCT(--(TRIM('hospitalityq-nil'!C6:C1061)=TRIM('hospitalityq-nil'!C1061)),--(TRIM('hospitalityq-nil'!D6:D1061)=TRIM('hospitalityq-nil'!D1061)))&gt;1))</f>
        <v>0</v>
      </c>
      <c r="D1061">
        <f>NOT('hospitalityq-nil'!D1061="")*(OR(COUNTIF(reference!$C$144:$C$155,TRIM(LEFT('hospitalityq-nil'!D1061,FIND(":",'hospitalityq-nil'!D1061&amp;":")-1))&amp;":*")=0,SUMPRODUCT(--(TRIM('hospitalityq-nil'!C6:C1061)=TRIM('hospitalityq-nil'!C1061)),--(TRIM('hospitalityq-nil'!D6:D1061)=TRIM('hospitalityq-nil'!D1061)))&gt;1))</f>
        <v>0</v>
      </c>
    </row>
    <row r="1062" spans="1:4" x14ac:dyDescent="0.25">
      <c r="A1062">
        <f t="shared" si="16"/>
        <v>0</v>
      </c>
      <c r="C1062">
        <f>NOT('hospitalityq-nil'!C1062="")*(OR(NOT(IFERROR(AND(INT('hospitalityq-nil'!C1062)='hospitalityq-nil'!C1062,'hospitalityq-nil'!C1062&gt;=2018-50,'hospitalityq-nil'!C1062&lt;=2018+50),FALSE)),SUMPRODUCT(--(TRIM('hospitalityq-nil'!C6:C1062)=TRIM('hospitalityq-nil'!C1062)),--(TRIM('hospitalityq-nil'!D6:D1062)=TRIM('hospitalityq-nil'!D1062)))&gt;1))</f>
        <v>0</v>
      </c>
      <c r="D1062">
        <f>NOT('hospitalityq-nil'!D1062="")*(OR(COUNTIF(reference!$C$144:$C$155,TRIM(LEFT('hospitalityq-nil'!D1062,FIND(":",'hospitalityq-nil'!D1062&amp;":")-1))&amp;":*")=0,SUMPRODUCT(--(TRIM('hospitalityq-nil'!C6:C1062)=TRIM('hospitalityq-nil'!C1062)),--(TRIM('hospitalityq-nil'!D6:D1062)=TRIM('hospitalityq-nil'!D1062)))&gt;1))</f>
        <v>0</v>
      </c>
    </row>
    <row r="1063" spans="1:4" x14ac:dyDescent="0.25">
      <c r="A1063">
        <f t="shared" si="16"/>
        <v>0</v>
      </c>
      <c r="C1063">
        <f>NOT('hospitalityq-nil'!C1063="")*(OR(NOT(IFERROR(AND(INT('hospitalityq-nil'!C1063)='hospitalityq-nil'!C1063,'hospitalityq-nil'!C1063&gt;=2018-50,'hospitalityq-nil'!C1063&lt;=2018+50),FALSE)),SUMPRODUCT(--(TRIM('hospitalityq-nil'!C6:C1063)=TRIM('hospitalityq-nil'!C1063)),--(TRIM('hospitalityq-nil'!D6:D1063)=TRIM('hospitalityq-nil'!D1063)))&gt;1))</f>
        <v>0</v>
      </c>
      <c r="D1063">
        <f>NOT('hospitalityq-nil'!D1063="")*(OR(COUNTIF(reference!$C$144:$C$155,TRIM(LEFT('hospitalityq-nil'!D1063,FIND(":",'hospitalityq-nil'!D1063&amp;":")-1))&amp;":*")=0,SUMPRODUCT(--(TRIM('hospitalityq-nil'!C6:C1063)=TRIM('hospitalityq-nil'!C1063)),--(TRIM('hospitalityq-nil'!D6:D1063)=TRIM('hospitalityq-nil'!D1063)))&gt;1))</f>
        <v>0</v>
      </c>
    </row>
    <row r="1064" spans="1:4" x14ac:dyDescent="0.25">
      <c r="A1064">
        <f t="shared" si="16"/>
        <v>0</v>
      </c>
      <c r="C1064">
        <f>NOT('hospitalityq-nil'!C1064="")*(OR(NOT(IFERROR(AND(INT('hospitalityq-nil'!C1064)='hospitalityq-nil'!C1064,'hospitalityq-nil'!C1064&gt;=2018-50,'hospitalityq-nil'!C1064&lt;=2018+50),FALSE)),SUMPRODUCT(--(TRIM('hospitalityq-nil'!C6:C1064)=TRIM('hospitalityq-nil'!C1064)),--(TRIM('hospitalityq-nil'!D6:D1064)=TRIM('hospitalityq-nil'!D1064)))&gt;1))</f>
        <v>0</v>
      </c>
      <c r="D1064">
        <f>NOT('hospitalityq-nil'!D1064="")*(OR(COUNTIF(reference!$C$144:$C$155,TRIM(LEFT('hospitalityq-nil'!D1064,FIND(":",'hospitalityq-nil'!D1064&amp;":")-1))&amp;":*")=0,SUMPRODUCT(--(TRIM('hospitalityq-nil'!C6:C1064)=TRIM('hospitalityq-nil'!C1064)),--(TRIM('hospitalityq-nil'!D6:D1064)=TRIM('hospitalityq-nil'!D1064)))&gt;1))</f>
        <v>0</v>
      </c>
    </row>
    <row r="1065" spans="1:4" x14ac:dyDescent="0.25">
      <c r="A1065">
        <f t="shared" si="16"/>
        <v>0</v>
      </c>
      <c r="C1065">
        <f>NOT('hospitalityq-nil'!C1065="")*(OR(NOT(IFERROR(AND(INT('hospitalityq-nil'!C1065)='hospitalityq-nil'!C1065,'hospitalityq-nil'!C1065&gt;=2018-50,'hospitalityq-nil'!C1065&lt;=2018+50),FALSE)),SUMPRODUCT(--(TRIM('hospitalityq-nil'!C6:C1065)=TRIM('hospitalityq-nil'!C1065)),--(TRIM('hospitalityq-nil'!D6:D1065)=TRIM('hospitalityq-nil'!D1065)))&gt;1))</f>
        <v>0</v>
      </c>
      <c r="D1065">
        <f>NOT('hospitalityq-nil'!D1065="")*(OR(COUNTIF(reference!$C$144:$C$155,TRIM(LEFT('hospitalityq-nil'!D1065,FIND(":",'hospitalityq-nil'!D1065&amp;":")-1))&amp;":*")=0,SUMPRODUCT(--(TRIM('hospitalityq-nil'!C6:C1065)=TRIM('hospitalityq-nil'!C1065)),--(TRIM('hospitalityq-nil'!D6:D1065)=TRIM('hospitalityq-nil'!D1065)))&gt;1))</f>
        <v>0</v>
      </c>
    </row>
    <row r="1066" spans="1:4" x14ac:dyDescent="0.25">
      <c r="A1066">
        <f t="shared" si="16"/>
        <v>0</v>
      </c>
      <c r="C1066">
        <f>NOT('hospitalityq-nil'!C1066="")*(OR(NOT(IFERROR(AND(INT('hospitalityq-nil'!C1066)='hospitalityq-nil'!C1066,'hospitalityq-nil'!C1066&gt;=2018-50,'hospitalityq-nil'!C1066&lt;=2018+50),FALSE)),SUMPRODUCT(--(TRIM('hospitalityq-nil'!C6:C1066)=TRIM('hospitalityq-nil'!C1066)),--(TRIM('hospitalityq-nil'!D6:D1066)=TRIM('hospitalityq-nil'!D1066)))&gt;1))</f>
        <v>0</v>
      </c>
      <c r="D1066">
        <f>NOT('hospitalityq-nil'!D1066="")*(OR(COUNTIF(reference!$C$144:$C$155,TRIM(LEFT('hospitalityq-nil'!D1066,FIND(":",'hospitalityq-nil'!D1066&amp;":")-1))&amp;":*")=0,SUMPRODUCT(--(TRIM('hospitalityq-nil'!C6:C1066)=TRIM('hospitalityq-nil'!C1066)),--(TRIM('hospitalityq-nil'!D6:D1066)=TRIM('hospitalityq-nil'!D1066)))&gt;1))</f>
        <v>0</v>
      </c>
    </row>
    <row r="1067" spans="1:4" x14ac:dyDescent="0.25">
      <c r="A1067">
        <f t="shared" si="16"/>
        <v>0</v>
      </c>
      <c r="C1067">
        <f>NOT('hospitalityq-nil'!C1067="")*(OR(NOT(IFERROR(AND(INT('hospitalityq-nil'!C1067)='hospitalityq-nil'!C1067,'hospitalityq-nil'!C1067&gt;=2018-50,'hospitalityq-nil'!C1067&lt;=2018+50),FALSE)),SUMPRODUCT(--(TRIM('hospitalityq-nil'!C6:C1067)=TRIM('hospitalityq-nil'!C1067)),--(TRIM('hospitalityq-nil'!D6:D1067)=TRIM('hospitalityq-nil'!D1067)))&gt;1))</f>
        <v>0</v>
      </c>
      <c r="D1067">
        <f>NOT('hospitalityq-nil'!D1067="")*(OR(COUNTIF(reference!$C$144:$C$155,TRIM(LEFT('hospitalityq-nil'!D1067,FIND(":",'hospitalityq-nil'!D1067&amp;":")-1))&amp;":*")=0,SUMPRODUCT(--(TRIM('hospitalityq-nil'!C6:C1067)=TRIM('hospitalityq-nil'!C1067)),--(TRIM('hospitalityq-nil'!D6:D1067)=TRIM('hospitalityq-nil'!D1067)))&gt;1))</f>
        <v>0</v>
      </c>
    </row>
    <row r="1068" spans="1:4" x14ac:dyDescent="0.25">
      <c r="A1068">
        <f t="shared" si="16"/>
        <v>0</v>
      </c>
      <c r="C1068">
        <f>NOT('hospitalityq-nil'!C1068="")*(OR(NOT(IFERROR(AND(INT('hospitalityq-nil'!C1068)='hospitalityq-nil'!C1068,'hospitalityq-nil'!C1068&gt;=2018-50,'hospitalityq-nil'!C1068&lt;=2018+50),FALSE)),SUMPRODUCT(--(TRIM('hospitalityq-nil'!C6:C1068)=TRIM('hospitalityq-nil'!C1068)),--(TRIM('hospitalityq-nil'!D6:D1068)=TRIM('hospitalityq-nil'!D1068)))&gt;1))</f>
        <v>0</v>
      </c>
      <c r="D1068">
        <f>NOT('hospitalityq-nil'!D1068="")*(OR(COUNTIF(reference!$C$144:$C$155,TRIM(LEFT('hospitalityq-nil'!D1068,FIND(":",'hospitalityq-nil'!D1068&amp;":")-1))&amp;":*")=0,SUMPRODUCT(--(TRIM('hospitalityq-nil'!C6:C1068)=TRIM('hospitalityq-nil'!C1068)),--(TRIM('hospitalityq-nil'!D6:D1068)=TRIM('hospitalityq-nil'!D1068)))&gt;1))</f>
        <v>0</v>
      </c>
    </row>
    <row r="1069" spans="1:4" x14ac:dyDescent="0.25">
      <c r="A1069">
        <f t="shared" si="16"/>
        <v>0</v>
      </c>
      <c r="C1069">
        <f>NOT('hospitalityq-nil'!C1069="")*(OR(NOT(IFERROR(AND(INT('hospitalityq-nil'!C1069)='hospitalityq-nil'!C1069,'hospitalityq-nil'!C1069&gt;=2018-50,'hospitalityq-nil'!C1069&lt;=2018+50),FALSE)),SUMPRODUCT(--(TRIM('hospitalityq-nil'!C6:C1069)=TRIM('hospitalityq-nil'!C1069)),--(TRIM('hospitalityq-nil'!D6:D1069)=TRIM('hospitalityq-nil'!D1069)))&gt;1))</f>
        <v>0</v>
      </c>
      <c r="D1069">
        <f>NOT('hospitalityq-nil'!D1069="")*(OR(COUNTIF(reference!$C$144:$C$155,TRIM(LEFT('hospitalityq-nil'!D1069,FIND(":",'hospitalityq-nil'!D1069&amp;":")-1))&amp;":*")=0,SUMPRODUCT(--(TRIM('hospitalityq-nil'!C6:C1069)=TRIM('hospitalityq-nil'!C1069)),--(TRIM('hospitalityq-nil'!D6:D1069)=TRIM('hospitalityq-nil'!D1069)))&gt;1))</f>
        <v>0</v>
      </c>
    </row>
    <row r="1070" spans="1:4" x14ac:dyDescent="0.25">
      <c r="A1070">
        <f t="shared" si="16"/>
        <v>0</v>
      </c>
      <c r="C1070">
        <f>NOT('hospitalityq-nil'!C1070="")*(OR(NOT(IFERROR(AND(INT('hospitalityq-nil'!C1070)='hospitalityq-nil'!C1070,'hospitalityq-nil'!C1070&gt;=2018-50,'hospitalityq-nil'!C1070&lt;=2018+50),FALSE)),SUMPRODUCT(--(TRIM('hospitalityq-nil'!C6:C1070)=TRIM('hospitalityq-nil'!C1070)),--(TRIM('hospitalityq-nil'!D6:D1070)=TRIM('hospitalityq-nil'!D1070)))&gt;1))</f>
        <v>0</v>
      </c>
      <c r="D1070">
        <f>NOT('hospitalityq-nil'!D1070="")*(OR(COUNTIF(reference!$C$144:$C$155,TRIM(LEFT('hospitalityq-nil'!D1070,FIND(":",'hospitalityq-nil'!D1070&amp;":")-1))&amp;":*")=0,SUMPRODUCT(--(TRIM('hospitalityq-nil'!C6:C1070)=TRIM('hospitalityq-nil'!C1070)),--(TRIM('hospitalityq-nil'!D6:D1070)=TRIM('hospitalityq-nil'!D1070)))&gt;1))</f>
        <v>0</v>
      </c>
    </row>
    <row r="1071" spans="1:4" x14ac:dyDescent="0.25">
      <c r="A1071">
        <f t="shared" si="16"/>
        <v>0</v>
      </c>
      <c r="C1071">
        <f>NOT('hospitalityq-nil'!C1071="")*(OR(NOT(IFERROR(AND(INT('hospitalityq-nil'!C1071)='hospitalityq-nil'!C1071,'hospitalityq-nil'!C1071&gt;=2018-50,'hospitalityq-nil'!C1071&lt;=2018+50),FALSE)),SUMPRODUCT(--(TRIM('hospitalityq-nil'!C6:C1071)=TRIM('hospitalityq-nil'!C1071)),--(TRIM('hospitalityq-nil'!D6:D1071)=TRIM('hospitalityq-nil'!D1071)))&gt;1))</f>
        <v>0</v>
      </c>
      <c r="D1071">
        <f>NOT('hospitalityq-nil'!D1071="")*(OR(COUNTIF(reference!$C$144:$C$155,TRIM(LEFT('hospitalityq-nil'!D1071,FIND(":",'hospitalityq-nil'!D1071&amp;":")-1))&amp;":*")=0,SUMPRODUCT(--(TRIM('hospitalityq-nil'!C6:C1071)=TRIM('hospitalityq-nil'!C1071)),--(TRIM('hospitalityq-nil'!D6:D1071)=TRIM('hospitalityq-nil'!D1071)))&gt;1))</f>
        <v>0</v>
      </c>
    </row>
    <row r="1072" spans="1:4" x14ac:dyDescent="0.25">
      <c r="A1072">
        <f t="shared" si="16"/>
        <v>0</v>
      </c>
      <c r="C1072">
        <f>NOT('hospitalityq-nil'!C1072="")*(OR(NOT(IFERROR(AND(INT('hospitalityq-nil'!C1072)='hospitalityq-nil'!C1072,'hospitalityq-nil'!C1072&gt;=2018-50,'hospitalityq-nil'!C1072&lt;=2018+50),FALSE)),SUMPRODUCT(--(TRIM('hospitalityq-nil'!C6:C1072)=TRIM('hospitalityq-nil'!C1072)),--(TRIM('hospitalityq-nil'!D6:D1072)=TRIM('hospitalityq-nil'!D1072)))&gt;1))</f>
        <v>0</v>
      </c>
      <c r="D1072">
        <f>NOT('hospitalityq-nil'!D1072="")*(OR(COUNTIF(reference!$C$144:$C$155,TRIM(LEFT('hospitalityq-nil'!D1072,FIND(":",'hospitalityq-nil'!D1072&amp;":")-1))&amp;":*")=0,SUMPRODUCT(--(TRIM('hospitalityq-nil'!C6:C1072)=TRIM('hospitalityq-nil'!C1072)),--(TRIM('hospitalityq-nil'!D6:D1072)=TRIM('hospitalityq-nil'!D1072)))&gt;1))</f>
        <v>0</v>
      </c>
    </row>
    <row r="1073" spans="1:4" x14ac:dyDescent="0.25">
      <c r="A1073">
        <f t="shared" si="16"/>
        <v>0</v>
      </c>
      <c r="C1073">
        <f>NOT('hospitalityq-nil'!C1073="")*(OR(NOT(IFERROR(AND(INT('hospitalityq-nil'!C1073)='hospitalityq-nil'!C1073,'hospitalityq-nil'!C1073&gt;=2018-50,'hospitalityq-nil'!C1073&lt;=2018+50),FALSE)),SUMPRODUCT(--(TRIM('hospitalityq-nil'!C6:C1073)=TRIM('hospitalityq-nil'!C1073)),--(TRIM('hospitalityq-nil'!D6:D1073)=TRIM('hospitalityq-nil'!D1073)))&gt;1))</f>
        <v>0</v>
      </c>
      <c r="D1073">
        <f>NOT('hospitalityq-nil'!D1073="")*(OR(COUNTIF(reference!$C$144:$C$155,TRIM(LEFT('hospitalityq-nil'!D1073,FIND(":",'hospitalityq-nil'!D1073&amp;":")-1))&amp;":*")=0,SUMPRODUCT(--(TRIM('hospitalityq-nil'!C6:C1073)=TRIM('hospitalityq-nil'!C1073)),--(TRIM('hospitalityq-nil'!D6:D1073)=TRIM('hospitalityq-nil'!D1073)))&gt;1))</f>
        <v>0</v>
      </c>
    </row>
    <row r="1074" spans="1:4" x14ac:dyDescent="0.25">
      <c r="A1074">
        <f t="shared" si="16"/>
        <v>0</v>
      </c>
      <c r="C1074">
        <f>NOT('hospitalityq-nil'!C1074="")*(OR(NOT(IFERROR(AND(INT('hospitalityq-nil'!C1074)='hospitalityq-nil'!C1074,'hospitalityq-nil'!C1074&gt;=2018-50,'hospitalityq-nil'!C1074&lt;=2018+50),FALSE)),SUMPRODUCT(--(TRIM('hospitalityq-nil'!C6:C1074)=TRIM('hospitalityq-nil'!C1074)),--(TRIM('hospitalityq-nil'!D6:D1074)=TRIM('hospitalityq-nil'!D1074)))&gt;1))</f>
        <v>0</v>
      </c>
      <c r="D1074">
        <f>NOT('hospitalityq-nil'!D1074="")*(OR(COUNTIF(reference!$C$144:$C$155,TRIM(LEFT('hospitalityq-nil'!D1074,FIND(":",'hospitalityq-nil'!D1074&amp;":")-1))&amp;":*")=0,SUMPRODUCT(--(TRIM('hospitalityq-nil'!C6:C1074)=TRIM('hospitalityq-nil'!C1074)),--(TRIM('hospitalityq-nil'!D6:D1074)=TRIM('hospitalityq-nil'!D1074)))&gt;1))</f>
        <v>0</v>
      </c>
    </row>
    <row r="1075" spans="1:4" x14ac:dyDescent="0.25">
      <c r="A1075">
        <f t="shared" si="16"/>
        <v>0</v>
      </c>
      <c r="C1075">
        <f>NOT('hospitalityq-nil'!C1075="")*(OR(NOT(IFERROR(AND(INT('hospitalityq-nil'!C1075)='hospitalityq-nil'!C1075,'hospitalityq-nil'!C1075&gt;=2018-50,'hospitalityq-nil'!C1075&lt;=2018+50),FALSE)),SUMPRODUCT(--(TRIM('hospitalityq-nil'!C6:C1075)=TRIM('hospitalityq-nil'!C1075)),--(TRIM('hospitalityq-nil'!D6:D1075)=TRIM('hospitalityq-nil'!D1075)))&gt;1))</f>
        <v>0</v>
      </c>
      <c r="D1075">
        <f>NOT('hospitalityq-nil'!D1075="")*(OR(COUNTIF(reference!$C$144:$C$155,TRIM(LEFT('hospitalityq-nil'!D1075,FIND(":",'hospitalityq-nil'!D1075&amp;":")-1))&amp;":*")=0,SUMPRODUCT(--(TRIM('hospitalityq-nil'!C6:C1075)=TRIM('hospitalityq-nil'!C1075)),--(TRIM('hospitalityq-nil'!D6:D1075)=TRIM('hospitalityq-nil'!D1075)))&gt;1))</f>
        <v>0</v>
      </c>
    </row>
    <row r="1076" spans="1:4" x14ac:dyDescent="0.25">
      <c r="A1076">
        <f t="shared" si="16"/>
        <v>0</v>
      </c>
      <c r="C1076">
        <f>NOT('hospitalityq-nil'!C1076="")*(OR(NOT(IFERROR(AND(INT('hospitalityq-nil'!C1076)='hospitalityq-nil'!C1076,'hospitalityq-nil'!C1076&gt;=2018-50,'hospitalityq-nil'!C1076&lt;=2018+50),FALSE)),SUMPRODUCT(--(TRIM('hospitalityq-nil'!C6:C1076)=TRIM('hospitalityq-nil'!C1076)),--(TRIM('hospitalityq-nil'!D6:D1076)=TRIM('hospitalityq-nil'!D1076)))&gt;1))</f>
        <v>0</v>
      </c>
      <c r="D1076">
        <f>NOT('hospitalityq-nil'!D1076="")*(OR(COUNTIF(reference!$C$144:$C$155,TRIM(LEFT('hospitalityq-nil'!D1076,FIND(":",'hospitalityq-nil'!D1076&amp;":")-1))&amp;":*")=0,SUMPRODUCT(--(TRIM('hospitalityq-nil'!C6:C1076)=TRIM('hospitalityq-nil'!C1076)),--(TRIM('hospitalityq-nil'!D6:D1076)=TRIM('hospitalityq-nil'!D1076)))&gt;1))</f>
        <v>0</v>
      </c>
    </row>
    <row r="1077" spans="1:4" x14ac:dyDescent="0.25">
      <c r="A1077">
        <f t="shared" si="16"/>
        <v>0</v>
      </c>
      <c r="C1077">
        <f>NOT('hospitalityq-nil'!C1077="")*(OR(NOT(IFERROR(AND(INT('hospitalityq-nil'!C1077)='hospitalityq-nil'!C1077,'hospitalityq-nil'!C1077&gt;=2018-50,'hospitalityq-nil'!C1077&lt;=2018+50),FALSE)),SUMPRODUCT(--(TRIM('hospitalityq-nil'!C6:C1077)=TRIM('hospitalityq-nil'!C1077)),--(TRIM('hospitalityq-nil'!D6:D1077)=TRIM('hospitalityq-nil'!D1077)))&gt;1))</f>
        <v>0</v>
      </c>
      <c r="D1077">
        <f>NOT('hospitalityq-nil'!D1077="")*(OR(COUNTIF(reference!$C$144:$C$155,TRIM(LEFT('hospitalityq-nil'!D1077,FIND(":",'hospitalityq-nil'!D1077&amp;":")-1))&amp;":*")=0,SUMPRODUCT(--(TRIM('hospitalityq-nil'!C6:C1077)=TRIM('hospitalityq-nil'!C1077)),--(TRIM('hospitalityq-nil'!D6:D1077)=TRIM('hospitalityq-nil'!D1077)))&gt;1))</f>
        <v>0</v>
      </c>
    </row>
    <row r="1078" spans="1:4" x14ac:dyDescent="0.25">
      <c r="A1078">
        <f t="shared" si="16"/>
        <v>0</v>
      </c>
      <c r="C1078">
        <f>NOT('hospitalityq-nil'!C1078="")*(OR(NOT(IFERROR(AND(INT('hospitalityq-nil'!C1078)='hospitalityq-nil'!C1078,'hospitalityq-nil'!C1078&gt;=2018-50,'hospitalityq-nil'!C1078&lt;=2018+50),FALSE)),SUMPRODUCT(--(TRIM('hospitalityq-nil'!C6:C1078)=TRIM('hospitalityq-nil'!C1078)),--(TRIM('hospitalityq-nil'!D6:D1078)=TRIM('hospitalityq-nil'!D1078)))&gt;1))</f>
        <v>0</v>
      </c>
      <c r="D1078">
        <f>NOT('hospitalityq-nil'!D1078="")*(OR(COUNTIF(reference!$C$144:$C$155,TRIM(LEFT('hospitalityq-nil'!D1078,FIND(":",'hospitalityq-nil'!D1078&amp;":")-1))&amp;":*")=0,SUMPRODUCT(--(TRIM('hospitalityq-nil'!C6:C1078)=TRIM('hospitalityq-nil'!C1078)),--(TRIM('hospitalityq-nil'!D6:D1078)=TRIM('hospitalityq-nil'!D1078)))&gt;1))</f>
        <v>0</v>
      </c>
    </row>
    <row r="1079" spans="1:4" x14ac:dyDescent="0.25">
      <c r="A1079">
        <f t="shared" si="16"/>
        <v>0</v>
      </c>
      <c r="C1079">
        <f>NOT('hospitalityq-nil'!C1079="")*(OR(NOT(IFERROR(AND(INT('hospitalityq-nil'!C1079)='hospitalityq-nil'!C1079,'hospitalityq-nil'!C1079&gt;=2018-50,'hospitalityq-nil'!C1079&lt;=2018+50),FALSE)),SUMPRODUCT(--(TRIM('hospitalityq-nil'!C6:C1079)=TRIM('hospitalityq-nil'!C1079)),--(TRIM('hospitalityq-nil'!D6:D1079)=TRIM('hospitalityq-nil'!D1079)))&gt;1))</f>
        <v>0</v>
      </c>
      <c r="D1079">
        <f>NOT('hospitalityq-nil'!D1079="")*(OR(COUNTIF(reference!$C$144:$C$155,TRIM(LEFT('hospitalityq-nil'!D1079,FIND(":",'hospitalityq-nil'!D1079&amp;":")-1))&amp;":*")=0,SUMPRODUCT(--(TRIM('hospitalityq-nil'!C6:C1079)=TRIM('hospitalityq-nil'!C1079)),--(TRIM('hospitalityq-nil'!D6:D1079)=TRIM('hospitalityq-nil'!D1079)))&gt;1))</f>
        <v>0</v>
      </c>
    </row>
    <row r="1080" spans="1:4" x14ac:dyDescent="0.25">
      <c r="A1080">
        <f t="shared" si="16"/>
        <v>0</v>
      </c>
      <c r="C1080">
        <f>NOT('hospitalityq-nil'!C1080="")*(OR(NOT(IFERROR(AND(INT('hospitalityq-nil'!C1080)='hospitalityq-nil'!C1080,'hospitalityq-nil'!C1080&gt;=2018-50,'hospitalityq-nil'!C1080&lt;=2018+50),FALSE)),SUMPRODUCT(--(TRIM('hospitalityq-nil'!C6:C1080)=TRIM('hospitalityq-nil'!C1080)),--(TRIM('hospitalityq-nil'!D6:D1080)=TRIM('hospitalityq-nil'!D1080)))&gt;1))</f>
        <v>0</v>
      </c>
      <c r="D1080">
        <f>NOT('hospitalityq-nil'!D1080="")*(OR(COUNTIF(reference!$C$144:$C$155,TRIM(LEFT('hospitalityq-nil'!D1080,FIND(":",'hospitalityq-nil'!D1080&amp;":")-1))&amp;":*")=0,SUMPRODUCT(--(TRIM('hospitalityq-nil'!C6:C1080)=TRIM('hospitalityq-nil'!C1080)),--(TRIM('hospitalityq-nil'!D6:D1080)=TRIM('hospitalityq-nil'!D1080)))&gt;1))</f>
        <v>0</v>
      </c>
    </row>
    <row r="1081" spans="1:4" x14ac:dyDescent="0.25">
      <c r="A1081">
        <f t="shared" si="16"/>
        <v>0</v>
      </c>
      <c r="C1081">
        <f>NOT('hospitalityq-nil'!C1081="")*(OR(NOT(IFERROR(AND(INT('hospitalityq-nil'!C1081)='hospitalityq-nil'!C1081,'hospitalityq-nil'!C1081&gt;=2018-50,'hospitalityq-nil'!C1081&lt;=2018+50),FALSE)),SUMPRODUCT(--(TRIM('hospitalityq-nil'!C6:C1081)=TRIM('hospitalityq-nil'!C1081)),--(TRIM('hospitalityq-nil'!D6:D1081)=TRIM('hospitalityq-nil'!D1081)))&gt;1))</f>
        <v>0</v>
      </c>
      <c r="D1081">
        <f>NOT('hospitalityq-nil'!D1081="")*(OR(COUNTIF(reference!$C$144:$C$155,TRIM(LEFT('hospitalityq-nil'!D1081,FIND(":",'hospitalityq-nil'!D1081&amp;":")-1))&amp;":*")=0,SUMPRODUCT(--(TRIM('hospitalityq-nil'!C6:C1081)=TRIM('hospitalityq-nil'!C1081)),--(TRIM('hospitalityq-nil'!D6:D1081)=TRIM('hospitalityq-nil'!D1081)))&gt;1))</f>
        <v>0</v>
      </c>
    </row>
    <row r="1082" spans="1:4" x14ac:dyDescent="0.25">
      <c r="A1082">
        <f t="shared" si="16"/>
        <v>0</v>
      </c>
      <c r="C1082">
        <f>NOT('hospitalityq-nil'!C1082="")*(OR(NOT(IFERROR(AND(INT('hospitalityq-nil'!C1082)='hospitalityq-nil'!C1082,'hospitalityq-nil'!C1082&gt;=2018-50,'hospitalityq-nil'!C1082&lt;=2018+50),FALSE)),SUMPRODUCT(--(TRIM('hospitalityq-nil'!C6:C1082)=TRIM('hospitalityq-nil'!C1082)),--(TRIM('hospitalityq-nil'!D6:D1082)=TRIM('hospitalityq-nil'!D1082)))&gt;1))</f>
        <v>0</v>
      </c>
      <c r="D1082">
        <f>NOT('hospitalityq-nil'!D1082="")*(OR(COUNTIF(reference!$C$144:$C$155,TRIM(LEFT('hospitalityq-nil'!D1082,FIND(":",'hospitalityq-nil'!D1082&amp;":")-1))&amp;":*")=0,SUMPRODUCT(--(TRIM('hospitalityq-nil'!C6:C1082)=TRIM('hospitalityq-nil'!C1082)),--(TRIM('hospitalityq-nil'!D6:D1082)=TRIM('hospitalityq-nil'!D1082)))&gt;1))</f>
        <v>0</v>
      </c>
    </row>
    <row r="1083" spans="1:4" x14ac:dyDescent="0.25">
      <c r="A1083">
        <f t="shared" si="16"/>
        <v>0</v>
      </c>
      <c r="C1083">
        <f>NOT('hospitalityq-nil'!C1083="")*(OR(NOT(IFERROR(AND(INT('hospitalityq-nil'!C1083)='hospitalityq-nil'!C1083,'hospitalityq-nil'!C1083&gt;=2018-50,'hospitalityq-nil'!C1083&lt;=2018+50),FALSE)),SUMPRODUCT(--(TRIM('hospitalityq-nil'!C6:C1083)=TRIM('hospitalityq-nil'!C1083)),--(TRIM('hospitalityq-nil'!D6:D1083)=TRIM('hospitalityq-nil'!D1083)))&gt;1))</f>
        <v>0</v>
      </c>
      <c r="D1083">
        <f>NOT('hospitalityq-nil'!D1083="")*(OR(COUNTIF(reference!$C$144:$C$155,TRIM(LEFT('hospitalityq-nil'!D1083,FIND(":",'hospitalityq-nil'!D1083&amp;":")-1))&amp;":*")=0,SUMPRODUCT(--(TRIM('hospitalityq-nil'!C6:C1083)=TRIM('hospitalityq-nil'!C1083)),--(TRIM('hospitalityq-nil'!D6:D1083)=TRIM('hospitalityq-nil'!D1083)))&gt;1))</f>
        <v>0</v>
      </c>
    </row>
    <row r="1084" spans="1:4" x14ac:dyDescent="0.25">
      <c r="A1084">
        <f t="shared" si="16"/>
        <v>0</v>
      </c>
      <c r="C1084">
        <f>NOT('hospitalityq-nil'!C1084="")*(OR(NOT(IFERROR(AND(INT('hospitalityq-nil'!C1084)='hospitalityq-nil'!C1084,'hospitalityq-nil'!C1084&gt;=2018-50,'hospitalityq-nil'!C1084&lt;=2018+50),FALSE)),SUMPRODUCT(--(TRIM('hospitalityq-nil'!C6:C1084)=TRIM('hospitalityq-nil'!C1084)),--(TRIM('hospitalityq-nil'!D6:D1084)=TRIM('hospitalityq-nil'!D1084)))&gt;1))</f>
        <v>0</v>
      </c>
      <c r="D1084">
        <f>NOT('hospitalityq-nil'!D1084="")*(OR(COUNTIF(reference!$C$144:$C$155,TRIM(LEFT('hospitalityq-nil'!D1084,FIND(":",'hospitalityq-nil'!D1084&amp;":")-1))&amp;":*")=0,SUMPRODUCT(--(TRIM('hospitalityq-nil'!C6:C1084)=TRIM('hospitalityq-nil'!C1084)),--(TRIM('hospitalityq-nil'!D6:D1084)=TRIM('hospitalityq-nil'!D1084)))&gt;1))</f>
        <v>0</v>
      </c>
    </row>
    <row r="1085" spans="1:4" x14ac:dyDescent="0.25">
      <c r="A1085">
        <f t="shared" si="16"/>
        <v>0</v>
      </c>
      <c r="C1085">
        <f>NOT('hospitalityq-nil'!C1085="")*(OR(NOT(IFERROR(AND(INT('hospitalityq-nil'!C1085)='hospitalityq-nil'!C1085,'hospitalityq-nil'!C1085&gt;=2018-50,'hospitalityq-nil'!C1085&lt;=2018+50),FALSE)),SUMPRODUCT(--(TRIM('hospitalityq-nil'!C6:C1085)=TRIM('hospitalityq-nil'!C1085)),--(TRIM('hospitalityq-nil'!D6:D1085)=TRIM('hospitalityq-nil'!D1085)))&gt;1))</f>
        <v>0</v>
      </c>
      <c r="D1085">
        <f>NOT('hospitalityq-nil'!D1085="")*(OR(COUNTIF(reference!$C$144:$C$155,TRIM(LEFT('hospitalityq-nil'!D1085,FIND(":",'hospitalityq-nil'!D1085&amp;":")-1))&amp;":*")=0,SUMPRODUCT(--(TRIM('hospitalityq-nil'!C6:C1085)=TRIM('hospitalityq-nil'!C1085)),--(TRIM('hospitalityq-nil'!D6:D1085)=TRIM('hospitalityq-nil'!D1085)))&gt;1))</f>
        <v>0</v>
      </c>
    </row>
    <row r="1086" spans="1:4" x14ac:dyDescent="0.25">
      <c r="A1086">
        <f t="shared" si="16"/>
        <v>0</v>
      </c>
      <c r="C1086">
        <f>NOT('hospitalityq-nil'!C1086="")*(OR(NOT(IFERROR(AND(INT('hospitalityq-nil'!C1086)='hospitalityq-nil'!C1086,'hospitalityq-nil'!C1086&gt;=2018-50,'hospitalityq-nil'!C1086&lt;=2018+50),FALSE)),SUMPRODUCT(--(TRIM('hospitalityq-nil'!C6:C1086)=TRIM('hospitalityq-nil'!C1086)),--(TRIM('hospitalityq-nil'!D6:D1086)=TRIM('hospitalityq-nil'!D1086)))&gt;1))</f>
        <v>0</v>
      </c>
      <c r="D1086">
        <f>NOT('hospitalityq-nil'!D1086="")*(OR(COUNTIF(reference!$C$144:$C$155,TRIM(LEFT('hospitalityq-nil'!D1086,FIND(":",'hospitalityq-nil'!D1086&amp;":")-1))&amp;":*")=0,SUMPRODUCT(--(TRIM('hospitalityq-nil'!C6:C1086)=TRIM('hospitalityq-nil'!C1086)),--(TRIM('hospitalityq-nil'!D6:D1086)=TRIM('hospitalityq-nil'!D1086)))&gt;1))</f>
        <v>0</v>
      </c>
    </row>
    <row r="1087" spans="1:4" x14ac:dyDescent="0.25">
      <c r="A1087">
        <f t="shared" si="16"/>
        <v>0</v>
      </c>
      <c r="C1087">
        <f>NOT('hospitalityq-nil'!C1087="")*(OR(NOT(IFERROR(AND(INT('hospitalityq-nil'!C1087)='hospitalityq-nil'!C1087,'hospitalityq-nil'!C1087&gt;=2018-50,'hospitalityq-nil'!C1087&lt;=2018+50),FALSE)),SUMPRODUCT(--(TRIM('hospitalityq-nil'!C6:C1087)=TRIM('hospitalityq-nil'!C1087)),--(TRIM('hospitalityq-nil'!D6:D1087)=TRIM('hospitalityq-nil'!D1087)))&gt;1))</f>
        <v>0</v>
      </c>
      <c r="D1087">
        <f>NOT('hospitalityq-nil'!D1087="")*(OR(COUNTIF(reference!$C$144:$C$155,TRIM(LEFT('hospitalityq-nil'!D1087,FIND(":",'hospitalityq-nil'!D1087&amp;":")-1))&amp;":*")=0,SUMPRODUCT(--(TRIM('hospitalityq-nil'!C6:C1087)=TRIM('hospitalityq-nil'!C1087)),--(TRIM('hospitalityq-nil'!D6:D1087)=TRIM('hospitalityq-nil'!D1087)))&gt;1))</f>
        <v>0</v>
      </c>
    </row>
    <row r="1088" spans="1:4" x14ac:dyDescent="0.25">
      <c r="A1088">
        <f t="shared" si="16"/>
        <v>0</v>
      </c>
      <c r="C1088">
        <f>NOT('hospitalityq-nil'!C1088="")*(OR(NOT(IFERROR(AND(INT('hospitalityq-nil'!C1088)='hospitalityq-nil'!C1088,'hospitalityq-nil'!C1088&gt;=2018-50,'hospitalityq-nil'!C1088&lt;=2018+50),FALSE)),SUMPRODUCT(--(TRIM('hospitalityq-nil'!C6:C1088)=TRIM('hospitalityq-nil'!C1088)),--(TRIM('hospitalityq-nil'!D6:D1088)=TRIM('hospitalityq-nil'!D1088)))&gt;1))</f>
        <v>0</v>
      </c>
      <c r="D1088">
        <f>NOT('hospitalityq-nil'!D1088="")*(OR(COUNTIF(reference!$C$144:$C$155,TRIM(LEFT('hospitalityq-nil'!D1088,FIND(":",'hospitalityq-nil'!D1088&amp;":")-1))&amp;":*")=0,SUMPRODUCT(--(TRIM('hospitalityq-nil'!C6:C1088)=TRIM('hospitalityq-nil'!C1088)),--(TRIM('hospitalityq-nil'!D6:D1088)=TRIM('hospitalityq-nil'!D1088)))&gt;1))</f>
        <v>0</v>
      </c>
    </row>
    <row r="1089" spans="1:4" x14ac:dyDescent="0.25">
      <c r="A1089">
        <f t="shared" si="16"/>
        <v>0</v>
      </c>
      <c r="C1089">
        <f>NOT('hospitalityq-nil'!C1089="")*(OR(NOT(IFERROR(AND(INT('hospitalityq-nil'!C1089)='hospitalityq-nil'!C1089,'hospitalityq-nil'!C1089&gt;=2018-50,'hospitalityq-nil'!C1089&lt;=2018+50),FALSE)),SUMPRODUCT(--(TRIM('hospitalityq-nil'!C6:C1089)=TRIM('hospitalityq-nil'!C1089)),--(TRIM('hospitalityq-nil'!D6:D1089)=TRIM('hospitalityq-nil'!D1089)))&gt;1))</f>
        <v>0</v>
      </c>
      <c r="D1089">
        <f>NOT('hospitalityq-nil'!D1089="")*(OR(COUNTIF(reference!$C$144:$C$155,TRIM(LEFT('hospitalityq-nil'!D1089,FIND(":",'hospitalityq-nil'!D1089&amp;":")-1))&amp;":*")=0,SUMPRODUCT(--(TRIM('hospitalityq-nil'!C6:C1089)=TRIM('hospitalityq-nil'!C1089)),--(TRIM('hospitalityq-nil'!D6:D1089)=TRIM('hospitalityq-nil'!D1089)))&gt;1))</f>
        <v>0</v>
      </c>
    </row>
    <row r="1090" spans="1:4" x14ac:dyDescent="0.25">
      <c r="A1090">
        <f t="shared" si="16"/>
        <v>0</v>
      </c>
      <c r="C1090">
        <f>NOT('hospitalityq-nil'!C1090="")*(OR(NOT(IFERROR(AND(INT('hospitalityq-nil'!C1090)='hospitalityq-nil'!C1090,'hospitalityq-nil'!C1090&gt;=2018-50,'hospitalityq-nil'!C1090&lt;=2018+50),FALSE)),SUMPRODUCT(--(TRIM('hospitalityq-nil'!C6:C1090)=TRIM('hospitalityq-nil'!C1090)),--(TRIM('hospitalityq-nil'!D6:D1090)=TRIM('hospitalityq-nil'!D1090)))&gt;1))</f>
        <v>0</v>
      </c>
      <c r="D1090">
        <f>NOT('hospitalityq-nil'!D1090="")*(OR(COUNTIF(reference!$C$144:$C$155,TRIM(LEFT('hospitalityq-nil'!D1090,FIND(":",'hospitalityq-nil'!D1090&amp;":")-1))&amp;":*")=0,SUMPRODUCT(--(TRIM('hospitalityq-nil'!C6:C1090)=TRIM('hospitalityq-nil'!C1090)),--(TRIM('hospitalityq-nil'!D6:D1090)=TRIM('hospitalityq-nil'!D1090)))&gt;1))</f>
        <v>0</v>
      </c>
    </row>
    <row r="1091" spans="1:4" x14ac:dyDescent="0.25">
      <c r="A1091">
        <f t="shared" si="16"/>
        <v>0</v>
      </c>
      <c r="C1091">
        <f>NOT('hospitalityq-nil'!C1091="")*(OR(NOT(IFERROR(AND(INT('hospitalityq-nil'!C1091)='hospitalityq-nil'!C1091,'hospitalityq-nil'!C1091&gt;=2018-50,'hospitalityq-nil'!C1091&lt;=2018+50),FALSE)),SUMPRODUCT(--(TRIM('hospitalityq-nil'!C6:C1091)=TRIM('hospitalityq-nil'!C1091)),--(TRIM('hospitalityq-nil'!D6:D1091)=TRIM('hospitalityq-nil'!D1091)))&gt;1))</f>
        <v>0</v>
      </c>
      <c r="D1091">
        <f>NOT('hospitalityq-nil'!D1091="")*(OR(COUNTIF(reference!$C$144:$C$155,TRIM(LEFT('hospitalityq-nil'!D1091,FIND(":",'hospitalityq-nil'!D1091&amp;":")-1))&amp;":*")=0,SUMPRODUCT(--(TRIM('hospitalityq-nil'!C6:C1091)=TRIM('hospitalityq-nil'!C1091)),--(TRIM('hospitalityq-nil'!D6:D1091)=TRIM('hospitalityq-nil'!D1091)))&gt;1))</f>
        <v>0</v>
      </c>
    </row>
    <row r="1092" spans="1:4" x14ac:dyDescent="0.25">
      <c r="A1092">
        <f t="shared" si="16"/>
        <v>0</v>
      </c>
      <c r="C1092">
        <f>NOT('hospitalityq-nil'!C1092="")*(OR(NOT(IFERROR(AND(INT('hospitalityq-nil'!C1092)='hospitalityq-nil'!C1092,'hospitalityq-nil'!C1092&gt;=2018-50,'hospitalityq-nil'!C1092&lt;=2018+50),FALSE)),SUMPRODUCT(--(TRIM('hospitalityq-nil'!C6:C1092)=TRIM('hospitalityq-nil'!C1092)),--(TRIM('hospitalityq-nil'!D6:D1092)=TRIM('hospitalityq-nil'!D1092)))&gt;1))</f>
        <v>0</v>
      </c>
      <c r="D1092">
        <f>NOT('hospitalityq-nil'!D1092="")*(OR(COUNTIF(reference!$C$144:$C$155,TRIM(LEFT('hospitalityq-nil'!D1092,FIND(":",'hospitalityq-nil'!D1092&amp;":")-1))&amp;":*")=0,SUMPRODUCT(--(TRIM('hospitalityq-nil'!C6:C1092)=TRIM('hospitalityq-nil'!C1092)),--(TRIM('hospitalityq-nil'!D6:D1092)=TRIM('hospitalityq-nil'!D1092)))&gt;1))</f>
        <v>0</v>
      </c>
    </row>
    <row r="1093" spans="1:4" x14ac:dyDescent="0.25">
      <c r="A1093">
        <f t="shared" si="16"/>
        <v>0</v>
      </c>
      <c r="C1093">
        <f>NOT('hospitalityq-nil'!C1093="")*(OR(NOT(IFERROR(AND(INT('hospitalityq-nil'!C1093)='hospitalityq-nil'!C1093,'hospitalityq-nil'!C1093&gt;=2018-50,'hospitalityq-nil'!C1093&lt;=2018+50),FALSE)),SUMPRODUCT(--(TRIM('hospitalityq-nil'!C6:C1093)=TRIM('hospitalityq-nil'!C1093)),--(TRIM('hospitalityq-nil'!D6:D1093)=TRIM('hospitalityq-nil'!D1093)))&gt;1))</f>
        <v>0</v>
      </c>
      <c r="D1093">
        <f>NOT('hospitalityq-nil'!D1093="")*(OR(COUNTIF(reference!$C$144:$C$155,TRIM(LEFT('hospitalityq-nil'!D1093,FIND(":",'hospitalityq-nil'!D1093&amp;":")-1))&amp;":*")=0,SUMPRODUCT(--(TRIM('hospitalityq-nil'!C6:C1093)=TRIM('hospitalityq-nil'!C1093)),--(TRIM('hospitalityq-nil'!D6:D1093)=TRIM('hospitalityq-nil'!D1093)))&gt;1))</f>
        <v>0</v>
      </c>
    </row>
    <row r="1094" spans="1:4" x14ac:dyDescent="0.25">
      <c r="A1094">
        <f t="shared" ref="A1094:A1157" si="17">IFERROR(MATCH(TRUE,INDEX(C1094:D1094&lt;&gt;0,),)+2,0)</f>
        <v>0</v>
      </c>
      <c r="C1094">
        <f>NOT('hospitalityq-nil'!C1094="")*(OR(NOT(IFERROR(AND(INT('hospitalityq-nil'!C1094)='hospitalityq-nil'!C1094,'hospitalityq-nil'!C1094&gt;=2018-50,'hospitalityq-nil'!C1094&lt;=2018+50),FALSE)),SUMPRODUCT(--(TRIM('hospitalityq-nil'!C6:C1094)=TRIM('hospitalityq-nil'!C1094)),--(TRIM('hospitalityq-nil'!D6:D1094)=TRIM('hospitalityq-nil'!D1094)))&gt;1))</f>
        <v>0</v>
      </c>
      <c r="D1094">
        <f>NOT('hospitalityq-nil'!D1094="")*(OR(COUNTIF(reference!$C$144:$C$155,TRIM(LEFT('hospitalityq-nil'!D1094,FIND(":",'hospitalityq-nil'!D1094&amp;":")-1))&amp;":*")=0,SUMPRODUCT(--(TRIM('hospitalityq-nil'!C6:C1094)=TRIM('hospitalityq-nil'!C1094)),--(TRIM('hospitalityq-nil'!D6:D1094)=TRIM('hospitalityq-nil'!D1094)))&gt;1))</f>
        <v>0</v>
      </c>
    </row>
    <row r="1095" spans="1:4" x14ac:dyDescent="0.25">
      <c r="A1095">
        <f t="shared" si="17"/>
        <v>0</v>
      </c>
      <c r="C1095">
        <f>NOT('hospitalityq-nil'!C1095="")*(OR(NOT(IFERROR(AND(INT('hospitalityq-nil'!C1095)='hospitalityq-nil'!C1095,'hospitalityq-nil'!C1095&gt;=2018-50,'hospitalityq-nil'!C1095&lt;=2018+50),FALSE)),SUMPRODUCT(--(TRIM('hospitalityq-nil'!C6:C1095)=TRIM('hospitalityq-nil'!C1095)),--(TRIM('hospitalityq-nil'!D6:D1095)=TRIM('hospitalityq-nil'!D1095)))&gt;1))</f>
        <v>0</v>
      </c>
      <c r="D1095">
        <f>NOT('hospitalityq-nil'!D1095="")*(OR(COUNTIF(reference!$C$144:$C$155,TRIM(LEFT('hospitalityq-nil'!D1095,FIND(":",'hospitalityq-nil'!D1095&amp;":")-1))&amp;":*")=0,SUMPRODUCT(--(TRIM('hospitalityq-nil'!C6:C1095)=TRIM('hospitalityq-nil'!C1095)),--(TRIM('hospitalityq-nil'!D6:D1095)=TRIM('hospitalityq-nil'!D1095)))&gt;1))</f>
        <v>0</v>
      </c>
    </row>
    <row r="1096" spans="1:4" x14ac:dyDescent="0.25">
      <c r="A1096">
        <f t="shared" si="17"/>
        <v>0</v>
      </c>
      <c r="C1096">
        <f>NOT('hospitalityq-nil'!C1096="")*(OR(NOT(IFERROR(AND(INT('hospitalityq-nil'!C1096)='hospitalityq-nil'!C1096,'hospitalityq-nil'!C1096&gt;=2018-50,'hospitalityq-nil'!C1096&lt;=2018+50),FALSE)),SUMPRODUCT(--(TRIM('hospitalityq-nil'!C6:C1096)=TRIM('hospitalityq-nil'!C1096)),--(TRIM('hospitalityq-nil'!D6:D1096)=TRIM('hospitalityq-nil'!D1096)))&gt;1))</f>
        <v>0</v>
      </c>
      <c r="D1096">
        <f>NOT('hospitalityq-nil'!D1096="")*(OR(COUNTIF(reference!$C$144:$C$155,TRIM(LEFT('hospitalityq-nil'!D1096,FIND(":",'hospitalityq-nil'!D1096&amp;":")-1))&amp;":*")=0,SUMPRODUCT(--(TRIM('hospitalityq-nil'!C6:C1096)=TRIM('hospitalityq-nil'!C1096)),--(TRIM('hospitalityq-nil'!D6:D1096)=TRIM('hospitalityq-nil'!D1096)))&gt;1))</f>
        <v>0</v>
      </c>
    </row>
    <row r="1097" spans="1:4" x14ac:dyDescent="0.25">
      <c r="A1097">
        <f t="shared" si="17"/>
        <v>0</v>
      </c>
      <c r="C1097">
        <f>NOT('hospitalityq-nil'!C1097="")*(OR(NOT(IFERROR(AND(INT('hospitalityq-nil'!C1097)='hospitalityq-nil'!C1097,'hospitalityq-nil'!C1097&gt;=2018-50,'hospitalityq-nil'!C1097&lt;=2018+50),FALSE)),SUMPRODUCT(--(TRIM('hospitalityq-nil'!C6:C1097)=TRIM('hospitalityq-nil'!C1097)),--(TRIM('hospitalityq-nil'!D6:D1097)=TRIM('hospitalityq-nil'!D1097)))&gt;1))</f>
        <v>0</v>
      </c>
      <c r="D1097">
        <f>NOT('hospitalityq-nil'!D1097="")*(OR(COUNTIF(reference!$C$144:$C$155,TRIM(LEFT('hospitalityq-nil'!D1097,FIND(":",'hospitalityq-nil'!D1097&amp;":")-1))&amp;":*")=0,SUMPRODUCT(--(TRIM('hospitalityq-nil'!C6:C1097)=TRIM('hospitalityq-nil'!C1097)),--(TRIM('hospitalityq-nil'!D6:D1097)=TRIM('hospitalityq-nil'!D1097)))&gt;1))</f>
        <v>0</v>
      </c>
    </row>
    <row r="1098" spans="1:4" x14ac:dyDescent="0.25">
      <c r="A1098">
        <f t="shared" si="17"/>
        <v>0</v>
      </c>
      <c r="C1098">
        <f>NOT('hospitalityq-nil'!C1098="")*(OR(NOT(IFERROR(AND(INT('hospitalityq-nil'!C1098)='hospitalityq-nil'!C1098,'hospitalityq-nil'!C1098&gt;=2018-50,'hospitalityq-nil'!C1098&lt;=2018+50),FALSE)),SUMPRODUCT(--(TRIM('hospitalityq-nil'!C6:C1098)=TRIM('hospitalityq-nil'!C1098)),--(TRIM('hospitalityq-nil'!D6:D1098)=TRIM('hospitalityq-nil'!D1098)))&gt;1))</f>
        <v>0</v>
      </c>
      <c r="D1098">
        <f>NOT('hospitalityq-nil'!D1098="")*(OR(COUNTIF(reference!$C$144:$C$155,TRIM(LEFT('hospitalityq-nil'!D1098,FIND(":",'hospitalityq-nil'!D1098&amp;":")-1))&amp;":*")=0,SUMPRODUCT(--(TRIM('hospitalityq-nil'!C6:C1098)=TRIM('hospitalityq-nil'!C1098)),--(TRIM('hospitalityq-nil'!D6:D1098)=TRIM('hospitalityq-nil'!D1098)))&gt;1))</f>
        <v>0</v>
      </c>
    </row>
    <row r="1099" spans="1:4" x14ac:dyDescent="0.25">
      <c r="A1099">
        <f t="shared" si="17"/>
        <v>0</v>
      </c>
      <c r="C1099">
        <f>NOT('hospitalityq-nil'!C1099="")*(OR(NOT(IFERROR(AND(INT('hospitalityq-nil'!C1099)='hospitalityq-nil'!C1099,'hospitalityq-nil'!C1099&gt;=2018-50,'hospitalityq-nil'!C1099&lt;=2018+50),FALSE)),SUMPRODUCT(--(TRIM('hospitalityq-nil'!C6:C1099)=TRIM('hospitalityq-nil'!C1099)),--(TRIM('hospitalityq-nil'!D6:D1099)=TRIM('hospitalityq-nil'!D1099)))&gt;1))</f>
        <v>0</v>
      </c>
      <c r="D1099">
        <f>NOT('hospitalityq-nil'!D1099="")*(OR(COUNTIF(reference!$C$144:$C$155,TRIM(LEFT('hospitalityq-nil'!D1099,FIND(":",'hospitalityq-nil'!D1099&amp;":")-1))&amp;":*")=0,SUMPRODUCT(--(TRIM('hospitalityq-nil'!C6:C1099)=TRIM('hospitalityq-nil'!C1099)),--(TRIM('hospitalityq-nil'!D6:D1099)=TRIM('hospitalityq-nil'!D1099)))&gt;1))</f>
        <v>0</v>
      </c>
    </row>
    <row r="1100" spans="1:4" x14ac:dyDescent="0.25">
      <c r="A1100">
        <f t="shared" si="17"/>
        <v>0</v>
      </c>
      <c r="C1100">
        <f>NOT('hospitalityq-nil'!C1100="")*(OR(NOT(IFERROR(AND(INT('hospitalityq-nil'!C1100)='hospitalityq-nil'!C1100,'hospitalityq-nil'!C1100&gt;=2018-50,'hospitalityq-nil'!C1100&lt;=2018+50),FALSE)),SUMPRODUCT(--(TRIM('hospitalityq-nil'!C6:C1100)=TRIM('hospitalityq-nil'!C1100)),--(TRIM('hospitalityq-nil'!D6:D1100)=TRIM('hospitalityq-nil'!D1100)))&gt;1))</f>
        <v>0</v>
      </c>
      <c r="D1100">
        <f>NOT('hospitalityq-nil'!D1100="")*(OR(COUNTIF(reference!$C$144:$C$155,TRIM(LEFT('hospitalityq-nil'!D1100,FIND(":",'hospitalityq-nil'!D1100&amp;":")-1))&amp;":*")=0,SUMPRODUCT(--(TRIM('hospitalityq-nil'!C6:C1100)=TRIM('hospitalityq-nil'!C1100)),--(TRIM('hospitalityq-nil'!D6:D1100)=TRIM('hospitalityq-nil'!D1100)))&gt;1))</f>
        <v>0</v>
      </c>
    </row>
    <row r="1101" spans="1:4" x14ac:dyDescent="0.25">
      <c r="A1101">
        <f t="shared" si="17"/>
        <v>0</v>
      </c>
      <c r="C1101">
        <f>NOT('hospitalityq-nil'!C1101="")*(OR(NOT(IFERROR(AND(INT('hospitalityq-nil'!C1101)='hospitalityq-nil'!C1101,'hospitalityq-nil'!C1101&gt;=2018-50,'hospitalityq-nil'!C1101&lt;=2018+50),FALSE)),SUMPRODUCT(--(TRIM('hospitalityq-nil'!C6:C1101)=TRIM('hospitalityq-nil'!C1101)),--(TRIM('hospitalityq-nil'!D6:D1101)=TRIM('hospitalityq-nil'!D1101)))&gt;1))</f>
        <v>0</v>
      </c>
      <c r="D1101">
        <f>NOT('hospitalityq-nil'!D1101="")*(OR(COUNTIF(reference!$C$144:$C$155,TRIM(LEFT('hospitalityq-nil'!D1101,FIND(":",'hospitalityq-nil'!D1101&amp;":")-1))&amp;":*")=0,SUMPRODUCT(--(TRIM('hospitalityq-nil'!C6:C1101)=TRIM('hospitalityq-nil'!C1101)),--(TRIM('hospitalityq-nil'!D6:D1101)=TRIM('hospitalityq-nil'!D1101)))&gt;1))</f>
        <v>0</v>
      </c>
    </row>
    <row r="1102" spans="1:4" x14ac:dyDescent="0.25">
      <c r="A1102">
        <f t="shared" si="17"/>
        <v>0</v>
      </c>
      <c r="C1102">
        <f>NOT('hospitalityq-nil'!C1102="")*(OR(NOT(IFERROR(AND(INT('hospitalityq-nil'!C1102)='hospitalityq-nil'!C1102,'hospitalityq-nil'!C1102&gt;=2018-50,'hospitalityq-nil'!C1102&lt;=2018+50),FALSE)),SUMPRODUCT(--(TRIM('hospitalityq-nil'!C6:C1102)=TRIM('hospitalityq-nil'!C1102)),--(TRIM('hospitalityq-nil'!D6:D1102)=TRIM('hospitalityq-nil'!D1102)))&gt;1))</f>
        <v>0</v>
      </c>
      <c r="D1102">
        <f>NOT('hospitalityq-nil'!D1102="")*(OR(COUNTIF(reference!$C$144:$C$155,TRIM(LEFT('hospitalityq-nil'!D1102,FIND(":",'hospitalityq-nil'!D1102&amp;":")-1))&amp;":*")=0,SUMPRODUCT(--(TRIM('hospitalityq-nil'!C6:C1102)=TRIM('hospitalityq-nil'!C1102)),--(TRIM('hospitalityq-nil'!D6:D1102)=TRIM('hospitalityq-nil'!D1102)))&gt;1))</f>
        <v>0</v>
      </c>
    </row>
    <row r="1103" spans="1:4" x14ac:dyDescent="0.25">
      <c r="A1103">
        <f t="shared" si="17"/>
        <v>0</v>
      </c>
      <c r="C1103">
        <f>NOT('hospitalityq-nil'!C1103="")*(OR(NOT(IFERROR(AND(INT('hospitalityq-nil'!C1103)='hospitalityq-nil'!C1103,'hospitalityq-nil'!C1103&gt;=2018-50,'hospitalityq-nil'!C1103&lt;=2018+50),FALSE)),SUMPRODUCT(--(TRIM('hospitalityq-nil'!C6:C1103)=TRIM('hospitalityq-nil'!C1103)),--(TRIM('hospitalityq-nil'!D6:D1103)=TRIM('hospitalityq-nil'!D1103)))&gt;1))</f>
        <v>0</v>
      </c>
      <c r="D1103">
        <f>NOT('hospitalityq-nil'!D1103="")*(OR(COUNTIF(reference!$C$144:$C$155,TRIM(LEFT('hospitalityq-nil'!D1103,FIND(":",'hospitalityq-nil'!D1103&amp;":")-1))&amp;":*")=0,SUMPRODUCT(--(TRIM('hospitalityq-nil'!C6:C1103)=TRIM('hospitalityq-nil'!C1103)),--(TRIM('hospitalityq-nil'!D6:D1103)=TRIM('hospitalityq-nil'!D1103)))&gt;1))</f>
        <v>0</v>
      </c>
    </row>
    <row r="1104" spans="1:4" x14ac:dyDescent="0.25">
      <c r="A1104">
        <f t="shared" si="17"/>
        <v>0</v>
      </c>
      <c r="C1104">
        <f>NOT('hospitalityq-nil'!C1104="")*(OR(NOT(IFERROR(AND(INT('hospitalityq-nil'!C1104)='hospitalityq-nil'!C1104,'hospitalityq-nil'!C1104&gt;=2018-50,'hospitalityq-nil'!C1104&lt;=2018+50),FALSE)),SUMPRODUCT(--(TRIM('hospitalityq-nil'!C6:C1104)=TRIM('hospitalityq-nil'!C1104)),--(TRIM('hospitalityq-nil'!D6:D1104)=TRIM('hospitalityq-nil'!D1104)))&gt;1))</f>
        <v>0</v>
      </c>
      <c r="D1104">
        <f>NOT('hospitalityq-nil'!D1104="")*(OR(COUNTIF(reference!$C$144:$C$155,TRIM(LEFT('hospitalityq-nil'!D1104,FIND(":",'hospitalityq-nil'!D1104&amp;":")-1))&amp;":*")=0,SUMPRODUCT(--(TRIM('hospitalityq-nil'!C6:C1104)=TRIM('hospitalityq-nil'!C1104)),--(TRIM('hospitalityq-nil'!D6:D1104)=TRIM('hospitalityq-nil'!D1104)))&gt;1))</f>
        <v>0</v>
      </c>
    </row>
    <row r="1105" spans="1:4" x14ac:dyDescent="0.25">
      <c r="A1105">
        <f t="shared" si="17"/>
        <v>0</v>
      </c>
      <c r="C1105">
        <f>NOT('hospitalityq-nil'!C1105="")*(OR(NOT(IFERROR(AND(INT('hospitalityq-nil'!C1105)='hospitalityq-nil'!C1105,'hospitalityq-nil'!C1105&gt;=2018-50,'hospitalityq-nil'!C1105&lt;=2018+50),FALSE)),SUMPRODUCT(--(TRIM('hospitalityq-nil'!C6:C1105)=TRIM('hospitalityq-nil'!C1105)),--(TRIM('hospitalityq-nil'!D6:D1105)=TRIM('hospitalityq-nil'!D1105)))&gt;1))</f>
        <v>0</v>
      </c>
      <c r="D1105">
        <f>NOT('hospitalityq-nil'!D1105="")*(OR(COUNTIF(reference!$C$144:$C$155,TRIM(LEFT('hospitalityq-nil'!D1105,FIND(":",'hospitalityq-nil'!D1105&amp;":")-1))&amp;":*")=0,SUMPRODUCT(--(TRIM('hospitalityq-nil'!C6:C1105)=TRIM('hospitalityq-nil'!C1105)),--(TRIM('hospitalityq-nil'!D6:D1105)=TRIM('hospitalityq-nil'!D1105)))&gt;1))</f>
        <v>0</v>
      </c>
    </row>
    <row r="1106" spans="1:4" x14ac:dyDescent="0.25">
      <c r="A1106">
        <f t="shared" si="17"/>
        <v>0</v>
      </c>
      <c r="C1106">
        <f>NOT('hospitalityq-nil'!C1106="")*(OR(NOT(IFERROR(AND(INT('hospitalityq-nil'!C1106)='hospitalityq-nil'!C1106,'hospitalityq-nil'!C1106&gt;=2018-50,'hospitalityq-nil'!C1106&lt;=2018+50),FALSE)),SUMPRODUCT(--(TRIM('hospitalityq-nil'!C6:C1106)=TRIM('hospitalityq-nil'!C1106)),--(TRIM('hospitalityq-nil'!D6:D1106)=TRIM('hospitalityq-nil'!D1106)))&gt;1))</f>
        <v>0</v>
      </c>
      <c r="D1106">
        <f>NOT('hospitalityq-nil'!D1106="")*(OR(COUNTIF(reference!$C$144:$C$155,TRIM(LEFT('hospitalityq-nil'!D1106,FIND(":",'hospitalityq-nil'!D1106&amp;":")-1))&amp;":*")=0,SUMPRODUCT(--(TRIM('hospitalityq-nil'!C6:C1106)=TRIM('hospitalityq-nil'!C1106)),--(TRIM('hospitalityq-nil'!D6:D1106)=TRIM('hospitalityq-nil'!D1106)))&gt;1))</f>
        <v>0</v>
      </c>
    </row>
    <row r="1107" spans="1:4" x14ac:dyDescent="0.25">
      <c r="A1107">
        <f t="shared" si="17"/>
        <v>0</v>
      </c>
      <c r="C1107">
        <f>NOT('hospitalityq-nil'!C1107="")*(OR(NOT(IFERROR(AND(INT('hospitalityq-nil'!C1107)='hospitalityq-nil'!C1107,'hospitalityq-nil'!C1107&gt;=2018-50,'hospitalityq-nil'!C1107&lt;=2018+50),FALSE)),SUMPRODUCT(--(TRIM('hospitalityq-nil'!C6:C1107)=TRIM('hospitalityq-nil'!C1107)),--(TRIM('hospitalityq-nil'!D6:D1107)=TRIM('hospitalityq-nil'!D1107)))&gt;1))</f>
        <v>0</v>
      </c>
      <c r="D1107">
        <f>NOT('hospitalityq-nil'!D1107="")*(OR(COUNTIF(reference!$C$144:$C$155,TRIM(LEFT('hospitalityq-nil'!D1107,FIND(":",'hospitalityq-nil'!D1107&amp;":")-1))&amp;":*")=0,SUMPRODUCT(--(TRIM('hospitalityq-nil'!C6:C1107)=TRIM('hospitalityq-nil'!C1107)),--(TRIM('hospitalityq-nil'!D6:D1107)=TRIM('hospitalityq-nil'!D1107)))&gt;1))</f>
        <v>0</v>
      </c>
    </row>
    <row r="1108" spans="1:4" x14ac:dyDescent="0.25">
      <c r="A1108">
        <f t="shared" si="17"/>
        <v>0</v>
      </c>
      <c r="C1108">
        <f>NOT('hospitalityq-nil'!C1108="")*(OR(NOT(IFERROR(AND(INT('hospitalityq-nil'!C1108)='hospitalityq-nil'!C1108,'hospitalityq-nil'!C1108&gt;=2018-50,'hospitalityq-nil'!C1108&lt;=2018+50),FALSE)),SUMPRODUCT(--(TRIM('hospitalityq-nil'!C6:C1108)=TRIM('hospitalityq-nil'!C1108)),--(TRIM('hospitalityq-nil'!D6:D1108)=TRIM('hospitalityq-nil'!D1108)))&gt;1))</f>
        <v>0</v>
      </c>
      <c r="D1108">
        <f>NOT('hospitalityq-nil'!D1108="")*(OR(COUNTIF(reference!$C$144:$C$155,TRIM(LEFT('hospitalityq-nil'!D1108,FIND(":",'hospitalityq-nil'!D1108&amp;":")-1))&amp;":*")=0,SUMPRODUCT(--(TRIM('hospitalityq-nil'!C6:C1108)=TRIM('hospitalityq-nil'!C1108)),--(TRIM('hospitalityq-nil'!D6:D1108)=TRIM('hospitalityq-nil'!D1108)))&gt;1))</f>
        <v>0</v>
      </c>
    </row>
    <row r="1109" spans="1:4" x14ac:dyDescent="0.25">
      <c r="A1109">
        <f t="shared" si="17"/>
        <v>0</v>
      </c>
      <c r="C1109">
        <f>NOT('hospitalityq-nil'!C1109="")*(OR(NOT(IFERROR(AND(INT('hospitalityq-nil'!C1109)='hospitalityq-nil'!C1109,'hospitalityq-nil'!C1109&gt;=2018-50,'hospitalityq-nil'!C1109&lt;=2018+50),FALSE)),SUMPRODUCT(--(TRIM('hospitalityq-nil'!C6:C1109)=TRIM('hospitalityq-nil'!C1109)),--(TRIM('hospitalityq-nil'!D6:D1109)=TRIM('hospitalityq-nil'!D1109)))&gt;1))</f>
        <v>0</v>
      </c>
      <c r="D1109">
        <f>NOT('hospitalityq-nil'!D1109="")*(OR(COUNTIF(reference!$C$144:$C$155,TRIM(LEFT('hospitalityq-nil'!D1109,FIND(":",'hospitalityq-nil'!D1109&amp;":")-1))&amp;":*")=0,SUMPRODUCT(--(TRIM('hospitalityq-nil'!C6:C1109)=TRIM('hospitalityq-nil'!C1109)),--(TRIM('hospitalityq-nil'!D6:D1109)=TRIM('hospitalityq-nil'!D1109)))&gt;1))</f>
        <v>0</v>
      </c>
    </row>
    <row r="1110" spans="1:4" x14ac:dyDescent="0.25">
      <c r="A1110">
        <f t="shared" si="17"/>
        <v>0</v>
      </c>
      <c r="C1110">
        <f>NOT('hospitalityq-nil'!C1110="")*(OR(NOT(IFERROR(AND(INT('hospitalityq-nil'!C1110)='hospitalityq-nil'!C1110,'hospitalityq-nil'!C1110&gt;=2018-50,'hospitalityq-nil'!C1110&lt;=2018+50),FALSE)),SUMPRODUCT(--(TRIM('hospitalityq-nil'!C6:C1110)=TRIM('hospitalityq-nil'!C1110)),--(TRIM('hospitalityq-nil'!D6:D1110)=TRIM('hospitalityq-nil'!D1110)))&gt;1))</f>
        <v>0</v>
      </c>
      <c r="D1110">
        <f>NOT('hospitalityq-nil'!D1110="")*(OR(COUNTIF(reference!$C$144:$C$155,TRIM(LEFT('hospitalityq-nil'!D1110,FIND(":",'hospitalityq-nil'!D1110&amp;":")-1))&amp;":*")=0,SUMPRODUCT(--(TRIM('hospitalityq-nil'!C6:C1110)=TRIM('hospitalityq-nil'!C1110)),--(TRIM('hospitalityq-nil'!D6:D1110)=TRIM('hospitalityq-nil'!D1110)))&gt;1))</f>
        <v>0</v>
      </c>
    </row>
    <row r="1111" spans="1:4" x14ac:dyDescent="0.25">
      <c r="A1111">
        <f t="shared" si="17"/>
        <v>0</v>
      </c>
      <c r="C1111">
        <f>NOT('hospitalityq-nil'!C1111="")*(OR(NOT(IFERROR(AND(INT('hospitalityq-nil'!C1111)='hospitalityq-nil'!C1111,'hospitalityq-nil'!C1111&gt;=2018-50,'hospitalityq-nil'!C1111&lt;=2018+50),FALSE)),SUMPRODUCT(--(TRIM('hospitalityq-nil'!C6:C1111)=TRIM('hospitalityq-nil'!C1111)),--(TRIM('hospitalityq-nil'!D6:D1111)=TRIM('hospitalityq-nil'!D1111)))&gt;1))</f>
        <v>0</v>
      </c>
      <c r="D1111">
        <f>NOT('hospitalityq-nil'!D1111="")*(OR(COUNTIF(reference!$C$144:$C$155,TRIM(LEFT('hospitalityq-nil'!D1111,FIND(":",'hospitalityq-nil'!D1111&amp;":")-1))&amp;":*")=0,SUMPRODUCT(--(TRIM('hospitalityq-nil'!C6:C1111)=TRIM('hospitalityq-nil'!C1111)),--(TRIM('hospitalityq-nil'!D6:D1111)=TRIM('hospitalityq-nil'!D1111)))&gt;1))</f>
        <v>0</v>
      </c>
    </row>
    <row r="1112" spans="1:4" x14ac:dyDescent="0.25">
      <c r="A1112">
        <f t="shared" si="17"/>
        <v>0</v>
      </c>
      <c r="C1112">
        <f>NOT('hospitalityq-nil'!C1112="")*(OR(NOT(IFERROR(AND(INT('hospitalityq-nil'!C1112)='hospitalityq-nil'!C1112,'hospitalityq-nil'!C1112&gt;=2018-50,'hospitalityq-nil'!C1112&lt;=2018+50),FALSE)),SUMPRODUCT(--(TRIM('hospitalityq-nil'!C6:C1112)=TRIM('hospitalityq-nil'!C1112)),--(TRIM('hospitalityq-nil'!D6:D1112)=TRIM('hospitalityq-nil'!D1112)))&gt;1))</f>
        <v>0</v>
      </c>
      <c r="D1112">
        <f>NOT('hospitalityq-nil'!D1112="")*(OR(COUNTIF(reference!$C$144:$C$155,TRIM(LEFT('hospitalityq-nil'!D1112,FIND(":",'hospitalityq-nil'!D1112&amp;":")-1))&amp;":*")=0,SUMPRODUCT(--(TRIM('hospitalityq-nil'!C6:C1112)=TRIM('hospitalityq-nil'!C1112)),--(TRIM('hospitalityq-nil'!D6:D1112)=TRIM('hospitalityq-nil'!D1112)))&gt;1))</f>
        <v>0</v>
      </c>
    </row>
    <row r="1113" spans="1:4" x14ac:dyDescent="0.25">
      <c r="A1113">
        <f t="shared" si="17"/>
        <v>0</v>
      </c>
      <c r="C1113">
        <f>NOT('hospitalityq-nil'!C1113="")*(OR(NOT(IFERROR(AND(INT('hospitalityq-nil'!C1113)='hospitalityq-nil'!C1113,'hospitalityq-nil'!C1113&gt;=2018-50,'hospitalityq-nil'!C1113&lt;=2018+50),FALSE)),SUMPRODUCT(--(TRIM('hospitalityq-nil'!C6:C1113)=TRIM('hospitalityq-nil'!C1113)),--(TRIM('hospitalityq-nil'!D6:D1113)=TRIM('hospitalityq-nil'!D1113)))&gt;1))</f>
        <v>0</v>
      </c>
      <c r="D1113">
        <f>NOT('hospitalityq-nil'!D1113="")*(OR(COUNTIF(reference!$C$144:$C$155,TRIM(LEFT('hospitalityq-nil'!D1113,FIND(":",'hospitalityq-nil'!D1113&amp;":")-1))&amp;":*")=0,SUMPRODUCT(--(TRIM('hospitalityq-nil'!C6:C1113)=TRIM('hospitalityq-nil'!C1113)),--(TRIM('hospitalityq-nil'!D6:D1113)=TRIM('hospitalityq-nil'!D1113)))&gt;1))</f>
        <v>0</v>
      </c>
    </row>
    <row r="1114" spans="1:4" x14ac:dyDescent="0.25">
      <c r="A1114">
        <f t="shared" si="17"/>
        <v>0</v>
      </c>
      <c r="C1114">
        <f>NOT('hospitalityq-nil'!C1114="")*(OR(NOT(IFERROR(AND(INT('hospitalityq-nil'!C1114)='hospitalityq-nil'!C1114,'hospitalityq-nil'!C1114&gt;=2018-50,'hospitalityq-nil'!C1114&lt;=2018+50),FALSE)),SUMPRODUCT(--(TRIM('hospitalityq-nil'!C6:C1114)=TRIM('hospitalityq-nil'!C1114)),--(TRIM('hospitalityq-nil'!D6:D1114)=TRIM('hospitalityq-nil'!D1114)))&gt;1))</f>
        <v>0</v>
      </c>
      <c r="D1114">
        <f>NOT('hospitalityq-nil'!D1114="")*(OR(COUNTIF(reference!$C$144:$C$155,TRIM(LEFT('hospitalityq-nil'!D1114,FIND(":",'hospitalityq-nil'!D1114&amp;":")-1))&amp;":*")=0,SUMPRODUCT(--(TRIM('hospitalityq-nil'!C6:C1114)=TRIM('hospitalityq-nil'!C1114)),--(TRIM('hospitalityq-nil'!D6:D1114)=TRIM('hospitalityq-nil'!D1114)))&gt;1))</f>
        <v>0</v>
      </c>
    </row>
    <row r="1115" spans="1:4" x14ac:dyDescent="0.25">
      <c r="A1115">
        <f t="shared" si="17"/>
        <v>0</v>
      </c>
      <c r="C1115">
        <f>NOT('hospitalityq-nil'!C1115="")*(OR(NOT(IFERROR(AND(INT('hospitalityq-nil'!C1115)='hospitalityq-nil'!C1115,'hospitalityq-nil'!C1115&gt;=2018-50,'hospitalityq-nil'!C1115&lt;=2018+50),FALSE)),SUMPRODUCT(--(TRIM('hospitalityq-nil'!C6:C1115)=TRIM('hospitalityq-nil'!C1115)),--(TRIM('hospitalityq-nil'!D6:D1115)=TRIM('hospitalityq-nil'!D1115)))&gt;1))</f>
        <v>0</v>
      </c>
      <c r="D1115">
        <f>NOT('hospitalityq-nil'!D1115="")*(OR(COUNTIF(reference!$C$144:$C$155,TRIM(LEFT('hospitalityq-nil'!D1115,FIND(":",'hospitalityq-nil'!D1115&amp;":")-1))&amp;":*")=0,SUMPRODUCT(--(TRIM('hospitalityq-nil'!C6:C1115)=TRIM('hospitalityq-nil'!C1115)),--(TRIM('hospitalityq-nil'!D6:D1115)=TRIM('hospitalityq-nil'!D1115)))&gt;1))</f>
        <v>0</v>
      </c>
    </row>
    <row r="1116" spans="1:4" x14ac:dyDescent="0.25">
      <c r="A1116">
        <f t="shared" si="17"/>
        <v>0</v>
      </c>
      <c r="C1116">
        <f>NOT('hospitalityq-nil'!C1116="")*(OR(NOT(IFERROR(AND(INT('hospitalityq-nil'!C1116)='hospitalityq-nil'!C1116,'hospitalityq-nil'!C1116&gt;=2018-50,'hospitalityq-nil'!C1116&lt;=2018+50),FALSE)),SUMPRODUCT(--(TRIM('hospitalityq-nil'!C6:C1116)=TRIM('hospitalityq-nil'!C1116)),--(TRIM('hospitalityq-nil'!D6:D1116)=TRIM('hospitalityq-nil'!D1116)))&gt;1))</f>
        <v>0</v>
      </c>
      <c r="D1116">
        <f>NOT('hospitalityq-nil'!D1116="")*(OR(COUNTIF(reference!$C$144:$C$155,TRIM(LEFT('hospitalityq-nil'!D1116,FIND(":",'hospitalityq-nil'!D1116&amp;":")-1))&amp;":*")=0,SUMPRODUCT(--(TRIM('hospitalityq-nil'!C6:C1116)=TRIM('hospitalityq-nil'!C1116)),--(TRIM('hospitalityq-nil'!D6:D1116)=TRIM('hospitalityq-nil'!D1116)))&gt;1))</f>
        <v>0</v>
      </c>
    </row>
    <row r="1117" spans="1:4" x14ac:dyDescent="0.25">
      <c r="A1117">
        <f t="shared" si="17"/>
        <v>0</v>
      </c>
      <c r="C1117">
        <f>NOT('hospitalityq-nil'!C1117="")*(OR(NOT(IFERROR(AND(INT('hospitalityq-nil'!C1117)='hospitalityq-nil'!C1117,'hospitalityq-nil'!C1117&gt;=2018-50,'hospitalityq-nil'!C1117&lt;=2018+50),FALSE)),SUMPRODUCT(--(TRIM('hospitalityq-nil'!C6:C1117)=TRIM('hospitalityq-nil'!C1117)),--(TRIM('hospitalityq-nil'!D6:D1117)=TRIM('hospitalityq-nil'!D1117)))&gt;1))</f>
        <v>0</v>
      </c>
      <c r="D1117">
        <f>NOT('hospitalityq-nil'!D1117="")*(OR(COUNTIF(reference!$C$144:$C$155,TRIM(LEFT('hospitalityq-nil'!D1117,FIND(":",'hospitalityq-nil'!D1117&amp;":")-1))&amp;":*")=0,SUMPRODUCT(--(TRIM('hospitalityq-nil'!C6:C1117)=TRIM('hospitalityq-nil'!C1117)),--(TRIM('hospitalityq-nil'!D6:D1117)=TRIM('hospitalityq-nil'!D1117)))&gt;1))</f>
        <v>0</v>
      </c>
    </row>
    <row r="1118" spans="1:4" x14ac:dyDescent="0.25">
      <c r="A1118">
        <f t="shared" si="17"/>
        <v>0</v>
      </c>
      <c r="C1118">
        <f>NOT('hospitalityq-nil'!C1118="")*(OR(NOT(IFERROR(AND(INT('hospitalityq-nil'!C1118)='hospitalityq-nil'!C1118,'hospitalityq-nil'!C1118&gt;=2018-50,'hospitalityq-nil'!C1118&lt;=2018+50),FALSE)),SUMPRODUCT(--(TRIM('hospitalityq-nil'!C6:C1118)=TRIM('hospitalityq-nil'!C1118)),--(TRIM('hospitalityq-nil'!D6:D1118)=TRIM('hospitalityq-nil'!D1118)))&gt;1))</f>
        <v>0</v>
      </c>
      <c r="D1118">
        <f>NOT('hospitalityq-nil'!D1118="")*(OR(COUNTIF(reference!$C$144:$C$155,TRIM(LEFT('hospitalityq-nil'!D1118,FIND(":",'hospitalityq-nil'!D1118&amp;":")-1))&amp;":*")=0,SUMPRODUCT(--(TRIM('hospitalityq-nil'!C6:C1118)=TRIM('hospitalityq-nil'!C1118)),--(TRIM('hospitalityq-nil'!D6:D1118)=TRIM('hospitalityq-nil'!D1118)))&gt;1))</f>
        <v>0</v>
      </c>
    </row>
    <row r="1119" spans="1:4" x14ac:dyDescent="0.25">
      <c r="A1119">
        <f t="shared" si="17"/>
        <v>0</v>
      </c>
      <c r="C1119">
        <f>NOT('hospitalityq-nil'!C1119="")*(OR(NOT(IFERROR(AND(INT('hospitalityq-nil'!C1119)='hospitalityq-nil'!C1119,'hospitalityq-nil'!C1119&gt;=2018-50,'hospitalityq-nil'!C1119&lt;=2018+50),FALSE)),SUMPRODUCT(--(TRIM('hospitalityq-nil'!C6:C1119)=TRIM('hospitalityq-nil'!C1119)),--(TRIM('hospitalityq-nil'!D6:D1119)=TRIM('hospitalityq-nil'!D1119)))&gt;1))</f>
        <v>0</v>
      </c>
      <c r="D1119">
        <f>NOT('hospitalityq-nil'!D1119="")*(OR(COUNTIF(reference!$C$144:$C$155,TRIM(LEFT('hospitalityq-nil'!D1119,FIND(":",'hospitalityq-nil'!D1119&amp;":")-1))&amp;":*")=0,SUMPRODUCT(--(TRIM('hospitalityq-nil'!C6:C1119)=TRIM('hospitalityq-nil'!C1119)),--(TRIM('hospitalityq-nil'!D6:D1119)=TRIM('hospitalityq-nil'!D1119)))&gt;1))</f>
        <v>0</v>
      </c>
    </row>
    <row r="1120" spans="1:4" x14ac:dyDescent="0.25">
      <c r="A1120">
        <f t="shared" si="17"/>
        <v>0</v>
      </c>
      <c r="C1120">
        <f>NOT('hospitalityq-nil'!C1120="")*(OR(NOT(IFERROR(AND(INT('hospitalityq-nil'!C1120)='hospitalityq-nil'!C1120,'hospitalityq-nil'!C1120&gt;=2018-50,'hospitalityq-nil'!C1120&lt;=2018+50),FALSE)),SUMPRODUCT(--(TRIM('hospitalityq-nil'!C6:C1120)=TRIM('hospitalityq-nil'!C1120)),--(TRIM('hospitalityq-nil'!D6:D1120)=TRIM('hospitalityq-nil'!D1120)))&gt;1))</f>
        <v>0</v>
      </c>
      <c r="D1120">
        <f>NOT('hospitalityq-nil'!D1120="")*(OR(COUNTIF(reference!$C$144:$C$155,TRIM(LEFT('hospitalityq-nil'!D1120,FIND(":",'hospitalityq-nil'!D1120&amp;":")-1))&amp;":*")=0,SUMPRODUCT(--(TRIM('hospitalityq-nil'!C6:C1120)=TRIM('hospitalityq-nil'!C1120)),--(TRIM('hospitalityq-nil'!D6:D1120)=TRIM('hospitalityq-nil'!D1120)))&gt;1))</f>
        <v>0</v>
      </c>
    </row>
    <row r="1121" spans="1:4" x14ac:dyDescent="0.25">
      <c r="A1121">
        <f t="shared" si="17"/>
        <v>0</v>
      </c>
      <c r="C1121">
        <f>NOT('hospitalityq-nil'!C1121="")*(OR(NOT(IFERROR(AND(INT('hospitalityq-nil'!C1121)='hospitalityq-nil'!C1121,'hospitalityq-nil'!C1121&gt;=2018-50,'hospitalityq-nil'!C1121&lt;=2018+50),FALSE)),SUMPRODUCT(--(TRIM('hospitalityq-nil'!C6:C1121)=TRIM('hospitalityq-nil'!C1121)),--(TRIM('hospitalityq-nil'!D6:D1121)=TRIM('hospitalityq-nil'!D1121)))&gt;1))</f>
        <v>0</v>
      </c>
      <c r="D1121">
        <f>NOT('hospitalityq-nil'!D1121="")*(OR(COUNTIF(reference!$C$144:$C$155,TRIM(LEFT('hospitalityq-nil'!D1121,FIND(":",'hospitalityq-nil'!D1121&amp;":")-1))&amp;":*")=0,SUMPRODUCT(--(TRIM('hospitalityq-nil'!C6:C1121)=TRIM('hospitalityq-nil'!C1121)),--(TRIM('hospitalityq-nil'!D6:D1121)=TRIM('hospitalityq-nil'!D1121)))&gt;1))</f>
        <v>0</v>
      </c>
    </row>
    <row r="1122" spans="1:4" x14ac:dyDescent="0.25">
      <c r="A1122">
        <f t="shared" si="17"/>
        <v>0</v>
      </c>
      <c r="C1122">
        <f>NOT('hospitalityq-nil'!C1122="")*(OR(NOT(IFERROR(AND(INT('hospitalityq-nil'!C1122)='hospitalityq-nil'!C1122,'hospitalityq-nil'!C1122&gt;=2018-50,'hospitalityq-nil'!C1122&lt;=2018+50),FALSE)),SUMPRODUCT(--(TRIM('hospitalityq-nil'!C6:C1122)=TRIM('hospitalityq-nil'!C1122)),--(TRIM('hospitalityq-nil'!D6:D1122)=TRIM('hospitalityq-nil'!D1122)))&gt;1))</f>
        <v>0</v>
      </c>
      <c r="D1122">
        <f>NOT('hospitalityq-nil'!D1122="")*(OR(COUNTIF(reference!$C$144:$C$155,TRIM(LEFT('hospitalityq-nil'!D1122,FIND(":",'hospitalityq-nil'!D1122&amp;":")-1))&amp;":*")=0,SUMPRODUCT(--(TRIM('hospitalityq-nil'!C6:C1122)=TRIM('hospitalityq-nil'!C1122)),--(TRIM('hospitalityq-nil'!D6:D1122)=TRIM('hospitalityq-nil'!D1122)))&gt;1))</f>
        <v>0</v>
      </c>
    </row>
    <row r="1123" spans="1:4" x14ac:dyDescent="0.25">
      <c r="A1123">
        <f t="shared" si="17"/>
        <v>0</v>
      </c>
      <c r="C1123">
        <f>NOT('hospitalityq-nil'!C1123="")*(OR(NOT(IFERROR(AND(INT('hospitalityq-nil'!C1123)='hospitalityq-nil'!C1123,'hospitalityq-nil'!C1123&gt;=2018-50,'hospitalityq-nil'!C1123&lt;=2018+50),FALSE)),SUMPRODUCT(--(TRIM('hospitalityq-nil'!C6:C1123)=TRIM('hospitalityq-nil'!C1123)),--(TRIM('hospitalityq-nil'!D6:D1123)=TRIM('hospitalityq-nil'!D1123)))&gt;1))</f>
        <v>0</v>
      </c>
      <c r="D1123">
        <f>NOT('hospitalityq-nil'!D1123="")*(OR(COUNTIF(reference!$C$144:$C$155,TRIM(LEFT('hospitalityq-nil'!D1123,FIND(":",'hospitalityq-nil'!D1123&amp;":")-1))&amp;":*")=0,SUMPRODUCT(--(TRIM('hospitalityq-nil'!C6:C1123)=TRIM('hospitalityq-nil'!C1123)),--(TRIM('hospitalityq-nil'!D6:D1123)=TRIM('hospitalityq-nil'!D1123)))&gt;1))</f>
        <v>0</v>
      </c>
    </row>
    <row r="1124" spans="1:4" x14ac:dyDescent="0.25">
      <c r="A1124">
        <f t="shared" si="17"/>
        <v>0</v>
      </c>
      <c r="C1124">
        <f>NOT('hospitalityq-nil'!C1124="")*(OR(NOT(IFERROR(AND(INT('hospitalityq-nil'!C1124)='hospitalityq-nil'!C1124,'hospitalityq-nil'!C1124&gt;=2018-50,'hospitalityq-nil'!C1124&lt;=2018+50),FALSE)),SUMPRODUCT(--(TRIM('hospitalityq-nil'!C6:C1124)=TRIM('hospitalityq-nil'!C1124)),--(TRIM('hospitalityq-nil'!D6:D1124)=TRIM('hospitalityq-nil'!D1124)))&gt;1))</f>
        <v>0</v>
      </c>
      <c r="D1124">
        <f>NOT('hospitalityq-nil'!D1124="")*(OR(COUNTIF(reference!$C$144:$C$155,TRIM(LEFT('hospitalityq-nil'!D1124,FIND(":",'hospitalityq-nil'!D1124&amp;":")-1))&amp;":*")=0,SUMPRODUCT(--(TRIM('hospitalityq-nil'!C6:C1124)=TRIM('hospitalityq-nil'!C1124)),--(TRIM('hospitalityq-nil'!D6:D1124)=TRIM('hospitalityq-nil'!D1124)))&gt;1))</f>
        <v>0</v>
      </c>
    </row>
    <row r="1125" spans="1:4" x14ac:dyDescent="0.25">
      <c r="A1125">
        <f t="shared" si="17"/>
        <v>0</v>
      </c>
      <c r="C1125">
        <f>NOT('hospitalityq-nil'!C1125="")*(OR(NOT(IFERROR(AND(INT('hospitalityq-nil'!C1125)='hospitalityq-nil'!C1125,'hospitalityq-nil'!C1125&gt;=2018-50,'hospitalityq-nil'!C1125&lt;=2018+50),FALSE)),SUMPRODUCT(--(TRIM('hospitalityq-nil'!C6:C1125)=TRIM('hospitalityq-nil'!C1125)),--(TRIM('hospitalityq-nil'!D6:D1125)=TRIM('hospitalityq-nil'!D1125)))&gt;1))</f>
        <v>0</v>
      </c>
      <c r="D1125">
        <f>NOT('hospitalityq-nil'!D1125="")*(OR(COUNTIF(reference!$C$144:$C$155,TRIM(LEFT('hospitalityq-nil'!D1125,FIND(":",'hospitalityq-nil'!D1125&amp;":")-1))&amp;":*")=0,SUMPRODUCT(--(TRIM('hospitalityq-nil'!C6:C1125)=TRIM('hospitalityq-nil'!C1125)),--(TRIM('hospitalityq-nil'!D6:D1125)=TRIM('hospitalityq-nil'!D1125)))&gt;1))</f>
        <v>0</v>
      </c>
    </row>
    <row r="1126" spans="1:4" x14ac:dyDescent="0.25">
      <c r="A1126">
        <f t="shared" si="17"/>
        <v>0</v>
      </c>
      <c r="C1126">
        <f>NOT('hospitalityq-nil'!C1126="")*(OR(NOT(IFERROR(AND(INT('hospitalityq-nil'!C1126)='hospitalityq-nil'!C1126,'hospitalityq-nil'!C1126&gt;=2018-50,'hospitalityq-nil'!C1126&lt;=2018+50),FALSE)),SUMPRODUCT(--(TRIM('hospitalityq-nil'!C6:C1126)=TRIM('hospitalityq-nil'!C1126)),--(TRIM('hospitalityq-nil'!D6:D1126)=TRIM('hospitalityq-nil'!D1126)))&gt;1))</f>
        <v>0</v>
      </c>
      <c r="D1126">
        <f>NOT('hospitalityq-nil'!D1126="")*(OR(COUNTIF(reference!$C$144:$C$155,TRIM(LEFT('hospitalityq-nil'!D1126,FIND(":",'hospitalityq-nil'!D1126&amp;":")-1))&amp;":*")=0,SUMPRODUCT(--(TRIM('hospitalityq-nil'!C6:C1126)=TRIM('hospitalityq-nil'!C1126)),--(TRIM('hospitalityq-nil'!D6:D1126)=TRIM('hospitalityq-nil'!D1126)))&gt;1))</f>
        <v>0</v>
      </c>
    </row>
    <row r="1127" spans="1:4" x14ac:dyDescent="0.25">
      <c r="A1127">
        <f t="shared" si="17"/>
        <v>0</v>
      </c>
      <c r="C1127">
        <f>NOT('hospitalityq-nil'!C1127="")*(OR(NOT(IFERROR(AND(INT('hospitalityq-nil'!C1127)='hospitalityq-nil'!C1127,'hospitalityq-nil'!C1127&gt;=2018-50,'hospitalityq-nil'!C1127&lt;=2018+50),FALSE)),SUMPRODUCT(--(TRIM('hospitalityq-nil'!C6:C1127)=TRIM('hospitalityq-nil'!C1127)),--(TRIM('hospitalityq-nil'!D6:D1127)=TRIM('hospitalityq-nil'!D1127)))&gt;1))</f>
        <v>0</v>
      </c>
      <c r="D1127">
        <f>NOT('hospitalityq-nil'!D1127="")*(OR(COUNTIF(reference!$C$144:$C$155,TRIM(LEFT('hospitalityq-nil'!D1127,FIND(":",'hospitalityq-nil'!D1127&amp;":")-1))&amp;":*")=0,SUMPRODUCT(--(TRIM('hospitalityq-nil'!C6:C1127)=TRIM('hospitalityq-nil'!C1127)),--(TRIM('hospitalityq-nil'!D6:D1127)=TRIM('hospitalityq-nil'!D1127)))&gt;1))</f>
        <v>0</v>
      </c>
    </row>
    <row r="1128" spans="1:4" x14ac:dyDescent="0.25">
      <c r="A1128">
        <f t="shared" si="17"/>
        <v>0</v>
      </c>
      <c r="C1128">
        <f>NOT('hospitalityq-nil'!C1128="")*(OR(NOT(IFERROR(AND(INT('hospitalityq-nil'!C1128)='hospitalityq-nil'!C1128,'hospitalityq-nil'!C1128&gt;=2018-50,'hospitalityq-nil'!C1128&lt;=2018+50),FALSE)),SUMPRODUCT(--(TRIM('hospitalityq-nil'!C6:C1128)=TRIM('hospitalityq-nil'!C1128)),--(TRIM('hospitalityq-nil'!D6:D1128)=TRIM('hospitalityq-nil'!D1128)))&gt;1))</f>
        <v>0</v>
      </c>
      <c r="D1128">
        <f>NOT('hospitalityq-nil'!D1128="")*(OR(COUNTIF(reference!$C$144:$C$155,TRIM(LEFT('hospitalityq-nil'!D1128,FIND(":",'hospitalityq-nil'!D1128&amp;":")-1))&amp;":*")=0,SUMPRODUCT(--(TRIM('hospitalityq-nil'!C6:C1128)=TRIM('hospitalityq-nil'!C1128)),--(TRIM('hospitalityq-nil'!D6:D1128)=TRIM('hospitalityq-nil'!D1128)))&gt;1))</f>
        <v>0</v>
      </c>
    </row>
    <row r="1129" spans="1:4" x14ac:dyDescent="0.25">
      <c r="A1129">
        <f t="shared" si="17"/>
        <v>0</v>
      </c>
      <c r="C1129">
        <f>NOT('hospitalityq-nil'!C1129="")*(OR(NOT(IFERROR(AND(INT('hospitalityq-nil'!C1129)='hospitalityq-nil'!C1129,'hospitalityq-nil'!C1129&gt;=2018-50,'hospitalityq-nil'!C1129&lt;=2018+50),FALSE)),SUMPRODUCT(--(TRIM('hospitalityq-nil'!C6:C1129)=TRIM('hospitalityq-nil'!C1129)),--(TRIM('hospitalityq-nil'!D6:D1129)=TRIM('hospitalityq-nil'!D1129)))&gt;1))</f>
        <v>0</v>
      </c>
      <c r="D1129">
        <f>NOT('hospitalityq-nil'!D1129="")*(OR(COUNTIF(reference!$C$144:$C$155,TRIM(LEFT('hospitalityq-nil'!D1129,FIND(":",'hospitalityq-nil'!D1129&amp;":")-1))&amp;":*")=0,SUMPRODUCT(--(TRIM('hospitalityq-nil'!C6:C1129)=TRIM('hospitalityq-nil'!C1129)),--(TRIM('hospitalityq-nil'!D6:D1129)=TRIM('hospitalityq-nil'!D1129)))&gt;1))</f>
        <v>0</v>
      </c>
    </row>
    <row r="1130" spans="1:4" x14ac:dyDescent="0.25">
      <c r="A1130">
        <f t="shared" si="17"/>
        <v>0</v>
      </c>
      <c r="C1130">
        <f>NOT('hospitalityq-nil'!C1130="")*(OR(NOT(IFERROR(AND(INT('hospitalityq-nil'!C1130)='hospitalityq-nil'!C1130,'hospitalityq-nil'!C1130&gt;=2018-50,'hospitalityq-nil'!C1130&lt;=2018+50),FALSE)),SUMPRODUCT(--(TRIM('hospitalityq-nil'!C6:C1130)=TRIM('hospitalityq-nil'!C1130)),--(TRIM('hospitalityq-nil'!D6:D1130)=TRIM('hospitalityq-nil'!D1130)))&gt;1))</f>
        <v>0</v>
      </c>
      <c r="D1130">
        <f>NOT('hospitalityq-nil'!D1130="")*(OR(COUNTIF(reference!$C$144:$C$155,TRIM(LEFT('hospitalityq-nil'!D1130,FIND(":",'hospitalityq-nil'!D1130&amp;":")-1))&amp;":*")=0,SUMPRODUCT(--(TRIM('hospitalityq-nil'!C6:C1130)=TRIM('hospitalityq-nil'!C1130)),--(TRIM('hospitalityq-nil'!D6:D1130)=TRIM('hospitalityq-nil'!D1130)))&gt;1))</f>
        <v>0</v>
      </c>
    </row>
    <row r="1131" spans="1:4" x14ac:dyDescent="0.25">
      <c r="A1131">
        <f t="shared" si="17"/>
        <v>0</v>
      </c>
      <c r="C1131">
        <f>NOT('hospitalityq-nil'!C1131="")*(OR(NOT(IFERROR(AND(INT('hospitalityq-nil'!C1131)='hospitalityq-nil'!C1131,'hospitalityq-nil'!C1131&gt;=2018-50,'hospitalityq-nil'!C1131&lt;=2018+50),FALSE)),SUMPRODUCT(--(TRIM('hospitalityq-nil'!C6:C1131)=TRIM('hospitalityq-nil'!C1131)),--(TRIM('hospitalityq-nil'!D6:D1131)=TRIM('hospitalityq-nil'!D1131)))&gt;1))</f>
        <v>0</v>
      </c>
      <c r="D1131">
        <f>NOT('hospitalityq-nil'!D1131="")*(OR(COUNTIF(reference!$C$144:$C$155,TRIM(LEFT('hospitalityq-nil'!D1131,FIND(":",'hospitalityq-nil'!D1131&amp;":")-1))&amp;":*")=0,SUMPRODUCT(--(TRIM('hospitalityq-nil'!C6:C1131)=TRIM('hospitalityq-nil'!C1131)),--(TRIM('hospitalityq-nil'!D6:D1131)=TRIM('hospitalityq-nil'!D1131)))&gt;1))</f>
        <v>0</v>
      </c>
    </row>
    <row r="1132" spans="1:4" x14ac:dyDescent="0.25">
      <c r="A1132">
        <f t="shared" si="17"/>
        <v>0</v>
      </c>
      <c r="C1132">
        <f>NOT('hospitalityq-nil'!C1132="")*(OR(NOT(IFERROR(AND(INT('hospitalityq-nil'!C1132)='hospitalityq-nil'!C1132,'hospitalityq-nil'!C1132&gt;=2018-50,'hospitalityq-nil'!C1132&lt;=2018+50),FALSE)),SUMPRODUCT(--(TRIM('hospitalityq-nil'!C6:C1132)=TRIM('hospitalityq-nil'!C1132)),--(TRIM('hospitalityq-nil'!D6:D1132)=TRIM('hospitalityq-nil'!D1132)))&gt;1))</f>
        <v>0</v>
      </c>
      <c r="D1132">
        <f>NOT('hospitalityq-nil'!D1132="")*(OR(COUNTIF(reference!$C$144:$C$155,TRIM(LEFT('hospitalityq-nil'!D1132,FIND(":",'hospitalityq-nil'!D1132&amp;":")-1))&amp;":*")=0,SUMPRODUCT(--(TRIM('hospitalityq-nil'!C6:C1132)=TRIM('hospitalityq-nil'!C1132)),--(TRIM('hospitalityq-nil'!D6:D1132)=TRIM('hospitalityq-nil'!D1132)))&gt;1))</f>
        <v>0</v>
      </c>
    </row>
    <row r="1133" spans="1:4" x14ac:dyDescent="0.25">
      <c r="A1133">
        <f t="shared" si="17"/>
        <v>0</v>
      </c>
      <c r="C1133">
        <f>NOT('hospitalityq-nil'!C1133="")*(OR(NOT(IFERROR(AND(INT('hospitalityq-nil'!C1133)='hospitalityq-nil'!C1133,'hospitalityq-nil'!C1133&gt;=2018-50,'hospitalityq-nil'!C1133&lt;=2018+50),FALSE)),SUMPRODUCT(--(TRIM('hospitalityq-nil'!C6:C1133)=TRIM('hospitalityq-nil'!C1133)),--(TRIM('hospitalityq-nil'!D6:D1133)=TRIM('hospitalityq-nil'!D1133)))&gt;1))</f>
        <v>0</v>
      </c>
      <c r="D1133">
        <f>NOT('hospitalityq-nil'!D1133="")*(OR(COUNTIF(reference!$C$144:$C$155,TRIM(LEFT('hospitalityq-nil'!D1133,FIND(":",'hospitalityq-nil'!D1133&amp;":")-1))&amp;":*")=0,SUMPRODUCT(--(TRIM('hospitalityq-nil'!C6:C1133)=TRIM('hospitalityq-nil'!C1133)),--(TRIM('hospitalityq-nil'!D6:D1133)=TRIM('hospitalityq-nil'!D1133)))&gt;1))</f>
        <v>0</v>
      </c>
    </row>
    <row r="1134" spans="1:4" x14ac:dyDescent="0.25">
      <c r="A1134">
        <f t="shared" si="17"/>
        <v>0</v>
      </c>
      <c r="C1134">
        <f>NOT('hospitalityq-nil'!C1134="")*(OR(NOT(IFERROR(AND(INT('hospitalityq-nil'!C1134)='hospitalityq-nil'!C1134,'hospitalityq-nil'!C1134&gt;=2018-50,'hospitalityq-nil'!C1134&lt;=2018+50),FALSE)),SUMPRODUCT(--(TRIM('hospitalityq-nil'!C6:C1134)=TRIM('hospitalityq-nil'!C1134)),--(TRIM('hospitalityq-nil'!D6:D1134)=TRIM('hospitalityq-nil'!D1134)))&gt;1))</f>
        <v>0</v>
      </c>
      <c r="D1134">
        <f>NOT('hospitalityq-nil'!D1134="")*(OR(COUNTIF(reference!$C$144:$C$155,TRIM(LEFT('hospitalityq-nil'!D1134,FIND(":",'hospitalityq-nil'!D1134&amp;":")-1))&amp;":*")=0,SUMPRODUCT(--(TRIM('hospitalityq-nil'!C6:C1134)=TRIM('hospitalityq-nil'!C1134)),--(TRIM('hospitalityq-nil'!D6:D1134)=TRIM('hospitalityq-nil'!D1134)))&gt;1))</f>
        <v>0</v>
      </c>
    </row>
    <row r="1135" spans="1:4" x14ac:dyDescent="0.25">
      <c r="A1135">
        <f t="shared" si="17"/>
        <v>0</v>
      </c>
      <c r="C1135">
        <f>NOT('hospitalityq-nil'!C1135="")*(OR(NOT(IFERROR(AND(INT('hospitalityq-nil'!C1135)='hospitalityq-nil'!C1135,'hospitalityq-nil'!C1135&gt;=2018-50,'hospitalityq-nil'!C1135&lt;=2018+50),FALSE)),SUMPRODUCT(--(TRIM('hospitalityq-nil'!C6:C1135)=TRIM('hospitalityq-nil'!C1135)),--(TRIM('hospitalityq-nil'!D6:D1135)=TRIM('hospitalityq-nil'!D1135)))&gt;1))</f>
        <v>0</v>
      </c>
      <c r="D1135">
        <f>NOT('hospitalityq-nil'!D1135="")*(OR(COUNTIF(reference!$C$144:$C$155,TRIM(LEFT('hospitalityq-nil'!D1135,FIND(":",'hospitalityq-nil'!D1135&amp;":")-1))&amp;":*")=0,SUMPRODUCT(--(TRIM('hospitalityq-nil'!C6:C1135)=TRIM('hospitalityq-nil'!C1135)),--(TRIM('hospitalityq-nil'!D6:D1135)=TRIM('hospitalityq-nil'!D1135)))&gt;1))</f>
        <v>0</v>
      </c>
    </row>
    <row r="1136" spans="1:4" x14ac:dyDescent="0.25">
      <c r="A1136">
        <f t="shared" si="17"/>
        <v>0</v>
      </c>
      <c r="C1136">
        <f>NOT('hospitalityq-nil'!C1136="")*(OR(NOT(IFERROR(AND(INT('hospitalityq-nil'!C1136)='hospitalityq-nil'!C1136,'hospitalityq-nil'!C1136&gt;=2018-50,'hospitalityq-nil'!C1136&lt;=2018+50),FALSE)),SUMPRODUCT(--(TRIM('hospitalityq-nil'!C6:C1136)=TRIM('hospitalityq-nil'!C1136)),--(TRIM('hospitalityq-nil'!D6:D1136)=TRIM('hospitalityq-nil'!D1136)))&gt;1))</f>
        <v>0</v>
      </c>
      <c r="D1136">
        <f>NOT('hospitalityq-nil'!D1136="")*(OR(COUNTIF(reference!$C$144:$C$155,TRIM(LEFT('hospitalityq-nil'!D1136,FIND(":",'hospitalityq-nil'!D1136&amp;":")-1))&amp;":*")=0,SUMPRODUCT(--(TRIM('hospitalityq-nil'!C6:C1136)=TRIM('hospitalityq-nil'!C1136)),--(TRIM('hospitalityq-nil'!D6:D1136)=TRIM('hospitalityq-nil'!D1136)))&gt;1))</f>
        <v>0</v>
      </c>
    </row>
    <row r="1137" spans="1:4" x14ac:dyDescent="0.25">
      <c r="A1137">
        <f t="shared" si="17"/>
        <v>0</v>
      </c>
      <c r="C1137">
        <f>NOT('hospitalityq-nil'!C1137="")*(OR(NOT(IFERROR(AND(INT('hospitalityq-nil'!C1137)='hospitalityq-nil'!C1137,'hospitalityq-nil'!C1137&gt;=2018-50,'hospitalityq-nil'!C1137&lt;=2018+50),FALSE)),SUMPRODUCT(--(TRIM('hospitalityq-nil'!C6:C1137)=TRIM('hospitalityq-nil'!C1137)),--(TRIM('hospitalityq-nil'!D6:D1137)=TRIM('hospitalityq-nil'!D1137)))&gt;1))</f>
        <v>0</v>
      </c>
      <c r="D1137">
        <f>NOT('hospitalityq-nil'!D1137="")*(OR(COUNTIF(reference!$C$144:$C$155,TRIM(LEFT('hospitalityq-nil'!D1137,FIND(":",'hospitalityq-nil'!D1137&amp;":")-1))&amp;":*")=0,SUMPRODUCT(--(TRIM('hospitalityq-nil'!C6:C1137)=TRIM('hospitalityq-nil'!C1137)),--(TRIM('hospitalityq-nil'!D6:D1137)=TRIM('hospitalityq-nil'!D1137)))&gt;1))</f>
        <v>0</v>
      </c>
    </row>
    <row r="1138" spans="1:4" x14ac:dyDescent="0.25">
      <c r="A1138">
        <f t="shared" si="17"/>
        <v>0</v>
      </c>
      <c r="C1138">
        <f>NOT('hospitalityq-nil'!C1138="")*(OR(NOT(IFERROR(AND(INT('hospitalityq-nil'!C1138)='hospitalityq-nil'!C1138,'hospitalityq-nil'!C1138&gt;=2018-50,'hospitalityq-nil'!C1138&lt;=2018+50),FALSE)),SUMPRODUCT(--(TRIM('hospitalityq-nil'!C6:C1138)=TRIM('hospitalityq-nil'!C1138)),--(TRIM('hospitalityq-nil'!D6:D1138)=TRIM('hospitalityq-nil'!D1138)))&gt;1))</f>
        <v>0</v>
      </c>
      <c r="D1138">
        <f>NOT('hospitalityq-nil'!D1138="")*(OR(COUNTIF(reference!$C$144:$C$155,TRIM(LEFT('hospitalityq-nil'!D1138,FIND(":",'hospitalityq-nil'!D1138&amp;":")-1))&amp;":*")=0,SUMPRODUCT(--(TRIM('hospitalityq-nil'!C6:C1138)=TRIM('hospitalityq-nil'!C1138)),--(TRIM('hospitalityq-nil'!D6:D1138)=TRIM('hospitalityq-nil'!D1138)))&gt;1))</f>
        <v>0</v>
      </c>
    </row>
    <row r="1139" spans="1:4" x14ac:dyDescent="0.25">
      <c r="A1139">
        <f t="shared" si="17"/>
        <v>0</v>
      </c>
      <c r="C1139">
        <f>NOT('hospitalityq-nil'!C1139="")*(OR(NOT(IFERROR(AND(INT('hospitalityq-nil'!C1139)='hospitalityq-nil'!C1139,'hospitalityq-nil'!C1139&gt;=2018-50,'hospitalityq-nil'!C1139&lt;=2018+50),FALSE)),SUMPRODUCT(--(TRIM('hospitalityq-nil'!C6:C1139)=TRIM('hospitalityq-nil'!C1139)),--(TRIM('hospitalityq-nil'!D6:D1139)=TRIM('hospitalityq-nil'!D1139)))&gt;1))</f>
        <v>0</v>
      </c>
      <c r="D1139">
        <f>NOT('hospitalityq-nil'!D1139="")*(OR(COUNTIF(reference!$C$144:$C$155,TRIM(LEFT('hospitalityq-nil'!D1139,FIND(":",'hospitalityq-nil'!D1139&amp;":")-1))&amp;":*")=0,SUMPRODUCT(--(TRIM('hospitalityq-nil'!C6:C1139)=TRIM('hospitalityq-nil'!C1139)),--(TRIM('hospitalityq-nil'!D6:D1139)=TRIM('hospitalityq-nil'!D1139)))&gt;1))</f>
        <v>0</v>
      </c>
    </row>
    <row r="1140" spans="1:4" x14ac:dyDescent="0.25">
      <c r="A1140">
        <f t="shared" si="17"/>
        <v>0</v>
      </c>
      <c r="C1140">
        <f>NOT('hospitalityq-nil'!C1140="")*(OR(NOT(IFERROR(AND(INT('hospitalityq-nil'!C1140)='hospitalityq-nil'!C1140,'hospitalityq-nil'!C1140&gt;=2018-50,'hospitalityq-nil'!C1140&lt;=2018+50),FALSE)),SUMPRODUCT(--(TRIM('hospitalityq-nil'!C6:C1140)=TRIM('hospitalityq-nil'!C1140)),--(TRIM('hospitalityq-nil'!D6:D1140)=TRIM('hospitalityq-nil'!D1140)))&gt;1))</f>
        <v>0</v>
      </c>
      <c r="D1140">
        <f>NOT('hospitalityq-nil'!D1140="")*(OR(COUNTIF(reference!$C$144:$C$155,TRIM(LEFT('hospitalityq-nil'!D1140,FIND(":",'hospitalityq-nil'!D1140&amp;":")-1))&amp;":*")=0,SUMPRODUCT(--(TRIM('hospitalityq-nil'!C6:C1140)=TRIM('hospitalityq-nil'!C1140)),--(TRIM('hospitalityq-nil'!D6:D1140)=TRIM('hospitalityq-nil'!D1140)))&gt;1))</f>
        <v>0</v>
      </c>
    </row>
    <row r="1141" spans="1:4" x14ac:dyDescent="0.25">
      <c r="A1141">
        <f t="shared" si="17"/>
        <v>0</v>
      </c>
      <c r="C1141">
        <f>NOT('hospitalityq-nil'!C1141="")*(OR(NOT(IFERROR(AND(INT('hospitalityq-nil'!C1141)='hospitalityq-nil'!C1141,'hospitalityq-nil'!C1141&gt;=2018-50,'hospitalityq-nil'!C1141&lt;=2018+50),FALSE)),SUMPRODUCT(--(TRIM('hospitalityq-nil'!C6:C1141)=TRIM('hospitalityq-nil'!C1141)),--(TRIM('hospitalityq-nil'!D6:D1141)=TRIM('hospitalityq-nil'!D1141)))&gt;1))</f>
        <v>0</v>
      </c>
      <c r="D1141">
        <f>NOT('hospitalityq-nil'!D1141="")*(OR(COUNTIF(reference!$C$144:$C$155,TRIM(LEFT('hospitalityq-nil'!D1141,FIND(":",'hospitalityq-nil'!D1141&amp;":")-1))&amp;":*")=0,SUMPRODUCT(--(TRIM('hospitalityq-nil'!C6:C1141)=TRIM('hospitalityq-nil'!C1141)),--(TRIM('hospitalityq-nil'!D6:D1141)=TRIM('hospitalityq-nil'!D1141)))&gt;1))</f>
        <v>0</v>
      </c>
    </row>
    <row r="1142" spans="1:4" x14ac:dyDescent="0.25">
      <c r="A1142">
        <f t="shared" si="17"/>
        <v>0</v>
      </c>
      <c r="C1142">
        <f>NOT('hospitalityq-nil'!C1142="")*(OR(NOT(IFERROR(AND(INT('hospitalityq-nil'!C1142)='hospitalityq-nil'!C1142,'hospitalityq-nil'!C1142&gt;=2018-50,'hospitalityq-nil'!C1142&lt;=2018+50),FALSE)),SUMPRODUCT(--(TRIM('hospitalityq-nil'!C6:C1142)=TRIM('hospitalityq-nil'!C1142)),--(TRIM('hospitalityq-nil'!D6:D1142)=TRIM('hospitalityq-nil'!D1142)))&gt;1))</f>
        <v>0</v>
      </c>
      <c r="D1142">
        <f>NOT('hospitalityq-nil'!D1142="")*(OR(COUNTIF(reference!$C$144:$C$155,TRIM(LEFT('hospitalityq-nil'!D1142,FIND(":",'hospitalityq-nil'!D1142&amp;":")-1))&amp;":*")=0,SUMPRODUCT(--(TRIM('hospitalityq-nil'!C6:C1142)=TRIM('hospitalityq-nil'!C1142)),--(TRIM('hospitalityq-nil'!D6:D1142)=TRIM('hospitalityq-nil'!D1142)))&gt;1))</f>
        <v>0</v>
      </c>
    </row>
    <row r="1143" spans="1:4" x14ac:dyDescent="0.25">
      <c r="A1143">
        <f t="shared" si="17"/>
        <v>0</v>
      </c>
      <c r="C1143">
        <f>NOT('hospitalityq-nil'!C1143="")*(OR(NOT(IFERROR(AND(INT('hospitalityq-nil'!C1143)='hospitalityq-nil'!C1143,'hospitalityq-nil'!C1143&gt;=2018-50,'hospitalityq-nil'!C1143&lt;=2018+50),FALSE)),SUMPRODUCT(--(TRIM('hospitalityq-nil'!C6:C1143)=TRIM('hospitalityq-nil'!C1143)),--(TRIM('hospitalityq-nil'!D6:D1143)=TRIM('hospitalityq-nil'!D1143)))&gt;1))</f>
        <v>0</v>
      </c>
      <c r="D1143">
        <f>NOT('hospitalityq-nil'!D1143="")*(OR(COUNTIF(reference!$C$144:$C$155,TRIM(LEFT('hospitalityq-nil'!D1143,FIND(":",'hospitalityq-nil'!D1143&amp;":")-1))&amp;":*")=0,SUMPRODUCT(--(TRIM('hospitalityq-nil'!C6:C1143)=TRIM('hospitalityq-nil'!C1143)),--(TRIM('hospitalityq-nil'!D6:D1143)=TRIM('hospitalityq-nil'!D1143)))&gt;1))</f>
        <v>0</v>
      </c>
    </row>
    <row r="1144" spans="1:4" x14ac:dyDescent="0.25">
      <c r="A1144">
        <f t="shared" si="17"/>
        <v>0</v>
      </c>
      <c r="C1144">
        <f>NOT('hospitalityq-nil'!C1144="")*(OR(NOT(IFERROR(AND(INT('hospitalityq-nil'!C1144)='hospitalityq-nil'!C1144,'hospitalityq-nil'!C1144&gt;=2018-50,'hospitalityq-nil'!C1144&lt;=2018+50),FALSE)),SUMPRODUCT(--(TRIM('hospitalityq-nil'!C6:C1144)=TRIM('hospitalityq-nil'!C1144)),--(TRIM('hospitalityq-nil'!D6:D1144)=TRIM('hospitalityq-nil'!D1144)))&gt;1))</f>
        <v>0</v>
      </c>
      <c r="D1144">
        <f>NOT('hospitalityq-nil'!D1144="")*(OR(COUNTIF(reference!$C$144:$C$155,TRIM(LEFT('hospitalityq-nil'!D1144,FIND(":",'hospitalityq-nil'!D1144&amp;":")-1))&amp;":*")=0,SUMPRODUCT(--(TRIM('hospitalityq-nil'!C6:C1144)=TRIM('hospitalityq-nil'!C1144)),--(TRIM('hospitalityq-nil'!D6:D1144)=TRIM('hospitalityq-nil'!D1144)))&gt;1))</f>
        <v>0</v>
      </c>
    </row>
    <row r="1145" spans="1:4" x14ac:dyDescent="0.25">
      <c r="A1145">
        <f t="shared" si="17"/>
        <v>0</v>
      </c>
      <c r="C1145">
        <f>NOT('hospitalityq-nil'!C1145="")*(OR(NOT(IFERROR(AND(INT('hospitalityq-nil'!C1145)='hospitalityq-nil'!C1145,'hospitalityq-nil'!C1145&gt;=2018-50,'hospitalityq-nil'!C1145&lt;=2018+50),FALSE)),SUMPRODUCT(--(TRIM('hospitalityq-nil'!C6:C1145)=TRIM('hospitalityq-nil'!C1145)),--(TRIM('hospitalityq-nil'!D6:D1145)=TRIM('hospitalityq-nil'!D1145)))&gt;1))</f>
        <v>0</v>
      </c>
      <c r="D1145">
        <f>NOT('hospitalityq-nil'!D1145="")*(OR(COUNTIF(reference!$C$144:$C$155,TRIM(LEFT('hospitalityq-nil'!D1145,FIND(":",'hospitalityq-nil'!D1145&amp;":")-1))&amp;":*")=0,SUMPRODUCT(--(TRIM('hospitalityq-nil'!C6:C1145)=TRIM('hospitalityq-nil'!C1145)),--(TRIM('hospitalityq-nil'!D6:D1145)=TRIM('hospitalityq-nil'!D1145)))&gt;1))</f>
        <v>0</v>
      </c>
    </row>
    <row r="1146" spans="1:4" x14ac:dyDescent="0.25">
      <c r="A1146">
        <f t="shared" si="17"/>
        <v>0</v>
      </c>
      <c r="C1146">
        <f>NOT('hospitalityq-nil'!C1146="")*(OR(NOT(IFERROR(AND(INT('hospitalityq-nil'!C1146)='hospitalityq-nil'!C1146,'hospitalityq-nil'!C1146&gt;=2018-50,'hospitalityq-nil'!C1146&lt;=2018+50),FALSE)),SUMPRODUCT(--(TRIM('hospitalityq-nil'!C6:C1146)=TRIM('hospitalityq-nil'!C1146)),--(TRIM('hospitalityq-nil'!D6:D1146)=TRIM('hospitalityq-nil'!D1146)))&gt;1))</f>
        <v>0</v>
      </c>
      <c r="D1146">
        <f>NOT('hospitalityq-nil'!D1146="")*(OR(COUNTIF(reference!$C$144:$C$155,TRIM(LEFT('hospitalityq-nil'!D1146,FIND(":",'hospitalityq-nil'!D1146&amp;":")-1))&amp;":*")=0,SUMPRODUCT(--(TRIM('hospitalityq-nil'!C6:C1146)=TRIM('hospitalityq-nil'!C1146)),--(TRIM('hospitalityq-nil'!D6:D1146)=TRIM('hospitalityq-nil'!D1146)))&gt;1))</f>
        <v>0</v>
      </c>
    </row>
    <row r="1147" spans="1:4" x14ac:dyDescent="0.25">
      <c r="A1147">
        <f t="shared" si="17"/>
        <v>0</v>
      </c>
      <c r="C1147">
        <f>NOT('hospitalityq-nil'!C1147="")*(OR(NOT(IFERROR(AND(INT('hospitalityq-nil'!C1147)='hospitalityq-nil'!C1147,'hospitalityq-nil'!C1147&gt;=2018-50,'hospitalityq-nil'!C1147&lt;=2018+50),FALSE)),SUMPRODUCT(--(TRIM('hospitalityq-nil'!C6:C1147)=TRIM('hospitalityq-nil'!C1147)),--(TRIM('hospitalityq-nil'!D6:D1147)=TRIM('hospitalityq-nil'!D1147)))&gt;1))</f>
        <v>0</v>
      </c>
      <c r="D1147">
        <f>NOT('hospitalityq-nil'!D1147="")*(OR(COUNTIF(reference!$C$144:$C$155,TRIM(LEFT('hospitalityq-nil'!D1147,FIND(":",'hospitalityq-nil'!D1147&amp;":")-1))&amp;":*")=0,SUMPRODUCT(--(TRIM('hospitalityq-nil'!C6:C1147)=TRIM('hospitalityq-nil'!C1147)),--(TRIM('hospitalityq-nil'!D6:D1147)=TRIM('hospitalityq-nil'!D1147)))&gt;1))</f>
        <v>0</v>
      </c>
    </row>
    <row r="1148" spans="1:4" x14ac:dyDescent="0.25">
      <c r="A1148">
        <f t="shared" si="17"/>
        <v>0</v>
      </c>
      <c r="C1148">
        <f>NOT('hospitalityq-nil'!C1148="")*(OR(NOT(IFERROR(AND(INT('hospitalityq-nil'!C1148)='hospitalityq-nil'!C1148,'hospitalityq-nil'!C1148&gt;=2018-50,'hospitalityq-nil'!C1148&lt;=2018+50),FALSE)),SUMPRODUCT(--(TRIM('hospitalityq-nil'!C6:C1148)=TRIM('hospitalityq-nil'!C1148)),--(TRIM('hospitalityq-nil'!D6:D1148)=TRIM('hospitalityq-nil'!D1148)))&gt;1))</f>
        <v>0</v>
      </c>
      <c r="D1148">
        <f>NOT('hospitalityq-nil'!D1148="")*(OR(COUNTIF(reference!$C$144:$C$155,TRIM(LEFT('hospitalityq-nil'!D1148,FIND(":",'hospitalityq-nil'!D1148&amp;":")-1))&amp;":*")=0,SUMPRODUCT(--(TRIM('hospitalityq-nil'!C6:C1148)=TRIM('hospitalityq-nil'!C1148)),--(TRIM('hospitalityq-nil'!D6:D1148)=TRIM('hospitalityq-nil'!D1148)))&gt;1))</f>
        <v>0</v>
      </c>
    </row>
    <row r="1149" spans="1:4" x14ac:dyDescent="0.25">
      <c r="A1149">
        <f t="shared" si="17"/>
        <v>0</v>
      </c>
      <c r="C1149">
        <f>NOT('hospitalityq-nil'!C1149="")*(OR(NOT(IFERROR(AND(INT('hospitalityq-nil'!C1149)='hospitalityq-nil'!C1149,'hospitalityq-nil'!C1149&gt;=2018-50,'hospitalityq-nil'!C1149&lt;=2018+50),FALSE)),SUMPRODUCT(--(TRIM('hospitalityq-nil'!C6:C1149)=TRIM('hospitalityq-nil'!C1149)),--(TRIM('hospitalityq-nil'!D6:D1149)=TRIM('hospitalityq-nil'!D1149)))&gt;1))</f>
        <v>0</v>
      </c>
      <c r="D1149">
        <f>NOT('hospitalityq-nil'!D1149="")*(OR(COUNTIF(reference!$C$144:$C$155,TRIM(LEFT('hospitalityq-nil'!D1149,FIND(":",'hospitalityq-nil'!D1149&amp;":")-1))&amp;":*")=0,SUMPRODUCT(--(TRIM('hospitalityq-nil'!C6:C1149)=TRIM('hospitalityq-nil'!C1149)),--(TRIM('hospitalityq-nil'!D6:D1149)=TRIM('hospitalityq-nil'!D1149)))&gt;1))</f>
        <v>0</v>
      </c>
    </row>
    <row r="1150" spans="1:4" x14ac:dyDescent="0.25">
      <c r="A1150">
        <f t="shared" si="17"/>
        <v>0</v>
      </c>
      <c r="C1150">
        <f>NOT('hospitalityq-nil'!C1150="")*(OR(NOT(IFERROR(AND(INT('hospitalityq-nil'!C1150)='hospitalityq-nil'!C1150,'hospitalityq-nil'!C1150&gt;=2018-50,'hospitalityq-nil'!C1150&lt;=2018+50),FALSE)),SUMPRODUCT(--(TRIM('hospitalityq-nil'!C6:C1150)=TRIM('hospitalityq-nil'!C1150)),--(TRIM('hospitalityq-nil'!D6:D1150)=TRIM('hospitalityq-nil'!D1150)))&gt;1))</f>
        <v>0</v>
      </c>
      <c r="D1150">
        <f>NOT('hospitalityq-nil'!D1150="")*(OR(COUNTIF(reference!$C$144:$C$155,TRIM(LEFT('hospitalityq-nil'!D1150,FIND(":",'hospitalityq-nil'!D1150&amp;":")-1))&amp;":*")=0,SUMPRODUCT(--(TRIM('hospitalityq-nil'!C6:C1150)=TRIM('hospitalityq-nil'!C1150)),--(TRIM('hospitalityq-nil'!D6:D1150)=TRIM('hospitalityq-nil'!D1150)))&gt;1))</f>
        <v>0</v>
      </c>
    </row>
    <row r="1151" spans="1:4" x14ac:dyDescent="0.25">
      <c r="A1151">
        <f t="shared" si="17"/>
        <v>0</v>
      </c>
      <c r="C1151">
        <f>NOT('hospitalityq-nil'!C1151="")*(OR(NOT(IFERROR(AND(INT('hospitalityq-nil'!C1151)='hospitalityq-nil'!C1151,'hospitalityq-nil'!C1151&gt;=2018-50,'hospitalityq-nil'!C1151&lt;=2018+50),FALSE)),SUMPRODUCT(--(TRIM('hospitalityq-nil'!C6:C1151)=TRIM('hospitalityq-nil'!C1151)),--(TRIM('hospitalityq-nil'!D6:D1151)=TRIM('hospitalityq-nil'!D1151)))&gt;1))</f>
        <v>0</v>
      </c>
      <c r="D1151">
        <f>NOT('hospitalityq-nil'!D1151="")*(OR(COUNTIF(reference!$C$144:$C$155,TRIM(LEFT('hospitalityq-nil'!D1151,FIND(":",'hospitalityq-nil'!D1151&amp;":")-1))&amp;":*")=0,SUMPRODUCT(--(TRIM('hospitalityq-nil'!C6:C1151)=TRIM('hospitalityq-nil'!C1151)),--(TRIM('hospitalityq-nil'!D6:D1151)=TRIM('hospitalityq-nil'!D1151)))&gt;1))</f>
        <v>0</v>
      </c>
    </row>
    <row r="1152" spans="1:4" x14ac:dyDescent="0.25">
      <c r="A1152">
        <f t="shared" si="17"/>
        <v>0</v>
      </c>
      <c r="C1152">
        <f>NOT('hospitalityq-nil'!C1152="")*(OR(NOT(IFERROR(AND(INT('hospitalityq-nil'!C1152)='hospitalityq-nil'!C1152,'hospitalityq-nil'!C1152&gt;=2018-50,'hospitalityq-nil'!C1152&lt;=2018+50),FALSE)),SUMPRODUCT(--(TRIM('hospitalityq-nil'!C6:C1152)=TRIM('hospitalityq-nil'!C1152)),--(TRIM('hospitalityq-nil'!D6:D1152)=TRIM('hospitalityq-nil'!D1152)))&gt;1))</f>
        <v>0</v>
      </c>
      <c r="D1152">
        <f>NOT('hospitalityq-nil'!D1152="")*(OR(COUNTIF(reference!$C$144:$C$155,TRIM(LEFT('hospitalityq-nil'!D1152,FIND(":",'hospitalityq-nil'!D1152&amp;":")-1))&amp;":*")=0,SUMPRODUCT(--(TRIM('hospitalityq-nil'!C6:C1152)=TRIM('hospitalityq-nil'!C1152)),--(TRIM('hospitalityq-nil'!D6:D1152)=TRIM('hospitalityq-nil'!D1152)))&gt;1))</f>
        <v>0</v>
      </c>
    </row>
    <row r="1153" spans="1:4" x14ac:dyDescent="0.25">
      <c r="A1153">
        <f t="shared" si="17"/>
        <v>0</v>
      </c>
      <c r="C1153">
        <f>NOT('hospitalityq-nil'!C1153="")*(OR(NOT(IFERROR(AND(INT('hospitalityq-nil'!C1153)='hospitalityq-nil'!C1153,'hospitalityq-nil'!C1153&gt;=2018-50,'hospitalityq-nil'!C1153&lt;=2018+50),FALSE)),SUMPRODUCT(--(TRIM('hospitalityq-nil'!C6:C1153)=TRIM('hospitalityq-nil'!C1153)),--(TRIM('hospitalityq-nil'!D6:D1153)=TRIM('hospitalityq-nil'!D1153)))&gt;1))</f>
        <v>0</v>
      </c>
      <c r="D1153">
        <f>NOT('hospitalityq-nil'!D1153="")*(OR(COUNTIF(reference!$C$144:$C$155,TRIM(LEFT('hospitalityq-nil'!D1153,FIND(":",'hospitalityq-nil'!D1153&amp;":")-1))&amp;":*")=0,SUMPRODUCT(--(TRIM('hospitalityq-nil'!C6:C1153)=TRIM('hospitalityq-nil'!C1153)),--(TRIM('hospitalityq-nil'!D6:D1153)=TRIM('hospitalityq-nil'!D1153)))&gt;1))</f>
        <v>0</v>
      </c>
    </row>
    <row r="1154" spans="1:4" x14ac:dyDescent="0.25">
      <c r="A1154">
        <f t="shared" si="17"/>
        <v>0</v>
      </c>
      <c r="C1154">
        <f>NOT('hospitalityq-nil'!C1154="")*(OR(NOT(IFERROR(AND(INT('hospitalityq-nil'!C1154)='hospitalityq-nil'!C1154,'hospitalityq-nil'!C1154&gt;=2018-50,'hospitalityq-nil'!C1154&lt;=2018+50),FALSE)),SUMPRODUCT(--(TRIM('hospitalityq-nil'!C6:C1154)=TRIM('hospitalityq-nil'!C1154)),--(TRIM('hospitalityq-nil'!D6:D1154)=TRIM('hospitalityq-nil'!D1154)))&gt;1))</f>
        <v>0</v>
      </c>
      <c r="D1154">
        <f>NOT('hospitalityq-nil'!D1154="")*(OR(COUNTIF(reference!$C$144:$C$155,TRIM(LEFT('hospitalityq-nil'!D1154,FIND(":",'hospitalityq-nil'!D1154&amp;":")-1))&amp;":*")=0,SUMPRODUCT(--(TRIM('hospitalityq-nil'!C6:C1154)=TRIM('hospitalityq-nil'!C1154)),--(TRIM('hospitalityq-nil'!D6:D1154)=TRIM('hospitalityq-nil'!D1154)))&gt;1))</f>
        <v>0</v>
      </c>
    </row>
    <row r="1155" spans="1:4" x14ac:dyDescent="0.25">
      <c r="A1155">
        <f t="shared" si="17"/>
        <v>0</v>
      </c>
      <c r="C1155">
        <f>NOT('hospitalityq-nil'!C1155="")*(OR(NOT(IFERROR(AND(INT('hospitalityq-nil'!C1155)='hospitalityq-nil'!C1155,'hospitalityq-nil'!C1155&gt;=2018-50,'hospitalityq-nil'!C1155&lt;=2018+50),FALSE)),SUMPRODUCT(--(TRIM('hospitalityq-nil'!C6:C1155)=TRIM('hospitalityq-nil'!C1155)),--(TRIM('hospitalityq-nil'!D6:D1155)=TRIM('hospitalityq-nil'!D1155)))&gt;1))</f>
        <v>0</v>
      </c>
      <c r="D1155">
        <f>NOT('hospitalityq-nil'!D1155="")*(OR(COUNTIF(reference!$C$144:$C$155,TRIM(LEFT('hospitalityq-nil'!D1155,FIND(":",'hospitalityq-nil'!D1155&amp;":")-1))&amp;":*")=0,SUMPRODUCT(--(TRIM('hospitalityq-nil'!C6:C1155)=TRIM('hospitalityq-nil'!C1155)),--(TRIM('hospitalityq-nil'!D6:D1155)=TRIM('hospitalityq-nil'!D1155)))&gt;1))</f>
        <v>0</v>
      </c>
    </row>
    <row r="1156" spans="1:4" x14ac:dyDescent="0.25">
      <c r="A1156">
        <f t="shared" si="17"/>
        <v>0</v>
      </c>
      <c r="C1156">
        <f>NOT('hospitalityq-nil'!C1156="")*(OR(NOT(IFERROR(AND(INT('hospitalityq-nil'!C1156)='hospitalityq-nil'!C1156,'hospitalityq-nil'!C1156&gt;=2018-50,'hospitalityq-nil'!C1156&lt;=2018+50),FALSE)),SUMPRODUCT(--(TRIM('hospitalityq-nil'!C6:C1156)=TRIM('hospitalityq-nil'!C1156)),--(TRIM('hospitalityq-nil'!D6:D1156)=TRIM('hospitalityq-nil'!D1156)))&gt;1))</f>
        <v>0</v>
      </c>
      <c r="D1156">
        <f>NOT('hospitalityq-nil'!D1156="")*(OR(COUNTIF(reference!$C$144:$C$155,TRIM(LEFT('hospitalityq-nil'!D1156,FIND(":",'hospitalityq-nil'!D1156&amp;":")-1))&amp;":*")=0,SUMPRODUCT(--(TRIM('hospitalityq-nil'!C6:C1156)=TRIM('hospitalityq-nil'!C1156)),--(TRIM('hospitalityq-nil'!D6:D1156)=TRIM('hospitalityq-nil'!D1156)))&gt;1))</f>
        <v>0</v>
      </c>
    </row>
    <row r="1157" spans="1:4" x14ac:dyDescent="0.25">
      <c r="A1157">
        <f t="shared" si="17"/>
        <v>0</v>
      </c>
      <c r="C1157">
        <f>NOT('hospitalityq-nil'!C1157="")*(OR(NOT(IFERROR(AND(INT('hospitalityq-nil'!C1157)='hospitalityq-nil'!C1157,'hospitalityq-nil'!C1157&gt;=2018-50,'hospitalityq-nil'!C1157&lt;=2018+50),FALSE)),SUMPRODUCT(--(TRIM('hospitalityq-nil'!C6:C1157)=TRIM('hospitalityq-nil'!C1157)),--(TRIM('hospitalityq-nil'!D6:D1157)=TRIM('hospitalityq-nil'!D1157)))&gt;1))</f>
        <v>0</v>
      </c>
      <c r="D1157">
        <f>NOT('hospitalityq-nil'!D1157="")*(OR(COUNTIF(reference!$C$144:$C$155,TRIM(LEFT('hospitalityq-nil'!D1157,FIND(":",'hospitalityq-nil'!D1157&amp;":")-1))&amp;":*")=0,SUMPRODUCT(--(TRIM('hospitalityq-nil'!C6:C1157)=TRIM('hospitalityq-nil'!C1157)),--(TRIM('hospitalityq-nil'!D6:D1157)=TRIM('hospitalityq-nil'!D1157)))&gt;1))</f>
        <v>0</v>
      </c>
    </row>
    <row r="1158" spans="1:4" x14ac:dyDescent="0.25">
      <c r="A1158">
        <f t="shared" ref="A1158:A1221" si="18">IFERROR(MATCH(TRUE,INDEX(C1158:D1158&lt;&gt;0,),)+2,0)</f>
        <v>0</v>
      </c>
      <c r="C1158">
        <f>NOT('hospitalityq-nil'!C1158="")*(OR(NOT(IFERROR(AND(INT('hospitalityq-nil'!C1158)='hospitalityq-nil'!C1158,'hospitalityq-nil'!C1158&gt;=2018-50,'hospitalityq-nil'!C1158&lt;=2018+50),FALSE)),SUMPRODUCT(--(TRIM('hospitalityq-nil'!C6:C1158)=TRIM('hospitalityq-nil'!C1158)),--(TRIM('hospitalityq-nil'!D6:D1158)=TRIM('hospitalityq-nil'!D1158)))&gt;1))</f>
        <v>0</v>
      </c>
      <c r="D1158">
        <f>NOT('hospitalityq-nil'!D1158="")*(OR(COUNTIF(reference!$C$144:$C$155,TRIM(LEFT('hospitalityq-nil'!D1158,FIND(":",'hospitalityq-nil'!D1158&amp;":")-1))&amp;":*")=0,SUMPRODUCT(--(TRIM('hospitalityq-nil'!C6:C1158)=TRIM('hospitalityq-nil'!C1158)),--(TRIM('hospitalityq-nil'!D6:D1158)=TRIM('hospitalityq-nil'!D1158)))&gt;1))</f>
        <v>0</v>
      </c>
    </row>
    <row r="1159" spans="1:4" x14ac:dyDescent="0.25">
      <c r="A1159">
        <f t="shared" si="18"/>
        <v>0</v>
      </c>
      <c r="C1159">
        <f>NOT('hospitalityq-nil'!C1159="")*(OR(NOT(IFERROR(AND(INT('hospitalityq-nil'!C1159)='hospitalityq-nil'!C1159,'hospitalityq-nil'!C1159&gt;=2018-50,'hospitalityq-nil'!C1159&lt;=2018+50),FALSE)),SUMPRODUCT(--(TRIM('hospitalityq-nil'!C6:C1159)=TRIM('hospitalityq-nil'!C1159)),--(TRIM('hospitalityq-nil'!D6:D1159)=TRIM('hospitalityq-nil'!D1159)))&gt;1))</f>
        <v>0</v>
      </c>
      <c r="D1159">
        <f>NOT('hospitalityq-nil'!D1159="")*(OR(COUNTIF(reference!$C$144:$C$155,TRIM(LEFT('hospitalityq-nil'!D1159,FIND(":",'hospitalityq-nil'!D1159&amp;":")-1))&amp;":*")=0,SUMPRODUCT(--(TRIM('hospitalityq-nil'!C6:C1159)=TRIM('hospitalityq-nil'!C1159)),--(TRIM('hospitalityq-nil'!D6:D1159)=TRIM('hospitalityq-nil'!D1159)))&gt;1))</f>
        <v>0</v>
      </c>
    </row>
    <row r="1160" spans="1:4" x14ac:dyDescent="0.25">
      <c r="A1160">
        <f t="shared" si="18"/>
        <v>0</v>
      </c>
      <c r="C1160">
        <f>NOT('hospitalityq-nil'!C1160="")*(OR(NOT(IFERROR(AND(INT('hospitalityq-nil'!C1160)='hospitalityq-nil'!C1160,'hospitalityq-nil'!C1160&gt;=2018-50,'hospitalityq-nil'!C1160&lt;=2018+50),FALSE)),SUMPRODUCT(--(TRIM('hospitalityq-nil'!C6:C1160)=TRIM('hospitalityq-nil'!C1160)),--(TRIM('hospitalityq-nil'!D6:D1160)=TRIM('hospitalityq-nil'!D1160)))&gt;1))</f>
        <v>0</v>
      </c>
      <c r="D1160">
        <f>NOT('hospitalityq-nil'!D1160="")*(OR(COUNTIF(reference!$C$144:$C$155,TRIM(LEFT('hospitalityq-nil'!D1160,FIND(":",'hospitalityq-nil'!D1160&amp;":")-1))&amp;":*")=0,SUMPRODUCT(--(TRIM('hospitalityq-nil'!C6:C1160)=TRIM('hospitalityq-nil'!C1160)),--(TRIM('hospitalityq-nil'!D6:D1160)=TRIM('hospitalityq-nil'!D1160)))&gt;1))</f>
        <v>0</v>
      </c>
    </row>
    <row r="1161" spans="1:4" x14ac:dyDescent="0.25">
      <c r="A1161">
        <f t="shared" si="18"/>
        <v>0</v>
      </c>
      <c r="C1161">
        <f>NOT('hospitalityq-nil'!C1161="")*(OR(NOT(IFERROR(AND(INT('hospitalityq-nil'!C1161)='hospitalityq-nil'!C1161,'hospitalityq-nil'!C1161&gt;=2018-50,'hospitalityq-nil'!C1161&lt;=2018+50),FALSE)),SUMPRODUCT(--(TRIM('hospitalityq-nil'!C6:C1161)=TRIM('hospitalityq-nil'!C1161)),--(TRIM('hospitalityq-nil'!D6:D1161)=TRIM('hospitalityq-nil'!D1161)))&gt;1))</f>
        <v>0</v>
      </c>
      <c r="D1161">
        <f>NOT('hospitalityq-nil'!D1161="")*(OR(COUNTIF(reference!$C$144:$C$155,TRIM(LEFT('hospitalityq-nil'!D1161,FIND(":",'hospitalityq-nil'!D1161&amp;":")-1))&amp;":*")=0,SUMPRODUCT(--(TRIM('hospitalityq-nil'!C6:C1161)=TRIM('hospitalityq-nil'!C1161)),--(TRIM('hospitalityq-nil'!D6:D1161)=TRIM('hospitalityq-nil'!D1161)))&gt;1))</f>
        <v>0</v>
      </c>
    </row>
    <row r="1162" spans="1:4" x14ac:dyDescent="0.25">
      <c r="A1162">
        <f t="shared" si="18"/>
        <v>0</v>
      </c>
      <c r="C1162">
        <f>NOT('hospitalityq-nil'!C1162="")*(OR(NOT(IFERROR(AND(INT('hospitalityq-nil'!C1162)='hospitalityq-nil'!C1162,'hospitalityq-nil'!C1162&gt;=2018-50,'hospitalityq-nil'!C1162&lt;=2018+50),FALSE)),SUMPRODUCT(--(TRIM('hospitalityq-nil'!C6:C1162)=TRIM('hospitalityq-nil'!C1162)),--(TRIM('hospitalityq-nil'!D6:D1162)=TRIM('hospitalityq-nil'!D1162)))&gt;1))</f>
        <v>0</v>
      </c>
      <c r="D1162">
        <f>NOT('hospitalityq-nil'!D1162="")*(OR(COUNTIF(reference!$C$144:$C$155,TRIM(LEFT('hospitalityq-nil'!D1162,FIND(":",'hospitalityq-nil'!D1162&amp;":")-1))&amp;":*")=0,SUMPRODUCT(--(TRIM('hospitalityq-nil'!C6:C1162)=TRIM('hospitalityq-nil'!C1162)),--(TRIM('hospitalityq-nil'!D6:D1162)=TRIM('hospitalityq-nil'!D1162)))&gt;1))</f>
        <v>0</v>
      </c>
    </row>
    <row r="1163" spans="1:4" x14ac:dyDescent="0.25">
      <c r="A1163">
        <f t="shared" si="18"/>
        <v>0</v>
      </c>
      <c r="C1163">
        <f>NOT('hospitalityq-nil'!C1163="")*(OR(NOT(IFERROR(AND(INT('hospitalityq-nil'!C1163)='hospitalityq-nil'!C1163,'hospitalityq-nil'!C1163&gt;=2018-50,'hospitalityq-nil'!C1163&lt;=2018+50),FALSE)),SUMPRODUCT(--(TRIM('hospitalityq-nil'!C6:C1163)=TRIM('hospitalityq-nil'!C1163)),--(TRIM('hospitalityq-nil'!D6:D1163)=TRIM('hospitalityq-nil'!D1163)))&gt;1))</f>
        <v>0</v>
      </c>
      <c r="D1163">
        <f>NOT('hospitalityq-nil'!D1163="")*(OR(COUNTIF(reference!$C$144:$C$155,TRIM(LEFT('hospitalityq-nil'!D1163,FIND(":",'hospitalityq-nil'!D1163&amp;":")-1))&amp;":*")=0,SUMPRODUCT(--(TRIM('hospitalityq-nil'!C6:C1163)=TRIM('hospitalityq-nil'!C1163)),--(TRIM('hospitalityq-nil'!D6:D1163)=TRIM('hospitalityq-nil'!D1163)))&gt;1))</f>
        <v>0</v>
      </c>
    </row>
    <row r="1164" spans="1:4" x14ac:dyDescent="0.25">
      <c r="A1164">
        <f t="shared" si="18"/>
        <v>0</v>
      </c>
      <c r="C1164">
        <f>NOT('hospitalityq-nil'!C1164="")*(OR(NOT(IFERROR(AND(INT('hospitalityq-nil'!C1164)='hospitalityq-nil'!C1164,'hospitalityq-nil'!C1164&gt;=2018-50,'hospitalityq-nil'!C1164&lt;=2018+50),FALSE)),SUMPRODUCT(--(TRIM('hospitalityq-nil'!C6:C1164)=TRIM('hospitalityq-nil'!C1164)),--(TRIM('hospitalityq-nil'!D6:D1164)=TRIM('hospitalityq-nil'!D1164)))&gt;1))</f>
        <v>0</v>
      </c>
      <c r="D1164">
        <f>NOT('hospitalityq-nil'!D1164="")*(OR(COUNTIF(reference!$C$144:$C$155,TRIM(LEFT('hospitalityq-nil'!D1164,FIND(":",'hospitalityq-nil'!D1164&amp;":")-1))&amp;":*")=0,SUMPRODUCT(--(TRIM('hospitalityq-nil'!C6:C1164)=TRIM('hospitalityq-nil'!C1164)),--(TRIM('hospitalityq-nil'!D6:D1164)=TRIM('hospitalityq-nil'!D1164)))&gt;1))</f>
        <v>0</v>
      </c>
    </row>
    <row r="1165" spans="1:4" x14ac:dyDescent="0.25">
      <c r="A1165">
        <f t="shared" si="18"/>
        <v>0</v>
      </c>
      <c r="C1165">
        <f>NOT('hospitalityq-nil'!C1165="")*(OR(NOT(IFERROR(AND(INT('hospitalityq-nil'!C1165)='hospitalityq-nil'!C1165,'hospitalityq-nil'!C1165&gt;=2018-50,'hospitalityq-nil'!C1165&lt;=2018+50),FALSE)),SUMPRODUCT(--(TRIM('hospitalityq-nil'!C6:C1165)=TRIM('hospitalityq-nil'!C1165)),--(TRIM('hospitalityq-nil'!D6:D1165)=TRIM('hospitalityq-nil'!D1165)))&gt;1))</f>
        <v>0</v>
      </c>
      <c r="D1165">
        <f>NOT('hospitalityq-nil'!D1165="")*(OR(COUNTIF(reference!$C$144:$C$155,TRIM(LEFT('hospitalityq-nil'!D1165,FIND(":",'hospitalityq-nil'!D1165&amp;":")-1))&amp;":*")=0,SUMPRODUCT(--(TRIM('hospitalityq-nil'!C6:C1165)=TRIM('hospitalityq-nil'!C1165)),--(TRIM('hospitalityq-nil'!D6:D1165)=TRIM('hospitalityq-nil'!D1165)))&gt;1))</f>
        <v>0</v>
      </c>
    </row>
    <row r="1166" spans="1:4" x14ac:dyDescent="0.25">
      <c r="A1166">
        <f t="shared" si="18"/>
        <v>0</v>
      </c>
      <c r="C1166">
        <f>NOT('hospitalityq-nil'!C1166="")*(OR(NOT(IFERROR(AND(INT('hospitalityq-nil'!C1166)='hospitalityq-nil'!C1166,'hospitalityq-nil'!C1166&gt;=2018-50,'hospitalityq-nil'!C1166&lt;=2018+50),FALSE)),SUMPRODUCT(--(TRIM('hospitalityq-nil'!C6:C1166)=TRIM('hospitalityq-nil'!C1166)),--(TRIM('hospitalityq-nil'!D6:D1166)=TRIM('hospitalityq-nil'!D1166)))&gt;1))</f>
        <v>0</v>
      </c>
      <c r="D1166">
        <f>NOT('hospitalityq-nil'!D1166="")*(OR(COUNTIF(reference!$C$144:$C$155,TRIM(LEFT('hospitalityq-nil'!D1166,FIND(":",'hospitalityq-nil'!D1166&amp;":")-1))&amp;":*")=0,SUMPRODUCT(--(TRIM('hospitalityq-nil'!C6:C1166)=TRIM('hospitalityq-nil'!C1166)),--(TRIM('hospitalityq-nil'!D6:D1166)=TRIM('hospitalityq-nil'!D1166)))&gt;1))</f>
        <v>0</v>
      </c>
    </row>
    <row r="1167" spans="1:4" x14ac:dyDescent="0.25">
      <c r="A1167">
        <f t="shared" si="18"/>
        <v>0</v>
      </c>
      <c r="C1167">
        <f>NOT('hospitalityq-nil'!C1167="")*(OR(NOT(IFERROR(AND(INT('hospitalityq-nil'!C1167)='hospitalityq-nil'!C1167,'hospitalityq-nil'!C1167&gt;=2018-50,'hospitalityq-nil'!C1167&lt;=2018+50),FALSE)),SUMPRODUCT(--(TRIM('hospitalityq-nil'!C6:C1167)=TRIM('hospitalityq-nil'!C1167)),--(TRIM('hospitalityq-nil'!D6:D1167)=TRIM('hospitalityq-nil'!D1167)))&gt;1))</f>
        <v>0</v>
      </c>
      <c r="D1167">
        <f>NOT('hospitalityq-nil'!D1167="")*(OR(COUNTIF(reference!$C$144:$C$155,TRIM(LEFT('hospitalityq-nil'!D1167,FIND(":",'hospitalityq-nil'!D1167&amp;":")-1))&amp;":*")=0,SUMPRODUCT(--(TRIM('hospitalityq-nil'!C6:C1167)=TRIM('hospitalityq-nil'!C1167)),--(TRIM('hospitalityq-nil'!D6:D1167)=TRIM('hospitalityq-nil'!D1167)))&gt;1))</f>
        <v>0</v>
      </c>
    </row>
    <row r="1168" spans="1:4" x14ac:dyDescent="0.25">
      <c r="A1168">
        <f t="shared" si="18"/>
        <v>0</v>
      </c>
      <c r="C1168">
        <f>NOT('hospitalityq-nil'!C1168="")*(OR(NOT(IFERROR(AND(INT('hospitalityq-nil'!C1168)='hospitalityq-nil'!C1168,'hospitalityq-nil'!C1168&gt;=2018-50,'hospitalityq-nil'!C1168&lt;=2018+50),FALSE)),SUMPRODUCT(--(TRIM('hospitalityq-nil'!C6:C1168)=TRIM('hospitalityq-nil'!C1168)),--(TRIM('hospitalityq-nil'!D6:D1168)=TRIM('hospitalityq-nil'!D1168)))&gt;1))</f>
        <v>0</v>
      </c>
      <c r="D1168">
        <f>NOT('hospitalityq-nil'!D1168="")*(OR(COUNTIF(reference!$C$144:$C$155,TRIM(LEFT('hospitalityq-nil'!D1168,FIND(":",'hospitalityq-nil'!D1168&amp;":")-1))&amp;":*")=0,SUMPRODUCT(--(TRIM('hospitalityq-nil'!C6:C1168)=TRIM('hospitalityq-nil'!C1168)),--(TRIM('hospitalityq-nil'!D6:D1168)=TRIM('hospitalityq-nil'!D1168)))&gt;1))</f>
        <v>0</v>
      </c>
    </row>
    <row r="1169" spans="1:4" x14ac:dyDescent="0.25">
      <c r="A1169">
        <f t="shared" si="18"/>
        <v>0</v>
      </c>
      <c r="C1169">
        <f>NOT('hospitalityq-nil'!C1169="")*(OR(NOT(IFERROR(AND(INT('hospitalityq-nil'!C1169)='hospitalityq-nil'!C1169,'hospitalityq-nil'!C1169&gt;=2018-50,'hospitalityq-nil'!C1169&lt;=2018+50),FALSE)),SUMPRODUCT(--(TRIM('hospitalityq-nil'!C6:C1169)=TRIM('hospitalityq-nil'!C1169)),--(TRIM('hospitalityq-nil'!D6:D1169)=TRIM('hospitalityq-nil'!D1169)))&gt;1))</f>
        <v>0</v>
      </c>
      <c r="D1169">
        <f>NOT('hospitalityq-nil'!D1169="")*(OR(COUNTIF(reference!$C$144:$C$155,TRIM(LEFT('hospitalityq-nil'!D1169,FIND(":",'hospitalityq-nil'!D1169&amp;":")-1))&amp;":*")=0,SUMPRODUCT(--(TRIM('hospitalityq-nil'!C6:C1169)=TRIM('hospitalityq-nil'!C1169)),--(TRIM('hospitalityq-nil'!D6:D1169)=TRIM('hospitalityq-nil'!D1169)))&gt;1))</f>
        <v>0</v>
      </c>
    </row>
    <row r="1170" spans="1:4" x14ac:dyDescent="0.25">
      <c r="A1170">
        <f t="shared" si="18"/>
        <v>0</v>
      </c>
      <c r="C1170">
        <f>NOT('hospitalityq-nil'!C1170="")*(OR(NOT(IFERROR(AND(INT('hospitalityq-nil'!C1170)='hospitalityq-nil'!C1170,'hospitalityq-nil'!C1170&gt;=2018-50,'hospitalityq-nil'!C1170&lt;=2018+50),FALSE)),SUMPRODUCT(--(TRIM('hospitalityq-nil'!C6:C1170)=TRIM('hospitalityq-nil'!C1170)),--(TRIM('hospitalityq-nil'!D6:D1170)=TRIM('hospitalityq-nil'!D1170)))&gt;1))</f>
        <v>0</v>
      </c>
      <c r="D1170">
        <f>NOT('hospitalityq-nil'!D1170="")*(OR(COUNTIF(reference!$C$144:$C$155,TRIM(LEFT('hospitalityq-nil'!D1170,FIND(":",'hospitalityq-nil'!D1170&amp;":")-1))&amp;":*")=0,SUMPRODUCT(--(TRIM('hospitalityq-nil'!C6:C1170)=TRIM('hospitalityq-nil'!C1170)),--(TRIM('hospitalityq-nil'!D6:D1170)=TRIM('hospitalityq-nil'!D1170)))&gt;1))</f>
        <v>0</v>
      </c>
    </row>
    <row r="1171" spans="1:4" x14ac:dyDescent="0.25">
      <c r="A1171">
        <f t="shared" si="18"/>
        <v>0</v>
      </c>
      <c r="C1171">
        <f>NOT('hospitalityq-nil'!C1171="")*(OR(NOT(IFERROR(AND(INT('hospitalityq-nil'!C1171)='hospitalityq-nil'!C1171,'hospitalityq-nil'!C1171&gt;=2018-50,'hospitalityq-nil'!C1171&lt;=2018+50),FALSE)),SUMPRODUCT(--(TRIM('hospitalityq-nil'!C6:C1171)=TRIM('hospitalityq-nil'!C1171)),--(TRIM('hospitalityq-nil'!D6:D1171)=TRIM('hospitalityq-nil'!D1171)))&gt;1))</f>
        <v>0</v>
      </c>
      <c r="D1171">
        <f>NOT('hospitalityq-nil'!D1171="")*(OR(COUNTIF(reference!$C$144:$C$155,TRIM(LEFT('hospitalityq-nil'!D1171,FIND(":",'hospitalityq-nil'!D1171&amp;":")-1))&amp;":*")=0,SUMPRODUCT(--(TRIM('hospitalityq-nil'!C6:C1171)=TRIM('hospitalityq-nil'!C1171)),--(TRIM('hospitalityq-nil'!D6:D1171)=TRIM('hospitalityq-nil'!D1171)))&gt;1))</f>
        <v>0</v>
      </c>
    </row>
    <row r="1172" spans="1:4" x14ac:dyDescent="0.25">
      <c r="A1172">
        <f t="shared" si="18"/>
        <v>0</v>
      </c>
      <c r="C1172">
        <f>NOT('hospitalityq-nil'!C1172="")*(OR(NOT(IFERROR(AND(INT('hospitalityq-nil'!C1172)='hospitalityq-nil'!C1172,'hospitalityq-nil'!C1172&gt;=2018-50,'hospitalityq-nil'!C1172&lt;=2018+50),FALSE)),SUMPRODUCT(--(TRIM('hospitalityq-nil'!C6:C1172)=TRIM('hospitalityq-nil'!C1172)),--(TRIM('hospitalityq-nil'!D6:D1172)=TRIM('hospitalityq-nil'!D1172)))&gt;1))</f>
        <v>0</v>
      </c>
      <c r="D1172">
        <f>NOT('hospitalityq-nil'!D1172="")*(OR(COUNTIF(reference!$C$144:$C$155,TRIM(LEFT('hospitalityq-nil'!D1172,FIND(":",'hospitalityq-nil'!D1172&amp;":")-1))&amp;":*")=0,SUMPRODUCT(--(TRIM('hospitalityq-nil'!C6:C1172)=TRIM('hospitalityq-nil'!C1172)),--(TRIM('hospitalityq-nil'!D6:D1172)=TRIM('hospitalityq-nil'!D1172)))&gt;1))</f>
        <v>0</v>
      </c>
    </row>
    <row r="1173" spans="1:4" x14ac:dyDescent="0.25">
      <c r="A1173">
        <f t="shared" si="18"/>
        <v>0</v>
      </c>
      <c r="C1173">
        <f>NOT('hospitalityq-nil'!C1173="")*(OR(NOT(IFERROR(AND(INT('hospitalityq-nil'!C1173)='hospitalityq-nil'!C1173,'hospitalityq-nil'!C1173&gt;=2018-50,'hospitalityq-nil'!C1173&lt;=2018+50),FALSE)),SUMPRODUCT(--(TRIM('hospitalityq-nil'!C6:C1173)=TRIM('hospitalityq-nil'!C1173)),--(TRIM('hospitalityq-nil'!D6:D1173)=TRIM('hospitalityq-nil'!D1173)))&gt;1))</f>
        <v>0</v>
      </c>
      <c r="D1173">
        <f>NOT('hospitalityq-nil'!D1173="")*(OR(COUNTIF(reference!$C$144:$C$155,TRIM(LEFT('hospitalityq-nil'!D1173,FIND(":",'hospitalityq-nil'!D1173&amp;":")-1))&amp;":*")=0,SUMPRODUCT(--(TRIM('hospitalityq-nil'!C6:C1173)=TRIM('hospitalityq-nil'!C1173)),--(TRIM('hospitalityq-nil'!D6:D1173)=TRIM('hospitalityq-nil'!D1173)))&gt;1))</f>
        <v>0</v>
      </c>
    </row>
    <row r="1174" spans="1:4" x14ac:dyDescent="0.25">
      <c r="A1174">
        <f t="shared" si="18"/>
        <v>0</v>
      </c>
      <c r="C1174">
        <f>NOT('hospitalityq-nil'!C1174="")*(OR(NOT(IFERROR(AND(INT('hospitalityq-nil'!C1174)='hospitalityq-nil'!C1174,'hospitalityq-nil'!C1174&gt;=2018-50,'hospitalityq-nil'!C1174&lt;=2018+50),FALSE)),SUMPRODUCT(--(TRIM('hospitalityq-nil'!C6:C1174)=TRIM('hospitalityq-nil'!C1174)),--(TRIM('hospitalityq-nil'!D6:D1174)=TRIM('hospitalityq-nil'!D1174)))&gt;1))</f>
        <v>0</v>
      </c>
      <c r="D1174">
        <f>NOT('hospitalityq-nil'!D1174="")*(OR(COUNTIF(reference!$C$144:$C$155,TRIM(LEFT('hospitalityq-nil'!D1174,FIND(":",'hospitalityq-nil'!D1174&amp;":")-1))&amp;":*")=0,SUMPRODUCT(--(TRIM('hospitalityq-nil'!C6:C1174)=TRIM('hospitalityq-nil'!C1174)),--(TRIM('hospitalityq-nil'!D6:D1174)=TRIM('hospitalityq-nil'!D1174)))&gt;1))</f>
        <v>0</v>
      </c>
    </row>
    <row r="1175" spans="1:4" x14ac:dyDescent="0.25">
      <c r="A1175">
        <f t="shared" si="18"/>
        <v>0</v>
      </c>
      <c r="C1175">
        <f>NOT('hospitalityq-nil'!C1175="")*(OR(NOT(IFERROR(AND(INT('hospitalityq-nil'!C1175)='hospitalityq-nil'!C1175,'hospitalityq-nil'!C1175&gt;=2018-50,'hospitalityq-nil'!C1175&lt;=2018+50),FALSE)),SUMPRODUCT(--(TRIM('hospitalityq-nil'!C6:C1175)=TRIM('hospitalityq-nil'!C1175)),--(TRIM('hospitalityq-nil'!D6:D1175)=TRIM('hospitalityq-nil'!D1175)))&gt;1))</f>
        <v>0</v>
      </c>
      <c r="D1175">
        <f>NOT('hospitalityq-nil'!D1175="")*(OR(COUNTIF(reference!$C$144:$C$155,TRIM(LEFT('hospitalityq-nil'!D1175,FIND(":",'hospitalityq-nil'!D1175&amp;":")-1))&amp;":*")=0,SUMPRODUCT(--(TRIM('hospitalityq-nil'!C6:C1175)=TRIM('hospitalityq-nil'!C1175)),--(TRIM('hospitalityq-nil'!D6:D1175)=TRIM('hospitalityq-nil'!D1175)))&gt;1))</f>
        <v>0</v>
      </c>
    </row>
    <row r="1176" spans="1:4" x14ac:dyDescent="0.25">
      <c r="A1176">
        <f t="shared" si="18"/>
        <v>0</v>
      </c>
      <c r="C1176">
        <f>NOT('hospitalityq-nil'!C1176="")*(OR(NOT(IFERROR(AND(INT('hospitalityq-nil'!C1176)='hospitalityq-nil'!C1176,'hospitalityq-nil'!C1176&gt;=2018-50,'hospitalityq-nil'!C1176&lt;=2018+50),FALSE)),SUMPRODUCT(--(TRIM('hospitalityq-nil'!C6:C1176)=TRIM('hospitalityq-nil'!C1176)),--(TRIM('hospitalityq-nil'!D6:D1176)=TRIM('hospitalityq-nil'!D1176)))&gt;1))</f>
        <v>0</v>
      </c>
      <c r="D1176">
        <f>NOT('hospitalityq-nil'!D1176="")*(OR(COUNTIF(reference!$C$144:$C$155,TRIM(LEFT('hospitalityq-nil'!D1176,FIND(":",'hospitalityq-nil'!D1176&amp;":")-1))&amp;":*")=0,SUMPRODUCT(--(TRIM('hospitalityq-nil'!C6:C1176)=TRIM('hospitalityq-nil'!C1176)),--(TRIM('hospitalityq-nil'!D6:D1176)=TRIM('hospitalityq-nil'!D1176)))&gt;1))</f>
        <v>0</v>
      </c>
    </row>
    <row r="1177" spans="1:4" x14ac:dyDescent="0.25">
      <c r="A1177">
        <f t="shared" si="18"/>
        <v>0</v>
      </c>
      <c r="C1177">
        <f>NOT('hospitalityq-nil'!C1177="")*(OR(NOT(IFERROR(AND(INT('hospitalityq-nil'!C1177)='hospitalityq-nil'!C1177,'hospitalityq-nil'!C1177&gt;=2018-50,'hospitalityq-nil'!C1177&lt;=2018+50),FALSE)),SUMPRODUCT(--(TRIM('hospitalityq-nil'!C6:C1177)=TRIM('hospitalityq-nil'!C1177)),--(TRIM('hospitalityq-nil'!D6:D1177)=TRIM('hospitalityq-nil'!D1177)))&gt;1))</f>
        <v>0</v>
      </c>
      <c r="D1177">
        <f>NOT('hospitalityq-nil'!D1177="")*(OR(COUNTIF(reference!$C$144:$C$155,TRIM(LEFT('hospitalityq-nil'!D1177,FIND(":",'hospitalityq-nil'!D1177&amp;":")-1))&amp;":*")=0,SUMPRODUCT(--(TRIM('hospitalityq-nil'!C6:C1177)=TRIM('hospitalityq-nil'!C1177)),--(TRIM('hospitalityq-nil'!D6:D1177)=TRIM('hospitalityq-nil'!D1177)))&gt;1))</f>
        <v>0</v>
      </c>
    </row>
    <row r="1178" spans="1:4" x14ac:dyDescent="0.25">
      <c r="A1178">
        <f t="shared" si="18"/>
        <v>0</v>
      </c>
      <c r="C1178">
        <f>NOT('hospitalityq-nil'!C1178="")*(OR(NOT(IFERROR(AND(INT('hospitalityq-nil'!C1178)='hospitalityq-nil'!C1178,'hospitalityq-nil'!C1178&gt;=2018-50,'hospitalityq-nil'!C1178&lt;=2018+50),FALSE)),SUMPRODUCT(--(TRIM('hospitalityq-nil'!C6:C1178)=TRIM('hospitalityq-nil'!C1178)),--(TRIM('hospitalityq-nil'!D6:D1178)=TRIM('hospitalityq-nil'!D1178)))&gt;1))</f>
        <v>0</v>
      </c>
      <c r="D1178">
        <f>NOT('hospitalityq-nil'!D1178="")*(OR(COUNTIF(reference!$C$144:$C$155,TRIM(LEFT('hospitalityq-nil'!D1178,FIND(":",'hospitalityq-nil'!D1178&amp;":")-1))&amp;":*")=0,SUMPRODUCT(--(TRIM('hospitalityq-nil'!C6:C1178)=TRIM('hospitalityq-nil'!C1178)),--(TRIM('hospitalityq-nil'!D6:D1178)=TRIM('hospitalityq-nil'!D1178)))&gt;1))</f>
        <v>0</v>
      </c>
    </row>
    <row r="1179" spans="1:4" x14ac:dyDescent="0.25">
      <c r="A1179">
        <f t="shared" si="18"/>
        <v>0</v>
      </c>
      <c r="C1179">
        <f>NOT('hospitalityq-nil'!C1179="")*(OR(NOT(IFERROR(AND(INT('hospitalityq-nil'!C1179)='hospitalityq-nil'!C1179,'hospitalityq-nil'!C1179&gt;=2018-50,'hospitalityq-nil'!C1179&lt;=2018+50),FALSE)),SUMPRODUCT(--(TRIM('hospitalityq-nil'!C6:C1179)=TRIM('hospitalityq-nil'!C1179)),--(TRIM('hospitalityq-nil'!D6:D1179)=TRIM('hospitalityq-nil'!D1179)))&gt;1))</f>
        <v>0</v>
      </c>
      <c r="D1179">
        <f>NOT('hospitalityq-nil'!D1179="")*(OR(COUNTIF(reference!$C$144:$C$155,TRIM(LEFT('hospitalityq-nil'!D1179,FIND(":",'hospitalityq-nil'!D1179&amp;":")-1))&amp;":*")=0,SUMPRODUCT(--(TRIM('hospitalityq-nil'!C6:C1179)=TRIM('hospitalityq-nil'!C1179)),--(TRIM('hospitalityq-nil'!D6:D1179)=TRIM('hospitalityq-nil'!D1179)))&gt;1))</f>
        <v>0</v>
      </c>
    </row>
    <row r="1180" spans="1:4" x14ac:dyDescent="0.25">
      <c r="A1180">
        <f t="shared" si="18"/>
        <v>0</v>
      </c>
      <c r="C1180">
        <f>NOT('hospitalityq-nil'!C1180="")*(OR(NOT(IFERROR(AND(INT('hospitalityq-nil'!C1180)='hospitalityq-nil'!C1180,'hospitalityq-nil'!C1180&gt;=2018-50,'hospitalityq-nil'!C1180&lt;=2018+50),FALSE)),SUMPRODUCT(--(TRIM('hospitalityq-nil'!C6:C1180)=TRIM('hospitalityq-nil'!C1180)),--(TRIM('hospitalityq-nil'!D6:D1180)=TRIM('hospitalityq-nil'!D1180)))&gt;1))</f>
        <v>0</v>
      </c>
      <c r="D1180">
        <f>NOT('hospitalityq-nil'!D1180="")*(OR(COUNTIF(reference!$C$144:$C$155,TRIM(LEFT('hospitalityq-nil'!D1180,FIND(":",'hospitalityq-nil'!D1180&amp;":")-1))&amp;":*")=0,SUMPRODUCT(--(TRIM('hospitalityq-nil'!C6:C1180)=TRIM('hospitalityq-nil'!C1180)),--(TRIM('hospitalityq-nil'!D6:D1180)=TRIM('hospitalityq-nil'!D1180)))&gt;1))</f>
        <v>0</v>
      </c>
    </row>
    <row r="1181" spans="1:4" x14ac:dyDescent="0.25">
      <c r="A1181">
        <f t="shared" si="18"/>
        <v>0</v>
      </c>
      <c r="C1181">
        <f>NOT('hospitalityq-nil'!C1181="")*(OR(NOT(IFERROR(AND(INT('hospitalityq-nil'!C1181)='hospitalityq-nil'!C1181,'hospitalityq-nil'!C1181&gt;=2018-50,'hospitalityq-nil'!C1181&lt;=2018+50),FALSE)),SUMPRODUCT(--(TRIM('hospitalityq-nil'!C6:C1181)=TRIM('hospitalityq-nil'!C1181)),--(TRIM('hospitalityq-nil'!D6:D1181)=TRIM('hospitalityq-nil'!D1181)))&gt;1))</f>
        <v>0</v>
      </c>
      <c r="D1181">
        <f>NOT('hospitalityq-nil'!D1181="")*(OR(COUNTIF(reference!$C$144:$C$155,TRIM(LEFT('hospitalityq-nil'!D1181,FIND(":",'hospitalityq-nil'!D1181&amp;":")-1))&amp;":*")=0,SUMPRODUCT(--(TRIM('hospitalityq-nil'!C6:C1181)=TRIM('hospitalityq-nil'!C1181)),--(TRIM('hospitalityq-nil'!D6:D1181)=TRIM('hospitalityq-nil'!D1181)))&gt;1))</f>
        <v>0</v>
      </c>
    </row>
    <row r="1182" spans="1:4" x14ac:dyDescent="0.25">
      <c r="A1182">
        <f t="shared" si="18"/>
        <v>0</v>
      </c>
      <c r="C1182">
        <f>NOT('hospitalityq-nil'!C1182="")*(OR(NOT(IFERROR(AND(INT('hospitalityq-nil'!C1182)='hospitalityq-nil'!C1182,'hospitalityq-nil'!C1182&gt;=2018-50,'hospitalityq-nil'!C1182&lt;=2018+50),FALSE)),SUMPRODUCT(--(TRIM('hospitalityq-nil'!C6:C1182)=TRIM('hospitalityq-nil'!C1182)),--(TRIM('hospitalityq-nil'!D6:D1182)=TRIM('hospitalityq-nil'!D1182)))&gt;1))</f>
        <v>0</v>
      </c>
      <c r="D1182">
        <f>NOT('hospitalityq-nil'!D1182="")*(OR(COUNTIF(reference!$C$144:$C$155,TRIM(LEFT('hospitalityq-nil'!D1182,FIND(":",'hospitalityq-nil'!D1182&amp;":")-1))&amp;":*")=0,SUMPRODUCT(--(TRIM('hospitalityq-nil'!C6:C1182)=TRIM('hospitalityq-nil'!C1182)),--(TRIM('hospitalityq-nil'!D6:D1182)=TRIM('hospitalityq-nil'!D1182)))&gt;1))</f>
        <v>0</v>
      </c>
    </row>
    <row r="1183" spans="1:4" x14ac:dyDescent="0.25">
      <c r="A1183">
        <f t="shared" si="18"/>
        <v>0</v>
      </c>
      <c r="C1183">
        <f>NOT('hospitalityq-nil'!C1183="")*(OR(NOT(IFERROR(AND(INT('hospitalityq-nil'!C1183)='hospitalityq-nil'!C1183,'hospitalityq-nil'!C1183&gt;=2018-50,'hospitalityq-nil'!C1183&lt;=2018+50),FALSE)),SUMPRODUCT(--(TRIM('hospitalityq-nil'!C6:C1183)=TRIM('hospitalityq-nil'!C1183)),--(TRIM('hospitalityq-nil'!D6:D1183)=TRIM('hospitalityq-nil'!D1183)))&gt;1))</f>
        <v>0</v>
      </c>
      <c r="D1183">
        <f>NOT('hospitalityq-nil'!D1183="")*(OR(COUNTIF(reference!$C$144:$C$155,TRIM(LEFT('hospitalityq-nil'!D1183,FIND(":",'hospitalityq-nil'!D1183&amp;":")-1))&amp;":*")=0,SUMPRODUCT(--(TRIM('hospitalityq-nil'!C6:C1183)=TRIM('hospitalityq-nil'!C1183)),--(TRIM('hospitalityq-nil'!D6:D1183)=TRIM('hospitalityq-nil'!D1183)))&gt;1))</f>
        <v>0</v>
      </c>
    </row>
    <row r="1184" spans="1:4" x14ac:dyDescent="0.25">
      <c r="A1184">
        <f t="shared" si="18"/>
        <v>0</v>
      </c>
      <c r="C1184">
        <f>NOT('hospitalityq-nil'!C1184="")*(OR(NOT(IFERROR(AND(INT('hospitalityq-nil'!C1184)='hospitalityq-nil'!C1184,'hospitalityq-nil'!C1184&gt;=2018-50,'hospitalityq-nil'!C1184&lt;=2018+50),FALSE)),SUMPRODUCT(--(TRIM('hospitalityq-nil'!C6:C1184)=TRIM('hospitalityq-nil'!C1184)),--(TRIM('hospitalityq-nil'!D6:D1184)=TRIM('hospitalityq-nil'!D1184)))&gt;1))</f>
        <v>0</v>
      </c>
      <c r="D1184">
        <f>NOT('hospitalityq-nil'!D1184="")*(OR(COUNTIF(reference!$C$144:$C$155,TRIM(LEFT('hospitalityq-nil'!D1184,FIND(":",'hospitalityq-nil'!D1184&amp;":")-1))&amp;":*")=0,SUMPRODUCT(--(TRIM('hospitalityq-nil'!C6:C1184)=TRIM('hospitalityq-nil'!C1184)),--(TRIM('hospitalityq-nil'!D6:D1184)=TRIM('hospitalityq-nil'!D1184)))&gt;1))</f>
        <v>0</v>
      </c>
    </row>
    <row r="1185" spans="1:4" x14ac:dyDescent="0.25">
      <c r="A1185">
        <f t="shared" si="18"/>
        <v>0</v>
      </c>
      <c r="C1185">
        <f>NOT('hospitalityq-nil'!C1185="")*(OR(NOT(IFERROR(AND(INT('hospitalityq-nil'!C1185)='hospitalityq-nil'!C1185,'hospitalityq-nil'!C1185&gt;=2018-50,'hospitalityq-nil'!C1185&lt;=2018+50),FALSE)),SUMPRODUCT(--(TRIM('hospitalityq-nil'!C6:C1185)=TRIM('hospitalityq-nil'!C1185)),--(TRIM('hospitalityq-nil'!D6:D1185)=TRIM('hospitalityq-nil'!D1185)))&gt;1))</f>
        <v>0</v>
      </c>
      <c r="D1185">
        <f>NOT('hospitalityq-nil'!D1185="")*(OR(COUNTIF(reference!$C$144:$C$155,TRIM(LEFT('hospitalityq-nil'!D1185,FIND(":",'hospitalityq-nil'!D1185&amp;":")-1))&amp;":*")=0,SUMPRODUCT(--(TRIM('hospitalityq-nil'!C6:C1185)=TRIM('hospitalityq-nil'!C1185)),--(TRIM('hospitalityq-nil'!D6:D1185)=TRIM('hospitalityq-nil'!D1185)))&gt;1))</f>
        <v>0</v>
      </c>
    </row>
    <row r="1186" spans="1:4" x14ac:dyDescent="0.25">
      <c r="A1186">
        <f t="shared" si="18"/>
        <v>0</v>
      </c>
      <c r="C1186">
        <f>NOT('hospitalityq-nil'!C1186="")*(OR(NOT(IFERROR(AND(INT('hospitalityq-nil'!C1186)='hospitalityq-nil'!C1186,'hospitalityq-nil'!C1186&gt;=2018-50,'hospitalityq-nil'!C1186&lt;=2018+50),FALSE)),SUMPRODUCT(--(TRIM('hospitalityq-nil'!C6:C1186)=TRIM('hospitalityq-nil'!C1186)),--(TRIM('hospitalityq-nil'!D6:D1186)=TRIM('hospitalityq-nil'!D1186)))&gt;1))</f>
        <v>0</v>
      </c>
      <c r="D1186">
        <f>NOT('hospitalityq-nil'!D1186="")*(OR(COUNTIF(reference!$C$144:$C$155,TRIM(LEFT('hospitalityq-nil'!D1186,FIND(":",'hospitalityq-nil'!D1186&amp;":")-1))&amp;":*")=0,SUMPRODUCT(--(TRIM('hospitalityq-nil'!C6:C1186)=TRIM('hospitalityq-nil'!C1186)),--(TRIM('hospitalityq-nil'!D6:D1186)=TRIM('hospitalityq-nil'!D1186)))&gt;1))</f>
        <v>0</v>
      </c>
    </row>
    <row r="1187" spans="1:4" x14ac:dyDescent="0.25">
      <c r="A1187">
        <f t="shared" si="18"/>
        <v>0</v>
      </c>
      <c r="C1187">
        <f>NOT('hospitalityq-nil'!C1187="")*(OR(NOT(IFERROR(AND(INT('hospitalityq-nil'!C1187)='hospitalityq-nil'!C1187,'hospitalityq-nil'!C1187&gt;=2018-50,'hospitalityq-nil'!C1187&lt;=2018+50),FALSE)),SUMPRODUCT(--(TRIM('hospitalityq-nil'!C6:C1187)=TRIM('hospitalityq-nil'!C1187)),--(TRIM('hospitalityq-nil'!D6:D1187)=TRIM('hospitalityq-nil'!D1187)))&gt;1))</f>
        <v>0</v>
      </c>
      <c r="D1187">
        <f>NOT('hospitalityq-nil'!D1187="")*(OR(COUNTIF(reference!$C$144:$C$155,TRIM(LEFT('hospitalityq-nil'!D1187,FIND(":",'hospitalityq-nil'!D1187&amp;":")-1))&amp;":*")=0,SUMPRODUCT(--(TRIM('hospitalityq-nil'!C6:C1187)=TRIM('hospitalityq-nil'!C1187)),--(TRIM('hospitalityq-nil'!D6:D1187)=TRIM('hospitalityq-nil'!D1187)))&gt;1))</f>
        <v>0</v>
      </c>
    </row>
    <row r="1188" spans="1:4" x14ac:dyDescent="0.25">
      <c r="A1188">
        <f t="shared" si="18"/>
        <v>0</v>
      </c>
      <c r="C1188">
        <f>NOT('hospitalityq-nil'!C1188="")*(OR(NOT(IFERROR(AND(INT('hospitalityq-nil'!C1188)='hospitalityq-nil'!C1188,'hospitalityq-nil'!C1188&gt;=2018-50,'hospitalityq-nil'!C1188&lt;=2018+50),FALSE)),SUMPRODUCT(--(TRIM('hospitalityq-nil'!C6:C1188)=TRIM('hospitalityq-nil'!C1188)),--(TRIM('hospitalityq-nil'!D6:D1188)=TRIM('hospitalityq-nil'!D1188)))&gt;1))</f>
        <v>0</v>
      </c>
      <c r="D1188">
        <f>NOT('hospitalityq-nil'!D1188="")*(OR(COUNTIF(reference!$C$144:$C$155,TRIM(LEFT('hospitalityq-nil'!D1188,FIND(":",'hospitalityq-nil'!D1188&amp;":")-1))&amp;":*")=0,SUMPRODUCT(--(TRIM('hospitalityq-nil'!C6:C1188)=TRIM('hospitalityq-nil'!C1188)),--(TRIM('hospitalityq-nil'!D6:D1188)=TRIM('hospitalityq-nil'!D1188)))&gt;1))</f>
        <v>0</v>
      </c>
    </row>
    <row r="1189" spans="1:4" x14ac:dyDescent="0.25">
      <c r="A1189">
        <f t="shared" si="18"/>
        <v>0</v>
      </c>
      <c r="C1189">
        <f>NOT('hospitalityq-nil'!C1189="")*(OR(NOT(IFERROR(AND(INT('hospitalityq-nil'!C1189)='hospitalityq-nil'!C1189,'hospitalityq-nil'!C1189&gt;=2018-50,'hospitalityq-nil'!C1189&lt;=2018+50),FALSE)),SUMPRODUCT(--(TRIM('hospitalityq-nil'!C6:C1189)=TRIM('hospitalityq-nil'!C1189)),--(TRIM('hospitalityq-nil'!D6:D1189)=TRIM('hospitalityq-nil'!D1189)))&gt;1))</f>
        <v>0</v>
      </c>
      <c r="D1189">
        <f>NOT('hospitalityq-nil'!D1189="")*(OR(COUNTIF(reference!$C$144:$C$155,TRIM(LEFT('hospitalityq-nil'!D1189,FIND(":",'hospitalityq-nil'!D1189&amp;":")-1))&amp;":*")=0,SUMPRODUCT(--(TRIM('hospitalityq-nil'!C6:C1189)=TRIM('hospitalityq-nil'!C1189)),--(TRIM('hospitalityq-nil'!D6:D1189)=TRIM('hospitalityq-nil'!D1189)))&gt;1))</f>
        <v>0</v>
      </c>
    </row>
    <row r="1190" spans="1:4" x14ac:dyDescent="0.25">
      <c r="A1190">
        <f t="shared" si="18"/>
        <v>0</v>
      </c>
      <c r="C1190">
        <f>NOT('hospitalityq-nil'!C1190="")*(OR(NOT(IFERROR(AND(INT('hospitalityq-nil'!C1190)='hospitalityq-nil'!C1190,'hospitalityq-nil'!C1190&gt;=2018-50,'hospitalityq-nil'!C1190&lt;=2018+50),FALSE)),SUMPRODUCT(--(TRIM('hospitalityq-nil'!C6:C1190)=TRIM('hospitalityq-nil'!C1190)),--(TRIM('hospitalityq-nil'!D6:D1190)=TRIM('hospitalityq-nil'!D1190)))&gt;1))</f>
        <v>0</v>
      </c>
      <c r="D1190">
        <f>NOT('hospitalityq-nil'!D1190="")*(OR(COUNTIF(reference!$C$144:$C$155,TRIM(LEFT('hospitalityq-nil'!D1190,FIND(":",'hospitalityq-nil'!D1190&amp;":")-1))&amp;":*")=0,SUMPRODUCT(--(TRIM('hospitalityq-nil'!C6:C1190)=TRIM('hospitalityq-nil'!C1190)),--(TRIM('hospitalityq-nil'!D6:D1190)=TRIM('hospitalityq-nil'!D1190)))&gt;1))</f>
        <v>0</v>
      </c>
    </row>
    <row r="1191" spans="1:4" x14ac:dyDescent="0.25">
      <c r="A1191">
        <f t="shared" si="18"/>
        <v>0</v>
      </c>
      <c r="C1191">
        <f>NOT('hospitalityq-nil'!C1191="")*(OR(NOT(IFERROR(AND(INT('hospitalityq-nil'!C1191)='hospitalityq-nil'!C1191,'hospitalityq-nil'!C1191&gt;=2018-50,'hospitalityq-nil'!C1191&lt;=2018+50),FALSE)),SUMPRODUCT(--(TRIM('hospitalityq-nil'!C6:C1191)=TRIM('hospitalityq-nil'!C1191)),--(TRIM('hospitalityq-nil'!D6:D1191)=TRIM('hospitalityq-nil'!D1191)))&gt;1))</f>
        <v>0</v>
      </c>
      <c r="D1191">
        <f>NOT('hospitalityq-nil'!D1191="")*(OR(COUNTIF(reference!$C$144:$C$155,TRIM(LEFT('hospitalityq-nil'!D1191,FIND(":",'hospitalityq-nil'!D1191&amp;":")-1))&amp;":*")=0,SUMPRODUCT(--(TRIM('hospitalityq-nil'!C6:C1191)=TRIM('hospitalityq-nil'!C1191)),--(TRIM('hospitalityq-nil'!D6:D1191)=TRIM('hospitalityq-nil'!D1191)))&gt;1))</f>
        <v>0</v>
      </c>
    </row>
    <row r="1192" spans="1:4" x14ac:dyDescent="0.25">
      <c r="A1192">
        <f t="shared" si="18"/>
        <v>0</v>
      </c>
      <c r="C1192">
        <f>NOT('hospitalityq-nil'!C1192="")*(OR(NOT(IFERROR(AND(INT('hospitalityq-nil'!C1192)='hospitalityq-nil'!C1192,'hospitalityq-nil'!C1192&gt;=2018-50,'hospitalityq-nil'!C1192&lt;=2018+50),FALSE)),SUMPRODUCT(--(TRIM('hospitalityq-nil'!C6:C1192)=TRIM('hospitalityq-nil'!C1192)),--(TRIM('hospitalityq-nil'!D6:D1192)=TRIM('hospitalityq-nil'!D1192)))&gt;1))</f>
        <v>0</v>
      </c>
      <c r="D1192">
        <f>NOT('hospitalityq-nil'!D1192="")*(OR(COUNTIF(reference!$C$144:$C$155,TRIM(LEFT('hospitalityq-nil'!D1192,FIND(":",'hospitalityq-nil'!D1192&amp;":")-1))&amp;":*")=0,SUMPRODUCT(--(TRIM('hospitalityq-nil'!C6:C1192)=TRIM('hospitalityq-nil'!C1192)),--(TRIM('hospitalityq-nil'!D6:D1192)=TRIM('hospitalityq-nil'!D1192)))&gt;1))</f>
        <v>0</v>
      </c>
    </row>
    <row r="1193" spans="1:4" x14ac:dyDescent="0.25">
      <c r="A1193">
        <f t="shared" si="18"/>
        <v>0</v>
      </c>
      <c r="C1193">
        <f>NOT('hospitalityq-nil'!C1193="")*(OR(NOT(IFERROR(AND(INT('hospitalityq-nil'!C1193)='hospitalityq-nil'!C1193,'hospitalityq-nil'!C1193&gt;=2018-50,'hospitalityq-nil'!C1193&lt;=2018+50),FALSE)),SUMPRODUCT(--(TRIM('hospitalityq-nil'!C6:C1193)=TRIM('hospitalityq-nil'!C1193)),--(TRIM('hospitalityq-nil'!D6:D1193)=TRIM('hospitalityq-nil'!D1193)))&gt;1))</f>
        <v>0</v>
      </c>
      <c r="D1193">
        <f>NOT('hospitalityq-nil'!D1193="")*(OR(COUNTIF(reference!$C$144:$C$155,TRIM(LEFT('hospitalityq-nil'!D1193,FIND(":",'hospitalityq-nil'!D1193&amp;":")-1))&amp;":*")=0,SUMPRODUCT(--(TRIM('hospitalityq-nil'!C6:C1193)=TRIM('hospitalityq-nil'!C1193)),--(TRIM('hospitalityq-nil'!D6:D1193)=TRIM('hospitalityq-nil'!D1193)))&gt;1))</f>
        <v>0</v>
      </c>
    </row>
    <row r="1194" spans="1:4" x14ac:dyDescent="0.25">
      <c r="A1194">
        <f t="shared" si="18"/>
        <v>0</v>
      </c>
      <c r="C1194">
        <f>NOT('hospitalityq-nil'!C1194="")*(OR(NOT(IFERROR(AND(INT('hospitalityq-nil'!C1194)='hospitalityq-nil'!C1194,'hospitalityq-nil'!C1194&gt;=2018-50,'hospitalityq-nil'!C1194&lt;=2018+50),FALSE)),SUMPRODUCT(--(TRIM('hospitalityq-nil'!C6:C1194)=TRIM('hospitalityq-nil'!C1194)),--(TRIM('hospitalityq-nil'!D6:D1194)=TRIM('hospitalityq-nil'!D1194)))&gt;1))</f>
        <v>0</v>
      </c>
      <c r="D1194">
        <f>NOT('hospitalityq-nil'!D1194="")*(OR(COUNTIF(reference!$C$144:$C$155,TRIM(LEFT('hospitalityq-nil'!D1194,FIND(":",'hospitalityq-nil'!D1194&amp;":")-1))&amp;":*")=0,SUMPRODUCT(--(TRIM('hospitalityq-nil'!C6:C1194)=TRIM('hospitalityq-nil'!C1194)),--(TRIM('hospitalityq-nil'!D6:D1194)=TRIM('hospitalityq-nil'!D1194)))&gt;1))</f>
        <v>0</v>
      </c>
    </row>
    <row r="1195" spans="1:4" x14ac:dyDescent="0.25">
      <c r="A1195">
        <f t="shared" si="18"/>
        <v>0</v>
      </c>
      <c r="C1195">
        <f>NOT('hospitalityq-nil'!C1195="")*(OR(NOT(IFERROR(AND(INT('hospitalityq-nil'!C1195)='hospitalityq-nil'!C1195,'hospitalityq-nil'!C1195&gt;=2018-50,'hospitalityq-nil'!C1195&lt;=2018+50),FALSE)),SUMPRODUCT(--(TRIM('hospitalityq-nil'!C6:C1195)=TRIM('hospitalityq-nil'!C1195)),--(TRIM('hospitalityq-nil'!D6:D1195)=TRIM('hospitalityq-nil'!D1195)))&gt;1))</f>
        <v>0</v>
      </c>
      <c r="D1195">
        <f>NOT('hospitalityq-nil'!D1195="")*(OR(COUNTIF(reference!$C$144:$C$155,TRIM(LEFT('hospitalityq-nil'!D1195,FIND(":",'hospitalityq-nil'!D1195&amp;":")-1))&amp;":*")=0,SUMPRODUCT(--(TRIM('hospitalityq-nil'!C6:C1195)=TRIM('hospitalityq-nil'!C1195)),--(TRIM('hospitalityq-nil'!D6:D1195)=TRIM('hospitalityq-nil'!D1195)))&gt;1))</f>
        <v>0</v>
      </c>
    </row>
    <row r="1196" spans="1:4" x14ac:dyDescent="0.25">
      <c r="A1196">
        <f t="shared" si="18"/>
        <v>0</v>
      </c>
      <c r="C1196">
        <f>NOT('hospitalityq-nil'!C1196="")*(OR(NOT(IFERROR(AND(INT('hospitalityq-nil'!C1196)='hospitalityq-nil'!C1196,'hospitalityq-nil'!C1196&gt;=2018-50,'hospitalityq-nil'!C1196&lt;=2018+50),FALSE)),SUMPRODUCT(--(TRIM('hospitalityq-nil'!C6:C1196)=TRIM('hospitalityq-nil'!C1196)),--(TRIM('hospitalityq-nil'!D6:D1196)=TRIM('hospitalityq-nil'!D1196)))&gt;1))</f>
        <v>0</v>
      </c>
      <c r="D1196">
        <f>NOT('hospitalityq-nil'!D1196="")*(OR(COUNTIF(reference!$C$144:$C$155,TRIM(LEFT('hospitalityq-nil'!D1196,FIND(":",'hospitalityq-nil'!D1196&amp;":")-1))&amp;":*")=0,SUMPRODUCT(--(TRIM('hospitalityq-nil'!C6:C1196)=TRIM('hospitalityq-nil'!C1196)),--(TRIM('hospitalityq-nil'!D6:D1196)=TRIM('hospitalityq-nil'!D1196)))&gt;1))</f>
        <v>0</v>
      </c>
    </row>
    <row r="1197" spans="1:4" x14ac:dyDescent="0.25">
      <c r="A1197">
        <f t="shared" si="18"/>
        <v>0</v>
      </c>
      <c r="C1197">
        <f>NOT('hospitalityq-nil'!C1197="")*(OR(NOT(IFERROR(AND(INT('hospitalityq-nil'!C1197)='hospitalityq-nil'!C1197,'hospitalityq-nil'!C1197&gt;=2018-50,'hospitalityq-nil'!C1197&lt;=2018+50),FALSE)),SUMPRODUCT(--(TRIM('hospitalityq-nil'!C6:C1197)=TRIM('hospitalityq-nil'!C1197)),--(TRIM('hospitalityq-nil'!D6:D1197)=TRIM('hospitalityq-nil'!D1197)))&gt;1))</f>
        <v>0</v>
      </c>
      <c r="D1197">
        <f>NOT('hospitalityq-nil'!D1197="")*(OR(COUNTIF(reference!$C$144:$C$155,TRIM(LEFT('hospitalityq-nil'!D1197,FIND(":",'hospitalityq-nil'!D1197&amp;":")-1))&amp;":*")=0,SUMPRODUCT(--(TRIM('hospitalityq-nil'!C6:C1197)=TRIM('hospitalityq-nil'!C1197)),--(TRIM('hospitalityq-nil'!D6:D1197)=TRIM('hospitalityq-nil'!D1197)))&gt;1))</f>
        <v>0</v>
      </c>
    </row>
    <row r="1198" spans="1:4" x14ac:dyDescent="0.25">
      <c r="A1198">
        <f t="shared" si="18"/>
        <v>0</v>
      </c>
      <c r="C1198">
        <f>NOT('hospitalityq-nil'!C1198="")*(OR(NOT(IFERROR(AND(INT('hospitalityq-nil'!C1198)='hospitalityq-nil'!C1198,'hospitalityq-nil'!C1198&gt;=2018-50,'hospitalityq-nil'!C1198&lt;=2018+50),FALSE)),SUMPRODUCT(--(TRIM('hospitalityq-nil'!C6:C1198)=TRIM('hospitalityq-nil'!C1198)),--(TRIM('hospitalityq-nil'!D6:D1198)=TRIM('hospitalityq-nil'!D1198)))&gt;1))</f>
        <v>0</v>
      </c>
      <c r="D1198">
        <f>NOT('hospitalityq-nil'!D1198="")*(OR(COUNTIF(reference!$C$144:$C$155,TRIM(LEFT('hospitalityq-nil'!D1198,FIND(":",'hospitalityq-nil'!D1198&amp;":")-1))&amp;":*")=0,SUMPRODUCT(--(TRIM('hospitalityq-nil'!C6:C1198)=TRIM('hospitalityq-nil'!C1198)),--(TRIM('hospitalityq-nil'!D6:D1198)=TRIM('hospitalityq-nil'!D1198)))&gt;1))</f>
        <v>0</v>
      </c>
    </row>
    <row r="1199" spans="1:4" x14ac:dyDescent="0.25">
      <c r="A1199">
        <f t="shared" si="18"/>
        <v>0</v>
      </c>
      <c r="C1199">
        <f>NOT('hospitalityq-nil'!C1199="")*(OR(NOT(IFERROR(AND(INT('hospitalityq-nil'!C1199)='hospitalityq-nil'!C1199,'hospitalityq-nil'!C1199&gt;=2018-50,'hospitalityq-nil'!C1199&lt;=2018+50),FALSE)),SUMPRODUCT(--(TRIM('hospitalityq-nil'!C6:C1199)=TRIM('hospitalityq-nil'!C1199)),--(TRIM('hospitalityq-nil'!D6:D1199)=TRIM('hospitalityq-nil'!D1199)))&gt;1))</f>
        <v>0</v>
      </c>
      <c r="D1199">
        <f>NOT('hospitalityq-nil'!D1199="")*(OR(COUNTIF(reference!$C$144:$C$155,TRIM(LEFT('hospitalityq-nil'!D1199,FIND(":",'hospitalityq-nil'!D1199&amp;":")-1))&amp;":*")=0,SUMPRODUCT(--(TRIM('hospitalityq-nil'!C6:C1199)=TRIM('hospitalityq-nil'!C1199)),--(TRIM('hospitalityq-nil'!D6:D1199)=TRIM('hospitalityq-nil'!D1199)))&gt;1))</f>
        <v>0</v>
      </c>
    </row>
    <row r="1200" spans="1:4" x14ac:dyDescent="0.25">
      <c r="A1200">
        <f t="shared" si="18"/>
        <v>0</v>
      </c>
      <c r="C1200">
        <f>NOT('hospitalityq-nil'!C1200="")*(OR(NOT(IFERROR(AND(INT('hospitalityq-nil'!C1200)='hospitalityq-nil'!C1200,'hospitalityq-nil'!C1200&gt;=2018-50,'hospitalityq-nil'!C1200&lt;=2018+50),FALSE)),SUMPRODUCT(--(TRIM('hospitalityq-nil'!C6:C1200)=TRIM('hospitalityq-nil'!C1200)),--(TRIM('hospitalityq-nil'!D6:D1200)=TRIM('hospitalityq-nil'!D1200)))&gt;1))</f>
        <v>0</v>
      </c>
      <c r="D1200">
        <f>NOT('hospitalityq-nil'!D1200="")*(OR(COUNTIF(reference!$C$144:$C$155,TRIM(LEFT('hospitalityq-nil'!D1200,FIND(":",'hospitalityq-nil'!D1200&amp;":")-1))&amp;":*")=0,SUMPRODUCT(--(TRIM('hospitalityq-nil'!C6:C1200)=TRIM('hospitalityq-nil'!C1200)),--(TRIM('hospitalityq-nil'!D6:D1200)=TRIM('hospitalityq-nil'!D1200)))&gt;1))</f>
        <v>0</v>
      </c>
    </row>
    <row r="1201" spans="1:4" x14ac:dyDescent="0.25">
      <c r="A1201">
        <f t="shared" si="18"/>
        <v>0</v>
      </c>
      <c r="C1201">
        <f>NOT('hospitalityq-nil'!C1201="")*(OR(NOT(IFERROR(AND(INT('hospitalityq-nil'!C1201)='hospitalityq-nil'!C1201,'hospitalityq-nil'!C1201&gt;=2018-50,'hospitalityq-nil'!C1201&lt;=2018+50),FALSE)),SUMPRODUCT(--(TRIM('hospitalityq-nil'!C6:C1201)=TRIM('hospitalityq-nil'!C1201)),--(TRIM('hospitalityq-nil'!D6:D1201)=TRIM('hospitalityq-nil'!D1201)))&gt;1))</f>
        <v>0</v>
      </c>
      <c r="D1201">
        <f>NOT('hospitalityq-nil'!D1201="")*(OR(COUNTIF(reference!$C$144:$C$155,TRIM(LEFT('hospitalityq-nil'!D1201,FIND(":",'hospitalityq-nil'!D1201&amp;":")-1))&amp;":*")=0,SUMPRODUCT(--(TRIM('hospitalityq-nil'!C6:C1201)=TRIM('hospitalityq-nil'!C1201)),--(TRIM('hospitalityq-nil'!D6:D1201)=TRIM('hospitalityq-nil'!D1201)))&gt;1))</f>
        <v>0</v>
      </c>
    </row>
    <row r="1202" spans="1:4" x14ac:dyDescent="0.25">
      <c r="A1202">
        <f t="shared" si="18"/>
        <v>0</v>
      </c>
      <c r="C1202">
        <f>NOT('hospitalityq-nil'!C1202="")*(OR(NOT(IFERROR(AND(INT('hospitalityq-nil'!C1202)='hospitalityq-nil'!C1202,'hospitalityq-nil'!C1202&gt;=2018-50,'hospitalityq-nil'!C1202&lt;=2018+50),FALSE)),SUMPRODUCT(--(TRIM('hospitalityq-nil'!C6:C1202)=TRIM('hospitalityq-nil'!C1202)),--(TRIM('hospitalityq-nil'!D6:D1202)=TRIM('hospitalityq-nil'!D1202)))&gt;1))</f>
        <v>0</v>
      </c>
      <c r="D1202">
        <f>NOT('hospitalityq-nil'!D1202="")*(OR(COUNTIF(reference!$C$144:$C$155,TRIM(LEFT('hospitalityq-nil'!D1202,FIND(":",'hospitalityq-nil'!D1202&amp;":")-1))&amp;":*")=0,SUMPRODUCT(--(TRIM('hospitalityq-nil'!C6:C1202)=TRIM('hospitalityq-nil'!C1202)),--(TRIM('hospitalityq-nil'!D6:D1202)=TRIM('hospitalityq-nil'!D1202)))&gt;1))</f>
        <v>0</v>
      </c>
    </row>
    <row r="1203" spans="1:4" x14ac:dyDescent="0.25">
      <c r="A1203">
        <f t="shared" si="18"/>
        <v>0</v>
      </c>
      <c r="C1203">
        <f>NOT('hospitalityq-nil'!C1203="")*(OR(NOT(IFERROR(AND(INT('hospitalityq-nil'!C1203)='hospitalityq-nil'!C1203,'hospitalityq-nil'!C1203&gt;=2018-50,'hospitalityq-nil'!C1203&lt;=2018+50),FALSE)),SUMPRODUCT(--(TRIM('hospitalityq-nil'!C6:C1203)=TRIM('hospitalityq-nil'!C1203)),--(TRIM('hospitalityq-nil'!D6:D1203)=TRIM('hospitalityq-nil'!D1203)))&gt;1))</f>
        <v>0</v>
      </c>
      <c r="D1203">
        <f>NOT('hospitalityq-nil'!D1203="")*(OR(COUNTIF(reference!$C$144:$C$155,TRIM(LEFT('hospitalityq-nil'!D1203,FIND(":",'hospitalityq-nil'!D1203&amp;":")-1))&amp;":*")=0,SUMPRODUCT(--(TRIM('hospitalityq-nil'!C6:C1203)=TRIM('hospitalityq-nil'!C1203)),--(TRIM('hospitalityq-nil'!D6:D1203)=TRIM('hospitalityq-nil'!D1203)))&gt;1))</f>
        <v>0</v>
      </c>
    </row>
    <row r="1204" spans="1:4" x14ac:dyDescent="0.25">
      <c r="A1204">
        <f t="shared" si="18"/>
        <v>0</v>
      </c>
      <c r="C1204">
        <f>NOT('hospitalityq-nil'!C1204="")*(OR(NOT(IFERROR(AND(INT('hospitalityq-nil'!C1204)='hospitalityq-nil'!C1204,'hospitalityq-nil'!C1204&gt;=2018-50,'hospitalityq-nil'!C1204&lt;=2018+50),FALSE)),SUMPRODUCT(--(TRIM('hospitalityq-nil'!C6:C1204)=TRIM('hospitalityq-nil'!C1204)),--(TRIM('hospitalityq-nil'!D6:D1204)=TRIM('hospitalityq-nil'!D1204)))&gt;1))</f>
        <v>0</v>
      </c>
      <c r="D1204">
        <f>NOT('hospitalityq-nil'!D1204="")*(OR(COUNTIF(reference!$C$144:$C$155,TRIM(LEFT('hospitalityq-nil'!D1204,FIND(":",'hospitalityq-nil'!D1204&amp;":")-1))&amp;":*")=0,SUMPRODUCT(--(TRIM('hospitalityq-nil'!C6:C1204)=TRIM('hospitalityq-nil'!C1204)),--(TRIM('hospitalityq-nil'!D6:D1204)=TRIM('hospitalityq-nil'!D1204)))&gt;1))</f>
        <v>0</v>
      </c>
    </row>
    <row r="1205" spans="1:4" x14ac:dyDescent="0.25">
      <c r="A1205">
        <f t="shared" si="18"/>
        <v>0</v>
      </c>
      <c r="C1205">
        <f>NOT('hospitalityq-nil'!C1205="")*(OR(NOT(IFERROR(AND(INT('hospitalityq-nil'!C1205)='hospitalityq-nil'!C1205,'hospitalityq-nil'!C1205&gt;=2018-50,'hospitalityq-nil'!C1205&lt;=2018+50),FALSE)),SUMPRODUCT(--(TRIM('hospitalityq-nil'!C6:C1205)=TRIM('hospitalityq-nil'!C1205)),--(TRIM('hospitalityq-nil'!D6:D1205)=TRIM('hospitalityq-nil'!D1205)))&gt;1))</f>
        <v>0</v>
      </c>
      <c r="D1205">
        <f>NOT('hospitalityq-nil'!D1205="")*(OR(COUNTIF(reference!$C$144:$C$155,TRIM(LEFT('hospitalityq-nil'!D1205,FIND(":",'hospitalityq-nil'!D1205&amp;":")-1))&amp;":*")=0,SUMPRODUCT(--(TRIM('hospitalityq-nil'!C6:C1205)=TRIM('hospitalityq-nil'!C1205)),--(TRIM('hospitalityq-nil'!D6:D1205)=TRIM('hospitalityq-nil'!D1205)))&gt;1))</f>
        <v>0</v>
      </c>
    </row>
    <row r="1206" spans="1:4" x14ac:dyDescent="0.25">
      <c r="A1206">
        <f t="shared" si="18"/>
        <v>0</v>
      </c>
      <c r="C1206">
        <f>NOT('hospitalityq-nil'!C1206="")*(OR(NOT(IFERROR(AND(INT('hospitalityq-nil'!C1206)='hospitalityq-nil'!C1206,'hospitalityq-nil'!C1206&gt;=2018-50,'hospitalityq-nil'!C1206&lt;=2018+50),FALSE)),SUMPRODUCT(--(TRIM('hospitalityq-nil'!C6:C1206)=TRIM('hospitalityq-nil'!C1206)),--(TRIM('hospitalityq-nil'!D6:D1206)=TRIM('hospitalityq-nil'!D1206)))&gt;1))</f>
        <v>0</v>
      </c>
      <c r="D1206">
        <f>NOT('hospitalityq-nil'!D1206="")*(OR(COUNTIF(reference!$C$144:$C$155,TRIM(LEFT('hospitalityq-nil'!D1206,FIND(":",'hospitalityq-nil'!D1206&amp;":")-1))&amp;":*")=0,SUMPRODUCT(--(TRIM('hospitalityq-nil'!C6:C1206)=TRIM('hospitalityq-nil'!C1206)),--(TRIM('hospitalityq-nil'!D6:D1206)=TRIM('hospitalityq-nil'!D1206)))&gt;1))</f>
        <v>0</v>
      </c>
    </row>
    <row r="1207" spans="1:4" x14ac:dyDescent="0.25">
      <c r="A1207">
        <f t="shared" si="18"/>
        <v>0</v>
      </c>
      <c r="C1207">
        <f>NOT('hospitalityq-nil'!C1207="")*(OR(NOT(IFERROR(AND(INT('hospitalityq-nil'!C1207)='hospitalityq-nil'!C1207,'hospitalityq-nil'!C1207&gt;=2018-50,'hospitalityq-nil'!C1207&lt;=2018+50),FALSE)),SUMPRODUCT(--(TRIM('hospitalityq-nil'!C6:C1207)=TRIM('hospitalityq-nil'!C1207)),--(TRIM('hospitalityq-nil'!D6:D1207)=TRIM('hospitalityq-nil'!D1207)))&gt;1))</f>
        <v>0</v>
      </c>
      <c r="D1207">
        <f>NOT('hospitalityq-nil'!D1207="")*(OR(COUNTIF(reference!$C$144:$C$155,TRIM(LEFT('hospitalityq-nil'!D1207,FIND(":",'hospitalityq-nil'!D1207&amp;":")-1))&amp;":*")=0,SUMPRODUCT(--(TRIM('hospitalityq-nil'!C6:C1207)=TRIM('hospitalityq-nil'!C1207)),--(TRIM('hospitalityq-nil'!D6:D1207)=TRIM('hospitalityq-nil'!D1207)))&gt;1))</f>
        <v>0</v>
      </c>
    </row>
    <row r="1208" spans="1:4" x14ac:dyDescent="0.25">
      <c r="A1208">
        <f t="shared" si="18"/>
        <v>0</v>
      </c>
      <c r="C1208">
        <f>NOT('hospitalityq-nil'!C1208="")*(OR(NOT(IFERROR(AND(INT('hospitalityq-nil'!C1208)='hospitalityq-nil'!C1208,'hospitalityq-nil'!C1208&gt;=2018-50,'hospitalityq-nil'!C1208&lt;=2018+50),FALSE)),SUMPRODUCT(--(TRIM('hospitalityq-nil'!C6:C1208)=TRIM('hospitalityq-nil'!C1208)),--(TRIM('hospitalityq-nil'!D6:D1208)=TRIM('hospitalityq-nil'!D1208)))&gt;1))</f>
        <v>0</v>
      </c>
      <c r="D1208">
        <f>NOT('hospitalityq-nil'!D1208="")*(OR(COUNTIF(reference!$C$144:$C$155,TRIM(LEFT('hospitalityq-nil'!D1208,FIND(":",'hospitalityq-nil'!D1208&amp;":")-1))&amp;":*")=0,SUMPRODUCT(--(TRIM('hospitalityq-nil'!C6:C1208)=TRIM('hospitalityq-nil'!C1208)),--(TRIM('hospitalityq-nil'!D6:D1208)=TRIM('hospitalityq-nil'!D1208)))&gt;1))</f>
        <v>0</v>
      </c>
    </row>
    <row r="1209" spans="1:4" x14ac:dyDescent="0.25">
      <c r="A1209">
        <f t="shared" si="18"/>
        <v>0</v>
      </c>
      <c r="C1209">
        <f>NOT('hospitalityq-nil'!C1209="")*(OR(NOT(IFERROR(AND(INT('hospitalityq-nil'!C1209)='hospitalityq-nil'!C1209,'hospitalityq-nil'!C1209&gt;=2018-50,'hospitalityq-nil'!C1209&lt;=2018+50),FALSE)),SUMPRODUCT(--(TRIM('hospitalityq-nil'!C6:C1209)=TRIM('hospitalityq-nil'!C1209)),--(TRIM('hospitalityq-nil'!D6:D1209)=TRIM('hospitalityq-nil'!D1209)))&gt;1))</f>
        <v>0</v>
      </c>
      <c r="D1209">
        <f>NOT('hospitalityq-nil'!D1209="")*(OR(COUNTIF(reference!$C$144:$C$155,TRIM(LEFT('hospitalityq-nil'!D1209,FIND(":",'hospitalityq-nil'!D1209&amp;":")-1))&amp;":*")=0,SUMPRODUCT(--(TRIM('hospitalityq-nil'!C6:C1209)=TRIM('hospitalityq-nil'!C1209)),--(TRIM('hospitalityq-nil'!D6:D1209)=TRIM('hospitalityq-nil'!D1209)))&gt;1))</f>
        <v>0</v>
      </c>
    </row>
    <row r="1210" spans="1:4" x14ac:dyDescent="0.25">
      <c r="A1210">
        <f t="shared" si="18"/>
        <v>0</v>
      </c>
      <c r="C1210">
        <f>NOT('hospitalityq-nil'!C1210="")*(OR(NOT(IFERROR(AND(INT('hospitalityq-nil'!C1210)='hospitalityq-nil'!C1210,'hospitalityq-nil'!C1210&gt;=2018-50,'hospitalityq-nil'!C1210&lt;=2018+50),FALSE)),SUMPRODUCT(--(TRIM('hospitalityq-nil'!C6:C1210)=TRIM('hospitalityq-nil'!C1210)),--(TRIM('hospitalityq-nil'!D6:D1210)=TRIM('hospitalityq-nil'!D1210)))&gt;1))</f>
        <v>0</v>
      </c>
      <c r="D1210">
        <f>NOT('hospitalityq-nil'!D1210="")*(OR(COUNTIF(reference!$C$144:$C$155,TRIM(LEFT('hospitalityq-nil'!D1210,FIND(":",'hospitalityq-nil'!D1210&amp;":")-1))&amp;":*")=0,SUMPRODUCT(--(TRIM('hospitalityq-nil'!C6:C1210)=TRIM('hospitalityq-nil'!C1210)),--(TRIM('hospitalityq-nil'!D6:D1210)=TRIM('hospitalityq-nil'!D1210)))&gt;1))</f>
        <v>0</v>
      </c>
    </row>
    <row r="1211" spans="1:4" x14ac:dyDescent="0.25">
      <c r="A1211">
        <f t="shared" si="18"/>
        <v>0</v>
      </c>
      <c r="C1211">
        <f>NOT('hospitalityq-nil'!C1211="")*(OR(NOT(IFERROR(AND(INT('hospitalityq-nil'!C1211)='hospitalityq-nil'!C1211,'hospitalityq-nil'!C1211&gt;=2018-50,'hospitalityq-nil'!C1211&lt;=2018+50),FALSE)),SUMPRODUCT(--(TRIM('hospitalityq-nil'!C6:C1211)=TRIM('hospitalityq-nil'!C1211)),--(TRIM('hospitalityq-nil'!D6:D1211)=TRIM('hospitalityq-nil'!D1211)))&gt;1))</f>
        <v>0</v>
      </c>
      <c r="D1211">
        <f>NOT('hospitalityq-nil'!D1211="")*(OR(COUNTIF(reference!$C$144:$C$155,TRIM(LEFT('hospitalityq-nil'!D1211,FIND(":",'hospitalityq-nil'!D1211&amp;":")-1))&amp;":*")=0,SUMPRODUCT(--(TRIM('hospitalityq-nil'!C6:C1211)=TRIM('hospitalityq-nil'!C1211)),--(TRIM('hospitalityq-nil'!D6:D1211)=TRIM('hospitalityq-nil'!D1211)))&gt;1))</f>
        <v>0</v>
      </c>
    </row>
    <row r="1212" spans="1:4" x14ac:dyDescent="0.25">
      <c r="A1212">
        <f t="shared" si="18"/>
        <v>0</v>
      </c>
      <c r="C1212">
        <f>NOT('hospitalityq-nil'!C1212="")*(OR(NOT(IFERROR(AND(INT('hospitalityq-nil'!C1212)='hospitalityq-nil'!C1212,'hospitalityq-nil'!C1212&gt;=2018-50,'hospitalityq-nil'!C1212&lt;=2018+50),FALSE)),SUMPRODUCT(--(TRIM('hospitalityq-nil'!C6:C1212)=TRIM('hospitalityq-nil'!C1212)),--(TRIM('hospitalityq-nil'!D6:D1212)=TRIM('hospitalityq-nil'!D1212)))&gt;1))</f>
        <v>0</v>
      </c>
      <c r="D1212">
        <f>NOT('hospitalityq-nil'!D1212="")*(OR(COUNTIF(reference!$C$144:$C$155,TRIM(LEFT('hospitalityq-nil'!D1212,FIND(":",'hospitalityq-nil'!D1212&amp;":")-1))&amp;":*")=0,SUMPRODUCT(--(TRIM('hospitalityq-nil'!C6:C1212)=TRIM('hospitalityq-nil'!C1212)),--(TRIM('hospitalityq-nil'!D6:D1212)=TRIM('hospitalityq-nil'!D1212)))&gt;1))</f>
        <v>0</v>
      </c>
    </row>
    <row r="1213" spans="1:4" x14ac:dyDescent="0.25">
      <c r="A1213">
        <f t="shared" si="18"/>
        <v>0</v>
      </c>
      <c r="C1213">
        <f>NOT('hospitalityq-nil'!C1213="")*(OR(NOT(IFERROR(AND(INT('hospitalityq-nil'!C1213)='hospitalityq-nil'!C1213,'hospitalityq-nil'!C1213&gt;=2018-50,'hospitalityq-nil'!C1213&lt;=2018+50),FALSE)),SUMPRODUCT(--(TRIM('hospitalityq-nil'!C6:C1213)=TRIM('hospitalityq-nil'!C1213)),--(TRIM('hospitalityq-nil'!D6:D1213)=TRIM('hospitalityq-nil'!D1213)))&gt;1))</f>
        <v>0</v>
      </c>
      <c r="D1213">
        <f>NOT('hospitalityq-nil'!D1213="")*(OR(COUNTIF(reference!$C$144:$C$155,TRIM(LEFT('hospitalityq-nil'!D1213,FIND(":",'hospitalityq-nil'!D1213&amp;":")-1))&amp;":*")=0,SUMPRODUCT(--(TRIM('hospitalityq-nil'!C6:C1213)=TRIM('hospitalityq-nil'!C1213)),--(TRIM('hospitalityq-nil'!D6:D1213)=TRIM('hospitalityq-nil'!D1213)))&gt;1))</f>
        <v>0</v>
      </c>
    </row>
    <row r="1214" spans="1:4" x14ac:dyDescent="0.25">
      <c r="A1214">
        <f t="shared" si="18"/>
        <v>0</v>
      </c>
      <c r="C1214">
        <f>NOT('hospitalityq-nil'!C1214="")*(OR(NOT(IFERROR(AND(INT('hospitalityq-nil'!C1214)='hospitalityq-nil'!C1214,'hospitalityq-nil'!C1214&gt;=2018-50,'hospitalityq-nil'!C1214&lt;=2018+50),FALSE)),SUMPRODUCT(--(TRIM('hospitalityq-nil'!C6:C1214)=TRIM('hospitalityq-nil'!C1214)),--(TRIM('hospitalityq-nil'!D6:D1214)=TRIM('hospitalityq-nil'!D1214)))&gt;1))</f>
        <v>0</v>
      </c>
      <c r="D1214">
        <f>NOT('hospitalityq-nil'!D1214="")*(OR(COUNTIF(reference!$C$144:$C$155,TRIM(LEFT('hospitalityq-nil'!D1214,FIND(":",'hospitalityq-nil'!D1214&amp;":")-1))&amp;":*")=0,SUMPRODUCT(--(TRIM('hospitalityq-nil'!C6:C1214)=TRIM('hospitalityq-nil'!C1214)),--(TRIM('hospitalityq-nil'!D6:D1214)=TRIM('hospitalityq-nil'!D1214)))&gt;1))</f>
        <v>0</v>
      </c>
    </row>
    <row r="1215" spans="1:4" x14ac:dyDescent="0.25">
      <c r="A1215">
        <f t="shared" si="18"/>
        <v>0</v>
      </c>
      <c r="C1215">
        <f>NOT('hospitalityq-nil'!C1215="")*(OR(NOT(IFERROR(AND(INT('hospitalityq-nil'!C1215)='hospitalityq-nil'!C1215,'hospitalityq-nil'!C1215&gt;=2018-50,'hospitalityq-nil'!C1215&lt;=2018+50),FALSE)),SUMPRODUCT(--(TRIM('hospitalityq-nil'!C6:C1215)=TRIM('hospitalityq-nil'!C1215)),--(TRIM('hospitalityq-nil'!D6:D1215)=TRIM('hospitalityq-nil'!D1215)))&gt;1))</f>
        <v>0</v>
      </c>
      <c r="D1215">
        <f>NOT('hospitalityq-nil'!D1215="")*(OR(COUNTIF(reference!$C$144:$C$155,TRIM(LEFT('hospitalityq-nil'!D1215,FIND(":",'hospitalityq-nil'!D1215&amp;":")-1))&amp;":*")=0,SUMPRODUCT(--(TRIM('hospitalityq-nil'!C6:C1215)=TRIM('hospitalityq-nil'!C1215)),--(TRIM('hospitalityq-nil'!D6:D1215)=TRIM('hospitalityq-nil'!D1215)))&gt;1))</f>
        <v>0</v>
      </c>
    </row>
    <row r="1216" spans="1:4" x14ac:dyDescent="0.25">
      <c r="A1216">
        <f t="shared" si="18"/>
        <v>0</v>
      </c>
      <c r="C1216">
        <f>NOT('hospitalityq-nil'!C1216="")*(OR(NOT(IFERROR(AND(INT('hospitalityq-nil'!C1216)='hospitalityq-nil'!C1216,'hospitalityq-nil'!C1216&gt;=2018-50,'hospitalityq-nil'!C1216&lt;=2018+50),FALSE)),SUMPRODUCT(--(TRIM('hospitalityq-nil'!C6:C1216)=TRIM('hospitalityq-nil'!C1216)),--(TRIM('hospitalityq-nil'!D6:D1216)=TRIM('hospitalityq-nil'!D1216)))&gt;1))</f>
        <v>0</v>
      </c>
      <c r="D1216">
        <f>NOT('hospitalityq-nil'!D1216="")*(OR(COUNTIF(reference!$C$144:$C$155,TRIM(LEFT('hospitalityq-nil'!D1216,FIND(":",'hospitalityq-nil'!D1216&amp;":")-1))&amp;":*")=0,SUMPRODUCT(--(TRIM('hospitalityq-nil'!C6:C1216)=TRIM('hospitalityq-nil'!C1216)),--(TRIM('hospitalityq-nil'!D6:D1216)=TRIM('hospitalityq-nil'!D1216)))&gt;1))</f>
        <v>0</v>
      </c>
    </row>
    <row r="1217" spans="1:4" x14ac:dyDescent="0.25">
      <c r="A1217">
        <f t="shared" si="18"/>
        <v>0</v>
      </c>
      <c r="C1217">
        <f>NOT('hospitalityq-nil'!C1217="")*(OR(NOT(IFERROR(AND(INT('hospitalityq-nil'!C1217)='hospitalityq-nil'!C1217,'hospitalityq-nil'!C1217&gt;=2018-50,'hospitalityq-nil'!C1217&lt;=2018+50),FALSE)),SUMPRODUCT(--(TRIM('hospitalityq-nil'!C6:C1217)=TRIM('hospitalityq-nil'!C1217)),--(TRIM('hospitalityq-nil'!D6:D1217)=TRIM('hospitalityq-nil'!D1217)))&gt;1))</f>
        <v>0</v>
      </c>
      <c r="D1217">
        <f>NOT('hospitalityq-nil'!D1217="")*(OR(COUNTIF(reference!$C$144:$C$155,TRIM(LEFT('hospitalityq-nil'!D1217,FIND(":",'hospitalityq-nil'!D1217&amp;":")-1))&amp;":*")=0,SUMPRODUCT(--(TRIM('hospitalityq-nil'!C6:C1217)=TRIM('hospitalityq-nil'!C1217)),--(TRIM('hospitalityq-nil'!D6:D1217)=TRIM('hospitalityq-nil'!D1217)))&gt;1))</f>
        <v>0</v>
      </c>
    </row>
    <row r="1218" spans="1:4" x14ac:dyDescent="0.25">
      <c r="A1218">
        <f t="shared" si="18"/>
        <v>0</v>
      </c>
      <c r="C1218">
        <f>NOT('hospitalityq-nil'!C1218="")*(OR(NOT(IFERROR(AND(INT('hospitalityq-nil'!C1218)='hospitalityq-nil'!C1218,'hospitalityq-nil'!C1218&gt;=2018-50,'hospitalityq-nil'!C1218&lt;=2018+50),FALSE)),SUMPRODUCT(--(TRIM('hospitalityq-nil'!C6:C1218)=TRIM('hospitalityq-nil'!C1218)),--(TRIM('hospitalityq-nil'!D6:D1218)=TRIM('hospitalityq-nil'!D1218)))&gt;1))</f>
        <v>0</v>
      </c>
      <c r="D1218">
        <f>NOT('hospitalityq-nil'!D1218="")*(OR(COUNTIF(reference!$C$144:$C$155,TRIM(LEFT('hospitalityq-nil'!D1218,FIND(":",'hospitalityq-nil'!D1218&amp;":")-1))&amp;":*")=0,SUMPRODUCT(--(TRIM('hospitalityq-nil'!C6:C1218)=TRIM('hospitalityq-nil'!C1218)),--(TRIM('hospitalityq-nil'!D6:D1218)=TRIM('hospitalityq-nil'!D1218)))&gt;1))</f>
        <v>0</v>
      </c>
    </row>
    <row r="1219" spans="1:4" x14ac:dyDescent="0.25">
      <c r="A1219">
        <f t="shared" si="18"/>
        <v>0</v>
      </c>
      <c r="C1219">
        <f>NOT('hospitalityq-nil'!C1219="")*(OR(NOT(IFERROR(AND(INT('hospitalityq-nil'!C1219)='hospitalityq-nil'!C1219,'hospitalityq-nil'!C1219&gt;=2018-50,'hospitalityq-nil'!C1219&lt;=2018+50),FALSE)),SUMPRODUCT(--(TRIM('hospitalityq-nil'!C6:C1219)=TRIM('hospitalityq-nil'!C1219)),--(TRIM('hospitalityq-nil'!D6:D1219)=TRIM('hospitalityq-nil'!D1219)))&gt;1))</f>
        <v>0</v>
      </c>
      <c r="D1219">
        <f>NOT('hospitalityq-nil'!D1219="")*(OR(COUNTIF(reference!$C$144:$C$155,TRIM(LEFT('hospitalityq-nil'!D1219,FIND(":",'hospitalityq-nil'!D1219&amp;":")-1))&amp;":*")=0,SUMPRODUCT(--(TRIM('hospitalityq-nil'!C6:C1219)=TRIM('hospitalityq-nil'!C1219)),--(TRIM('hospitalityq-nil'!D6:D1219)=TRIM('hospitalityq-nil'!D1219)))&gt;1))</f>
        <v>0</v>
      </c>
    </row>
    <row r="1220" spans="1:4" x14ac:dyDescent="0.25">
      <c r="A1220">
        <f t="shared" si="18"/>
        <v>0</v>
      </c>
      <c r="C1220">
        <f>NOT('hospitalityq-nil'!C1220="")*(OR(NOT(IFERROR(AND(INT('hospitalityq-nil'!C1220)='hospitalityq-nil'!C1220,'hospitalityq-nil'!C1220&gt;=2018-50,'hospitalityq-nil'!C1220&lt;=2018+50),FALSE)),SUMPRODUCT(--(TRIM('hospitalityq-nil'!C6:C1220)=TRIM('hospitalityq-nil'!C1220)),--(TRIM('hospitalityq-nil'!D6:D1220)=TRIM('hospitalityq-nil'!D1220)))&gt;1))</f>
        <v>0</v>
      </c>
      <c r="D1220">
        <f>NOT('hospitalityq-nil'!D1220="")*(OR(COUNTIF(reference!$C$144:$C$155,TRIM(LEFT('hospitalityq-nil'!D1220,FIND(":",'hospitalityq-nil'!D1220&amp;":")-1))&amp;":*")=0,SUMPRODUCT(--(TRIM('hospitalityq-nil'!C6:C1220)=TRIM('hospitalityq-nil'!C1220)),--(TRIM('hospitalityq-nil'!D6:D1220)=TRIM('hospitalityq-nil'!D1220)))&gt;1))</f>
        <v>0</v>
      </c>
    </row>
    <row r="1221" spans="1:4" x14ac:dyDescent="0.25">
      <c r="A1221">
        <f t="shared" si="18"/>
        <v>0</v>
      </c>
      <c r="C1221">
        <f>NOT('hospitalityq-nil'!C1221="")*(OR(NOT(IFERROR(AND(INT('hospitalityq-nil'!C1221)='hospitalityq-nil'!C1221,'hospitalityq-nil'!C1221&gt;=2018-50,'hospitalityq-nil'!C1221&lt;=2018+50),FALSE)),SUMPRODUCT(--(TRIM('hospitalityq-nil'!C6:C1221)=TRIM('hospitalityq-nil'!C1221)),--(TRIM('hospitalityq-nil'!D6:D1221)=TRIM('hospitalityq-nil'!D1221)))&gt;1))</f>
        <v>0</v>
      </c>
      <c r="D1221">
        <f>NOT('hospitalityq-nil'!D1221="")*(OR(COUNTIF(reference!$C$144:$C$155,TRIM(LEFT('hospitalityq-nil'!D1221,FIND(":",'hospitalityq-nil'!D1221&amp;":")-1))&amp;":*")=0,SUMPRODUCT(--(TRIM('hospitalityq-nil'!C6:C1221)=TRIM('hospitalityq-nil'!C1221)),--(TRIM('hospitalityq-nil'!D6:D1221)=TRIM('hospitalityq-nil'!D1221)))&gt;1))</f>
        <v>0</v>
      </c>
    </row>
    <row r="1222" spans="1:4" x14ac:dyDescent="0.25">
      <c r="A1222">
        <f t="shared" ref="A1222:A1285" si="19">IFERROR(MATCH(TRUE,INDEX(C1222:D1222&lt;&gt;0,),)+2,0)</f>
        <v>0</v>
      </c>
      <c r="C1222">
        <f>NOT('hospitalityq-nil'!C1222="")*(OR(NOT(IFERROR(AND(INT('hospitalityq-nil'!C1222)='hospitalityq-nil'!C1222,'hospitalityq-nil'!C1222&gt;=2018-50,'hospitalityq-nil'!C1222&lt;=2018+50),FALSE)),SUMPRODUCT(--(TRIM('hospitalityq-nil'!C6:C1222)=TRIM('hospitalityq-nil'!C1222)),--(TRIM('hospitalityq-nil'!D6:D1222)=TRIM('hospitalityq-nil'!D1222)))&gt;1))</f>
        <v>0</v>
      </c>
      <c r="D1222">
        <f>NOT('hospitalityq-nil'!D1222="")*(OR(COUNTIF(reference!$C$144:$C$155,TRIM(LEFT('hospitalityq-nil'!D1222,FIND(":",'hospitalityq-nil'!D1222&amp;":")-1))&amp;":*")=0,SUMPRODUCT(--(TRIM('hospitalityq-nil'!C6:C1222)=TRIM('hospitalityq-nil'!C1222)),--(TRIM('hospitalityq-nil'!D6:D1222)=TRIM('hospitalityq-nil'!D1222)))&gt;1))</f>
        <v>0</v>
      </c>
    </row>
    <row r="1223" spans="1:4" x14ac:dyDescent="0.25">
      <c r="A1223">
        <f t="shared" si="19"/>
        <v>0</v>
      </c>
      <c r="C1223">
        <f>NOT('hospitalityq-nil'!C1223="")*(OR(NOT(IFERROR(AND(INT('hospitalityq-nil'!C1223)='hospitalityq-nil'!C1223,'hospitalityq-nil'!C1223&gt;=2018-50,'hospitalityq-nil'!C1223&lt;=2018+50),FALSE)),SUMPRODUCT(--(TRIM('hospitalityq-nil'!C6:C1223)=TRIM('hospitalityq-nil'!C1223)),--(TRIM('hospitalityq-nil'!D6:D1223)=TRIM('hospitalityq-nil'!D1223)))&gt;1))</f>
        <v>0</v>
      </c>
      <c r="D1223">
        <f>NOT('hospitalityq-nil'!D1223="")*(OR(COUNTIF(reference!$C$144:$C$155,TRIM(LEFT('hospitalityq-nil'!D1223,FIND(":",'hospitalityq-nil'!D1223&amp;":")-1))&amp;":*")=0,SUMPRODUCT(--(TRIM('hospitalityq-nil'!C6:C1223)=TRIM('hospitalityq-nil'!C1223)),--(TRIM('hospitalityq-nil'!D6:D1223)=TRIM('hospitalityq-nil'!D1223)))&gt;1))</f>
        <v>0</v>
      </c>
    </row>
    <row r="1224" spans="1:4" x14ac:dyDescent="0.25">
      <c r="A1224">
        <f t="shared" si="19"/>
        <v>0</v>
      </c>
      <c r="C1224">
        <f>NOT('hospitalityq-nil'!C1224="")*(OR(NOT(IFERROR(AND(INT('hospitalityq-nil'!C1224)='hospitalityq-nil'!C1224,'hospitalityq-nil'!C1224&gt;=2018-50,'hospitalityq-nil'!C1224&lt;=2018+50),FALSE)),SUMPRODUCT(--(TRIM('hospitalityq-nil'!C6:C1224)=TRIM('hospitalityq-nil'!C1224)),--(TRIM('hospitalityq-nil'!D6:D1224)=TRIM('hospitalityq-nil'!D1224)))&gt;1))</f>
        <v>0</v>
      </c>
      <c r="D1224">
        <f>NOT('hospitalityq-nil'!D1224="")*(OR(COUNTIF(reference!$C$144:$C$155,TRIM(LEFT('hospitalityq-nil'!D1224,FIND(":",'hospitalityq-nil'!D1224&amp;":")-1))&amp;":*")=0,SUMPRODUCT(--(TRIM('hospitalityq-nil'!C6:C1224)=TRIM('hospitalityq-nil'!C1224)),--(TRIM('hospitalityq-nil'!D6:D1224)=TRIM('hospitalityq-nil'!D1224)))&gt;1))</f>
        <v>0</v>
      </c>
    </row>
    <row r="1225" spans="1:4" x14ac:dyDescent="0.25">
      <c r="A1225">
        <f t="shared" si="19"/>
        <v>0</v>
      </c>
      <c r="C1225">
        <f>NOT('hospitalityq-nil'!C1225="")*(OR(NOT(IFERROR(AND(INT('hospitalityq-nil'!C1225)='hospitalityq-nil'!C1225,'hospitalityq-nil'!C1225&gt;=2018-50,'hospitalityq-nil'!C1225&lt;=2018+50),FALSE)),SUMPRODUCT(--(TRIM('hospitalityq-nil'!C6:C1225)=TRIM('hospitalityq-nil'!C1225)),--(TRIM('hospitalityq-nil'!D6:D1225)=TRIM('hospitalityq-nil'!D1225)))&gt;1))</f>
        <v>0</v>
      </c>
      <c r="D1225">
        <f>NOT('hospitalityq-nil'!D1225="")*(OR(COUNTIF(reference!$C$144:$C$155,TRIM(LEFT('hospitalityq-nil'!D1225,FIND(":",'hospitalityq-nil'!D1225&amp;":")-1))&amp;":*")=0,SUMPRODUCT(--(TRIM('hospitalityq-nil'!C6:C1225)=TRIM('hospitalityq-nil'!C1225)),--(TRIM('hospitalityq-nil'!D6:D1225)=TRIM('hospitalityq-nil'!D1225)))&gt;1))</f>
        <v>0</v>
      </c>
    </row>
    <row r="1226" spans="1:4" x14ac:dyDescent="0.25">
      <c r="A1226">
        <f t="shared" si="19"/>
        <v>0</v>
      </c>
      <c r="C1226">
        <f>NOT('hospitalityq-nil'!C1226="")*(OR(NOT(IFERROR(AND(INT('hospitalityq-nil'!C1226)='hospitalityq-nil'!C1226,'hospitalityq-nil'!C1226&gt;=2018-50,'hospitalityq-nil'!C1226&lt;=2018+50),FALSE)),SUMPRODUCT(--(TRIM('hospitalityq-nil'!C6:C1226)=TRIM('hospitalityq-nil'!C1226)),--(TRIM('hospitalityq-nil'!D6:D1226)=TRIM('hospitalityq-nil'!D1226)))&gt;1))</f>
        <v>0</v>
      </c>
      <c r="D1226">
        <f>NOT('hospitalityq-nil'!D1226="")*(OR(COUNTIF(reference!$C$144:$C$155,TRIM(LEFT('hospitalityq-nil'!D1226,FIND(":",'hospitalityq-nil'!D1226&amp;":")-1))&amp;":*")=0,SUMPRODUCT(--(TRIM('hospitalityq-nil'!C6:C1226)=TRIM('hospitalityq-nil'!C1226)),--(TRIM('hospitalityq-nil'!D6:D1226)=TRIM('hospitalityq-nil'!D1226)))&gt;1))</f>
        <v>0</v>
      </c>
    </row>
    <row r="1227" spans="1:4" x14ac:dyDescent="0.25">
      <c r="A1227">
        <f t="shared" si="19"/>
        <v>0</v>
      </c>
      <c r="C1227">
        <f>NOT('hospitalityq-nil'!C1227="")*(OR(NOT(IFERROR(AND(INT('hospitalityq-nil'!C1227)='hospitalityq-nil'!C1227,'hospitalityq-nil'!C1227&gt;=2018-50,'hospitalityq-nil'!C1227&lt;=2018+50),FALSE)),SUMPRODUCT(--(TRIM('hospitalityq-nil'!C6:C1227)=TRIM('hospitalityq-nil'!C1227)),--(TRIM('hospitalityq-nil'!D6:D1227)=TRIM('hospitalityq-nil'!D1227)))&gt;1))</f>
        <v>0</v>
      </c>
      <c r="D1227">
        <f>NOT('hospitalityq-nil'!D1227="")*(OR(COUNTIF(reference!$C$144:$C$155,TRIM(LEFT('hospitalityq-nil'!D1227,FIND(":",'hospitalityq-nil'!D1227&amp;":")-1))&amp;":*")=0,SUMPRODUCT(--(TRIM('hospitalityq-nil'!C6:C1227)=TRIM('hospitalityq-nil'!C1227)),--(TRIM('hospitalityq-nil'!D6:D1227)=TRIM('hospitalityq-nil'!D1227)))&gt;1))</f>
        <v>0</v>
      </c>
    </row>
    <row r="1228" spans="1:4" x14ac:dyDescent="0.25">
      <c r="A1228">
        <f t="shared" si="19"/>
        <v>0</v>
      </c>
      <c r="C1228">
        <f>NOT('hospitalityq-nil'!C1228="")*(OR(NOT(IFERROR(AND(INT('hospitalityq-nil'!C1228)='hospitalityq-nil'!C1228,'hospitalityq-nil'!C1228&gt;=2018-50,'hospitalityq-nil'!C1228&lt;=2018+50),FALSE)),SUMPRODUCT(--(TRIM('hospitalityq-nil'!C6:C1228)=TRIM('hospitalityq-nil'!C1228)),--(TRIM('hospitalityq-nil'!D6:D1228)=TRIM('hospitalityq-nil'!D1228)))&gt;1))</f>
        <v>0</v>
      </c>
      <c r="D1228">
        <f>NOT('hospitalityq-nil'!D1228="")*(OR(COUNTIF(reference!$C$144:$C$155,TRIM(LEFT('hospitalityq-nil'!D1228,FIND(":",'hospitalityq-nil'!D1228&amp;":")-1))&amp;":*")=0,SUMPRODUCT(--(TRIM('hospitalityq-nil'!C6:C1228)=TRIM('hospitalityq-nil'!C1228)),--(TRIM('hospitalityq-nil'!D6:D1228)=TRIM('hospitalityq-nil'!D1228)))&gt;1))</f>
        <v>0</v>
      </c>
    </row>
    <row r="1229" spans="1:4" x14ac:dyDescent="0.25">
      <c r="A1229">
        <f t="shared" si="19"/>
        <v>0</v>
      </c>
      <c r="C1229">
        <f>NOT('hospitalityq-nil'!C1229="")*(OR(NOT(IFERROR(AND(INT('hospitalityq-nil'!C1229)='hospitalityq-nil'!C1229,'hospitalityq-nil'!C1229&gt;=2018-50,'hospitalityq-nil'!C1229&lt;=2018+50),FALSE)),SUMPRODUCT(--(TRIM('hospitalityq-nil'!C6:C1229)=TRIM('hospitalityq-nil'!C1229)),--(TRIM('hospitalityq-nil'!D6:D1229)=TRIM('hospitalityq-nil'!D1229)))&gt;1))</f>
        <v>0</v>
      </c>
      <c r="D1229">
        <f>NOT('hospitalityq-nil'!D1229="")*(OR(COUNTIF(reference!$C$144:$C$155,TRIM(LEFT('hospitalityq-nil'!D1229,FIND(":",'hospitalityq-nil'!D1229&amp;":")-1))&amp;":*")=0,SUMPRODUCT(--(TRIM('hospitalityq-nil'!C6:C1229)=TRIM('hospitalityq-nil'!C1229)),--(TRIM('hospitalityq-nil'!D6:D1229)=TRIM('hospitalityq-nil'!D1229)))&gt;1))</f>
        <v>0</v>
      </c>
    </row>
    <row r="1230" spans="1:4" x14ac:dyDescent="0.25">
      <c r="A1230">
        <f t="shared" si="19"/>
        <v>0</v>
      </c>
      <c r="C1230">
        <f>NOT('hospitalityq-nil'!C1230="")*(OR(NOT(IFERROR(AND(INT('hospitalityq-nil'!C1230)='hospitalityq-nil'!C1230,'hospitalityq-nil'!C1230&gt;=2018-50,'hospitalityq-nil'!C1230&lt;=2018+50),FALSE)),SUMPRODUCT(--(TRIM('hospitalityq-nil'!C6:C1230)=TRIM('hospitalityq-nil'!C1230)),--(TRIM('hospitalityq-nil'!D6:D1230)=TRIM('hospitalityq-nil'!D1230)))&gt;1))</f>
        <v>0</v>
      </c>
      <c r="D1230">
        <f>NOT('hospitalityq-nil'!D1230="")*(OR(COUNTIF(reference!$C$144:$C$155,TRIM(LEFT('hospitalityq-nil'!D1230,FIND(":",'hospitalityq-nil'!D1230&amp;":")-1))&amp;":*")=0,SUMPRODUCT(--(TRIM('hospitalityq-nil'!C6:C1230)=TRIM('hospitalityq-nil'!C1230)),--(TRIM('hospitalityq-nil'!D6:D1230)=TRIM('hospitalityq-nil'!D1230)))&gt;1))</f>
        <v>0</v>
      </c>
    </row>
    <row r="1231" spans="1:4" x14ac:dyDescent="0.25">
      <c r="A1231">
        <f t="shared" si="19"/>
        <v>0</v>
      </c>
      <c r="C1231">
        <f>NOT('hospitalityq-nil'!C1231="")*(OR(NOT(IFERROR(AND(INT('hospitalityq-nil'!C1231)='hospitalityq-nil'!C1231,'hospitalityq-nil'!C1231&gt;=2018-50,'hospitalityq-nil'!C1231&lt;=2018+50),FALSE)),SUMPRODUCT(--(TRIM('hospitalityq-nil'!C6:C1231)=TRIM('hospitalityq-nil'!C1231)),--(TRIM('hospitalityq-nil'!D6:D1231)=TRIM('hospitalityq-nil'!D1231)))&gt;1))</f>
        <v>0</v>
      </c>
      <c r="D1231">
        <f>NOT('hospitalityq-nil'!D1231="")*(OR(COUNTIF(reference!$C$144:$C$155,TRIM(LEFT('hospitalityq-nil'!D1231,FIND(":",'hospitalityq-nil'!D1231&amp;":")-1))&amp;":*")=0,SUMPRODUCT(--(TRIM('hospitalityq-nil'!C6:C1231)=TRIM('hospitalityq-nil'!C1231)),--(TRIM('hospitalityq-nil'!D6:D1231)=TRIM('hospitalityq-nil'!D1231)))&gt;1))</f>
        <v>0</v>
      </c>
    </row>
    <row r="1232" spans="1:4" x14ac:dyDescent="0.25">
      <c r="A1232">
        <f t="shared" si="19"/>
        <v>0</v>
      </c>
      <c r="C1232">
        <f>NOT('hospitalityq-nil'!C1232="")*(OR(NOT(IFERROR(AND(INT('hospitalityq-nil'!C1232)='hospitalityq-nil'!C1232,'hospitalityq-nil'!C1232&gt;=2018-50,'hospitalityq-nil'!C1232&lt;=2018+50),FALSE)),SUMPRODUCT(--(TRIM('hospitalityq-nil'!C6:C1232)=TRIM('hospitalityq-nil'!C1232)),--(TRIM('hospitalityq-nil'!D6:D1232)=TRIM('hospitalityq-nil'!D1232)))&gt;1))</f>
        <v>0</v>
      </c>
      <c r="D1232">
        <f>NOT('hospitalityq-nil'!D1232="")*(OR(COUNTIF(reference!$C$144:$C$155,TRIM(LEFT('hospitalityq-nil'!D1232,FIND(":",'hospitalityq-nil'!D1232&amp;":")-1))&amp;":*")=0,SUMPRODUCT(--(TRIM('hospitalityq-nil'!C6:C1232)=TRIM('hospitalityq-nil'!C1232)),--(TRIM('hospitalityq-nil'!D6:D1232)=TRIM('hospitalityq-nil'!D1232)))&gt;1))</f>
        <v>0</v>
      </c>
    </row>
    <row r="1233" spans="1:4" x14ac:dyDescent="0.25">
      <c r="A1233">
        <f t="shared" si="19"/>
        <v>0</v>
      </c>
      <c r="C1233">
        <f>NOT('hospitalityq-nil'!C1233="")*(OR(NOT(IFERROR(AND(INT('hospitalityq-nil'!C1233)='hospitalityq-nil'!C1233,'hospitalityq-nil'!C1233&gt;=2018-50,'hospitalityq-nil'!C1233&lt;=2018+50),FALSE)),SUMPRODUCT(--(TRIM('hospitalityq-nil'!C6:C1233)=TRIM('hospitalityq-nil'!C1233)),--(TRIM('hospitalityq-nil'!D6:D1233)=TRIM('hospitalityq-nil'!D1233)))&gt;1))</f>
        <v>0</v>
      </c>
      <c r="D1233">
        <f>NOT('hospitalityq-nil'!D1233="")*(OR(COUNTIF(reference!$C$144:$C$155,TRIM(LEFT('hospitalityq-nil'!D1233,FIND(":",'hospitalityq-nil'!D1233&amp;":")-1))&amp;":*")=0,SUMPRODUCT(--(TRIM('hospitalityq-nil'!C6:C1233)=TRIM('hospitalityq-nil'!C1233)),--(TRIM('hospitalityq-nil'!D6:D1233)=TRIM('hospitalityq-nil'!D1233)))&gt;1))</f>
        <v>0</v>
      </c>
    </row>
    <row r="1234" spans="1:4" x14ac:dyDescent="0.25">
      <c r="A1234">
        <f t="shared" si="19"/>
        <v>0</v>
      </c>
      <c r="C1234">
        <f>NOT('hospitalityq-nil'!C1234="")*(OR(NOT(IFERROR(AND(INT('hospitalityq-nil'!C1234)='hospitalityq-nil'!C1234,'hospitalityq-nil'!C1234&gt;=2018-50,'hospitalityq-nil'!C1234&lt;=2018+50),FALSE)),SUMPRODUCT(--(TRIM('hospitalityq-nil'!C6:C1234)=TRIM('hospitalityq-nil'!C1234)),--(TRIM('hospitalityq-nil'!D6:D1234)=TRIM('hospitalityq-nil'!D1234)))&gt;1))</f>
        <v>0</v>
      </c>
      <c r="D1234">
        <f>NOT('hospitalityq-nil'!D1234="")*(OR(COUNTIF(reference!$C$144:$C$155,TRIM(LEFT('hospitalityq-nil'!D1234,FIND(":",'hospitalityq-nil'!D1234&amp;":")-1))&amp;":*")=0,SUMPRODUCT(--(TRIM('hospitalityq-nil'!C6:C1234)=TRIM('hospitalityq-nil'!C1234)),--(TRIM('hospitalityq-nil'!D6:D1234)=TRIM('hospitalityq-nil'!D1234)))&gt;1))</f>
        <v>0</v>
      </c>
    </row>
    <row r="1235" spans="1:4" x14ac:dyDescent="0.25">
      <c r="A1235">
        <f t="shared" si="19"/>
        <v>0</v>
      </c>
      <c r="C1235">
        <f>NOT('hospitalityq-nil'!C1235="")*(OR(NOT(IFERROR(AND(INT('hospitalityq-nil'!C1235)='hospitalityq-nil'!C1235,'hospitalityq-nil'!C1235&gt;=2018-50,'hospitalityq-nil'!C1235&lt;=2018+50),FALSE)),SUMPRODUCT(--(TRIM('hospitalityq-nil'!C6:C1235)=TRIM('hospitalityq-nil'!C1235)),--(TRIM('hospitalityq-nil'!D6:D1235)=TRIM('hospitalityq-nil'!D1235)))&gt;1))</f>
        <v>0</v>
      </c>
      <c r="D1235">
        <f>NOT('hospitalityq-nil'!D1235="")*(OR(COUNTIF(reference!$C$144:$C$155,TRIM(LEFT('hospitalityq-nil'!D1235,FIND(":",'hospitalityq-nil'!D1235&amp;":")-1))&amp;":*")=0,SUMPRODUCT(--(TRIM('hospitalityq-nil'!C6:C1235)=TRIM('hospitalityq-nil'!C1235)),--(TRIM('hospitalityq-nil'!D6:D1235)=TRIM('hospitalityq-nil'!D1235)))&gt;1))</f>
        <v>0</v>
      </c>
    </row>
    <row r="1236" spans="1:4" x14ac:dyDescent="0.25">
      <c r="A1236">
        <f t="shared" si="19"/>
        <v>0</v>
      </c>
      <c r="C1236">
        <f>NOT('hospitalityq-nil'!C1236="")*(OR(NOT(IFERROR(AND(INT('hospitalityq-nil'!C1236)='hospitalityq-nil'!C1236,'hospitalityq-nil'!C1236&gt;=2018-50,'hospitalityq-nil'!C1236&lt;=2018+50),FALSE)),SUMPRODUCT(--(TRIM('hospitalityq-nil'!C6:C1236)=TRIM('hospitalityq-nil'!C1236)),--(TRIM('hospitalityq-nil'!D6:D1236)=TRIM('hospitalityq-nil'!D1236)))&gt;1))</f>
        <v>0</v>
      </c>
      <c r="D1236">
        <f>NOT('hospitalityq-nil'!D1236="")*(OR(COUNTIF(reference!$C$144:$C$155,TRIM(LEFT('hospitalityq-nil'!D1236,FIND(":",'hospitalityq-nil'!D1236&amp;":")-1))&amp;":*")=0,SUMPRODUCT(--(TRIM('hospitalityq-nil'!C6:C1236)=TRIM('hospitalityq-nil'!C1236)),--(TRIM('hospitalityq-nil'!D6:D1236)=TRIM('hospitalityq-nil'!D1236)))&gt;1))</f>
        <v>0</v>
      </c>
    </row>
    <row r="1237" spans="1:4" x14ac:dyDescent="0.25">
      <c r="A1237">
        <f t="shared" si="19"/>
        <v>0</v>
      </c>
      <c r="C1237">
        <f>NOT('hospitalityq-nil'!C1237="")*(OR(NOT(IFERROR(AND(INT('hospitalityq-nil'!C1237)='hospitalityq-nil'!C1237,'hospitalityq-nil'!C1237&gt;=2018-50,'hospitalityq-nil'!C1237&lt;=2018+50),FALSE)),SUMPRODUCT(--(TRIM('hospitalityq-nil'!C6:C1237)=TRIM('hospitalityq-nil'!C1237)),--(TRIM('hospitalityq-nil'!D6:D1237)=TRIM('hospitalityq-nil'!D1237)))&gt;1))</f>
        <v>0</v>
      </c>
      <c r="D1237">
        <f>NOT('hospitalityq-nil'!D1237="")*(OR(COUNTIF(reference!$C$144:$C$155,TRIM(LEFT('hospitalityq-nil'!D1237,FIND(":",'hospitalityq-nil'!D1237&amp;":")-1))&amp;":*")=0,SUMPRODUCT(--(TRIM('hospitalityq-nil'!C6:C1237)=TRIM('hospitalityq-nil'!C1237)),--(TRIM('hospitalityq-nil'!D6:D1237)=TRIM('hospitalityq-nil'!D1237)))&gt;1))</f>
        <v>0</v>
      </c>
    </row>
    <row r="1238" spans="1:4" x14ac:dyDescent="0.25">
      <c r="A1238">
        <f t="shared" si="19"/>
        <v>0</v>
      </c>
      <c r="C1238">
        <f>NOT('hospitalityq-nil'!C1238="")*(OR(NOT(IFERROR(AND(INT('hospitalityq-nil'!C1238)='hospitalityq-nil'!C1238,'hospitalityq-nil'!C1238&gt;=2018-50,'hospitalityq-nil'!C1238&lt;=2018+50),FALSE)),SUMPRODUCT(--(TRIM('hospitalityq-nil'!C6:C1238)=TRIM('hospitalityq-nil'!C1238)),--(TRIM('hospitalityq-nil'!D6:D1238)=TRIM('hospitalityq-nil'!D1238)))&gt;1))</f>
        <v>0</v>
      </c>
      <c r="D1238">
        <f>NOT('hospitalityq-nil'!D1238="")*(OR(COUNTIF(reference!$C$144:$C$155,TRIM(LEFT('hospitalityq-nil'!D1238,FIND(":",'hospitalityq-nil'!D1238&amp;":")-1))&amp;":*")=0,SUMPRODUCT(--(TRIM('hospitalityq-nil'!C6:C1238)=TRIM('hospitalityq-nil'!C1238)),--(TRIM('hospitalityq-nil'!D6:D1238)=TRIM('hospitalityq-nil'!D1238)))&gt;1))</f>
        <v>0</v>
      </c>
    </row>
    <row r="1239" spans="1:4" x14ac:dyDescent="0.25">
      <c r="A1239">
        <f t="shared" si="19"/>
        <v>0</v>
      </c>
      <c r="C1239">
        <f>NOT('hospitalityq-nil'!C1239="")*(OR(NOT(IFERROR(AND(INT('hospitalityq-nil'!C1239)='hospitalityq-nil'!C1239,'hospitalityq-nil'!C1239&gt;=2018-50,'hospitalityq-nil'!C1239&lt;=2018+50),FALSE)),SUMPRODUCT(--(TRIM('hospitalityq-nil'!C6:C1239)=TRIM('hospitalityq-nil'!C1239)),--(TRIM('hospitalityq-nil'!D6:D1239)=TRIM('hospitalityq-nil'!D1239)))&gt;1))</f>
        <v>0</v>
      </c>
      <c r="D1239">
        <f>NOT('hospitalityq-nil'!D1239="")*(OR(COUNTIF(reference!$C$144:$C$155,TRIM(LEFT('hospitalityq-nil'!D1239,FIND(":",'hospitalityq-nil'!D1239&amp;":")-1))&amp;":*")=0,SUMPRODUCT(--(TRIM('hospitalityq-nil'!C6:C1239)=TRIM('hospitalityq-nil'!C1239)),--(TRIM('hospitalityq-nil'!D6:D1239)=TRIM('hospitalityq-nil'!D1239)))&gt;1))</f>
        <v>0</v>
      </c>
    </row>
    <row r="1240" spans="1:4" x14ac:dyDescent="0.25">
      <c r="A1240">
        <f t="shared" si="19"/>
        <v>0</v>
      </c>
      <c r="C1240">
        <f>NOT('hospitalityq-nil'!C1240="")*(OR(NOT(IFERROR(AND(INT('hospitalityq-nil'!C1240)='hospitalityq-nil'!C1240,'hospitalityq-nil'!C1240&gt;=2018-50,'hospitalityq-nil'!C1240&lt;=2018+50),FALSE)),SUMPRODUCT(--(TRIM('hospitalityq-nil'!C6:C1240)=TRIM('hospitalityq-nil'!C1240)),--(TRIM('hospitalityq-nil'!D6:D1240)=TRIM('hospitalityq-nil'!D1240)))&gt;1))</f>
        <v>0</v>
      </c>
      <c r="D1240">
        <f>NOT('hospitalityq-nil'!D1240="")*(OR(COUNTIF(reference!$C$144:$C$155,TRIM(LEFT('hospitalityq-nil'!D1240,FIND(":",'hospitalityq-nil'!D1240&amp;":")-1))&amp;":*")=0,SUMPRODUCT(--(TRIM('hospitalityq-nil'!C6:C1240)=TRIM('hospitalityq-nil'!C1240)),--(TRIM('hospitalityq-nil'!D6:D1240)=TRIM('hospitalityq-nil'!D1240)))&gt;1))</f>
        <v>0</v>
      </c>
    </row>
    <row r="1241" spans="1:4" x14ac:dyDescent="0.25">
      <c r="A1241">
        <f t="shared" si="19"/>
        <v>0</v>
      </c>
      <c r="C1241">
        <f>NOT('hospitalityq-nil'!C1241="")*(OR(NOT(IFERROR(AND(INT('hospitalityq-nil'!C1241)='hospitalityq-nil'!C1241,'hospitalityq-nil'!C1241&gt;=2018-50,'hospitalityq-nil'!C1241&lt;=2018+50),FALSE)),SUMPRODUCT(--(TRIM('hospitalityq-nil'!C6:C1241)=TRIM('hospitalityq-nil'!C1241)),--(TRIM('hospitalityq-nil'!D6:D1241)=TRIM('hospitalityq-nil'!D1241)))&gt;1))</f>
        <v>0</v>
      </c>
      <c r="D1241">
        <f>NOT('hospitalityq-nil'!D1241="")*(OR(COUNTIF(reference!$C$144:$C$155,TRIM(LEFT('hospitalityq-nil'!D1241,FIND(":",'hospitalityq-nil'!D1241&amp;":")-1))&amp;":*")=0,SUMPRODUCT(--(TRIM('hospitalityq-nil'!C6:C1241)=TRIM('hospitalityq-nil'!C1241)),--(TRIM('hospitalityq-nil'!D6:D1241)=TRIM('hospitalityq-nil'!D1241)))&gt;1))</f>
        <v>0</v>
      </c>
    </row>
    <row r="1242" spans="1:4" x14ac:dyDescent="0.25">
      <c r="A1242">
        <f t="shared" si="19"/>
        <v>0</v>
      </c>
      <c r="C1242">
        <f>NOT('hospitalityq-nil'!C1242="")*(OR(NOT(IFERROR(AND(INT('hospitalityq-nil'!C1242)='hospitalityq-nil'!C1242,'hospitalityq-nil'!C1242&gt;=2018-50,'hospitalityq-nil'!C1242&lt;=2018+50),FALSE)),SUMPRODUCT(--(TRIM('hospitalityq-nil'!C6:C1242)=TRIM('hospitalityq-nil'!C1242)),--(TRIM('hospitalityq-nil'!D6:D1242)=TRIM('hospitalityq-nil'!D1242)))&gt;1))</f>
        <v>0</v>
      </c>
      <c r="D1242">
        <f>NOT('hospitalityq-nil'!D1242="")*(OR(COUNTIF(reference!$C$144:$C$155,TRIM(LEFT('hospitalityq-nil'!D1242,FIND(":",'hospitalityq-nil'!D1242&amp;":")-1))&amp;":*")=0,SUMPRODUCT(--(TRIM('hospitalityq-nil'!C6:C1242)=TRIM('hospitalityq-nil'!C1242)),--(TRIM('hospitalityq-nil'!D6:D1242)=TRIM('hospitalityq-nil'!D1242)))&gt;1))</f>
        <v>0</v>
      </c>
    </row>
    <row r="1243" spans="1:4" x14ac:dyDescent="0.25">
      <c r="A1243">
        <f t="shared" si="19"/>
        <v>0</v>
      </c>
      <c r="C1243">
        <f>NOT('hospitalityq-nil'!C1243="")*(OR(NOT(IFERROR(AND(INT('hospitalityq-nil'!C1243)='hospitalityq-nil'!C1243,'hospitalityq-nil'!C1243&gt;=2018-50,'hospitalityq-nil'!C1243&lt;=2018+50),FALSE)),SUMPRODUCT(--(TRIM('hospitalityq-nil'!C6:C1243)=TRIM('hospitalityq-nil'!C1243)),--(TRIM('hospitalityq-nil'!D6:D1243)=TRIM('hospitalityq-nil'!D1243)))&gt;1))</f>
        <v>0</v>
      </c>
      <c r="D1243">
        <f>NOT('hospitalityq-nil'!D1243="")*(OR(COUNTIF(reference!$C$144:$C$155,TRIM(LEFT('hospitalityq-nil'!D1243,FIND(":",'hospitalityq-nil'!D1243&amp;":")-1))&amp;":*")=0,SUMPRODUCT(--(TRIM('hospitalityq-nil'!C6:C1243)=TRIM('hospitalityq-nil'!C1243)),--(TRIM('hospitalityq-nil'!D6:D1243)=TRIM('hospitalityq-nil'!D1243)))&gt;1))</f>
        <v>0</v>
      </c>
    </row>
    <row r="1244" spans="1:4" x14ac:dyDescent="0.25">
      <c r="A1244">
        <f t="shared" si="19"/>
        <v>0</v>
      </c>
      <c r="C1244">
        <f>NOT('hospitalityq-nil'!C1244="")*(OR(NOT(IFERROR(AND(INT('hospitalityq-nil'!C1244)='hospitalityq-nil'!C1244,'hospitalityq-nil'!C1244&gt;=2018-50,'hospitalityq-nil'!C1244&lt;=2018+50),FALSE)),SUMPRODUCT(--(TRIM('hospitalityq-nil'!C6:C1244)=TRIM('hospitalityq-nil'!C1244)),--(TRIM('hospitalityq-nil'!D6:D1244)=TRIM('hospitalityq-nil'!D1244)))&gt;1))</f>
        <v>0</v>
      </c>
      <c r="D1244">
        <f>NOT('hospitalityq-nil'!D1244="")*(OR(COUNTIF(reference!$C$144:$C$155,TRIM(LEFT('hospitalityq-nil'!D1244,FIND(":",'hospitalityq-nil'!D1244&amp;":")-1))&amp;":*")=0,SUMPRODUCT(--(TRIM('hospitalityq-nil'!C6:C1244)=TRIM('hospitalityq-nil'!C1244)),--(TRIM('hospitalityq-nil'!D6:D1244)=TRIM('hospitalityq-nil'!D1244)))&gt;1))</f>
        <v>0</v>
      </c>
    </row>
    <row r="1245" spans="1:4" x14ac:dyDescent="0.25">
      <c r="A1245">
        <f t="shared" si="19"/>
        <v>0</v>
      </c>
      <c r="C1245">
        <f>NOT('hospitalityq-nil'!C1245="")*(OR(NOT(IFERROR(AND(INT('hospitalityq-nil'!C1245)='hospitalityq-nil'!C1245,'hospitalityq-nil'!C1245&gt;=2018-50,'hospitalityq-nil'!C1245&lt;=2018+50),FALSE)),SUMPRODUCT(--(TRIM('hospitalityq-nil'!C6:C1245)=TRIM('hospitalityq-nil'!C1245)),--(TRIM('hospitalityq-nil'!D6:D1245)=TRIM('hospitalityq-nil'!D1245)))&gt;1))</f>
        <v>0</v>
      </c>
      <c r="D1245">
        <f>NOT('hospitalityq-nil'!D1245="")*(OR(COUNTIF(reference!$C$144:$C$155,TRIM(LEFT('hospitalityq-nil'!D1245,FIND(":",'hospitalityq-nil'!D1245&amp;":")-1))&amp;":*")=0,SUMPRODUCT(--(TRIM('hospitalityq-nil'!C6:C1245)=TRIM('hospitalityq-nil'!C1245)),--(TRIM('hospitalityq-nil'!D6:D1245)=TRIM('hospitalityq-nil'!D1245)))&gt;1))</f>
        <v>0</v>
      </c>
    </row>
    <row r="1246" spans="1:4" x14ac:dyDescent="0.25">
      <c r="A1246">
        <f t="shared" si="19"/>
        <v>0</v>
      </c>
      <c r="C1246">
        <f>NOT('hospitalityq-nil'!C1246="")*(OR(NOT(IFERROR(AND(INT('hospitalityq-nil'!C1246)='hospitalityq-nil'!C1246,'hospitalityq-nil'!C1246&gt;=2018-50,'hospitalityq-nil'!C1246&lt;=2018+50),FALSE)),SUMPRODUCT(--(TRIM('hospitalityq-nil'!C6:C1246)=TRIM('hospitalityq-nil'!C1246)),--(TRIM('hospitalityq-nil'!D6:D1246)=TRIM('hospitalityq-nil'!D1246)))&gt;1))</f>
        <v>0</v>
      </c>
      <c r="D1246">
        <f>NOT('hospitalityq-nil'!D1246="")*(OR(COUNTIF(reference!$C$144:$C$155,TRIM(LEFT('hospitalityq-nil'!D1246,FIND(":",'hospitalityq-nil'!D1246&amp;":")-1))&amp;":*")=0,SUMPRODUCT(--(TRIM('hospitalityq-nil'!C6:C1246)=TRIM('hospitalityq-nil'!C1246)),--(TRIM('hospitalityq-nil'!D6:D1246)=TRIM('hospitalityq-nil'!D1246)))&gt;1))</f>
        <v>0</v>
      </c>
    </row>
    <row r="1247" spans="1:4" x14ac:dyDescent="0.25">
      <c r="A1247">
        <f t="shared" si="19"/>
        <v>0</v>
      </c>
      <c r="C1247">
        <f>NOT('hospitalityq-nil'!C1247="")*(OR(NOT(IFERROR(AND(INT('hospitalityq-nil'!C1247)='hospitalityq-nil'!C1247,'hospitalityq-nil'!C1247&gt;=2018-50,'hospitalityq-nil'!C1247&lt;=2018+50),FALSE)),SUMPRODUCT(--(TRIM('hospitalityq-nil'!C6:C1247)=TRIM('hospitalityq-nil'!C1247)),--(TRIM('hospitalityq-nil'!D6:D1247)=TRIM('hospitalityq-nil'!D1247)))&gt;1))</f>
        <v>0</v>
      </c>
      <c r="D1247">
        <f>NOT('hospitalityq-nil'!D1247="")*(OR(COUNTIF(reference!$C$144:$C$155,TRIM(LEFT('hospitalityq-nil'!D1247,FIND(":",'hospitalityq-nil'!D1247&amp;":")-1))&amp;":*")=0,SUMPRODUCT(--(TRIM('hospitalityq-nil'!C6:C1247)=TRIM('hospitalityq-nil'!C1247)),--(TRIM('hospitalityq-nil'!D6:D1247)=TRIM('hospitalityq-nil'!D1247)))&gt;1))</f>
        <v>0</v>
      </c>
    </row>
    <row r="1248" spans="1:4" x14ac:dyDescent="0.25">
      <c r="A1248">
        <f t="shared" si="19"/>
        <v>0</v>
      </c>
      <c r="C1248">
        <f>NOT('hospitalityq-nil'!C1248="")*(OR(NOT(IFERROR(AND(INT('hospitalityq-nil'!C1248)='hospitalityq-nil'!C1248,'hospitalityq-nil'!C1248&gt;=2018-50,'hospitalityq-nil'!C1248&lt;=2018+50),FALSE)),SUMPRODUCT(--(TRIM('hospitalityq-nil'!C6:C1248)=TRIM('hospitalityq-nil'!C1248)),--(TRIM('hospitalityq-nil'!D6:D1248)=TRIM('hospitalityq-nil'!D1248)))&gt;1))</f>
        <v>0</v>
      </c>
      <c r="D1248">
        <f>NOT('hospitalityq-nil'!D1248="")*(OR(COUNTIF(reference!$C$144:$C$155,TRIM(LEFT('hospitalityq-nil'!D1248,FIND(":",'hospitalityq-nil'!D1248&amp;":")-1))&amp;":*")=0,SUMPRODUCT(--(TRIM('hospitalityq-nil'!C6:C1248)=TRIM('hospitalityq-nil'!C1248)),--(TRIM('hospitalityq-nil'!D6:D1248)=TRIM('hospitalityq-nil'!D1248)))&gt;1))</f>
        <v>0</v>
      </c>
    </row>
    <row r="1249" spans="1:4" x14ac:dyDescent="0.25">
      <c r="A1249">
        <f t="shared" si="19"/>
        <v>0</v>
      </c>
      <c r="C1249">
        <f>NOT('hospitalityq-nil'!C1249="")*(OR(NOT(IFERROR(AND(INT('hospitalityq-nil'!C1249)='hospitalityq-nil'!C1249,'hospitalityq-nil'!C1249&gt;=2018-50,'hospitalityq-nil'!C1249&lt;=2018+50),FALSE)),SUMPRODUCT(--(TRIM('hospitalityq-nil'!C6:C1249)=TRIM('hospitalityq-nil'!C1249)),--(TRIM('hospitalityq-nil'!D6:D1249)=TRIM('hospitalityq-nil'!D1249)))&gt;1))</f>
        <v>0</v>
      </c>
      <c r="D1249">
        <f>NOT('hospitalityq-nil'!D1249="")*(OR(COUNTIF(reference!$C$144:$C$155,TRIM(LEFT('hospitalityq-nil'!D1249,FIND(":",'hospitalityq-nil'!D1249&amp;":")-1))&amp;":*")=0,SUMPRODUCT(--(TRIM('hospitalityq-nil'!C6:C1249)=TRIM('hospitalityq-nil'!C1249)),--(TRIM('hospitalityq-nil'!D6:D1249)=TRIM('hospitalityq-nil'!D1249)))&gt;1))</f>
        <v>0</v>
      </c>
    </row>
    <row r="1250" spans="1:4" x14ac:dyDescent="0.25">
      <c r="A1250">
        <f t="shared" si="19"/>
        <v>0</v>
      </c>
      <c r="C1250">
        <f>NOT('hospitalityq-nil'!C1250="")*(OR(NOT(IFERROR(AND(INT('hospitalityq-nil'!C1250)='hospitalityq-nil'!C1250,'hospitalityq-nil'!C1250&gt;=2018-50,'hospitalityq-nil'!C1250&lt;=2018+50),FALSE)),SUMPRODUCT(--(TRIM('hospitalityq-nil'!C6:C1250)=TRIM('hospitalityq-nil'!C1250)),--(TRIM('hospitalityq-nil'!D6:D1250)=TRIM('hospitalityq-nil'!D1250)))&gt;1))</f>
        <v>0</v>
      </c>
      <c r="D1250">
        <f>NOT('hospitalityq-nil'!D1250="")*(OR(COUNTIF(reference!$C$144:$C$155,TRIM(LEFT('hospitalityq-nil'!D1250,FIND(":",'hospitalityq-nil'!D1250&amp;":")-1))&amp;":*")=0,SUMPRODUCT(--(TRIM('hospitalityq-nil'!C6:C1250)=TRIM('hospitalityq-nil'!C1250)),--(TRIM('hospitalityq-nil'!D6:D1250)=TRIM('hospitalityq-nil'!D1250)))&gt;1))</f>
        <v>0</v>
      </c>
    </row>
    <row r="1251" spans="1:4" x14ac:dyDescent="0.25">
      <c r="A1251">
        <f t="shared" si="19"/>
        <v>0</v>
      </c>
      <c r="C1251">
        <f>NOT('hospitalityq-nil'!C1251="")*(OR(NOT(IFERROR(AND(INT('hospitalityq-nil'!C1251)='hospitalityq-nil'!C1251,'hospitalityq-nil'!C1251&gt;=2018-50,'hospitalityq-nil'!C1251&lt;=2018+50),FALSE)),SUMPRODUCT(--(TRIM('hospitalityq-nil'!C6:C1251)=TRIM('hospitalityq-nil'!C1251)),--(TRIM('hospitalityq-nil'!D6:D1251)=TRIM('hospitalityq-nil'!D1251)))&gt;1))</f>
        <v>0</v>
      </c>
      <c r="D1251">
        <f>NOT('hospitalityq-nil'!D1251="")*(OR(COUNTIF(reference!$C$144:$C$155,TRIM(LEFT('hospitalityq-nil'!D1251,FIND(":",'hospitalityq-nil'!D1251&amp;":")-1))&amp;":*")=0,SUMPRODUCT(--(TRIM('hospitalityq-nil'!C6:C1251)=TRIM('hospitalityq-nil'!C1251)),--(TRIM('hospitalityq-nil'!D6:D1251)=TRIM('hospitalityq-nil'!D1251)))&gt;1))</f>
        <v>0</v>
      </c>
    </row>
    <row r="1252" spans="1:4" x14ac:dyDescent="0.25">
      <c r="A1252">
        <f t="shared" si="19"/>
        <v>0</v>
      </c>
      <c r="C1252">
        <f>NOT('hospitalityq-nil'!C1252="")*(OR(NOT(IFERROR(AND(INT('hospitalityq-nil'!C1252)='hospitalityq-nil'!C1252,'hospitalityq-nil'!C1252&gt;=2018-50,'hospitalityq-nil'!C1252&lt;=2018+50),FALSE)),SUMPRODUCT(--(TRIM('hospitalityq-nil'!C6:C1252)=TRIM('hospitalityq-nil'!C1252)),--(TRIM('hospitalityq-nil'!D6:D1252)=TRIM('hospitalityq-nil'!D1252)))&gt;1))</f>
        <v>0</v>
      </c>
      <c r="D1252">
        <f>NOT('hospitalityq-nil'!D1252="")*(OR(COUNTIF(reference!$C$144:$C$155,TRIM(LEFT('hospitalityq-nil'!D1252,FIND(":",'hospitalityq-nil'!D1252&amp;":")-1))&amp;":*")=0,SUMPRODUCT(--(TRIM('hospitalityq-nil'!C6:C1252)=TRIM('hospitalityq-nil'!C1252)),--(TRIM('hospitalityq-nil'!D6:D1252)=TRIM('hospitalityq-nil'!D1252)))&gt;1))</f>
        <v>0</v>
      </c>
    </row>
    <row r="1253" spans="1:4" x14ac:dyDescent="0.25">
      <c r="A1253">
        <f t="shared" si="19"/>
        <v>0</v>
      </c>
      <c r="C1253">
        <f>NOT('hospitalityq-nil'!C1253="")*(OR(NOT(IFERROR(AND(INT('hospitalityq-nil'!C1253)='hospitalityq-nil'!C1253,'hospitalityq-nil'!C1253&gt;=2018-50,'hospitalityq-nil'!C1253&lt;=2018+50),FALSE)),SUMPRODUCT(--(TRIM('hospitalityq-nil'!C6:C1253)=TRIM('hospitalityq-nil'!C1253)),--(TRIM('hospitalityq-nil'!D6:D1253)=TRIM('hospitalityq-nil'!D1253)))&gt;1))</f>
        <v>0</v>
      </c>
      <c r="D1253">
        <f>NOT('hospitalityq-nil'!D1253="")*(OR(COUNTIF(reference!$C$144:$C$155,TRIM(LEFT('hospitalityq-nil'!D1253,FIND(":",'hospitalityq-nil'!D1253&amp;":")-1))&amp;":*")=0,SUMPRODUCT(--(TRIM('hospitalityq-nil'!C6:C1253)=TRIM('hospitalityq-nil'!C1253)),--(TRIM('hospitalityq-nil'!D6:D1253)=TRIM('hospitalityq-nil'!D1253)))&gt;1))</f>
        <v>0</v>
      </c>
    </row>
    <row r="1254" spans="1:4" x14ac:dyDescent="0.25">
      <c r="A1254">
        <f t="shared" si="19"/>
        <v>0</v>
      </c>
      <c r="C1254">
        <f>NOT('hospitalityq-nil'!C1254="")*(OR(NOT(IFERROR(AND(INT('hospitalityq-nil'!C1254)='hospitalityq-nil'!C1254,'hospitalityq-nil'!C1254&gt;=2018-50,'hospitalityq-nil'!C1254&lt;=2018+50),FALSE)),SUMPRODUCT(--(TRIM('hospitalityq-nil'!C6:C1254)=TRIM('hospitalityq-nil'!C1254)),--(TRIM('hospitalityq-nil'!D6:D1254)=TRIM('hospitalityq-nil'!D1254)))&gt;1))</f>
        <v>0</v>
      </c>
      <c r="D1254">
        <f>NOT('hospitalityq-nil'!D1254="")*(OR(COUNTIF(reference!$C$144:$C$155,TRIM(LEFT('hospitalityq-nil'!D1254,FIND(":",'hospitalityq-nil'!D1254&amp;":")-1))&amp;":*")=0,SUMPRODUCT(--(TRIM('hospitalityq-nil'!C6:C1254)=TRIM('hospitalityq-nil'!C1254)),--(TRIM('hospitalityq-nil'!D6:D1254)=TRIM('hospitalityq-nil'!D1254)))&gt;1))</f>
        <v>0</v>
      </c>
    </row>
    <row r="1255" spans="1:4" x14ac:dyDescent="0.25">
      <c r="A1255">
        <f t="shared" si="19"/>
        <v>0</v>
      </c>
      <c r="C1255">
        <f>NOT('hospitalityq-nil'!C1255="")*(OR(NOT(IFERROR(AND(INT('hospitalityq-nil'!C1255)='hospitalityq-nil'!C1255,'hospitalityq-nil'!C1255&gt;=2018-50,'hospitalityq-nil'!C1255&lt;=2018+50),FALSE)),SUMPRODUCT(--(TRIM('hospitalityq-nil'!C6:C1255)=TRIM('hospitalityq-nil'!C1255)),--(TRIM('hospitalityq-nil'!D6:D1255)=TRIM('hospitalityq-nil'!D1255)))&gt;1))</f>
        <v>0</v>
      </c>
      <c r="D1255">
        <f>NOT('hospitalityq-nil'!D1255="")*(OR(COUNTIF(reference!$C$144:$C$155,TRIM(LEFT('hospitalityq-nil'!D1255,FIND(":",'hospitalityq-nil'!D1255&amp;":")-1))&amp;":*")=0,SUMPRODUCT(--(TRIM('hospitalityq-nil'!C6:C1255)=TRIM('hospitalityq-nil'!C1255)),--(TRIM('hospitalityq-nil'!D6:D1255)=TRIM('hospitalityq-nil'!D1255)))&gt;1))</f>
        <v>0</v>
      </c>
    </row>
    <row r="1256" spans="1:4" x14ac:dyDescent="0.25">
      <c r="A1256">
        <f t="shared" si="19"/>
        <v>0</v>
      </c>
      <c r="C1256">
        <f>NOT('hospitalityq-nil'!C1256="")*(OR(NOT(IFERROR(AND(INT('hospitalityq-nil'!C1256)='hospitalityq-nil'!C1256,'hospitalityq-nil'!C1256&gt;=2018-50,'hospitalityq-nil'!C1256&lt;=2018+50),FALSE)),SUMPRODUCT(--(TRIM('hospitalityq-nil'!C6:C1256)=TRIM('hospitalityq-nil'!C1256)),--(TRIM('hospitalityq-nil'!D6:D1256)=TRIM('hospitalityq-nil'!D1256)))&gt;1))</f>
        <v>0</v>
      </c>
      <c r="D1256">
        <f>NOT('hospitalityq-nil'!D1256="")*(OR(COUNTIF(reference!$C$144:$C$155,TRIM(LEFT('hospitalityq-nil'!D1256,FIND(":",'hospitalityq-nil'!D1256&amp;":")-1))&amp;":*")=0,SUMPRODUCT(--(TRIM('hospitalityq-nil'!C6:C1256)=TRIM('hospitalityq-nil'!C1256)),--(TRIM('hospitalityq-nil'!D6:D1256)=TRIM('hospitalityq-nil'!D1256)))&gt;1))</f>
        <v>0</v>
      </c>
    </row>
    <row r="1257" spans="1:4" x14ac:dyDescent="0.25">
      <c r="A1257">
        <f t="shared" si="19"/>
        <v>0</v>
      </c>
      <c r="C1257">
        <f>NOT('hospitalityq-nil'!C1257="")*(OR(NOT(IFERROR(AND(INT('hospitalityq-nil'!C1257)='hospitalityq-nil'!C1257,'hospitalityq-nil'!C1257&gt;=2018-50,'hospitalityq-nil'!C1257&lt;=2018+50),FALSE)),SUMPRODUCT(--(TRIM('hospitalityq-nil'!C6:C1257)=TRIM('hospitalityq-nil'!C1257)),--(TRIM('hospitalityq-nil'!D6:D1257)=TRIM('hospitalityq-nil'!D1257)))&gt;1))</f>
        <v>0</v>
      </c>
      <c r="D1257">
        <f>NOT('hospitalityq-nil'!D1257="")*(OR(COUNTIF(reference!$C$144:$C$155,TRIM(LEFT('hospitalityq-nil'!D1257,FIND(":",'hospitalityq-nil'!D1257&amp;":")-1))&amp;":*")=0,SUMPRODUCT(--(TRIM('hospitalityq-nil'!C6:C1257)=TRIM('hospitalityq-nil'!C1257)),--(TRIM('hospitalityq-nil'!D6:D1257)=TRIM('hospitalityq-nil'!D1257)))&gt;1))</f>
        <v>0</v>
      </c>
    </row>
    <row r="1258" spans="1:4" x14ac:dyDescent="0.25">
      <c r="A1258">
        <f t="shared" si="19"/>
        <v>0</v>
      </c>
      <c r="C1258">
        <f>NOT('hospitalityq-nil'!C1258="")*(OR(NOT(IFERROR(AND(INT('hospitalityq-nil'!C1258)='hospitalityq-nil'!C1258,'hospitalityq-nil'!C1258&gt;=2018-50,'hospitalityq-nil'!C1258&lt;=2018+50),FALSE)),SUMPRODUCT(--(TRIM('hospitalityq-nil'!C6:C1258)=TRIM('hospitalityq-nil'!C1258)),--(TRIM('hospitalityq-nil'!D6:D1258)=TRIM('hospitalityq-nil'!D1258)))&gt;1))</f>
        <v>0</v>
      </c>
      <c r="D1258">
        <f>NOT('hospitalityq-nil'!D1258="")*(OR(COUNTIF(reference!$C$144:$C$155,TRIM(LEFT('hospitalityq-nil'!D1258,FIND(":",'hospitalityq-nil'!D1258&amp;":")-1))&amp;":*")=0,SUMPRODUCT(--(TRIM('hospitalityq-nil'!C6:C1258)=TRIM('hospitalityq-nil'!C1258)),--(TRIM('hospitalityq-nil'!D6:D1258)=TRIM('hospitalityq-nil'!D1258)))&gt;1))</f>
        <v>0</v>
      </c>
    </row>
    <row r="1259" spans="1:4" x14ac:dyDescent="0.25">
      <c r="A1259">
        <f t="shared" si="19"/>
        <v>0</v>
      </c>
      <c r="C1259">
        <f>NOT('hospitalityq-nil'!C1259="")*(OR(NOT(IFERROR(AND(INT('hospitalityq-nil'!C1259)='hospitalityq-nil'!C1259,'hospitalityq-nil'!C1259&gt;=2018-50,'hospitalityq-nil'!C1259&lt;=2018+50),FALSE)),SUMPRODUCT(--(TRIM('hospitalityq-nil'!C6:C1259)=TRIM('hospitalityq-nil'!C1259)),--(TRIM('hospitalityq-nil'!D6:D1259)=TRIM('hospitalityq-nil'!D1259)))&gt;1))</f>
        <v>0</v>
      </c>
      <c r="D1259">
        <f>NOT('hospitalityq-nil'!D1259="")*(OR(COUNTIF(reference!$C$144:$C$155,TRIM(LEFT('hospitalityq-nil'!D1259,FIND(":",'hospitalityq-nil'!D1259&amp;":")-1))&amp;":*")=0,SUMPRODUCT(--(TRIM('hospitalityq-nil'!C6:C1259)=TRIM('hospitalityq-nil'!C1259)),--(TRIM('hospitalityq-nil'!D6:D1259)=TRIM('hospitalityq-nil'!D1259)))&gt;1))</f>
        <v>0</v>
      </c>
    </row>
    <row r="1260" spans="1:4" x14ac:dyDescent="0.25">
      <c r="A1260">
        <f t="shared" si="19"/>
        <v>0</v>
      </c>
      <c r="C1260">
        <f>NOT('hospitalityq-nil'!C1260="")*(OR(NOT(IFERROR(AND(INT('hospitalityq-nil'!C1260)='hospitalityq-nil'!C1260,'hospitalityq-nil'!C1260&gt;=2018-50,'hospitalityq-nil'!C1260&lt;=2018+50),FALSE)),SUMPRODUCT(--(TRIM('hospitalityq-nil'!C6:C1260)=TRIM('hospitalityq-nil'!C1260)),--(TRIM('hospitalityq-nil'!D6:D1260)=TRIM('hospitalityq-nil'!D1260)))&gt;1))</f>
        <v>0</v>
      </c>
      <c r="D1260">
        <f>NOT('hospitalityq-nil'!D1260="")*(OR(COUNTIF(reference!$C$144:$C$155,TRIM(LEFT('hospitalityq-nil'!D1260,FIND(":",'hospitalityq-nil'!D1260&amp;":")-1))&amp;":*")=0,SUMPRODUCT(--(TRIM('hospitalityq-nil'!C6:C1260)=TRIM('hospitalityq-nil'!C1260)),--(TRIM('hospitalityq-nil'!D6:D1260)=TRIM('hospitalityq-nil'!D1260)))&gt;1))</f>
        <v>0</v>
      </c>
    </row>
    <row r="1261" spans="1:4" x14ac:dyDescent="0.25">
      <c r="A1261">
        <f t="shared" si="19"/>
        <v>0</v>
      </c>
      <c r="C1261">
        <f>NOT('hospitalityq-nil'!C1261="")*(OR(NOT(IFERROR(AND(INT('hospitalityq-nil'!C1261)='hospitalityq-nil'!C1261,'hospitalityq-nil'!C1261&gt;=2018-50,'hospitalityq-nil'!C1261&lt;=2018+50),FALSE)),SUMPRODUCT(--(TRIM('hospitalityq-nil'!C6:C1261)=TRIM('hospitalityq-nil'!C1261)),--(TRIM('hospitalityq-nil'!D6:D1261)=TRIM('hospitalityq-nil'!D1261)))&gt;1))</f>
        <v>0</v>
      </c>
      <c r="D1261">
        <f>NOT('hospitalityq-nil'!D1261="")*(OR(COUNTIF(reference!$C$144:$C$155,TRIM(LEFT('hospitalityq-nil'!D1261,FIND(":",'hospitalityq-nil'!D1261&amp;":")-1))&amp;":*")=0,SUMPRODUCT(--(TRIM('hospitalityq-nil'!C6:C1261)=TRIM('hospitalityq-nil'!C1261)),--(TRIM('hospitalityq-nil'!D6:D1261)=TRIM('hospitalityq-nil'!D1261)))&gt;1))</f>
        <v>0</v>
      </c>
    </row>
    <row r="1262" spans="1:4" x14ac:dyDescent="0.25">
      <c r="A1262">
        <f t="shared" si="19"/>
        <v>0</v>
      </c>
      <c r="C1262">
        <f>NOT('hospitalityq-nil'!C1262="")*(OR(NOT(IFERROR(AND(INT('hospitalityq-nil'!C1262)='hospitalityq-nil'!C1262,'hospitalityq-nil'!C1262&gt;=2018-50,'hospitalityq-nil'!C1262&lt;=2018+50),FALSE)),SUMPRODUCT(--(TRIM('hospitalityq-nil'!C6:C1262)=TRIM('hospitalityq-nil'!C1262)),--(TRIM('hospitalityq-nil'!D6:D1262)=TRIM('hospitalityq-nil'!D1262)))&gt;1))</f>
        <v>0</v>
      </c>
      <c r="D1262">
        <f>NOT('hospitalityq-nil'!D1262="")*(OR(COUNTIF(reference!$C$144:$C$155,TRIM(LEFT('hospitalityq-nil'!D1262,FIND(":",'hospitalityq-nil'!D1262&amp;":")-1))&amp;":*")=0,SUMPRODUCT(--(TRIM('hospitalityq-nil'!C6:C1262)=TRIM('hospitalityq-nil'!C1262)),--(TRIM('hospitalityq-nil'!D6:D1262)=TRIM('hospitalityq-nil'!D1262)))&gt;1))</f>
        <v>0</v>
      </c>
    </row>
    <row r="1263" spans="1:4" x14ac:dyDescent="0.25">
      <c r="A1263">
        <f t="shared" si="19"/>
        <v>0</v>
      </c>
      <c r="C1263">
        <f>NOT('hospitalityq-nil'!C1263="")*(OR(NOT(IFERROR(AND(INT('hospitalityq-nil'!C1263)='hospitalityq-nil'!C1263,'hospitalityq-nil'!C1263&gt;=2018-50,'hospitalityq-nil'!C1263&lt;=2018+50),FALSE)),SUMPRODUCT(--(TRIM('hospitalityq-nil'!C6:C1263)=TRIM('hospitalityq-nil'!C1263)),--(TRIM('hospitalityq-nil'!D6:D1263)=TRIM('hospitalityq-nil'!D1263)))&gt;1))</f>
        <v>0</v>
      </c>
      <c r="D1263">
        <f>NOT('hospitalityq-nil'!D1263="")*(OR(COUNTIF(reference!$C$144:$C$155,TRIM(LEFT('hospitalityq-nil'!D1263,FIND(":",'hospitalityq-nil'!D1263&amp;":")-1))&amp;":*")=0,SUMPRODUCT(--(TRIM('hospitalityq-nil'!C6:C1263)=TRIM('hospitalityq-nil'!C1263)),--(TRIM('hospitalityq-nil'!D6:D1263)=TRIM('hospitalityq-nil'!D1263)))&gt;1))</f>
        <v>0</v>
      </c>
    </row>
    <row r="1264" spans="1:4" x14ac:dyDescent="0.25">
      <c r="A1264">
        <f t="shared" si="19"/>
        <v>0</v>
      </c>
      <c r="C1264">
        <f>NOT('hospitalityq-nil'!C1264="")*(OR(NOT(IFERROR(AND(INT('hospitalityq-nil'!C1264)='hospitalityq-nil'!C1264,'hospitalityq-nil'!C1264&gt;=2018-50,'hospitalityq-nil'!C1264&lt;=2018+50),FALSE)),SUMPRODUCT(--(TRIM('hospitalityq-nil'!C6:C1264)=TRIM('hospitalityq-nil'!C1264)),--(TRIM('hospitalityq-nil'!D6:D1264)=TRIM('hospitalityq-nil'!D1264)))&gt;1))</f>
        <v>0</v>
      </c>
      <c r="D1264">
        <f>NOT('hospitalityq-nil'!D1264="")*(OR(COUNTIF(reference!$C$144:$C$155,TRIM(LEFT('hospitalityq-nil'!D1264,FIND(":",'hospitalityq-nil'!D1264&amp;":")-1))&amp;":*")=0,SUMPRODUCT(--(TRIM('hospitalityq-nil'!C6:C1264)=TRIM('hospitalityq-nil'!C1264)),--(TRIM('hospitalityq-nil'!D6:D1264)=TRIM('hospitalityq-nil'!D1264)))&gt;1))</f>
        <v>0</v>
      </c>
    </row>
    <row r="1265" spans="1:4" x14ac:dyDescent="0.25">
      <c r="A1265">
        <f t="shared" si="19"/>
        <v>0</v>
      </c>
      <c r="C1265">
        <f>NOT('hospitalityq-nil'!C1265="")*(OR(NOT(IFERROR(AND(INT('hospitalityq-nil'!C1265)='hospitalityq-nil'!C1265,'hospitalityq-nil'!C1265&gt;=2018-50,'hospitalityq-nil'!C1265&lt;=2018+50),FALSE)),SUMPRODUCT(--(TRIM('hospitalityq-nil'!C6:C1265)=TRIM('hospitalityq-nil'!C1265)),--(TRIM('hospitalityq-nil'!D6:D1265)=TRIM('hospitalityq-nil'!D1265)))&gt;1))</f>
        <v>0</v>
      </c>
      <c r="D1265">
        <f>NOT('hospitalityq-nil'!D1265="")*(OR(COUNTIF(reference!$C$144:$C$155,TRIM(LEFT('hospitalityq-nil'!D1265,FIND(":",'hospitalityq-nil'!D1265&amp;":")-1))&amp;":*")=0,SUMPRODUCT(--(TRIM('hospitalityq-nil'!C6:C1265)=TRIM('hospitalityq-nil'!C1265)),--(TRIM('hospitalityq-nil'!D6:D1265)=TRIM('hospitalityq-nil'!D1265)))&gt;1))</f>
        <v>0</v>
      </c>
    </row>
    <row r="1266" spans="1:4" x14ac:dyDescent="0.25">
      <c r="A1266">
        <f t="shared" si="19"/>
        <v>0</v>
      </c>
      <c r="C1266">
        <f>NOT('hospitalityq-nil'!C1266="")*(OR(NOT(IFERROR(AND(INT('hospitalityq-nil'!C1266)='hospitalityq-nil'!C1266,'hospitalityq-nil'!C1266&gt;=2018-50,'hospitalityq-nil'!C1266&lt;=2018+50),FALSE)),SUMPRODUCT(--(TRIM('hospitalityq-nil'!C6:C1266)=TRIM('hospitalityq-nil'!C1266)),--(TRIM('hospitalityq-nil'!D6:D1266)=TRIM('hospitalityq-nil'!D1266)))&gt;1))</f>
        <v>0</v>
      </c>
      <c r="D1266">
        <f>NOT('hospitalityq-nil'!D1266="")*(OR(COUNTIF(reference!$C$144:$C$155,TRIM(LEFT('hospitalityq-nil'!D1266,FIND(":",'hospitalityq-nil'!D1266&amp;":")-1))&amp;":*")=0,SUMPRODUCT(--(TRIM('hospitalityq-nil'!C6:C1266)=TRIM('hospitalityq-nil'!C1266)),--(TRIM('hospitalityq-nil'!D6:D1266)=TRIM('hospitalityq-nil'!D1266)))&gt;1))</f>
        <v>0</v>
      </c>
    </row>
    <row r="1267" spans="1:4" x14ac:dyDescent="0.25">
      <c r="A1267">
        <f t="shared" si="19"/>
        <v>0</v>
      </c>
      <c r="C1267">
        <f>NOT('hospitalityq-nil'!C1267="")*(OR(NOT(IFERROR(AND(INT('hospitalityq-nil'!C1267)='hospitalityq-nil'!C1267,'hospitalityq-nil'!C1267&gt;=2018-50,'hospitalityq-nil'!C1267&lt;=2018+50),FALSE)),SUMPRODUCT(--(TRIM('hospitalityq-nil'!C6:C1267)=TRIM('hospitalityq-nil'!C1267)),--(TRIM('hospitalityq-nil'!D6:D1267)=TRIM('hospitalityq-nil'!D1267)))&gt;1))</f>
        <v>0</v>
      </c>
      <c r="D1267">
        <f>NOT('hospitalityq-nil'!D1267="")*(OR(COUNTIF(reference!$C$144:$C$155,TRIM(LEFT('hospitalityq-nil'!D1267,FIND(":",'hospitalityq-nil'!D1267&amp;":")-1))&amp;":*")=0,SUMPRODUCT(--(TRIM('hospitalityq-nil'!C6:C1267)=TRIM('hospitalityq-nil'!C1267)),--(TRIM('hospitalityq-nil'!D6:D1267)=TRIM('hospitalityq-nil'!D1267)))&gt;1))</f>
        <v>0</v>
      </c>
    </row>
    <row r="1268" spans="1:4" x14ac:dyDescent="0.25">
      <c r="A1268">
        <f t="shared" si="19"/>
        <v>0</v>
      </c>
      <c r="C1268">
        <f>NOT('hospitalityq-nil'!C1268="")*(OR(NOT(IFERROR(AND(INT('hospitalityq-nil'!C1268)='hospitalityq-nil'!C1268,'hospitalityq-nil'!C1268&gt;=2018-50,'hospitalityq-nil'!C1268&lt;=2018+50),FALSE)),SUMPRODUCT(--(TRIM('hospitalityq-nil'!C6:C1268)=TRIM('hospitalityq-nil'!C1268)),--(TRIM('hospitalityq-nil'!D6:D1268)=TRIM('hospitalityq-nil'!D1268)))&gt;1))</f>
        <v>0</v>
      </c>
      <c r="D1268">
        <f>NOT('hospitalityq-nil'!D1268="")*(OR(COUNTIF(reference!$C$144:$C$155,TRIM(LEFT('hospitalityq-nil'!D1268,FIND(":",'hospitalityq-nil'!D1268&amp;":")-1))&amp;":*")=0,SUMPRODUCT(--(TRIM('hospitalityq-nil'!C6:C1268)=TRIM('hospitalityq-nil'!C1268)),--(TRIM('hospitalityq-nil'!D6:D1268)=TRIM('hospitalityq-nil'!D1268)))&gt;1))</f>
        <v>0</v>
      </c>
    </row>
    <row r="1269" spans="1:4" x14ac:dyDescent="0.25">
      <c r="A1269">
        <f t="shared" si="19"/>
        <v>0</v>
      </c>
      <c r="C1269">
        <f>NOT('hospitalityq-nil'!C1269="")*(OR(NOT(IFERROR(AND(INT('hospitalityq-nil'!C1269)='hospitalityq-nil'!C1269,'hospitalityq-nil'!C1269&gt;=2018-50,'hospitalityq-nil'!C1269&lt;=2018+50),FALSE)),SUMPRODUCT(--(TRIM('hospitalityq-nil'!C6:C1269)=TRIM('hospitalityq-nil'!C1269)),--(TRIM('hospitalityq-nil'!D6:D1269)=TRIM('hospitalityq-nil'!D1269)))&gt;1))</f>
        <v>0</v>
      </c>
      <c r="D1269">
        <f>NOT('hospitalityq-nil'!D1269="")*(OR(COUNTIF(reference!$C$144:$C$155,TRIM(LEFT('hospitalityq-nil'!D1269,FIND(":",'hospitalityq-nil'!D1269&amp;":")-1))&amp;":*")=0,SUMPRODUCT(--(TRIM('hospitalityq-nil'!C6:C1269)=TRIM('hospitalityq-nil'!C1269)),--(TRIM('hospitalityq-nil'!D6:D1269)=TRIM('hospitalityq-nil'!D1269)))&gt;1))</f>
        <v>0</v>
      </c>
    </row>
    <row r="1270" spans="1:4" x14ac:dyDescent="0.25">
      <c r="A1270">
        <f t="shared" si="19"/>
        <v>0</v>
      </c>
      <c r="C1270">
        <f>NOT('hospitalityq-nil'!C1270="")*(OR(NOT(IFERROR(AND(INT('hospitalityq-nil'!C1270)='hospitalityq-nil'!C1270,'hospitalityq-nil'!C1270&gt;=2018-50,'hospitalityq-nil'!C1270&lt;=2018+50),FALSE)),SUMPRODUCT(--(TRIM('hospitalityq-nil'!C6:C1270)=TRIM('hospitalityq-nil'!C1270)),--(TRIM('hospitalityq-nil'!D6:D1270)=TRIM('hospitalityq-nil'!D1270)))&gt;1))</f>
        <v>0</v>
      </c>
      <c r="D1270">
        <f>NOT('hospitalityq-nil'!D1270="")*(OR(COUNTIF(reference!$C$144:$C$155,TRIM(LEFT('hospitalityq-nil'!D1270,FIND(":",'hospitalityq-nil'!D1270&amp;":")-1))&amp;":*")=0,SUMPRODUCT(--(TRIM('hospitalityq-nil'!C6:C1270)=TRIM('hospitalityq-nil'!C1270)),--(TRIM('hospitalityq-nil'!D6:D1270)=TRIM('hospitalityq-nil'!D1270)))&gt;1))</f>
        <v>0</v>
      </c>
    </row>
    <row r="1271" spans="1:4" x14ac:dyDescent="0.25">
      <c r="A1271">
        <f t="shared" si="19"/>
        <v>0</v>
      </c>
      <c r="C1271">
        <f>NOT('hospitalityq-nil'!C1271="")*(OR(NOT(IFERROR(AND(INT('hospitalityq-nil'!C1271)='hospitalityq-nil'!C1271,'hospitalityq-nil'!C1271&gt;=2018-50,'hospitalityq-nil'!C1271&lt;=2018+50),FALSE)),SUMPRODUCT(--(TRIM('hospitalityq-nil'!C6:C1271)=TRIM('hospitalityq-nil'!C1271)),--(TRIM('hospitalityq-nil'!D6:D1271)=TRIM('hospitalityq-nil'!D1271)))&gt;1))</f>
        <v>0</v>
      </c>
      <c r="D1271">
        <f>NOT('hospitalityq-nil'!D1271="")*(OR(COUNTIF(reference!$C$144:$C$155,TRIM(LEFT('hospitalityq-nil'!D1271,FIND(":",'hospitalityq-nil'!D1271&amp;":")-1))&amp;":*")=0,SUMPRODUCT(--(TRIM('hospitalityq-nil'!C6:C1271)=TRIM('hospitalityq-nil'!C1271)),--(TRIM('hospitalityq-nil'!D6:D1271)=TRIM('hospitalityq-nil'!D1271)))&gt;1))</f>
        <v>0</v>
      </c>
    </row>
    <row r="1272" spans="1:4" x14ac:dyDescent="0.25">
      <c r="A1272">
        <f t="shared" si="19"/>
        <v>0</v>
      </c>
      <c r="C1272">
        <f>NOT('hospitalityq-nil'!C1272="")*(OR(NOT(IFERROR(AND(INT('hospitalityq-nil'!C1272)='hospitalityq-nil'!C1272,'hospitalityq-nil'!C1272&gt;=2018-50,'hospitalityq-nil'!C1272&lt;=2018+50),FALSE)),SUMPRODUCT(--(TRIM('hospitalityq-nil'!C6:C1272)=TRIM('hospitalityq-nil'!C1272)),--(TRIM('hospitalityq-nil'!D6:D1272)=TRIM('hospitalityq-nil'!D1272)))&gt;1))</f>
        <v>0</v>
      </c>
      <c r="D1272">
        <f>NOT('hospitalityq-nil'!D1272="")*(OR(COUNTIF(reference!$C$144:$C$155,TRIM(LEFT('hospitalityq-nil'!D1272,FIND(":",'hospitalityq-nil'!D1272&amp;":")-1))&amp;":*")=0,SUMPRODUCT(--(TRIM('hospitalityq-nil'!C6:C1272)=TRIM('hospitalityq-nil'!C1272)),--(TRIM('hospitalityq-nil'!D6:D1272)=TRIM('hospitalityq-nil'!D1272)))&gt;1))</f>
        <v>0</v>
      </c>
    </row>
    <row r="1273" spans="1:4" x14ac:dyDescent="0.25">
      <c r="A1273">
        <f t="shared" si="19"/>
        <v>0</v>
      </c>
      <c r="C1273">
        <f>NOT('hospitalityq-nil'!C1273="")*(OR(NOT(IFERROR(AND(INT('hospitalityq-nil'!C1273)='hospitalityq-nil'!C1273,'hospitalityq-nil'!C1273&gt;=2018-50,'hospitalityq-nil'!C1273&lt;=2018+50),FALSE)),SUMPRODUCT(--(TRIM('hospitalityq-nil'!C6:C1273)=TRIM('hospitalityq-nil'!C1273)),--(TRIM('hospitalityq-nil'!D6:D1273)=TRIM('hospitalityq-nil'!D1273)))&gt;1))</f>
        <v>0</v>
      </c>
      <c r="D1273">
        <f>NOT('hospitalityq-nil'!D1273="")*(OR(COUNTIF(reference!$C$144:$C$155,TRIM(LEFT('hospitalityq-nil'!D1273,FIND(":",'hospitalityq-nil'!D1273&amp;":")-1))&amp;":*")=0,SUMPRODUCT(--(TRIM('hospitalityq-nil'!C6:C1273)=TRIM('hospitalityq-nil'!C1273)),--(TRIM('hospitalityq-nil'!D6:D1273)=TRIM('hospitalityq-nil'!D1273)))&gt;1))</f>
        <v>0</v>
      </c>
    </row>
    <row r="1274" spans="1:4" x14ac:dyDescent="0.25">
      <c r="A1274">
        <f t="shared" si="19"/>
        <v>0</v>
      </c>
      <c r="C1274">
        <f>NOT('hospitalityq-nil'!C1274="")*(OR(NOT(IFERROR(AND(INT('hospitalityq-nil'!C1274)='hospitalityq-nil'!C1274,'hospitalityq-nil'!C1274&gt;=2018-50,'hospitalityq-nil'!C1274&lt;=2018+50),FALSE)),SUMPRODUCT(--(TRIM('hospitalityq-nil'!C6:C1274)=TRIM('hospitalityq-nil'!C1274)),--(TRIM('hospitalityq-nil'!D6:D1274)=TRIM('hospitalityq-nil'!D1274)))&gt;1))</f>
        <v>0</v>
      </c>
      <c r="D1274">
        <f>NOT('hospitalityq-nil'!D1274="")*(OR(COUNTIF(reference!$C$144:$C$155,TRIM(LEFT('hospitalityq-nil'!D1274,FIND(":",'hospitalityq-nil'!D1274&amp;":")-1))&amp;":*")=0,SUMPRODUCT(--(TRIM('hospitalityq-nil'!C6:C1274)=TRIM('hospitalityq-nil'!C1274)),--(TRIM('hospitalityq-nil'!D6:D1274)=TRIM('hospitalityq-nil'!D1274)))&gt;1))</f>
        <v>0</v>
      </c>
    </row>
    <row r="1275" spans="1:4" x14ac:dyDescent="0.25">
      <c r="A1275">
        <f t="shared" si="19"/>
        <v>0</v>
      </c>
      <c r="C1275">
        <f>NOT('hospitalityq-nil'!C1275="")*(OR(NOT(IFERROR(AND(INT('hospitalityq-nil'!C1275)='hospitalityq-nil'!C1275,'hospitalityq-nil'!C1275&gt;=2018-50,'hospitalityq-nil'!C1275&lt;=2018+50),FALSE)),SUMPRODUCT(--(TRIM('hospitalityq-nil'!C6:C1275)=TRIM('hospitalityq-nil'!C1275)),--(TRIM('hospitalityq-nil'!D6:D1275)=TRIM('hospitalityq-nil'!D1275)))&gt;1))</f>
        <v>0</v>
      </c>
      <c r="D1275">
        <f>NOT('hospitalityq-nil'!D1275="")*(OR(COUNTIF(reference!$C$144:$C$155,TRIM(LEFT('hospitalityq-nil'!D1275,FIND(":",'hospitalityq-nil'!D1275&amp;":")-1))&amp;":*")=0,SUMPRODUCT(--(TRIM('hospitalityq-nil'!C6:C1275)=TRIM('hospitalityq-nil'!C1275)),--(TRIM('hospitalityq-nil'!D6:D1275)=TRIM('hospitalityq-nil'!D1275)))&gt;1))</f>
        <v>0</v>
      </c>
    </row>
    <row r="1276" spans="1:4" x14ac:dyDescent="0.25">
      <c r="A1276">
        <f t="shared" si="19"/>
        <v>0</v>
      </c>
      <c r="C1276">
        <f>NOT('hospitalityq-nil'!C1276="")*(OR(NOT(IFERROR(AND(INT('hospitalityq-nil'!C1276)='hospitalityq-nil'!C1276,'hospitalityq-nil'!C1276&gt;=2018-50,'hospitalityq-nil'!C1276&lt;=2018+50),FALSE)),SUMPRODUCT(--(TRIM('hospitalityq-nil'!C6:C1276)=TRIM('hospitalityq-nil'!C1276)),--(TRIM('hospitalityq-nil'!D6:D1276)=TRIM('hospitalityq-nil'!D1276)))&gt;1))</f>
        <v>0</v>
      </c>
      <c r="D1276">
        <f>NOT('hospitalityq-nil'!D1276="")*(OR(COUNTIF(reference!$C$144:$C$155,TRIM(LEFT('hospitalityq-nil'!D1276,FIND(":",'hospitalityq-nil'!D1276&amp;":")-1))&amp;":*")=0,SUMPRODUCT(--(TRIM('hospitalityq-nil'!C6:C1276)=TRIM('hospitalityq-nil'!C1276)),--(TRIM('hospitalityq-nil'!D6:D1276)=TRIM('hospitalityq-nil'!D1276)))&gt;1))</f>
        <v>0</v>
      </c>
    </row>
    <row r="1277" spans="1:4" x14ac:dyDescent="0.25">
      <c r="A1277">
        <f t="shared" si="19"/>
        <v>0</v>
      </c>
      <c r="C1277">
        <f>NOT('hospitalityq-nil'!C1277="")*(OR(NOT(IFERROR(AND(INT('hospitalityq-nil'!C1277)='hospitalityq-nil'!C1277,'hospitalityq-nil'!C1277&gt;=2018-50,'hospitalityq-nil'!C1277&lt;=2018+50),FALSE)),SUMPRODUCT(--(TRIM('hospitalityq-nil'!C6:C1277)=TRIM('hospitalityq-nil'!C1277)),--(TRIM('hospitalityq-nil'!D6:D1277)=TRIM('hospitalityq-nil'!D1277)))&gt;1))</f>
        <v>0</v>
      </c>
      <c r="D1277">
        <f>NOT('hospitalityq-nil'!D1277="")*(OR(COUNTIF(reference!$C$144:$C$155,TRIM(LEFT('hospitalityq-nil'!D1277,FIND(":",'hospitalityq-nil'!D1277&amp;":")-1))&amp;":*")=0,SUMPRODUCT(--(TRIM('hospitalityq-nil'!C6:C1277)=TRIM('hospitalityq-nil'!C1277)),--(TRIM('hospitalityq-nil'!D6:D1277)=TRIM('hospitalityq-nil'!D1277)))&gt;1))</f>
        <v>0</v>
      </c>
    </row>
    <row r="1278" spans="1:4" x14ac:dyDescent="0.25">
      <c r="A1278">
        <f t="shared" si="19"/>
        <v>0</v>
      </c>
      <c r="C1278">
        <f>NOT('hospitalityq-nil'!C1278="")*(OR(NOT(IFERROR(AND(INT('hospitalityq-nil'!C1278)='hospitalityq-nil'!C1278,'hospitalityq-nil'!C1278&gt;=2018-50,'hospitalityq-nil'!C1278&lt;=2018+50),FALSE)),SUMPRODUCT(--(TRIM('hospitalityq-nil'!C6:C1278)=TRIM('hospitalityq-nil'!C1278)),--(TRIM('hospitalityq-nil'!D6:D1278)=TRIM('hospitalityq-nil'!D1278)))&gt;1))</f>
        <v>0</v>
      </c>
      <c r="D1278">
        <f>NOT('hospitalityq-nil'!D1278="")*(OR(COUNTIF(reference!$C$144:$C$155,TRIM(LEFT('hospitalityq-nil'!D1278,FIND(":",'hospitalityq-nil'!D1278&amp;":")-1))&amp;":*")=0,SUMPRODUCT(--(TRIM('hospitalityq-nil'!C6:C1278)=TRIM('hospitalityq-nil'!C1278)),--(TRIM('hospitalityq-nil'!D6:D1278)=TRIM('hospitalityq-nil'!D1278)))&gt;1))</f>
        <v>0</v>
      </c>
    </row>
    <row r="1279" spans="1:4" x14ac:dyDescent="0.25">
      <c r="A1279">
        <f t="shared" si="19"/>
        <v>0</v>
      </c>
      <c r="C1279">
        <f>NOT('hospitalityq-nil'!C1279="")*(OR(NOT(IFERROR(AND(INT('hospitalityq-nil'!C1279)='hospitalityq-nil'!C1279,'hospitalityq-nil'!C1279&gt;=2018-50,'hospitalityq-nil'!C1279&lt;=2018+50),FALSE)),SUMPRODUCT(--(TRIM('hospitalityq-nil'!C6:C1279)=TRIM('hospitalityq-nil'!C1279)),--(TRIM('hospitalityq-nil'!D6:D1279)=TRIM('hospitalityq-nil'!D1279)))&gt;1))</f>
        <v>0</v>
      </c>
      <c r="D1279">
        <f>NOT('hospitalityq-nil'!D1279="")*(OR(COUNTIF(reference!$C$144:$C$155,TRIM(LEFT('hospitalityq-nil'!D1279,FIND(":",'hospitalityq-nil'!D1279&amp;":")-1))&amp;":*")=0,SUMPRODUCT(--(TRIM('hospitalityq-nil'!C6:C1279)=TRIM('hospitalityq-nil'!C1279)),--(TRIM('hospitalityq-nil'!D6:D1279)=TRIM('hospitalityq-nil'!D1279)))&gt;1))</f>
        <v>0</v>
      </c>
    </row>
    <row r="1280" spans="1:4" x14ac:dyDescent="0.25">
      <c r="A1280">
        <f t="shared" si="19"/>
        <v>0</v>
      </c>
      <c r="C1280">
        <f>NOT('hospitalityq-nil'!C1280="")*(OR(NOT(IFERROR(AND(INT('hospitalityq-nil'!C1280)='hospitalityq-nil'!C1280,'hospitalityq-nil'!C1280&gt;=2018-50,'hospitalityq-nil'!C1280&lt;=2018+50),FALSE)),SUMPRODUCT(--(TRIM('hospitalityq-nil'!C6:C1280)=TRIM('hospitalityq-nil'!C1280)),--(TRIM('hospitalityq-nil'!D6:D1280)=TRIM('hospitalityq-nil'!D1280)))&gt;1))</f>
        <v>0</v>
      </c>
      <c r="D1280">
        <f>NOT('hospitalityq-nil'!D1280="")*(OR(COUNTIF(reference!$C$144:$C$155,TRIM(LEFT('hospitalityq-nil'!D1280,FIND(":",'hospitalityq-nil'!D1280&amp;":")-1))&amp;":*")=0,SUMPRODUCT(--(TRIM('hospitalityq-nil'!C6:C1280)=TRIM('hospitalityq-nil'!C1280)),--(TRIM('hospitalityq-nil'!D6:D1280)=TRIM('hospitalityq-nil'!D1280)))&gt;1))</f>
        <v>0</v>
      </c>
    </row>
    <row r="1281" spans="1:4" x14ac:dyDescent="0.25">
      <c r="A1281">
        <f t="shared" si="19"/>
        <v>0</v>
      </c>
      <c r="C1281">
        <f>NOT('hospitalityq-nil'!C1281="")*(OR(NOT(IFERROR(AND(INT('hospitalityq-nil'!C1281)='hospitalityq-nil'!C1281,'hospitalityq-nil'!C1281&gt;=2018-50,'hospitalityq-nil'!C1281&lt;=2018+50),FALSE)),SUMPRODUCT(--(TRIM('hospitalityq-nil'!C6:C1281)=TRIM('hospitalityq-nil'!C1281)),--(TRIM('hospitalityq-nil'!D6:D1281)=TRIM('hospitalityq-nil'!D1281)))&gt;1))</f>
        <v>0</v>
      </c>
      <c r="D1281">
        <f>NOT('hospitalityq-nil'!D1281="")*(OR(COUNTIF(reference!$C$144:$C$155,TRIM(LEFT('hospitalityq-nil'!D1281,FIND(":",'hospitalityq-nil'!D1281&amp;":")-1))&amp;":*")=0,SUMPRODUCT(--(TRIM('hospitalityq-nil'!C6:C1281)=TRIM('hospitalityq-nil'!C1281)),--(TRIM('hospitalityq-nil'!D6:D1281)=TRIM('hospitalityq-nil'!D1281)))&gt;1))</f>
        <v>0</v>
      </c>
    </row>
    <row r="1282" spans="1:4" x14ac:dyDescent="0.25">
      <c r="A1282">
        <f t="shared" si="19"/>
        <v>0</v>
      </c>
      <c r="C1282">
        <f>NOT('hospitalityq-nil'!C1282="")*(OR(NOT(IFERROR(AND(INT('hospitalityq-nil'!C1282)='hospitalityq-nil'!C1282,'hospitalityq-nil'!C1282&gt;=2018-50,'hospitalityq-nil'!C1282&lt;=2018+50),FALSE)),SUMPRODUCT(--(TRIM('hospitalityq-nil'!C6:C1282)=TRIM('hospitalityq-nil'!C1282)),--(TRIM('hospitalityq-nil'!D6:D1282)=TRIM('hospitalityq-nil'!D1282)))&gt;1))</f>
        <v>0</v>
      </c>
      <c r="D1282">
        <f>NOT('hospitalityq-nil'!D1282="")*(OR(COUNTIF(reference!$C$144:$C$155,TRIM(LEFT('hospitalityq-nil'!D1282,FIND(":",'hospitalityq-nil'!D1282&amp;":")-1))&amp;":*")=0,SUMPRODUCT(--(TRIM('hospitalityq-nil'!C6:C1282)=TRIM('hospitalityq-nil'!C1282)),--(TRIM('hospitalityq-nil'!D6:D1282)=TRIM('hospitalityq-nil'!D1282)))&gt;1))</f>
        <v>0</v>
      </c>
    </row>
    <row r="1283" spans="1:4" x14ac:dyDescent="0.25">
      <c r="A1283">
        <f t="shared" si="19"/>
        <v>0</v>
      </c>
      <c r="C1283">
        <f>NOT('hospitalityq-nil'!C1283="")*(OR(NOT(IFERROR(AND(INT('hospitalityq-nil'!C1283)='hospitalityq-nil'!C1283,'hospitalityq-nil'!C1283&gt;=2018-50,'hospitalityq-nil'!C1283&lt;=2018+50),FALSE)),SUMPRODUCT(--(TRIM('hospitalityq-nil'!C6:C1283)=TRIM('hospitalityq-nil'!C1283)),--(TRIM('hospitalityq-nil'!D6:D1283)=TRIM('hospitalityq-nil'!D1283)))&gt;1))</f>
        <v>0</v>
      </c>
      <c r="D1283">
        <f>NOT('hospitalityq-nil'!D1283="")*(OR(COUNTIF(reference!$C$144:$C$155,TRIM(LEFT('hospitalityq-nil'!D1283,FIND(":",'hospitalityq-nil'!D1283&amp;":")-1))&amp;":*")=0,SUMPRODUCT(--(TRIM('hospitalityq-nil'!C6:C1283)=TRIM('hospitalityq-nil'!C1283)),--(TRIM('hospitalityq-nil'!D6:D1283)=TRIM('hospitalityq-nil'!D1283)))&gt;1))</f>
        <v>0</v>
      </c>
    </row>
    <row r="1284" spans="1:4" x14ac:dyDescent="0.25">
      <c r="A1284">
        <f t="shared" si="19"/>
        <v>0</v>
      </c>
      <c r="C1284">
        <f>NOT('hospitalityq-nil'!C1284="")*(OR(NOT(IFERROR(AND(INT('hospitalityq-nil'!C1284)='hospitalityq-nil'!C1284,'hospitalityq-nil'!C1284&gt;=2018-50,'hospitalityq-nil'!C1284&lt;=2018+50),FALSE)),SUMPRODUCT(--(TRIM('hospitalityq-nil'!C6:C1284)=TRIM('hospitalityq-nil'!C1284)),--(TRIM('hospitalityq-nil'!D6:D1284)=TRIM('hospitalityq-nil'!D1284)))&gt;1))</f>
        <v>0</v>
      </c>
      <c r="D1284">
        <f>NOT('hospitalityq-nil'!D1284="")*(OR(COUNTIF(reference!$C$144:$C$155,TRIM(LEFT('hospitalityq-nil'!D1284,FIND(":",'hospitalityq-nil'!D1284&amp;":")-1))&amp;":*")=0,SUMPRODUCT(--(TRIM('hospitalityq-nil'!C6:C1284)=TRIM('hospitalityq-nil'!C1284)),--(TRIM('hospitalityq-nil'!D6:D1284)=TRIM('hospitalityq-nil'!D1284)))&gt;1))</f>
        <v>0</v>
      </c>
    </row>
    <row r="1285" spans="1:4" x14ac:dyDescent="0.25">
      <c r="A1285">
        <f t="shared" si="19"/>
        <v>0</v>
      </c>
      <c r="C1285">
        <f>NOT('hospitalityq-nil'!C1285="")*(OR(NOT(IFERROR(AND(INT('hospitalityq-nil'!C1285)='hospitalityq-nil'!C1285,'hospitalityq-nil'!C1285&gt;=2018-50,'hospitalityq-nil'!C1285&lt;=2018+50),FALSE)),SUMPRODUCT(--(TRIM('hospitalityq-nil'!C6:C1285)=TRIM('hospitalityq-nil'!C1285)),--(TRIM('hospitalityq-nil'!D6:D1285)=TRIM('hospitalityq-nil'!D1285)))&gt;1))</f>
        <v>0</v>
      </c>
      <c r="D1285">
        <f>NOT('hospitalityq-nil'!D1285="")*(OR(COUNTIF(reference!$C$144:$C$155,TRIM(LEFT('hospitalityq-nil'!D1285,FIND(":",'hospitalityq-nil'!D1285&amp;":")-1))&amp;":*")=0,SUMPRODUCT(--(TRIM('hospitalityq-nil'!C6:C1285)=TRIM('hospitalityq-nil'!C1285)),--(TRIM('hospitalityq-nil'!D6:D1285)=TRIM('hospitalityq-nil'!D1285)))&gt;1))</f>
        <v>0</v>
      </c>
    </row>
    <row r="1286" spans="1:4" x14ac:dyDescent="0.25">
      <c r="A1286">
        <f t="shared" ref="A1286:A1349" si="20">IFERROR(MATCH(TRUE,INDEX(C1286:D1286&lt;&gt;0,),)+2,0)</f>
        <v>0</v>
      </c>
      <c r="C1286">
        <f>NOT('hospitalityq-nil'!C1286="")*(OR(NOT(IFERROR(AND(INT('hospitalityq-nil'!C1286)='hospitalityq-nil'!C1286,'hospitalityq-nil'!C1286&gt;=2018-50,'hospitalityq-nil'!C1286&lt;=2018+50),FALSE)),SUMPRODUCT(--(TRIM('hospitalityq-nil'!C6:C1286)=TRIM('hospitalityq-nil'!C1286)),--(TRIM('hospitalityq-nil'!D6:D1286)=TRIM('hospitalityq-nil'!D1286)))&gt;1))</f>
        <v>0</v>
      </c>
      <c r="D1286">
        <f>NOT('hospitalityq-nil'!D1286="")*(OR(COUNTIF(reference!$C$144:$C$155,TRIM(LEFT('hospitalityq-nil'!D1286,FIND(":",'hospitalityq-nil'!D1286&amp;":")-1))&amp;":*")=0,SUMPRODUCT(--(TRIM('hospitalityq-nil'!C6:C1286)=TRIM('hospitalityq-nil'!C1286)),--(TRIM('hospitalityq-nil'!D6:D1286)=TRIM('hospitalityq-nil'!D1286)))&gt;1))</f>
        <v>0</v>
      </c>
    </row>
    <row r="1287" spans="1:4" x14ac:dyDescent="0.25">
      <c r="A1287">
        <f t="shared" si="20"/>
        <v>0</v>
      </c>
      <c r="C1287">
        <f>NOT('hospitalityq-nil'!C1287="")*(OR(NOT(IFERROR(AND(INT('hospitalityq-nil'!C1287)='hospitalityq-nil'!C1287,'hospitalityq-nil'!C1287&gt;=2018-50,'hospitalityq-nil'!C1287&lt;=2018+50),FALSE)),SUMPRODUCT(--(TRIM('hospitalityq-nil'!C6:C1287)=TRIM('hospitalityq-nil'!C1287)),--(TRIM('hospitalityq-nil'!D6:D1287)=TRIM('hospitalityq-nil'!D1287)))&gt;1))</f>
        <v>0</v>
      </c>
      <c r="D1287">
        <f>NOT('hospitalityq-nil'!D1287="")*(OR(COUNTIF(reference!$C$144:$C$155,TRIM(LEFT('hospitalityq-nil'!D1287,FIND(":",'hospitalityq-nil'!D1287&amp;":")-1))&amp;":*")=0,SUMPRODUCT(--(TRIM('hospitalityq-nil'!C6:C1287)=TRIM('hospitalityq-nil'!C1287)),--(TRIM('hospitalityq-nil'!D6:D1287)=TRIM('hospitalityq-nil'!D1287)))&gt;1))</f>
        <v>0</v>
      </c>
    </row>
    <row r="1288" spans="1:4" x14ac:dyDescent="0.25">
      <c r="A1288">
        <f t="shared" si="20"/>
        <v>0</v>
      </c>
      <c r="C1288">
        <f>NOT('hospitalityq-nil'!C1288="")*(OR(NOT(IFERROR(AND(INT('hospitalityq-nil'!C1288)='hospitalityq-nil'!C1288,'hospitalityq-nil'!C1288&gt;=2018-50,'hospitalityq-nil'!C1288&lt;=2018+50),FALSE)),SUMPRODUCT(--(TRIM('hospitalityq-nil'!C6:C1288)=TRIM('hospitalityq-nil'!C1288)),--(TRIM('hospitalityq-nil'!D6:D1288)=TRIM('hospitalityq-nil'!D1288)))&gt;1))</f>
        <v>0</v>
      </c>
      <c r="D1288">
        <f>NOT('hospitalityq-nil'!D1288="")*(OR(COUNTIF(reference!$C$144:$C$155,TRIM(LEFT('hospitalityq-nil'!D1288,FIND(":",'hospitalityq-nil'!D1288&amp;":")-1))&amp;":*")=0,SUMPRODUCT(--(TRIM('hospitalityq-nil'!C6:C1288)=TRIM('hospitalityq-nil'!C1288)),--(TRIM('hospitalityq-nil'!D6:D1288)=TRIM('hospitalityq-nil'!D1288)))&gt;1))</f>
        <v>0</v>
      </c>
    </row>
    <row r="1289" spans="1:4" x14ac:dyDescent="0.25">
      <c r="A1289">
        <f t="shared" si="20"/>
        <v>0</v>
      </c>
      <c r="C1289">
        <f>NOT('hospitalityq-nil'!C1289="")*(OR(NOT(IFERROR(AND(INT('hospitalityq-nil'!C1289)='hospitalityq-nil'!C1289,'hospitalityq-nil'!C1289&gt;=2018-50,'hospitalityq-nil'!C1289&lt;=2018+50),FALSE)),SUMPRODUCT(--(TRIM('hospitalityq-nil'!C6:C1289)=TRIM('hospitalityq-nil'!C1289)),--(TRIM('hospitalityq-nil'!D6:D1289)=TRIM('hospitalityq-nil'!D1289)))&gt;1))</f>
        <v>0</v>
      </c>
      <c r="D1289">
        <f>NOT('hospitalityq-nil'!D1289="")*(OR(COUNTIF(reference!$C$144:$C$155,TRIM(LEFT('hospitalityq-nil'!D1289,FIND(":",'hospitalityq-nil'!D1289&amp;":")-1))&amp;":*")=0,SUMPRODUCT(--(TRIM('hospitalityq-nil'!C6:C1289)=TRIM('hospitalityq-nil'!C1289)),--(TRIM('hospitalityq-nil'!D6:D1289)=TRIM('hospitalityq-nil'!D1289)))&gt;1))</f>
        <v>0</v>
      </c>
    </row>
    <row r="1290" spans="1:4" x14ac:dyDescent="0.25">
      <c r="A1290">
        <f t="shared" si="20"/>
        <v>0</v>
      </c>
      <c r="C1290">
        <f>NOT('hospitalityq-nil'!C1290="")*(OR(NOT(IFERROR(AND(INT('hospitalityq-nil'!C1290)='hospitalityq-nil'!C1290,'hospitalityq-nil'!C1290&gt;=2018-50,'hospitalityq-nil'!C1290&lt;=2018+50),FALSE)),SUMPRODUCT(--(TRIM('hospitalityq-nil'!C6:C1290)=TRIM('hospitalityq-nil'!C1290)),--(TRIM('hospitalityq-nil'!D6:D1290)=TRIM('hospitalityq-nil'!D1290)))&gt;1))</f>
        <v>0</v>
      </c>
      <c r="D1290">
        <f>NOT('hospitalityq-nil'!D1290="")*(OR(COUNTIF(reference!$C$144:$C$155,TRIM(LEFT('hospitalityq-nil'!D1290,FIND(":",'hospitalityq-nil'!D1290&amp;":")-1))&amp;":*")=0,SUMPRODUCT(--(TRIM('hospitalityq-nil'!C6:C1290)=TRIM('hospitalityq-nil'!C1290)),--(TRIM('hospitalityq-nil'!D6:D1290)=TRIM('hospitalityq-nil'!D1290)))&gt;1))</f>
        <v>0</v>
      </c>
    </row>
    <row r="1291" spans="1:4" x14ac:dyDescent="0.25">
      <c r="A1291">
        <f t="shared" si="20"/>
        <v>0</v>
      </c>
      <c r="C1291">
        <f>NOT('hospitalityq-nil'!C1291="")*(OR(NOT(IFERROR(AND(INT('hospitalityq-nil'!C1291)='hospitalityq-nil'!C1291,'hospitalityq-nil'!C1291&gt;=2018-50,'hospitalityq-nil'!C1291&lt;=2018+50),FALSE)),SUMPRODUCT(--(TRIM('hospitalityq-nil'!C6:C1291)=TRIM('hospitalityq-nil'!C1291)),--(TRIM('hospitalityq-nil'!D6:D1291)=TRIM('hospitalityq-nil'!D1291)))&gt;1))</f>
        <v>0</v>
      </c>
      <c r="D1291">
        <f>NOT('hospitalityq-nil'!D1291="")*(OR(COUNTIF(reference!$C$144:$C$155,TRIM(LEFT('hospitalityq-nil'!D1291,FIND(":",'hospitalityq-nil'!D1291&amp;":")-1))&amp;":*")=0,SUMPRODUCT(--(TRIM('hospitalityq-nil'!C6:C1291)=TRIM('hospitalityq-nil'!C1291)),--(TRIM('hospitalityq-nil'!D6:D1291)=TRIM('hospitalityq-nil'!D1291)))&gt;1))</f>
        <v>0</v>
      </c>
    </row>
    <row r="1292" spans="1:4" x14ac:dyDescent="0.25">
      <c r="A1292">
        <f t="shared" si="20"/>
        <v>0</v>
      </c>
      <c r="C1292">
        <f>NOT('hospitalityq-nil'!C1292="")*(OR(NOT(IFERROR(AND(INT('hospitalityq-nil'!C1292)='hospitalityq-nil'!C1292,'hospitalityq-nil'!C1292&gt;=2018-50,'hospitalityq-nil'!C1292&lt;=2018+50),FALSE)),SUMPRODUCT(--(TRIM('hospitalityq-nil'!C6:C1292)=TRIM('hospitalityq-nil'!C1292)),--(TRIM('hospitalityq-nil'!D6:D1292)=TRIM('hospitalityq-nil'!D1292)))&gt;1))</f>
        <v>0</v>
      </c>
      <c r="D1292">
        <f>NOT('hospitalityq-nil'!D1292="")*(OR(COUNTIF(reference!$C$144:$C$155,TRIM(LEFT('hospitalityq-nil'!D1292,FIND(":",'hospitalityq-nil'!D1292&amp;":")-1))&amp;":*")=0,SUMPRODUCT(--(TRIM('hospitalityq-nil'!C6:C1292)=TRIM('hospitalityq-nil'!C1292)),--(TRIM('hospitalityq-nil'!D6:D1292)=TRIM('hospitalityq-nil'!D1292)))&gt;1))</f>
        <v>0</v>
      </c>
    </row>
    <row r="1293" spans="1:4" x14ac:dyDescent="0.25">
      <c r="A1293">
        <f t="shared" si="20"/>
        <v>0</v>
      </c>
      <c r="C1293">
        <f>NOT('hospitalityq-nil'!C1293="")*(OR(NOT(IFERROR(AND(INT('hospitalityq-nil'!C1293)='hospitalityq-nil'!C1293,'hospitalityq-nil'!C1293&gt;=2018-50,'hospitalityq-nil'!C1293&lt;=2018+50),FALSE)),SUMPRODUCT(--(TRIM('hospitalityq-nil'!C6:C1293)=TRIM('hospitalityq-nil'!C1293)),--(TRIM('hospitalityq-nil'!D6:D1293)=TRIM('hospitalityq-nil'!D1293)))&gt;1))</f>
        <v>0</v>
      </c>
      <c r="D1293">
        <f>NOT('hospitalityq-nil'!D1293="")*(OR(COUNTIF(reference!$C$144:$C$155,TRIM(LEFT('hospitalityq-nil'!D1293,FIND(":",'hospitalityq-nil'!D1293&amp;":")-1))&amp;":*")=0,SUMPRODUCT(--(TRIM('hospitalityq-nil'!C6:C1293)=TRIM('hospitalityq-nil'!C1293)),--(TRIM('hospitalityq-nil'!D6:D1293)=TRIM('hospitalityq-nil'!D1293)))&gt;1))</f>
        <v>0</v>
      </c>
    </row>
    <row r="1294" spans="1:4" x14ac:dyDescent="0.25">
      <c r="A1294">
        <f t="shared" si="20"/>
        <v>0</v>
      </c>
      <c r="C1294">
        <f>NOT('hospitalityq-nil'!C1294="")*(OR(NOT(IFERROR(AND(INT('hospitalityq-nil'!C1294)='hospitalityq-nil'!C1294,'hospitalityq-nil'!C1294&gt;=2018-50,'hospitalityq-nil'!C1294&lt;=2018+50),FALSE)),SUMPRODUCT(--(TRIM('hospitalityq-nil'!C6:C1294)=TRIM('hospitalityq-nil'!C1294)),--(TRIM('hospitalityq-nil'!D6:D1294)=TRIM('hospitalityq-nil'!D1294)))&gt;1))</f>
        <v>0</v>
      </c>
      <c r="D1294">
        <f>NOT('hospitalityq-nil'!D1294="")*(OR(COUNTIF(reference!$C$144:$C$155,TRIM(LEFT('hospitalityq-nil'!D1294,FIND(":",'hospitalityq-nil'!D1294&amp;":")-1))&amp;":*")=0,SUMPRODUCT(--(TRIM('hospitalityq-nil'!C6:C1294)=TRIM('hospitalityq-nil'!C1294)),--(TRIM('hospitalityq-nil'!D6:D1294)=TRIM('hospitalityq-nil'!D1294)))&gt;1))</f>
        <v>0</v>
      </c>
    </row>
    <row r="1295" spans="1:4" x14ac:dyDescent="0.25">
      <c r="A1295">
        <f t="shared" si="20"/>
        <v>0</v>
      </c>
      <c r="C1295">
        <f>NOT('hospitalityq-nil'!C1295="")*(OR(NOT(IFERROR(AND(INT('hospitalityq-nil'!C1295)='hospitalityq-nil'!C1295,'hospitalityq-nil'!C1295&gt;=2018-50,'hospitalityq-nil'!C1295&lt;=2018+50),FALSE)),SUMPRODUCT(--(TRIM('hospitalityq-nil'!C6:C1295)=TRIM('hospitalityq-nil'!C1295)),--(TRIM('hospitalityq-nil'!D6:D1295)=TRIM('hospitalityq-nil'!D1295)))&gt;1))</f>
        <v>0</v>
      </c>
      <c r="D1295">
        <f>NOT('hospitalityq-nil'!D1295="")*(OR(COUNTIF(reference!$C$144:$C$155,TRIM(LEFT('hospitalityq-nil'!D1295,FIND(":",'hospitalityq-nil'!D1295&amp;":")-1))&amp;":*")=0,SUMPRODUCT(--(TRIM('hospitalityq-nil'!C6:C1295)=TRIM('hospitalityq-nil'!C1295)),--(TRIM('hospitalityq-nil'!D6:D1295)=TRIM('hospitalityq-nil'!D1295)))&gt;1))</f>
        <v>0</v>
      </c>
    </row>
    <row r="1296" spans="1:4" x14ac:dyDescent="0.25">
      <c r="A1296">
        <f t="shared" si="20"/>
        <v>0</v>
      </c>
      <c r="C1296">
        <f>NOT('hospitalityq-nil'!C1296="")*(OR(NOT(IFERROR(AND(INT('hospitalityq-nil'!C1296)='hospitalityq-nil'!C1296,'hospitalityq-nil'!C1296&gt;=2018-50,'hospitalityq-nil'!C1296&lt;=2018+50),FALSE)),SUMPRODUCT(--(TRIM('hospitalityq-nil'!C6:C1296)=TRIM('hospitalityq-nil'!C1296)),--(TRIM('hospitalityq-nil'!D6:D1296)=TRIM('hospitalityq-nil'!D1296)))&gt;1))</f>
        <v>0</v>
      </c>
      <c r="D1296">
        <f>NOT('hospitalityq-nil'!D1296="")*(OR(COUNTIF(reference!$C$144:$C$155,TRIM(LEFT('hospitalityq-nil'!D1296,FIND(":",'hospitalityq-nil'!D1296&amp;":")-1))&amp;":*")=0,SUMPRODUCT(--(TRIM('hospitalityq-nil'!C6:C1296)=TRIM('hospitalityq-nil'!C1296)),--(TRIM('hospitalityq-nil'!D6:D1296)=TRIM('hospitalityq-nil'!D1296)))&gt;1))</f>
        <v>0</v>
      </c>
    </row>
    <row r="1297" spans="1:4" x14ac:dyDescent="0.25">
      <c r="A1297">
        <f t="shared" si="20"/>
        <v>0</v>
      </c>
      <c r="C1297">
        <f>NOT('hospitalityq-nil'!C1297="")*(OR(NOT(IFERROR(AND(INT('hospitalityq-nil'!C1297)='hospitalityq-nil'!C1297,'hospitalityq-nil'!C1297&gt;=2018-50,'hospitalityq-nil'!C1297&lt;=2018+50),FALSE)),SUMPRODUCT(--(TRIM('hospitalityq-nil'!C6:C1297)=TRIM('hospitalityq-nil'!C1297)),--(TRIM('hospitalityq-nil'!D6:D1297)=TRIM('hospitalityq-nil'!D1297)))&gt;1))</f>
        <v>0</v>
      </c>
      <c r="D1297">
        <f>NOT('hospitalityq-nil'!D1297="")*(OR(COUNTIF(reference!$C$144:$C$155,TRIM(LEFT('hospitalityq-nil'!D1297,FIND(":",'hospitalityq-nil'!D1297&amp;":")-1))&amp;":*")=0,SUMPRODUCT(--(TRIM('hospitalityq-nil'!C6:C1297)=TRIM('hospitalityq-nil'!C1297)),--(TRIM('hospitalityq-nil'!D6:D1297)=TRIM('hospitalityq-nil'!D1297)))&gt;1))</f>
        <v>0</v>
      </c>
    </row>
    <row r="1298" spans="1:4" x14ac:dyDescent="0.25">
      <c r="A1298">
        <f t="shared" si="20"/>
        <v>0</v>
      </c>
      <c r="C1298">
        <f>NOT('hospitalityq-nil'!C1298="")*(OR(NOT(IFERROR(AND(INT('hospitalityq-nil'!C1298)='hospitalityq-nil'!C1298,'hospitalityq-nil'!C1298&gt;=2018-50,'hospitalityq-nil'!C1298&lt;=2018+50),FALSE)),SUMPRODUCT(--(TRIM('hospitalityq-nil'!C6:C1298)=TRIM('hospitalityq-nil'!C1298)),--(TRIM('hospitalityq-nil'!D6:D1298)=TRIM('hospitalityq-nil'!D1298)))&gt;1))</f>
        <v>0</v>
      </c>
      <c r="D1298">
        <f>NOT('hospitalityq-nil'!D1298="")*(OR(COUNTIF(reference!$C$144:$C$155,TRIM(LEFT('hospitalityq-nil'!D1298,FIND(":",'hospitalityq-nil'!D1298&amp;":")-1))&amp;":*")=0,SUMPRODUCT(--(TRIM('hospitalityq-nil'!C6:C1298)=TRIM('hospitalityq-nil'!C1298)),--(TRIM('hospitalityq-nil'!D6:D1298)=TRIM('hospitalityq-nil'!D1298)))&gt;1))</f>
        <v>0</v>
      </c>
    </row>
    <row r="1299" spans="1:4" x14ac:dyDescent="0.25">
      <c r="A1299">
        <f t="shared" si="20"/>
        <v>0</v>
      </c>
      <c r="C1299">
        <f>NOT('hospitalityq-nil'!C1299="")*(OR(NOT(IFERROR(AND(INT('hospitalityq-nil'!C1299)='hospitalityq-nil'!C1299,'hospitalityq-nil'!C1299&gt;=2018-50,'hospitalityq-nil'!C1299&lt;=2018+50),FALSE)),SUMPRODUCT(--(TRIM('hospitalityq-nil'!C6:C1299)=TRIM('hospitalityq-nil'!C1299)),--(TRIM('hospitalityq-nil'!D6:D1299)=TRIM('hospitalityq-nil'!D1299)))&gt;1))</f>
        <v>0</v>
      </c>
      <c r="D1299">
        <f>NOT('hospitalityq-nil'!D1299="")*(OR(COUNTIF(reference!$C$144:$C$155,TRIM(LEFT('hospitalityq-nil'!D1299,FIND(":",'hospitalityq-nil'!D1299&amp;":")-1))&amp;":*")=0,SUMPRODUCT(--(TRIM('hospitalityq-nil'!C6:C1299)=TRIM('hospitalityq-nil'!C1299)),--(TRIM('hospitalityq-nil'!D6:D1299)=TRIM('hospitalityq-nil'!D1299)))&gt;1))</f>
        <v>0</v>
      </c>
    </row>
    <row r="1300" spans="1:4" x14ac:dyDescent="0.25">
      <c r="A1300">
        <f t="shared" si="20"/>
        <v>0</v>
      </c>
      <c r="C1300">
        <f>NOT('hospitalityq-nil'!C1300="")*(OR(NOT(IFERROR(AND(INT('hospitalityq-nil'!C1300)='hospitalityq-nil'!C1300,'hospitalityq-nil'!C1300&gt;=2018-50,'hospitalityq-nil'!C1300&lt;=2018+50),FALSE)),SUMPRODUCT(--(TRIM('hospitalityq-nil'!C6:C1300)=TRIM('hospitalityq-nil'!C1300)),--(TRIM('hospitalityq-nil'!D6:D1300)=TRIM('hospitalityq-nil'!D1300)))&gt;1))</f>
        <v>0</v>
      </c>
      <c r="D1300">
        <f>NOT('hospitalityq-nil'!D1300="")*(OR(COUNTIF(reference!$C$144:$C$155,TRIM(LEFT('hospitalityq-nil'!D1300,FIND(":",'hospitalityq-nil'!D1300&amp;":")-1))&amp;":*")=0,SUMPRODUCT(--(TRIM('hospitalityq-nil'!C6:C1300)=TRIM('hospitalityq-nil'!C1300)),--(TRIM('hospitalityq-nil'!D6:D1300)=TRIM('hospitalityq-nil'!D1300)))&gt;1))</f>
        <v>0</v>
      </c>
    </row>
    <row r="1301" spans="1:4" x14ac:dyDescent="0.25">
      <c r="A1301">
        <f t="shared" si="20"/>
        <v>0</v>
      </c>
      <c r="C1301">
        <f>NOT('hospitalityq-nil'!C1301="")*(OR(NOT(IFERROR(AND(INT('hospitalityq-nil'!C1301)='hospitalityq-nil'!C1301,'hospitalityq-nil'!C1301&gt;=2018-50,'hospitalityq-nil'!C1301&lt;=2018+50),FALSE)),SUMPRODUCT(--(TRIM('hospitalityq-nil'!C6:C1301)=TRIM('hospitalityq-nil'!C1301)),--(TRIM('hospitalityq-nil'!D6:D1301)=TRIM('hospitalityq-nil'!D1301)))&gt;1))</f>
        <v>0</v>
      </c>
      <c r="D1301">
        <f>NOT('hospitalityq-nil'!D1301="")*(OR(COUNTIF(reference!$C$144:$C$155,TRIM(LEFT('hospitalityq-nil'!D1301,FIND(":",'hospitalityq-nil'!D1301&amp;":")-1))&amp;":*")=0,SUMPRODUCT(--(TRIM('hospitalityq-nil'!C6:C1301)=TRIM('hospitalityq-nil'!C1301)),--(TRIM('hospitalityq-nil'!D6:D1301)=TRIM('hospitalityq-nil'!D1301)))&gt;1))</f>
        <v>0</v>
      </c>
    </row>
    <row r="1302" spans="1:4" x14ac:dyDescent="0.25">
      <c r="A1302">
        <f t="shared" si="20"/>
        <v>0</v>
      </c>
      <c r="C1302">
        <f>NOT('hospitalityq-nil'!C1302="")*(OR(NOT(IFERROR(AND(INT('hospitalityq-nil'!C1302)='hospitalityq-nil'!C1302,'hospitalityq-nil'!C1302&gt;=2018-50,'hospitalityq-nil'!C1302&lt;=2018+50),FALSE)),SUMPRODUCT(--(TRIM('hospitalityq-nil'!C6:C1302)=TRIM('hospitalityq-nil'!C1302)),--(TRIM('hospitalityq-nil'!D6:D1302)=TRIM('hospitalityq-nil'!D1302)))&gt;1))</f>
        <v>0</v>
      </c>
      <c r="D1302">
        <f>NOT('hospitalityq-nil'!D1302="")*(OR(COUNTIF(reference!$C$144:$C$155,TRIM(LEFT('hospitalityq-nil'!D1302,FIND(":",'hospitalityq-nil'!D1302&amp;":")-1))&amp;":*")=0,SUMPRODUCT(--(TRIM('hospitalityq-nil'!C6:C1302)=TRIM('hospitalityq-nil'!C1302)),--(TRIM('hospitalityq-nil'!D6:D1302)=TRIM('hospitalityq-nil'!D1302)))&gt;1))</f>
        <v>0</v>
      </c>
    </row>
    <row r="1303" spans="1:4" x14ac:dyDescent="0.25">
      <c r="A1303">
        <f t="shared" si="20"/>
        <v>0</v>
      </c>
      <c r="C1303">
        <f>NOT('hospitalityq-nil'!C1303="")*(OR(NOT(IFERROR(AND(INT('hospitalityq-nil'!C1303)='hospitalityq-nil'!C1303,'hospitalityq-nil'!C1303&gt;=2018-50,'hospitalityq-nil'!C1303&lt;=2018+50),FALSE)),SUMPRODUCT(--(TRIM('hospitalityq-nil'!C6:C1303)=TRIM('hospitalityq-nil'!C1303)),--(TRIM('hospitalityq-nil'!D6:D1303)=TRIM('hospitalityq-nil'!D1303)))&gt;1))</f>
        <v>0</v>
      </c>
      <c r="D1303">
        <f>NOT('hospitalityq-nil'!D1303="")*(OR(COUNTIF(reference!$C$144:$C$155,TRIM(LEFT('hospitalityq-nil'!D1303,FIND(":",'hospitalityq-nil'!D1303&amp;":")-1))&amp;":*")=0,SUMPRODUCT(--(TRIM('hospitalityq-nil'!C6:C1303)=TRIM('hospitalityq-nil'!C1303)),--(TRIM('hospitalityq-nil'!D6:D1303)=TRIM('hospitalityq-nil'!D1303)))&gt;1))</f>
        <v>0</v>
      </c>
    </row>
    <row r="1304" spans="1:4" x14ac:dyDescent="0.25">
      <c r="A1304">
        <f t="shared" si="20"/>
        <v>0</v>
      </c>
      <c r="C1304">
        <f>NOT('hospitalityq-nil'!C1304="")*(OR(NOT(IFERROR(AND(INT('hospitalityq-nil'!C1304)='hospitalityq-nil'!C1304,'hospitalityq-nil'!C1304&gt;=2018-50,'hospitalityq-nil'!C1304&lt;=2018+50),FALSE)),SUMPRODUCT(--(TRIM('hospitalityq-nil'!C6:C1304)=TRIM('hospitalityq-nil'!C1304)),--(TRIM('hospitalityq-nil'!D6:D1304)=TRIM('hospitalityq-nil'!D1304)))&gt;1))</f>
        <v>0</v>
      </c>
      <c r="D1304">
        <f>NOT('hospitalityq-nil'!D1304="")*(OR(COUNTIF(reference!$C$144:$C$155,TRIM(LEFT('hospitalityq-nil'!D1304,FIND(":",'hospitalityq-nil'!D1304&amp;":")-1))&amp;":*")=0,SUMPRODUCT(--(TRIM('hospitalityq-nil'!C6:C1304)=TRIM('hospitalityq-nil'!C1304)),--(TRIM('hospitalityq-nil'!D6:D1304)=TRIM('hospitalityq-nil'!D1304)))&gt;1))</f>
        <v>0</v>
      </c>
    </row>
    <row r="1305" spans="1:4" x14ac:dyDescent="0.25">
      <c r="A1305">
        <f t="shared" si="20"/>
        <v>0</v>
      </c>
      <c r="C1305">
        <f>NOT('hospitalityq-nil'!C1305="")*(OR(NOT(IFERROR(AND(INT('hospitalityq-nil'!C1305)='hospitalityq-nil'!C1305,'hospitalityq-nil'!C1305&gt;=2018-50,'hospitalityq-nil'!C1305&lt;=2018+50),FALSE)),SUMPRODUCT(--(TRIM('hospitalityq-nil'!C6:C1305)=TRIM('hospitalityq-nil'!C1305)),--(TRIM('hospitalityq-nil'!D6:D1305)=TRIM('hospitalityq-nil'!D1305)))&gt;1))</f>
        <v>0</v>
      </c>
      <c r="D1305">
        <f>NOT('hospitalityq-nil'!D1305="")*(OR(COUNTIF(reference!$C$144:$C$155,TRIM(LEFT('hospitalityq-nil'!D1305,FIND(":",'hospitalityq-nil'!D1305&amp;":")-1))&amp;":*")=0,SUMPRODUCT(--(TRIM('hospitalityq-nil'!C6:C1305)=TRIM('hospitalityq-nil'!C1305)),--(TRIM('hospitalityq-nil'!D6:D1305)=TRIM('hospitalityq-nil'!D1305)))&gt;1))</f>
        <v>0</v>
      </c>
    </row>
    <row r="1306" spans="1:4" x14ac:dyDescent="0.25">
      <c r="A1306">
        <f t="shared" si="20"/>
        <v>0</v>
      </c>
      <c r="C1306">
        <f>NOT('hospitalityq-nil'!C1306="")*(OR(NOT(IFERROR(AND(INT('hospitalityq-nil'!C1306)='hospitalityq-nil'!C1306,'hospitalityq-nil'!C1306&gt;=2018-50,'hospitalityq-nil'!C1306&lt;=2018+50),FALSE)),SUMPRODUCT(--(TRIM('hospitalityq-nil'!C6:C1306)=TRIM('hospitalityq-nil'!C1306)),--(TRIM('hospitalityq-nil'!D6:D1306)=TRIM('hospitalityq-nil'!D1306)))&gt;1))</f>
        <v>0</v>
      </c>
      <c r="D1306">
        <f>NOT('hospitalityq-nil'!D1306="")*(OR(COUNTIF(reference!$C$144:$C$155,TRIM(LEFT('hospitalityq-nil'!D1306,FIND(":",'hospitalityq-nil'!D1306&amp;":")-1))&amp;":*")=0,SUMPRODUCT(--(TRIM('hospitalityq-nil'!C6:C1306)=TRIM('hospitalityq-nil'!C1306)),--(TRIM('hospitalityq-nil'!D6:D1306)=TRIM('hospitalityq-nil'!D1306)))&gt;1))</f>
        <v>0</v>
      </c>
    </row>
    <row r="1307" spans="1:4" x14ac:dyDescent="0.25">
      <c r="A1307">
        <f t="shared" si="20"/>
        <v>0</v>
      </c>
      <c r="C1307">
        <f>NOT('hospitalityq-nil'!C1307="")*(OR(NOT(IFERROR(AND(INT('hospitalityq-nil'!C1307)='hospitalityq-nil'!C1307,'hospitalityq-nil'!C1307&gt;=2018-50,'hospitalityq-nil'!C1307&lt;=2018+50),FALSE)),SUMPRODUCT(--(TRIM('hospitalityq-nil'!C6:C1307)=TRIM('hospitalityq-nil'!C1307)),--(TRIM('hospitalityq-nil'!D6:D1307)=TRIM('hospitalityq-nil'!D1307)))&gt;1))</f>
        <v>0</v>
      </c>
      <c r="D1307">
        <f>NOT('hospitalityq-nil'!D1307="")*(OR(COUNTIF(reference!$C$144:$C$155,TRIM(LEFT('hospitalityq-nil'!D1307,FIND(":",'hospitalityq-nil'!D1307&amp;":")-1))&amp;":*")=0,SUMPRODUCT(--(TRIM('hospitalityq-nil'!C6:C1307)=TRIM('hospitalityq-nil'!C1307)),--(TRIM('hospitalityq-nil'!D6:D1307)=TRIM('hospitalityq-nil'!D1307)))&gt;1))</f>
        <v>0</v>
      </c>
    </row>
    <row r="1308" spans="1:4" x14ac:dyDescent="0.25">
      <c r="A1308">
        <f t="shared" si="20"/>
        <v>0</v>
      </c>
      <c r="C1308">
        <f>NOT('hospitalityq-nil'!C1308="")*(OR(NOT(IFERROR(AND(INT('hospitalityq-nil'!C1308)='hospitalityq-nil'!C1308,'hospitalityq-nil'!C1308&gt;=2018-50,'hospitalityq-nil'!C1308&lt;=2018+50),FALSE)),SUMPRODUCT(--(TRIM('hospitalityq-nil'!C6:C1308)=TRIM('hospitalityq-nil'!C1308)),--(TRIM('hospitalityq-nil'!D6:D1308)=TRIM('hospitalityq-nil'!D1308)))&gt;1))</f>
        <v>0</v>
      </c>
      <c r="D1308">
        <f>NOT('hospitalityq-nil'!D1308="")*(OR(COUNTIF(reference!$C$144:$C$155,TRIM(LEFT('hospitalityq-nil'!D1308,FIND(":",'hospitalityq-nil'!D1308&amp;":")-1))&amp;":*")=0,SUMPRODUCT(--(TRIM('hospitalityq-nil'!C6:C1308)=TRIM('hospitalityq-nil'!C1308)),--(TRIM('hospitalityq-nil'!D6:D1308)=TRIM('hospitalityq-nil'!D1308)))&gt;1))</f>
        <v>0</v>
      </c>
    </row>
    <row r="1309" spans="1:4" x14ac:dyDescent="0.25">
      <c r="A1309">
        <f t="shared" si="20"/>
        <v>0</v>
      </c>
      <c r="C1309">
        <f>NOT('hospitalityq-nil'!C1309="")*(OR(NOT(IFERROR(AND(INT('hospitalityq-nil'!C1309)='hospitalityq-nil'!C1309,'hospitalityq-nil'!C1309&gt;=2018-50,'hospitalityq-nil'!C1309&lt;=2018+50),FALSE)),SUMPRODUCT(--(TRIM('hospitalityq-nil'!C6:C1309)=TRIM('hospitalityq-nil'!C1309)),--(TRIM('hospitalityq-nil'!D6:D1309)=TRIM('hospitalityq-nil'!D1309)))&gt;1))</f>
        <v>0</v>
      </c>
      <c r="D1309">
        <f>NOT('hospitalityq-nil'!D1309="")*(OR(COUNTIF(reference!$C$144:$C$155,TRIM(LEFT('hospitalityq-nil'!D1309,FIND(":",'hospitalityq-nil'!D1309&amp;":")-1))&amp;":*")=0,SUMPRODUCT(--(TRIM('hospitalityq-nil'!C6:C1309)=TRIM('hospitalityq-nil'!C1309)),--(TRIM('hospitalityq-nil'!D6:D1309)=TRIM('hospitalityq-nil'!D1309)))&gt;1))</f>
        <v>0</v>
      </c>
    </row>
    <row r="1310" spans="1:4" x14ac:dyDescent="0.25">
      <c r="A1310">
        <f t="shared" si="20"/>
        <v>0</v>
      </c>
      <c r="C1310">
        <f>NOT('hospitalityq-nil'!C1310="")*(OR(NOT(IFERROR(AND(INT('hospitalityq-nil'!C1310)='hospitalityq-nil'!C1310,'hospitalityq-nil'!C1310&gt;=2018-50,'hospitalityq-nil'!C1310&lt;=2018+50),FALSE)),SUMPRODUCT(--(TRIM('hospitalityq-nil'!C6:C1310)=TRIM('hospitalityq-nil'!C1310)),--(TRIM('hospitalityq-nil'!D6:D1310)=TRIM('hospitalityq-nil'!D1310)))&gt;1))</f>
        <v>0</v>
      </c>
      <c r="D1310">
        <f>NOT('hospitalityq-nil'!D1310="")*(OR(COUNTIF(reference!$C$144:$C$155,TRIM(LEFT('hospitalityq-nil'!D1310,FIND(":",'hospitalityq-nil'!D1310&amp;":")-1))&amp;":*")=0,SUMPRODUCT(--(TRIM('hospitalityq-nil'!C6:C1310)=TRIM('hospitalityq-nil'!C1310)),--(TRIM('hospitalityq-nil'!D6:D1310)=TRIM('hospitalityq-nil'!D1310)))&gt;1))</f>
        <v>0</v>
      </c>
    </row>
    <row r="1311" spans="1:4" x14ac:dyDescent="0.25">
      <c r="A1311">
        <f t="shared" si="20"/>
        <v>0</v>
      </c>
      <c r="C1311">
        <f>NOT('hospitalityq-nil'!C1311="")*(OR(NOT(IFERROR(AND(INT('hospitalityq-nil'!C1311)='hospitalityq-nil'!C1311,'hospitalityq-nil'!C1311&gt;=2018-50,'hospitalityq-nil'!C1311&lt;=2018+50),FALSE)),SUMPRODUCT(--(TRIM('hospitalityq-nil'!C6:C1311)=TRIM('hospitalityq-nil'!C1311)),--(TRIM('hospitalityq-nil'!D6:D1311)=TRIM('hospitalityq-nil'!D1311)))&gt;1))</f>
        <v>0</v>
      </c>
      <c r="D1311">
        <f>NOT('hospitalityq-nil'!D1311="")*(OR(COUNTIF(reference!$C$144:$C$155,TRIM(LEFT('hospitalityq-nil'!D1311,FIND(":",'hospitalityq-nil'!D1311&amp;":")-1))&amp;":*")=0,SUMPRODUCT(--(TRIM('hospitalityq-nil'!C6:C1311)=TRIM('hospitalityq-nil'!C1311)),--(TRIM('hospitalityq-nil'!D6:D1311)=TRIM('hospitalityq-nil'!D1311)))&gt;1))</f>
        <v>0</v>
      </c>
    </row>
    <row r="1312" spans="1:4" x14ac:dyDescent="0.25">
      <c r="A1312">
        <f t="shared" si="20"/>
        <v>0</v>
      </c>
      <c r="C1312">
        <f>NOT('hospitalityq-nil'!C1312="")*(OR(NOT(IFERROR(AND(INT('hospitalityq-nil'!C1312)='hospitalityq-nil'!C1312,'hospitalityq-nil'!C1312&gt;=2018-50,'hospitalityq-nil'!C1312&lt;=2018+50),FALSE)),SUMPRODUCT(--(TRIM('hospitalityq-nil'!C6:C1312)=TRIM('hospitalityq-nil'!C1312)),--(TRIM('hospitalityq-nil'!D6:D1312)=TRIM('hospitalityq-nil'!D1312)))&gt;1))</f>
        <v>0</v>
      </c>
      <c r="D1312">
        <f>NOT('hospitalityq-nil'!D1312="")*(OR(COUNTIF(reference!$C$144:$C$155,TRIM(LEFT('hospitalityq-nil'!D1312,FIND(":",'hospitalityq-nil'!D1312&amp;":")-1))&amp;":*")=0,SUMPRODUCT(--(TRIM('hospitalityq-nil'!C6:C1312)=TRIM('hospitalityq-nil'!C1312)),--(TRIM('hospitalityq-nil'!D6:D1312)=TRIM('hospitalityq-nil'!D1312)))&gt;1))</f>
        <v>0</v>
      </c>
    </row>
    <row r="1313" spans="1:4" x14ac:dyDescent="0.25">
      <c r="A1313">
        <f t="shared" si="20"/>
        <v>0</v>
      </c>
      <c r="C1313">
        <f>NOT('hospitalityq-nil'!C1313="")*(OR(NOT(IFERROR(AND(INT('hospitalityq-nil'!C1313)='hospitalityq-nil'!C1313,'hospitalityq-nil'!C1313&gt;=2018-50,'hospitalityq-nil'!C1313&lt;=2018+50),FALSE)),SUMPRODUCT(--(TRIM('hospitalityq-nil'!C6:C1313)=TRIM('hospitalityq-nil'!C1313)),--(TRIM('hospitalityq-nil'!D6:D1313)=TRIM('hospitalityq-nil'!D1313)))&gt;1))</f>
        <v>0</v>
      </c>
      <c r="D1313">
        <f>NOT('hospitalityq-nil'!D1313="")*(OR(COUNTIF(reference!$C$144:$C$155,TRIM(LEFT('hospitalityq-nil'!D1313,FIND(":",'hospitalityq-nil'!D1313&amp;":")-1))&amp;":*")=0,SUMPRODUCT(--(TRIM('hospitalityq-nil'!C6:C1313)=TRIM('hospitalityq-nil'!C1313)),--(TRIM('hospitalityq-nil'!D6:D1313)=TRIM('hospitalityq-nil'!D1313)))&gt;1))</f>
        <v>0</v>
      </c>
    </row>
    <row r="1314" spans="1:4" x14ac:dyDescent="0.25">
      <c r="A1314">
        <f t="shared" si="20"/>
        <v>0</v>
      </c>
      <c r="C1314">
        <f>NOT('hospitalityq-nil'!C1314="")*(OR(NOT(IFERROR(AND(INT('hospitalityq-nil'!C1314)='hospitalityq-nil'!C1314,'hospitalityq-nil'!C1314&gt;=2018-50,'hospitalityq-nil'!C1314&lt;=2018+50),FALSE)),SUMPRODUCT(--(TRIM('hospitalityq-nil'!C6:C1314)=TRIM('hospitalityq-nil'!C1314)),--(TRIM('hospitalityq-nil'!D6:D1314)=TRIM('hospitalityq-nil'!D1314)))&gt;1))</f>
        <v>0</v>
      </c>
      <c r="D1314">
        <f>NOT('hospitalityq-nil'!D1314="")*(OR(COUNTIF(reference!$C$144:$C$155,TRIM(LEFT('hospitalityq-nil'!D1314,FIND(":",'hospitalityq-nil'!D1314&amp;":")-1))&amp;":*")=0,SUMPRODUCT(--(TRIM('hospitalityq-nil'!C6:C1314)=TRIM('hospitalityq-nil'!C1314)),--(TRIM('hospitalityq-nil'!D6:D1314)=TRIM('hospitalityq-nil'!D1314)))&gt;1))</f>
        <v>0</v>
      </c>
    </row>
    <row r="1315" spans="1:4" x14ac:dyDescent="0.25">
      <c r="A1315">
        <f t="shared" si="20"/>
        <v>0</v>
      </c>
      <c r="C1315">
        <f>NOT('hospitalityq-nil'!C1315="")*(OR(NOT(IFERROR(AND(INT('hospitalityq-nil'!C1315)='hospitalityq-nil'!C1315,'hospitalityq-nil'!C1315&gt;=2018-50,'hospitalityq-nil'!C1315&lt;=2018+50),FALSE)),SUMPRODUCT(--(TRIM('hospitalityq-nil'!C6:C1315)=TRIM('hospitalityq-nil'!C1315)),--(TRIM('hospitalityq-nil'!D6:D1315)=TRIM('hospitalityq-nil'!D1315)))&gt;1))</f>
        <v>0</v>
      </c>
      <c r="D1315">
        <f>NOT('hospitalityq-nil'!D1315="")*(OR(COUNTIF(reference!$C$144:$C$155,TRIM(LEFT('hospitalityq-nil'!D1315,FIND(":",'hospitalityq-nil'!D1315&amp;":")-1))&amp;":*")=0,SUMPRODUCT(--(TRIM('hospitalityq-nil'!C6:C1315)=TRIM('hospitalityq-nil'!C1315)),--(TRIM('hospitalityq-nil'!D6:D1315)=TRIM('hospitalityq-nil'!D1315)))&gt;1))</f>
        <v>0</v>
      </c>
    </row>
    <row r="1316" spans="1:4" x14ac:dyDescent="0.25">
      <c r="A1316">
        <f t="shared" si="20"/>
        <v>0</v>
      </c>
      <c r="C1316">
        <f>NOT('hospitalityq-nil'!C1316="")*(OR(NOT(IFERROR(AND(INT('hospitalityq-nil'!C1316)='hospitalityq-nil'!C1316,'hospitalityq-nil'!C1316&gt;=2018-50,'hospitalityq-nil'!C1316&lt;=2018+50),FALSE)),SUMPRODUCT(--(TRIM('hospitalityq-nil'!C6:C1316)=TRIM('hospitalityq-nil'!C1316)),--(TRIM('hospitalityq-nil'!D6:D1316)=TRIM('hospitalityq-nil'!D1316)))&gt;1))</f>
        <v>0</v>
      </c>
      <c r="D1316">
        <f>NOT('hospitalityq-nil'!D1316="")*(OR(COUNTIF(reference!$C$144:$C$155,TRIM(LEFT('hospitalityq-nil'!D1316,FIND(":",'hospitalityq-nil'!D1316&amp;":")-1))&amp;":*")=0,SUMPRODUCT(--(TRIM('hospitalityq-nil'!C6:C1316)=TRIM('hospitalityq-nil'!C1316)),--(TRIM('hospitalityq-nil'!D6:D1316)=TRIM('hospitalityq-nil'!D1316)))&gt;1))</f>
        <v>0</v>
      </c>
    </row>
    <row r="1317" spans="1:4" x14ac:dyDescent="0.25">
      <c r="A1317">
        <f t="shared" si="20"/>
        <v>0</v>
      </c>
      <c r="C1317">
        <f>NOT('hospitalityq-nil'!C1317="")*(OR(NOT(IFERROR(AND(INT('hospitalityq-nil'!C1317)='hospitalityq-nil'!C1317,'hospitalityq-nil'!C1317&gt;=2018-50,'hospitalityq-nil'!C1317&lt;=2018+50),FALSE)),SUMPRODUCT(--(TRIM('hospitalityq-nil'!C6:C1317)=TRIM('hospitalityq-nil'!C1317)),--(TRIM('hospitalityq-nil'!D6:D1317)=TRIM('hospitalityq-nil'!D1317)))&gt;1))</f>
        <v>0</v>
      </c>
      <c r="D1317">
        <f>NOT('hospitalityq-nil'!D1317="")*(OR(COUNTIF(reference!$C$144:$C$155,TRIM(LEFT('hospitalityq-nil'!D1317,FIND(":",'hospitalityq-nil'!D1317&amp;":")-1))&amp;":*")=0,SUMPRODUCT(--(TRIM('hospitalityq-nil'!C6:C1317)=TRIM('hospitalityq-nil'!C1317)),--(TRIM('hospitalityq-nil'!D6:D1317)=TRIM('hospitalityq-nil'!D1317)))&gt;1))</f>
        <v>0</v>
      </c>
    </row>
    <row r="1318" spans="1:4" x14ac:dyDescent="0.25">
      <c r="A1318">
        <f t="shared" si="20"/>
        <v>0</v>
      </c>
      <c r="C1318">
        <f>NOT('hospitalityq-nil'!C1318="")*(OR(NOT(IFERROR(AND(INT('hospitalityq-nil'!C1318)='hospitalityq-nil'!C1318,'hospitalityq-nil'!C1318&gt;=2018-50,'hospitalityq-nil'!C1318&lt;=2018+50),FALSE)),SUMPRODUCT(--(TRIM('hospitalityq-nil'!C6:C1318)=TRIM('hospitalityq-nil'!C1318)),--(TRIM('hospitalityq-nil'!D6:D1318)=TRIM('hospitalityq-nil'!D1318)))&gt;1))</f>
        <v>0</v>
      </c>
      <c r="D1318">
        <f>NOT('hospitalityq-nil'!D1318="")*(OR(COUNTIF(reference!$C$144:$C$155,TRIM(LEFT('hospitalityq-nil'!D1318,FIND(":",'hospitalityq-nil'!D1318&amp;":")-1))&amp;":*")=0,SUMPRODUCT(--(TRIM('hospitalityq-nil'!C6:C1318)=TRIM('hospitalityq-nil'!C1318)),--(TRIM('hospitalityq-nil'!D6:D1318)=TRIM('hospitalityq-nil'!D1318)))&gt;1))</f>
        <v>0</v>
      </c>
    </row>
    <row r="1319" spans="1:4" x14ac:dyDescent="0.25">
      <c r="A1319">
        <f t="shared" si="20"/>
        <v>0</v>
      </c>
      <c r="C1319">
        <f>NOT('hospitalityq-nil'!C1319="")*(OR(NOT(IFERROR(AND(INT('hospitalityq-nil'!C1319)='hospitalityq-nil'!C1319,'hospitalityq-nil'!C1319&gt;=2018-50,'hospitalityq-nil'!C1319&lt;=2018+50),FALSE)),SUMPRODUCT(--(TRIM('hospitalityq-nil'!C6:C1319)=TRIM('hospitalityq-nil'!C1319)),--(TRIM('hospitalityq-nil'!D6:D1319)=TRIM('hospitalityq-nil'!D1319)))&gt;1))</f>
        <v>0</v>
      </c>
      <c r="D1319">
        <f>NOT('hospitalityq-nil'!D1319="")*(OR(COUNTIF(reference!$C$144:$C$155,TRIM(LEFT('hospitalityq-nil'!D1319,FIND(":",'hospitalityq-nil'!D1319&amp;":")-1))&amp;":*")=0,SUMPRODUCT(--(TRIM('hospitalityq-nil'!C6:C1319)=TRIM('hospitalityq-nil'!C1319)),--(TRIM('hospitalityq-nil'!D6:D1319)=TRIM('hospitalityq-nil'!D1319)))&gt;1))</f>
        <v>0</v>
      </c>
    </row>
    <row r="1320" spans="1:4" x14ac:dyDescent="0.25">
      <c r="A1320">
        <f t="shared" si="20"/>
        <v>0</v>
      </c>
      <c r="C1320">
        <f>NOT('hospitalityq-nil'!C1320="")*(OR(NOT(IFERROR(AND(INT('hospitalityq-nil'!C1320)='hospitalityq-nil'!C1320,'hospitalityq-nil'!C1320&gt;=2018-50,'hospitalityq-nil'!C1320&lt;=2018+50),FALSE)),SUMPRODUCT(--(TRIM('hospitalityq-nil'!C6:C1320)=TRIM('hospitalityq-nil'!C1320)),--(TRIM('hospitalityq-nil'!D6:D1320)=TRIM('hospitalityq-nil'!D1320)))&gt;1))</f>
        <v>0</v>
      </c>
      <c r="D1320">
        <f>NOT('hospitalityq-nil'!D1320="")*(OR(COUNTIF(reference!$C$144:$C$155,TRIM(LEFT('hospitalityq-nil'!D1320,FIND(":",'hospitalityq-nil'!D1320&amp;":")-1))&amp;":*")=0,SUMPRODUCT(--(TRIM('hospitalityq-nil'!C6:C1320)=TRIM('hospitalityq-nil'!C1320)),--(TRIM('hospitalityq-nil'!D6:D1320)=TRIM('hospitalityq-nil'!D1320)))&gt;1))</f>
        <v>0</v>
      </c>
    </row>
    <row r="1321" spans="1:4" x14ac:dyDescent="0.25">
      <c r="A1321">
        <f t="shared" si="20"/>
        <v>0</v>
      </c>
      <c r="C1321">
        <f>NOT('hospitalityq-nil'!C1321="")*(OR(NOT(IFERROR(AND(INT('hospitalityq-nil'!C1321)='hospitalityq-nil'!C1321,'hospitalityq-nil'!C1321&gt;=2018-50,'hospitalityq-nil'!C1321&lt;=2018+50),FALSE)),SUMPRODUCT(--(TRIM('hospitalityq-nil'!C6:C1321)=TRIM('hospitalityq-nil'!C1321)),--(TRIM('hospitalityq-nil'!D6:D1321)=TRIM('hospitalityq-nil'!D1321)))&gt;1))</f>
        <v>0</v>
      </c>
      <c r="D1321">
        <f>NOT('hospitalityq-nil'!D1321="")*(OR(COUNTIF(reference!$C$144:$C$155,TRIM(LEFT('hospitalityq-nil'!D1321,FIND(":",'hospitalityq-nil'!D1321&amp;":")-1))&amp;":*")=0,SUMPRODUCT(--(TRIM('hospitalityq-nil'!C6:C1321)=TRIM('hospitalityq-nil'!C1321)),--(TRIM('hospitalityq-nil'!D6:D1321)=TRIM('hospitalityq-nil'!D1321)))&gt;1))</f>
        <v>0</v>
      </c>
    </row>
    <row r="1322" spans="1:4" x14ac:dyDescent="0.25">
      <c r="A1322">
        <f t="shared" si="20"/>
        <v>0</v>
      </c>
      <c r="C1322">
        <f>NOT('hospitalityq-nil'!C1322="")*(OR(NOT(IFERROR(AND(INT('hospitalityq-nil'!C1322)='hospitalityq-nil'!C1322,'hospitalityq-nil'!C1322&gt;=2018-50,'hospitalityq-nil'!C1322&lt;=2018+50),FALSE)),SUMPRODUCT(--(TRIM('hospitalityq-nil'!C6:C1322)=TRIM('hospitalityq-nil'!C1322)),--(TRIM('hospitalityq-nil'!D6:D1322)=TRIM('hospitalityq-nil'!D1322)))&gt;1))</f>
        <v>0</v>
      </c>
      <c r="D1322">
        <f>NOT('hospitalityq-nil'!D1322="")*(OR(COUNTIF(reference!$C$144:$C$155,TRIM(LEFT('hospitalityq-nil'!D1322,FIND(":",'hospitalityq-nil'!D1322&amp;":")-1))&amp;":*")=0,SUMPRODUCT(--(TRIM('hospitalityq-nil'!C6:C1322)=TRIM('hospitalityq-nil'!C1322)),--(TRIM('hospitalityq-nil'!D6:D1322)=TRIM('hospitalityq-nil'!D1322)))&gt;1))</f>
        <v>0</v>
      </c>
    </row>
    <row r="1323" spans="1:4" x14ac:dyDescent="0.25">
      <c r="A1323">
        <f t="shared" si="20"/>
        <v>0</v>
      </c>
      <c r="C1323">
        <f>NOT('hospitalityq-nil'!C1323="")*(OR(NOT(IFERROR(AND(INT('hospitalityq-nil'!C1323)='hospitalityq-nil'!C1323,'hospitalityq-nil'!C1323&gt;=2018-50,'hospitalityq-nil'!C1323&lt;=2018+50),FALSE)),SUMPRODUCT(--(TRIM('hospitalityq-nil'!C6:C1323)=TRIM('hospitalityq-nil'!C1323)),--(TRIM('hospitalityq-nil'!D6:D1323)=TRIM('hospitalityq-nil'!D1323)))&gt;1))</f>
        <v>0</v>
      </c>
      <c r="D1323">
        <f>NOT('hospitalityq-nil'!D1323="")*(OR(COUNTIF(reference!$C$144:$C$155,TRIM(LEFT('hospitalityq-nil'!D1323,FIND(":",'hospitalityq-nil'!D1323&amp;":")-1))&amp;":*")=0,SUMPRODUCT(--(TRIM('hospitalityq-nil'!C6:C1323)=TRIM('hospitalityq-nil'!C1323)),--(TRIM('hospitalityq-nil'!D6:D1323)=TRIM('hospitalityq-nil'!D1323)))&gt;1))</f>
        <v>0</v>
      </c>
    </row>
    <row r="1324" spans="1:4" x14ac:dyDescent="0.25">
      <c r="A1324">
        <f t="shared" si="20"/>
        <v>0</v>
      </c>
      <c r="C1324">
        <f>NOT('hospitalityq-nil'!C1324="")*(OR(NOT(IFERROR(AND(INT('hospitalityq-nil'!C1324)='hospitalityq-nil'!C1324,'hospitalityq-nil'!C1324&gt;=2018-50,'hospitalityq-nil'!C1324&lt;=2018+50),FALSE)),SUMPRODUCT(--(TRIM('hospitalityq-nil'!C6:C1324)=TRIM('hospitalityq-nil'!C1324)),--(TRIM('hospitalityq-nil'!D6:D1324)=TRIM('hospitalityq-nil'!D1324)))&gt;1))</f>
        <v>0</v>
      </c>
      <c r="D1324">
        <f>NOT('hospitalityq-nil'!D1324="")*(OR(COUNTIF(reference!$C$144:$C$155,TRIM(LEFT('hospitalityq-nil'!D1324,FIND(":",'hospitalityq-nil'!D1324&amp;":")-1))&amp;":*")=0,SUMPRODUCT(--(TRIM('hospitalityq-nil'!C6:C1324)=TRIM('hospitalityq-nil'!C1324)),--(TRIM('hospitalityq-nil'!D6:D1324)=TRIM('hospitalityq-nil'!D1324)))&gt;1))</f>
        <v>0</v>
      </c>
    </row>
    <row r="1325" spans="1:4" x14ac:dyDescent="0.25">
      <c r="A1325">
        <f t="shared" si="20"/>
        <v>0</v>
      </c>
      <c r="C1325">
        <f>NOT('hospitalityq-nil'!C1325="")*(OR(NOT(IFERROR(AND(INT('hospitalityq-nil'!C1325)='hospitalityq-nil'!C1325,'hospitalityq-nil'!C1325&gt;=2018-50,'hospitalityq-nil'!C1325&lt;=2018+50),FALSE)),SUMPRODUCT(--(TRIM('hospitalityq-nil'!C6:C1325)=TRIM('hospitalityq-nil'!C1325)),--(TRIM('hospitalityq-nil'!D6:D1325)=TRIM('hospitalityq-nil'!D1325)))&gt;1))</f>
        <v>0</v>
      </c>
      <c r="D1325">
        <f>NOT('hospitalityq-nil'!D1325="")*(OR(COUNTIF(reference!$C$144:$C$155,TRIM(LEFT('hospitalityq-nil'!D1325,FIND(":",'hospitalityq-nil'!D1325&amp;":")-1))&amp;":*")=0,SUMPRODUCT(--(TRIM('hospitalityq-nil'!C6:C1325)=TRIM('hospitalityq-nil'!C1325)),--(TRIM('hospitalityq-nil'!D6:D1325)=TRIM('hospitalityq-nil'!D1325)))&gt;1))</f>
        <v>0</v>
      </c>
    </row>
    <row r="1326" spans="1:4" x14ac:dyDescent="0.25">
      <c r="A1326">
        <f t="shared" si="20"/>
        <v>0</v>
      </c>
      <c r="C1326">
        <f>NOT('hospitalityq-nil'!C1326="")*(OR(NOT(IFERROR(AND(INT('hospitalityq-nil'!C1326)='hospitalityq-nil'!C1326,'hospitalityq-nil'!C1326&gt;=2018-50,'hospitalityq-nil'!C1326&lt;=2018+50),FALSE)),SUMPRODUCT(--(TRIM('hospitalityq-nil'!C6:C1326)=TRIM('hospitalityq-nil'!C1326)),--(TRIM('hospitalityq-nil'!D6:D1326)=TRIM('hospitalityq-nil'!D1326)))&gt;1))</f>
        <v>0</v>
      </c>
      <c r="D1326">
        <f>NOT('hospitalityq-nil'!D1326="")*(OR(COUNTIF(reference!$C$144:$C$155,TRIM(LEFT('hospitalityq-nil'!D1326,FIND(":",'hospitalityq-nil'!D1326&amp;":")-1))&amp;":*")=0,SUMPRODUCT(--(TRIM('hospitalityq-nil'!C6:C1326)=TRIM('hospitalityq-nil'!C1326)),--(TRIM('hospitalityq-nil'!D6:D1326)=TRIM('hospitalityq-nil'!D1326)))&gt;1))</f>
        <v>0</v>
      </c>
    </row>
    <row r="1327" spans="1:4" x14ac:dyDescent="0.25">
      <c r="A1327">
        <f t="shared" si="20"/>
        <v>0</v>
      </c>
      <c r="C1327">
        <f>NOT('hospitalityq-nil'!C1327="")*(OR(NOT(IFERROR(AND(INT('hospitalityq-nil'!C1327)='hospitalityq-nil'!C1327,'hospitalityq-nil'!C1327&gt;=2018-50,'hospitalityq-nil'!C1327&lt;=2018+50),FALSE)),SUMPRODUCT(--(TRIM('hospitalityq-nil'!C6:C1327)=TRIM('hospitalityq-nil'!C1327)),--(TRIM('hospitalityq-nil'!D6:D1327)=TRIM('hospitalityq-nil'!D1327)))&gt;1))</f>
        <v>0</v>
      </c>
      <c r="D1327">
        <f>NOT('hospitalityq-nil'!D1327="")*(OR(COUNTIF(reference!$C$144:$C$155,TRIM(LEFT('hospitalityq-nil'!D1327,FIND(":",'hospitalityq-nil'!D1327&amp;":")-1))&amp;":*")=0,SUMPRODUCT(--(TRIM('hospitalityq-nil'!C6:C1327)=TRIM('hospitalityq-nil'!C1327)),--(TRIM('hospitalityq-nil'!D6:D1327)=TRIM('hospitalityq-nil'!D1327)))&gt;1))</f>
        <v>0</v>
      </c>
    </row>
    <row r="1328" spans="1:4" x14ac:dyDescent="0.25">
      <c r="A1328">
        <f t="shared" si="20"/>
        <v>0</v>
      </c>
      <c r="C1328">
        <f>NOT('hospitalityq-nil'!C1328="")*(OR(NOT(IFERROR(AND(INT('hospitalityq-nil'!C1328)='hospitalityq-nil'!C1328,'hospitalityq-nil'!C1328&gt;=2018-50,'hospitalityq-nil'!C1328&lt;=2018+50),FALSE)),SUMPRODUCT(--(TRIM('hospitalityq-nil'!C6:C1328)=TRIM('hospitalityq-nil'!C1328)),--(TRIM('hospitalityq-nil'!D6:D1328)=TRIM('hospitalityq-nil'!D1328)))&gt;1))</f>
        <v>0</v>
      </c>
      <c r="D1328">
        <f>NOT('hospitalityq-nil'!D1328="")*(OR(COUNTIF(reference!$C$144:$C$155,TRIM(LEFT('hospitalityq-nil'!D1328,FIND(":",'hospitalityq-nil'!D1328&amp;":")-1))&amp;":*")=0,SUMPRODUCT(--(TRIM('hospitalityq-nil'!C6:C1328)=TRIM('hospitalityq-nil'!C1328)),--(TRIM('hospitalityq-nil'!D6:D1328)=TRIM('hospitalityq-nil'!D1328)))&gt;1))</f>
        <v>0</v>
      </c>
    </row>
    <row r="1329" spans="1:4" x14ac:dyDescent="0.25">
      <c r="A1329">
        <f t="shared" si="20"/>
        <v>0</v>
      </c>
      <c r="C1329">
        <f>NOT('hospitalityq-nil'!C1329="")*(OR(NOT(IFERROR(AND(INT('hospitalityq-nil'!C1329)='hospitalityq-nil'!C1329,'hospitalityq-nil'!C1329&gt;=2018-50,'hospitalityq-nil'!C1329&lt;=2018+50),FALSE)),SUMPRODUCT(--(TRIM('hospitalityq-nil'!C6:C1329)=TRIM('hospitalityq-nil'!C1329)),--(TRIM('hospitalityq-nil'!D6:D1329)=TRIM('hospitalityq-nil'!D1329)))&gt;1))</f>
        <v>0</v>
      </c>
      <c r="D1329">
        <f>NOT('hospitalityq-nil'!D1329="")*(OR(COUNTIF(reference!$C$144:$C$155,TRIM(LEFT('hospitalityq-nil'!D1329,FIND(":",'hospitalityq-nil'!D1329&amp;":")-1))&amp;":*")=0,SUMPRODUCT(--(TRIM('hospitalityq-nil'!C6:C1329)=TRIM('hospitalityq-nil'!C1329)),--(TRIM('hospitalityq-nil'!D6:D1329)=TRIM('hospitalityq-nil'!D1329)))&gt;1))</f>
        <v>0</v>
      </c>
    </row>
    <row r="1330" spans="1:4" x14ac:dyDescent="0.25">
      <c r="A1330">
        <f t="shared" si="20"/>
        <v>0</v>
      </c>
      <c r="C1330">
        <f>NOT('hospitalityq-nil'!C1330="")*(OR(NOT(IFERROR(AND(INT('hospitalityq-nil'!C1330)='hospitalityq-nil'!C1330,'hospitalityq-nil'!C1330&gt;=2018-50,'hospitalityq-nil'!C1330&lt;=2018+50),FALSE)),SUMPRODUCT(--(TRIM('hospitalityq-nil'!C6:C1330)=TRIM('hospitalityq-nil'!C1330)),--(TRIM('hospitalityq-nil'!D6:D1330)=TRIM('hospitalityq-nil'!D1330)))&gt;1))</f>
        <v>0</v>
      </c>
      <c r="D1330">
        <f>NOT('hospitalityq-nil'!D1330="")*(OR(COUNTIF(reference!$C$144:$C$155,TRIM(LEFT('hospitalityq-nil'!D1330,FIND(":",'hospitalityq-nil'!D1330&amp;":")-1))&amp;":*")=0,SUMPRODUCT(--(TRIM('hospitalityq-nil'!C6:C1330)=TRIM('hospitalityq-nil'!C1330)),--(TRIM('hospitalityq-nil'!D6:D1330)=TRIM('hospitalityq-nil'!D1330)))&gt;1))</f>
        <v>0</v>
      </c>
    </row>
    <row r="1331" spans="1:4" x14ac:dyDescent="0.25">
      <c r="A1331">
        <f t="shared" si="20"/>
        <v>0</v>
      </c>
      <c r="C1331">
        <f>NOT('hospitalityq-nil'!C1331="")*(OR(NOT(IFERROR(AND(INT('hospitalityq-nil'!C1331)='hospitalityq-nil'!C1331,'hospitalityq-nil'!C1331&gt;=2018-50,'hospitalityq-nil'!C1331&lt;=2018+50),FALSE)),SUMPRODUCT(--(TRIM('hospitalityq-nil'!C6:C1331)=TRIM('hospitalityq-nil'!C1331)),--(TRIM('hospitalityq-nil'!D6:D1331)=TRIM('hospitalityq-nil'!D1331)))&gt;1))</f>
        <v>0</v>
      </c>
      <c r="D1331">
        <f>NOT('hospitalityq-nil'!D1331="")*(OR(COUNTIF(reference!$C$144:$C$155,TRIM(LEFT('hospitalityq-nil'!D1331,FIND(":",'hospitalityq-nil'!D1331&amp;":")-1))&amp;":*")=0,SUMPRODUCT(--(TRIM('hospitalityq-nil'!C6:C1331)=TRIM('hospitalityq-nil'!C1331)),--(TRIM('hospitalityq-nil'!D6:D1331)=TRIM('hospitalityq-nil'!D1331)))&gt;1))</f>
        <v>0</v>
      </c>
    </row>
    <row r="1332" spans="1:4" x14ac:dyDescent="0.25">
      <c r="A1332">
        <f t="shared" si="20"/>
        <v>0</v>
      </c>
      <c r="C1332">
        <f>NOT('hospitalityq-nil'!C1332="")*(OR(NOT(IFERROR(AND(INT('hospitalityq-nil'!C1332)='hospitalityq-nil'!C1332,'hospitalityq-nil'!C1332&gt;=2018-50,'hospitalityq-nil'!C1332&lt;=2018+50),FALSE)),SUMPRODUCT(--(TRIM('hospitalityq-nil'!C6:C1332)=TRIM('hospitalityq-nil'!C1332)),--(TRIM('hospitalityq-nil'!D6:D1332)=TRIM('hospitalityq-nil'!D1332)))&gt;1))</f>
        <v>0</v>
      </c>
      <c r="D1332">
        <f>NOT('hospitalityq-nil'!D1332="")*(OR(COUNTIF(reference!$C$144:$C$155,TRIM(LEFT('hospitalityq-nil'!D1332,FIND(":",'hospitalityq-nil'!D1332&amp;":")-1))&amp;":*")=0,SUMPRODUCT(--(TRIM('hospitalityq-nil'!C6:C1332)=TRIM('hospitalityq-nil'!C1332)),--(TRIM('hospitalityq-nil'!D6:D1332)=TRIM('hospitalityq-nil'!D1332)))&gt;1))</f>
        <v>0</v>
      </c>
    </row>
    <row r="1333" spans="1:4" x14ac:dyDescent="0.25">
      <c r="A1333">
        <f t="shared" si="20"/>
        <v>0</v>
      </c>
      <c r="C1333">
        <f>NOT('hospitalityq-nil'!C1333="")*(OR(NOT(IFERROR(AND(INT('hospitalityq-nil'!C1333)='hospitalityq-nil'!C1333,'hospitalityq-nil'!C1333&gt;=2018-50,'hospitalityq-nil'!C1333&lt;=2018+50),FALSE)),SUMPRODUCT(--(TRIM('hospitalityq-nil'!C6:C1333)=TRIM('hospitalityq-nil'!C1333)),--(TRIM('hospitalityq-nil'!D6:D1333)=TRIM('hospitalityq-nil'!D1333)))&gt;1))</f>
        <v>0</v>
      </c>
      <c r="D1333">
        <f>NOT('hospitalityq-nil'!D1333="")*(OR(COUNTIF(reference!$C$144:$C$155,TRIM(LEFT('hospitalityq-nil'!D1333,FIND(":",'hospitalityq-nil'!D1333&amp;":")-1))&amp;":*")=0,SUMPRODUCT(--(TRIM('hospitalityq-nil'!C6:C1333)=TRIM('hospitalityq-nil'!C1333)),--(TRIM('hospitalityq-nil'!D6:D1333)=TRIM('hospitalityq-nil'!D1333)))&gt;1))</f>
        <v>0</v>
      </c>
    </row>
    <row r="1334" spans="1:4" x14ac:dyDescent="0.25">
      <c r="A1334">
        <f t="shared" si="20"/>
        <v>0</v>
      </c>
      <c r="C1334">
        <f>NOT('hospitalityq-nil'!C1334="")*(OR(NOT(IFERROR(AND(INT('hospitalityq-nil'!C1334)='hospitalityq-nil'!C1334,'hospitalityq-nil'!C1334&gt;=2018-50,'hospitalityq-nil'!C1334&lt;=2018+50),FALSE)),SUMPRODUCT(--(TRIM('hospitalityq-nil'!C6:C1334)=TRIM('hospitalityq-nil'!C1334)),--(TRIM('hospitalityq-nil'!D6:D1334)=TRIM('hospitalityq-nil'!D1334)))&gt;1))</f>
        <v>0</v>
      </c>
      <c r="D1334">
        <f>NOT('hospitalityq-nil'!D1334="")*(OR(COUNTIF(reference!$C$144:$C$155,TRIM(LEFT('hospitalityq-nil'!D1334,FIND(":",'hospitalityq-nil'!D1334&amp;":")-1))&amp;":*")=0,SUMPRODUCT(--(TRIM('hospitalityq-nil'!C6:C1334)=TRIM('hospitalityq-nil'!C1334)),--(TRIM('hospitalityq-nil'!D6:D1334)=TRIM('hospitalityq-nil'!D1334)))&gt;1))</f>
        <v>0</v>
      </c>
    </row>
    <row r="1335" spans="1:4" x14ac:dyDescent="0.25">
      <c r="A1335">
        <f t="shared" si="20"/>
        <v>0</v>
      </c>
      <c r="C1335">
        <f>NOT('hospitalityq-nil'!C1335="")*(OR(NOT(IFERROR(AND(INT('hospitalityq-nil'!C1335)='hospitalityq-nil'!C1335,'hospitalityq-nil'!C1335&gt;=2018-50,'hospitalityq-nil'!C1335&lt;=2018+50),FALSE)),SUMPRODUCT(--(TRIM('hospitalityq-nil'!C6:C1335)=TRIM('hospitalityq-nil'!C1335)),--(TRIM('hospitalityq-nil'!D6:D1335)=TRIM('hospitalityq-nil'!D1335)))&gt;1))</f>
        <v>0</v>
      </c>
      <c r="D1335">
        <f>NOT('hospitalityq-nil'!D1335="")*(OR(COUNTIF(reference!$C$144:$C$155,TRIM(LEFT('hospitalityq-nil'!D1335,FIND(":",'hospitalityq-nil'!D1335&amp;":")-1))&amp;":*")=0,SUMPRODUCT(--(TRIM('hospitalityq-nil'!C6:C1335)=TRIM('hospitalityq-nil'!C1335)),--(TRIM('hospitalityq-nil'!D6:D1335)=TRIM('hospitalityq-nil'!D1335)))&gt;1))</f>
        <v>0</v>
      </c>
    </row>
    <row r="1336" spans="1:4" x14ac:dyDescent="0.25">
      <c r="A1336">
        <f t="shared" si="20"/>
        <v>0</v>
      </c>
      <c r="C1336">
        <f>NOT('hospitalityq-nil'!C1336="")*(OR(NOT(IFERROR(AND(INT('hospitalityq-nil'!C1336)='hospitalityq-nil'!C1336,'hospitalityq-nil'!C1336&gt;=2018-50,'hospitalityq-nil'!C1336&lt;=2018+50),FALSE)),SUMPRODUCT(--(TRIM('hospitalityq-nil'!C6:C1336)=TRIM('hospitalityq-nil'!C1336)),--(TRIM('hospitalityq-nil'!D6:D1336)=TRIM('hospitalityq-nil'!D1336)))&gt;1))</f>
        <v>0</v>
      </c>
      <c r="D1336">
        <f>NOT('hospitalityq-nil'!D1336="")*(OR(COUNTIF(reference!$C$144:$C$155,TRIM(LEFT('hospitalityq-nil'!D1336,FIND(":",'hospitalityq-nil'!D1336&amp;":")-1))&amp;":*")=0,SUMPRODUCT(--(TRIM('hospitalityq-nil'!C6:C1336)=TRIM('hospitalityq-nil'!C1336)),--(TRIM('hospitalityq-nil'!D6:D1336)=TRIM('hospitalityq-nil'!D1336)))&gt;1))</f>
        <v>0</v>
      </c>
    </row>
    <row r="1337" spans="1:4" x14ac:dyDescent="0.25">
      <c r="A1337">
        <f t="shared" si="20"/>
        <v>0</v>
      </c>
      <c r="C1337">
        <f>NOT('hospitalityq-nil'!C1337="")*(OR(NOT(IFERROR(AND(INT('hospitalityq-nil'!C1337)='hospitalityq-nil'!C1337,'hospitalityq-nil'!C1337&gt;=2018-50,'hospitalityq-nil'!C1337&lt;=2018+50),FALSE)),SUMPRODUCT(--(TRIM('hospitalityq-nil'!C6:C1337)=TRIM('hospitalityq-nil'!C1337)),--(TRIM('hospitalityq-nil'!D6:D1337)=TRIM('hospitalityq-nil'!D1337)))&gt;1))</f>
        <v>0</v>
      </c>
      <c r="D1337">
        <f>NOT('hospitalityq-nil'!D1337="")*(OR(COUNTIF(reference!$C$144:$C$155,TRIM(LEFT('hospitalityq-nil'!D1337,FIND(":",'hospitalityq-nil'!D1337&amp;":")-1))&amp;":*")=0,SUMPRODUCT(--(TRIM('hospitalityq-nil'!C6:C1337)=TRIM('hospitalityq-nil'!C1337)),--(TRIM('hospitalityq-nil'!D6:D1337)=TRIM('hospitalityq-nil'!D1337)))&gt;1))</f>
        <v>0</v>
      </c>
    </row>
    <row r="1338" spans="1:4" x14ac:dyDescent="0.25">
      <c r="A1338">
        <f t="shared" si="20"/>
        <v>0</v>
      </c>
      <c r="C1338">
        <f>NOT('hospitalityq-nil'!C1338="")*(OR(NOT(IFERROR(AND(INT('hospitalityq-nil'!C1338)='hospitalityq-nil'!C1338,'hospitalityq-nil'!C1338&gt;=2018-50,'hospitalityq-nil'!C1338&lt;=2018+50),FALSE)),SUMPRODUCT(--(TRIM('hospitalityq-nil'!C6:C1338)=TRIM('hospitalityq-nil'!C1338)),--(TRIM('hospitalityq-nil'!D6:D1338)=TRIM('hospitalityq-nil'!D1338)))&gt;1))</f>
        <v>0</v>
      </c>
      <c r="D1338">
        <f>NOT('hospitalityq-nil'!D1338="")*(OR(COUNTIF(reference!$C$144:$C$155,TRIM(LEFT('hospitalityq-nil'!D1338,FIND(":",'hospitalityq-nil'!D1338&amp;":")-1))&amp;":*")=0,SUMPRODUCT(--(TRIM('hospitalityq-nil'!C6:C1338)=TRIM('hospitalityq-nil'!C1338)),--(TRIM('hospitalityq-nil'!D6:D1338)=TRIM('hospitalityq-nil'!D1338)))&gt;1))</f>
        <v>0</v>
      </c>
    </row>
    <row r="1339" spans="1:4" x14ac:dyDescent="0.25">
      <c r="A1339">
        <f t="shared" si="20"/>
        <v>0</v>
      </c>
      <c r="C1339">
        <f>NOT('hospitalityq-nil'!C1339="")*(OR(NOT(IFERROR(AND(INT('hospitalityq-nil'!C1339)='hospitalityq-nil'!C1339,'hospitalityq-nil'!C1339&gt;=2018-50,'hospitalityq-nil'!C1339&lt;=2018+50),FALSE)),SUMPRODUCT(--(TRIM('hospitalityq-nil'!C6:C1339)=TRIM('hospitalityq-nil'!C1339)),--(TRIM('hospitalityq-nil'!D6:D1339)=TRIM('hospitalityq-nil'!D1339)))&gt;1))</f>
        <v>0</v>
      </c>
      <c r="D1339">
        <f>NOT('hospitalityq-nil'!D1339="")*(OR(COUNTIF(reference!$C$144:$C$155,TRIM(LEFT('hospitalityq-nil'!D1339,FIND(":",'hospitalityq-nil'!D1339&amp;":")-1))&amp;":*")=0,SUMPRODUCT(--(TRIM('hospitalityq-nil'!C6:C1339)=TRIM('hospitalityq-nil'!C1339)),--(TRIM('hospitalityq-nil'!D6:D1339)=TRIM('hospitalityq-nil'!D1339)))&gt;1))</f>
        <v>0</v>
      </c>
    </row>
    <row r="1340" spans="1:4" x14ac:dyDescent="0.25">
      <c r="A1340">
        <f t="shared" si="20"/>
        <v>0</v>
      </c>
      <c r="C1340">
        <f>NOT('hospitalityq-nil'!C1340="")*(OR(NOT(IFERROR(AND(INT('hospitalityq-nil'!C1340)='hospitalityq-nil'!C1340,'hospitalityq-nil'!C1340&gt;=2018-50,'hospitalityq-nil'!C1340&lt;=2018+50),FALSE)),SUMPRODUCT(--(TRIM('hospitalityq-nil'!C6:C1340)=TRIM('hospitalityq-nil'!C1340)),--(TRIM('hospitalityq-nil'!D6:D1340)=TRIM('hospitalityq-nil'!D1340)))&gt;1))</f>
        <v>0</v>
      </c>
      <c r="D1340">
        <f>NOT('hospitalityq-nil'!D1340="")*(OR(COUNTIF(reference!$C$144:$C$155,TRIM(LEFT('hospitalityq-nil'!D1340,FIND(":",'hospitalityq-nil'!D1340&amp;":")-1))&amp;":*")=0,SUMPRODUCT(--(TRIM('hospitalityq-nil'!C6:C1340)=TRIM('hospitalityq-nil'!C1340)),--(TRIM('hospitalityq-nil'!D6:D1340)=TRIM('hospitalityq-nil'!D1340)))&gt;1))</f>
        <v>0</v>
      </c>
    </row>
    <row r="1341" spans="1:4" x14ac:dyDescent="0.25">
      <c r="A1341">
        <f t="shared" si="20"/>
        <v>0</v>
      </c>
      <c r="C1341">
        <f>NOT('hospitalityq-nil'!C1341="")*(OR(NOT(IFERROR(AND(INT('hospitalityq-nil'!C1341)='hospitalityq-nil'!C1341,'hospitalityq-nil'!C1341&gt;=2018-50,'hospitalityq-nil'!C1341&lt;=2018+50),FALSE)),SUMPRODUCT(--(TRIM('hospitalityq-nil'!C6:C1341)=TRIM('hospitalityq-nil'!C1341)),--(TRIM('hospitalityq-nil'!D6:D1341)=TRIM('hospitalityq-nil'!D1341)))&gt;1))</f>
        <v>0</v>
      </c>
      <c r="D1341">
        <f>NOT('hospitalityq-nil'!D1341="")*(OR(COUNTIF(reference!$C$144:$C$155,TRIM(LEFT('hospitalityq-nil'!D1341,FIND(":",'hospitalityq-nil'!D1341&amp;":")-1))&amp;":*")=0,SUMPRODUCT(--(TRIM('hospitalityq-nil'!C6:C1341)=TRIM('hospitalityq-nil'!C1341)),--(TRIM('hospitalityq-nil'!D6:D1341)=TRIM('hospitalityq-nil'!D1341)))&gt;1))</f>
        <v>0</v>
      </c>
    </row>
    <row r="1342" spans="1:4" x14ac:dyDescent="0.25">
      <c r="A1342">
        <f t="shared" si="20"/>
        <v>0</v>
      </c>
      <c r="C1342">
        <f>NOT('hospitalityq-nil'!C1342="")*(OR(NOT(IFERROR(AND(INT('hospitalityq-nil'!C1342)='hospitalityq-nil'!C1342,'hospitalityq-nil'!C1342&gt;=2018-50,'hospitalityq-nil'!C1342&lt;=2018+50),FALSE)),SUMPRODUCT(--(TRIM('hospitalityq-nil'!C6:C1342)=TRIM('hospitalityq-nil'!C1342)),--(TRIM('hospitalityq-nil'!D6:D1342)=TRIM('hospitalityq-nil'!D1342)))&gt;1))</f>
        <v>0</v>
      </c>
      <c r="D1342">
        <f>NOT('hospitalityq-nil'!D1342="")*(OR(COUNTIF(reference!$C$144:$C$155,TRIM(LEFT('hospitalityq-nil'!D1342,FIND(":",'hospitalityq-nil'!D1342&amp;":")-1))&amp;":*")=0,SUMPRODUCT(--(TRIM('hospitalityq-nil'!C6:C1342)=TRIM('hospitalityq-nil'!C1342)),--(TRIM('hospitalityq-nil'!D6:D1342)=TRIM('hospitalityq-nil'!D1342)))&gt;1))</f>
        <v>0</v>
      </c>
    </row>
    <row r="1343" spans="1:4" x14ac:dyDescent="0.25">
      <c r="A1343">
        <f t="shared" si="20"/>
        <v>0</v>
      </c>
      <c r="C1343">
        <f>NOT('hospitalityq-nil'!C1343="")*(OR(NOT(IFERROR(AND(INT('hospitalityq-nil'!C1343)='hospitalityq-nil'!C1343,'hospitalityq-nil'!C1343&gt;=2018-50,'hospitalityq-nil'!C1343&lt;=2018+50),FALSE)),SUMPRODUCT(--(TRIM('hospitalityq-nil'!C6:C1343)=TRIM('hospitalityq-nil'!C1343)),--(TRIM('hospitalityq-nil'!D6:D1343)=TRIM('hospitalityq-nil'!D1343)))&gt;1))</f>
        <v>0</v>
      </c>
      <c r="D1343">
        <f>NOT('hospitalityq-nil'!D1343="")*(OR(COUNTIF(reference!$C$144:$C$155,TRIM(LEFT('hospitalityq-nil'!D1343,FIND(":",'hospitalityq-nil'!D1343&amp;":")-1))&amp;":*")=0,SUMPRODUCT(--(TRIM('hospitalityq-nil'!C6:C1343)=TRIM('hospitalityq-nil'!C1343)),--(TRIM('hospitalityq-nil'!D6:D1343)=TRIM('hospitalityq-nil'!D1343)))&gt;1))</f>
        <v>0</v>
      </c>
    </row>
    <row r="1344" spans="1:4" x14ac:dyDescent="0.25">
      <c r="A1344">
        <f t="shared" si="20"/>
        <v>0</v>
      </c>
      <c r="C1344">
        <f>NOT('hospitalityq-nil'!C1344="")*(OR(NOT(IFERROR(AND(INT('hospitalityq-nil'!C1344)='hospitalityq-nil'!C1344,'hospitalityq-nil'!C1344&gt;=2018-50,'hospitalityq-nil'!C1344&lt;=2018+50),FALSE)),SUMPRODUCT(--(TRIM('hospitalityq-nil'!C6:C1344)=TRIM('hospitalityq-nil'!C1344)),--(TRIM('hospitalityq-nil'!D6:D1344)=TRIM('hospitalityq-nil'!D1344)))&gt;1))</f>
        <v>0</v>
      </c>
      <c r="D1344">
        <f>NOT('hospitalityq-nil'!D1344="")*(OR(COUNTIF(reference!$C$144:$C$155,TRIM(LEFT('hospitalityq-nil'!D1344,FIND(":",'hospitalityq-nil'!D1344&amp;":")-1))&amp;":*")=0,SUMPRODUCT(--(TRIM('hospitalityq-nil'!C6:C1344)=TRIM('hospitalityq-nil'!C1344)),--(TRIM('hospitalityq-nil'!D6:D1344)=TRIM('hospitalityq-nil'!D1344)))&gt;1))</f>
        <v>0</v>
      </c>
    </row>
    <row r="1345" spans="1:4" x14ac:dyDescent="0.25">
      <c r="A1345">
        <f t="shared" si="20"/>
        <v>0</v>
      </c>
      <c r="C1345">
        <f>NOT('hospitalityq-nil'!C1345="")*(OR(NOT(IFERROR(AND(INT('hospitalityq-nil'!C1345)='hospitalityq-nil'!C1345,'hospitalityq-nil'!C1345&gt;=2018-50,'hospitalityq-nil'!C1345&lt;=2018+50),FALSE)),SUMPRODUCT(--(TRIM('hospitalityq-nil'!C6:C1345)=TRIM('hospitalityq-nil'!C1345)),--(TRIM('hospitalityq-nil'!D6:D1345)=TRIM('hospitalityq-nil'!D1345)))&gt;1))</f>
        <v>0</v>
      </c>
      <c r="D1345">
        <f>NOT('hospitalityq-nil'!D1345="")*(OR(COUNTIF(reference!$C$144:$C$155,TRIM(LEFT('hospitalityq-nil'!D1345,FIND(":",'hospitalityq-nil'!D1345&amp;":")-1))&amp;":*")=0,SUMPRODUCT(--(TRIM('hospitalityq-nil'!C6:C1345)=TRIM('hospitalityq-nil'!C1345)),--(TRIM('hospitalityq-nil'!D6:D1345)=TRIM('hospitalityq-nil'!D1345)))&gt;1))</f>
        <v>0</v>
      </c>
    </row>
    <row r="1346" spans="1:4" x14ac:dyDescent="0.25">
      <c r="A1346">
        <f t="shared" si="20"/>
        <v>0</v>
      </c>
      <c r="C1346">
        <f>NOT('hospitalityq-nil'!C1346="")*(OR(NOT(IFERROR(AND(INT('hospitalityq-nil'!C1346)='hospitalityq-nil'!C1346,'hospitalityq-nil'!C1346&gt;=2018-50,'hospitalityq-nil'!C1346&lt;=2018+50),FALSE)),SUMPRODUCT(--(TRIM('hospitalityq-nil'!C6:C1346)=TRIM('hospitalityq-nil'!C1346)),--(TRIM('hospitalityq-nil'!D6:D1346)=TRIM('hospitalityq-nil'!D1346)))&gt;1))</f>
        <v>0</v>
      </c>
      <c r="D1346">
        <f>NOT('hospitalityq-nil'!D1346="")*(OR(COUNTIF(reference!$C$144:$C$155,TRIM(LEFT('hospitalityq-nil'!D1346,FIND(":",'hospitalityq-nil'!D1346&amp;":")-1))&amp;":*")=0,SUMPRODUCT(--(TRIM('hospitalityq-nil'!C6:C1346)=TRIM('hospitalityq-nil'!C1346)),--(TRIM('hospitalityq-nil'!D6:D1346)=TRIM('hospitalityq-nil'!D1346)))&gt;1))</f>
        <v>0</v>
      </c>
    </row>
    <row r="1347" spans="1:4" x14ac:dyDescent="0.25">
      <c r="A1347">
        <f t="shared" si="20"/>
        <v>0</v>
      </c>
      <c r="C1347">
        <f>NOT('hospitalityq-nil'!C1347="")*(OR(NOT(IFERROR(AND(INT('hospitalityq-nil'!C1347)='hospitalityq-nil'!C1347,'hospitalityq-nil'!C1347&gt;=2018-50,'hospitalityq-nil'!C1347&lt;=2018+50),FALSE)),SUMPRODUCT(--(TRIM('hospitalityq-nil'!C6:C1347)=TRIM('hospitalityq-nil'!C1347)),--(TRIM('hospitalityq-nil'!D6:D1347)=TRIM('hospitalityq-nil'!D1347)))&gt;1))</f>
        <v>0</v>
      </c>
      <c r="D1347">
        <f>NOT('hospitalityq-nil'!D1347="")*(OR(COUNTIF(reference!$C$144:$C$155,TRIM(LEFT('hospitalityq-nil'!D1347,FIND(":",'hospitalityq-nil'!D1347&amp;":")-1))&amp;":*")=0,SUMPRODUCT(--(TRIM('hospitalityq-nil'!C6:C1347)=TRIM('hospitalityq-nil'!C1347)),--(TRIM('hospitalityq-nil'!D6:D1347)=TRIM('hospitalityq-nil'!D1347)))&gt;1))</f>
        <v>0</v>
      </c>
    </row>
    <row r="1348" spans="1:4" x14ac:dyDescent="0.25">
      <c r="A1348">
        <f t="shared" si="20"/>
        <v>0</v>
      </c>
      <c r="C1348">
        <f>NOT('hospitalityq-nil'!C1348="")*(OR(NOT(IFERROR(AND(INT('hospitalityq-nil'!C1348)='hospitalityq-nil'!C1348,'hospitalityq-nil'!C1348&gt;=2018-50,'hospitalityq-nil'!C1348&lt;=2018+50),FALSE)),SUMPRODUCT(--(TRIM('hospitalityq-nil'!C6:C1348)=TRIM('hospitalityq-nil'!C1348)),--(TRIM('hospitalityq-nil'!D6:D1348)=TRIM('hospitalityq-nil'!D1348)))&gt;1))</f>
        <v>0</v>
      </c>
      <c r="D1348">
        <f>NOT('hospitalityq-nil'!D1348="")*(OR(COUNTIF(reference!$C$144:$C$155,TRIM(LEFT('hospitalityq-nil'!D1348,FIND(":",'hospitalityq-nil'!D1348&amp;":")-1))&amp;":*")=0,SUMPRODUCT(--(TRIM('hospitalityq-nil'!C6:C1348)=TRIM('hospitalityq-nil'!C1348)),--(TRIM('hospitalityq-nil'!D6:D1348)=TRIM('hospitalityq-nil'!D1348)))&gt;1))</f>
        <v>0</v>
      </c>
    </row>
    <row r="1349" spans="1:4" x14ac:dyDescent="0.25">
      <c r="A1349">
        <f t="shared" si="20"/>
        <v>0</v>
      </c>
      <c r="C1349">
        <f>NOT('hospitalityq-nil'!C1349="")*(OR(NOT(IFERROR(AND(INT('hospitalityq-nil'!C1349)='hospitalityq-nil'!C1349,'hospitalityq-nil'!C1349&gt;=2018-50,'hospitalityq-nil'!C1349&lt;=2018+50),FALSE)),SUMPRODUCT(--(TRIM('hospitalityq-nil'!C6:C1349)=TRIM('hospitalityq-nil'!C1349)),--(TRIM('hospitalityq-nil'!D6:D1349)=TRIM('hospitalityq-nil'!D1349)))&gt;1))</f>
        <v>0</v>
      </c>
      <c r="D1349">
        <f>NOT('hospitalityq-nil'!D1349="")*(OR(COUNTIF(reference!$C$144:$C$155,TRIM(LEFT('hospitalityq-nil'!D1349,FIND(":",'hospitalityq-nil'!D1349&amp;":")-1))&amp;":*")=0,SUMPRODUCT(--(TRIM('hospitalityq-nil'!C6:C1349)=TRIM('hospitalityq-nil'!C1349)),--(TRIM('hospitalityq-nil'!D6:D1349)=TRIM('hospitalityq-nil'!D1349)))&gt;1))</f>
        <v>0</v>
      </c>
    </row>
    <row r="1350" spans="1:4" x14ac:dyDescent="0.25">
      <c r="A1350">
        <f t="shared" ref="A1350:A1413" si="21">IFERROR(MATCH(TRUE,INDEX(C1350:D1350&lt;&gt;0,),)+2,0)</f>
        <v>0</v>
      </c>
      <c r="C1350">
        <f>NOT('hospitalityq-nil'!C1350="")*(OR(NOT(IFERROR(AND(INT('hospitalityq-nil'!C1350)='hospitalityq-nil'!C1350,'hospitalityq-nil'!C1350&gt;=2018-50,'hospitalityq-nil'!C1350&lt;=2018+50),FALSE)),SUMPRODUCT(--(TRIM('hospitalityq-nil'!C6:C1350)=TRIM('hospitalityq-nil'!C1350)),--(TRIM('hospitalityq-nil'!D6:D1350)=TRIM('hospitalityq-nil'!D1350)))&gt;1))</f>
        <v>0</v>
      </c>
      <c r="D1350">
        <f>NOT('hospitalityq-nil'!D1350="")*(OR(COUNTIF(reference!$C$144:$C$155,TRIM(LEFT('hospitalityq-nil'!D1350,FIND(":",'hospitalityq-nil'!D1350&amp;":")-1))&amp;":*")=0,SUMPRODUCT(--(TRIM('hospitalityq-nil'!C6:C1350)=TRIM('hospitalityq-nil'!C1350)),--(TRIM('hospitalityq-nil'!D6:D1350)=TRIM('hospitalityq-nil'!D1350)))&gt;1))</f>
        <v>0</v>
      </c>
    </row>
    <row r="1351" spans="1:4" x14ac:dyDescent="0.25">
      <c r="A1351">
        <f t="shared" si="21"/>
        <v>0</v>
      </c>
      <c r="C1351">
        <f>NOT('hospitalityq-nil'!C1351="")*(OR(NOT(IFERROR(AND(INT('hospitalityq-nil'!C1351)='hospitalityq-nil'!C1351,'hospitalityq-nil'!C1351&gt;=2018-50,'hospitalityq-nil'!C1351&lt;=2018+50),FALSE)),SUMPRODUCT(--(TRIM('hospitalityq-nil'!C6:C1351)=TRIM('hospitalityq-nil'!C1351)),--(TRIM('hospitalityq-nil'!D6:D1351)=TRIM('hospitalityq-nil'!D1351)))&gt;1))</f>
        <v>0</v>
      </c>
      <c r="D1351">
        <f>NOT('hospitalityq-nil'!D1351="")*(OR(COUNTIF(reference!$C$144:$C$155,TRIM(LEFT('hospitalityq-nil'!D1351,FIND(":",'hospitalityq-nil'!D1351&amp;":")-1))&amp;":*")=0,SUMPRODUCT(--(TRIM('hospitalityq-nil'!C6:C1351)=TRIM('hospitalityq-nil'!C1351)),--(TRIM('hospitalityq-nil'!D6:D1351)=TRIM('hospitalityq-nil'!D1351)))&gt;1))</f>
        <v>0</v>
      </c>
    </row>
    <row r="1352" spans="1:4" x14ac:dyDescent="0.25">
      <c r="A1352">
        <f t="shared" si="21"/>
        <v>0</v>
      </c>
      <c r="C1352">
        <f>NOT('hospitalityq-nil'!C1352="")*(OR(NOT(IFERROR(AND(INT('hospitalityq-nil'!C1352)='hospitalityq-nil'!C1352,'hospitalityq-nil'!C1352&gt;=2018-50,'hospitalityq-nil'!C1352&lt;=2018+50),FALSE)),SUMPRODUCT(--(TRIM('hospitalityq-nil'!C6:C1352)=TRIM('hospitalityq-nil'!C1352)),--(TRIM('hospitalityq-nil'!D6:D1352)=TRIM('hospitalityq-nil'!D1352)))&gt;1))</f>
        <v>0</v>
      </c>
      <c r="D1352">
        <f>NOT('hospitalityq-nil'!D1352="")*(OR(COUNTIF(reference!$C$144:$C$155,TRIM(LEFT('hospitalityq-nil'!D1352,FIND(":",'hospitalityq-nil'!D1352&amp;":")-1))&amp;":*")=0,SUMPRODUCT(--(TRIM('hospitalityq-nil'!C6:C1352)=TRIM('hospitalityq-nil'!C1352)),--(TRIM('hospitalityq-nil'!D6:D1352)=TRIM('hospitalityq-nil'!D1352)))&gt;1))</f>
        <v>0</v>
      </c>
    </row>
    <row r="1353" spans="1:4" x14ac:dyDescent="0.25">
      <c r="A1353">
        <f t="shared" si="21"/>
        <v>0</v>
      </c>
      <c r="C1353">
        <f>NOT('hospitalityq-nil'!C1353="")*(OR(NOT(IFERROR(AND(INT('hospitalityq-nil'!C1353)='hospitalityq-nil'!C1353,'hospitalityq-nil'!C1353&gt;=2018-50,'hospitalityq-nil'!C1353&lt;=2018+50),FALSE)),SUMPRODUCT(--(TRIM('hospitalityq-nil'!C6:C1353)=TRIM('hospitalityq-nil'!C1353)),--(TRIM('hospitalityq-nil'!D6:D1353)=TRIM('hospitalityq-nil'!D1353)))&gt;1))</f>
        <v>0</v>
      </c>
      <c r="D1353">
        <f>NOT('hospitalityq-nil'!D1353="")*(OR(COUNTIF(reference!$C$144:$C$155,TRIM(LEFT('hospitalityq-nil'!D1353,FIND(":",'hospitalityq-nil'!D1353&amp;":")-1))&amp;":*")=0,SUMPRODUCT(--(TRIM('hospitalityq-nil'!C6:C1353)=TRIM('hospitalityq-nil'!C1353)),--(TRIM('hospitalityq-nil'!D6:D1353)=TRIM('hospitalityq-nil'!D1353)))&gt;1))</f>
        <v>0</v>
      </c>
    </row>
    <row r="1354" spans="1:4" x14ac:dyDescent="0.25">
      <c r="A1354">
        <f t="shared" si="21"/>
        <v>0</v>
      </c>
      <c r="C1354">
        <f>NOT('hospitalityq-nil'!C1354="")*(OR(NOT(IFERROR(AND(INT('hospitalityq-nil'!C1354)='hospitalityq-nil'!C1354,'hospitalityq-nil'!C1354&gt;=2018-50,'hospitalityq-nil'!C1354&lt;=2018+50),FALSE)),SUMPRODUCT(--(TRIM('hospitalityq-nil'!C6:C1354)=TRIM('hospitalityq-nil'!C1354)),--(TRIM('hospitalityq-nil'!D6:D1354)=TRIM('hospitalityq-nil'!D1354)))&gt;1))</f>
        <v>0</v>
      </c>
      <c r="D1354">
        <f>NOT('hospitalityq-nil'!D1354="")*(OR(COUNTIF(reference!$C$144:$C$155,TRIM(LEFT('hospitalityq-nil'!D1354,FIND(":",'hospitalityq-nil'!D1354&amp;":")-1))&amp;":*")=0,SUMPRODUCT(--(TRIM('hospitalityq-nil'!C6:C1354)=TRIM('hospitalityq-nil'!C1354)),--(TRIM('hospitalityq-nil'!D6:D1354)=TRIM('hospitalityq-nil'!D1354)))&gt;1))</f>
        <v>0</v>
      </c>
    </row>
    <row r="1355" spans="1:4" x14ac:dyDescent="0.25">
      <c r="A1355">
        <f t="shared" si="21"/>
        <v>0</v>
      </c>
      <c r="C1355">
        <f>NOT('hospitalityq-nil'!C1355="")*(OR(NOT(IFERROR(AND(INT('hospitalityq-nil'!C1355)='hospitalityq-nil'!C1355,'hospitalityq-nil'!C1355&gt;=2018-50,'hospitalityq-nil'!C1355&lt;=2018+50),FALSE)),SUMPRODUCT(--(TRIM('hospitalityq-nil'!C6:C1355)=TRIM('hospitalityq-nil'!C1355)),--(TRIM('hospitalityq-nil'!D6:D1355)=TRIM('hospitalityq-nil'!D1355)))&gt;1))</f>
        <v>0</v>
      </c>
      <c r="D1355">
        <f>NOT('hospitalityq-nil'!D1355="")*(OR(COUNTIF(reference!$C$144:$C$155,TRIM(LEFT('hospitalityq-nil'!D1355,FIND(":",'hospitalityq-nil'!D1355&amp;":")-1))&amp;":*")=0,SUMPRODUCT(--(TRIM('hospitalityq-nil'!C6:C1355)=TRIM('hospitalityq-nil'!C1355)),--(TRIM('hospitalityq-nil'!D6:D1355)=TRIM('hospitalityq-nil'!D1355)))&gt;1))</f>
        <v>0</v>
      </c>
    </row>
    <row r="1356" spans="1:4" x14ac:dyDescent="0.25">
      <c r="A1356">
        <f t="shared" si="21"/>
        <v>0</v>
      </c>
      <c r="C1356">
        <f>NOT('hospitalityq-nil'!C1356="")*(OR(NOT(IFERROR(AND(INT('hospitalityq-nil'!C1356)='hospitalityq-nil'!C1356,'hospitalityq-nil'!C1356&gt;=2018-50,'hospitalityq-nil'!C1356&lt;=2018+50),FALSE)),SUMPRODUCT(--(TRIM('hospitalityq-nil'!C6:C1356)=TRIM('hospitalityq-nil'!C1356)),--(TRIM('hospitalityq-nil'!D6:D1356)=TRIM('hospitalityq-nil'!D1356)))&gt;1))</f>
        <v>0</v>
      </c>
      <c r="D1356">
        <f>NOT('hospitalityq-nil'!D1356="")*(OR(COUNTIF(reference!$C$144:$C$155,TRIM(LEFT('hospitalityq-nil'!D1356,FIND(":",'hospitalityq-nil'!D1356&amp;":")-1))&amp;":*")=0,SUMPRODUCT(--(TRIM('hospitalityq-nil'!C6:C1356)=TRIM('hospitalityq-nil'!C1356)),--(TRIM('hospitalityq-nil'!D6:D1356)=TRIM('hospitalityq-nil'!D1356)))&gt;1))</f>
        <v>0</v>
      </c>
    </row>
    <row r="1357" spans="1:4" x14ac:dyDescent="0.25">
      <c r="A1357">
        <f t="shared" si="21"/>
        <v>0</v>
      </c>
      <c r="C1357">
        <f>NOT('hospitalityq-nil'!C1357="")*(OR(NOT(IFERROR(AND(INT('hospitalityq-nil'!C1357)='hospitalityq-nil'!C1357,'hospitalityq-nil'!C1357&gt;=2018-50,'hospitalityq-nil'!C1357&lt;=2018+50),FALSE)),SUMPRODUCT(--(TRIM('hospitalityq-nil'!C6:C1357)=TRIM('hospitalityq-nil'!C1357)),--(TRIM('hospitalityq-nil'!D6:D1357)=TRIM('hospitalityq-nil'!D1357)))&gt;1))</f>
        <v>0</v>
      </c>
      <c r="D1357">
        <f>NOT('hospitalityq-nil'!D1357="")*(OR(COUNTIF(reference!$C$144:$C$155,TRIM(LEFT('hospitalityq-nil'!D1357,FIND(":",'hospitalityq-nil'!D1357&amp;":")-1))&amp;":*")=0,SUMPRODUCT(--(TRIM('hospitalityq-nil'!C6:C1357)=TRIM('hospitalityq-nil'!C1357)),--(TRIM('hospitalityq-nil'!D6:D1357)=TRIM('hospitalityq-nil'!D1357)))&gt;1))</f>
        <v>0</v>
      </c>
    </row>
    <row r="1358" spans="1:4" x14ac:dyDescent="0.25">
      <c r="A1358">
        <f t="shared" si="21"/>
        <v>0</v>
      </c>
      <c r="C1358">
        <f>NOT('hospitalityq-nil'!C1358="")*(OR(NOT(IFERROR(AND(INT('hospitalityq-nil'!C1358)='hospitalityq-nil'!C1358,'hospitalityq-nil'!C1358&gt;=2018-50,'hospitalityq-nil'!C1358&lt;=2018+50),FALSE)),SUMPRODUCT(--(TRIM('hospitalityq-nil'!C6:C1358)=TRIM('hospitalityq-nil'!C1358)),--(TRIM('hospitalityq-nil'!D6:D1358)=TRIM('hospitalityq-nil'!D1358)))&gt;1))</f>
        <v>0</v>
      </c>
      <c r="D1358">
        <f>NOT('hospitalityq-nil'!D1358="")*(OR(COUNTIF(reference!$C$144:$C$155,TRIM(LEFT('hospitalityq-nil'!D1358,FIND(":",'hospitalityq-nil'!D1358&amp;":")-1))&amp;":*")=0,SUMPRODUCT(--(TRIM('hospitalityq-nil'!C6:C1358)=TRIM('hospitalityq-nil'!C1358)),--(TRIM('hospitalityq-nil'!D6:D1358)=TRIM('hospitalityq-nil'!D1358)))&gt;1))</f>
        <v>0</v>
      </c>
    </row>
    <row r="1359" spans="1:4" x14ac:dyDescent="0.25">
      <c r="A1359">
        <f t="shared" si="21"/>
        <v>0</v>
      </c>
      <c r="C1359">
        <f>NOT('hospitalityq-nil'!C1359="")*(OR(NOT(IFERROR(AND(INT('hospitalityq-nil'!C1359)='hospitalityq-nil'!C1359,'hospitalityq-nil'!C1359&gt;=2018-50,'hospitalityq-nil'!C1359&lt;=2018+50),FALSE)),SUMPRODUCT(--(TRIM('hospitalityq-nil'!C6:C1359)=TRIM('hospitalityq-nil'!C1359)),--(TRIM('hospitalityq-nil'!D6:D1359)=TRIM('hospitalityq-nil'!D1359)))&gt;1))</f>
        <v>0</v>
      </c>
      <c r="D1359">
        <f>NOT('hospitalityq-nil'!D1359="")*(OR(COUNTIF(reference!$C$144:$C$155,TRIM(LEFT('hospitalityq-nil'!D1359,FIND(":",'hospitalityq-nil'!D1359&amp;":")-1))&amp;":*")=0,SUMPRODUCT(--(TRIM('hospitalityq-nil'!C6:C1359)=TRIM('hospitalityq-nil'!C1359)),--(TRIM('hospitalityq-nil'!D6:D1359)=TRIM('hospitalityq-nil'!D1359)))&gt;1))</f>
        <v>0</v>
      </c>
    </row>
    <row r="1360" spans="1:4" x14ac:dyDescent="0.25">
      <c r="A1360">
        <f t="shared" si="21"/>
        <v>0</v>
      </c>
      <c r="C1360">
        <f>NOT('hospitalityq-nil'!C1360="")*(OR(NOT(IFERROR(AND(INT('hospitalityq-nil'!C1360)='hospitalityq-nil'!C1360,'hospitalityq-nil'!C1360&gt;=2018-50,'hospitalityq-nil'!C1360&lt;=2018+50),FALSE)),SUMPRODUCT(--(TRIM('hospitalityq-nil'!C6:C1360)=TRIM('hospitalityq-nil'!C1360)),--(TRIM('hospitalityq-nil'!D6:D1360)=TRIM('hospitalityq-nil'!D1360)))&gt;1))</f>
        <v>0</v>
      </c>
      <c r="D1360">
        <f>NOT('hospitalityq-nil'!D1360="")*(OR(COUNTIF(reference!$C$144:$C$155,TRIM(LEFT('hospitalityq-nil'!D1360,FIND(":",'hospitalityq-nil'!D1360&amp;":")-1))&amp;":*")=0,SUMPRODUCT(--(TRIM('hospitalityq-nil'!C6:C1360)=TRIM('hospitalityq-nil'!C1360)),--(TRIM('hospitalityq-nil'!D6:D1360)=TRIM('hospitalityq-nil'!D1360)))&gt;1))</f>
        <v>0</v>
      </c>
    </row>
    <row r="1361" spans="1:4" x14ac:dyDescent="0.25">
      <c r="A1361">
        <f t="shared" si="21"/>
        <v>0</v>
      </c>
      <c r="C1361">
        <f>NOT('hospitalityq-nil'!C1361="")*(OR(NOT(IFERROR(AND(INT('hospitalityq-nil'!C1361)='hospitalityq-nil'!C1361,'hospitalityq-nil'!C1361&gt;=2018-50,'hospitalityq-nil'!C1361&lt;=2018+50),FALSE)),SUMPRODUCT(--(TRIM('hospitalityq-nil'!C6:C1361)=TRIM('hospitalityq-nil'!C1361)),--(TRIM('hospitalityq-nil'!D6:D1361)=TRIM('hospitalityq-nil'!D1361)))&gt;1))</f>
        <v>0</v>
      </c>
      <c r="D1361">
        <f>NOT('hospitalityq-nil'!D1361="")*(OR(COUNTIF(reference!$C$144:$C$155,TRIM(LEFT('hospitalityq-nil'!D1361,FIND(":",'hospitalityq-nil'!D1361&amp;":")-1))&amp;":*")=0,SUMPRODUCT(--(TRIM('hospitalityq-nil'!C6:C1361)=TRIM('hospitalityq-nil'!C1361)),--(TRIM('hospitalityq-nil'!D6:D1361)=TRIM('hospitalityq-nil'!D1361)))&gt;1))</f>
        <v>0</v>
      </c>
    </row>
    <row r="1362" spans="1:4" x14ac:dyDescent="0.25">
      <c r="A1362">
        <f t="shared" si="21"/>
        <v>0</v>
      </c>
      <c r="C1362">
        <f>NOT('hospitalityq-nil'!C1362="")*(OR(NOT(IFERROR(AND(INT('hospitalityq-nil'!C1362)='hospitalityq-nil'!C1362,'hospitalityq-nil'!C1362&gt;=2018-50,'hospitalityq-nil'!C1362&lt;=2018+50),FALSE)),SUMPRODUCT(--(TRIM('hospitalityq-nil'!C6:C1362)=TRIM('hospitalityq-nil'!C1362)),--(TRIM('hospitalityq-nil'!D6:D1362)=TRIM('hospitalityq-nil'!D1362)))&gt;1))</f>
        <v>0</v>
      </c>
      <c r="D1362">
        <f>NOT('hospitalityq-nil'!D1362="")*(OR(COUNTIF(reference!$C$144:$C$155,TRIM(LEFT('hospitalityq-nil'!D1362,FIND(":",'hospitalityq-nil'!D1362&amp;":")-1))&amp;":*")=0,SUMPRODUCT(--(TRIM('hospitalityq-nil'!C6:C1362)=TRIM('hospitalityq-nil'!C1362)),--(TRIM('hospitalityq-nil'!D6:D1362)=TRIM('hospitalityq-nil'!D1362)))&gt;1))</f>
        <v>0</v>
      </c>
    </row>
    <row r="1363" spans="1:4" x14ac:dyDescent="0.25">
      <c r="A1363">
        <f t="shared" si="21"/>
        <v>0</v>
      </c>
      <c r="C1363">
        <f>NOT('hospitalityq-nil'!C1363="")*(OR(NOT(IFERROR(AND(INT('hospitalityq-nil'!C1363)='hospitalityq-nil'!C1363,'hospitalityq-nil'!C1363&gt;=2018-50,'hospitalityq-nil'!C1363&lt;=2018+50),FALSE)),SUMPRODUCT(--(TRIM('hospitalityq-nil'!C6:C1363)=TRIM('hospitalityq-nil'!C1363)),--(TRIM('hospitalityq-nil'!D6:D1363)=TRIM('hospitalityq-nil'!D1363)))&gt;1))</f>
        <v>0</v>
      </c>
      <c r="D1363">
        <f>NOT('hospitalityq-nil'!D1363="")*(OR(COUNTIF(reference!$C$144:$C$155,TRIM(LEFT('hospitalityq-nil'!D1363,FIND(":",'hospitalityq-nil'!D1363&amp;":")-1))&amp;":*")=0,SUMPRODUCT(--(TRIM('hospitalityq-nil'!C6:C1363)=TRIM('hospitalityq-nil'!C1363)),--(TRIM('hospitalityq-nil'!D6:D1363)=TRIM('hospitalityq-nil'!D1363)))&gt;1))</f>
        <v>0</v>
      </c>
    </row>
    <row r="1364" spans="1:4" x14ac:dyDescent="0.25">
      <c r="A1364">
        <f t="shared" si="21"/>
        <v>0</v>
      </c>
      <c r="C1364">
        <f>NOT('hospitalityq-nil'!C1364="")*(OR(NOT(IFERROR(AND(INT('hospitalityq-nil'!C1364)='hospitalityq-nil'!C1364,'hospitalityq-nil'!C1364&gt;=2018-50,'hospitalityq-nil'!C1364&lt;=2018+50),FALSE)),SUMPRODUCT(--(TRIM('hospitalityq-nil'!C6:C1364)=TRIM('hospitalityq-nil'!C1364)),--(TRIM('hospitalityq-nil'!D6:D1364)=TRIM('hospitalityq-nil'!D1364)))&gt;1))</f>
        <v>0</v>
      </c>
      <c r="D1364">
        <f>NOT('hospitalityq-nil'!D1364="")*(OR(COUNTIF(reference!$C$144:$C$155,TRIM(LEFT('hospitalityq-nil'!D1364,FIND(":",'hospitalityq-nil'!D1364&amp;":")-1))&amp;":*")=0,SUMPRODUCT(--(TRIM('hospitalityq-nil'!C6:C1364)=TRIM('hospitalityq-nil'!C1364)),--(TRIM('hospitalityq-nil'!D6:D1364)=TRIM('hospitalityq-nil'!D1364)))&gt;1))</f>
        <v>0</v>
      </c>
    </row>
    <row r="1365" spans="1:4" x14ac:dyDescent="0.25">
      <c r="A1365">
        <f t="shared" si="21"/>
        <v>0</v>
      </c>
      <c r="C1365">
        <f>NOT('hospitalityq-nil'!C1365="")*(OR(NOT(IFERROR(AND(INT('hospitalityq-nil'!C1365)='hospitalityq-nil'!C1365,'hospitalityq-nil'!C1365&gt;=2018-50,'hospitalityq-nil'!C1365&lt;=2018+50),FALSE)),SUMPRODUCT(--(TRIM('hospitalityq-nil'!C6:C1365)=TRIM('hospitalityq-nil'!C1365)),--(TRIM('hospitalityq-nil'!D6:D1365)=TRIM('hospitalityq-nil'!D1365)))&gt;1))</f>
        <v>0</v>
      </c>
      <c r="D1365">
        <f>NOT('hospitalityq-nil'!D1365="")*(OR(COUNTIF(reference!$C$144:$C$155,TRIM(LEFT('hospitalityq-nil'!D1365,FIND(":",'hospitalityq-nil'!D1365&amp;":")-1))&amp;":*")=0,SUMPRODUCT(--(TRIM('hospitalityq-nil'!C6:C1365)=TRIM('hospitalityq-nil'!C1365)),--(TRIM('hospitalityq-nil'!D6:D1365)=TRIM('hospitalityq-nil'!D1365)))&gt;1))</f>
        <v>0</v>
      </c>
    </row>
    <row r="1366" spans="1:4" x14ac:dyDescent="0.25">
      <c r="A1366">
        <f t="shared" si="21"/>
        <v>0</v>
      </c>
      <c r="C1366">
        <f>NOT('hospitalityq-nil'!C1366="")*(OR(NOT(IFERROR(AND(INT('hospitalityq-nil'!C1366)='hospitalityq-nil'!C1366,'hospitalityq-nil'!C1366&gt;=2018-50,'hospitalityq-nil'!C1366&lt;=2018+50),FALSE)),SUMPRODUCT(--(TRIM('hospitalityq-nil'!C6:C1366)=TRIM('hospitalityq-nil'!C1366)),--(TRIM('hospitalityq-nil'!D6:D1366)=TRIM('hospitalityq-nil'!D1366)))&gt;1))</f>
        <v>0</v>
      </c>
      <c r="D1366">
        <f>NOT('hospitalityq-nil'!D1366="")*(OR(COUNTIF(reference!$C$144:$C$155,TRIM(LEFT('hospitalityq-nil'!D1366,FIND(":",'hospitalityq-nil'!D1366&amp;":")-1))&amp;":*")=0,SUMPRODUCT(--(TRIM('hospitalityq-nil'!C6:C1366)=TRIM('hospitalityq-nil'!C1366)),--(TRIM('hospitalityq-nil'!D6:D1366)=TRIM('hospitalityq-nil'!D1366)))&gt;1))</f>
        <v>0</v>
      </c>
    </row>
    <row r="1367" spans="1:4" x14ac:dyDescent="0.25">
      <c r="A1367">
        <f t="shared" si="21"/>
        <v>0</v>
      </c>
      <c r="C1367">
        <f>NOT('hospitalityq-nil'!C1367="")*(OR(NOT(IFERROR(AND(INT('hospitalityq-nil'!C1367)='hospitalityq-nil'!C1367,'hospitalityq-nil'!C1367&gt;=2018-50,'hospitalityq-nil'!C1367&lt;=2018+50),FALSE)),SUMPRODUCT(--(TRIM('hospitalityq-nil'!C6:C1367)=TRIM('hospitalityq-nil'!C1367)),--(TRIM('hospitalityq-nil'!D6:D1367)=TRIM('hospitalityq-nil'!D1367)))&gt;1))</f>
        <v>0</v>
      </c>
      <c r="D1367">
        <f>NOT('hospitalityq-nil'!D1367="")*(OR(COUNTIF(reference!$C$144:$C$155,TRIM(LEFT('hospitalityq-nil'!D1367,FIND(":",'hospitalityq-nil'!D1367&amp;":")-1))&amp;":*")=0,SUMPRODUCT(--(TRIM('hospitalityq-nil'!C6:C1367)=TRIM('hospitalityq-nil'!C1367)),--(TRIM('hospitalityq-nil'!D6:D1367)=TRIM('hospitalityq-nil'!D1367)))&gt;1))</f>
        <v>0</v>
      </c>
    </row>
    <row r="1368" spans="1:4" x14ac:dyDescent="0.25">
      <c r="A1368">
        <f t="shared" si="21"/>
        <v>0</v>
      </c>
      <c r="C1368">
        <f>NOT('hospitalityq-nil'!C1368="")*(OR(NOT(IFERROR(AND(INT('hospitalityq-nil'!C1368)='hospitalityq-nil'!C1368,'hospitalityq-nil'!C1368&gt;=2018-50,'hospitalityq-nil'!C1368&lt;=2018+50),FALSE)),SUMPRODUCT(--(TRIM('hospitalityq-nil'!C6:C1368)=TRIM('hospitalityq-nil'!C1368)),--(TRIM('hospitalityq-nil'!D6:D1368)=TRIM('hospitalityq-nil'!D1368)))&gt;1))</f>
        <v>0</v>
      </c>
      <c r="D1368">
        <f>NOT('hospitalityq-nil'!D1368="")*(OR(COUNTIF(reference!$C$144:$C$155,TRIM(LEFT('hospitalityq-nil'!D1368,FIND(":",'hospitalityq-nil'!D1368&amp;":")-1))&amp;":*")=0,SUMPRODUCT(--(TRIM('hospitalityq-nil'!C6:C1368)=TRIM('hospitalityq-nil'!C1368)),--(TRIM('hospitalityq-nil'!D6:D1368)=TRIM('hospitalityq-nil'!D1368)))&gt;1))</f>
        <v>0</v>
      </c>
    </row>
    <row r="1369" spans="1:4" x14ac:dyDescent="0.25">
      <c r="A1369">
        <f t="shared" si="21"/>
        <v>0</v>
      </c>
      <c r="C1369">
        <f>NOT('hospitalityq-nil'!C1369="")*(OR(NOT(IFERROR(AND(INT('hospitalityq-nil'!C1369)='hospitalityq-nil'!C1369,'hospitalityq-nil'!C1369&gt;=2018-50,'hospitalityq-nil'!C1369&lt;=2018+50),FALSE)),SUMPRODUCT(--(TRIM('hospitalityq-nil'!C6:C1369)=TRIM('hospitalityq-nil'!C1369)),--(TRIM('hospitalityq-nil'!D6:D1369)=TRIM('hospitalityq-nil'!D1369)))&gt;1))</f>
        <v>0</v>
      </c>
      <c r="D1369">
        <f>NOT('hospitalityq-nil'!D1369="")*(OR(COUNTIF(reference!$C$144:$C$155,TRIM(LEFT('hospitalityq-nil'!D1369,FIND(":",'hospitalityq-nil'!D1369&amp;":")-1))&amp;":*")=0,SUMPRODUCT(--(TRIM('hospitalityq-nil'!C6:C1369)=TRIM('hospitalityq-nil'!C1369)),--(TRIM('hospitalityq-nil'!D6:D1369)=TRIM('hospitalityq-nil'!D1369)))&gt;1))</f>
        <v>0</v>
      </c>
    </row>
    <row r="1370" spans="1:4" x14ac:dyDescent="0.25">
      <c r="A1370">
        <f t="shared" si="21"/>
        <v>0</v>
      </c>
      <c r="C1370">
        <f>NOT('hospitalityq-nil'!C1370="")*(OR(NOT(IFERROR(AND(INT('hospitalityq-nil'!C1370)='hospitalityq-nil'!C1370,'hospitalityq-nil'!C1370&gt;=2018-50,'hospitalityq-nil'!C1370&lt;=2018+50),FALSE)),SUMPRODUCT(--(TRIM('hospitalityq-nil'!C6:C1370)=TRIM('hospitalityq-nil'!C1370)),--(TRIM('hospitalityq-nil'!D6:D1370)=TRIM('hospitalityq-nil'!D1370)))&gt;1))</f>
        <v>0</v>
      </c>
      <c r="D1370">
        <f>NOT('hospitalityq-nil'!D1370="")*(OR(COUNTIF(reference!$C$144:$C$155,TRIM(LEFT('hospitalityq-nil'!D1370,FIND(":",'hospitalityq-nil'!D1370&amp;":")-1))&amp;":*")=0,SUMPRODUCT(--(TRIM('hospitalityq-nil'!C6:C1370)=TRIM('hospitalityq-nil'!C1370)),--(TRIM('hospitalityq-nil'!D6:D1370)=TRIM('hospitalityq-nil'!D1370)))&gt;1))</f>
        <v>0</v>
      </c>
    </row>
    <row r="1371" spans="1:4" x14ac:dyDescent="0.25">
      <c r="A1371">
        <f t="shared" si="21"/>
        <v>0</v>
      </c>
      <c r="C1371">
        <f>NOT('hospitalityq-nil'!C1371="")*(OR(NOT(IFERROR(AND(INT('hospitalityq-nil'!C1371)='hospitalityq-nil'!C1371,'hospitalityq-nil'!C1371&gt;=2018-50,'hospitalityq-nil'!C1371&lt;=2018+50),FALSE)),SUMPRODUCT(--(TRIM('hospitalityq-nil'!C6:C1371)=TRIM('hospitalityq-nil'!C1371)),--(TRIM('hospitalityq-nil'!D6:D1371)=TRIM('hospitalityq-nil'!D1371)))&gt;1))</f>
        <v>0</v>
      </c>
      <c r="D1371">
        <f>NOT('hospitalityq-nil'!D1371="")*(OR(COUNTIF(reference!$C$144:$C$155,TRIM(LEFT('hospitalityq-nil'!D1371,FIND(":",'hospitalityq-nil'!D1371&amp;":")-1))&amp;":*")=0,SUMPRODUCT(--(TRIM('hospitalityq-nil'!C6:C1371)=TRIM('hospitalityq-nil'!C1371)),--(TRIM('hospitalityq-nil'!D6:D1371)=TRIM('hospitalityq-nil'!D1371)))&gt;1))</f>
        <v>0</v>
      </c>
    </row>
    <row r="1372" spans="1:4" x14ac:dyDescent="0.25">
      <c r="A1372">
        <f t="shared" si="21"/>
        <v>0</v>
      </c>
      <c r="C1372">
        <f>NOT('hospitalityq-nil'!C1372="")*(OR(NOT(IFERROR(AND(INT('hospitalityq-nil'!C1372)='hospitalityq-nil'!C1372,'hospitalityq-nil'!C1372&gt;=2018-50,'hospitalityq-nil'!C1372&lt;=2018+50),FALSE)),SUMPRODUCT(--(TRIM('hospitalityq-nil'!C6:C1372)=TRIM('hospitalityq-nil'!C1372)),--(TRIM('hospitalityq-nil'!D6:D1372)=TRIM('hospitalityq-nil'!D1372)))&gt;1))</f>
        <v>0</v>
      </c>
      <c r="D1372">
        <f>NOT('hospitalityq-nil'!D1372="")*(OR(COUNTIF(reference!$C$144:$C$155,TRIM(LEFT('hospitalityq-nil'!D1372,FIND(":",'hospitalityq-nil'!D1372&amp;":")-1))&amp;":*")=0,SUMPRODUCT(--(TRIM('hospitalityq-nil'!C6:C1372)=TRIM('hospitalityq-nil'!C1372)),--(TRIM('hospitalityq-nil'!D6:D1372)=TRIM('hospitalityq-nil'!D1372)))&gt;1))</f>
        <v>0</v>
      </c>
    </row>
    <row r="1373" spans="1:4" x14ac:dyDescent="0.25">
      <c r="A1373">
        <f t="shared" si="21"/>
        <v>0</v>
      </c>
      <c r="C1373">
        <f>NOT('hospitalityq-nil'!C1373="")*(OR(NOT(IFERROR(AND(INT('hospitalityq-nil'!C1373)='hospitalityq-nil'!C1373,'hospitalityq-nil'!C1373&gt;=2018-50,'hospitalityq-nil'!C1373&lt;=2018+50),FALSE)),SUMPRODUCT(--(TRIM('hospitalityq-nil'!C6:C1373)=TRIM('hospitalityq-nil'!C1373)),--(TRIM('hospitalityq-nil'!D6:D1373)=TRIM('hospitalityq-nil'!D1373)))&gt;1))</f>
        <v>0</v>
      </c>
      <c r="D1373">
        <f>NOT('hospitalityq-nil'!D1373="")*(OR(COUNTIF(reference!$C$144:$C$155,TRIM(LEFT('hospitalityq-nil'!D1373,FIND(":",'hospitalityq-nil'!D1373&amp;":")-1))&amp;":*")=0,SUMPRODUCT(--(TRIM('hospitalityq-nil'!C6:C1373)=TRIM('hospitalityq-nil'!C1373)),--(TRIM('hospitalityq-nil'!D6:D1373)=TRIM('hospitalityq-nil'!D1373)))&gt;1))</f>
        <v>0</v>
      </c>
    </row>
    <row r="1374" spans="1:4" x14ac:dyDescent="0.25">
      <c r="A1374">
        <f t="shared" si="21"/>
        <v>0</v>
      </c>
      <c r="C1374">
        <f>NOT('hospitalityq-nil'!C1374="")*(OR(NOT(IFERROR(AND(INT('hospitalityq-nil'!C1374)='hospitalityq-nil'!C1374,'hospitalityq-nil'!C1374&gt;=2018-50,'hospitalityq-nil'!C1374&lt;=2018+50),FALSE)),SUMPRODUCT(--(TRIM('hospitalityq-nil'!C6:C1374)=TRIM('hospitalityq-nil'!C1374)),--(TRIM('hospitalityq-nil'!D6:D1374)=TRIM('hospitalityq-nil'!D1374)))&gt;1))</f>
        <v>0</v>
      </c>
      <c r="D1374">
        <f>NOT('hospitalityq-nil'!D1374="")*(OR(COUNTIF(reference!$C$144:$C$155,TRIM(LEFT('hospitalityq-nil'!D1374,FIND(":",'hospitalityq-nil'!D1374&amp;":")-1))&amp;":*")=0,SUMPRODUCT(--(TRIM('hospitalityq-nil'!C6:C1374)=TRIM('hospitalityq-nil'!C1374)),--(TRIM('hospitalityq-nil'!D6:D1374)=TRIM('hospitalityq-nil'!D1374)))&gt;1))</f>
        <v>0</v>
      </c>
    </row>
    <row r="1375" spans="1:4" x14ac:dyDescent="0.25">
      <c r="A1375">
        <f t="shared" si="21"/>
        <v>0</v>
      </c>
      <c r="C1375">
        <f>NOT('hospitalityq-nil'!C1375="")*(OR(NOT(IFERROR(AND(INT('hospitalityq-nil'!C1375)='hospitalityq-nil'!C1375,'hospitalityq-nil'!C1375&gt;=2018-50,'hospitalityq-nil'!C1375&lt;=2018+50),FALSE)),SUMPRODUCT(--(TRIM('hospitalityq-nil'!C6:C1375)=TRIM('hospitalityq-nil'!C1375)),--(TRIM('hospitalityq-nil'!D6:D1375)=TRIM('hospitalityq-nil'!D1375)))&gt;1))</f>
        <v>0</v>
      </c>
      <c r="D1375">
        <f>NOT('hospitalityq-nil'!D1375="")*(OR(COUNTIF(reference!$C$144:$C$155,TRIM(LEFT('hospitalityq-nil'!D1375,FIND(":",'hospitalityq-nil'!D1375&amp;":")-1))&amp;":*")=0,SUMPRODUCT(--(TRIM('hospitalityq-nil'!C6:C1375)=TRIM('hospitalityq-nil'!C1375)),--(TRIM('hospitalityq-nil'!D6:D1375)=TRIM('hospitalityq-nil'!D1375)))&gt;1))</f>
        <v>0</v>
      </c>
    </row>
    <row r="1376" spans="1:4" x14ac:dyDescent="0.25">
      <c r="A1376">
        <f t="shared" si="21"/>
        <v>0</v>
      </c>
      <c r="C1376">
        <f>NOT('hospitalityq-nil'!C1376="")*(OR(NOT(IFERROR(AND(INT('hospitalityq-nil'!C1376)='hospitalityq-nil'!C1376,'hospitalityq-nil'!C1376&gt;=2018-50,'hospitalityq-nil'!C1376&lt;=2018+50),FALSE)),SUMPRODUCT(--(TRIM('hospitalityq-nil'!C6:C1376)=TRIM('hospitalityq-nil'!C1376)),--(TRIM('hospitalityq-nil'!D6:D1376)=TRIM('hospitalityq-nil'!D1376)))&gt;1))</f>
        <v>0</v>
      </c>
      <c r="D1376">
        <f>NOT('hospitalityq-nil'!D1376="")*(OR(COUNTIF(reference!$C$144:$C$155,TRIM(LEFT('hospitalityq-nil'!D1376,FIND(":",'hospitalityq-nil'!D1376&amp;":")-1))&amp;":*")=0,SUMPRODUCT(--(TRIM('hospitalityq-nil'!C6:C1376)=TRIM('hospitalityq-nil'!C1376)),--(TRIM('hospitalityq-nil'!D6:D1376)=TRIM('hospitalityq-nil'!D1376)))&gt;1))</f>
        <v>0</v>
      </c>
    </row>
    <row r="1377" spans="1:4" x14ac:dyDescent="0.25">
      <c r="A1377">
        <f t="shared" si="21"/>
        <v>0</v>
      </c>
      <c r="C1377">
        <f>NOT('hospitalityq-nil'!C1377="")*(OR(NOT(IFERROR(AND(INT('hospitalityq-nil'!C1377)='hospitalityq-nil'!C1377,'hospitalityq-nil'!C1377&gt;=2018-50,'hospitalityq-nil'!C1377&lt;=2018+50),FALSE)),SUMPRODUCT(--(TRIM('hospitalityq-nil'!C6:C1377)=TRIM('hospitalityq-nil'!C1377)),--(TRIM('hospitalityq-nil'!D6:D1377)=TRIM('hospitalityq-nil'!D1377)))&gt;1))</f>
        <v>0</v>
      </c>
      <c r="D1377">
        <f>NOT('hospitalityq-nil'!D1377="")*(OR(COUNTIF(reference!$C$144:$C$155,TRIM(LEFT('hospitalityq-nil'!D1377,FIND(":",'hospitalityq-nil'!D1377&amp;":")-1))&amp;":*")=0,SUMPRODUCT(--(TRIM('hospitalityq-nil'!C6:C1377)=TRIM('hospitalityq-nil'!C1377)),--(TRIM('hospitalityq-nil'!D6:D1377)=TRIM('hospitalityq-nil'!D1377)))&gt;1))</f>
        <v>0</v>
      </c>
    </row>
    <row r="1378" spans="1:4" x14ac:dyDescent="0.25">
      <c r="A1378">
        <f t="shared" si="21"/>
        <v>0</v>
      </c>
      <c r="C1378">
        <f>NOT('hospitalityq-nil'!C1378="")*(OR(NOT(IFERROR(AND(INT('hospitalityq-nil'!C1378)='hospitalityq-nil'!C1378,'hospitalityq-nil'!C1378&gt;=2018-50,'hospitalityq-nil'!C1378&lt;=2018+50),FALSE)),SUMPRODUCT(--(TRIM('hospitalityq-nil'!C6:C1378)=TRIM('hospitalityq-nil'!C1378)),--(TRIM('hospitalityq-nil'!D6:D1378)=TRIM('hospitalityq-nil'!D1378)))&gt;1))</f>
        <v>0</v>
      </c>
      <c r="D1378">
        <f>NOT('hospitalityq-nil'!D1378="")*(OR(COUNTIF(reference!$C$144:$C$155,TRIM(LEFT('hospitalityq-nil'!D1378,FIND(":",'hospitalityq-nil'!D1378&amp;":")-1))&amp;":*")=0,SUMPRODUCT(--(TRIM('hospitalityq-nil'!C6:C1378)=TRIM('hospitalityq-nil'!C1378)),--(TRIM('hospitalityq-nil'!D6:D1378)=TRIM('hospitalityq-nil'!D1378)))&gt;1))</f>
        <v>0</v>
      </c>
    </row>
    <row r="1379" spans="1:4" x14ac:dyDescent="0.25">
      <c r="A1379">
        <f t="shared" si="21"/>
        <v>0</v>
      </c>
      <c r="C1379">
        <f>NOT('hospitalityq-nil'!C1379="")*(OR(NOT(IFERROR(AND(INT('hospitalityq-nil'!C1379)='hospitalityq-nil'!C1379,'hospitalityq-nil'!C1379&gt;=2018-50,'hospitalityq-nil'!C1379&lt;=2018+50),FALSE)),SUMPRODUCT(--(TRIM('hospitalityq-nil'!C6:C1379)=TRIM('hospitalityq-nil'!C1379)),--(TRIM('hospitalityq-nil'!D6:D1379)=TRIM('hospitalityq-nil'!D1379)))&gt;1))</f>
        <v>0</v>
      </c>
      <c r="D1379">
        <f>NOT('hospitalityq-nil'!D1379="")*(OR(COUNTIF(reference!$C$144:$C$155,TRIM(LEFT('hospitalityq-nil'!D1379,FIND(":",'hospitalityq-nil'!D1379&amp;":")-1))&amp;":*")=0,SUMPRODUCT(--(TRIM('hospitalityq-nil'!C6:C1379)=TRIM('hospitalityq-nil'!C1379)),--(TRIM('hospitalityq-nil'!D6:D1379)=TRIM('hospitalityq-nil'!D1379)))&gt;1))</f>
        <v>0</v>
      </c>
    </row>
    <row r="1380" spans="1:4" x14ac:dyDescent="0.25">
      <c r="A1380">
        <f t="shared" si="21"/>
        <v>0</v>
      </c>
      <c r="C1380">
        <f>NOT('hospitalityq-nil'!C1380="")*(OR(NOT(IFERROR(AND(INT('hospitalityq-nil'!C1380)='hospitalityq-nil'!C1380,'hospitalityq-nil'!C1380&gt;=2018-50,'hospitalityq-nil'!C1380&lt;=2018+50),FALSE)),SUMPRODUCT(--(TRIM('hospitalityq-nil'!C6:C1380)=TRIM('hospitalityq-nil'!C1380)),--(TRIM('hospitalityq-nil'!D6:D1380)=TRIM('hospitalityq-nil'!D1380)))&gt;1))</f>
        <v>0</v>
      </c>
      <c r="D1380">
        <f>NOT('hospitalityq-nil'!D1380="")*(OR(COUNTIF(reference!$C$144:$C$155,TRIM(LEFT('hospitalityq-nil'!D1380,FIND(":",'hospitalityq-nil'!D1380&amp;":")-1))&amp;":*")=0,SUMPRODUCT(--(TRIM('hospitalityq-nil'!C6:C1380)=TRIM('hospitalityq-nil'!C1380)),--(TRIM('hospitalityq-nil'!D6:D1380)=TRIM('hospitalityq-nil'!D1380)))&gt;1))</f>
        <v>0</v>
      </c>
    </row>
    <row r="1381" spans="1:4" x14ac:dyDescent="0.25">
      <c r="A1381">
        <f t="shared" si="21"/>
        <v>0</v>
      </c>
      <c r="C1381">
        <f>NOT('hospitalityq-nil'!C1381="")*(OR(NOT(IFERROR(AND(INT('hospitalityq-nil'!C1381)='hospitalityq-nil'!C1381,'hospitalityq-nil'!C1381&gt;=2018-50,'hospitalityq-nil'!C1381&lt;=2018+50),FALSE)),SUMPRODUCT(--(TRIM('hospitalityq-nil'!C6:C1381)=TRIM('hospitalityq-nil'!C1381)),--(TRIM('hospitalityq-nil'!D6:D1381)=TRIM('hospitalityq-nil'!D1381)))&gt;1))</f>
        <v>0</v>
      </c>
      <c r="D1381">
        <f>NOT('hospitalityq-nil'!D1381="")*(OR(COUNTIF(reference!$C$144:$C$155,TRIM(LEFT('hospitalityq-nil'!D1381,FIND(":",'hospitalityq-nil'!D1381&amp;":")-1))&amp;":*")=0,SUMPRODUCT(--(TRIM('hospitalityq-nil'!C6:C1381)=TRIM('hospitalityq-nil'!C1381)),--(TRIM('hospitalityq-nil'!D6:D1381)=TRIM('hospitalityq-nil'!D1381)))&gt;1))</f>
        <v>0</v>
      </c>
    </row>
    <row r="1382" spans="1:4" x14ac:dyDescent="0.25">
      <c r="A1382">
        <f t="shared" si="21"/>
        <v>0</v>
      </c>
      <c r="C1382">
        <f>NOT('hospitalityq-nil'!C1382="")*(OR(NOT(IFERROR(AND(INT('hospitalityq-nil'!C1382)='hospitalityq-nil'!C1382,'hospitalityq-nil'!C1382&gt;=2018-50,'hospitalityq-nil'!C1382&lt;=2018+50),FALSE)),SUMPRODUCT(--(TRIM('hospitalityq-nil'!C6:C1382)=TRIM('hospitalityq-nil'!C1382)),--(TRIM('hospitalityq-nil'!D6:D1382)=TRIM('hospitalityq-nil'!D1382)))&gt;1))</f>
        <v>0</v>
      </c>
      <c r="D1382">
        <f>NOT('hospitalityq-nil'!D1382="")*(OR(COUNTIF(reference!$C$144:$C$155,TRIM(LEFT('hospitalityq-nil'!D1382,FIND(":",'hospitalityq-nil'!D1382&amp;":")-1))&amp;":*")=0,SUMPRODUCT(--(TRIM('hospitalityq-nil'!C6:C1382)=TRIM('hospitalityq-nil'!C1382)),--(TRIM('hospitalityq-nil'!D6:D1382)=TRIM('hospitalityq-nil'!D1382)))&gt;1))</f>
        <v>0</v>
      </c>
    </row>
    <row r="1383" spans="1:4" x14ac:dyDescent="0.25">
      <c r="A1383">
        <f t="shared" si="21"/>
        <v>0</v>
      </c>
      <c r="C1383">
        <f>NOT('hospitalityq-nil'!C1383="")*(OR(NOT(IFERROR(AND(INT('hospitalityq-nil'!C1383)='hospitalityq-nil'!C1383,'hospitalityq-nil'!C1383&gt;=2018-50,'hospitalityq-nil'!C1383&lt;=2018+50),FALSE)),SUMPRODUCT(--(TRIM('hospitalityq-nil'!C6:C1383)=TRIM('hospitalityq-nil'!C1383)),--(TRIM('hospitalityq-nil'!D6:D1383)=TRIM('hospitalityq-nil'!D1383)))&gt;1))</f>
        <v>0</v>
      </c>
      <c r="D1383">
        <f>NOT('hospitalityq-nil'!D1383="")*(OR(COUNTIF(reference!$C$144:$C$155,TRIM(LEFT('hospitalityq-nil'!D1383,FIND(":",'hospitalityq-nil'!D1383&amp;":")-1))&amp;":*")=0,SUMPRODUCT(--(TRIM('hospitalityq-nil'!C6:C1383)=TRIM('hospitalityq-nil'!C1383)),--(TRIM('hospitalityq-nil'!D6:D1383)=TRIM('hospitalityq-nil'!D1383)))&gt;1))</f>
        <v>0</v>
      </c>
    </row>
    <row r="1384" spans="1:4" x14ac:dyDescent="0.25">
      <c r="A1384">
        <f t="shared" si="21"/>
        <v>0</v>
      </c>
      <c r="C1384">
        <f>NOT('hospitalityq-nil'!C1384="")*(OR(NOT(IFERROR(AND(INT('hospitalityq-nil'!C1384)='hospitalityq-nil'!C1384,'hospitalityq-nil'!C1384&gt;=2018-50,'hospitalityq-nil'!C1384&lt;=2018+50),FALSE)),SUMPRODUCT(--(TRIM('hospitalityq-nil'!C6:C1384)=TRIM('hospitalityq-nil'!C1384)),--(TRIM('hospitalityq-nil'!D6:D1384)=TRIM('hospitalityq-nil'!D1384)))&gt;1))</f>
        <v>0</v>
      </c>
      <c r="D1384">
        <f>NOT('hospitalityq-nil'!D1384="")*(OR(COUNTIF(reference!$C$144:$C$155,TRIM(LEFT('hospitalityq-nil'!D1384,FIND(":",'hospitalityq-nil'!D1384&amp;":")-1))&amp;":*")=0,SUMPRODUCT(--(TRIM('hospitalityq-nil'!C6:C1384)=TRIM('hospitalityq-nil'!C1384)),--(TRIM('hospitalityq-nil'!D6:D1384)=TRIM('hospitalityq-nil'!D1384)))&gt;1))</f>
        <v>0</v>
      </c>
    </row>
    <row r="1385" spans="1:4" x14ac:dyDescent="0.25">
      <c r="A1385">
        <f t="shared" si="21"/>
        <v>0</v>
      </c>
      <c r="C1385">
        <f>NOT('hospitalityq-nil'!C1385="")*(OR(NOT(IFERROR(AND(INT('hospitalityq-nil'!C1385)='hospitalityq-nil'!C1385,'hospitalityq-nil'!C1385&gt;=2018-50,'hospitalityq-nil'!C1385&lt;=2018+50),FALSE)),SUMPRODUCT(--(TRIM('hospitalityq-nil'!C6:C1385)=TRIM('hospitalityq-nil'!C1385)),--(TRIM('hospitalityq-nil'!D6:D1385)=TRIM('hospitalityq-nil'!D1385)))&gt;1))</f>
        <v>0</v>
      </c>
      <c r="D1385">
        <f>NOT('hospitalityq-nil'!D1385="")*(OR(COUNTIF(reference!$C$144:$C$155,TRIM(LEFT('hospitalityq-nil'!D1385,FIND(":",'hospitalityq-nil'!D1385&amp;":")-1))&amp;":*")=0,SUMPRODUCT(--(TRIM('hospitalityq-nil'!C6:C1385)=TRIM('hospitalityq-nil'!C1385)),--(TRIM('hospitalityq-nil'!D6:D1385)=TRIM('hospitalityq-nil'!D1385)))&gt;1))</f>
        <v>0</v>
      </c>
    </row>
    <row r="1386" spans="1:4" x14ac:dyDescent="0.25">
      <c r="A1386">
        <f t="shared" si="21"/>
        <v>0</v>
      </c>
      <c r="C1386">
        <f>NOT('hospitalityq-nil'!C1386="")*(OR(NOT(IFERROR(AND(INT('hospitalityq-nil'!C1386)='hospitalityq-nil'!C1386,'hospitalityq-nil'!C1386&gt;=2018-50,'hospitalityq-nil'!C1386&lt;=2018+50),FALSE)),SUMPRODUCT(--(TRIM('hospitalityq-nil'!C6:C1386)=TRIM('hospitalityq-nil'!C1386)),--(TRIM('hospitalityq-nil'!D6:D1386)=TRIM('hospitalityq-nil'!D1386)))&gt;1))</f>
        <v>0</v>
      </c>
      <c r="D1386">
        <f>NOT('hospitalityq-nil'!D1386="")*(OR(COUNTIF(reference!$C$144:$C$155,TRIM(LEFT('hospitalityq-nil'!D1386,FIND(":",'hospitalityq-nil'!D1386&amp;":")-1))&amp;":*")=0,SUMPRODUCT(--(TRIM('hospitalityq-nil'!C6:C1386)=TRIM('hospitalityq-nil'!C1386)),--(TRIM('hospitalityq-nil'!D6:D1386)=TRIM('hospitalityq-nil'!D1386)))&gt;1))</f>
        <v>0</v>
      </c>
    </row>
    <row r="1387" spans="1:4" x14ac:dyDescent="0.25">
      <c r="A1387">
        <f t="shared" si="21"/>
        <v>0</v>
      </c>
      <c r="C1387">
        <f>NOT('hospitalityq-nil'!C1387="")*(OR(NOT(IFERROR(AND(INT('hospitalityq-nil'!C1387)='hospitalityq-nil'!C1387,'hospitalityq-nil'!C1387&gt;=2018-50,'hospitalityq-nil'!C1387&lt;=2018+50),FALSE)),SUMPRODUCT(--(TRIM('hospitalityq-nil'!C6:C1387)=TRIM('hospitalityq-nil'!C1387)),--(TRIM('hospitalityq-nil'!D6:D1387)=TRIM('hospitalityq-nil'!D1387)))&gt;1))</f>
        <v>0</v>
      </c>
      <c r="D1387">
        <f>NOT('hospitalityq-nil'!D1387="")*(OR(COUNTIF(reference!$C$144:$C$155,TRIM(LEFT('hospitalityq-nil'!D1387,FIND(":",'hospitalityq-nil'!D1387&amp;":")-1))&amp;":*")=0,SUMPRODUCT(--(TRIM('hospitalityq-nil'!C6:C1387)=TRIM('hospitalityq-nil'!C1387)),--(TRIM('hospitalityq-nil'!D6:D1387)=TRIM('hospitalityq-nil'!D1387)))&gt;1))</f>
        <v>0</v>
      </c>
    </row>
    <row r="1388" spans="1:4" x14ac:dyDescent="0.25">
      <c r="A1388">
        <f t="shared" si="21"/>
        <v>0</v>
      </c>
      <c r="C1388">
        <f>NOT('hospitalityq-nil'!C1388="")*(OR(NOT(IFERROR(AND(INT('hospitalityq-nil'!C1388)='hospitalityq-nil'!C1388,'hospitalityq-nil'!C1388&gt;=2018-50,'hospitalityq-nil'!C1388&lt;=2018+50),FALSE)),SUMPRODUCT(--(TRIM('hospitalityq-nil'!C6:C1388)=TRIM('hospitalityq-nil'!C1388)),--(TRIM('hospitalityq-nil'!D6:D1388)=TRIM('hospitalityq-nil'!D1388)))&gt;1))</f>
        <v>0</v>
      </c>
      <c r="D1388">
        <f>NOT('hospitalityq-nil'!D1388="")*(OR(COUNTIF(reference!$C$144:$C$155,TRIM(LEFT('hospitalityq-nil'!D1388,FIND(":",'hospitalityq-nil'!D1388&amp;":")-1))&amp;":*")=0,SUMPRODUCT(--(TRIM('hospitalityq-nil'!C6:C1388)=TRIM('hospitalityq-nil'!C1388)),--(TRIM('hospitalityq-nil'!D6:D1388)=TRIM('hospitalityq-nil'!D1388)))&gt;1))</f>
        <v>0</v>
      </c>
    </row>
    <row r="1389" spans="1:4" x14ac:dyDescent="0.25">
      <c r="A1389">
        <f t="shared" si="21"/>
        <v>0</v>
      </c>
      <c r="C1389">
        <f>NOT('hospitalityq-nil'!C1389="")*(OR(NOT(IFERROR(AND(INT('hospitalityq-nil'!C1389)='hospitalityq-nil'!C1389,'hospitalityq-nil'!C1389&gt;=2018-50,'hospitalityq-nil'!C1389&lt;=2018+50),FALSE)),SUMPRODUCT(--(TRIM('hospitalityq-nil'!C6:C1389)=TRIM('hospitalityq-nil'!C1389)),--(TRIM('hospitalityq-nil'!D6:D1389)=TRIM('hospitalityq-nil'!D1389)))&gt;1))</f>
        <v>0</v>
      </c>
      <c r="D1389">
        <f>NOT('hospitalityq-nil'!D1389="")*(OR(COUNTIF(reference!$C$144:$C$155,TRIM(LEFT('hospitalityq-nil'!D1389,FIND(":",'hospitalityq-nil'!D1389&amp;":")-1))&amp;":*")=0,SUMPRODUCT(--(TRIM('hospitalityq-nil'!C6:C1389)=TRIM('hospitalityq-nil'!C1389)),--(TRIM('hospitalityq-nil'!D6:D1389)=TRIM('hospitalityq-nil'!D1389)))&gt;1))</f>
        <v>0</v>
      </c>
    </row>
    <row r="1390" spans="1:4" x14ac:dyDescent="0.25">
      <c r="A1390">
        <f t="shared" si="21"/>
        <v>0</v>
      </c>
      <c r="C1390">
        <f>NOT('hospitalityq-nil'!C1390="")*(OR(NOT(IFERROR(AND(INT('hospitalityq-nil'!C1390)='hospitalityq-nil'!C1390,'hospitalityq-nil'!C1390&gt;=2018-50,'hospitalityq-nil'!C1390&lt;=2018+50),FALSE)),SUMPRODUCT(--(TRIM('hospitalityq-nil'!C6:C1390)=TRIM('hospitalityq-nil'!C1390)),--(TRIM('hospitalityq-nil'!D6:D1390)=TRIM('hospitalityq-nil'!D1390)))&gt;1))</f>
        <v>0</v>
      </c>
      <c r="D1390">
        <f>NOT('hospitalityq-nil'!D1390="")*(OR(COUNTIF(reference!$C$144:$C$155,TRIM(LEFT('hospitalityq-nil'!D1390,FIND(":",'hospitalityq-nil'!D1390&amp;":")-1))&amp;":*")=0,SUMPRODUCT(--(TRIM('hospitalityq-nil'!C6:C1390)=TRIM('hospitalityq-nil'!C1390)),--(TRIM('hospitalityq-nil'!D6:D1390)=TRIM('hospitalityq-nil'!D1390)))&gt;1))</f>
        <v>0</v>
      </c>
    </row>
    <row r="1391" spans="1:4" x14ac:dyDescent="0.25">
      <c r="A1391">
        <f t="shared" si="21"/>
        <v>0</v>
      </c>
      <c r="C1391">
        <f>NOT('hospitalityq-nil'!C1391="")*(OR(NOT(IFERROR(AND(INT('hospitalityq-nil'!C1391)='hospitalityq-nil'!C1391,'hospitalityq-nil'!C1391&gt;=2018-50,'hospitalityq-nil'!C1391&lt;=2018+50),FALSE)),SUMPRODUCT(--(TRIM('hospitalityq-nil'!C6:C1391)=TRIM('hospitalityq-nil'!C1391)),--(TRIM('hospitalityq-nil'!D6:D1391)=TRIM('hospitalityq-nil'!D1391)))&gt;1))</f>
        <v>0</v>
      </c>
      <c r="D1391">
        <f>NOT('hospitalityq-nil'!D1391="")*(OR(COUNTIF(reference!$C$144:$C$155,TRIM(LEFT('hospitalityq-nil'!D1391,FIND(":",'hospitalityq-nil'!D1391&amp;":")-1))&amp;":*")=0,SUMPRODUCT(--(TRIM('hospitalityq-nil'!C6:C1391)=TRIM('hospitalityq-nil'!C1391)),--(TRIM('hospitalityq-nil'!D6:D1391)=TRIM('hospitalityq-nil'!D1391)))&gt;1))</f>
        <v>0</v>
      </c>
    </row>
    <row r="1392" spans="1:4" x14ac:dyDescent="0.25">
      <c r="A1392">
        <f t="shared" si="21"/>
        <v>0</v>
      </c>
      <c r="C1392">
        <f>NOT('hospitalityq-nil'!C1392="")*(OR(NOT(IFERROR(AND(INT('hospitalityq-nil'!C1392)='hospitalityq-nil'!C1392,'hospitalityq-nil'!C1392&gt;=2018-50,'hospitalityq-nil'!C1392&lt;=2018+50),FALSE)),SUMPRODUCT(--(TRIM('hospitalityq-nil'!C6:C1392)=TRIM('hospitalityq-nil'!C1392)),--(TRIM('hospitalityq-nil'!D6:D1392)=TRIM('hospitalityq-nil'!D1392)))&gt;1))</f>
        <v>0</v>
      </c>
      <c r="D1392">
        <f>NOT('hospitalityq-nil'!D1392="")*(OR(COUNTIF(reference!$C$144:$C$155,TRIM(LEFT('hospitalityq-nil'!D1392,FIND(":",'hospitalityq-nil'!D1392&amp;":")-1))&amp;":*")=0,SUMPRODUCT(--(TRIM('hospitalityq-nil'!C6:C1392)=TRIM('hospitalityq-nil'!C1392)),--(TRIM('hospitalityq-nil'!D6:D1392)=TRIM('hospitalityq-nil'!D1392)))&gt;1))</f>
        <v>0</v>
      </c>
    </row>
    <row r="1393" spans="1:4" x14ac:dyDescent="0.25">
      <c r="A1393">
        <f t="shared" si="21"/>
        <v>0</v>
      </c>
      <c r="C1393">
        <f>NOT('hospitalityq-nil'!C1393="")*(OR(NOT(IFERROR(AND(INT('hospitalityq-nil'!C1393)='hospitalityq-nil'!C1393,'hospitalityq-nil'!C1393&gt;=2018-50,'hospitalityq-nil'!C1393&lt;=2018+50),FALSE)),SUMPRODUCT(--(TRIM('hospitalityq-nil'!C6:C1393)=TRIM('hospitalityq-nil'!C1393)),--(TRIM('hospitalityq-nil'!D6:D1393)=TRIM('hospitalityq-nil'!D1393)))&gt;1))</f>
        <v>0</v>
      </c>
      <c r="D1393">
        <f>NOT('hospitalityq-nil'!D1393="")*(OR(COUNTIF(reference!$C$144:$C$155,TRIM(LEFT('hospitalityq-nil'!D1393,FIND(":",'hospitalityq-nil'!D1393&amp;":")-1))&amp;":*")=0,SUMPRODUCT(--(TRIM('hospitalityq-nil'!C6:C1393)=TRIM('hospitalityq-nil'!C1393)),--(TRIM('hospitalityq-nil'!D6:D1393)=TRIM('hospitalityq-nil'!D1393)))&gt;1))</f>
        <v>0</v>
      </c>
    </row>
    <row r="1394" spans="1:4" x14ac:dyDescent="0.25">
      <c r="A1394">
        <f t="shared" si="21"/>
        <v>0</v>
      </c>
      <c r="C1394">
        <f>NOT('hospitalityq-nil'!C1394="")*(OR(NOT(IFERROR(AND(INT('hospitalityq-nil'!C1394)='hospitalityq-nil'!C1394,'hospitalityq-nil'!C1394&gt;=2018-50,'hospitalityq-nil'!C1394&lt;=2018+50),FALSE)),SUMPRODUCT(--(TRIM('hospitalityq-nil'!C6:C1394)=TRIM('hospitalityq-nil'!C1394)),--(TRIM('hospitalityq-nil'!D6:D1394)=TRIM('hospitalityq-nil'!D1394)))&gt;1))</f>
        <v>0</v>
      </c>
      <c r="D1394">
        <f>NOT('hospitalityq-nil'!D1394="")*(OR(COUNTIF(reference!$C$144:$C$155,TRIM(LEFT('hospitalityq-nil'!D1394,FIND(":",'hospitalityq-nil'!D1394&amp;":")-1))&amp;":*")=0,SUMPRODUCT(--(TRIM('hospitalityq-nil'!C6:C1394)=TRIM('hospitalityq-nil'!C1394)),--(TRIM('hospitalityq-nil'!D6:D1394)=TRIM('hospitalityq-nil'!D1394)))&gt;1))</f>
        <v>0</v>
      </c>
    </row>
    <row r="1395" spans="1:4" x14ac:dyDescent="0.25">
      <c r="A1395">
        <f t="shared" si="21"/>
        <v>0</v>
      </c>
      <c r="C1395">
        <f>NOT('hospitalityq-nil'!C1395="")*(OR(NOT(IFERROR(AND(INT('hospitalityq-nil'!C1395)='hospitalityq-nil'!C1395,'hospitalityq-nil'!C1395&gt;=2018-50,'hospitalityq-nil'!C1395&lt;=2018+50),FALSE)),SUMPRODUCT(--(TRIM('hospitalityq-nil'!C6:C1395)=TRIM('hospitalityq-nil'!C1395)),--(TRIM('hospitalityq-nil'!D6:D1395)=TRIM('hospitalityq-nil'!D1395)))&gt;1))</f>
        <v>0</v>
      </c>
      <c r="D1395">
        <f>NOT('hospitalityq-nil'!D1395="")*(OR(COUNTIF(reference!$C$144:$C$155,TRIM(LEFT('hospitalityq-nil'!D1395,FIND(":",'hospitalityq-nil'!D1395&amp;":")-1))&amp;":*")=0,SUMPRODUCT(--(TRIM('hospitalityq-nil'!C6:C1395)=TRIM('hospitalityq-nil'!C1395)),--(TRIM('hospitalityq-nil'!D6:D1395)=TRIM('hospitalityq-nil'!D1395)))&gt;1))</f>
        <v>0</v>
      </c>
    </row>
    <row r="1396" spans="1:4" x14ac:dyDescent="0.25">
      <c r="A1396">
        <f t="shared" si="21"/>
        <v>0</v>
      </c>
      <c r="C1396">
        <f>NOT('hospitalityq-nil'!C1396="")*(OR(NOT(IFERROR(AND(INT('hospitalityq-nil'!C1396)='hospitalityq-nil'!C1396,'hospitalityq-nil'!C1396&gt;=2018-50,'hospitalityq-nil'!C1396&lt;=2018+50),FALSE)),SUMPRODUCT(--(TRIM('hospitalityq-nil'!C6:C1396)=TRIM('hospitalityq-nil'!C1396)),--(TRIM('hospitalityq-nil'!D6:D1396)=TRIM('hospitalityq-nil'!D1396)))&gt;1))</f>
        <v>0</v>
      </c>
      <c r="D1396">
        <f>NOT('hospitalityq-nil'!D1396="")*(OR(COUNTIF(reference!$C$144:$C$155,TRIM(LEFT('hospitalityq-nil'!D1396,FIND(":",'hospitalityq-nil'!D1396&amp;":")-1))&amp;":*")=0,SUMPRODUCT(--(TRIM('hospitalityq-nil'!C6:C1396)=TRIM('hospitalityq-nil'!C1396)),--(TRIM('hospitalityq-nil'!D6:D1396)=TRIM('hospitalityq-nil'!D1396)))&gt;1))</f>
        <v>0</v>
      </c>
    </row>
    <row r="1397" spans="1:4" x14ac:dyDescent="0.25">
      <c r="A1397">
        <f t="shared" si="21"/>
        <v>0</v>
      </c>
      <c r="C1397">
        <f>NOT('hospitalityq-nil'!C1397="")*(OR(NOT(IFERROR(AND(INT('hospitalityq-nil'!C1397)='hospitalityq-nil'!C1397,'hospitalityq-nil'!C1397&gt;=2018-50,'hospitalityq-nil'!C1397&lt;=2018+50),FALSE)),SUMPRODUCT(--(TRIM('hospitalityq-nil'!C6:C1397)=TRIM('hospitalityq-nil'!C1397)),--(TRIM('hospitalityq-nil'!D6:D1397)=TRIM('hospitalityq-nil'!D1397)))&gt;1))</f>
        <v>0</v>
      </c>
      <c r="D1397">
        <f>NOT('hospitalityq-nil'!D1397="")*(OR(COUNTIF(reference!$C$144:$C$155,TRIM(LEFT('hospitalityq-nil'!D1397,FIND(":",'hospitalityq-nil'!D1397&amp;":")-1))&amp;":*")=0,SUMPRODUCT(--(TRIM('hospitalityq-nil'!C6:C1397)=TRIM('hospitalityq-nil'!C1397)),--(TRIM('hospitalityq-nil'!D6:D1397)=TRIM('hospitalityq-nil'!D1397)))&gt;1))</f>
        <v>0</v>
      </c>
    </row>
    <row r="1398" spans="1:4" x14ac:dyDescent="0.25">
      <c r="A1398">
        <f t="shared" si="21"/>
        <v>0</v>
      </c>
      <c r="C1398">
        <f>NOT('hospitalityq-nil'!C1398="")*(OR(NOT(IFERROR(AND(INT('hospitalityq-nil'!C1398)='hospitalityq-nil'!C1398,'hospitalityq-nil'!C1398&gt;=2018-50,'hospitalityq-nil'!C1398&lt;=2018+50),FALSE)),SUMPRODUCT(--(TRIM('hospitalityq-nil'!C6:C1398)=TRIM('hospitalityq-nil'!C1398)),--(TRIM('hospitalityq-nil'!D6:D1398)=TRIM('hospitalityq-nil'!D1398)))&gt;1))</f>
        <v>0</v>
      </c>
      <c r="D1398">
        <f>NOT('hospitalityq-nil'!D1398="")*(OR(COUNTIF(reference!$C$144:$C$155,TRIM(LEFT('hospitalityq-nil'!D1398,FIND(":",'hospitalityq-nil'!D1398&amp;":")-1))&amp;":*")=0,SUMPRODUCT(--(TRIM('hospitalityq-nil'!C6:C1398)=TRIM('hospitalityq-nil'!C1398)),--(TRIM('hospitalityq-nil'!D6:D1398)=TRIM('hospitalityq-nil'!D1398)))&gt;1))</f>
        <v>0</v>
      </c>
    </row>
    <row r="1399" spans="1:4" x14ac:dyDescent="0.25">
      <c r="A1399">
        <f t="shared" si="21"/>
        <v>0</v>
      </c>
      <c r="C1399">
        <f>NOT('hospitalityq-nil'!C1399="")*(OR(NOT(IFERROR(AND(INT('hospitalityq-nil'!C1399)='hospitalityq-nil'!C1399,'hospitalityq-nil'!C1399&gt;=2018-50,'hospitalityq-nil'!C1399&lt;=2018+50),FALSE)),SUMPRODUCT(--(TRIM('hospitalityq-nil'!C6:C1399)=TRIM('hospitalityq-nil'!C1399)),--(TRIM('hospitalityq-nil'!D6:D1399)=TRIM('hospitalityq-nil'!D1399)))&gt;1))</f>
        <v>0</v>
      </c>
      <c r="D1399">
        <f>NOT('hospitalityq-nil'!D1399="")*(OR(COUNTIF(reference!$C$144:$C$155,TRIM(LEFT('hospitalityq-nil'!D1399,FIND(":",'hospitalityq-nil'!D1399&amp;":")-1))&amp;":*")=0,SUMPRODUCT(--(TRIM('hospitalityq-nil'!C6:C1399)=TRIM('hospitalityq-nil'!C1399)),--(TRIM('hospitalityq-nil'!D6:D1399)=TRIM('hospitalityq-nil'!D1399)))&gt;1))</f>
        <v>0</v>
      </c>
    </row>
    <row r="1400" spans="1:4" x14ac:dyDescent="0.25">
      <c r="A1400">
        <f t="shared" si="21"/>
        <v>0</v>
      </c>
      <c r="C1400">
        <f>NOT('hospitalityq-nil'!C1400="")*(OR(NOT(IFERROR(AND(INT('hospitalityq-nil'!C1400)='hospitalityq-nil'!C1400,'hospitalityq-nil'!C1400&gt;=2018-50,'hospitalityq-nil'!C1400&lt;=2018+50),FALSE)),SUMPRODUCT(--(TRIM('hospitalityq-nil'!C6:C1400)=TRIM('hospitalityq-nil'!C1400)),--(TRIM('hospitalityq-nil'!D6:D1400)=TRIM('hospitalityq-nil'!D1400)))&gt;1))</f>
        <v>0</v>
      </c>
      <c r="D1400">
        <f>NOT('hospitalityq-nil'!D1400="")*(OR(COUNTIF(reference!$C$144:$C$155,TRIM(LEFT('hospitalityq-nil'!D1400,FIND(":",'hospitalityq-nil'!D1400&amp;":")-1))&amp;":*")=0,SUMPRODUCT(--(TRIM('hospitalityq-nil'!C6:C1400)=TRIM('hospitalityq-nil'!C1400)),--(TRIM('hospitalityq-nil'!D6:D1400)=TRIM('hospitalityq-nil'!D1400)))&gt;1))</f>
        <v>0</v>
      </c>
    </row>
    <row r="1401" spans="1:4" x14ac:dyDescent="0.25">
      <c r="A1401">
        <f t="shared" si="21"/>
        <v>0</v>
      </c>
      <c r="C1401">
        <f>NOT('hospitalityq-nil'!C1401="")*(OR(NOT(IFERROR(AND(INT('hospitalityq-nil'!C1401)='hospitalityq-nil'!C1401,'hospitalityq-nil'!C1401&gt;=2018-50,'hospitalityq-nil'!C1401&lt;=2018+50),FALSE)),SUMPRODUCT(--(TRIM('hospitalityq-nil'!C6:C1401)=TRIM('hospitalityq-nil'!C1401)),--(TRIM('hospitalityq-nil'!D6:D1401)=TRIM('hospitalityq-nil'!D1401)))&gt;1))</f>
        <v>0</v>
      </c>
      <c r="D1401">
        <f>NOT('hospitalityq-nil'!D1401="")*(OR(COUNTIF(reference!$C$144:$C$155,TRIM(LEFT('hospitalityq-nil'!D1401,FIND(":",'hospitalityq-nil'!D1401&amp;":")-1))&amp;":*")=0,SUMPRODUCT(--(TRIM('hospitalityq-nil'!C6:C1401)=TRIM('hospitalityq-nil'!C1401)),--(TRIM('hospitalityq-nil'!D6:D1401)=TRIM('hospitalityq-nil'!D1401)))&gt;1))</f>
        <v>0</v>
      </c>
    </row>
    <row r="1402" spans="1:4" x14ac:dyDescent="0.25">
      <c r="A1402">
        <f t="shared" si="21"/>
        <v>0</v>
      </c>
      <c r="C1402">
        <f>NOT('hospitalityq-nil'!C1402="")*(OR(NOT(IFERROR(AND(INT('hospitalityq-nil'!C1402)='hospitalityq-nil'!C1402,'hospitalityq-nil'!C1402&gt;=2018-50,'hospitalityq-nil'!C1402&lt;=2018+50),FALSE)),SUMPRODUCT(--(TRIM('hospitalityq-nil'!C6:C1402)=TRIM('hospitalityq-nil'!C1402)),--(TRIM('hospitalityq-nil'!D6:D1402)=TRIM('hospitalityq-nil'!D1402)))&gt;1))</f>
        <v>0</v>
      </c>
      <c r="D1402">
        <f>NOT('hospitalityq-nil'!D1402="")*(OR(COUNTIF(reference!$C$144:$C$155,TRIM(LEFT('hospitalityq-nil'!D1402,FIND(":",'hospitalityq-nil'!D1402&amp;":")-1))&amp;":*")=0,SUMPRODUCT(--(TRIM('hospitalityq-nil'!C6:C1402)=TRIM('hospitalityq-nil'!C1402)),--(TRIM('hospitalityq-nil'!D6:D1402)=TRIM('hospitalityq-nil'!D1402)))&gt;1))</f>
        <v>0</v>
      </c>
    </row>
    <row r="1403" spans="1:4" x14ac:dyDescent="0.25">
      <c r="A1403">
        <f t="shared" si="21"/>
        <v>0</v>
      </c>
      <c r="C1403">
        <f>NOT('hospitalityq-nil'!C1403="")*(OR(NOT(IFERROR(AND(INT('hospitalityq-nil'!C1403)='hospitalityq-nil'!C1403,'hospitalityq-nil'!C1403&gt;=2018-50,'hospitalityq-nil'!C1403&lt;=2018+50),FALSE)),SUMPRODUCT(--(TRIM('hospitalityq-nil'!C6:C1403)=TRIM('hospitalityq-nil'!C1403)),--(TRIM('hospitalityq-nil'!D6:D1403)=TRIM('hospitalityq-nil'!D1403)))&gt;1))</f>
        <v>0</v>
      </c>
      <c r="D1403">
        <f>NOT('hospitalityq-nil'!D1403="")*(OR(COUNTIF(reference!$C$144:$C$155,TRIM(LEFT('hospitalityq-nil'!D1403,FIND(":",'hospitalityq-nil'!D1403&amp;":")-1))&amp;":*")=0,SUMPRODUCT(--(TRIM('hospitalityq-nil'!C6:C1403)=TRIM('hospitalityq-nil'!C1403)),--(TRIM('hospitalityq-nil'!D6:D1403)=TRIM('hospitalityq-nil'!D1403)))&gt;1))</f>
        <v>0</v>
      </c>
    </row>
    <row r="1404" spans="1:4" x14ac:dyDescent="0.25">
      <c r="A1404">
        <f t="shared" si="21"/>
        <v>0</v>
      </c>
      <c r="C1404">
        <f>NOT('hospitalityq-nil'!C1404="")*(OR(NOT(IFERROR(AND(INT('hospitalityq-nil'!C1404)='hospitalityq-nil'!C1404,'hospitalityq-nil'!C1404&gt;=2018-50,'hospitalityq-nil'!C1404&lt;=2018+50),FALSE)),SUMPRODUCT(--(TRIM('hospitalityq-nil'!C6:C1404)=TRIM('hospitalityq-nil'!C1404)),--(TRIM('hospitalityq-nil'!D6:D1404)=TRIM('hospitalityq-nil'!D1404)))&gt;1))</f>
        <v>0</v>
      </c>
      <c r="D1404">
        <f>NOT('hospitalityq-nil'!D1404="")*(OR(COUNTIF(reference!$C$144:$C$155,TRIM(LEFT('hospitalityq-nil'!D1404,FIND(":",'hospitalityq-nil'!D1404&amp;":")-1))&amp;":*")=0,SUMPRODUCT(--(TRIM('hospitalityq-nil'!C6:C1404)=TRIM('hospitalityq-nil'!C1404)),--(TRIM('hospitalityq-nil'!D6:D1404)=TRIM('hospitalityq-nil'!D1404)))&gt;1))</f>
        <v>0</v>
      </c>
    </row>
    <row r="1405" spans="1:4" x14ac:dyDescent="0.25">
      <c r="A1405">
        <f t="shared" si="21"/>
        <v>0</v>
      </c>
      <c r="C1405">
        <f>NOT('hospitalityq-nil'!C1405="")*(OR(NOT(IFERROR(AND(INT('hospitalityq-nil'!C1405)='hospitalityq-nil'!C1405,'hospitalityq-nil'!C1405&gt;=2018-50,'hospitalityq-nil'!C1405&lt;=2018+50),FALSE)),SUMPRODUCT(--(TRIM('hospitalityq-nil'!C6:C1405)=TRIM('hospitalityq-nil'!C1405)),--(TRIM('hospitalityq-nil'!D6:D1405)=TRIM('hospitalityq-nil'!D1405)))&gt;1))</f>
        <v>0</v>
      </c>
      <c r="D1405">
        <f>NOT('hospitalityq-nil'!D1405="")*(OR(COUNTIF(reference!$C$144:$C$155,TRIM(LEFT('hospitalityq-nil'!D1405,FIND(":",'hospitalityq-nil'!D1405&amp;":")-1))&amp;":*")=0,SUMPRODUCT(--(TRIM('hospitalityq-nil'!C6:C1405)=TRIM('hospitalityq-nil'!C1405)),--(TRIM('hospitalityq-nil'!D6:D1405)=TRIM('hospitalityq-nil'!D1405)))&gt;1))</f>
        <v>0</v>
      </c>
    </row>
    <row r="1406" spans="1:4" x14ac:dyDescent="0.25">
      <c r="A1406">
        <f t="shared" si="21"/>
        <v>0</v>
      </c>
      <c r="C1406">
        <f>NOT('hospitalityq-nil'!C1406="")*(OR(NOT(IFERROR(AND(INT('hospitalityq-nil'!C1406)='hospitalityq-nil'!C1406,'hospitalityq-nil'!C1406&gt;=2018-50,'hospitalityq-nil'!C1406&lt;=2018+50),FALSE)),SUMPRODUCT(--(TRIM('hospitalityq-nil'!C6:C1406)=TRIM('hospitalityq-nil'!C1406)),--(TRIM('hospitalityq-nil'!D6:D1406)=TRIM('hospitalityq-nil'!D1406)))&gt;1))</f>
        <v>0</v>
      </c>
      <c r="D1406">
        <f>NOT('hospitalityq-nil'!D1406="")*(OR(COUNTIF(reference!$C$144:$C$155,TRIM(LEFT('hospitalityq-nil'!D1406,FIND(":",'hospitalityq-nil'!D1406&amp;":")-1))&amp;":*")=0,SUMPRODUCT(--(TRIM('hospitalityq-nil'!C6:C1406)=TRIM('hospitalityq-nil'!C1406)),--(TRIM('hospitalityq-nil'!D6:D1406)=TRIM('hospitalityq-nil'!D1406)))&gt;1))</f>
        <v>0</v>
      </c>
    </row>
    <row r="1407" spans="1:4" x14ac:dyDescent="0.25">
      <c r="A1407">
        <f t="shared" si="21"/>
        <v>0</v>
      </c>
      <c r="C1407">
        <f>NOT('hospitalityq-nil'!C1407="")*(OR(NOT(IFERROR(AND(INT('hospitalityq-nil'!C1407)='hospitalityq-nil'!C1407,'hospitalityq-nil'!C1407&gt;=2018-50,'hospitalityq-nil'!C1407&lt;=2018+50),FALSE)),SUMPRODUCT(--(TRIM('hospitalityq-nil'!C6:C1407)=TRIM('hospitalityq-nil'!C1407)),--(TRIM('hospitalityq-nil'!D6:D1407)=TRIM('hospitalityq-nil'!D1407)))&gt;1))</f>
        <v>0</v>
      </c>
      <c r="D1407">
        <f>NOT('hospitalityq-nil'!D1407="")*(OR(COUNTIF(reference!$C$144:$C$155,TRIM(LEFT('hospitalityq-nil'!D1407,FIND(":",'hospitalityq-nil'!D1407&amp;":")-1))&amp;":*")=0,SUMPRODUCT(--(TRIM('hospitalityq-nil'!C6:C1407)=TRIM('hospitalityq-nil'!C1407)),--(TRIM('hospitalityq-nil'!D6:D1407)=TRIM('hospitalityq-nil'!D1407)))&gt;1))</f>
        <v>0</v>
      </c>
    </row>
    <row r="1408" spans="1:4" x14ac:dyDescent="0.25">
      <c r="A1408">
        <f t="shared" si="21"/>
        <v>0</v>
      </c>
      <c r="C1408">
        <f>NOT('hospitalityq-nil'!C1408="")*(OR(NOT(IFERROR(AND(INT('hospitalityq-nil'!C1408)='hospitalityq-nil'!C1408,'hospitalityq-nil'!C1408&gt;=2018-50,'hospitalityq-nil'!C1408&lt;=2018+50),FALSE)),SUMPRODUCT(--(TRIM('hospitalityq-nil'!C6:C1408)=TRIM('hospitalityq-nil'!C1408)),--(TRIM('hospitalityq-nil'!D6:D1408)=TRIM('hospitalityq-nil'!D1408)))&gt;1))</f>
        <v>0</v>
      </c>
      <c r="D1408">
        <f>NOT('hospitalityq-nil'!D1408="")*(OR(COUNTIF(reference!$C$144:$C$155,TRIM(LEFT('hospitalityq-nil'!D1408,FIND(":",'hospitalityq-nil'!D1408&amp;":")-1))&amp;":*")=0,SUMPRODUCT(--(TRIM('hospitalityq-nil'!C6:C1408)=TRIM('hospitalityq-nil'!C1408)),--(TRIM('hospitalityq-nil'!D6:D1408)=TRIM('hospitalityq-nil'!D1408)))&gt;1))</f>
        <v>0</v>
      </c>
    </row>
    <row r="1409" spans="1:4" x14ac:dyDescent="0.25">
      <c r="A1409">
        <f t="shared" si="21"/>
        <v>0</v>
      </c>
      <c r="C1409">
        <f>NOT('hospitalityq-nil'!C1409="")*(OR(NOT(IFERROR(AND(INT('hospitalityq-nil'!C1409)='hospitalityq-nil'!C1409,'hospitalityq-nil'!C1409&gt;=2018-50,'hospitalityq-nil'!C1409&lt;=2018+50),FALSE)),SUMPRODUCT(--(TRIM('hospitalityq-nil'!C6:C1409)=TRIM('hospitalityq-nil'!C1409)),--(TRIM('hospitalityq-nil'!D6:D1409)=TRIM('hospitalityq-nil'!D1409)))&gt;1))</f>
        <v>0</v>
      </c>
      <c r="D1409">
        <f>NOT('hospitalityq-nil'!D1409="")*(OR(COUNTIF(reference!$C$144:$C$155,TRIM(LEFT('hospitalityq-nil'!D1409,FIND(":",'hospitalityq-nil'!D1409&amp;":")-1))&amp;":*")=0,SUMPRODUCT(--(TRIM('hospitalityq-nil'!C6:C1409)=TRIM('hospitalityq-nil'!C1409)),--(TRIM('hospitalityq-nil'!D6:D1409)=TRIM('hospitalityq-nil'!D1409)))&gt;1))</f>
        <v>0</v>
      </c>
    </row>
    <row r="1410" spans="1:4" x14ac:dyDescent="0.25">
      <c r="A1410">
        <f t="shared" si="21"/>
        <v>0</v>
      </c>
      <c r="C1410">
        <f>NOT('hospitalityq-nil'!C1410="")*(OR(NOT(IFERROR(AND(INT('hospitalityq-nil'!C1410)='hospitalityq-nil'!C1410,'hospitalityq-nil'!C1410&gt;=2018-50,'hospitalityq-nil'!C1410&lt;=2018+50),FALSE)),SUMPRODUCT(--(TRIM('hospitalityq-nil'!C6:C1410)=TRIM('hospitalityq-nil'!C1410)),--(TRIM('hospitalityq-nil'!D6:D1410)=TRIM('hospitalityq-nil'!D1410)))&gt;1))</f>
        <v>0</v>
      </c>
      <c r="D1410">
        <f>NOT('hospitalityq-nil'!D1410="")*(OR(COUNTIF(reference!$C$144:$C$155,TRIM(LEFT('hospitalityq-nil'!D1410,FIND(":",'hospitalityq-nil'!D1410&amp;":")-1))&amp;":*")=0,SUMPRODUCT(--(TRIM('hospitalityq-nil'!C6:C1410)=TRIM('hospitalityq-nil'!C1410)),--(TRIM('hospitalityq-nil'!D6:D1410)=TRIM('hospitalityq-nil'!D1410)))&gt;1))</f>
        <v>0</v>
      </c>
    </row>
    <row r="1411" spans="1:4" x14ac:dyDescent="0.25">
      <c r="A1411">
        <f t="shared" si="21"/>
        <v>0</v>
      </c>
      <c r="C1411">
        <f>NOT('hospitalityq-nil'!C1411="")*(OR(NOT(IFERROR(AND(INT('hospitalityq-nil'!C1411)='hospitalityq-nil'!C1411,'hospitalityq-nil'!C1411&gt;=2018-50,'hospitalityq-nil'!C1411&lt;=2018+50),FALSE)),SUMPRODUCT(--(TRIM('hospitalityq-nil'!C6:C1411)=TRIM('hospitalityq-nil'!C1411)),--(TRIM('hospitalityq-nil'!D6:D1411)=TRIM('hospitalityq-nil'!D1411)))&gt;1))</f>
        <v>0</v>
      </c>
      <c r="D1411">
        <f>NOT('hospitalityq-nil'!D1411="")*(OR(COUNTIF(reference!$C$144:$C$155,TRIM(LEFT('hospitalityq-nil'!D1411,FIND(":",'hospitalityq-nil'!D1411&amp;":")-1))&amp;":*")=0,SUMPRODUCT(--(TRIM('hospitalityq-nil'!C6:C1411)=TRIM('hospitalityq-nil'!C1411)),--(TRIM('hospitalityq-nil'!D6:D1411)=TRIM('hospitalityq-nil'!D1411)))&gt;1))</f>
        <v>0</v>
      </c>
    </row>
    <row r="1412" spans="1:4" x14ac:dyDescent="0.25">
      <c r="A1412">
        <f t="shared" si="21"/>
        <v>0</v>
      </c>
      <c r="C1412">
        <f>NOT('hospitalityq-nil'!C1412="")*(OR(NOT(IFERROR(AND(INT('hospitalityq-nil'!C1412)='hospitalityq-nil'!C1412,'hospitalityq-nil'!C1412&gt;=2018-50,'hospitalityq-nil'!C1412&lt;=2018+50),FALSE)),SUMPRODUCT(--(TRIM('hospitalityq-nil'!C6:C1412)=TRIM('hospitalityq-nil'!C1412)),--(TRIM('hospitalityq-nil'!D6:D1412)=TRIM('hospitalityq-nil'!D1412)))&gt;1))</f>
        <v>0</v>
      </c>
      <c r="D1412">
        <f>NOT('hospitalityq-nil'!D1412="")*(OR(COUNTIF(reference!$C$144:$C$155,TRIM(LEFT('hospitalityq-nil'!D1412,FIND(":",'hospitalityq-nil'!D1412&amp;":")-1))&amp;":*")=0,SUMPRODUCT(--(TRIM('hospitalityq-nil'!C6:C1412)=TRIM('hospitalityq-nil'!C1412)),--(TRIM('hospitalityq-nil'!D6:D1412)=TRIM('hospitalityq-nil'!D1412)))&gt;1))</f>
        <v>0</v>
      </c>
    </row>
    <row r="1413" spans="1:4" x14ac:dyDescent="0.25">
      <c r="A1413">
        <f t="shared" si="21"/>
        <v>0</v>
      </c>
      <c r="C1413">
        <f>NOT('hospitalityq-nil'!C1413="")*(OR(NOT(IFERROR(AND(INT('hospitalityq-nil'!C1413)='hospitalityq-nil'!C1413,'hospitalityq-nil'!C1413&gt;=2018-50,'hospitalityq-nil'!C1413&lt;=2018+50),FALSE)),SUMPRODUCT(--(TRIM('hospitalityq-nil'!C6:C1413)=TRIM('hospitalityq-nil'!C1413)),--(TRIM('hospitalityq-nil'!D6:D1413)=TRIM('hospitalityq-nil'!D1413)))&gt;1))</f>
        <v>0</v>
      </c>
      <c r="D1413">
        <f>NOT('hospitalityq-nil'!D1413="")*(OR(COUNTIF(reference!$C$144:$C$155,TRIM(LEFT('hospitalityq-nil'!D1413,FIND(":",'hospitalityq-nil'!D1413&amp;":")-1))&amp;":*")=0,SUMPRODUCT(--(TRIM('hospitalityq-nil'!C6:C1413)=TRIM('hospitalityq-nil'!C1413)),--(TRIM('hospitalityq-nil'!D6:D1413)=TRIM('hospitalityq-nil'!D1413)))&gt;1))</f>
        <v>0</v>
      </c>
    </row>
    <row r="1414" spans="1:4" x14ac:dyDescent="0.25">
      <c r="A1414">
        <f t="shared" ref="A1414:A1477" si="22">IFERROR(MATCH(TRUE,INDEX(C1414:D1414&lt;&gt;0,),)+2,0)</f>
        <v>0</v>
      </c>
      <c r="C1414">
        <f>NOT('hospitalityq-nil'!C1414="")*(OR(NOT(IFERROR(AND(INT('hospitalityq-nil'!C1414)='hospitalityq-nil'!C1414,'hospitalityq-nil'!C1414&gt;=2018-50,'hospitalityq-nil'!C1414&lt;=2018+50),FALSE)),SUMPRODUCT(--(TRIM('hospitalityq-nil'!C6:C1414)=TRIM('hospitalityq-nil'!C1414)),--(TRIM('hospitalityq-nil'!D6:D1414)=TRIM('hospitalityq-nil'!D1414)))&gt;1))</f>
        <v>0</v>
      </c>
      <c r="D1414">
        <f>NOT('hospitalityq-nil'!D1414="")*(OR(COUNTIF(reference!$C$144:$C$155,TRIM(LEFT('hospitalityq-nil'!D1414,FIND(":",'hospitalityq-nil'!D1414&amp;":")-1))&amp;":*")=0,SUMPRODUCT(--(TRIM('hospitalityq-nil'!C6:C1414)=TRIM('hospitalityq-nil'!C1414)),--(TRIM('hospitalityq-nil'!D6:D1414)=TRIM('hospitalityq-nil'!D1414)))&gt;1))</f>
        <v>0</v>
      </c>
    </row>
    <row r="1415" spans="1:4" x14ac:dyDescent="0.25">
      <c r="A1415">
        <f t="shared" si="22"/>
        <v>0</v>
      </c>
      <c r="C1415">
        <f>NOT('hospitalityq-nil'!C1415="")*(OR(NOT(IFERROR(AND(INT('hospitalityq-nil'!C1415)='hospitalityq-nil'!C1415,'hospitalityq-nil'!C1415&gt;=2018-50,'hospitalityq-nil'!C1415&lt;=2018+50),FALSE)),SUMPRODUCT(--(TRIM('hospitalityq-nil'!C6:C1415)=TRIM('hospitalityq-nil'!C1415)),--(TRIM('hospitalityq-nil'!D6:D1415)=TRIM('hospitalityq-nil'!D1415)))&gt;1))</f>
        <v>0</v>
      </c>
      <c r="D1415">
        <f>NOT('hospitalityq-nil'!D1415="")*(OR(COUNTIF(reference!$C$144:$C$155,TRIM(LEFT('hospitalityq-nil'!D1415,FIND(":",'hospitalityq-nil'!D1415&amp;":")-1))&amp;":*")=0,SUMPRODUCT(--(TRIM('hospitalityq-nil'!C6:C1415)=TRIM('hospitalityq-nil'!C1415)),--(TRIM('hospitalityq-nil'!D6:D1415)=TRIM('hospitalityq-nil'!D1415)))&gt;1))</f>
        <v>0</v>
      </c>
    </row>
    <row r="1416" spans="1:4" x14ac:dyDescent="0.25">
      <c r="A1416">
        <f t="shared" si="22"/>
        <v>0</v>
      </c>
      <c r="C1416">
        <f>NOT('hospitalityq-nil'!C1416="")*(OR(NOT(IFERROR(AND(INT('hospitalityq-nil'!C1416)='hospitalityq-nil'!C1416,'hospitalityq-nil'!C1416&gt;=2018-50,'hospitalityq-nil'!C1416&lt;=2018+50),FALSE)),SUMPRODUCT(--(TRIM('hospitalityq-nil'!C6:C1416)=TRIM('hospitalityq-nil'!C1416)),--(TRIM('hospitalityq-nil'!D6:D1416)=TRIM('hospitalityq-nil'!D1416)))&gt;1))</f>
        <v>0</v>
      </c>
      <c r="D1416">
        <f>NOT('hospitalityq-nil'!D1416="")*(OR(COUNTIF(reference!$C$144:$C$155,TRIM(LEFT('hospitalityq-nil'!D1416,FIND(":",'hospitalityq-nil'!D1416&amp;":")-1))&amp;":*")=0,SUMPRODUCT(--(TRIM('hospitalityq-nil'!C6:C1416)=TRIM('hospitalityq-nil'!C1416)),--(TRIM('hospitalityq-nil'!D6:D1416)=TRIM('hospitalityq-nil'!D1416)))&gt;1))</f>
        <v>0</v>
      </c>
    </row>
    <row r="1417" spans="1:4" x14ac:dyDescent="0.25">
      <c r="A1417">
        <f t="shared" si="22"/>
        <v>0</v>
      </c>
      <c r="C1417">
        <f>NOT('hospitalityq-nil'!C1417="")*(OR(NOT(IFERROR(AND(INT('hospitalityq-nil'!C1417)='hospitalityq-nil'!C1417,'hospitalityq-nil'!C1417&gt;=2018-50,'hospitalityq-nil'!C1417&lt;=2018+50),FALSE)),SUMPRODUCT(--(TRIM('hospitalityq-nil'!C6:C1417)=TRIM('hospitalityq-nil'!C1417)),--(TRIM('hospitalityq-nil'!D6:D1417)=TRIM('hospitalityq-nil'!D1417)))&gt;1))</f>
        <v>0</v>
      </c>
      <c r="D1417">
        <f>NOT('hospitalityq-nil'!D1417="")*(OR(COUNTIF(reference!$C$144:$C$155,TRIM(LEFT('hospitalityq-nil'!D1417,FIND(":",'hospitalityq-nil'!D1417&amp;":")-1))&amp;":*")=0,SUMPRODUCT(--(TRIM('hospitalityq-nil'!C6:C1417)=TRIM('hospitalityq-nil'!C1417)),--(TRIM('hospitalityq-nil'!D6:D1417)=TRIM('hospitalityq-nil'!D1417)))&gt;1))</f>
        <v>0</v>
      </c>
    </row>
    <row r="1418" spans="1:4" x14ac:dyDescent="0.25">
      <c r="A1418">
        <f t="shared" si="22"/>
        <v>0</v>
      </c>
      <c r="C1418">
        <f>NOT('hospitalityq-nil'!C1418="")*(OR(NOT(IFERROR(AND(INT('hospitalityq-nil'!C1418)='hospitalityq-nil'!C1418,'hospitalityq-nil'!C1418&gt;=2018-50,'hospitalityq-nil'!C1418&lt;=2018+50),FALSE)),SUMPRODUCT(--(TRIM('hospitalityq-nil'!C6:C1418)=TRIM('hospitalityq-nil'!C1418)),--(TRIM('hospitalityq-nil'!D6:D1418)=TRIM('hospitalityq-nil'!D1418)))&gt;1))</f>
        <v>0</v>
      </c>
      <c r="D1418">
        <f>NOT('hospitalityq-nil'!D1418="")*(OR(COUNTIF(reference!$C$144:$C$155,TRIM(LEFT('hospitalityq-nil'!D1418,FIND(":",'hospitalityq-nil'!D1418&amp;":")-1))&amp;":*")=0,SUMPRODUCT(--(TRIM('hospitalityq-nil'!C6:C1418)=TRIM('hospitalityq-nil'!C1418)),--(TRIM('hospitalityq-nil'!D6:D1418)=TRIM('hospitalityq-nil'!D1418)))&gt;1))</f>
        <v>0</v>
      </c>
    </row>
    <row r="1419" spans="1:4" x14ac:dyDescent="0.25">
      <c r="A1419">
        <f t="shared" si="22"/>
        <v>0</v>
      </c>
      <c r="C1419">
        <f>NOT('hospitalityq-nil'!C1419="")*(OR(NOT(IFERROR(AND(INT('hospitalityq-nil'!C1419)='hospitalityq-nil'!C1419,'hospitalityq-nil'!C1419&gt;=2018-50,'hospitalityq-nil'!C1419&lt;=2018+50),FALSE)),SUMPRODUCT(--(TRIM('hospitalityq-nil'!C6:C1419)=TRIM('hospitalityq-nil'!C1419)),--(TRIM('hospitalityq-nil'!D6:D1419)=TRIM('hospitalityq-nil'!D1419)))&gt;1))</f>
        <v>0</v>
      </c>
      <c r="D1419">
        <f>NOT('hospitalityq-nil'!D1419="")*(OR(COUNTIF(reference!$C$144:$C$155,TRIM(LEFT('hospitalityq-nil'!D1419,FIND(":",'hospitalityq-nil'!D1419&amp;":")-1))&amp;":*")=0,SUMPRODUCT(--(TRIM('hospitalityq-nil'!C6:C1419)=TRIM('hospitalityq-nil'!C1419)),--(TRIM('hospitalityq-nil'!D6:D1419)=TRIM('hospitalityq-nil'!D1419)))&gt;1))</f>
        <v>0</v>
      </c>
    </row>
    <row r="1420" spans="1:4" x14ac:dyDescent="0.25">
      <c r="A1420">
        <f t="shared" si="22"/>
        <v>0</v>
      </c>
      <c r="C1420">
        <f>NOT('hospitalityq-nil'!C1420="")*(OR(NOT(IFERROR(AND(INT('hospitalityq-nil'!C1420)='hospitalityq-nil'!C1420,'hospitalityq-nil'!C1420&gt;=2018-50,'hospitalityq-nil'!C1420&lt;=2018+50),FALSE)),SUMPRODUCT(--(TRIM('hospitalityq-nil'!C6:C1420)=TRIM('hospitalityq-nil'!C1420)),--(TRIM('hospitalityq-nil'!D6:D1420)=TRIM('hospitalityq-nil'!D1420)))&gt;1))</f>
        <v>0</v>
      </c>
      <c r="D1420">
        <f>NOT('hospitalityq-nil'!D1420="")*(OR(COUNTIF(reference!$C$144:$C$155,TRIM(LEFT('hospitalityq-nil'!D1420,FIND(":",'hospitalityq-nil'!D1420&amp;":")-1))&amp;":*")=0,SUMPRODUCT(--(TRIM('hospitalityq-nil'!C6:C1420)=TRIM('hospitalityq-nil'!C1420)),--(TRIM('hospitalityq-nil'!D6:D1420)=TRIM('hospitalityq-nil'!D1420)))&gt;1))</f>
        <v>0</v>
      </c>
    </row>
    <row r="1421" spans="1:4" x14ac:dyDescent="0.25">
      <c r="A1421">
        <f t="shared" si="22"/>
        <v>0</v>
      </c>
      <c r="C1421">
        <f>NOT('hospitalityq-nil'!C1421="")*(OR(NOT(IFERROR(AND(INT('hospitalityq-nil'!C1421)='hospitalityq-nil'!C1421,'hospitalityq-nil'!C1421&gt;=2018-50,'hospitalityq-nil'!C1421&lt;=2018+50),FALSE)),SUMPRODUCT(--(TRIM('hospitalityq-nil'!C6:C1421)=TRIM('hospitalityq-nil'!C1421)),--(TRIM('hospitalityq-nil'!D6:D1421)=TRIM('hospitalityq-nil'!D1421)))&gt;1))</f>
        <v>0</v>
      </c>
      <c r="D1421">
        <f>NOT('hospitalityq-nil'!D1421="")*(OR(COUNTIF(reference!$C$144:$C$155,TRIM(LEFT('hospitalityq-nil'!D1421,FIND(":",'hospitalityq-nil'!D1421&amp;":")-1))&amp;":*")=0,SUMPRODUCT(--(TRIM('hospitalityq-nil'!C6:C1421)=TRIM('hospitalityq-nil'!C1421)),--(TRIM('hospitalityq-nil'!D6:D1421)=TRIM('hospitalityq-nil'!D1421)))&gt;1))</f>
        <v>0</v>
      </c>
    </row>
    <row r="1422" spans="1:4" x14ac:dyDescent="0.25">
      <c r="A1422">
        <f t="shared" si="22"/>
        <v>0</v>
      </c>
      <c r="C1422">
        <f>NOT('hospitalityq-nil'!C1422="")*(OR(NOT(IFERROR(AND(INT('hospitalityq-nil'!C1422)='hospitalityq-nil'!C1422,'hospitalityq-nil'!C1422&gt;=2018-50,'hospitalityq-nil'!C1422&lt;=2018+50),FALSE)),SUMPRODUCT(--(TRIM('hospitalityq-nil'!C6:C1422)=TRIM('hospitalityq-nil'!C1422)),--(TRIM('hospitalityq-nil'!D6:D1422)=TRIM('hospitalityq-nil'!D1422)))&gt;1))</f>
        <v>0</v>
      </c>
      <c r="D1422">
        <f>NOT('hospitalityq-nil'!D1422="")*(OR(COUNTIF(reference!$C$144:$C$155,TRIM(LEFT('hospitalityq-nil'!D1422,FIND(":",'hospitalityq-nil'!D1422&amp;":")-1))&amp;":*")=0,SUMPRODUCT(--(TRIM('hospitalityq-nil'!C6:C1422)=TRIM('hospitalityq-nil'!C1422)),--(TRIM('hospitalityq-nil'!D6:D1422)=TRIM('hospitalityq-nil'!D1422)))&gt;1))</f>
        <v>0</v>
      </c>
    </row>
    <row r="1423" spans="1:4" x14ac:dyDescent="0.25">
      <c r="A1423">
        <f t="shared" si="22"/>
        <v>0</v>
      </c>
      <c r="C1423">
        <f>NOT('hospitalityq-nil'!C1423="")*(OR(NOT(IFERROR(AND(INT('hospitalityq-nil'!C1423)='hospitalityq-nil'!C1423,'hospitalityq-nil'!C1423&gt;=2018-50,'hospitalityq-nil'!C1423&lt;=2018+50),FALSE)),SUMPRODUCT(--(TRIM('hospitalityq-nil'!C6:C1423)=TRIM('hospitalityq-nil'!C1423)),--(TRIM('hospitalityq-nil'!D6:D1423)=TRIM('hospitalityq-nil'!D1423)))&gt;1))</f>
        <v>0</v>
      </c>
      <c r="D1423">
        <f>NOT('hospitalityq-nil'!D1423="")*(OR(COUNTIF(reference!$C$144:$C$155,TRIM(LEFT('hospitalityq-nil'!D1423,FIND(":",'hospitalityq-nil'!D1423&amp;":")-1))&amp;":*")=0,SUMPRODUCT(--(TRIM('hospitalityq-nil'!C6:C1423)=TRIM('hospitalityq-nil'!C1423)),--(TRIM('hospitalityq-nil'!D6:D1423)=TRIM('hospitalityq-nil'!D1423)))&gt;1))</f>
        <v>0</v>
      </c>
    </row>
    <row r="1424" spans="1:4" x14ac:dyDescent="0.25">
      <c r="A1424">
        <f t="shared" si="22"/>
        <v>0</v>
      </c>
      <c r="C1424">
        <f>NOT('hospitalityq-nil'!C1424="")*(OR(NOT(IFERROR(AND(INT('hospitalityq-nil'!C1424)='hospitalityq-nil'!C1424,'hospitalityq-nil'!C1424&gt;=2018-50,'hospitalityq-nil'!C1424&lt;=2018+50),FALSE)),SUMPRODUCT(--(TRIM('hospitalityq-nil'!C6:C1424)=TRIM('hospitalityq-nil'!C1424)),--(TRIM('hospitalityq-nil'!D6:D1424)=TRIM('hospitalityq-nil'!D1424)))&gt;1))</f>
        <v>0</v>
      </c>
      <c r="D1424">
        <f>NOT('hospitalityq-nil'!D1424="")*(OR(COUNTIF(reference!$C$144:$C$155,TRIM(LEFT('hospitalityq-nil'!D1424,FIND(":",'hospitalityq-nil'!D1424&amp;":")-1))&amp;":*")=0,SUMPRODUCT(--(TRIM('hospitalityq-nil'!C6:C1424)=TRIM('hospitalityq-nil'!C1424)),--(TRIM('hospitalityq-nil'!D6:D1424)=TRIM('hospitalityq-nil'!D1424)))&gt;1))</f>
        <v>0</v>
      </c>
    </row>
    <row r="1425" spans="1:4" x14ac:dyDescent="0.25">
      <c r="A1425">
        <f t="shared" si="22"/>
        <v>0</v>
      </c>
      <c r="C1425">
        <f>NOT('hospitalityq-nil'!C1425="")*(OR(NOT(IFERROR(AND(INT('hospitalityq-nil'!C1425)='hospitalityq-nil'!C1425,'hospitalityq-nil'!C1425&gt;=2018-50,'hospitalityq-nil'!C1425&lt;=2018+50),FALSE)),SUMPRODUCT(--(TRIM('hospitalityq-nil'!C6:C1425)=TRIM('hospitalityq-nil'!C1425)),--(TRIM('hospitalityq-nil'!D6:D1425)=TRIM('hospitalityq-nil'!D1425)))&gt;1))</f>
        <v>0</v>
      </c>
      <c r="D1425">
        <f>NOT('hospitalityq-nil'!D1425="")*(OR(COUNTIF(reference!$C$144:$C$155,TRIM(LEFT('hospitalityq-nil'!D1425,FIND(":",'hospitalityq-nil'!D1425&amp;":")-1))&amp;":*")=0,SUMPRODUCT(--(TRIM('hospitalityq-nil'!C6:C1425)=TRIM('hospitalityq-nil'!C1425)),--(TRIM('hospitalityq-nil'!D6:D1425)=TRIM('hospitalityq-nil'!D1425)))&gt;1))</f>
        <v>0</v>
      </c>
    </row>
    <row r="1426" spans="1:4" x14ac:dyDescent="0.25">
      <c r="A1426">
        <f t="shared" si="22"/>
        <v>0</v>
      </c>
      <c r="C1426">
        <f>NOT('hospitalityq-nil'!C1426="")*(OR(NOT(IFERROR(AND(INT('hospitalityq-nil'!C1426)='hospitalityq-nil'!C1426,'hospitalityq-nil'!C1426&gt;=2018-50,'hospitalityq-nil'!C1426&lt;=2018+50),FALSE)),SUMPRODUCT(--(TRIM('hospitalityq-nil'!C6:C1426)=TRIM('hospitalityq-nil'!C1426)),--(TRIM('hospitalityq-nil'!D6:D1426)=TRIM('hospitalityq-nil'!D1426)))&gt;1))</f>
        <v>0</v>
      </c>
      <c r="D1426">
        <f>NOT('hospitalityq-nil'!D1426="")*(OR(COUNTIF(reference!$C$144:$C$155,TRIM(LEFT('hospitalityq-nil'!D1426,FIND(":",'hospitalityq-nil'!D1426&amp;":")-1))&amp;":*")=0,SUMPRODUCT(--(TRIM('hospitalityq-nil'!C6:C1426)=TRIM('hospitalityq-nil'!C1426)),--(TRIM('hospitalityq-nil'!D6:D1426)=TRIM('hospitalityq-nil'!D1426)))&gt;1))</f>
        <v>0</v>
      </c>
    </row>
    <row r="1427" spans="1:4" x14ac:dyDescent="0.25">
      <c r="A1427">
        <f t="shared" si="22"/>
        <v>0</v>
      </c>
      <c r="C1427">
        <f>NOT('hospitalityq-nil'!C1427="")*(OR(NOT(IFERROR(AND(INT('hospitalityq-nil'!C1427)='hospitalityq-nil'!C1427,'hospitalityq-nil'!C1427&gt;=2018-50,'hospitalityq-nil'!C1427&lt;=2018+50),FALSE)),SUMPRODUCT(--(TRIM('hospitalityq-nil'!C6:C1427)=TRIM('hospitalityq-nil'!C1427)),--(TRIM('hospitalityq-nil'!D6:D1427)=TRIM('hospitalityq-nil'!D1427)))&gt;1))</f>
        <v>0</v>
      </c>
      <c r="D1427">
        <f>NOT('hospitalityq-nil'!D1427="")*(OR(COUNTIF(reference!$C$144:$C$155,TRIM(LEFT('hospitalityq-nil'!D1427,FIND(":",'hospitalityq-nil'!D1427&amp;":")-1))&amp;":*")=0,SUMPRODUCT(--(TRIM('hospitalityq-nil'!C6:C1427)=TRIM('hospitalityq-nil'!C1427)),--(TRIM('hospitalityq-nil'!D6:D1427)=TRIM('hospitalityq-nil'!D1427)))&gt;1))</f>
        <v>0</v>
      </c>
    </row>
    <row r="1428" spans="1:4" x14ac:dyDescent="0.25">
      <c r="A1428">
        <f t="shared" si="22"/>
        <v>0</v>
      </c>
      <c r="C1428">
        <f>NOT('hospitalityq-nil'!C1428="")*(OR(NOT(IFERROR(AND(INT('hospitalityq-nil'!C1428)='hospitalityq-nil'!C1428,'hospitalityq-nil'!C1428&gt;=2018-50,'hospitalityq-nil'!C1428&lt;=2018+50),FALSE)),SUMPRODUCT(--(TRIM('hospitalityq-nil'!C6:C1428)=TRIM('hospitalityq-nil'!C1428)),--(TRIM('hospitalityq-nil'!D6:D1428)=TRIM('hospitalityq-nil'!D1428)))&gt;1))</f>
        <v>0</v>
      </c>
      <c r="D1428">
        <f>NOT('hospitalityq-nil'!D1428="")*(OR(COUNTIF(reference!$C$144:$C$155,TRIM(LEFT('hospitalityq-nil'!D1428,FIND(":",'hospitalityq-nil'!D1428&amp;":")-1))&amp;":*")=0,SUMPRODUCT(--(TRIM('hospitalityq-nil'!C6:C1428)=TRIM('hospitalityq-nil'!C1428)),--(TRIM('hospitalityq-nil'!D6:D1428)=TRIM('hospitalityq-nil'!D1428)))&gt;1))</f>
        <v>0</v>
      </c>
    </row>
    <row r="1429" spans="1:4" x14ac:dyDescent="0.25">
      <c r="A1429">
        <f t="shared" si="22"/>
        <v>0</v>
      </c>
      <c r="C1429">
        <f>NOT('hospitalityq-nil'!C1429="")*(OR(NOT(IFERROR(AND(INT('hospitalityq-nil'!C1429)='hospitalityq-nil'!C1429,'hospitalityq-nil'!C1429&gt;=2018-50,'hospitalityq-nil'!C1429&lt;=2018+50),FALSE)),SUMPRODUCT(--(TRIM('hospitalityq-nil'!C6:C1429)=TRIM('hospitalityq-nil'!C1429)),--(TRIM('hospitalityq-nil'!D6:D1429)=TRIM('hospitalityq-nil'!D1429)))&gt;1))</f>
        <v>0</v>
      </c>
      <c r="D1429">
        <f>NOT('hospitalityq-nil'!D1429="")*(OR(COUNTIF(reference!$C$144:$C$155,TRIM(LEFT('hospitalityq-nil'!D1429,FIND(":",'hospitalityq-nil'!D1429&amp;":")-1))&amp;":*")=0,SUMPRODUCT(--(TRIM('hospitalityq-nil'!C6:C1429)=TRIM('hospitalityq-nil'!C1429)),--(TRIM('hospitalityq-nil'!D6:D1429)=TRIM('hospitalityq-nil'!D1429)))&gt;1))</f>
        <v>0</v>
      </c>
    </row>
    <row r="1430" spans="1:4" x14ac:dyDescent="0.25">
      <c r="A1430">
        <f t="shared" si="22"/>
        <v>0</v>
      </c>
      <c r="C1430">
        <f>NOT('hospitalityq-nil'!C1430="")*(OR(NOT(IFERROR(AND(INT('hospitalityq-nil'!C1430)='hospitalityq-nil'!C1430,'hospitalityq-nil'!C1430&gt;=2018-50,'hospitalityq-nil'!C1430&lt;=2018+50),FALSE)),SUMPRODUCT(--(TRIM('hospitalityq-nil'!C6:C1430)=TRIM('hospitalityq-nil'!C1430)),--(TRIM('hospitalityq-nil'!D6:D1430)=TRIM('hospitalityq-nil'!D1430)))&gt;1))</f>
        <v>0</v>
      </c>
      <c r="D1430">
        <f>NOT('hospitalityq-nil'!D1430="")*(OR(COUNTIF(reference!$C$144:$C$155,TRIM(LEFT('hospitalityq-nil'!D1430,FIND(":",'hospitalityq-nil'!D1430&amp;":")-1))&amp;":*")=0,SUMPRODUCT(--(TRIM('hospitalityq-nil'!C6:C1430)=TRIM('hospitalityq-nil'!C1430)),--(TRIM('hospitalityq-nil'!D6:D1430)=TRIM('hospitalityq-nil'!D1430)))&gt;1))</f>
        <v>0</v>
      </c>
    </row>
    <row r="1431" spans="1:4" x14ac:dyDescent="0.25">
      <c r="A1431">
        <f t="shared" si="22"/>
        <v>0</v>
      </c>
      <c r="C1431">
        <f>NOT('hospitalityq-nil'!C1431="")*(OR(NOT(IFERROR(AND(INT('hospitalityq-nil'!C1431)='hospitalityq-nil'!C1431,'hospitalityq-nil'!C1431&gt;=2018-50,'hospitalityq-nil'!C1431&lt;=2018+50),FALSE)),SUMPRODUCT(--(TRIM('hospitalityq-nil'!C6:C1431)=TRIM('hospitalityq-nil'!C1431)),--(TRIM('hospitalityq-nil'!D6:D1431)=TRIM('hospitalityq-nil'!D1431)))&gt;1))</f>
        <v>0</v>
      </c>
      <c r="D1431">
        <f>NOT('hospitalityq-nil'!D1431="")*(OR(COUNTIF(reference!$C$144:$C$155,TRIM(LEFT('hospitalityq-nil'!D1431,FIND(":",'hospitalityq-nil'!D1431&amp;":")-1))&amp;":*")=0,SUMPRODUCT(--(TRIM('hospitalityq-nil'!C6:C1431)=TRIM('hospitalityq-nil'!C1431)),--(TRIM('hospitalityq-nil'!D6:D1431)=TRIM('hospitalityq-nil'!D1431)))&gt;1))</f>
        <v>0</v>
      </c>
    </row>
    <row r="1432" spans="1:4" x14ac:dyDescent="0.25">
      <c r="A1432">
        <f t="shared" si="22"/>
        <v>0</v>
      </c>
      <c r="C1432">
        <f>NOT('hospitalityq-nil'!C1432="")*(OR(NOT(IFERROR(AND(INT('hospitalityq-nil'!C1432)='hospitalityq-nil'!C1432,'hospitalityq-nil'!C1432&gt;=2018-50,'hospitalityq-nil'!C1432&lt;=2018+50),FALSE)),SUMPRODUCT(--(TRIM('hospitalityq-nil'!C6:C1432)=TRIM('hospitalityq-nil'!C1432)),--(TRIM('hospitalityq-nil'!D6:D1432)=TRIM('hospitalityq-nil'!D1432)))&gt;1))</f>
        <v>0</v>
      </c>
      <c r="D1432">
        <f>NOT('hospitalityq-nil'!D1432="")*(OR(COUNTIF(reference!$C$144:$C$155,TRIM(LEFT('hospitalityq-nil'!D1432,FIND(":",'hospitalityq-nil'!D1432&amp;":")-1))&amp;":*")=0,SUMPRODUCT(--(TRIM('hospitalityq-nil'!C6:C1432)=TRIM('hospitalityq-nil'!C1432)),--(TRIM('hospitalityq-nil'!D6:D1432)=TRIM('hospitalityq-nil'!D1432)))&gt;1))</f>
        <v>0</v>
      </c>
    </row>
    <row r="1433" spans="1:4" x14ac:dyDescent="0.25">
      <c r="A1433">
        <f t="shared" si="22"/>
        <v>0</v>
      </c>
      <c r="C1433">
        <f>NOT('hospitalityq-nil'!C1433="")*(OR(NOT(IFERROR(AND(INT('hospitalityq-nil'!C1433)='hospitalityq-nil'!C1433,'hospitalityq-nil'!C1433&gt;=2018-50,'hospitalityq-nil'!C1433&lt;=2018+50),FALSE)),SUMPRODUCT(--(TRIM('hospitalityq-nil'!C6:C1433)=TRIM('hospitalityq-nil'!C1433)),--(TRIM('hospitalityq-nil'!D6:D1433)=TRIM('hospitalityq-nil'!D1433)))&gt;1))</f>
        <v>0</v>
      </c>
      <c r="D1433">
        <f>NOT('hospitalityq-nil'!D1433="")*(OR(COUNTIF(reference!$C$144:$C$155,TRIM(LEFT('hospitalityq-nil'!D1433,FIND(":",'hospitalityq-nil'!D1433&amp;":")-1))&amp;":*")=0,SUMPRODUCT(--(TRIM('hospitalityq-nil'!C6:C1433)=TRIM('hospitalityq-nil'!C1433)),--(TRIM('hospitalityq-nil'!D6:D1433)=TRIM('hospitalityq-nil'!D1433)))&gt;1))</f>
        <v>0</v>
      </c>
    </row>
    <row r="1434" spans="1:4" x14ac:dyDescent="0.25">
      <c r="A1434">
        <f t="shared" si="22"/>
        <v>0</v>
      </c>
      <c r="C1434">
        <f>NOT('hospitalityq-nil'!C1434="")*(OR(NOT(IFERROR(AND(INT('hospitalityq-nil'!C1434)='hospitalityq-nil'!C1434,'hospitalityq-nil'!C1434&gt;=2018-50,'hospitalityq-nil'!C1434&lt;=2018+50),FALSE)),SUMPRODUCT(--(TRIM('hospitalityq-nil'!C6:C1434)=TRIM('hospitalityq-nil'!C1434)),--(TRIM('hospitalityq-nil'!D6:D1434)=TRIM('hospitalityq-nil'!D1434)))&gt;1))</f>
        <v>0</v>
      </c>
      <c r="D1434">
        <f>NOT('hospitalityq-nil'!D1434="")*(OR(COUNTIF(reference!$C$144:$C$155,TRIM(LEFT('hospitalityq-nil'!D1434,FIND(":",'hospitalityq-nil'!D1434&amp;":")-1))&amp;":*")=0,SUMPRODUCT(--(TRIM('hospitalityq-nil'!C6:C1434)=TRIM('hospitalityq-nil'!C1434)),--(TRIM('hospitalityq-nil'!D6:D1434)=TRIM('hospitalityq-nil'!D1434)))&gt;1))</f>
        <v>0</v>
      </c>
    </row>
    <row r="1435" spans="1:4" x14ac:dyDescent="0.25">
      <c r="A1435">
        <f t="shared" si="22"/>
        <v>0</v>
      </c>
      <c r="C1435">
        <f>NOT('hospitalityq-nil'!C1435="")*(OR(NOT(IFERROR(AND(INT('hospitalityq-nil'!C1435)='hospitalityq-nil'!C1435,'hospitalityq-nil'!C1435&gt;=2018-50,'hospitalityq-nil'!C1435&lt;=2018+50),FALSE)),SUMPRODUCT(--(TRIM('hospitalityq-nil'!C6:C1435)=TRIM('hospitalityq-nil'!C1435)),--(TRIM('hospitalityq-nil'!D6:D1435)=TRIM('hospitalityq-nil'!D1435)))&gt;1))</f>
        <v>0</v>
      </c>
      <c r="D1435">
        <f>NOT('hospitalityq-nil'!D1435="")*(OR(COUNTIF(reference!$C$144:$C$155,TRIM(LEFT('hospitalityq-nil'!D1435,FIND(":",'hospitalityq-nil'!D1435&amp;":")-1))&amp;":*")=0,SUMPRODUCT(--(TRIM('hospitalityq-nil'!C6:C1435)=TRIM('hospitalityq-nil'!C1435)),--(TRIM('hospitalityq-nil'!D6:D1435)=TRIM('hospitalityq-nil'!D1435)))&gt;1))</f>
        <v>0</v>
      </c>
    </row>
    <row r="1436" spans="1:4" x14ac:dyDescent="0.25">
      <c r="A1436">
        <f t="shared" si="22"/>
        <v>0</v>
      </c>
      <c r="C1436">
        <f>NOT('hospitalityq-nil'!C1436="")*(OR(NOT(IFERROR(AND(INT('hospitalityq-nil'!C1436)='hospitalityq-nil'!C1436,'hospitalityq-nil'!C1436&gt;=2018-50,'hospitalityq-nil'!C1436&lt;=2018+50),FALSE)),SUMPRODUCT(--(TRIM('hospitalityq-nil'!C6:C1436)=TRIM('hospitalityq-nil'!C1436)),--(TRIM('hospitalityq-nil'!D6:D1436)=TRIM('hospitalityq-nil'!D1436)))&gt;1))</f>
        <v>0</v>
      </c>
      <c r="D1436">
        <f>NOT('hospitalityq-nil'!D1436="")*(OR(COUNTIF(reference!$C$144:$C$155,TRIM(LEFT('hospitalityq-nil'!D1436,FIND(":",'hospitalityq-nil'!D1436&amp;":")-1))&amp;":*")=0,SUMPRODUCT(--(TRIM('hospitalityq-nil'!C6:C1436)=TRIM('hospitalityq-nil'!C1436)),--(TRIM('hospitalityq-nil'!D6:D1436)=TRIM('hospitalityq-nil'!D1436)))&gt;1))</f>
        <v>0</v>
      </c>
    </row>
    <row r="1437" spans="1:4" x14ac:dyDescent="0.25">
      <c r="A1437">
        <f t="shared" si="22"/>
        <v>0</v>
      </c>
      <c r="C1437">
        <f>NOT('hospitalityq-nil'!C1437="")*(OR(NOT(IFERROR(AND(INT('hospitalityq-nil'!C1437)='hospitalityq-nil'!C1437,'hospitalityq-nil'!C1437&gt;=2018-50,'hospitalityq-nil'!C1437&lt;=2018+50),FALSE)),SUMPRODUCT(--(TRIM('hospitalityq-nil'!C6:C1437)=TRIM('hospitalityq-nil'!C1437)),--(TRIM('hospitalityq-nil'!D6:D1437)=TRIM('hospitalityq-nil'!D1437)))&gt;1))</f>
        <v>0</v>
      </c>
      <c r="D1437">
        <f>NOT('hospitalityq-nil'!D1437="")*(OR(COUNTIF(reference!$C$144:$C$155,TRIM(LEFT('hospitalityq-nil'!D1437,FIND(":",'hospitalityq-nil'!D1437&amp;":")-1))&amp;":*")=0,SUMPRODUCT(--(TRIM('hospitalityq-nil'!C6:C1437)=TRIM('hospitalityq-nil'!C1437)),--(TRIM('hospitalityq-nil'!D6:D1437)=TRIM('hospitalityq-nil'!D1437)))&gt;1))</f>
        <v>0</v>
      </c>
    </row>
    <row r="1438" spans="1:4" x14ac:dyDescent="0.25">
      <c r="A1438">
        <f t="shared" si="22"/>
        <v>0</v>
      </c>
      <c r="C1438">
        <f>NOT('hospitalityq-nil'!C1438="")*(OR(NOT(IFERROR(AND(INT('hospitalityq-nil'!C1438)='hospitalityq-nil'!C1438,'hospitalityq-nil'!C1438&gt;=2018-50,'hospitalityq-nil'!C1438&lt;=2018+50),FALSE)),SUMPRODUCT(--(TRIM('hospitalityq-nil'!C6:C1438)=TRIM('hospitalityq-nil'!C1438)),--(TRIM('hospitalityq-nil'!D6:D1438)=TRIM('hospitalityq-nil'!D1438)))&gt;1))</f>
        <v>0</v>
      </c>
      <c r="D1438">
        <f>NOT('hospitalityq-nil'!D1438="")*(OR(COUNTIF(reference!$C$144:$C$155,TRIM(LEFT('hospitalityq-nil'!D1438,FIND(":",'hospitalityq-nil'!D1438&amp;":")-1))&amp;":*")=0,SUMPRODUCT(--(TRIM('hospitalityq-nil'!C6:C1438)=TRIM('hospitalityq-nil'!C1438)),--(TRIM('hospitalityq-nil'!D6:D1438)=TRIM('hospitalityq-nil'!D1438)))&gt;1))</f>
        <v>0</v>
      </c>
    </row>
    <row r="1439" spans="1:4" x14ac:dyDescent="0.25">
      <c r="A1439">
        <f t="shared" si="22"/>
        <v>0</v>
      </c>
      <c r="C1439">
        <f>NOT('hospitalityq-nil'!C1439="")*(OR(NOT(IFERROR(AND(INT('hospitalityq-nil'!C1439)='hospitalityq-nil'!C1439,'hospitalityq-nil'!C1439&gt;=2018-50,'hospitalityq-nil'!C1439&lt;=2018+50),FALSE)),SUMPRODUCT(--(TRIM('hospitalityq-nil'!C6:C1439)=TRIM('hospitalityq-nil'!C1439)),--(TRIM('hospitalityq-nil'!D6:D1439)=TRIM('hospitalityq-nil'!D1439)))&gt;1))</f>
        <v>0</v>
      </c>
      <c r="D1439">
        <f>NOT('hospitalityq-nil'!D1439="")*(OR(COUNTIF(reference!$C$144:$C$155,TRIM(LEFT('hospitalityq-nil'!D1439,FIND(":",'hospitalityq-nil'!D1439&amp;":")-1))&amp;":*")=0,SUMPRODUCT(--(TRIM('hospitalityq-nil'!C6:C1439)=TRIM('hospitalityq-nil'!C1439)),--(TRIM('hospitalityq-nil'!D6:D1439)=TRIM('hospitalityq-nil'!D1439)))&gt;1))</f>
        <v>0</v>
      </c>
    </row>
    <row r="1440" spans="1:4" x14ac:dyDescent="0.25">
      <c r="A1440">
        <f t="shared" si="22"/>
        <v>0</v>
      </c>
      <c r="C1440">
        <f>NOT('hospitalityq-nil'!C1440="")*(OR(NOT(IFERROR(AND(INT('hospitalityq-nil'!C1440)='hospitalityq-nil'!C1440,'hospitalityq-nil'!C1440&gt;=2018-50,'hospitalityq-nil'!C1440&lt;=2018+50),FALSE)),SUMPRODUCT(--(TRIM('hospitalityq-nil'!C6:C1440)=TRIM('hospitalityq-nil'!C1440)),--(TRIM('hospitalityq-nil'!D6:D1440)=TRIM('hospitalityq-nil'!D1440)))&gt;1))</f>
        <v>0</v>
      </c>
      <c r="D1440">
        <f>NOT('hospitalityq-nil'!D1440="")*(OR(COUNTIF(reference!$C$144:$C$155,TRIM(LEFT('hospitalityq-nil'!D1440,FIND(":",'hospitalityq-nil'!D1440&amp;":")-1))&amp;":*")=0,SUMPRODUCT(--(TRIM('hospitalityq-nil'!C6:C1440)=TRIM('hospitalityq-nil'!C1440)),--(TRIM('hospitalityq-nil'!D6:D1440)=TRIM('hospitalityq-nil'!D1440)))&gt;1))</f>
        <v>0</v>
      </c>
    </row>
    <row r="1441" spans="1:4" x14ac:dyDescent="0.25">
      <c r="A1441">
        <f t="shared" si="22"/>
        <v>0</v>
      </c>
      <c r="C1441">
        <f>NOT('hospitalityq-nil'!C1441="")*(OR(NOT(IFERROR(AND(INT('hospitalityq-nil'!C1441)='hospitalityq-nil'!C1441,'hospitalityq-nil'!C1441&gt;=2018-50,'hospitalityq-nil'!C1441&lt;=2018+50),FALSE)),SUMPRODUCT(--(TRIM('hospitalityq-nil'!C6:C1441)=TRIM('hospitalityq-nil'!C1441)),--(TRIM('hospitalityq-nil'!D6:D1441)=TRIM('hospitalityq-nil'!D1441)))&gt;1))</f>
        <v>0</v>
      </c>
      <c r="D1441">
        <f>NOT('hospitalityq-nil'!D1441="")*(OR(COUNTIF(reference!$C$144:$C$155,TRIM(LEFT('hospitalityq-nil'!D1441,FIND(":",'hospitalityq-nil'!D1441&amp;":")-1))&amp;":*")=0,SUMPRODUCT(--(TRIM('hospitalityq-nil'!C6:C1441)=TRIM('hospitalityq-nil'!C1441)),--(TRIM('hospitalityq-nil'!D6:D1441)=TRIM('hospitalityq-nil'!D1441)))&gt;1))</f>
        <v>0</v>
      </c>
    </row>
    <row r="1442" spans="1:4" x14ac:dyDescent="0.25">
      <c r="A1442">
        <f t="shared" si="22"/>
        <v>0</v>
      </c>
      <c r="C1442">
        <f>NOT('hospitalityq-nil'!C1442="")*(OR(NOT(IFERROR(AND(INT('hospitalityq-nil'!C1442)='hospitalityq-nil'!C1442,'hospitalityq-nil'!C1442&gt;=2018-50,'hospitalityq-nil'!C1442&lt;=2018+50),FALSE)),SUMPRODUCT(--(TRIM('hospitalityq-nil'!C6:C1442)=TRIM('hospitalityq-nil'!C1442)),--(TRIM('hospitalityq-nil'!D6:D1442)=TRIM('hospitalityq-nil'!D1442)))&gt;1))</f>
        <v>0</v>
      </c>
      <c r="D1442">
        <f>NOT('hospitalityq-nil'!D1442="")*(OR(COUNTIF(reference!$C$144:$C$155,TRIM(LEFT('hospitalityq-nil'!D1442,FIND(":",'hospitalityq-nil'!D1442&amp;":")-1))&amp;":*")=0,SUMPRODUCT(--(TRIM('hospitalityq-nil'!C6:C1442)=TRIM('hospitalityq-nil'!C1442)),--(TRIM('hospitalityq-nil'!D6:D1442)=TRIM('hospitalityq-nil'!D1442)))&gt;1))</f>
        <v>0</v>
      </c>
    </row>
    <row r="1443" spans="1:4" x14ac:dyDescent="0.25">
      <c r="A1443">
        <f t="shared" si="22"/>
        <v>0</v>
      </c>
      <c r="C1443">
        <f>NOT('hospitalityq-nil'!C1443="")*(OR(NOT(IFERROR(AND(INT('hospitalityq-nil'!C1443)='hospitalityq-nil'!C1443,'hospitalityq-nil'!C1443&gt;=2018-50,'hospitalityq-nil'!C1443&lt;=2018+50),FALSE)),SUMPRODUCT(--(TRIM('hospitalityq-nil'!C6:C1443)=TRIM('hospitalityq-nil'!C1443)),--(TRIM('hospitalityq-nil'!D6:D1443)=TRIM('hospitalityq-nil'!D1443)))&gt;1))</f>
        <v>0</v>
      </c>
      <c r="D1443">
        <f>NOT('hospitalityq-nil'!D1443="")*(OR(COUNTIF(reference!$C$144:$C$155,TRIM(LEFT('hospitalityq-nil'!D1443,FIND(":",'hospitalityq-nil'!D1443&amp;":")-1))&amp;":*")=0,SUMPRODUCT(--(TRIM('hospitalityq-nil'!C6:C1443)=TRIM('hospitalityq-nil'!C1443)),--(TRIM('hospitalityq-nil'!D6:D1443)=TRIM('hospitalityq-nil'!D1443)))&gt;1))</f>
        <v>0</v>
      </c>
    </row>
    <row r="1444" spans="1:4" x14ac:dyDescent="0.25">
      <c r="A1444">
        <f t="shared" si="22"/>
        <v>0</v>
      </c>
      <c r="C1444">
        <f>NOT('hospitalityq-nil'!C1444="")*(OR(NOT(IFERROR(AND(INT('hospitalityq-nil'!C1444)='hospitalityq-nil'!C1444,'hospitalityq-nil'!C1444&gt;=2018-50,'hospitalityq-nil'!C1444&lt;=2018+50),FALSE)),SUMPRODUCT(--(TRIM('hospitalityq-nil'!C6:C1444)=TRIM('hospitalityq-nil'!C1444)),--(TRIM('hospitalityq-nil'!D6:D1444)=TRIM('hospitalityq-nil'!D1444)))&gt;1))</f>
        <v>0</v>
      </c>
      <c r="D1444">
        <f>NOT('hospitalityq-nil'!D1444="")*(OR(COUNTIF(reference!$C$144:$C$155,TRIM(LEFT('hospitalityq-nil'!D1444,FIND(":",'hospitalityq-nil'!D1444&amp;":")-1))&amp;":*")=0,SUMPRODUCT(--(TRIM('hospitalityq-nil'!C6:C1444)=TRIM('hospitalityq-nil'!C1444)),--(TRIM('hospitalityq-nil'!D6:D1444)=TRIM('hospitalityq-nil'!D1444)))&gt;1))</f>
        <v>0</v>
      </c>
    </row>
    <row r="1445" spans="1:4" x14ac:dyDescent="0.25">
      <c r="A1445">
        <f t="shared" si="22"/>
        <v>0</v>
      </c>
      <c r="C1445">
        <f>NOT('hospitalityq-nil'!C1445="")*(OR(NOT(IFERROR(AND(INT('hospitalityq-nil'!C1445)='hospitalityq-nil'!C1445,'hospitalityq-nil'!C1445&gt;=2018-50,'hospitalityq-nil'!C1445&lt;=2018+50),FALSE)),SUMPRODUCT(--(TRIM('hospitalityq-nil'!C6:C1445)=TRIM('hospitalityq-nil'!C1445)),--(TRIM('hospitalityq-nil'!D6:D1445)=TRIM('hospitalityq-nil'!D1445)))&gt;1))</f>
        <v>0</v>
      </c>
      <c r="D1445">
        <f>NOT('hospitalityq-nil'!D1445="")*(OR(COUNTIF(reference!$C$144:$C$155,TRIM(LEFT('hospitalityq-nil'!D1445,FIND(":",'hospitalityq-nil'!D1445&amp;":")-1))&amp;":*")=0,SUMPRODUCT(--(TRIM('hospitalityq-nil'!C6:C1445)=TRIM('hospitalityq-nil'!C1445)),--(TRIM('hospitalityq-nil'!D6:D1445)=TRIM('hospitalityq-nil'!D1445)))&gt;1))</f>
        <v>0</v>
      </c>
    </row>
    <row r="1446" spans="1:4" x14ac:dyDescent="0.25">
      <c r="A1446">
        <f t="shared" si="22"/>
        <v>0</v>
      </c>
      <c r="C1446">
        <f>NOT('hospitalityq-nil'!C1446="")*(OR(NOT(IFERROR(AND(INT('hospitalityq-nil'!C1446)='hospitalityq-nil'!C1446,'hospitalityq-nil'!C1446&gt;=2018-50,'hospitalityq-nil'!C1446&lt;=2018+50),FALSE)),SUMPRODUCT(--(TRIM('hospitalityq-nil'!C6:C1446)=TRIM('hospitalityq-nil'!C1446)),--(TRIM('hospitalityq-nil'!D6:D1446)=TRIM('hospitalityq-nil'!D1446)))&gt;1))</f>
        <v>0</v>
      </c>
      <c r="D1446">
        <f>NOT('hospitalityq-nil'!D1446="")*(OR(COUNTIF(reference!$C$144:$C$155,TRIM(LEFT('hospitalityq-nil'!D1446,FIND(":",'hospitalityq-nil'!D1446&amp;":")-1))&amp;":*")=0,SUMPRODUCT(--(TRIM('hospitalityq-nil'!C6:C1446)=TRIM('hospitalityq-nil'!C1446)),--(TRIM('hospitalityq-nil'!D6:D1446)=TRIM('hospitalityq-nil'!D1446)))&gt;1))</f>
        <v>0</v>
      </c>
    </row>
    <row r="1447" spans="1:4" x14ac:dyDescent="0.25">
      <c r="A1447">
        <f t="shared" si="22"/>
        <v>0</v>
      </c>
      <c r="C1447">
        <f>NOT('hospitalityq-nil'!C1447="")*(OR(NOT(IFERROR(AND(INT('hospitalityq-nil'!C1447)='hospitalityq-nil'!C1447,'hospitalityq-nil'!C1447&gt;=2018-50,'hospitalityq-nil'!C1447&lt;=2018+50),FALSE)),SUMPRODUCT(--(TRIM('hospitalityq-nil'!C6:C1447)=TRIM('hospitalityq-nil'!C1447)),--(TRIM('hospitalityq-nil'!D6:D1447)=TRIM('hospitalityq-nil'!D1447)))&gt;1))</f>
        <v>0</v>
      </c>
      <c r="D1447">
        <f>NOT('hospitalityq-nil'!D1447="")*(OR(COUNTIF(reference!$C$144:$C$155,TRIM(LEFT('hospitalityq-nil'!D1447,FIND(":",'hospitalityq-nil'!D1447&amp;":")-1))&amp;":*")=0,SUMPRODUCT(--(TRIM('hospitalityq-nil'!C6:C1447)=TRIM('hospitalityq-nil'!C1447)),--(TRIM('hospitalityq-nil'!D6:D1447)=TRIM('hospitalityq-nil'!D1447)))&gt;1))</f>
        <v>0</v>
      </c>
    </row>
    <row r="1448" spans="1:4" x14ac:dyDescent="0.25">
      <c r="A1448">
        <f t="shared" si="22"/>
        <v>0</v>
      </c>
      <c r="C1448">
        <f>NOT('hospitalityq-nil'!C1448="")*(OR(NOT(IFERROR(AND(INT('hospitalityq-nil'!C1448)='hospitalityq-nil'!C1448,'hospitalityq-nil'!C1448&gt;=2018-50,'hospitalityq-nil'!C1448&lt;=2018+50),FALSE)),SUMPRODUCT(--(TRIM('hospitalityq-nil'!C6:C1448)=TRIM('hospitalityq-nil'!C1448)),--(TRIM('hospitalityq-nil'!D6:D1448)=TRIM('hospitalityq-nil'!D1448)))&gt;1))</f>
        <v>0</v>
      </c>
      <c r="D1448">
        <f>NOT('hospitalityq-nil'!D1448="")*(OR(COUNTIF(reference!$C$144:$C$155,TRIM(LEFT('hospitalityq-nil'!D1448,FIND(":",'hospitalityq-nil'!D1448&amp;":")-1))&amp;":*")=0,SUMPRODUCT(--(TRIM('hospitalityq-nil'!C6:C1448)=TRIM('hospitalityq-nil'!C1448)),--(TRIM('hospitalityq-nil'!D6:D1448)=TRIM('hospitalityq-nil'!D1448)))&gt;1))</f>
        <v>0</v>
      </c>
    </row>
    <row r="1449" spans="1:4" x14ac:dyDescent="0.25">
      <c r="A1449">
        <f t="shared" si="22"/>
        <v>0</v>
      </c>
      <c r="C1449">
        <f>NOT('hospitalityq-nil'!C1449="")*(OR(NOT(IFERROR(AND(INT('hospitalityq-nil'!C1449)='hospitalityq-nil'!C1449,'hospitalityq-nil'!C1449&gt;=2018-50,'hospitalityq-nil'!C1449&lt;=2018+50),FALSE)),SUMPRODUCT(--(TRIM('hospitalityq-nil'!C6:C1449)=TRIM('hospitalityq-nil'!C1449)),--(TRIM('hospitalityq-nil'!D6:D1449)=TRIM('hospitalityq-nil'!D1449)))&gt;1))</f>
        <v>0</v>
      </c>
      <c r="D1449">
        <f>NOT('hospitalityq-nil'!D1449="")*(OR(COUNTIF(reference!$C$144:$C$155,TRIM(LEFT('hospitalityq-nil'!D1449,FIND(":",'hospitalityq-nil'!D1449&amp;":")-1))&amp;":*")=0,SUMPRODUCT(--(TRIM('hospitalityq-nil'!C6:C1449)=TRIM('hospitalityq-nil'!C1449)),--(TRIM('hospitalityq-nil'!D6:D1449)=TRIM('hospitalityq-nil'!D1449)))&gt;1))</f>
        <v>0</v>
      </c>
    </row>
    <row r="1450" spans="1:4" x14ac:dyDescent="0.25">
      <c r="A1450">
        <f t="shared" si="22"/>
        <v>0</v>
      </c>
      <c r="C1450">
        <f>NOT('hospitalityq-nil'!C1450="")*(OR(NOT(IFERROR(AND(INT('hospitalityq-nil'!C1450)='hospitalityq-nil'!C1450,'hospitalityq-nil'!C1450&gt;=2018-50,'hospitalityq-nil'!C1450&lt;=2018+50),FALSE)),SUMPRODUCT(--(TRIM('hospitalityq-nil'!C6:C1450)=TRIM('hospitalityq-nil'!C1450)),--(TRIM('hospitalityq-nil'!D6:D1450)=TRIM('hospitalityq-nil'!D1450)))&gt;1))</f>
        <v>0</v>
      </c>
      <c r="D1450">
        <f>NOT('hospitalityq-nil'!D1450="")*(OR(COUNTIF(reference!$C$144:$C$155,TRIM(LEFT('hospitalityq-nil'!D1450,FIND(":",'hospitalityq-nil'!D1450&amp;":")-1))&amp;":*")=0,SUMPRODUCT(--(TRIM('hospitalityq-nil'!C6:C1450)=TRIM('hospitalityq-nil'!C1450)),--(TRIM('hospitalityq-nil'!D6:D1450)=TRIM('hospitalityq-nil'!D1450)))&gt;1))</f>
        <v>0</v>
      </c>
    </row>
    <row r="1451" spans="1:4" x14ac:dyDescent="0.25">
      <c r="A1451">
        <f t="shared" si="22"/>
        <v>0</v>
      </c>
      <c r="C1451">
        <f>NOT('hospitalityq-nil'!C1451="")*(OR(NOT(IFERROR(AND(INT('hospitalityq-nil'!C1451)='hospitalityq-nil'!C1451,'hospitalityq-nil'!C1451&gt;=2018-50,'hospitalityq-nil'!C1451&lt;=2018+50),FALSE)),SUMPRODUCT(--(TRIM('hospitalityq-nil'!C6:C1451)=TRIM('hospitalityq-nil'!C1451)),--(TRIM('hospitalityq-nil'!D6:D1451)=TRIM('hospitalityq-nil'!D1451)))&gt;1))</f>
        <v>0</v>
      </c>
      <c r="D1451">
        <f>NOT('hospitalityq-nil'!D1451="")*(OR(COUNTIF(reference!$C$144:$C$155,TRIM(LEFT('hospitalityq-nil'!D1451,FIND(":",'hospitalityq-nil'!D1451&amp;":")-1))&amp;":*")=0,SUMPRODUCT(--(TRIM('hospitalityq-nil'!C6:C1451)=TRIM('hospitalityq-nil'!C1451)),--(TRIM('hospitalityq-nil'!D6:D1451)=TRIM('hospitalityq-nil'!D1451)))&gt;1))</f>
        <v>0</v>
      </c>
    </row>
    <row r="1452" spans="1:4" x14ac:dyDescent="0.25">
      <c r="A1452">
        <f t="shared" si="22"/>
        <v>0</v>
      </c>
      <c r="C1452">
        <f>NOT('hospitalityq-nil'!C1452="")*(OR(NOT(IFERROR(AND(INT('hospitalityq-nil'!C1452)='hospitalityq-nil'!C1452,'hospitalityq-nil'!C1452&gt;=2018-50,'hospitalityq-nil'!C1452&lt;=2018+50),FALSE)),SUMPRODUCT(--(TRIM('hospitalityq-nil'!C6:C1452)=TRIM('hospitalityq-nil'!C1452)),--(TRIM('hospitalityq-nil'!D6:D1452)=TRIM('hospitalityq-nil'!D1452)))&gt;1))</f>
        <v>0</v>
      </c>
      <c r="D1452">
        <f>NOT('hospitalityq-nil'!D1452="")*(OR(COUNTIF(reference!$C$144:$C$155,TRIM(LEFT('hospitalityq-nil'!D1452,FIND(":",'hospitalityq-nil'!D1452&amp;":")-1))&amp;":*")=0,SUMPRODUCT(--(TRIM('hospitalityq-nil'!C6:C1452)=TRIM('hospitalityq-nil'!C1452)),--(TRIM('hospitalityq-nil'!D6:D1452)=TRIM('hospitalityq-nil'!D1452)))&gt;1))</f>
        <v>0</v>
      </c>
    </row>
    <row r="1453" spans="1:4" x14ac:dyDescent="0.25">
      <c r="A1453">
        <f t="shared" si="22"/>
        <v>0</v>
      </c>
      <c r="C1453">
        <f>NOT('hospitalityq-nil'!C1453="")*(OR(NOT(IFERROR(AND(INT('hospitalityq-nil'!C1453)='hospitalityq-nil'!C1453,'hospitalityq-nil'!C1453&gt;=2018-50,'hospitalityq-nil'!C1453&lt;=2018+50),FALSE)),SUMPRODUCT(--(TRIM('hospitalityq-nil'!C6:C1453)=TRIM('hospitalityq-nil'!C1453)),--(TRIM('hospitalityq-nil'!D6:D1453)=TRIM('hospitalityq-nil'!D1453)))&gt;1))</f>
        <v>0</v>
      </c>
      <c r="D1453">
        <f>NOT('hospitalityq-nil'!D1453="")*(OR(COUNTIF(reference!$C$144:$C$155,TRIM(LEFT('hospitalityq-nil'!D1453,FIND(":",'hospitalityq-nil'!D1453&amp;":")-1))&amp;":*")=0,SUMPRODUCT(--(TRIM('hospitalityq-nil'!C6:C1453)=TRIM('hospitalityq-nil'!C1453)),--(TRIM('hospitalityq-nil'!D6:D1453)=TRIM('hospitalityq-nil'!D1453)))&gt;1))</f>
        <v>0</v>
      </c>
    </row>
    <row r="1454" spans="1:4" x14ac:dyDescent="0.25">
      <c r="A1454">
        <f t="shared" si="22"/>
        <v>0</v>
      </c>
      <c r="C1454">
        <f>NOT('hospitalityq-nil'!C1454="")*(OR(NOT(IFERROR(AND(INT('hospitalityq-nil'!C1454)='hospitalityq-nil'!C1454,'hospitalityq-nil'!C1454&gt;=2018-50,'hospitalityq-nil'!C1454&lt;=2018+50),FALSE)),SUMPRODUCT(--(TRIM('hospitalityq-nil'!C6:C1454)=TRIM('hospitalityq-nil'!C1454)),--(TRIM('hospitalityq-nil'!D6:D1454)=TRIM('hospitalityq-nil'!D1454)))&gt;1))</f>
        <v>0</v>
      </c>
      <c r="D1454">
        <f>NOT('hospitalityq-nil'!D1454="")*(OR(COUNTIF(reference!$C$144:$C$155,TRIM(LEFT('hospitalityq-nil'!D1454,FIND(":",'hospitalityq-nil'!D1454&amp;":")-1))&amp;":*")=0,SUMPRODUCT(--(TRIM('hospitalityq-nil'!C6:C1454)=TRIM('hospitalityq-nil'!C1454)),--(TRIM('hospitalityq-nil'!D6:D1454)=TRIM('hospitalityq-nil'!D1454)))&gt;1))</f>
        <v>0</v>
      </c>
    </row>
    <row r="1455" spans="1:4" x14ac:dyDescent="0.25">
      <c r="A1455">
        <f t="shared" si="22"/>
        <v>0</v>
      </c>
      <c r="C1455">
        <f>NOT('hospitalityq-nil'!C1455="")*(OR(NOT(IFERROR(AND(INT('hospitalityq-nil'!C1455)='hospitalityq-nil'!C1455,'hospitalityq-nil'!C1455&gt;=2018-50,'hospitalityq-nil'!C1455&lt;=2018+50),FALSE)),SUMPRODUCT(--(TRIM('hospitalityq-nil'!C6:C1455)=TRIM('hospitalityq-nil'!C1455)),--(TRIM('hospitalityq-nil'!D6:D1455)=TRIM('hospitalityq-nil'!D1455)))&gt;1))</f>
        <v>0</v>
      </c>
      <c r="D1455">
        <f>NOT('hospitalityq-nil'!D1455="")*(OR(COUNTIF(reference!$C$144:$C$155,TRIM(LEFT('hospitalityq-nil'!D1455,FIND(":",'hospitalityq-nil'!D1455&amp;":")-1))&amp;":*")=0,SUMPRODUCT(--(TRIM('hospitalityq-nil'!C6:C1455)=TRIM('hospitalityq-nil'!C1455)),--(TRIM('hospitalityq-nil'!D6:D1455)=TRIM('hospitalityq-nil'!D1455)))&gt;1))</f>
        <v>0</v>
      </c>
    </row>
    <row r="1456" spans="1:4" x14ac:dyDescent="0.25">
      <c r="A1456">
        <f t="shared" si="22"/>
        <v>0</v>
      </c>
      <c r="C1456">
        <f>NOT('hospitalityq-nil'!C1456="")*(OR(NOT(IFERROR(AND(INT('hospitalityq-nil'!C1456)='hospitalityq-nil'!C1456,'hospitalityq-nil'!C1456&gt;=2018-50,'hospitalityq-nil'!C1456&lt;=2018+50),FALSE)),SUMPRODUCT(--(TRIM('hospitalityq-nil'!C6:C1456)=TRIM('hospitalityq-nil'!C1456)),--(TRIM('hospitalityq-nil'!D6:D1456)=TRIM('hospitalityq-nil'!D1456)))&gt;1))</f>
        <v>0</v>
      </c>
      <c r="D1456">
        <f>NOT('hospitalityq-nil'!D1456="")*(OR(COUNTIF(reference!$C$144:$C$155,TRIM(LEFT('hospitalityq-nil'!D1456,FIND(":",'hospitalityq-nil'!D1456&amp;":")-1))&amp;":*")=0,SUMPRODUCT(--(TRIM('hospitalityq-nil'!C6:C1456)=TRIM('hospitalityq-nil'!C1456)),--(TRIM('hospitalityq-nil'!D6:D1456)=TRIM('hospitalityq-nil'!D1456)))&gt;1))</f>
        <v>0</v>
      </c>
    </row>
    <row r="1457" spans="1:4" x14ac:dyDescent="0.25">
      <c r="A1457">
        <f t="shared" si="22"/>
        <v>0</v>
      </c>
      <c r="C1457">
        <f>NOT('hospitalityq-nil'!C1457="")*(OR(NOT(IFERROR(AND(INT('hospitalityq-nil'!C1457)='hospitalityq-nil'!C1457,'hospitalityq-nil'!C1457&gt;=2018-50,'hospitalityq-nil'!C1457&lt;=2018+50),FALSE)),SUMPRODUCT(--(TRIM('hospitalityq-nil'!C6:C1457)=TRIM('hospitalityq-nil'!C1457)),--(TRIM('hospitalityq-nil'!D6:D1457)=TRIM('hospitalityq-nil'!D1457)))&gt;1))</f>
        <v>0</v>
      </c>
      <c r="D1457">
        <f>NOT('hospitalityq-nil'!D1457="")*(OR(COUNTIF(reference!$C$144:$C$155,TRIM(LEFT('hospitalityq-nil'!D1457,FIND(":",'hospitalityq-nil'!D1457&amp;":")-1))&amp;":*")=0,SUMPRODUCT(--(TRIM('hospitalityq-nil'!C6:C1457)=TRIM('hospitalityq-nil'!C1457)),--(TRIM('hospitalityq-nil'!D6:D1457)=TRIM('hospitalityq-nil'!D1457)))&gt;1))</f>
        <v>0</v>
      </c>
    </row>
    <row r="1458" spans="1:4" x14ac:dyDescent="0.25">
      <c r="A1458">
        <f t="shared" si="22"/>
        <v>0</v>
      </c>
      <c r="C1458">
        <f>NOT('hospitalityq-nil'!C1458="")*(OR(NOT(IFERROR(AND(INT('hospitalityq-nil'!C1458)='hospitalityq-nil'!C1458,'hospitalityq-nil'!C1458&gt;=2018-50,'hospitalityq-nil'!C1458&lt;=2018+50),FALSE)),SUMPRODUCT(--(TRIM('hospitalityq-nil'!C6:C1458)=TRIM('hospitalityq-nil'!C1458)),--(TRIM('hospitalityq-nil'!D6:D1458)=TRIM('hospitalityq-nil'!D1458)))&gt;1))</f>
        <v>0</v>
      </c>
      <c r="D1458">
        <f>NOT('hospitalityq-nil'!D1458="")*(OR(COUNTIF(reference!$C$144:$C$155,TRIM(LEFT('hospitalityq-nil'!D1458,FIND(":",'hospitalityq-nil'!D1458&amp;":")-1))&amp;":*")=0,SUMPRODUCT(--(TRIM('hospitalityq-nil'!C6:C1458)=TRIM('hospitalityq-nil'!C1458)),--(TRIM('hospitalityq-nil'!D6:D1458)=TRIM('hospitalityq-nil'!D1458)))&gt;1))</f>
        <v>0</v>
      </c>
    </row>
    <row r="1459" spans="1:4" x14ac:dyDescent="0.25">
      <c r="A1459">
        <f t="shared" si="22"/>
        <v>0</v>
      </c>
      <c r="C1459">
        <f>NOT('hospitalityq-nil'!C1459="")*(OR(NOT(IFERROR(AND(INT('hospitalityq-nil'!C1459)='hospitalityq-nil'!C1459,'hospitalityq-nil'!C1459&gt;=2018-50,'hospitalityq-nil'!C1459&lt;=2018+50),FALSE)),SUMPRODUCT(--(TRIM('hospitalityq-nil'!C6:C1459)=TRIM('hospitalityq-nil'!C1459)),--(TRIM('hospitalityq-nil'!D6:D1459)=TRIM('hospitalityq-nil'!D1459)))&gt;1))</f>
        <v>0</v>
      </c>
      <c r="D1459">
        <f>NOT('hospitalityq-nil'!D1459="")*(OR(COUNTIF(reference!$C$144:$C$155,TRIM(LEFT('hospitalityq-nil'!D1459,FIND(":",'hospitalityq-nil'!D1459&amp;":")-1))&amp;":*")=0,SUMPRODUCT(--(TRIM('hospitalityq-nil'!C6:C1459)=TRIM('hospitalityq-nil'!C1459)),--(TRIM('hospitalityq-nil'!D6:D1459)=TRIM('hospitalityq-nil'!D1459)))&gt;1))</f>
        <v>0</v>
      </c>
    </row>
    <row r="1460" spans="1:4" x14ac:dyDescent="0.25">
      <c r="A1460">
        <f t="shared" si="22"/>
        <v>0</v>
      </c>
      <c r="C1460">
        <f>NOT('hospitalityq-nil'!C1460="")*(OR(NOT(IFERROR(AND(INT('hospitalityq-nil'!C1460)='hospitalityq-nil'!C1460,'hospitalityq-nil'!C1460&gt;=2018-50,'hospitalityq-nil'!C1460&lt;=2018+50),FALSE)),SUMPRODUCT(--(TRIM('hospitalityq-nil'!C6:C1460)=TRIM('hospitalityq-nil'!C1460)),--(TRIM('hospitalityq-nil'!D6:D1460)=TRIM('hospitalityq-nil'!D1460)))&gt;1))</f>
        <v>0</v>
      </c>
      <c r="D1460">
        <f>NOT('hospitalityq-nil'!D1460="")*(OR(COUNTIF(reference!$C$144:$C$155,TRIM(LEFT('hospitalityq-nil'!D1460,FIND(":",'hospitalityq-nil'!D1460&amp;":")-1))&amp;":*")=0,SUMPRODUCT(--(TRIM('hospitalityq-nil'!C6:C1460)=TRIM('hospitalityq-nil'!C1460)),--(TRIM('hospitalityq-nil'!D6:D1460)=TRIM('hospitalityq-nil'!D1460)))&gt;1))</f>
        <v>0</v>
      </c>
    </row>
    <row r="1461" spans="1:4" x14ac:dyDescent="0.25">
      <c r="A1461">
        <f t="shared" si="22"/>
        <v>0</v>
      </c>
      <c r="C1461">
        <f>NOT('hospitalityq-nil'!C1461="")*(OR(NOT(IFERROR(AND(INT('hospitalityq-nil'!C1461)='hospitalityq-nil'!C1461,'hospitalityq-nil'!C1461&gt;=2018-50,'hospitalityq-nil'!C1461&lt;=2018+50),FALSE)),SUMPRODUCT(--(TRIM('hospitalityq-nil'!C6:C1461)=TRIM('hospitalityq-nil'!C1461)),--(TRIM('hospitalityq-nil'!D6:D1461)=TRIM('hospitalityq-nil'!D1461)))&gt;1))</f>
        <v>0</v>
      </c>
      <c r="D1461">
        <f>NOT('hospitalityq-nil'!D1461="")*(OR(COUNTIF(reference!$C$144:$C$155,TRIM(LEFT('hospitalityq-nil'!D1461,FIND(":",'hospitalityq-nil'!D1461&amp;":")-1))&amp;":*")=0,SUMPRODUCT(--(TRIM('hospitalityq-nil'!C6:C1461)=TRIM('hospitalityq-nil'!C1461)),--(TRIM('hospitalityq-nil'!D6:D1461)=TRIM('hospitalityq-nil'!D1461)))&gt;1))</f>
        <v>0</v>
      </c>
    </row>
    <row r="1462" spans="1:4" x14ac:dyDescent="0.25">
      <c r="A1462">
        <f t="shared" si="22"/>
        <v>0</v>
      </c>
      <c r="C1462">
        <f>NOT('hospitalityq-nil'!C1462="")*(OR(NOT(IFERROR(AND(INT('hospitalityq-nil'!C1462)='hospitalityq-nil'!C1462,'hospitalityq-nil'!C1462&gt;=2018-50,'hospitalityq-nil'!C1462&lt;=2018+50),FALSE)),SUMPRODUCT(--(TRIM('hospitalityq-nil'!C6:C1462)=TRIM('hospitalityq-nil'!C1462)),--(TRIM('hospitalityq-nil'!D6:D1462)=TRIM('hospitalityq-nil'!D1462)))&gt;1))</f>
        <v>0</v>
      </c>
      <c r="D1462">
        <f>NOT('hospitalityq-nil'!D1462="")*(OR(COUNTIF(reference!$C$144:$C$155,TRIM(LEFT('hospitalityq-nil'!D1462,FIND(":",'hospitalityq-nil'!D1462&amp;":")-1))&amp;":*")=0,SUMPRODUCT(--(TRIM('hospitalityq-nil'!C6:C1462)=TRIM('hospitalityq-nil'!C1462)),--(TRIM('hospitalityq-nil'!D6:D1462)=TRIM('hospitalityq-nil'!D1462)))&gt;1))</f>
        <v>0</v>
      </c>
    </row>
    <row r="1463" spans="1:4" x14ac:dyDescent="0.25">
      <c r="A1463">
        <f t="shared" si="22"/>
        <v>0</v>
      </c>
      <c r="C1463">
        <f>NOT('hospitalityq-nil'!C1463="")*(OR(NOT(IFERROR(AND(INT('hospitalityq-nil'!C1463)='hospitalityq-nil'!C1463,'hospitalityq-nil'!C1463&gt;=2018-50,'hospitalityq-nil'!C1463&lt;=2018+50),FALSE)),SUMPRODUCT(--(TRIM('hospitalityq-nil'!C6:C1463)=TRIM('hospitalityq-nil'!C1463)),--(TRIM('hospitalityq-nil'!D6:D1463)=TRIM('hospitalityq-nil'!D1463)))&gt;1))</f>
        <v>0</v>
      </c>
      <c r="D1463">
        <f>NOT('hospitalityq-nil'!D1463="")*(OR(COUNTIF(reference!$C$144:$C$155,TRIM(LEFT('hospitalityq-nil'!D1463,FIND(":",'hospitalityq-nil'!D1463&amp;":")-1))&amp;":*")=0,SUMPRODUCT(--(TRIM('hospitalityq-nil'!C6:C1463)=TRIM('hospitalityq-nil'!C1463)),--(TRIM('hospitalityq-nil'!D6:D1463)=TRIM('hospitalityq-nil'!D1463)))&gt;1))</f>
        <v>0</v>
      </c>
    </row>
    <row r="1464" spans="1:4" x14ac:dyDescent="0.25">
      <c r="A1464">
        <f t="shared" si="22"/>
        <v>0</v>
      </c>
      <c r="C1464">
        <f>NOT('hospitalityq-nil'!C1464="")*(OR(NOT(IFERROR(AND(INT('hospitalityq-nil'!C1464)='hospitalityq-nil'!C1464,'hospitalityq-nil'!C1464&gt;=2018-50,'hospitalityq-nil'!C1464&lt;=2018+50),FALSE)),SUMPRODUCT(--(TRIM('hospitalityq-nil'!C6:C1464)=TRIM('hospitalityq-nil'!C1464)),--(TRIM('hospitalityq-nil'!D6:D1464)=TRIM('hospitalityq-nil'!D1464)))&gt;1))</f>
        <v>0</v>
      </c>
      <c r="D1464">
        <f>NOT('hospitalityq-nil'!D1464="")*(OR(COUNTIF(reference!$C$144:$C$155,TRIM(LEFT('hospitalityq-nil'!D1464,FIND(":",'hospitalityq-nil'!D1464&amp;":")-1))&amp;":*")=0,SUMPRODUCT(--(TRIM('hospitalityq-nil'!C6:C1464)=TRIM('hospitalityq-nil'!C1464)),--(TRIM('hospitalityq-nil'!D6:D1464)=TRIM('hospitalityq-nil'!D1464)))&gt;1))</f>
        <v>0</v>
      </c>
    </row>
    <row r="1465" spans="1:4" x14ac:dyDescent="0.25">
      <c r="A1465">
        <f t="shared" si="22"/>
        <v>0</v>
      </c>
      <c r="C1465">
        <f>NOT('hospitalityq-nil'!C1465="")*(OR(NOT(IFERROR(AND(INT('hospitalityq-nil'!C1465)='hospitalityq-nil'!C1465,'hospitalityq-nil'!C1465&gt;=2018-50,'hospitalityq-nil'!C1465&lt;=2018+50),FALSE)),SUMPRODUCT(--(TRIM('hospitalityq-nil'!C6:C1465)=TRIM('hospitalityq-nil'!C1465)),--(TRIM('hospitalityq-nil'!D6:D1465)=TRIM('hospitalityq-nil'!D1465)))&gt;1))</f>
        <v>0</v>
      </c>
      <c r="D1465">
        <f>NOT('hospitalityq-nil'!D1465="")*(OR(COUNTIF(reference!$C$144:$C$155,TRIM(LEFT('hospitalityq-nil'!D1465,FIND(":",'hospitalityq-nil'!D1465&amp;":")-1))&amp;":*")=0,SUMPRODUCT(--(TRIM('hospitalityq-nil'!C6:C1465)=TRIM('hospitalityq-nil'!C1465)),--(TRIM('hospitalityq-nil'!D6:D1465)=TRIM('hospitalityq-nil'!D1465)))&gt;1))</f>
        <v>0</v>
      </c>
    </row>
    <row r="1466" spans="1:4" x14ac:dyDescent="0.25">
      <c r="A1466">
        <f t="shared" si="22"/>
        <v>0</v>
      </c>
      <c r="C1466">
        <f>NOT('hospitalityq-nil'!C1466="")*(OR(NOT(IFERROR(AND(INT('hospitalityq-nil'!C1466)='hospitalityq-nil'!C1466,'hospitalityq-nil'!C1466&gt;=2018-50,'hospitalityq-nil'!C1466&lt;=2018+50),FALSE)),SUMPRODUCT(--(TRIM('hospitalityq-nil'!C6:C1466)=TRIM('hospitalityq-nil'!C1466)),--(TRIM('hospitalityq-nil'!D6:D1466)=TRIM('hospitalityq-nil'!D1466)))&gt;1))</f>
        <v>0</v>
      </c>
      <c r="D1466">
        <f>NOT('hospitalityq-nil'!D1466="")*(OR(COUNTIF(reference!$C$144:$C$155,TRIM(LEFT('hospitalityq-nil'!D1466,FIND(":",'hospitalityq-nil'!D1466&amp;":")-1))&amp;":*")=0,SUMPRODUCT(--(TRIM('hospitalityq-nil'!C6:C1466)=TRIM('hospitalityq-nil'!C1466)),--(TRIM('hospitalityq-nil'!D6:D1466)=TRIM('hospitalityq-nil'!D1466)))&gt;1))</f>
        <v>0</v>
      </c>
    </row>
    <row r="1467" spans="1:4" x14ac:dyDescent="0.25">
      <c r="A1467">
        <f t="shared" si="22"/>
        <v>0</v>
      </c>
      <c r="C1467">
        <f>NOT('hospitalityq-nil'!C1467="")*(OR(NOT(IFERROR(AND(INT('hospitalityq-nil'!C1467)='hospitalityq-nil'!C1467,'hospitalityq-nil'!C1467&gt;=2018-50,'hospitalityq-nil'!C1467&lt;=2018+50),FALSE)),SUMPRODUCT(--(TRIM('hospitalityq-nil'!C6:C1467)=TRIM('hospitalityq-nil'!C1467)),--(TRIM('hospitalityq-nil'!D6:D1467)=TRIM('hospitalityq-nil'!D1467)))&gt;1))</f>
        <v>0</v>
      </c>
      <c r="D1467">
        <f>NOT('hospitalityq-nil'!D1467="")*(OR(COUNTIF(reference!$C$144:$C$155,TRIM(LEFT('hospitalityq-nil'!D1467,FIND(":",'hospitalityq-nil'!D1467&amp;":")-1))&amp;":*")=0,SUMPRODUCT(--(TRIM('hospitalityq-nil'!C6:C1467)=TRIM('hospitalityq-nil'!C1467)),--(TRIM('hospitalityq-nil'!D6:D1467)=TRIM('hospitalityq-nil'!D1467)))&gt;1))</f>
        <v>0</v>
      </c>
    </row>
    <row r="1468" spans="1:4" x14ac:dyDescent="0.25">
      <c r="A1468">
        <f t="shared" si="22"/>
        <v>0</v>
      </c>
      <c r="C1468">
        <f>NOT('hospitalityq-nil'!C1468="")*(OR(NOT(IFERROR(AND(INT('hospitalityq-nil'!C1468)='hospitalityq-nil'!C1468,'hospitalityq-nil'!C1468&gt;=2018-50,'hospitalityq-nil'!C1468&lt;=2018+50),FALSE)),SUMPRODUCT(--(TRIM('hospitalityq-nil'!C6:C1468)=TRIM('hospitalityq-nil'!C1468)),--(TRIM('hospitalityq-nil'!D6:D1468)=TRIM('hospitalityq-nil'!D1468)))&gt;1))</f>
        <v>0</v>
      </c>
      <c r="D1468">
        <f>NOT('hospitalityq-nil'!D1468="")*(OR(COUNTIF(reference!$C$144:$C$155,TRIM(LEFT('hospitalityq-nil'!D1468,FIND(":",'hospitalityq-nil'!D1468&amp;":")-1))&amp;":*")=0,SUMPRODUCT(--(TRIM('hospitalityq-nil'!C6:C1468)=TRIM('hospitalityq-nil'!C1468)),--(TRIM('hospitalityq-nil'!D6:D1468)=TRIM('hospitalityq-nil'!D1468)))&gt;1))</f>
        <v>0</v>
      </c>
    </row>
    <row r="1469" spans="1:4" x14ac:dyDescent="0.25">
      <c r="A1469">
        <f t="shared" si="22"/>
        <v>0</v>
      </c>
      <c r="C1469">
        <f>NOT('hospitalityq-nil'!C1469="")*(OR(NOT(IFERROR(AND(INT('hospitalityq-nil'!C1469)='hospitalityq-nil'!C1469,'hospitalityq-nil'!C1469&gt;=2018-50,'hospitalityq-nil'!C1469&lt;=2018+50),FALSE)),SUMPRODUCT(--(TRIM('hospitalityq-nil'!C6:C1469)=TRIM('hospitalityq-nil'!C1469)),--(TRIM('hospitalityq-nil'!D6:D1469)=TRIM('hospitalityq-nil'!D1469)))&gt;1))</f>
        <v>0</v>
      </c>
      <c r="D1469">
        <f>NOT('hospitalityq-nil'!D1469="")*(OR(COUNTIF(reference!$C$144:$C$155,TRIM(LEFT('hospitalityq-nil'!D1469,FIND(":",'hospitalityq-nil'!D1469&amp;":")-1))&amp;":*")=0,SUMPRODUCT(--(TRIM('hospitalityq-nil'!C6:C1469)=TRIM('hospitalityq-nil'!C1469)),--(TRIM('hospitalityq-nil'!D6:D1469)=TRIM('hospitalityq-nil'!D1469)))&gt;1))</f>
        <v>0</v>
      </c>
    </row>
    <row r="1470" spans="1:4" x14ac:dyDescent="0.25">
      <c r="A1470">
        <f t="shared" si="22"/>
        <v>0</v>
      </c>
      <c r="C1470">
        <f>NOT('hospitalityq-nil'!C1470="")*(OR(NOT(IFERROR(AND(INT('hospitalityq-nil'!C1470)='hospitalityq-nil'!C1470,'hospitalityq-nil'!C1470&gt;=2018-50,'hospitalityq-nil'!C1470&lt;=2018+50),FALSE)),SUMPRODUCT(--(TRIM('hospitalityq-nil'!C6:C1470)=TRIM('hospitalityq-nil'!C1470)),--(TRIM('hospitalityq-nil'!D6:D1470)=TRIM('hospitalityq-nil'!D1470)))&gt;1))</f>
        <v>0</v>
      </c>
      <c r="D1470">
        <f>NOT('hospitalityq-nil'!D1470="")*(OR(COUNTIF(reference!$C$144:$C$155,TRIM(LEFT('hospitalityq-nil'!D1470,FIND(":",'hospitalityq-nil'!D1470&amp;":")-1))&amp;":*")=0,SUMPRODUCT(--(TRIM('hospitalityq-nil'!C6:C1470)=TRIM('hospitalityq-nil'!C1470)),--(TRIM('hospitalityq-nil'!D6:D1470)=TRIM('hospitalityq-nil'!D1470)))&gt;1))</f>
        <v>0</v>
      </c>
    </row>
    <row r="1471" spans="1:4" x14ac:dyDescent="0.25">
      <c r="A1471">
        <f t="shared" si="22"/>
        <v>0</v>
      </c>
      <c r="C1471">
        <f>NOT('hospitalityq-nil'!C1471="")*(OR(NOT(IFERROR(AND(INT('hospitalityq-nil'!C1471)='hospitalityq-nil'!C1471,'hospitalityq-nil'!C1471&gt;=2018-50,'hospitalityq-nil'!C1471&lt;=2018+50),FALSE)),SUMPRODUCT(--(TRIM('hospitalityq-nil'!C6:C1471)=TRIM('hospitalityq-nil'!C1471)),--(TRIM('hospitalityq-nil'!D6:D1471)=TRIM('hospitalityq-nil'!D1471)))&gt;1))</f>
        <v>0</v>
      </c>
      <c r="D1471">
        <f>NOT('hospitalityq-nil'!D1471="")*(OR(COUNTIF(reference!$C$144:$C$155,TRIM(LEFT('hospitalityq-nil'!D1471,FIND(":",'hospitalityq-nil'!D1471&amp;":")-1))&amp;":*")=0,SUMPRODUCT(--(TRIM('hospitalityq-nil'!C6:C1471)=TRIM('hospitalityq-nil'!C1471)),--(TRIM('hospitalityq-nil'!D6:D1471)=TRIM('hospitalityq-nil'!D1471)))&gt;1))</f>
        <v>0</v>
      </c>
    </row>
    <row r="1472" spans="1:4" x14ac:dyDescent="0.25">
      <c r="A1472">
        <f t="shared" si="22"/>
        <v>0</v>
      </c>
      <c r="C1472">
        <f>NOT('hospitalityq-nil'!C1472="")*(OR(NOT(IFERROR(AND(INT('hospitalityq-nil'!C1472)='hospitalityq-nil'!C1472,'hospitalityq-nil'!C1472&gt;=2018-50,'hospitalityq-nil'!C1472&lt;=2018+50),FALSE)),SUMPRODUCT(--(TRIM('hospitalityq-nil'!C6:C1472)=TRIM('hospitalityq-nil'!C1472)),--(TRIM('hospitalityq-nil'!D6:D1472)=TRIM('hospitalityq-nil'!D1472)))&gt;1))</f>
        <v>0</v>
      </c>
      <c r="D1472">
        <f>NOT('hospitalityq-nil'!D1472="")*(OR(COUNTIF(reference!$C$144:$C$155,TRIM(LEFT('hospitalityq-nil'!D1472,FIND(":",'hospitalityq-nil'!D1472&amp;":")-1))&amp;":*")=0,SUMPRODUCT(--(TRIM('hospitalityq-nil'!C6:C1472)=TRIM('hospitalityq-nil'!C1472)),--(TRIM('hospitalityq-nil'!D6:D1472)=TRIM('hospitalityq-nil'!D1472)))&gt;1))</f>
        <v>0</v>
      </c>
    </row>
    <row r="1473" spans="1:4" x14ac:dyDescent="0.25">
      <c r="A1473">
        <f t="shared" si="22"/>
        <v>0</v>
      </c>
      <c r="C1473">
        <f>NOT('hospitalityq-nil'!C1473="")*(OR(NOT(IFERROR(AND(INT('hospitalityq-nil'!C1473)='hospitalityq-nil'!C1473,'hospitalityq-nil'!C1473&gt;=2018-50,'hospitalityq-nil'!C1473&lt;=2018+50),FALSE)),SUMPRODUCT(--(TRIM('hospitalityq-nil'!C6:C1473)=TRIM('hospitalityq-nil'!C1473)),--(TRIM('hospitalityq-nil'!D6:D1473)=TRIM('hospitalityq-nil'!D1473)))&gt;1))</f>
        <v>0</v>
      </c>
      <c r="D1473">
        <f>NOT('hospitalityq-nil'!D1473="")*(OR(COUNTIF(reference!$C$144:$C$155,TRIM(LEFT('hospitalityq-nil'!D1473,FIND(":",'hospitalityq-nil'!D1473&amp;":")-1))&amp;":*")=0,SUMPRODUCT(--(TRIM('hospitalityq-nil'!C6:C1473)=TRIM('hospitalityq-nil'!C1473)),--(TRIM('hospitalityq-nil'!D6:D1473)=TRIM('hospitalityq-nil'!D1473)))&gt;1))</f>
        <v>0</v>
      </c>
    </row>
    <row r="1474" spans="1:4" x14ac:dyDescent="0.25">
      <c r="A1474">
        <f t="shared" si="22"/>
        <v>0</v>
      </c>
      <c r="C1474">
        <f>NOT('hospitalityq-nil'!C1474="")*(OR(NOT(IFERROR(AND(INT('hospitalityq-nil'!C1474)='hospitalityq-nil'!C1474,'hospitalityq-nil'!C1474&gt;=2018-50,'hospitalityq-nil'!C1474&lt;=2018+50),FALSE)),SUMPRODUCT(--(TRIM('hospitalityq-nil'!C6:C1474)=TRIM('hospitalityq-nil'!C1474)),--(TRIM('hospitalityq-nil'!D6:D1474)=TRIM('hospitalityq-nil'!D1474)))&gt;1))</f>
        <v>0</v>
      </c>
      <c r="D1474">
        <f>NOT('hospitalityq-nil'!D1474="")*(OR(COUNTIF(reference!$C$144:$C$155,TRIM(LEFT('hospitalityq-nil'!D1474,FIND(":",'hospitalityq-nil'!D1474&amp;":")-1))&amp;":*")=0,SUMPRODUCT(--(TRIM('hospitalityq-nil'!C6:C1474)=TRIM('hospitalityq-nil'!C1474)),--(TRIM('hospitalityq-nil'!D6:D1474)=TRIM('hospitalityq-nil'!D1474)))&gt;1))</f>
        <v>0</v>
      </c>
    </row>
    <row r="1475" spans="1:4" x14ac:dyDescent="0.25">
      <c r="A1475">
        <f t="shared" si="22"/>
        <v>0</v>
      </c>
      <c r="C1475">
        <f>NOT('hospitalityq-nil'!C1475="")*(OR(NOT(IFERROR(AND(INT('hospitalityq-nil'!C1475)='hospitalityq-nil'!C1475,'hospitalityq-nil'!C1475&gt;=2018-50,'hospitalityq-nil'!C1475&lt;=2018+50),FALSE)),SUMPRODUCT(--(TRIM('hospitalityq-nil'!C6:C1475)=TRIM('hospitalityq-nil'!C1475)),--(TRIM('hospitalityq-nil'!D6:D1475)=TRIM('hospitalityq-nil'!D1475)))&gt;1))</f>
        <v>0</v>
      </c>
      <c r="D1475">
        <f>NOT('hospitalityq-nil'!D1475="")*(OR(COUNTIF(reference!$C$144:$C$155,TRIM(LEFT('hospitalityq-nil'!D1475,FIND(":",'hospitalityq-nil'!D1475&amp;":")-1))&amp;":*")=0,SUMPRODUCT(--(TRIM('hospitalityq-nil'!C6:C1475)=TRIM('hospitalityq-nil'!C1475)),--(TRIM('hospitalityq-nil'!D6:D1475)=TRIM('hospitalityq-nil'!D1475)))&gt;1))</f>
        <v>0</v>
      </c>
    </row>
    <row r="1476" spans="1:4" x14ac:dyDescent="0.25">
      <c r="A1476">
        <f t="shared" si="22"/>
        <v>0</v>
      </c>
      <c r="C1476">
        <f>NOT('hospitalityq-nil'!C1476="")*(OR(NOT(IFERROR(AND(INT('hospitalityq-nil'!C1476)='hospitalityq-nil'!C1476,'hospitalityq-nil'!C1476&gt;=2018-50,'hospitalityq-nil'!C1476&lt;=2018+50),FALSE)),SUMPRODUCT(--(TRIM('hospitalityq-nil'!C6:C1476)=TRIM('hospitalityq-nil'!C1476)),--(TRIM('hospitalityq-nil'!D6:D1476)=TRIM('hospitalityq-nil'!D1476)))&gt;1))</f>
        <v>0</v>
      </c>
      <c r="D1476">
        <f>NOT('hospitalityq-nil'!D1476="")*(OR(COUNTIF(reference!$C$144:$C$155,TRIM(LEFT('hospitalityq-nil'!D1476,FIND(":",'hospitalityq-nil'!D1476&amp;":")-1))&amp;":*")=0,SUMPRODUCT(--(TRIM('hospitalityq-nil'!C6:C1476)=TRIM('hospitalityq-nil'!C1476)),--(TRIM('hospitalityq-nil'!D6:D1476)=TRIM('hospitalityq-nil'!D1476)))&gt;1))</f>
        <v>0</v>
      </c>
    </row>
    <row r="1477" spans="1:4" x14ac:dyDescent="0.25">
      <c r="A1477">
        <f t="shared" si="22"/>
        <v>0</v>
      </c>
      <c r="C1477">
        <f>NOT('hospitalityq-nil'!C1477="")*(OR(NOT(IFERROR(AND(INT('hospitalityq-nil'!C1477)='hospitalityq-nil'!C1477,'hospitalityq-nil'!C1477&gt;=2018-50,'hospitalityq-nil'!C1477&lt;=2018+50),FALSE)),SUMPRODUCT(--(TRIM('hospitalityq-nil'!C6:C1477)=TRIM('hospitalityq-nil'!C1477)),--(TRIM('hospitalityq-nil'!D6:D1477)=TRIM('hospitalityq-nil'!D1477)))&gt;1))</f>
        <v>0</v>
      </c>
      <c r="D1477">
        <f>NOT('hospitalityq-nil'!D1477="")*(OR(COUNTIF(reference!$C$144:$C$155,TRIM(LEFT('hospitalityq-nil'!D1477,FIND(":",'hospitalityq-nil'!D1477&amp;":")-1))&amp;":*")=0,SUMPRODUCT(--(TRIM('hospitalityq-nil'!C6:C1477)=TRIM('hospitalityq-nil'!C1477)),--(TRIM('hospitalityq-nil'!D6:D1477)=TRIM('hospitalityq-nil'!D1477)))&gt;1))</f>
        <v>0</v>
      </c>
    </row>
    <row r="1478" spans="1:4" x14ac:dyDescent="0.25">
      <c r="A1478">
        <f t="shared" ref="A1478:A1541" si="23">IFERROR(MATCH(TRUE,INDEX(C1478:D1478&lt;&gt;0,),)+2,0)</f>
        <v>0</v>
      </c>
      <c r="C1478">
        <f>NOT('hospitalityq-nil'!C1478="")*(OR(NOT(IFERROR(AND(INT('hospitalityq-nil'!C1478)='hospitalityq-nil'!C1478,'hospitalityq-nil'!C1478&gt;=2018-50,'hospitalityq-nil'!C1478&lt;=2018+50),FALSE)),SUMPRODUCT(--(TRIM('hospitalityq-nil'!C6:C1478)=TRIM('hospitalityq-nil'!C1478)),--(TRIM('hospitalityq-nil'!D6:D1478)=TRIM('hospitalityq-nil'!D1478)))&gt;1))</f>
        <v>0</v>
      </c>
      <c r="D1478">
        <f>NOT('hospitalityq-nil'!D1478="")*(OR(COUNTIF(reference!$C$144:$C$155,TRIM(LEFT('hospitalityq-nil'!D1478,FIND(":",'hospitalityq-nil'!D1478&amp;":")-1))&amp;":*")=0,SUMPRODUCT(--(TRIM('hospitalityq-nil'!C6:C1478)=TRIM('hospitalityq-nil'!C1478)),--(TRIM('hospitalityq-nil'!D6:D1478)=TRIM('hospitalityq-nil'!D1478)))&gt;1))</f>
        <v>0</v>
      </c>
    </row>
    <row r="1479" spans="1:4" x14ac:dyDescent="0.25">
      <c r="A1479">
        <f t="shared" si="23"/>
        <v>0</v>
      </c>
      <c r="C1479">
        <f>NOT('hospitalityq-nil'!C1479="")*(OR(NOT(IFERROR(AND(INT('hospitalityq-nil'!C1479)='hospitalityq-nil'!C1479,'hospitalityq-nil'!C1479&gt;=2018-50,'hospitalityq-nil'!C1479&lt;=2018+50),FALSE)),SUMPRODUCT(--(TRIM('hospitalityq-nil'!C6:C1479)=TRIM('hospitalityq-nil'!C1479)),--(TRIM('hospitalityq-nil'!D6:D1479)=TRIM('hospitalityq-nil'!D1479)))&gt;1))</f>
        <v>0</v>
      </c>
      <c r="D1479">
        <f>NOT('hospitalityq-nil'!D1479="")*(OR(COUNTIF(reference!$C$144:$C$155,TRIM(LEFT('hospitalityq-nil'!D1479,FIND(":",'hospitalityq-nil'!D1479&amp;":")-1))&amp;":*")=0,SUMPRODUCT(--(TRIM('hospitalityq-nil'!C6:C1479)=TRIM('hospitalityq-nil'!C1479)),--(TRIM('hospitalityq-nil'!D6:D1479)=TRIM('hospitalityq-nil'!D1479)))&gt;1))</f>
        <v>0</v>
      </c>
    </row>
    <row r="1480" spans="1:4" x14ac:dyDescent="0.25">
      <c r="A1480">
        <f t="shared" si="23"/>
        <v>0</v>
      </c>
      <c r="C1480">
        <f>NOT('hospitalityq-nil'!C1480="")*(OR(NOT(IFERROR(AND(INT('hospitalityq-nil'!C1480)='hospitalityq-nil'!C1480,'hospitalityq-nil'!C1480&gt;=2018-50,'hospitalityq-nil'!C1480&lt;=2018+50),FALSE)),SUMPRODUCT(--(TRIM('hospitalityq-nil'!C6:C1480)=TRIM('hospitalityq-nil'!C1480)),--(TRIM('hospitalityq-nil'!D6:D1480)=TRIM('hospitalityq-nil'!D1480)))&gt;1))</f>
        <v>0</v>
      </c>
      <c r="D1480">
        <f>NOT('hospitalityq-nil'!D1480="")*(OR(COUNTIF(reference!$C$144:$C$155,TRIM(LEFT('hospitalityq-nil'!D1480,FIND(":",'hospitalityq-nil'!D1480&amp;":")-1))&amp;":*")=0,SUMPRODUCT(--(TRIM('hospitalityq-nil'!C6:C1480)=TRIM('hospitalityq-nil'!C1480)),--(TRIM('hospitalityq-nil'!D6:D1480)=TRIM('hospitalityq-nil'!D1480)))&gt;1))</f>
        <v>0</v>
      </c>
    </row>
    <row r="1481" spans="1:4" x14ac:dyDescent="0.25">
      <c r="A1481">
        <f t="shared" si="23"/>
        <v>0</v>
      </c>
      <c r="C1481">
        <f>NOT('hospitalityq-nil'!C1481="")*(OR(NOT(IFERROR(AND(INT('hospitalityq-nil'!C1481)='hospitalityq-nil'!C1481,'hospitalityq-nil'!C1481&gt;=2018-50,'hospitalityq-nil'!C1481&lt;=2018+50),FALSE)),SUMPRODUCT(--(TRIM('hospitalityq-nil'!C6:C1481)=TRIM('hospitalityq-nil'!C1481)),--(TRIM('hospitalityq-nil'!D6:D1481)=TRIM('hospitalityq-nil'!D1481)))&gt;1))</f>
        <v>0</v>
      </c>
      <c r="D1481">
        <f>NOT('hospitalityq-nil'!D1481="")*(OR(COUNTIF(reference!$C$144:$C$155,TRIM(LEFT('hospitalityq-nil'!D1481,FIND(":",'hospitalityq-nil'!D1481&amp;":")-1))&amp;":*")=0,SUMPRODUCT(--(TRIM('hospitalityq-nil'!C6:C1481)=TRIM('hospitalityq-nil'!C1481)),--(TRIM('hospitalityq-nil'!D6:D1481)=TRIM('hospitalityq-nil'!D1481)))&gt;1))</f>
        <v>0</v>
      </c>
    </row>
    <row r="1482" spans="1:4" x14ac:dyDescent="0.25">
      <c r="A1482">
        <f t="shared" si="23"/>
        <v>0</v>
      </c>
      <c r="C1482">
        <f>NOT('hospitalityq-nil'!C1482="")*(OR(NOT(IFERROR(AND(INT('hospitalityq-nil'!C1482)='hospitalityq-nil'!C1482,'hospitalityq-nil'!C1482&gt;=2018-50,'hospitalityq-nil'!C1482&lt;=2018+50),FALSE)),SUMPRODUCT(--(TRIM('hospitalityq-nil'!C6:C1482)=TRIM('hospitalityq-nil'!C1482)),--(TRIM('hospitalityq-nil'!D6:D1482)=TRIM('hospitalityq-nil'!D1482)))&gt;1))</f>
        <v>0</v>
      </c>
      <c r="D1482">
        <f>NOT('hospitalityq-nil'!D1482="")*(OR(COUNTIF(reference!$C$144:$C$155,TRIM(LEFT('hospitalityq-nil'!D1482,FIND(":",'hospitalityq-nil'!D1482&amp;":")-1))&amp;":*")=0,SUMPRODUCT(--(TRIM('hospitalityq-nil'!C6:C1482)=TRIM('hospitalityq-nil'!C1482)),--(TRIM('hospitalityq-nil'!D6:D1482)=TRIM('hospitalityq-nil'!D1482)))&gt;1))</f>
        <v>0</v>
      </c>
    </row>
    <row r="1483" spans="1:4" x14ac:dyDescent="0.25">
      <c r="A1483">
        <f t="shared" si="23"/>
        <v>0</v>
      </c>
      <c r="C1483">
        <f>NOT('hospitalityq-nil'!C1483="")*(OR(NOT(IFERROR(AND(INT('hospitalityq-nil'!C1483)='hospitalityq-nil'!C1483,'hospitalityq-nil'!C1483&gt;=2018-50,'hospitalityq-nil'!C1483&lt;=2018+50),FALSE)),SUMPRODUCT(--(TRIM('hospitalityq-nil'!C6:C1483)=TRIM('hospitalityq-nil'!C1483)),--(TRIM('hospitalityq-nil'!D6:D1483)=TRIM('hospitalityq-nil'!D1483)))&gt;1))</f>
        <v>0</v>
      </c>
      <c r="D1483">
        <f>NOT('hospitalityq-nil'!D1483="")*(OR(COUNTIF(reference!$C$144:$C$155,TRIM(LEFT('hospitalityq-nil'!D1483,FIND(":",'hospitalityq-nil'!D1483&amp;":")-1))&amp;":*")=0,SUMPRODUCT(--(TRIM('hospitalityq-nil'!C6:C1483)=TRIM('hospitalityq-nil'!C1483)),--(TRIM('hospitalityq-nil'!D6:D1483)=TRIM('hospitalityq-nil'!D1483)))&gt;1))</f>
        <v>0</v>
      </c>
    </row>
    <row r="1484" spans="1:4" x14ac:dyDescent="0.25">
      <c r="A1484">
        <f t="shared" si="23"/>
        <v>0</v>
      </c>
      <c r="C1484">
        <f>NOT('hospitalityq-nil'!C1484="")*(OR(NOT(IFERROR(AND(INT('hospitalityq-nil'!C1484)='hospitalityq-nil'!C1484,'hospitalityq-nil'!C1484&gt;=2018-50,'hospitalityq-nil'!C1484&lt;=2018+50),FALSE)),SUMPRODUCT(--(TRIM('hospitalityq-nil'!C6:C1484)=TRIM('hospitalityq-nil'!C1484)),--(TRIM('hospitalityq-nil'!D6:D1484)=TRIM('hospitalityq-nil'!D1484)))&gt;1))</f>
        <v>0</v>
      </c>
      <c r="D1484">
        <f>NOT('hospitalityq-nil'!D1484="")*(OR(COUNTIF(reference!$C$144:$C$155,TRIM(LEFT('hospitalityq-nil'!D1484,FIND(":",'hospitalityq-nil'!D1484&amp;":")-1))&amp;":*")=0,SUMPRODUCT(--(TRIM('hospitalityq-nil'!C6:C1484)=TRIM('hospitalityq-nil'!C1484)),--(TRIM('hospitalityq-nil'!D6:D1484)=TRIM('hospitalityq-nil'!D1484)))&gt;1))</f>
        <v>0</v>
      </c>
    </row>
    <row r="1485" spans="1:4" x14ac:dyDescent="0.25">
      <c r="A1485">
        <f t="shared" si="23"/>
        <v>0</v>
      </c>
      <c r="C1485">
        <f>NOT('hospitalityq-nil'!C1485="")*(OR(NOT(IFERROR(AND(INT('hospitalityq-nil'!C1485)='hospitalityq-nil'!C1485,'hospitalityq-nil'!C1485&gt;=2018-50,'hospitalityq-nil'!C1485&lt;=2018+50),FALSE)),SUMPRODUCT(--(TRIM('hospitalityq-nil'!C6:C1485)=TRIM('hospitalityq-nil'!C1485)),--(TRIM('hospitalityq-nil'!D6:D1485)=TRIM('hospitalityq-nil'!D1485)))&gt;1))</f>
        <v>0</v>
      </c>
      <c r="D1485">
        <f>NOT('hospitalityq-nil'!D1485="")*(OR(COUNTIF(reference!$C$144:$C$155,TRIM(LEFT('hospitalityq-nil'!D1485,FIND(":",'hospitalityq-nil'!D1485&amp;":")-1))&amp;":*")=0,SUMPRODUCT(--(TRIM('hospitalityq-nil'!C6:C1485)=TRIM('hospitalityq-nil'!C1485)),--(TRIM('hospitalityq-nil'!D6:D1485)=TRIM('hospitalityq-nil'!D1485)))&gt;1))</f>
        <v>0</v>
      </c>
    </row>
    <row r="1486" spans="1:4" x14ac:dyDescent="0.25">
      <c r="A1486">
        <f t="shared" si="23"/>
        <v>0</v>
      </c>
      <c r="C1486">
        <f>NOT('hospitalityq-nil'!C1486="")*(OR(NOT(IFERROR(AND(INT('hospitalityq-nil'!C1486)='hospitalityq-nil'!C1486,'hospitalityq-nil'!C1486&gt;=2018-50,'hospitalityq-nil'!C1486&lt;=2018+50),FALSE)),SUMPRODUCT(--(TRIM('hospitalityq-nil'!C6:C1486)=TRIM('hospitalityq-nil'!C1486)),--(TRIM('hospitalityq-nil'!D6:D1486)=TRIM('hospitalityq-nil'!D1486)))&gt;1))</f>
        <v>0</v>
      </c>
      <c r="D1486">
        <f>NOT('hospitalityq-nil'!D1486="")*(OR(COUNTIF(reference!$C$144:$C$155,TRIM(LEFT('hospitalityq-nil'!D1486,FIND(":",'hospitalityq-nil'!D1486&amp;":")-1))&amp;":*")=0,SUMPRODUCT(--(TRIM('hospitalityq-nil'!C6:C1486)=TRIM('hospitalityq-nil'!C1486)),--(TRIM('hospitalityq-nil'!D6:D1486)=TRIM('hospitalityq-nil'!D1486)))&gt;1))</f>
        <v>0</v>
      </c>
    </row>
    <row r="1487" spans="1:4" x14ac:dyDescent="0.25">
      <c r="A1487">
        <f t="shared" si="23"/>
        <v>0</v>
      </c>
      <c r="C1487">
        <f>NOT('hospitalityq-nil'!C1487="")*(OR(NOT(IFERROR(AND(INT('hospitalityq-nil'!C1487)='hospitalityq-nil'!C1487,'hospitalityq-nil'!C1487&gt;=2018-50,'hospitalityq-nil'!C1487&lt;=2018+50),FALSE)),SUMPRODUCT(--(TRIM('hospitalityq-nil'!C6:C1487)=TRIM('hospitalityq-nil'!C1487)),--(TRIM('hospitalityq-nil'!D6:D1487)=TRIM('hospitalityq-nil'!D1487)))&gt;1))</f>
        <v>0</v>
      </c>
      <c r="D1487">
        <f>NOT('hospitalityq-nil'!D1487="")*(OR(COUNTIF(reference!$C$144:$C$155,TRIM(LEFT('hospitalityq-nil'!D1487,FIND(":",'hospitalityq-nil'!D1487&amp;":")-1))&amp;":*")=0,SUMPRODUCT(--(TRIM('hospitalityq-nil'!C6:C1487)=TRIM('hospitalityq-nil'!C1487)),--(TRIM('hospitalityq-nil'!D6:D1487)=TRIM('hospitalityq-nil'!D1487)))&gt;1))</f>
        <v>0</v>
      </c>
    </row>
    <row r="1488" spans="1:4" x14ac:dyDescent="0.25">
      <c r="A1488">
        <f t="shared" si="23"/>
        <v>0</v>
      </c>
      <c r="C1488">
        <f>NOT('hospitalityq-nil'!C1488="")*(OR(NOT(IFERROR(AND(INT('hospitalityq-nil'!C1488)='hospitalityq-nil'!C1488,'hospitalityq-nil'!C1488&gt;=2018-50,'hospitalityq-nil'!C1488&lt;=2018+50),FALSE)),SUMPRODUCT(--(TRIM('hospitalityq-nil'!C6:C1488)=TRIM('hospitalityq-nil'!C1488)),--(TRIM('hospitalityq-nil'!D6:D1488)=TRIM('hospitalityq-nil'!D1488)))&gt;1))</f>
        <v>0</v>
      </c>
      <c r="D1488">
        <f>NOT('hospitalityq-nil'!D1488="")*(OR(COUNTIF(reference!$C$144:$C$155,TRIM(LEFT('hospitalityq-nil'!D1488,FIND(":",'hospitalityq-nil'!D1488&amp;":")-1))&amp;":*")=0,SUMPRODUCT(--(TRIM('hospitalityq-nil'!C6:C1488)=TRIM('hospitalityq-nil'!C1488)),--(TRIM('hospitalityq-nil'!D6:D1488)=TRIM('hospitalityq-nil'!D1488)))&gt;1))</f>
        <v>0</v>
      </c>
    </row>
    <row r="1489" spans="1:4" x14ac:dyDescent="0.25">
      <c r="A1489">
        <f t="shared" si="23"/>
        <v>0</v>
      </c>
      <c r="C1489">
        <f>NOT('hospitalityq-nil'!C1489="")*(OR(NOT(IFERROR(AND(INT('hospitalityq-nil'!C1489)='hospitalityq-nil'!C1489,'hospitalityq-nil'!C1489&gt;=2018-50,'hospitalityq-nil'!C1489&lt;=2018+50),FALSE)),SUMPRODUCT(--(TRIM('hospitalityq-nil'!C6:C1489)=TRIM('hospitalityq-nil'!C1489)),--(TRIM('hospitalityq-nil'!D6:D1489)=TRIM('hospitalityq-nil'!D1489)))&gt;1))</f>
        <v>0</v>
      </c>
      <c r="D1489">
        <f>NOT('hospitalityq-nil'!D1489="")*(OR(COUNTIF(reference!$C$144:$C$155,TRIM(LEFT('hospitalityq-nil'!D1489,FIND(":",'hospitalityq-nil'!D1489&amp;":")-1))&amp;":*")=0,SUMPRODUCT(--(TRIM('hospitalityq-nil'!C6:C1489)=TRIM('hospitalityq-nil'!C1489)),--(TRIM('hospitalityq-nil'!D6:D1489)=TRIM('hospitalityq-nil'!D1489)))&gt;1))</f>
        <v>0</v>
      </c>
    </row>
    <row r="1490" spans="1:4" x14ac:dyDescent="0.25">
      <c r="A1490">
        <f t="shared" si="23"/>
        <v>0</v>
      </c>
      <c r="C1490">
        <f>NOT('hospitalityq-nil'!C1490="")*(OR(NOT(IFERROR(AND(INT('hospitalityq-nil'!C1490)='hospitalityq-nil'!C1490,'hospitalityq-nil'!C1490&gt;=2018-50,'hospitalityq-nil'!C1490&lt;=2018+50),FALSE)),SUMPRODUCT(--(TRIM('hospitalityq-nil'!C6:C1490)=TRIM('hospitalityq-nil'!C1490)),--(TRIM('hospitalityq-nil'!D6:D1490)=TRIM('hospitalityq-nil'!D1490)))&gt;1))</f>
        <v>0</v>
      </c>
      <c r="D1490">
        <f>NOT('hospitalityq-nil'!D1490="")*(OR(COUNTIF(reference!$C$144:$C$155,TRIM(LEFT('hospitalityq-nil'!D1490,FIND(":",'hospitalityq-nil'!D1490&amp;":")-1))&amp;":*")=0,SUMPRODUCT(--(TRIM('hospitalityq-nil'!C6:C1490)=TRIM('hospitalityq-nil'!C1490)),--(TRIM('hospitalityq-nil'!D6:D1490)=TRIM('hospitalityq-nil'!D1490)))&gt;1))</f>
        <v>0</v>
      </c>
    </row>
    <row r="1491" spans="1:4" x14ac:dyDescent="0.25">
      <c r="A1491">
        <f t="shared" si="23"/>
        <v>0</v>
      </c>
      <c r="C1491">
        <f>NOT('hospitalityq-nil'!C1491="")*(OR(NOT(IFERROR(AND(INT('hospitalityq-nil'!C1491)='hospitalityq-nil'!C1491,'hospitalityq-nil'!C1491&gt;=2018-50,'hospitalityq-nil'!C1491&lt;=2018+50),FALSE)),SUMPRODUCT(--(TRIM('hospitalityq-nil'!C6:C1491)=TRIM('hospitalityq-nil'!C1491)),--(TRIM('hospitalityq-nil'!D6:D1491)=TRIM('hospitalityq-nil'!D1491)))&gt;1))</f>
        <v>0</v>
      </c>
      <c r="D1491">
        <f>NOT('hospitalityq-nil'!D1491="")*(OR(COUNTIF(reference!$C$144:$C$155,TRIM(LEFT('hospitalityq-nil'!D1491,FIND(":",'hospitalityq-nil'!D1491&amp;":")-1))&amp;":*")=0,SUMPRODUCT(--(TRIM('hospitalityq-nil'!C6:C1491)=TRIM('hospitalityq-nil'!C1491)),--(TRIM('hospitalityq-nil'!D6:D1491)=TRIM('hospitalityq-nil'!D1491)))&gt;1))</f>
        <v>0</v>
      </c>
    </row>
    <row r="1492" spans="1:4" x14ac:dyDescent="0.25">
      <c r="A1492">
        <f t="shared" si="23"/>
        <v>0</v>
      </c>
      <c r="C1492">
        <f>NOT('hospitalityq-nil'!C1492="")*(OR(NOT(IFERROR(AND(INT('hospitalityq-nil'!C1492)='hospitalityq-nil'!C1492,'hospitalityq-nil'!C1492&gt;=2018-50,'hospitalityq-nil'!C1492&lt;=2018+50),FALSE)),SUMPRODUCT(--(TRIM('hospitalityq-nil'!C6:C1492)=TRIM('hospitalityq-nil'!C1492)),--(TRIM('hospitalityq-nil'!D6:D1492)=TRIM('hospitalityq-nil'!D1492)))&gt;1))</f>
        <v>0</v>
      </c>
      <c r="D1492">
        <f>NOT('hospitalityq-nil'!D1492="")*(OR(COUNTIF(reference!$C$144:$C$155,TRIM(LEFT('hospitalityq-nil'!D1492,FIND(":",'hospitalityq-nil'!D1492&amp;":")-1))&amp;":*")=0,SUMPRODUCT(--(TRIM('hospitalityq-nil'!C6:C1492)=TRIM('hospitalityq-nil'!C1492)),--(TRIM('hospitalityq-nil'!D6:D1492)=TRIM('hospitalityq-nil'!D1492)))&gt;1))</f>
        <v>0</v>
      </c>
    </row>
    <row r="1493" spans="1:4" x14ac:dyDescent="0.25">
      <c r="A1493">
        <f t="shared" si="23"/>
        <v>0</v>
      </c>
      <c r="C1493">
        <f>NOT('hospitalityq-nil'!C1493="")*(OR(NOT(IFERROR(AND(INT('hospitalityq-nil'!C1493)='hospitalityq-nil'!C1493,'hospitalityq-nil'!C1493&gt;=2018-50,'hospitalityq-nil'!C1493&lt;=2018+50),FALSE)),SUMPRODUCT(--(TRIM('hospitalityq-nil'!C6:C1493)=TRIM('hospitalityq-nil'!C1493)),--(TRIM('hospitalityq-nil'!D6:D1493)=TRIM('hospitalityq-nil'!D1493)))&gt;1))</f>
        <v>0</v>
      </c>
      <c r="D1493">
        <f>NOT('hospitalityq-nil'!D1493="")*(OR(COUNTIF(reference!$C$144:$C$155,TRIM(LEFT('hospitalityq-nil'!D1493,FIND(":",'hospitalityq-nil'!D1493&amp;":")-1))&amp;":*")=0,SUMPRODUCT(--(TRIM('hospitalityq-nil'!C6:C1493)=TRIM('hospitalityq-nil'!C1493)),--(TRIM('hospitalityq-nil'!D6:D1493)=TRIM('hospitalityq-nil'!D1493)))&gt;1))</f>
        <v>0</v>
      </c>
    </row>
    <row r="1494" spans="1:4" x14ac:dyDescent="0.25">
      <c r="A1494">
        <f t="shared" si="23"/>
        <v>0</v>
      </c>
      <c r="C1494">
        <f>NOT('hospitalityq-nil'!C1494="")*(OR(NOT(IFERROR(AND(INT('hospitalityq-nil'!C1494)='hospitalityq-nil'!C1494,'hospitalityq-nil'!C1494&gt;=2018-50,'hospitalityq-nil'!C1494&lt;=2018+50),FALSE)),SUMPRODUCT(--(TRIM('hospitalityq-nil'!C6:C1494)=TRIM('hospitalityq-nil'!C1494)),--(TRIM('hospitalityq-nil'!D6:D1494)=TRIM('hospitalityq-nil'!D1494)))&gt;1))</f>
        <v>0</v>
      </c>
      <c r="D1494">
        <f>NOT('hospitalityq-nil'!D1494="")*(OR(COUNTIF(reference!$C$144:$C$155,TRIM(LEFT('hospitalityq-nil'!D1494,FIND(":",'hospitalityq-nil'!D1494&amp;":")-1))&amp;":*")=0,SUMPRODUCT(--(TRIM('hospitalityq-nil'!C6:C1494)=TRIM('hospitalityq-nil'!C1494)),--(TRIM('hospitalityq-nil'!D6:D1494)=TRIM('hospitalityq-nil'!D1494)))&gt;1))</f>
        <v>0</v>
      </c>
    </row>
    <row r="1495" spans="1:4" x14ac:dyDescent="0.25">
      <c r="A1495">
        <f t="shared" si="23"/>
        <v>0</v>
      </c>
      <c r="C1495">
        <f>NOT('hospitalityq-nil'!C1495="")*(OR(NOT(IFERROR(AND(INT('hospitalityq-nil'!C1495)='hospitalityq-nil'!C1495,'hospitalityq-nil'!C1495&gt;=2018-50,'hospitalityq-nil'!C1495&lt;=2018+50),FALSE)),SUMPRODUCT(--(TRIM('hospitalityq-nil'!C6:C1495)=TRIM('hospitalityq-nil'!C1495)),--(TRIM('hospitalityq-nil'!D6:D1495)=TRIM('hospitalityq-nil'!D1495)))&gt;1))</f>
        <v>0</v>
      </c>
      <c r="D1495">
        <f>NOT('hospitalityq-nil'!D1495="")*(OR(COUNTIF(reference!$C$144:$C$155,TRIM(LEFT('hospitalityq-nil'!D1495,FIND(":",'hospitalityq-nil'!D1495&amp;":")-1))&amp;":*")=0,SUMPRODUCT(--(TRIM('hospitalityq-nil'!C6:C1495)=TRIM('hospitalityq-nil'!C1495)),--(TRIM('hospitalityq-nil'!D6:D1495)=TRIM('hospitalityq-nil'!D1495)))&gt;1))</f>
        <v>0</v>
      </c>
    </row>
    <row r="1496" spans="1:4" x14ac:dyDescent="0.25">
      <c r="A1496">
        <f t="shared" si="23"/>
        <v>0</v>
      </c>
      <c r="C1496">
        <f>NOT('hospitalityq-nil'!C1496="")*(OR(NOT(IFERROR(AND(INT('hospitalityq-nil'!C1496)='hospitalityq-nil'!C1496,'hospitalityq-nil'!C1496&gt;=2018-50,'hospitalityq-nil'!C1496&lt;=2018+50),FALSE)),SUMPRODUCT(--(TRIM('hospitalityq-nil'!C6:C1496)=TRIM('hospitalityq-nil'!C1496)),--(TRIM('hospitalityq-nil'!D6:D1496)=TRIM('hospitalityq-nil'!D1496)))&gt;1))</f>
        <v>0</v>
      </c>
      <c r="D1496">
        <f>NOT('hospitalityq-nil'!D1496="")*(OR(COUNTIF(reference!$C$144:$C$155,TRIM(LEFT('hospitalityq-nil'!D1496,FIND(":",'hospitalityq-nil'!D1496&amp;":")-1))&amp;":*")=0,SUMPRODUCT(--(TRIM('hospitalityq-nil'!C6:C1496)=TRIM('hospitalityq-nil'!C1496)),--(TRIM('hospitalityq-nil'!D6:D1496)=TRIM('hospitalityq-nil'!D1496)))&gt;1))</f>
        <v>0</v>
      </c>
    </row>
    <row r="1497" spans="1:4" x14ac:dyDescent="0.25">
      <c r="A1497">
        <f t="shared" si="23"/>
        <v>0</v>
      </c>
      <c r="C1497">
        <f>NOT('hospitalityq-nil'!C1497="")*(OR(NOT(IFERROR(AND(INT('hospitalityq-nil'!C1497)='hospitalityq-nil'!C1497,'hospitalityq-nil'!C1497&gt;=2018-50,'hospitalityq-nil'!C1497&lt;=2018+50),FALSE)),SUMPRODUCT(--(TRIM('hospitalityq-nil'!C6:C1497)=TRIM('hospitalityq-nil'!C1497)),--(TRIM('hospitalityq-nil'!D6:D1497)=TRIM('hospitalityq-nil'!D1497)))&gt;1))</f>
        <v>0</v>
      </c>
      <c r="D1497">
        <f>NOT('hospitalityq-nil'!D1497="")*(OR(COUNTIF(reference!$C$144:$C$155,TRIM(LEFT('hospitalityq-nil'!D1497,FIND(":",'hospitalityq-nil'!D1497&amp;":")-1))&amp;":*")=0,SUMPRODUCT(--(TRIM('hospitalityq-nil'!C6:C1497)=TRIM('hospitalityq-nil'!C1497)),--(TRIM('hospitalityq-nil'!D6:D1497)=TRIM('hospitalityq-nil'!D1497)))&gt;1))</f>
        <v>0</v>
      </c>
    </row>
    <row r="1498" spans="1:4" x14ac:dyDescent="0.25">
      <c r="A1498">
        <f t="shared" si="23"/>
        <v>0</v>
      </c>
      <c r="C1498">
        <f>NOT('hospitalityq-nil'!C1498="")*(OR(NOT(IFERROR(AND(INT('hospitalityq-nil'!C1498)='hospitalityq-nil'!C1498,'hospitalityq-nil'!C1498&gt;=2018-50,'hospitalityq-nil'!C1498&lt;=2018+50),FALSE)),SUMPRODUCT(--(TRIM('hospitalityq-nil'!C6:C1498)=TRIM('hospitalityq-nil'!C1498)),--(TRIM('hospitalityq-nil'!D6:D1498)=TRIM('hospitalityq-nil'!D1498)))&gt;1))</f>
        <v>0</v>
      </c>
      <c r="D1498">
        <f>NOT('hospitalityq-nil'!D1498="")*(OR(COUNTIF(reference!$C$144:$C$155,TRIM(LEFT('hospitalityq-nil'!D1498,FIND(":",'hospitalityq-nil'!D1498&amp;":")-1))&amp;":*")=0,SUMPRODUCT(--(TRIM('hospitalityq-nil'!C6:C1498)=TRIM('hospitalityq-nil'!C1498)),--(TRIM('hospitalityq-nil'!D6:D1498)=TRIM('hospitalityq-nil'!D1498)))&gt;1))</f>
        <v>0</v>
      </c>
    </row>
    <row r="1499" spans="1:4" x14ac:dyDescent="0.25">
      <c r="A1499">
        <f t="shared" si="23"/>
        <v>0</v>
      </c>
      <c r="C1499">
        <f>NOT('hospitalityq-nil'!C1499="")*(OR(NOT(IFERROR(AND(INT('hospitalityq-nil'!C1499)='hospitalityq-nil'!C1499,'hospitalityq-nil'!C1499&gt;=2018-50,'hospitalityq-nil'!C1499&lt;=2018+50),FALSE)),SUMPRODUCT(--(TRIM('hospitalityq-nil'!C6:C1499)=TRIM('hospitalityq-nil'!C1499)),--(TRIM('hospitalityq-nil'!D6:D1499)=TRIM('hospitalityq-nil'!D1499)))&gt;1))</f>
        <v>0</v>
      </c>
      <c r="D1499">
        <f>NOT('hospitalityq-nil'!D1499="")*(OR(COUNTIF(reference!$C$144:$C$155,TRIM(LEFT('hospitalityq-nil'!D1499,FIND(":",'hospitalityq-nil'!D1499&amp;":")-1))&amp;":*")=0,SUMPRODUCT(--(TRIM('hospitalityq-nil'!C6:C1499)=TRIM('hospitalityq-nil'!C1499)),--(TRIM('hospitalityq-nil'!D6:D1499)=TRIM('hospitalityq-nil'!D1499)))&gt;1))</f>
        <v>0</v>
      </c>
    </row>
    <row r="1500" spans="1:4" x14ac:dyDescent="0.25">
      <c r="A1500">
        <f t="shared" si="23"/>
        <v>0</v>
      </c>
      <c r="C1500">
        <f>NOT('hospitalityq-nil'!C1500="")*(OR(NOT(IFERROR(AND(INT('hospitalityq-nil'!C1500)='hospitalityq-nil'!C1500,'hospitalityq-nil'!C1500&gt;=2018-50,'hospitalityq-nil'!C1500&lt;=2018+50),FALSE)),SUMPRODUCT(--(TRIM('hospitalityq-nil'!C6:C1500)=TRIM('hospitalityq-nil'!C1500)),--(TRIM('hospitalityq-nil'!D6:D1500)=TRIM('hospitalityq-nil'!D1500)))&gt;1))</f>
        <v>0</v>
      </c>
      <c r="D1500">
        <f>NOT('hospitalityq-nil'!D1500="")*(OR(COUNTIF(reference!$C$144:$C$155,TRIM(LEFT('hospitalityq-nil'!D1500,FIND(":",'hospitalityq-nil'!D1500&amp;":")-1))&amp;":*")=0,SUMPRODUCT(--(TRIM('hospitalityq-nil'!C6:C1500)=TRIM('hospitalityq-nil'!C1500)),--(TRIM('hospitalityq-nil'!D6:D1500)=TRIM('hospitalityq-nil'!D1500)))&gt;1))</f>
        <v>0</v>
      </c>
    </row>
    <row r="1501" spans="1:4" x14ac:dyDescent="0.25">
      <c r="A1501">
        <f t="shared" si="23"/>
        <v>0</v>
      </c>
      <c r="C1501">
        <f>NOT('hospitalityq-nil'!C1501="")*(OR(NOT(IFERROR(AND(INT('hospitalityq-nil'!C1501)='hospitalityq-nil'!C1501,'hospitalityq-nil'!C1501&gt;=2018-50,'hospitalityq-nil'!C1501&lt;=2018+50),FALSE)),SUMPRODUCT(--(TRIM('hospitalityq-nil'!C6:C1501)=TRIM('hospitalityq-nil'!C1501)),--(TRIM('hospitalityq-nil'!D6:D1501)=TRIM('hospitalityq-nil'!D1501)))&gt;1))</f>
        <v>0</v>
      </c>
      <c r="D1501">
        <f>NOT('hospitalityq-nil'!D1501="")*(OR(COUNTIF(reference!$C$144:$C$155,TRIM(LEFT('hospitalityq-nil'!D1501,FIND(":",'hospitalityq-nil'!D1501&amp;":")-1))&amp;":*")=0,SUMPRODUCT(--(TRIM('hospitalityq-nil'!C6:C1501)=TRIM('hospitalityq-nil'!C1501)),--(TRIM('hospitalityq-nil'!D6:D1501)=TRIM('hospitalityq-nil'!D1501)))&gt;1))</f>
        <v>0</v>
      </c>
    </row>
    <row r="1502" spans="1:4" x14ac:dyDescent="0.25">
      <c r="A1502">
        <f t="shared" si="23"/>
        <v>0</v>
      </c>
      <c r="C1502">
        <f>NOT('hospitalityq-nil'!C1502="")*(OR(NOT(IFERROR(AND(INT('hospitalityq-nil'!C1502)='hospitalityq-nil'!C1502,'hospitalityq-nil'!C1502&gt;=2018-50,'hospitalityq-nil'!C1502&lt;=2018+50),FALSE)),SUMPRODUCT(--(TRIM('hospitalityq-nil'!C6:C1502)=TRIM('hospitalityq-nil'!C1502)),--(TRIM('hospitalityq-nil'!D6:D1502)=TRIM('hospitalityq-nil'!D1502)))&gt;1))</f>
        <v>0</v>
      </c>
      <c r="D1502">
        <f>NOT('hospitalityq-nil'!D1502="")*(OR(COUNTIF(reference!$C$144:$C$155,TRIM(LEFT('hospitalityq-nil'!D1502,FIND(":",'hospitalityq-nil'!D1502&amp;":")-1))&amp;":*")=0,SUMPRODUCT(--(TRIM('hospitalityq-nil'!C6:C1502)=TRIM('hospitalityq-nil'!C1502)),--(TRIM('hospitalityq-nil'!D6:D1502)=TRIM('hospitalityq-nil'!D1502)))&gt;1))</f>
        <v>0</v>
      </c>
    </row>
    <row r="1503" spans="1:4" x14ac:dyDescent="0.25">
      <c r="A1503">
        <f t="shared" si="23"/>
        <v>0</v>
      </c>
      <c r="C1503">
        <f>NOT('hospitalityq-nil'!C1503="")*(OR(NOT(IFERROR(AND(INT('hospitalityq-nil'!C1503)='hospitalityq-nil'!C1503,'hospitalityq-nil'!C1503&gt;=2018-50,'hospitalityq-nil'!C1503&lt;=2018+50),FALSE)),SUMPRODUCT(--(TRIM('hospitalityq-nil'!C6:C1503)=TRIM('hospitalityq-nil'!C1503)),--(TRIM('hospitalityq-nil'!D6:D1503)=TRIM('hospitalityq-nil'!D1503)))&gt;1))</f>
        <v>0</v>
      </c>
      <c r="D1503">
        <f>NOT('hospitalityq-nil'!D1503="")*(OR(COUNTIF(reference!$C$144:$C$155,TRIM(LEFT('hospitalityq-nil'!D1503,FIND(":",'hospitalityq-nil'!D1503&amp;":")-1))&amp;":*")=0,SUMPRODUCT(--(TRIM('hospitalityq-nil'!C6:C1503)=TRIM('hospitalityq-nil'!C1503)),--(TRIM('hospitalityq-nil'!D6:D1503)=TRIM('hospitalityq-nil'!D1503)))&gt;1))</f>
        <v>0</v>
      </c>
    </row>
    <row r="1504" spans="1:4" x14ac:dyDescent="0.25">
      <c r="A1504">
        <f t="shared" si="23"/>
        <v>0</v>
      </c>
      <c r="C1504">
        <f>NOT('hospitalityq-nil'!C1504="")*(OR(NOT(IFERROR(AND(INT('hospitalityq-nil'!C1504)='hospitalityq-nil'!C1504,'hospitalityq-nil'!C1504&gt;=2018-50,'hospitalityq-nil'!C1504&lt;=2018+50),FALSE)),SUMPRODUCT(--(TRIM('hospitalityq-nil'!C6:C1504)=TRIM('hospitalityq-nil'!C1504)),--(TRIM('hospitalityq-nil'!D6:D1504)=TRIM('hospitalityq-nil'!D1504)))&gt;1))</f>
        <v>0</v>
      </c>
      <c r="D1504">
        <f>NOT('hospitalityq-nil'!D1504="")*(OR(COUNTIF(reference!$C$144:$C$155,TRIM(LEFT('hospitalityq-nil'!D1504,FIND(":",'hospitalityq-nil'!D1504&amp;":")-1))&amp;":*")=0,SUMPRODUCT(--(TRIM('hospitalityq-nil'!C6:C1504)=TRIM('hospitalityq-nil'!C1504)),--(TRIM('hospitalityq-nil'!D6:D1504)=TRIM('hospitalityq-nil'!D1504)))&gt;1))</f>
        <v>0</v>
      </c>
    </row>
    <row r="1505" spans="1:4" x14ac:dyDescent="0.25">
      <c r="A1505">
        <f t="shared" si="23"/>
        <v>0</v>
      </c>
      <c r="C1505">
        <f>NOT('hospitalityq-nil'!C1505="")*(OR(NOT(IFERROR(AND(INT('hospitalityq-nil'!C1505)='hospitalityq-nil'!C1505,'hospitalityq-nil'!C1505&gt;=2018-50,'hospitalityq-nil'!C1505&lt;=2018+50),FALSE)),SUMPRODUCT(--(TRIM('hospitalityq-nil'!C6:C1505)=TRIM('hospitalityq-nil'!C1505)),--(TRIM('hospitalityq-nil'!D6:D1505)=TRIM('hospitalityq-nil'!D1505)))&gt;1))</f>
        <v>0</v>
      </c>
      <c r="D1505">
        <f>NOT('hospitalityq-nil'!D1505="")*(OR(COUNTIF(reference!$C$144:$C$155,TRIM(LEFT('hospitalityq-nil'!D1505,FIND(":",'hospitalityq-nil'!D1505&amp;":")-1))&amp;":*")=0,SUMPRODUCT(--(TRIM('hospitalityq-nil'!C6:C1505)=TRIM('hospitalityq-nil'!C1505)),--(TRIM('hospitalityq-nil'!D6:D1505)=TRIM('hospitalityq-nil'!D1505)))&gt;1))</f>
        <v>0</v>
      </c>
    </row>
    <row r="1506" spans="1:4" x14ac:dyDescent="0.25">
      <c r="A1506">
        <f t="shared" si="23"/>
        <v>0</v>
      </c>
      <c r="C1506">
        <f>NOT('hospitalityq-nil'!C1506="")*(OR(NOT(IFERROR(AND(INT('hospitalityq-nil'!C1506)='hospitalityq-nil'!C1506,'hospitalityq-nil'!C1506&gt;=2018-50,'hospitalityq-nil'!C1506&lt;=2018+50),FALSE)),SUMPRODUCT(--(TRIM('hospitalityq-nil'!C6:C1506)=TRIM('hospitalityq-nil'!C1506)),--(TRIM('hospitalityq-nil'!D6:D1506)=TRIM('hospitalityq-nil'!D1506)))&gt;1))</f>
        <v>0</v>
      </c>
      <c r="D1506">
        <f>NOT('hospitalityq-nil'!D1506="")*(OR(COUNTIF(reference!$C$144:$C$155,TRIM(LEFT('hospitalityq-nil'!D1506,FIND(":",'hospitalityq-nil'!D1506&amp;":")-1))&amp;":*")=0,SUMPRODUCT(--(TRIM('hospitalityq-nil'!C6:C1506)=TRIM('hospitalityq-nil'!C1506)),--(TRIM('hospitalityq-nil'!D6:D1506)=TRIM('hospitalityq-nil'!D1506)))&gt;1))</f>
        <v>0</v>
      </c>
    </row>
    <row r="1507" spans="1:4" x14ac:dyDescent="0.25">
      <c r="A1507">
        <f t="shared" si="23"/>
        <v>0</v>
      </c>
      <c r="C1507">
        <f>NOT('hospitalityq-nil'!C1507="")*(OR(NOT(IFERROR(AND(INT('hospitalityq-nil'!C1507)='hospitalityq-nil'!C1507,'hospitalityq-nil'!C1507&gt;=2018-50,'hospitalityq-nil'!C1507&lt;=2018+50),FALSE)),SUMPRODUCT(--(TRIM('hospitalityq-nil'!C6:C1507)=TRIM('hospitalityq-nil'!C1507)),--(TRIM('hospitalityq-nil'!D6:D1507)=TRIM('hospitalityq-nil'!D1507)))&gt;1))</f>
        <v>0</v>
      </c>
      <c r="D1507">
        <f>NOT('hospitalityq-nil'!D1507="")*(OR(COUNTIF(reference!$C$144:$C$155,TRIM(LEFT('hospitalityq-nil'!D1507,FIND(":",'hospitalityq-nil'!D1507&amp;":")-1))&amp;":*")=0,SUMPRODUCT(--(TRIM('hospitalityq-nil'!C6:C1507)=TRIM('hospitalityq-nil'!C1507)),--(TRIM('hospitalityq-nil'!D6:D1507)=TRIM('hospitalityq-nil'!D1507)))&gt;1))</f>
        <v>0</v>
      </c>
    </row>
    <row r="1508" spans="1:4" x14ac:dyDescent="0.25">
      <c r="A1508">
        <f t="shared" si="23"/>
        <v>0</v>
      </c>
      <c r="C1508">
        <f>NOT('hospitalityq-nil'!C1508="")*(OR(NOT(IFERROR(AND(INT('hospitalityq-nil'!C1508)='hospitalityq-nil'!C1508,'hospitalityq-nil'!C1508&gt;=2018-50,'hospitalityq-nil'!C1508&lt;=2018+50),FALSE)),SUMPRODUCT(--(TRIM('hospitalityq-nil'!C6:C1508)=TRIM('hospitalityq-nil'!C1508)),--(TRIM('hospitalityq-nil'!D6:D1508)=TRIM('hospitalityq-nil'!D1508)))&gt;1))</f>
        <v>0</v>
      </c>
      <c r="D1508">
        <f>NOT('hospitalityq-nil'!D1508="")*(OR(COUNTIF(reference!$C$144:$C$155,TRIM(LEFT('hospitalityq-nil'!D1508,FIND(":",'hospitalityq-nil'!D1508&amp;":")-1))&amp;":*")=0,SUMPRODUCT(--(TRIM('hospitalityq-nil'!C6:C1508)=TRIM('hospitalityq-nil'!C1508)),--(TRIM('hospitalityq-nil'!D6:D1508)=TRIM('hospitalityq-nil'!D1508)))&gt;1))</f>
        <v>0</v>
      </c>
    </row>
    <row r="1509" spans="1:4" x14ac:dyDescent="0.25">
      <c r="A1509">
        <f t="shared" si="23"/>
        <v>0</v>
      </c>
      <c r="C1509">
        <f>NOT('hospitalityq-nil'!C1509="")*(OR(NOT(IFERROR(AND(INT('hospitalityq-nil'!C1509)='hospitalityq-nil'!C1509,'hospitalityq-nil'!C1509&gt;=2018-50,'hospitalityq-nil'!C1509&lt;=2018+50),FALSE)),SUMPRODUCT(--(TRIM('hospitalityq-nil'!C6:C1509)=TRIM('hospitalityq-nil'!C1509)),--(TRIM('hospitalityq-nil'!D6:D1509)=TRIM('hospitalityq-nil'!D1509)))&gt;1))</f>
        <v>0</v>
      </c>
      <c r="D1509">
        <f>NOT('hospitalityq-nil'!D1509="")*(OR(COUNTIF(reference!$C$144:$C$155,TRIM(LEFT('hospitalityq-nil'!D1509,FIND(":",'hospitalityq-nil'!D1509&amp;":")-1))&amp;":*")=0,SUMPRODUCT(--(TRIM('hospitalityq-nil'!C6:C1509)=TRIM('hospitalityq-nil'!C1509)),--(TRIM('hospitalityq-nil'!D6:D1509)=TRIM('hospitalityq-nil'!D1509)))&gt;1))</f>
        <v>0</v>
      </c>
    </row>
    <row r="1510" spans="1:4" x14ac:dyDescent="0.25">
      <c r="A1510">
        <f t="shared" si="23"/>
        <v>0</v>
      </c>
      <c r="C1510">
        <f>NOT('hospitalityq-nil'!C1510="")*(OR(NOT(IFERROR(AND(INT('hospitalityq-nil'!C1510)='hospitalityq-nil'!C1510,'hospitalityq-nil'!C1510&gt;=2018-50,'hospitalityq-nil'!C1510&lt;=2018+50),FALSE)),SUMPRODUCT(--(TRIM('hospitalityq-nil'!C6:C1510)=TRIM('hospitalityq-nil'!C1510)),--(TRIM('hospitalityq-nil'!D6:D1510)=TRIM('hospitalityq-nil'!D1510)))&gt;1))</f>
        <v>0</v>
      </c>
      <c r="D1510">
        <f>NOT('hospitalityq-nil'!D1510="")*(OR(COUNTIF(reference!$C$144:$C$155,TRIM(LEFT('hospitalityq-nil'!D1510,FIND(":",'hospitalityq-nil'!D1510&amp;":")-1))&amp;":*")=0,SUMPRODUCT(--(TRIM('hospitalityq-nil'!C6:C1510)=TRIM('hospitalityq-nil'!C1510)),--(TRIM('hospitalityq-nil'!D6:D1510)=TRIM('hospitalityq-nil'!D1510)))&gt;1))</f>
        <v>0</v>
      </c>
    </row>
    <row r="1511" spans="1:4" x14ac:dyDescent="0.25">
      <c r="A1511">
        <f t="shared" si="23"/>
        <v>0</v>
      </c>
      <c r="C1511">
        <f>NOT('hospitalityq-nil'!C1511="")*(OR(NOT(IFERROR(AND(INT('hospitalityq-nil'!C1511)='hospitalityq-nil'!C1511,'hospitalityq-nil'!C1511&gt;=2018-50,'hospitalityq-nil'!C1511&lt;=2018+50),FALSE)),SUMPRODUCT(--(TRIM('hospitalityq-nil'!C6:C1511)=TRIM('hospitalityq-nil'!C1511)),--(TRIM('hospitalityq-nil'!D6:D1511)=TRIM('hospitalityq-nil'!D1511)))&gt;1))</f>
        <v>0</v>
      </c>
      <c r="D1511">
        <f>NOT('hospitalityq-nil'!D1511="")*(OR(COUNTIF(reference!$C$144:$C$155,TRIM(LEFT('hospitalityq-nil'!D1511,FIND(":",'hospitalityq-nil'!D1511&amp;":")-1))&amp;":*")=0,SUMPRODUCT(--(TRIM('hospitalityq-nil'!C6:C1511)=TRIM('hospitalityq-nil'!C1511)),--(TRIM('hospitalityq-nil'!D6:D1511)=TRIM('hospitalityq-nil'!D1511)))&gt;1))</f>
        <v>0</v>
      </c>
    </row>
    <row r="1512" spans="1:4" x14ac:dyDescent="0.25">
      <c r="A1512">
        <f t="shared" si="23"/>
        <v>0</v>
      </c>
      <c r="C1512">
        <f>NOT('hospitalityq-nil'!C1512="")*(OR(NOT(IFERROR(AND(INT('hospitalityq-nil'!C1512)='hospitalityq-nil'!C1512,'hospitalityq-nil'!C1512&gt;=2018-50,'hospitalityq-nil'!C1512&lt;=2018+50),FALSE)),SUMPRODUCT(--(TRIM('hospitalityq-nil'!C6:C1512)=TRIM('hospitalityq-nil'!C1512)),--(TRIM('hospitalityq-nil'!D6:D1512)=TRIM('hospitalityq-nil'!D1512)))&gt;1))</f>
        <v>0</v>
      </c>
      <c r="D1512">
        <f>NOT('hospitalityq-nil'!D1512="")*(OR(COUNTIF(reference!$C$144:$C$155,TRIM(LEFT('hospitalityq-nil'!D1512,FIND(":",'hospitalityq-nil'!D1512&amp;":")-1))&amp;":*")=0,SUMPRODUCT(--(TRIM('hospitalityq-nil'!C6:C1512)=TRIM('hospitalityq-nil'!C1512)),--(TRIM('hospitalityq-nil'!D6:D1512)=TRIM('hospitalityq-nil'!D1512)))&gt;1))</f>
        <v>0</v>
      </c>
    </row>
    <row r="1513" spans="1:4" x14ac:dyDescent="0.25">
      <c r="A1513">
        <f t="shared" si="23"/>
        <v>0</v>
      </c>
      <c r="C1513">
        <f>NOT('hospitalityq-nil'!C1513="")*(OR(NOT(IFERROR(AND(INT('hospitalityq-nil'!C1513)='hospitalityq-nil'!C1513,'hospitalityq-nil'!C1513&gt;=2018-50,'hospitalityq-nil'!C1513&lt;=2018+50),FALSE)),SUMPRODUCT(--(TRIM('hospitalityq-nil'!C6:C1513)=TRIM('hospitalityq-nil'!C1513)),--(TRIM('hospitalityq-nil'!D6:D1513)=TRIM('hospitalityq-nil'!D1513)))&gt;1))</f>
        <v>0</v>
      </c>
      <c r="D1513">
        <f>NOT('hospitalityq-nil'!D1513="")*(OR(COUNTIF(reference!$C$144:$C$155,TRIM(LEFT('hospitalityq-nil'!D1513,FIND(":",'hospitalityq-nil'!D1513&amp;":")-1))&amp;":*")=0,SUMPRODUCT(--(TRIM('hospitalityq-nil'!C6:C1513)=TRIM('hospitalityq-nil'!C1513)),--(TRIM('hospitalityq-nil'!D6:D1513)=TRIM('hospitalityq-nil'!D1513)))&gt;1))</f>
        <v>0</v>
      </c>
    </row>
    <row r="1514" spans="1:4" x14ac:dyDescent="0.25">
      <c r="A1514">
        <f t="shared" si="23"/>
        <v>0</v>
      </c>
      <c r="C1514">
        <f>NOT('hospitalityq-nil'!C1514="")*(OR(NOT(IFERROR(AND(INT('hospitalityq-nil'!C1514)='hospitalityq-nil'!C1514,'hospitalityq-nil'!C1514&gt;=2018-50,'hospitalityq-nil'!C1514&lt;=2018+50),FALSE)),SUMPRODUCT(--(TRIM('hospitalityq-nil'!C6:C1514)=TRIM('hospitalityq-nil'!C1514)),--(TRIM('hospitalityq-nil'!D6:D1514)=TRIM('hospitalityq-nil'!D1514)))&gt;1))</f>
        <v>0</v>
      </c>
      <c r="D1514">
        <f>NOT('hospitalityq-nil'!D1514="")*(OR(COUNTIF(reference!$C$144:$C$155,TRIM(LEFT('hospitalityq-nil'!D1514,FIND(":",'hospitalityq-nil'!D1514&amp;":")-1))&amp;":*")=0,SUMPRODUCT(--(TRIM('hospitalityq-nil'!C6:C1514)=TRIM('hospitalityq-nil'!C1514)),--(TRIM('hospitalityq-nil'!D6:D1514)=TRIM('hospitalityq-nil'!D1514)))&gt;1))</f>
        <v>0</v>
      </c>
    </row>
    <row r="1515" spans="1:4" x14ac:dyDescent="0.25">
      <c r="A1515">
        <f t="shared" si="23"/>
        <v>0</v>
      </c>
      <c r="C1515">
        <f>NOT('hospitalityq-nil'!C1515="")*(OR(NOT(IFERROR(AND(INT('hospitalityq-nil'!C1515)='hospitalityq-nil'!C1515,'hospitalityq-nil'!C1515&gt;=2018-50,'hospitalityq-nil'!C1515&lt;=2018+50),FALSE)),SUMPRODUCT(--(TRIM('hospitalityq-nil'!C6:C1515)=TRIM('hospitalityq-nil'!C1515)),--(TRIM('hospitalityq-nil'!D6:D1515)=TRIM('hospitalityq-nil'!D1515)))&gt;1))</f>
        <v>0</v>
      </c>
      <c r="D1515">
        <f>NOT('hospitalityq-nil'!D1515="")*(OR(COUNTIF(reference!$C$144:$C$155,TRIM(LEFT('hospitalityq-nil'!D1515,FIND(":",'hospitalityq-nil'!D1515&amp;":")-1))&amp;":*")=0,SUMPRODUCT(--(TRIM('hospitalityq-nil'!C6:C1515)=TRIM('hospitalityq-nil'!C1515)),--(TRIM('hospitalityq-nil'!D6:D1515)=TRIM('hospitalityq-nil'!D1515)))&gt;1))</f>
        <v>0</v>
      </c>
    </row>
    <row r="1516" spans="1:4" x14ac:dyDescent="0.25">
      <c r="A1516">
        <f t="shared" si="23"/>
        <v>0</v>
      </c>
      <c r="C1516">
        <f>NOT('hospitalityq-nil'!C1516="")*(OR(NOT(IFERROR(AND(INT('hospitalityq-nil'!C1516)='hospitalityq-nil'!C1516,'hospitalityq-nil'!C1516&gt;=2018-50,'hospitalityq-nil'!C1516&lt;=2018+50),FALSE)),SUMPRODUCT(--(TRIM('hospitalityq-nil'!C6:C1516)=TRIM('hospitalityq-nil'!C1516)),--(TRIM('hospitalityq-nil'!D6:D1516)=TRIM('hospitalityq-nil'!D1516)))&gt;1))</f>
        <v>0</v>
      </c>
      <c r="D1516">
        <f>NOT('hospitalityq-nil'!D1516="")*(OR(COUNTIF(reference!$C$144:$C$155,TRIM(LEFT('hospitalityq-nil'!D1516,FIND(":",'hospitalityq-nil'!D1516&amp;":")-1))&amp;":*")=0,SUMPRODUCT(--(TRIM('hospitalityq-nil'!C6:C1516)=TRIM('hospitalityq-nil'!C1516)),--(TRIM('hospitalityq-nil'!D6:D1516)=TRIM('hospitalityq-nil'!D1516)))&gt;1))</f>
        <v>0</v>
      </c>
    </row>
    <row r="1517" spans="1:4" x14ac:dyDescent="0.25">
      <c r="A1517">
        <f t="shared" si="23"/>
        <v>0</v>
      </c>
      <c r="C1517">
        <f>NOT('hospitalityq-nil'!C1517="")*(OR(NOT(IFERROR(AND(INT('hospitalityq-nil'!C1517)='hospitalityq-nil'!C1517,'hospitalityq-nil'!C1517&gt;=2018-50,'hospitalityq-nil'!C1517&lt;=2018+50),FALSE)),SUMPRODUCT(--(TRIM('hospitalityq-nil'!C6:C1517)=TRIM('hospitalityq-nil'!C1517)),--(TRIM('hospitalityq-nil'!D6:D1517)=TRIM('hospitalityq-nil'!D1517)))&gt;1))</f>
        <v>0</v>
      </c>
      <c r="D1517">
        <f>NOT('hospitalityq-nil'!D1517="")*(OR(COUNTIF(reference!$C$144:$C$155,TRIM(LEFT('hospitalityq-nil'!D1517,FIND(":",'hospitalityq-nil'!D1517&amp;":")-1))&amp;":*")=0,SUMPRODUCT(--(TRIM('hospitalityq-nil'!C6:C1517)=TRIM('hospitalityq-nil'!C1517)),--(TRIM('hospitalityq-nil'!D6:D1517)=TRIM('hospitalityq-nil'!D1517)))&gt;1))</f>
        <v>0</v>
      </c>
    </row>
    <row r="1518" spans="1:4" x14ac:dyDescent="0.25">
      <c r="A1518">
        <f t="shared" si="23"/>
        <v>0</v>
      </c>
      <c r="C1518">
        <f>NOT('hospitalityq-nil'!C1518="")*(OR(NOT(IFERROR(AND(INT('hospitalityq-nil'!C1518)='hospitalityq-nil'!C1518,'hospitalityq-nil'!C1518&gt;=2018-50,'hospitalityq-nil'!C1518&lt;=2018+50),FALSE)),SUMPRODUCT(--(TRIM('hospitalityq-nil'!C6:C1518)=TRIM('hospitalityq-nil'!C1518)),--(TRIM('hospitalityq-nil'!D6:D1518)=TRIM('hospitalityq-nil'!D1518)))&gt;1))</f>
        <v>0</v>
      </c>
      <c r="D1518">
        <f>NOT('hospitalityq-nil'!D1518="")*(OR(COUNTIF(reference!$C$144:$C$155,TRIM(LEFT('hospitalityq-nil'!D1518,FIND(":",'hospitalityq-nil'!D1518&amp;":")-1))&amp;":*")=0,SUMPRODUCT(--(TRIM('hospitalityq-nil'!C6:C1518)=TRIM('hospitalityq-nil'!C1518)),--(TRIM('hospitalityq-nil'!D6:D1518)=TRIM('hospitalityq-nil'!D1518)))&gt;1))</f>
        <v>0</v>
      </c>
    </row>
    <row r="1519" spans="1:4" x14ac:dyDescent="0.25">
      <c r="A1519">
        <f t="shared" si="23"/>
        <v>0</v>
      </c>
      <c r="C1519">
        <f>NOT('hospitalityq-nil'!C1519="")*(OR(NOT(IFERROR(AND(INT('hospitalityq-nil'!C1519)='hospitalityq-nil'!C1519,'hospitalityq-nil'!C1519&gt;=2018-50,'hospitalityq-nil'!C1519&lt;=2018+50),FALSE)),SUMPRODUCT(--(TRIM('hospitalityq-nil'!C6:C1519)=TRIM('hospitalityq-nil'!C1519)),--(TRIM('hospitalityq-nil'!D6:D1519)=TRIM('hospitalityq-nil'!D1519)))&gt;1))</f>
        <v>0</v>
      </c>
      <c r="D1519">
        <f>NOT('hospitalityq-nil'!D1519="")*(OR(COUNTIF(reference!$C$144:$C$155,TRIM(LEFT('hospitalityq-nil'!D1519,FIND(":",'hospitalityq-nil'!D1519&amp;":")-1))&amp;":*")=0,SUMPRODUCT(--(TRIM('hospitalityq-nil'!C6:C1519)=TRIM('hospitalityq-nil'!C1519)),--(TRIM('hospitalityq-nil'!D6:D1519)=TRIM('hospitalityq-nil'!D1519)))&gt;1))</f>
        <v>0</v>
      </c>
    </row>
    <row r="1520" spans="1:4" x14ac:dyDescent="0.25">
      <c r="A1520">
        <f t="shared" si="23"/>
        <v>0</v>
      </c>
      <c r="C1520">
        <f>NOT('hospitalityq-nil'!C1520="")*(OR(NOT(IFERROR(AND(INT('hospitalityq-nil'!C1520)='hospitalityq-nil'!C1520,'hospitalityq-nil'!C1520&gt;=2018-50,'hospitalityq-nil'!C1520&lt;=2018+50),FALSE)),SUMPRODUCT(--(TRIM('hospitalityq-nil'!C6:C1520)=TRIM('hospitalityq-nil'!C1520)),--(TRIM('hospitalityq-nil'!D6:D1520)=TRIM('hospitalityq-nil'!D1520)))&gt;1))</f>
        <v>0</v>
      </c>
      <c r="D1520">
        <f>NOT('hospitalityq-nil'!D1520="")*(OR(COUNTIF(reference!$C$144:$C$155,TRIM(LEFT('hospitalityq-nil'!D1520,FIND(":",'hospitalityq-nil'!D1520&amp;":")-1))&amp;":*")=0,SUMPRODUCT(--(TRIM('hospitalityq-nil'!C6:C1520)=TRIM('hospitalityq-nil'!C1520)),--(TRIM('hospitalityq-nil'!D6:D1520)=TRIM('hospitalityq-nil'!D1520)))&gt;1))</f>
        <v>0</v>
      </c>
    </row>
    <row r="1521" spans="1:4" x14ac:dyDescent="0.25">
      <c r="A1521">
        <f t="shared" si="23"/>
        <v>0</v>
      </c>
      <c r="C1521">
        <f>NOT('hospitalityq-nil'!C1521="")*(OR(NOT(IFERROR(AND(INT('hospitalityq-nil'!C1521)='hospitalityq-nil'!C1521,'hospitalityq-nil'!C1521&gt;=2018-50,'hospitalityq-nil'!C1521&lt;=2018+50),FALSE)),SUMPRODUCT(--(TRIM('hospitalityq-nil'!C6:C1521)=TRIM('hospitalityq-nil'!C1521)),--(TRIM('hospitalityq-nil'!D6:D1521)=TRIM('hospitalityq-nil'!D1521)))&gt;1))</f>
        <v>0</v>
      </c>
      <c r="D1521">
        <f>NOT('hospitalityq-nil'!D1521="")*(OR(COUNTIF(reference!$C$144:$C$155,TRIM(LEFT('hospitalityq-nil'!D1521,FIND(":",'hospitalityq-nil'!D1521&amp;":")-1))&amp;":*")=0,SUMPRODUCT(--(TRIM('hospitalityq-nil'!C6:C1521)=TRIM('hospitalityq-nil'!C1521)),--(TRIM('hospitalityq-nil'!D6:D1521)=TRIM('hospitalityq-nil'!D1521)))&gt;1))</f>
        <v>0</v>
      </c>
    </row>
    <row r="1522" spans="1:4" x14ac:dyDescent="0.25">
      <c r="A1522">
        <f t="shared" si="23"/>
        <v>0</v>
      </c>
      <c r="C1522">
        <f>NOT('hospitalityq-nil'!C1522="")*(OR(NOT(IFERROR(AND(INT('hospitalityq-nil'!C1522)='hospitalityq-nil'!C1522,'hospitalityq-nil'!C1522&gt;=2018-50,'hospitalityq-nil'!C1522&lt;=2018+50),FALSE)),SUMPRODUCT(--(TRIM('hospitalityq-nil'!C6:C1522)=TRIM('hospitalityq-nil'!C1522)),--(TRIM('hospitalityq-nil'!D6:D1522)=TRIM('hospitalityq-nil'!D1522)))&gt;1))</f>
        <v>0</v>
      </c>
      <c r="D1522">
        <f>NOT('hospitalityq-nil'!D1522="")*(OR(COUNTIF(reference!$C$144:$C$155,TRIM(LEFT('hospitalityq-nil'!D1522,FIND(":",'hospitalityq-nil'!D1522&amp;":")-1))&amp;":*")=0,SUMPRODUCT(--(TRIM('hospitalityq-nil'!C6:C1522)=TRIM('hospitalityq-nil'!C1522)),--(TRIM('hospitalityq-nil'!D6:D1522)=TRIM('hospitalityq-nil'!D1522)))&gt;1))</f>
        <v>0</v>
      </c>
    </row>
    <row r="1523" spans="1:4" x14ac:dyDescent="0.25">
      <c r="A1523">
        <f t="shared" si="23"/>
        <v>0</v>
      </c>
      <c r="C1523">
        <f>NOT('hospitalityq-nil'!C1523="")*(OR(NOT(IFERROR(AND(INT('hospitalityq-nil'!C1523)='hospitalityq-nil'!C1523,'hospitalityq-nil'!C1523&gt;=2018-50,'hospitalityq-nil'!C1523&lt;=2018+50),FALSE)),SUMPRODUCT(--(TRIM('hospitalityq-nil'!C6:C1523)=TRIM('hospitalityq-nil'!C1523)),--(TRIM('hospitalityq-nil'!D6:D1523)=TRIM('hospitalityq-nil'!D1523)))&gt;1))</f>
        <v>0</v>
      </c>
      <c r="D1523">
        <f>NOT('hospitalityq-nil'!D1523="")*(OR(COUNTIF(reference!$C$144:$C$155,TRIM(LEFT('hospitalityq-nil'!D1523,FIND(":",'hospitalityq-nil'!D1523&amp;":")-1))&amp;":*")=0,SUMPRODUCT(--(TRIM('hospitalityq-nil'!C6:C1523)=TRIM('hospitalityq-nil'!C1523)),--(TRIM('hospitalityq-nil'!D6:D1523)=TRIM('hospitalityq-nil'!D1523)))&gt;1))</f>
        <v>0</v>
      </c>
    </row>
    <row r="1524" spans="1:4" x14ac:dyDescent="0.25">
      <c r="A1524">
        <f t="shared" si="23"/>
        <v>0</v>
      </c>
      <c r="C1524">
        <f>NOT('hospitalityq-nil'!C1524="")*(OR(NOT(IFERROR(AND(INT('hospitalityq-nil'!C1524)='hospitalityq-nil'!C1524,'hospitalityq-nil'!C1524&gt;=2018-50,'hospitalityq-nil'!C1524&lt;=2018+50),FALSE)),SUMPRODUCT(--(TRIM('hospitalityq-nil'!C6:C1524)=TRIM('hospitalityq-nil'!C1524)),--(TRIM('hospitalityq-nil'!D6:D1524)=TRIM('hospitalityq-nil'!D1524)))&gt;1))</f>
        <v>0</v>
      </c>
      <c r="D1524">
        <f>NOT('hospitalityq-nil'!D1524="")*(OR(COUNTIF(reference!$C$144:$C$155,TRIM(LEFT('hospitalityq-nil'!D1524,FIND(":",'hospitalityq-nil'!D1524&amp;":")-1))&amp;":*")=0,SUMPRODUCT(--(TRIM('hospitalityq-nil'!C6:C1524)=TRIM('hospitalityq-nil'!C1524)),--(TRIM('hospitalityq-nil'!D6:D1524)=TRIM('hospitalityq-nil'!D1524)))&gt;1))</f>
        <v>0</v>
      </c>
    </row>
    <row r="1525" spans="1:4" x14ac:dyDescent="0.25">
      <c r="A1525">
        <f t="shared" si="23"/>
        <v>0</v>
      </c>
      <c r="C1525">
        <f>NOT('hospitalityq-nil'!C1525="")*(OR(NOT(IFERROR(AND(INT('hospitalityq-nil'!C1525)='hospitalityq-nil'!C1525,'hospitalityq-nil'!C1525&gt;=2018-50,'hospitalityq-nil'!C1525&lt;=2018+50),FALSE)),SUMPRODUCT(--(TRIM('hospitalityq-nil'!C6:C1525)=TRIM('hospitalityq-nil'!C1525)),--(TRIM('hospitalityq-nil'!D6:D1525)=TRIM('hospitalityq-nil'!D1525)))&gt;1))</f>
        <v>0</v>
      </c>
      <c r="D1525">
        <f>NOT('hospitalityq-nil'!D1525="")*(OR(COUNTIF(reference!$C$144:$C$155,TRIM(LEFT('hospitalityq-nil'!D1525,FIND(":",'hospitalityq-nil'!D1525&amp;":")-1))&amp;":*")=0,SUMPRODUCT(--(TRIM('hospitalityq-nil'!C6:C1525)=TRIM('hospitalityq-nil'!C1525)),--(TRIM('hospitalityq-nil'!D6:D1525)=TRIM('hospitalityq-nil'!D1525)))&gt;1))</f>
        <v>0</v>
      </c>
    </row>
    <row r="1526" spans="1:4" x14ac:dyDescent="0.25">
      <c r="A1526">
        <f t="shared" si="23"/>
        <v>0</v>
      </c>
      <c r="C1526">
        <f>NOT('hospitalityq-nil'!C1526="")*(OR(NOT(IFERROR(AND(INT('hospitalityq-nil'!C1526)='hospitalityq-nil'!C1526,'hospitalityq-nil'!C1526&gt;=2018-50,'hospitalityq-nil'!C1526&lt;=2018+50),FALSE)),SUMPRODUCT(--(TRIM('hospitalityq-nil'!C6:C1526)=TRIM('hospitalityq-nil'!C1526)),--(TRIM('hospitalityq-nil'!D6:D1526)=TRIM('hospitalityq-nil'!D1526)))&gt;1))</f>
        <v>0</v>
      </c>
      <c r="D1526">
        <f>NOT('hospitalityq-nil'!D1526="")*(OR(COUNTIF(reference!$C$144:$C$155,TRIM(LEFT('hospitalityq-nil'!D1526,FIND(":",'hospitalityq-nil'!D1526&amp;":")-1))&amp;":*")=0,SUMPRODUCT(--(TRIM('hospitalityq-nil'!C6:C1526)=TRIM('hospitalityq-nil'!C1526)),--(TRIM('hospitalityq-nil'!D6:D1526)=TRIM('hospitalityq-nil'!D1526)))&gt;1))</f>
        <v>0</v>
      </c>
    </row>
    <row r="1527" spans="1:4" x14ac:dyDescent="0.25">
      <c r="A1527">
        <f t="shared" si="23"/>
        <v>0</v>
      </c>
      <c r="C1527">
        <f>NOT('hospitalityq-nil'!C1527="")*(OR(NOT(IFERROR(AND(INT('hospitalityq-nil'!C1527)='hospitalityq-nil'!C1527,'hospitalityq-nil'!C1527&gt;=2018-50,'hospitalityq-nil'!C1527&lt;=2018+50),FALSE)),SUMPRODUCT(--(TRIM('hospitalityq-nil'!C6:C1527)=TRIM('hospitalityq-nil'!C1527)),--(TRIM('hospitalityq-nil'!D6:D1527)=TRIM('hospitalityq-nil'!D1527)))&gt;1))</f>
        <v>0</v>
      </c>
      <c r="D1527">
        <f>NOT('hospitalityq-nil'!D1527="")*(OR(COUNTIF(reference!$C$144:$C$155,TRIM(LEFT('hospitalityq-nil'!D1527,FIND(":",'hospitalityq-nil'!D1527&amp;":")-1))&amp;":*")=0,SUMPRODUCT(--(TRIM('hospitalityq-nil'!C6:C1527)=TRIM('hospitalityq-nil'!C1527)),--(TRIM('hospitalityq-nil'!D6:D1527)=TRIM('hospitalityq-nil'!D1527)))&gt;1))</f>
        <v>0</v>
      </c>
    </row>
    <row r="1528" spans="1:4" x14ac:dyDescent="0.25">
      <c r="A1528">
        <f t="shared" si="23"/>
        <v>0</v>
      </c>
      <c r="C1528">
        <f>NOT('hospitalityq-nil'!C1528="")*(OR(NOT(IFERROR(AND(INT('hospitalityq-nil'!C1528)='hospitalityq-nil'!C1528,'hospitalityq-nil'!C1528&gt;=2018-50,'hospitalityq-nil'!C1528&lt;=2018+50),FALSE)),SUMPRODUCT(--(TRIM('hospitalityq-nil'!C6:C1528)=TRIM('hospitalityq-nil'!C1528)),--(TRIM('hospitalityq-nil'!D6:D1528)=TRIM('hospitalityq-nil'!D1528)))&gt;1))</f>
        <v>0</v>
      </c>
      <c r="D1528">
        <f>NOT('hospitalityq-nil'!D1528="")*(OR(COUNTIF(reference!$C$144:$C$155,TRIM(LEFT('hospitalityq-nil'!D1528,FIND(":",'hospitalityq-nil'!D1528&amp;":")-1))&amp;":*")=0,SUMPRODUCT(--(TRIM('hospitalityq-nil'!C6:C1528)=TRIM('hospitalityq-nil'!C1528)),--(TRIM('hospitalityq-nil'!D6:D1528)=TRIM('hospitalityq-nil'!D1528)))&gt;1))</f>
        <v>0</v>
      </c>
    </row>
    <row r="1529" spans="1:4" x14ac:dyDescent="0.25">
      <c r="A1529">
        <f t="shared" si="23"/>
        <v>0</v>
      </c>
      <c r="C1529">
        <f>NOT('hospitalityq-nil'!C1529="")*(OR(NOT(IFERROR(AND(INT('hospitalityq-nil'!C1529)='hospitalityq-nil'!C1529,'hospitalityq-nil'!C1529&gt;=2018-50,'hospitalityq-nil'!C1529&lt;=2018+50),FALSE)),SUMPRODUCT(--(TRIM('hospitalityq-nil'!C6:C1529)=TRIM('hospitalityq-nil'!C1529)),--(TRIM('hospitalityq-nil'!D6:D1529)=TRIM('hospitalityq-nil'!D1529)))&gt;1))</f>
        <v>0</v>
      </c>
      <c r="D1529">
        <f>NOT('hospitalityq-nil'!D1529="")*(OR(COUNTIF(reference!$C$144:$C$155,TRIM(LEFT('hospitalityq-nil'!D1529,FIND(":",'hospitalityq-nil'!D1529&amp;":")-1))&amp;":*")=0,SUMPRODUCT(--(TRIM('hospitalityq-nil'!C6:C1529)=TRIM('hospitalityq-nil'!C1529)),--(TRIM('hospitalityq-nil'!D6:D1529)=TRIM('hospitalityq-nil'!D1529)))&gt;1))</f>
        <v>0</v>
      </c>
    </row>
    <row r="1530" spans="1:4" x14ac:dyDescent="0.25">
      <c r="A1530">
        <f t="shared" si="23"/>
        <v>0</v>
      </c>
      <c r="C1530">
        <f>NOT('hospitalityq-nil'!C1530="")*(OR(NOT(IFERROR(AND(INT('hospitalityq-nil'!C1530)='hospitalityq-nil'!C1530,'hospitalityq-nil'!C1530&gt;=2018-50,'hospitalityq-nil'!C1530&lt;=2018+50),FALSE)),SUMPRODUCT(--(TRIM('hospitalityq-nil'!C6:C1530)=TRIM('hospitalityq-nil'!C1530)),--(TRIM('hospitalityq-nil'!D6:D1530)=TRIM('hospitalityq-nil'!D1530)))&gt;1))</f>
        <v>0</v>
      </c>
      <c r="D1530">
        <f>NOT('hospitalityq-nil'!D1530="")*(OR(COUNTIF(reference!$C$144:$C$155,TRIM(LEFT('hospitalityq-nil'!D1530,FIND(":",'hospitalityq-nil'!D1530&amp;":")-1))&amp;":*")=0,SUMPRODUCT(--(TRIM('hospitalityq-nil'!C6:C1530)=TRIM('hospitalityq-nil'!C1530)),--(TRIM('hospitalityq-nil'!D6:D1530)=TRIM('hospitalityq-nil'!D1530)))&gt;1))</f>
        <v>0</v>
      </c>
    </row>
    <row r="1531" spans="1:4" x14ac:dyDescent="0.25">
      <c r="A1531">
        <f t="shared" si="23"/>
        <v>0</v>
      </c>
      <c r="C1531">
        <f>NOT('hospitalityq-nil'!C1531="")*(OR(NOT(IFERROR(AND(INT('hospitalityq-nil'!C1531)='hospitalityq-nil'!C1531,'hospitalityq-nil'!C1531&gt;=2018-50,'hospitalityq-nil'!C1531&lt;=2018+50),FALSE)),SUMPRODUCT(--(TRIM('hospitalityq-nil'!C6:C1531)=TRIM('hospitalityq-nil'!C1531)),--(TRIM('hospitalityq-nil'!D6:D1531)=TRIM('hospitalityq-nil'!D1531)))&gt;1))</f>
        <v>0</v>
      </c>
      <c r="D1531">
        <f>NOT('hospitalityq-nil'!D1531="")*(OR(COUNTIF(reference!$C$144:$C$155,TRIM(LEFT('hospitalityq-nil'!D1531,FIND(":",'hospitalityq-nil'!D1531&amp;":")-1))&amp;":*")=0,SUMPRODUCT(--(TRIM('hospitalityq-nil'!C6:C1531)=TRIM('hospitalityq-nil'!C1531)),--(TRIM('hospitalityq-nil'!D6:D1531)=TRIM('hospitalityq-nil'!D1531)))&gt;1))</f>
        <v>0</v>
      </c>
    </row>
    <row r="1532" spans="1:4" x14ac:dyDescent="0.25">
      <c r="A1532">
        <f t="shared" si="23"/>
        <v>0</v>
      </c>
      <c r="C1532">
        <f>NOT('hospitalityq-nil'!C1532="")*(OR(NOT(IFERROR(AND(INT('hospitalityq-nil'!C1532)='hospitalityq-nil'!C1532,'hospitalityq-nil'!C1532&gt;=2018-50,'hospitalityq-nil'!C1532&lt;=2018+50),FALSE)),SUMPRODUCT(--(TRIM('hospitalityq-nil'!C6:C1532)=TRIM('hospitalityq-nil'!C1532)),--(TRIM('hospitalityq-nil'!D6:D1532)=TRIM('hospitalityq-nil'!D1532)))&gt;1))</f>
        <v>0</v>
      </c>
      <c r="D1532">
        <f>NOT('hospitalityq-nil'!D1532="")*(OR(COUNTIF(reference!$C$144:$C$155,TRIM(LEFT('hospitalityq-nil'!D1532,FIND(":",'hospitalityq-nil'!D1532&amp;":")-1))&amp;":*")=0,SUMPRODUCT(--(TRIM('hospitalityq-nil'!C6:C1532)=TRIM('hospitalityq-nil'!C1532)),--(TRIM('hospitalityq-nil'!D6:D1532)=TRIM('hospitalityq-nil'!D1532)))&gt;1))</f>
        <v>0</v>
      </c>
    </row>
    <row r="1533" spans="1:4" x14ac:dyDescent="0.25">
      <c r="A1533">
        <f t="shared" si="23"/>
        <v>0</v>
      </c>
      <c r="C1533">
        <f>NOT('hospitalityq-nil'!C1533="")*(OR(NOT(IFERROR(AND(INT('hospitalityq-nil'!C1533)='hospitalityq-nil'!C1533,'hospitalityq-nil'!C1533&gt;=2018-50,'hospitalityq-nil'!C1533&lt;=2018+50),FALSE)),SUMPRODUCT(--(TRIM('hospitalityq-nil'!C6:C1533)=TRIM('hospitalityq-nil'!C1533)),--(TRIM('hospitalityq-nil'!D6:D1533)=TRIM('hospitalityq-nil'!D1533)))&gt;1))</f>
        <v>0</v>
      </c>
      <c r="D1533">
        <f>NOT('hospitalityq-nil'!D1533="")*(OR(COUNTIF(reference!$C$144:$C$155,TRIM(LEFT('hospitalityq-nil'!D1533,FIND(":",'hospitalityq-nil'!D1533&amp;":")-1))&amp;":*")=0,SUMPRODUCT(--(TRIM('hospitalityq-nil'!C6:C1533)=TRIM('hospitalityq-nil'!C1533)),--(TRIM('hospitalityq-nil'!D6:D1533)=TRIM('hospitalityq-nil'!D1533)))&gt;1))</f>
        <v>0</v>
      </c>
    </row>
    <row r="1534" spans="1:4" x14ac:dyDescent="0.25">
      <c r="A1534">
        <f t="shared" si="23"/>
        <v>0</v>
      </c>
      <c r="C1534">
        <f>NOT('hospitalityq-nil'!C1534="")*(OR(NOT(IFERROR(AND(INT('hospitalityq-nil'!C1534)='hospitalityq-nil'!C1534,'hospitalityq-nil'!C1534&gt;=2018-50,'hospitalityq-nil'!C1534&lt;=2018+50),FALSE)),SUMPRODUCT(--(TRIM('hospitalityq-nil'!C6:C1534)=TRIM('hospitalityq-nil'!C1534)),--(TRIM('hospitalityq-nil'!D6:D1534)=TRIM('hospitalityq-nil'!D1534)))&gt;1))</f>
        <v>0</v>
      </c>
      <c r="D1534">
        <f>NOT('hospitalityq-nil'!D1534="")*(OR(COUNTIF(reference!$C$144:$C$155,TRIM(LEFT('hospitalityq-nil'!D1534,FIND(":",'hospitalityq-nil'!D1534&amp;":")-1))&amp;":*")=0,SUMPRODUCT(--(TRIM('hospitalityq-nil'!C6:C1534)=TRIM('hospitalityq-nil'!C1534)),--(TRIM('hospitalityq-nil'!D6:D1534)=TRIM('hospitalityq-nil'!D1534)))&gt;1))</f>
        <v>0</v>
      </c>
    </row>
    <row r="1535" spans="1:4" x14ac:dyDescent="0.25">
      <c r="A1535">
        <f t="shared" si="23"/>
        <v>0</v>
      </c>
      <c r="C1535">
        <f>NOT('hospitalityq-nil'!C1535="")*(OR(NOT(IFERROR(AND(INT('hospitalityq-nil'!C1535)='hospitalityq-nil'!C1535,'hospitalityq-nil'!C1535&gt;=2018-50,'hospitalityq-nil'!C1535&lt;=2018+50),FALSE)),SUMPRODUCT(--(TRIM('hospitalityq-nil'!C6:C1535)=TRIM('hospitalityq-nil'!C1535)),--(TRIM('hospitalityq-nil'!D6:D1535)=TRIM('hospitalityq-nil'!D1535)))&gt;1))</f>
        <v>0</v>
      </c>
      <c r="D1535">
        <f>NOT('hospitalityq-nil'!D1535="")*(OR(COUNTIF(reference!$C$144:$C$155,TRIM(LEFT('hospitalityq-nil'!D1535,FIND(":",'hospitalityq-nil'!D1535&amp;":")-1))&amp;":*")=0,SUMPRODUCT(--(TRIM('hospitalityq-nil'!C6:C1535)=TRIM('hospitalityq-nil'!C1535)),--(TRIM('hospitalityq-nil'!D6:D1535)=TRIM('hospitalityq-nil'!D1535)))&gt;1))</f>
        <v>0</v>
      </c>
    </row>
    <row r="1536" spans="1:4" x14ac:dyDescent="0.25">
      <c r="A1536">
        <f t="shared" si="23"/>
        <v>0</v>
      </c>
      <c r="C1536">
        <f>NOT('hospitalityq-nil'!C1536="")*(OR(NOT(IFERROR(AND(INT('hospitalityq-nil'!C1536)='hospitalityq-nil'!C1536,'hospitalityq-nil'!C1536&gt;=2018-50,'hospitalityq-nil'!C1536&lt;=2018+50),FALSE)),SUMPRODUCT(--(TRIM('hospitalityq-nil'!C6:C1536)=TRIM('hospitalityq-nil'!C1536)),--(TRIM('hospitalityq-nil'!D6:D1536)=TRIM('hospitalityq-nil'!D1536)))&gt;1))</f>
        <v>0</v>
      </c>
      <c r="D1536">
        <f>NOT('hospitalityq-nil'!D1536="")*(OR(COUNTIF(reference!$C$144:$C$155,TRIM(LEFT('hospitalityq-nil'!D1536,FIND(":",'hospitalityq-nil'!D1536&amp;":")-1))&amp;":*")=0,SUMPRODUCT(--(TRIM('hospitalityq-nil'!C6:C1536)=TRIM('hospitalityq-nil'!C1536)),--(TRIM('hospitalityq-nil'!D6:D1536)=TRIM('hospitalityq-nil'!D1536)))&gt;1))</f>
        <v>0</v>
      </c>
    </row>
    <row r="1537" spans="1:4" x14ac:dyDescent="0.25">
      <c r="A1537">
        <f t="shared" si="23"/>
        <v>0</v>
      </c>
      <c r="C1537">
        <f>NOT('hospitalityq-nil'!C1537="")*(OR(NOT(IFERROR(AND(INT('hospitalityq-nil'!C1537)='hospitalityq-nil'!C1537,'hospitalityq-nil'!C1537&gt;=2018-50,'hospitalityq-nil'!C1537&lt;=2018+50),FALSE)),SUMPRODUCT(--(TRIM('hospitalityq-nil'!C6:C1537)=TRIM('hospitalityq-nil'!C1537)),--(TRIM('hospitalityq-nil'!D6:D1537)=TRIM('hospitalityq-nil'!D1537)))&gt;1))</f>
        <v>0</v>
      </c>
      <c r="D1537">
        <f>NOT('hospitalityq-nil'!D1537="")*(OR(COUNTIF(reference!$C$144:$C$155,TRIM(LEFT('hospitalityq-nil'!D1537,FIND(":",'hospitalityq-nil'!D1537&amp;":")-1))&amp;":*")=0,SUMPRODUCT(--(TRIM('hospitalityq-nil'!C6:C1537)=TRIM('hospitalityq-nil'!C1537)),--(TRIM('hospitalityq-nil'!D6:D1537)=TRIM('hospitalityq-nil'!D1537)))&gt;1))</f>
        <v>0</v>
      </c>
    </row>
    <row r="1538" spans="1:4" x14ac:dyDescent="0.25">
      <c r="A1538">
        <f t="shared" si="23"/>
        <v>0</v>
      </c>
      <c r="C1538">
        <f>NOT('hospitalityq-nil'!C1538="")*(OR(NOT(IFERROR(AND(INT('hospitalityq-nil'!C1538)='hospitalityq-nil'!C1538,'hospitalityq-nil'!C1538&gt;=2018-50,'hospitalityq-nil'!C1538&lt;=2018+50),FALSE)),SUMPRODUCT(--(TRIM('hospitalityq-nil'!C6:C1538)=TRIM('hospitalityq-nil'!C1538)),--(TRIM('hospitalityq-nil'!D6:D1538)=TRIM('hospitalityq-nil'!D1538)))&gt;1))</f>
        <v>0</v>
      </c>
      <c r="D1538">
        <f>NOT('hospitalityq-nil'!D1538="")*(OR(COUNTIF(reference!$C$144:$C$155,TRIM(LEFT('hospitalityq-nil'!D1538,FIND(":",'hospitalityq-nil'!D1538&amp;":")-1))&amp;":*")=0,SUMPRODUCT(--(TRIM('hospitalityq-nil'!C6:C1538)=TRIM('hospitalityq-nil'!C1538)),--(TRIM('hospitalityq-nil'!D6:D1538)=TRIM('hospitalityq-nil'!D1538)))&gt;1))</f>
        <v>0</v>
      </c>
    </row>
    <row r="1539" spans="1:4" x14ac:dyDescent="0.25">
      <c r="A1539">
        <f t="shared" si="23"/>
        <v>0</v>
      </c>
      <c r="C1539">
        <f>NOT('hospitalityq-nil'!C1539="")*(OR(NOT(IFERROR(AND(INT('hospitalityq-nil'!C1539)='hospitalityq-nil'!C1539,'hospitalityq-nil'!C1539&gt;=2018-50,'hospitalityq-nil'!C1539&lt;=2018+50),FALSE)),SUMPRODUCT(--(TRIM('hospitalityq-nil'!C6:C1539)=TRIM('hospitalityq-nil'!C1539)),--(TRIM('hospitalityq-nil'!D6:D1539)=TRIM('hospitalityq-nil'!D1539)))&gt;1))</f>
        <v>0</v>
      </c>
      <c r="D1539">
        <f>NOT('hospitalityq-nil'!D1539="")*(OR(COUNTIF(reference!$C$144:$C$155,TRIM(LEFT('hospitalityq-nil'!D1539,FIND(":",'hospitalityq-nil'!D1539&amp;":")-1))&amp;":*")=0,SUMPRODUCT(--(TRIM('hospitalityq-nil'!C6:C1539)=TRIM('hospitalityq-nil'!C1539)),--(TRIM('hospitalityq-nil'!D6:D1539)=TRIM('hospitalityq-nil'!D1539)))&gt;1))</f>
        <v>0</v>
      </c>
    </row>
    <row r="1540" spans="1:4" x14ac:dyDescent="0.25">
      <c r="A1540">
        <f t="shared" si="23"/>
        <v>0</v>
      </c>
      <c r="C1540">
        <f>NOT('hospitalityq-nil'!C1540="")*(OR(NOT(IFERROR(AND(INT('hospitalityq-nil'!C1540)='hospitalityq-nil'!C1540,'hospitalityq-nil'!C1540&gt;=2018-50,'hospitalityq-nil'!C1540&lt;=2018+50),FALSE)),SUMPRODUCT(--(TRIM('hospitalityq-nil'!C6:C1540)=TRIM('hospitalityq-nil'!C1540)),--(TRIM('hospitalityq-nil'!D6:D1540)=TRIM('hospitalityq-nil'!D1540)))&gt;1))</f>
        <v>0</v>
      </c>
      <c r="D1540">
        <f>NOT('hospitalityq-nil'!D1540="")*(OR(COUNTIF(reference!$C$144:$C$155,TRIM(LEFT('hospitalityq-nil'!D1540,FIND(":",'hospitalityq-nil'!D1540&amp;":")-1))&amp;":*")=0,SUMPRODUCT(--(TRIM('hospitalityq-nil'!C6:C1540)=TRIM('hospitalityq-nil'!C1540)),--(TRIM('hospitalityq-nil'!D6:D1540)=TRIM('hospitalityq-nil'!D1540)))&gt;1))</f>
        <v>0</v>
      </c>
    </row>
    <row r="1541" spans="1:4" x14ac:dyDescent="0.25">
      <c r="A1541">
        <f t="shared" si="23"/>
        <v>0</v>
      </c>
      <c r="C1541">
        <f>NOT('hospitalityq-nil'!C1541="")*(OR(NOT(IFERROR(AND(INT('hospitalityq-nil'!C1541)='hospitalityq-nil'!C1541,'hospitalityq-nil'!C1541&gt;=2018-50,'hospitalityq-nil'!C1541&lt;=2018+50),FALSE)),SUMPRODUCT(--(TRIM('hospitalityq-nil'!C6:C1541)=TRIM('hospitalityq-nil'!C1541)),--(TRIM('hospitalityq-nil'!D6:D1541)=TRIM('hospitalityq-nil'!D1541)))&gt;1))</f>
        <v>0</v>
      </c>
      <c r="D1541">
        <f>NOT('hospitalityq-nil'!D1541="")*(OR(COUNTIF(reference!$C$144:$C$155,TRIM(LEFT('hospitalityq-nil'!D1541,FIND(":",'hospitalityq-nil'!D1541&amp;":")-1))&amp;":*")=0,SUMPRODUCT(--(TRIM('hospitalityq-nil'!C6:C1541)=TRIM('hospitalityq-nil'!C1541)),--(TRIM('hospitalityq-nil'!D6:D1541)=TRIM('hospitalityq-nil'!D1541)))&gt;1))</f>
        <v>0</v>
      </c>
    </row>
    <row r="1542" spans="1:4" x14ac:dyDescent="0.25">
      <c r="A1542">
        <f t="shared" ref="A1542:A1605" si="24">IFERROR(MATCH(TRUE,INDEX(C1542:D1542&lt;&gt;0,),)+2,0)</f>
        <v>0</v>
      </c>
      <c r="C1542">
        <f>NOT('hospitalityq-nil'!C1542="")*(OR(NOT(IFERROR(AND(INT('hospitalityq-nil'!C1542)='hospitalityq-nil'!C1542,'hospitalityq-nil'!C1542&gt;=2018-50,'hospitalityq-nil'!C1542&lt;=2018+50),FALSE)),SUMPRODUCT(--(TRIM('hospitalityq-nil'!C6:C1542)=TRIM('hospitalityq-nil'!C1542)),--(TRIM('hospitalityq-nil'!D6:D1542)=TRIM('hospitalityq-nil'!D1542)))&gt;1))</f>
        <v>0</v>
      </c>
      <c r="D1542">
        <f>NOT('hospitalityq-nil'!D1542="")*(OR(COUNTIF(reference!$C$144:$C$155,TRIM(LEFT('hospitalityq-nil'!D1542,FIND(":",'hospitalityq-nil'!D1542&amp;":")-1))&amp;":*")=0,SUMPRODUCT(--(TRIM('hospitalityq-nil'!C6:C1542)=TRIM('hospitalityq-nil'!C1542)),--(TRIM('hospitalityq-nil'!D6:D1542)=TRIM('hospitalityq-nil'!D1542)))&gt;1))</f>
        <v>0</v>
      </c>
    </row>
    <row r="1543" spans="1:4" x14ac:dyDescent="0.25">
      <c r="A1543">
        <f t="shared" si="24"/>
        <v>0</v>
      </c>
      <c r="C1543">
        <f>NOT('hospitalityq-nil'!C1543="")*(OR(NOT(IFERROR(AND(INT('hospitalityq-nil'!C1543)='hospitalityq-nil'!C1543,'hospitalityq-nil'!C1543&gt;=2018-50,'hospitalityq-nil'!C1543&lt;=2018+50),FALSE)),SUMPRODUCT(--(TRIM('hospitalityq-nil'!C6:C1543)=TRIM('hospitalityq-nil'!C1543)),--(TRIM('hospitalityq-nil'!D6:D1543)=TRIM('hospitalityq-nil'!D1543)))&gt;1))</f>
        <v>0</v>
      </c>
      <c r="D1543">
        <f>NOT('hospitalityq-nil'!D1543="")*(OR(COUNTIF(reference!$C$144:$C$155,TRIM(LEFT('hospitalityq-nil'!D1543,FIND(":",'hospitalityq-nil'!D1543&amp;":")-1))&amp;":*")=0,SUMPRODUCT(--(TRIM('hospitalityq-nil'!C6:C1543)=TRIM('hospitalityq-nil'!C1543)),--(TRIM('hospitalityq-nil'!D6:D1543)=TRIM('hospitalityq-nil'!D1543)))&gt;1))</f>
        <v>0</v>
      </c>
    </row>
    <row r="1544" spans="1:4" x14ac:dyDescent="0.25">
      <c r="A1544">
        <f t="shared" si="24"/>
        <v>0</v>
      </c>
      <c r="C1544">
        <f>NOT('hospitalityq-nil'!C1544="")*(OR(NOT(IFERROR(AND(INT('hospitalityq-nil'!C1544)='hospitalityq-nil'!C1544,'hospitalityq-nil'!C1544&gt;=2018-50,'hospitalityq-nil'!C1544&lt;=2018+50),FALSE)),SUMPRODUCT(--(TRIM('hospitalityq-nil'!C6:C1544)=TRIM('hospitalityq-nil'!C1544)),--(TRIM('hospitalityq-nil'!D6:D1544)=TRIM('hospitalityq-nil'!D1544)))&gt;1))</f>
        <v>0</v>
      </c>
      <c r="D1544">
        <f>NOT('hospitalityq-nil'!D1544="")*(OR(COUNTIF(reference!$C$144:$C$155,TRIM(LEFT('hospitalityq-nil'!D1544,FIND(":",'hospitalityq-nil'!D1544&amp;":")-1))&amp;":*")=0,SUMPRODUCT(--(TRIM('hospitalityq-nil'!C6:C1544)=TRIM('hospitalityq-nil'!C1544)),--(TRIM('hospitalityq-nil'!D6:D1544)=TRIM('hospitalityq-nil'!D1544)))&gt;1))</f>
        <v>0</v>
      </c>
    </row>
    <row r="1545" spans="1:4" x14ac:dyDescent="0.25">
      <c r="A1545">
        <f t="shared" si="24"/>
        <v>0</v>
      </c>
      <c r="C1545">
        <f>NOT('hospitalityq-nil'!C1545="")*(OR(NOT(IFERROR(AND(INT('hospitalityq-nil'!C1545)='hospitalityq-nil'!C1545,'hospitalityq-nil'!C1545&gt;=2018-50,'hospitalityq-nil'!C1545&lt;=2018+50),FALSE)),SUMPRODUCT(--(TRIM('hospitalityq-nil'!C6:C1545)=TRIM('hospitalityq-nil'!C1545)),--(TRIM('hospitalityq-nil'!D6:D1545)=TRIM('hospitalityq-nil'!D1545)))&gt;1))</f>
        <v>0</v>
      </c>
      <c r="D1545">
        <f>NOT('hospitalityq-nil'!D1545="")*(OR(COUNTIF(reference!$C$144:$C$155,TRIM(LEFT('hospitalityq-nil'!D1545,FIND(":",'hospitalityq-nil'!D1545&amp;":")-1))&amp;":*")=0,SUMPRODUCT(--(TRIM('hospitalityq-nil'!C6:C1545)=TRIM('hospitalityq-nil'!C1545)),--(TRIM('hospitalityq-nil'!D6:D1545)=TRIM('hospitalityq-nil'!D1545)))&gt;1))</f>
        <v>0</v>
      </c>
    </row>
    <row r="1546" spans="1:4" x14ac:dyDescent="0.25">
      <c r="A1546">
        <f t="shared" si="24"/>
        <v>0</v>
      </c>
      <c r="C1546">
        <f>NOT('hospitalityq-nil'!C1546="")*(OR(NOT(IFERROR(AND(INT('hospitalityq-nil'!C1546)='hospitalityq-nil'!C1546,'hospitalityq-nil'!C1546&gt;=2018-50,'hospitalityq-nil'!C1546&lt;=2018+50),FALSE)),SUMPRODUCT(--(TRIM('hospitalityq-nil'!C6:C1546)=TRIM('hospitalityq-nil'!C1546)),--(TRIM('hospitalityq-nil'!D6:D1546)=TRIM('hospitalityq-nil'!D1546)))&gt;1))</f>
        <v>0</v>
      </c>
      <c r="D1546">
        <f>NOT('hospitalityq-nil'!D1546="")*(OR(COUNTIF(reference!$C$144:$C$155,TRIM(LEFT('hospitalityq-nil'!D1546,FIND(":",'hospitalityq-nil'!D1546&amp;":")-1))&amp;":*")=0,SUMPRODUCT(--(TRIM('hospitalityq-nil'!C6:C1546)=TRIM('hospitalityq-nil'!C1546)),--(TRIM('hospitalityq-nil'!D6:D1546)=TRIM('hospitalityq-nil'!D1546)))&gt;1))</f>
        <v>0</v>
      </c>
    </row>
    <row r="1547" spans="1:4" x14ac:dyDescent="0.25">
      <c r="A1547">
        <f t="shared" si="24"/>
        <v>0</v>
      </c>
      <c r="C1547">
        <f>NOT('hospitalityq-nil'!C1547="")*(OR(NOT(IFERROR(AND(INT('hospitalityq-nil'!C1547)='hospitalityq-nil'!C1547,'hospitalityq-nil'!C1547&gt;=2018-50,'hospitalityq-nil'!C1547&lt;=2018+50),FALSE)),SUMPRODUCT(--(TRIM('hospitalityq-nil'!C6:C1547)=TRIM('hospitalityq-nil'!C1547)),--(TRIM('hospitalityq-nil'!D6:D1547)=TRIM('hospitalityq-nil'!D1547)))&gt;1))</f>
        <v>0</v>
      </c>
      <c r="D1547">
        <f>NOT('hospitalityq-nil'!D1547="")*(OR(COUNTIF(reference!$C$144:$C$155,TRIM(LEFT('hospitalityq-nil'!D1547,FIND(":",'hospitalityq-nil'!D1547&amp;":")-1))&amp;":*")=0,SUMPRODUCT(--(TRIM('hospitalityq-nil'!C6:C1547)=TRIM('hospitalityq-nil'!C1547)),--(TRIM('hospitalityq-nil'!D6:D1547)=TRIM('hospitalityq-nil'!D1547)))&gt;1))</f>
        <v>0</v>
      </c>
    </row>
    <row r="1548" spans="1:4" x14ac:dyDescent="0.25">
      <c r="A1548">
        <f t="shared" si="24"/>
        <v>0</v>
      </c>
      <c r="C1548">
        <f>NOT('hospitalityq-nil'!C1548="")*(OR(NOT(IFERROR(AND(INT('hospitalityq-nil'!C1548)='hospitalityq-nil'!C1548,'hospitalityq-nil'!C1548&gt;=2018-50,'hospitalityq-nil'!C1548&lt;=2018+50),FALSE)),SUMPRODUCT(--(TRIM('hospitalityq-nil'!C6:C1548)=TRIM('hospitalityq-nil'!C1548)),--(TRIM('hospitalityq-nil'!D6:D1548)=TRIM('hospitalityq-nil'!D1548)))&gt;1))</f>
        <v>0</v>
      </c>
      <c r="D1548">
        <f>NOT('hospitalityq-nil'!D1548="")*(OR(COUNTIF(reference!$C$144:$C$155,TRIM(LEFT('hospitalityq-nil'!D1548,FIND(":",'hospitalityq-nil'!D1548&amp;":")-1))&amp;":*")=0,SUMPRODUCT(--(TRIM('hospitalityq-nil'!C6:C1548)=TRIM('hospitalityq-nil'!C1548)),--(TRIM('hospitalityq-nil'!D6:D1548)=TRIM('hospitalityq-nil'!D1548)))&gt;1))</f>
        <v>0</v>
      </c>
    </row>
    <row r="1549" spans="1:4" x14ac:dyDescent="0.25">
      <c r="A1549">
        <f t="shared" si="24"/>
        <v>0</v>
      </c>
      <c r="C1549">
        <f>NOT('hospitalityq-nil'!C1549="")*(OR(NOT(IFERROR(AND(INT('hospitalityq-nil'!C1549)='hospitalityq-nil'!C1549,'hospitalityq-nil'!C1549&gt;=2018-50,'hospitalityq-nil'!C1549&lt;=2018+50),FALSE)),SUMPRODUCT(--(TRIM('hospitalityq-nil'!C6:C1549)=TRIM('hospitalityq-nil'!C1549)),--(TRIM('hospitalityq-nil'!D6:D1549)=TRIM('hospitalityq-nil'!D1549)))&gt;1))</f>
        <v>0</v>
      </c>
      <c r="D1549">
        <f>NOT('hospitalityq-nil'!D1549="")*(OR(COUNTIF(reference!$C$144:$C$155,TRIM(LEFT('hospitalityq-nil'!D1549,FIND(":",'hospitalityq-nil'!D1549&amp;":")-1))&amp;":*")=0,SUMPRODUCT(--(TRIM('hospitalityq-nil'!C6:C1549)=TRIM('hospitalityq-nil'!C1549)),--(TRIM('hospitalityq-nil'!D6:D1549)=TRIM('hospitalityq-nil'!D1549)))&gt;1))</f>
        <v>0</v>
      </c>
    </row>
    <row r="1550" spans="1:4" x14ac:dyDescent="0.25">
      <c r="A1550">
        <f t="shared" si="24"/>
        <v>0</v>
      </c>
      <c r="C1550">
        <f>NOT('hospitalityq-nil'!C1550="")*(OR(NOT(IFERROR(AND(INT('hospitalityq-nil'!C1550)='hospitalityq-nil'!C1550,'hospitalityq-nil'!C1550&gt;=2018-50,'hospitalityq-nil'!C1550&lt;=2018+50),FALSE)),SUMPRODUCT(--(TRIM('hospitalityq-nil'!C6:C1550)=TRIM('hospitalityq-nil'!C1550)),--(TRIM('hospitalityq-nil'!D6:D1550)=TRIM('hospitalityq-nil'!D1550)))&gt;1))</f>
        <v>0</v>
      </c>
      <c r="D1550">
        <f>NOT('hospitalityq-nil'!D1550="")*(OR(COUNTIF(reference!$C$144:$C$155,TRIM(LEFT('hospitalityq-nil'!D1550,FIND(":",'hospitalityq-nil'!D1550&amp;":")-1))&amp;":*")=0,SUMPRODUCT(--(TRIM('hospitalityq-nil'!C6:C1550)=TRIM('hospitalityq-nil'!C1550)),--(TRIM('hospitalityq-nil'!D6:D1550)=TRIM('hospitalityq-nil'!D1550)))&gt;1))</f>
        <v>0</v>
      </c>
    </row>
    <row r="1551" spans="1:4" x14ac:dyDescent="0.25">
      <c r="A1551">
        <f t="shared" si="24"/>
        <v>0</v>
      </c>
      <c r="C1551">
        <f>NOT('hospitalityq-nil'!C1551="")*(OR(NOT(IFERROR(AND(INT('hospitalityq-nil'!C1551)='hospitalityq-nil'!C1551,'hospitalityq-nil'!C1551&gt;=2018-50,'hospitalityq-nil'!C1551&lt;=2018+50),FALSE)),SUMPRODUCT(--(TRIM('hospitalityq-nil'!C6:C1551)=TRIM('hospitalityq-nil'!C1551)),--(TRIM('hospitalityq-nil'!D6:D1551)=TRIM('hospitalityq-nil'!D1551)))&gt;1))</f>
        <v>0</v>
      </c>
      <c r="D1551">
        <f>NOT('hospitalityq-nil'!D1551="")*(OR(COUNTIF(reference!$C$144:$C$155,TRIM(LEFT('hospitalityq-nil'!D1551,FIND(":",'hospitalityq-nil'!D1551&amp;":")-1))&amp;":*")=0,SUMPRODUCT(--(TRIM('hospitalityq-nil'!C6:C1551)=TRIM('hospitalityq-nil'!C1551)),--(TRIM('hospitalityq-nil'!D6:D1551)=TRIM('hospitalityq-nil'!D1551)))&gt;1))</f>
        <v>0</v>
      </c>
    </row>
    <row r="1552" spans="1:4" x14ac:dyDescent="0.25">
      <c r="A1552">
        <f t="shared" si="24"/>
        <v>0</v>
      </c>
      <c r="C1552">
        <f>NOT('hospitalityq-nil'!C1552="")*(OR(NOT(IFERROR(AND(INT('hospitalityq-nil'!C1552)='hospitalityq-nil'!C1552,'hospitalityq-nil'!C1552&gt;=2018-50,'hospitalityq-nil'!C1552&lt;=2018+50),FALSE)),SUMPRODUCT(--(TRIM('hospitalityq-nil'!C6:C1552)=TRIM('hospitalityq-nil'!C1552)),--(TRIM('hospitalityq-nil'!D6:D1552)=TRIM('hospitalityq-nil'!D1552)))&gt;1))</f>
        <v>0</v>
      </c>
      <c r="D1552">
        <f>NOT('hospitalityq-nil'!D1552="")*(OR(COUNTIF(reference!$C$144:$C$155,TRIM(LEFT('hospitalityq-nil'!D1552,FIND(":",'hospitalityq-nil'!D1552&amp;":")-1))&amp;":*")=0,SUMPRODUCT(--(TRIM('hospitalityq-nil'!C6:C1552)=TRIM('hospitalityq-nil'!C1552)),--(TRIM('hospitalityq-nil'!D6:D1552)=TRIM('hospitalityq-nil'!D1552)))&gt;1))</f>
        <v>0</v>
      </c>
    </row>
    <row r="1553" spans="1:4" x14ac:dyDescent="0.25">
      <c r="A1553">
        <f t="shared" si="24"/>
        <v>0</v>
      </c>
      <c r="C1553">
        <f>NOT('hospitalityq-nil'!C1553="")*(OR(NOT(IFERROR(AND(INT('hospitalityq-nil'!C1553)='hospitalityq-nil'!C1553,'hospitalityq-nil'!C1553&gt;=2018-50,'hospitalityq-nil'!C1553&lt;=2018+50),FALSE)),SUMPRODUCT(--(TRIM('hospitalityq-nil'!C6:C1553)=TRIM('hospitalityq-nil'!C1553)),--(TRIM('hospitalityq-nil'!D6:D1553)=TRIM('hospitalityq-nil'!D1553)))&gt;1))</f>
        <v>0</v>
      </c>
      <c r="D1553">
        <f>NOT('hospitalityq-nil'!D1553="")*(OR(COUNTIF(reference!$C$144:$C$155,TRIM(LEFT('hospitalityq-nil'!D1553,FIND(":",'hospitalityq-nil'!D1553&amp;":")-1))&amp;":*")=0,SUMPRODUCT(--(TRIM('hospitalityq-nil'!C6:C1553)=TRIM('hospitalityq-nil'!C1553)),--(TRIM('hospitalityq-nil'!D6:D1553)=TRIM('hospitalityq-nil'!D1553)))&gt;1))</f>
        <v>0</v>
      </c>
    </row>
    <row r="1554" spans="1:4" x14ac:dyDescent="0.25">
      <c r="A1554">
        <f t="shared" si="24"/>
        <v>0</v>
      </c>
      <c r="C1554">
        <f>NOT('hospitalityq-nil'!C1554="")*(OR(NOT(IFERROR(AND(INT('hospitalityq-nil'!C1554)='hospitalityq-nil'!C1554,'hospitalityq-nil'!C1554&gt;=2018-50,'hospitalityq-nil'!C1554&lt;=2018+50),FALSE)),SUMPRODUCT(--(TRIM('hospitalityq-nil'!C6:C1554)=TRIM('hospitalityq-nil'!C1554)),--(TRIM('hospitalityq-nil'!D6:D1554)=TRIM('hospitalityq-nil'!D1554)))&gt;1))</f>
        <v>0</v>
      </c>
      <c r="D1554">
        <f>NOT('hospitalityq-nil'!D1554="")*(OR(COUNTIF(reference!$C$144:$C$155,TRIM(LEFT('hospitalityq-nil'!D1554,FIND(":",'hospitalityq-nil'!D1554&amp;":")-1))&amp;":*")=0,SUMPRODUCT(--(TRIM('hospitalityq-nil'!C6:C1554)=TRIM('hospitalityq-nil'!C1554)),--(TRIM('hospitalityq-nil'!D6:D1554)=TRIM('hospitalityq-nil'!D1554)))&gt;1))</f>
        <v>0</v>
      </c>
    </row>
    <row r="1555" spans="1:4" x14ac:dyDescent="0.25">
      <c r="A1555">
        <f t="shared" si="24"/>
        <v>0</v>
      </c>
      <c r="C1555">
        <f>NOT('hospitalityq-nil'!C1555="")*(OR(NOT(IFERROR(AND(INT('hospitalityq-nil'!C1555)='hospitalityq-nil'!C1555,'hospitalityq-nil'!C1555&gt;=2018-50,'hospitalityq-nil'!C1555&lt;=2018+50),FALSE)),SUMPRODUCT(--(TRIM('hospitalityq-nil'!C6:C1555)=TRIM('hospitalityq-nil'!C1555)),--(TRIM('hospitalityq-nil'!D6:D1555)=TRIM('hospitalityq-nil'!D1555)))&gt;1))</f>
        <v>0</v>
      </c>
      <c r="D1555">
        <f>NOT('hospitalityq-nil'!D1555="")*(OR(COUNTIF(reference!$C$144:$C$155,TRIM(LEFT('hospitalityq-nil'!D1555,FIND(":",'hospitalityq-nil'!D1555&amp;":")-1))&amp;":*")=0,SUMPRODUCT(--(TRIM('hospitalityq-nil'!C6:C1555)=TRIM('hospitalityq-nil'!C1555)),--(TRIM('hospitalityq-nil'!D6:D1555)=TRIM('hospitalityq-nil'!D1555)))&gt;1))</f>
        <v>0</v>
      </c>
    </row>
    <row r="1556" spans="1:4" x14ac:dyDescent="0.25">
      <c r="A1556">
        <f t="shared" si="24"/>
        <v>0</v>
      </c>
      <c r="C1556">
        <f>NOT('hospitalityq-nil'!C1556="")*(OR(NOT(IFERROR(AND(INT('hospitalityq-nil'!C1556)='hospitalityq-nil'!C1556,'hospitalityq-nil'!C1556&gt;=2018-50,'hospitalityq-nil'!C1556&lt;=2018+50),FALSE)),SUMPRODUCT(--(TRIM('hospitalityq-nil'!C6:C1556)=TRIM('hospitalityq-nil'!C1556)),--(TRIM('hospitalityq-nil'!D6:D1556)=TRIM('hospitalityq-nil'!D1556)))&gt;1))</f>
        <v>0</v>
      </c>
      <c r="D1556">
        <f>NOT('hospitalityq-nil'!D1556="")*(OR(COUNTIF(reference!$C$144:$C$155,TRIM(LEFT('hospitalityq-nil'!D1556,FIND(":",'hospitalityq-nil'!D1556&amp;":")-1))&amp;":*")=0,SUMPRODUCT(--(TRIM('hospitalityq-nil'!C6:C1556)=TRIM('hospitalityq-nil'!C1556)),--(TRIM('hospitalityq-nil'!D6:D1556)=TRIM('hospitalityq-nil'!D1556)))&gt;1))</f>
        <v>0</v>
      </c>
    </row>
    <row r="1557" spans="1:4" x14ac:dyDescent="0.25">
      <c r="A1557">
        <f t="shared" si="24"/>
        <v>0</v>
      </c>
      <c r="C1557">
        <f>NOT('hospitalityq-nil'!C1557="")*(OR(NOT(IFERROR(AND(INT('hospitalityq-nil'!C1557)='hospitalityq-nil'!C1557,'hospitalityq-nil'!C1557&gt;=2018-50,'hospitalityq-nil'!C1557&lt;=2018+50),FALSE)),SUMPRODUCT(--(TRIM('hospitalityq-nil'!C6:C1557)=TRIM('hospitalityq-nil'!C1557)),--(TRIM('hospitalityq-nil'!D6:D1557)=TRIM('hospitalityq-nil'!D1557)))&gt;1))</f>
        <v>0</v>
      </c>
      <c r="D1557">
        <f>NOT('hospitalityq-nil'!D1557="")*(OR(COUNTIF(reference!$C$144:$C$155,TRIM(LEFT('hospitalityq-nil'!D1557,FIND(":",'hospitalityq-nil'!D1557&amp;":")-1))&amp;":*")=0,SUMPRODUCT(--(TRIM('hospitalityq-nil'!C6:C1557)=TRIM('hospitalityq-nil'!C1557)),--(TRIM('hospitalityq-nil'!D6:D1557)=TRIM('hospitalityq-nil'!D1557)))&gt;1))</f>
        <v>0</v>
      </c>
    </row>
    <row r="1558" spans="1:4" x14ac:dyDescent="0.25">
      <c r="A1558">
        <f t="shared" si="24"/>
        <v>0</v>
      </c>
      <c r="C1558">
        <f>NOT('hospitalityq-nil'!C1558="")*(OR(NOT(IFERROR(AND(INT('hospitalityq-nil'!C1558)='hospitalityq-nil'!C1558,'hospitalityq-nil'!C1558&gt;=2018-50,'hospitalityq-nil'!C1558&lt;=2018+50),FALSE)),SUMPRODUCT(--(TRIM('hospitalityq-nil'!C6:C1558)=TRIM('hospitalityq-nil'!C1558)),--(TRIM('hospitalityq-nil'!D6:D1558)=TRIM('hospitalityq-nil'!D1558)))&gt;1))</f>
        <v>0</v>
      </c>
      <c r="D1558">
        <f>NOT('hospitalityq-nil'!D1558="")*(OR(COUNTIF(reference!$C$144:$C$155,TRIM(LEFT('hospitalityq-nil'!D1558,FIND(":",'hospitalityq-nil'!D1558&amp;":")-1))&amp;":*")=0,SUMPRODUCT(--(TRIM('hospitalityq-nil'!C6:C1558)=TRIM('hospitalityq-nil'!C1558)),--(TRIM('hospitalityq-nil'!D6:D1558)=TRIM('hospitalityq-nil'!D1558)))&gt;1))</f>
        <v>0</v>
      </c>
    </row>
    <row r="1559" spans="1:4" x14ac:dyDescent="0.25">
      <c r="A1559">
        <f t="shared" si="24"/>
        <v>0</v>
      </c>
      <c r="C1559">
        <f>NOT('hospitalityq-nil'!C1559="")*(OR(NOT(IFERROR(AND(INT('hospitalityq-nil'!C1559)='hospitalityq-nil'!C1559,'hospitalityq-nil'!C1559&gt;=2018-50,'hospitalityq-nil'!C1559&lt;=2018+50),FALSE)),SUMPRODUCT(--(TRIM('hospitalityq-nil'!C6:C1559)=TRIM('hospitalityq-nil'!C1559)),--(TRIM('hospitalityq-nil'!D6:D1559)=TRIM('hospitalityq-nil'!D1559)))&gt;1))</f>
        <v>0</v>
      </c>
      <c r="D1559">
        <f>NOT('hospitalityq-nil'!D1559="")*(OR(COUNTIF(reference!$C$144:$C$155,TRIM(LEFT('hospitalityq-nil'!D1559,FIND(":",'hospitalityq-nil'!D1559&amp;":")-1))&amp;":*")=0,SUMPRODUCT(--(TRIM('hospitalityq-nil'!C6:C1559)=TRIM('hospitalityq-nil'!C1559)),--(TRIM('hospitalityq-nil'!D6:D1559)=TRIM('hospitalityq-nil'!D1559)))&gt;1))</f>
        <v>0</v>
      </c>
    </row>
    <row r="1560" spans="1:4" x14ac:dyDescent="0.25">
      <c r="A1560">
        <f t="shared" si="24"/>
        <v>0</v>
      </c>
      <c r="C1560">
        <f>NOT('hospitalityq-nil'!C1560="")*(OR(NOT(IFERROR(AND(INT('hospitalityq-nil'!C1560)='hospitalityq-nil'!C1560,'hospitalityq-nil'!C1560&gt;=2018-50,'hospitalityq-nil'!C1560&lt;=2018+50),FALSE)),SUMPRODUCT(--(TRIM('hospitalityq-nil'!C6:C1560)=TRIM('hospitalityq-nil'!C1560)),--(TRIM('hospitalityq-nil'!D6:D1560)=TRIM('hospitalityq-nil'!D1560)))&gt;1))</f>
        <v>0</v>
      </c>
      <c r="D1560">
        <f>NOT('hospitalityq-nil'!D1560="")*(OR(COUNTIF(reference!$C$144:$C$155,TRIM(LEFT('hospitalityq-nil'!D1560,FIND(":",'hospitalityq-nil'!D1560&amp;":")-1))&amp;":*")=0,SUMPRODUCT(--(TRIM('hospitalityq-nil'!C6:C1560)=TRIM('hospitalityq-nil'!C1560)),--(TRIM('hospitalityq-nil'!D6:D1560)=TRIM('hospitalityq-nil'!D1560)))&gt;1))</f>
        <v>0</v>
      </c>
    </row>
    <row r="1561" spans="1:4" x14ac:dyDescent="0.25">
      <c r="A1561">
        <f t="shared" si="24"/>
        <v>0</v>
      </c>
      <c r="C1561">
        <f>NOT('hospitalityq-nil'!C1561="")*(OR(NOT(IFERROR(AND(INT('hospitalityq-nil'!C1561)='hospitalityq-nil'!C1561,'hospitalityq-nil'!C1561&gt;=2018-50,'hospitalityq-nil'!C1561&lt;=2018+50),FALSE)),SUMPRODUCT(--(TRIM('hospitalityq-nil'!C6:C1561)=TRIM('hospitalityq-nil'!C1561)),--(TRIM('hospitalityq-nil'!D6:D1561)=TRIM('hospitalityq-nil'!D1561)))&gt;1))</f>
        <v>0</v>
      </c>
      <c r="D1561">
        <f>NOT('hospitalityq-nil'!D1561="")*(OR(COUNTIF(reference!$C$144:$C$155,TRIM(LEFT('hospitalityq-nil'!D1561,FIND(":",'hospitalityq-nil'!D1561&amp;":")-1))&amp;":*")=0,SUMPRODUCT(--(TRIM('hospitalityq-nil'!C6:C1561)=TRIM('hospitalityq-nil'!C1561)),--(TRIM('hospitalityq-nil'!D6:D1561)=TRIM('hospitalityq-nil'!D1561)))&gt;1))</f>
        <v>0</v>
      </c>
    </row>
    <row r="1562" spans="1:4" x14ac:dyDescent="0.25">
      <c r="A1562">
        <f t="shared" si="24"/>
        <v>0</v>
      </c>
      <c r="C1562">
        <f>NOT('hospitalityq-nil'!C1562="")*(OR(NOT(IFERROR(AND(INT('hospitalityq-nil'!C1562)='hospitalityq-nil'!C1562,'hospitalityq-nil'!C1562&gt;=2018-50,'hospitalityq-nil'!C1562&lt;=2018+50),FALSE)),SUMPRODUCT(--(TRIM('hospitalityq-nil'!C6:C1562)=TRIM('hospitalityq-nil'!C1562)),--(TRIM('hospitalityq-nil'!D6:D1562)=TRIM('hospitalityq-nil'!D1562)))&gt;1))</f>
        <v>0</v>
      </c>
      <c r="D1562">
        <f>NOT('hospitalityq-nil'!D1562="")*(OR(COUNTIF(reference!$C$144:$C$155,TRIM(LEFT('hospitalityq-nil'!D1562,FIND(":",'hospitalityq-nil'!D1562&amp;":")-1))&amp;":*")=0,SUMPRODUCT(--(TRIM('hospitalityq-nil'!C6:C1562)=TRIM('hospitalityq-nil'!C1562)),--(TRIM('hospitalityq-nil'!D6:D1562)=TRIM('hospitalityq-nil'!D1562)))&gt;1))</f>
        <v>0</v>
      </c>
    </row>
    <row r="1563" spans="1:4" x14ac:dyDescent="0.25">
      <c r="A1563">
        <f t="shared" si="24"/>
        <v>0</v>
      </c>
      <c r="C1563">
        <f>NOT('hospitalityq-nil'!C1563="")*(OR(NOT(IFERROR(AND(INT('hospitalityq-nil'!C1563)='hospitalityq-nil'!C1563,'hospitalityq-nil'!C1563&gt;=2018-50,'hospitalityq-nil'!C1563&lt;=2018+50),FALSE)),SUMPRODUCT(--(TRIM('hospitalityq-nil'!C6:C1563)=TRIM('hospitalityq-nil'!C1563)),--(TRIM('hospitalityq-nil'!D6:D1563)=TRIM('hospitalityq-nil'!D1563)))&gt;1))</f>
        <v>0</v>
      </c>
      <c r="D1563">
        <f>NOT('hospitalityq-nil'!D1563="")*(OR(COUNTIF(reference!$C$144:$C$155,TRIM(LEFT('hospitalityq-nil'!D1563,FIND(":",'hospitalityq-nil'!D1563&amp;":")-1))&amp;":*")=0,SUMPRODUCT(--(TRIM('hospitalityq-nil'!C6:C1563)=TRIM('hospitalityq-nil'!C1563)),--(TRIM('hospitalityq-nil'!D6:D1563)=TRIM('hospitalityq-nil'!D1563)))&gt;1))</f>
        <v>0</v>
      </c>
    </row>
    <row r="1564" spans="1:4" x14ac:dyDescent="0.25">
      <c r="A1564">
        <f t="shared" si="24"/>
        <v>0</v>
      </c>
      <c r="C1564">
        <f>NOT('hospitalityq-nil'!C1564="")*(OR(NOT(IFERROR(AND(INT('hospitalityq-nil'!C1564)='hospitalityq-nil'!C1564,'hospitalityq-nil'!C1564&gt;=2018-50,'hospitalityq-nil'!C1564&lt;=2018+50),FALSE)),SUMPRODUCT(--(TRIM('hospitalityq-nil'!C6:C1564)=TRIM('hospitalityq-nil'!C1564)),--(TRIM('hospitalityq-nil'!D6:D1564)=TRIM('hospitalityq-nil'!D1564)))&gt;1))</f>
        <v>0</v>
      </c>
      <c r="D1564">
        <f>NOT('hospitalityq-nil'!D1564="")*(OR(COUNTIF(reference!$C$144:$C$155,TRIM(LEFT('hospitalityq-nil'!D1564,FIND(":",'hospitalityq-nil'!D1564&amp;":")-1))&amp;":*")=0,SUMPRODUCT(--(TRIM('hospitalityq-nil'!C6:C1564)=TRIM('hospitalityq-nil'!C1564)),--(TRIM('hospitalityq-nil'!D6:D1564)=TRIM('hospitalityq-nil'!D1564)))&gt;1))</f>
        <v>0</v>
      </c>
    </row>
    <row r="1565" spans="1:4" x14ac:dyDescent="0.25">
      <c r="A1565">
        <f t="shared" si="24"/>
        <v>0</v>
      </c>
      <c r="C1565">
        <f>NOT('hospitalityq-nil'!C1565="")*(OR(NOT(IFERROR(AND(INT('hospitalityq-nil'!C1565)='hospitalityq-nil'!C1565,'hospitalityq-nil'!C1565&gt;=2018-50,'hospitalityq-nil'!C1565&lt;=2018+50),FALSE)),SUMPRODUCT(--(TRIM('hospitalityq-nil'!C6:C1565)=TRIM('hospitalityq-nil'!C1565)),--(TRIM('hospitalityq-nil'!D6:D1565)=TRIM('hospitalityq-nil'!D1565)))&gt;1))</f>
        <v>0</v>
      </c>
      <c r="D1565">
        <f>NOT('hospitalityq-nil'!D1565="")*(OR(COUNTIF(reference!$C$144:$C$155,TRIM(LEFT('hospitalityq-nil'!D1565,FIND(":",'hospitalityq-nil'!D1565&amp;":")-1))&amp;":*")=0,SUMPRODUCT(--(TRIM('hospitalityq-nil'!C6:C1565)=TRIM('hospitalityq-nil'!C1565)),--(TRIM('hospitalityq-nil'!D6:D1565)=TRIM('hospitalityq-nil'!D1565)))&gt;1))</f>
        <v>0</v>
      </c>
    </row>
    <row r="1566" spans="1:4" x14ac:dyDescent="0.25">
      <c r="A1566">
        <f t="shared" si="24"/>
        <v>0</v>
      </c>
      <c r="C1566">
        <f>NOT('hospitalityq-nil'!C1566="")*(OR(NOT(IFERROR(AND(INT('hospitalityq-nil'!C1566)='hospitalityq-nil'!C1566,'hospitalityq-nil'!C1566&gt;=2018-50,'hospitalityq-nil'!C1566&lt;=2018+50),FALSE)),SUMPRODUCT(--(TRIM('hospitalityq-nil'!C6:C1566)=TRIM('hospitalityq-nil'!C1566)),--(TRIM('hospitalityq-nil'!D6:D1566)=TRIM('hospitalityq-nil'!D1566)))&gt;1))</f>
        <v>0</v>
      </c>
      <c r="D1566">
        <f>NOT('hospitalityq-nil'!D1566="")*(OR(COUNTIF(reference!$C$144:$C$155,TRIM(LEFT('hospitalityq-nil'!D1566,FIND(":",'hospitalityq-nil'!D1566&amp;":")-1))&amp;":*")=0,SUMPRODUCT(--(TRIM('hospitalityq-nil'!C6:C1566)=TRIM('hospitalityq-nil'!C1566)),--(TRIM('hospitalityq-nil'!D6:D1566)=TRIM('hospitalityq-nil'!D1566)))&gt;1))</f>
        <v>0</v>
      </c>
    </row>
    <row r="1567" spans="1:4" x14ac:dyDescent="0.25">
      <c r="A1567">
        <f t="shared" si="24"/>
        <v>0</v>
      </c>
      <c r="C1567">
        <f>NOT('hospitalityq-nil'!C1567="")*(OR(NOT(IFERROR(AND(INT('hospitalityq-nil'!C1567)='hospitalityq-nil'!C1567,'hospitalityq-nil'!C1567&gt;=2018-50,'hospitalityq-nil'!C1567&lt;=2018+50),FALSE)),SUMPRODUCT(--(TRIM('hospitalityq-nil'!C6:C1567)=TRIM('hospitalityq-nil'!C1567)),--(TRIM('hospitalityq-nil'!D6:D1567)=TRIM('hospitalityq-nil'!D1567)))&gt;1))</f>
        <v>0</v>
      </c>
      <c r="D1567">
        <f>NOT('hospitalityq-nil'!D1567="")*(OR(COUNTIF(reference!$C$144:$C$155,TRIM(LEFT('hospitalityq-nil'!D1567,FIND(":",'hospitalityq-nil'!D1567&amp;":")-1))&amp;":*")=0,SUMPRODUCT(--(TRIM('hospitalityq-nil'!C6:C1567)=TRIM('hospitalityq-nil'!C1567)),--(TRIM('hospitalityq-nil'!D6:D1567)=TRIM('hospitalityq-nil'!D1567)))&gt;1))</f>
        <v>0</v>
      </c>
    </row>
    <row r="1568" spans="1:4" x14ac:dyDescent="0.25">
      <c r="A1568">
        <f t="shared" si="24"/>
        <v>0</v>
      </c>
      <c r="C1568">
        <f>NOT('hospitalityq-nil'!C1568="")*(OR(NOT(IFERROR(AND(INT('hospitalityq-nil'!C1568)='hospitalityq-nil'!C1568,'hospitalityq-nil'!C1568&gt;=2018-50,'hospitalityq-nil'!C1568&lt;=2018+50),FALSE)),SUMPRODUCT(--(TRIM('hospitalityq-nil'!C6:C1568)=TRIM('hospitalityq-nil'!C1568)),--(TRIM('hospitalityq-nil'!D6:D1568)=TRIM('hospitalityq-nil'!D1568)))&gt;1))</f>
        <v>0</v>
      </c>
      <c r="D1568">
        <f>NOT('hospitalityq-nil'!D1568="")*(OR(COUNTIF(reference!$C$144:$C$155,TRIM(LEFT('hospitalityq-nil'!D1568,FIND(":",'hospitalityq-nil'!D1568&amp;":")-1))&amp;":*")=0,SUMPRODUCT(--(TRIM('hospitalityq-nil'!C6:C1568)=TRIM('hospitalityq-nil'!C1568)),--(TRIM('hospitalityq-nil'!D6:D1568)=TRIM('hospitalityq-nil'!D1568)))&gt;1))</f>
        <v>0</v>
      </c>
    </row>
    <row r="1569" spans="1:4" x14ac:dyDescent="0.25">
      <c r="A1569">
        <f t="shared" si="24"/>
        <v>0</v>
      </c>
      <c r="C1569">
        <f>NOT('hospitalityq-nil'!C1569="")*(OR(NOT(IFERROR(AND(INT('hospitalityq-nil'!C1569)='hospitalityq-nil'!C1569,'hospitalityq-nil'!C1569&gt;=2018-50,'hospitalityq-nil'!C1569&lt;=2018+50),FALSE)),SUMPRODUCT(--(TRIM('hospitalityq-nil'!C6:C1569)=TRIM('hospitalityq-nil'!C1569)),--(TRIM('hospitalityq-nil'!D6:D1569)=TRIM('hospitalityq-nil'!D1569)))&gt;1))</f>
        <v>0</v>
      </c>
      <c r="D1569">
        <f>NOT('hospitalityq-nil'!D1569="")*(OR(COUNTIF(reference!$C$144:$C$155,TRIM(LEFT('hospitalityq-nil'!D1569,FIND(":",'hospitalityq-nil'!D1569&amp;":")-1))&amp;":*")=0,SUMPRODUCT(--(TRIM('hospitalityq-nil'!C6:C1569)=TRIM('hospitalityq-nil'!C1569)),--(TRIM('hospitalityq-nil'!D6:D1569)=TRIM('hospitalityq-nil'!D1569)))&gt;1))</f>
        <v>0</v>
      </c>
    </row>
    <row r="1570" spans="1:4" x14ac:dyDescent="0.25">
      <c r="A1570">
        <f t="shared" si="24"/>
        <v>0</v>
      </c>
      <c r="C1570">
        <f>NOT('hospitalityq-nil'!C1570="")*(OR(NOT(IFERROR(AND(INT('hospitalityq-nil'!C1570)='hospitalityq-nil'!C1570,'hospitalityq-nil'!C1570&gt;=2018-50,'hospitalityq-nil'!C1570&lt;=2018+50),FALSE)),SUMPRODUCT(--(TRIM('hospitalityq-nil'!C6:C1570)=TRIM('hospitalityq-nil'!C1570)),--(TRIM('hospitalityq-nil'!D6:D1570)=TRIM('hospitalityq-nil'!D1570)))&gt;1))</f>
        <v>0</v>
      </c>
      <c r="D1570">
        <f>NOT('hospitalityq-nil'!D1570="")*(OR(COUNTIF(reference!$C$144:$C$155,TRIM(LEFT('hospitalityq-nil'!D1570,FIND(":",'hospitalityq-nil'!D1570&amp;":")-1))&amp;":*")=0,SUMPRODUCT(--(TRIM('hospitalityq-nil'!C6:C1570)=TRIM('hospitalityq-nil'!C1570)),--(TRIM('hospitalityq-nil'!D6:D1570)=TRIM('hospitalityq-nil'!D1570)))&gt;1))</f>
        <v>0</v>
      </c>
    </row>
    <row r="1571" spans="1:4" x14ac:dyDescent="0.25">
      <c r="A1571">
        <f t="shared" si="24"/>
        <v>0</v>
      </c>
      <c r="C1571">
        <f>NOT('hospitalityq-nil'!C1571="")*(OR(NOT(IFERROR(AND(INT('hospitalityq-nil'!C1571)='hospitalityq-nil'!C1571,'hospitalityq-nil'!C1571&gt;=2018-50,'hospitalityq-nil'!C1571&lt;=2018+50),FALSE)),SUMPRODUCT(--(TRIM('hospitalityq-nil'!C6:C1571)=TRIM('hospitalityq-nil'!C1571)),--(TRIM('hospitalityq-nil'!D6:D1571)=TRIM('hospitalityq-nil'!D1571)))&gt;1))</f>
        <v>0</v>
      </c>
      <c r="D1571">
        <f>NOT('hospitalityq-nil'!D1571="")*(OR(COUNTIF(reference!$C$144:$C$155,TRIM(LEFT('hospitalityq-nil'!D1571,FIND(":",'hospitalityq-nil'!D1571&amp;":")-1))&amp;":*")=0,SUMPRODUCT(--(TRIM('hospitalityq-nil'!C6:C1571)=TRIM('hospitalityq-nil'!C1571)),--(TRIM('hospitalityq-nil'!D6:D1571)=TRIM('hospitalityq-nil'!D1571)))&gt;1))</f>
        <v>0</v>
      </c>
    </row>
    <row r="1572" spans="1:4" x14ac:dyDescent="0.25">
      <c r="A1572">
        <f t="shared" si="24"/>
        <v>0</v>
      </c>
      <c r="C1572">
        <f>NOT('hospitalityq-nil'!C1572="")*(OR(NOT(IFERROR(AND(INT('hospitalityq-nil'!C1572)='hospitalityq-nil'!C1572,'hospitalityq-nil'!C1572&gt;=2018-50,'hospitalityq-nil'!C1572&lt;=2018+50),FALSE)),SUMPRODUCT(--(TRIM('hospitalityq-nil'!C6:C1572)=TRIM('hospitalityq-nil'!C1572)),--(TRIM('hospitalityq-nil'!D6:D1572)=TRIM('hospitalityq-nil'!D1572)))&gt;1))</f>
        <v>0</v>
      </c>
      <c r="D1572">
        <f>NOT('hospitalityq-nil'!D1572="")*(OR(COUNTIF(reference!$C$144:$C$155,TRIM(LEFT('hospitalityq-nil'!D1572,FIND(":",'hospitalityq-nil'!D1572&amp;":")-1))&amp;":*")=0,SUMPRODUCT(--(TRIM('hospitalityq-nil'!C6:C1572)=TRIM('hospitalityq-nil'!C1572)),--(TRIM('hospitalityq-nil'!D6:D1572)=TRIM('hospitalityq-nil'!D1572)))&gt;1))</f>
        <v>0</v>
      </c>
    </row>
    <row r="1573" spans="1:4" x14ac:dyDescent="0.25">
      <c r="A1573">
        <f t="shared" si="24"/>
        <v>0</v>
      </c>
      <c r="C1573">
        <f>NOT('hospitalityq-nil'!C1573="")*(OR(NOT(IFERROR(AND(INT('hospitalityq-nil'!C1573)='hospitalityq-nil'!C1573,'hospitalityq-nil'!C1573&gt;=2018-50,'hospitalityq-nil'!C1573&lt;=2018+50),FALSE)),SUMPRODUCT(--(TRIM('hospitalityq-nil'!C6:C1573)=TRIM('hospitalityq-nil'!C1573)),--(TRIM('hospitalityq-nil'!D6:D1573)=TRIM('hospitalityq-nil'!D1573)))&gt;1))</f>
        <v>0</v>
      </c>
      <c r="D1573">
        <f>NOT('hospitalityq-nil'!D1573="")*(OR(COUNTIF(reference!$C$144:$C$155,TRIM(LEFT('hospitalityq-nil'!D1573,FIND(":",'hospitalityq-nil'!D1573&amp;":")-1))&amp;":*")=0,SUMPRODUCT(--(TRIM('hospitalityq-nil'!C6:C1573)=TRIM('hospitalityq-nil'!C1573)),--(TRIM('hospitalityq-nil'!D6:D1573)=TRIM('hospitalityq-nil'!D1573)))&gt;1))</f>
        <v>0</v>
      </c>
    </row>
    <row r="1574" spans="1:4" x14ac:dyDescent="0.25">
      <c r="A1574">
        <f t="shared" si="24"/>
        <v>0</v>
      </c>
      <c r="C1574">
        <f>NOT('hospitalityq-nil'!C1574="")*(OR(NOT(IFERROR(AND(INT('hospitalityq-nil'!C1574)='hospitalityq-nil'!C1574,'hospitalityq-nil'!C1574&gt;=2018-50,'hospitalityq-nil'!C1574&lt;=2018+50),FALSE)),SUMPRODUCT(--(TRIM('hospitalityq-nil'!C6:C1574)=TRIM('hospitalityq-nil'!C1574)),--(TRIM('hospitalityq-nil'!D6:D1574)=TRIM('hospitalityq-nil'!D1574)))&gt;1))</f>
        <v>0</v>
      </c>
      <c r="D1574">
        <f>NOT('hospitalityq-nil'!D1574="")*(OR(COUNTIF(reference!$C$144:$C$155,TRIM(LEFT('hospitalityq-nil'!D1574,FIND(":",'hospitalityq-nil'!D1574&amp;":")-1))&amp;":*")=0,SUMPRODUCT(--(TRIM('hospitalityq-nil'!C6:C1574)=TRIM('hospitalityq-nil'!C1574)),--(TRIM('hospitalityq-nil'!D6:D1574)=TRIM('hospitalityq-nil'!D1574)))&gt;1))</f>
        <v>0</v>
      </c>
    </row>
    <row r="1575" spans="1:4" x14ac:dyDescent="0.25">
      <c r="A1575">
        <f t="shared" si="24"/>
        <v>0</v>
      </c>
      <c r="C1575">
        <f>NOT('hospitalityq-nil'!C1575="")*(OR(NOT(IFERROR(AND(INT('hospitalityq-nil'!C1575)='hospitalityq-nil'!C1575,'hospitalityq-nil'!C1575&gt;=2018-50,'hospitalityq-nil'!C1575&lt;=2018+50),FALSE)),SUMPRODUCT(--(TRIM('hospitalityq-nil'!C6:C1575)=TRIM('hospitalityq-nil'!C1575)),--(TRIM('hospitalityq-nil'!D6:D1575)=TRIM('hospitalityq-nil'!D1575)))&gt;1))</f>
        <v>0</v>
      </c>
      <c r="D1575">
        <f>NOT('hospitalityq-nil'!D1575="")*(OR(COUNTIF(reference!$C$144:$C$155,TRIM(LEFT('hospitalityq-nil'!D1575,FIND(":",'hospitalityq-nil'!D1575&amp;":")-1))&amp;":*")=0,SUMPRODUCT(--(TRIM('hospitalityq-nil'!C6:C1575)=TRIM('hospitalityq-nil'!C1575)),--(TRIM('hospitalityq-nil'!D6:D1575)=TRIM('hospitalityq-nil'!D1575)))&gt;1))</f>
        <v>0</v>
      </c>
    </row>
    <row r="1576" spans="1:4" x14ac:dyDescent="0.25">
      <c r="A1576">
        <f t="shared" si="24"/>
        <v>0</v>
      </c>
      <c r="C1576">
        <f>NOT('hospitalityq-nil'!C1576="")*(OR(NOT(IFERROR(AND(INT('hospitalityq-nil'!C1576)='hospitalityq-nil'!C1576,'hospitalityq-nil'!C1576&gt;=2018-50,'hospitalityq-nil'!C1576&lt;=2018+50),FALSE)),SUMPRODUCT(--(TRIM('hospitalityq-nil'!C6:C1576)=TRIM('hospitalityq-nil'!C1576)),--(TRIM('hospitalityq-nil'!D6:D1576)=TRIM('hospitalityq-nil'!D1576)))&gt;1))</f>
        <v>0</v>
      </c>
      <c r="D1576">
        <f>NOT('hospitalityq-nil'!D1576="")*(OR(COUNTIF(reference!$C$144:$C$155,TRIM(LEFT('hospitalityq-nil'!D1576,FIND(":",'hospitalityq-nil'!D1576&amp;":")-1))&amp;":*")=0,SUMPRODUCT(--(TRIM('hospitalityq-nil'!C6:C1576)=TRIM('hospitalityq-nil'!C1576)),--(TRIM('hospitalityq-nil'!D6:D1576)=TRIM('hospitalityq-nil'!D1576)))&gt;1))</f>
        <v>0</v>
      </c>
    </row>
    <row r="1577" spans="1:4" x14ac:dyDescent="0.25">
      <c r="A1577">
        <f t="shared" si="24"/>
        <v>0</v>
      </c>
      <c r="C1577">
        <f>NOT('hospitalityq-nil'!C1577="")*(OR(NOT(IFERROR(AND(INT('hospitalityq-nil'!C1577)='hospitalityq-nil'!C1577,'hospitalityq-nil'!C1577&gt;=2018-50,'hospitalityq-nil'!C1577&lt;=2018+50),FALSE)),SUMPRODUCT(--(TRIM('hospitalityq-nil'!C6:C1577)=TRIM('hospitalityq-nil'!C1577)),--(TRIM('hospitalityq-nil'!D6:D1577)=TRIM('hospitalityq-nil'!D1577)))&gt;1))</f>
        <v>0</v>
      </c>
      <c r="D1577">
        <f>NOT('hospitalityq-nil'!D1577="")*(OR(COUNTIF(reference!$C$144:$C$155,TRIM(LEFT('hospitalityq-nil'!D1577,FIND(":",'hospitalityq-nil'!D1577&amp;":")-1))&amp;":*")=0,SUMPRODUCT(--(TRIM('hospitalityq-nil'!C6:C1577)=TRIM('hospitalityq-nil'!C1577)),--(TRIM('hospitalityq-nil'!D6:D1577)=TRIM('hospitalityq-nil'!D1577)))&gt;1))</f>
        <v>0</v>
      </c>
    </row>
    <row r="1578" spans="1:4" x14ac:dyDescent="0.25">
      <c r="A1578">
        <f t="shared" si="24"/>
        <v>0</v>
      </c>
      <c r="C1578">
        <f>NOT('hospitalityq-nil'!C1578="")*(OR(NOT(IFERROR(AND(INT('hospitalityq-nil'!C1578)='hospitalityq-nil'!C1578,'hospitalityq-nil'!C1578&gt;=2018-50,'hospitalityq-nil'!C1578&lt;=2018+50),FALSE)),SUMPRODUCT(--(TRIM('hospitalityq-nil'!C6:C1578)=TRIM('hospitalityq-nil'!C1578)),--(TRIM('hospitalityq-nil'!D6:D1578)=TRIM('hospitalityq-nil'!D1578)))&gt;1))</f>
        <v>0</v>
      </c>
      <c r="D1578">
        <f>NOT('hospitalityq-nil'!D1578="")*(OR(COUNTIF(reference!$C$144:$C$155,TRIM(LEFT('hospitalityq-nil'!D1578,FIND(":",'hospitalityq-nil'!D1578&amp;":")-1))&amp;":*")=0,SUMPRODUCT(--(TRIM('hospitalityq-nil'!C6:C1578)=TRIM('hospitalityq-nil'!C1578)),--(TRIM('hospitalityq-nil'!D6:D1578)=TRIM('hospitalityq-nil'!D1578)))&gt;1))</f>
        <v>0</v>
      </c>
    </row>
    <row r="1579" spans="1:4" x14ac:dyDescent="0.25">
      <c r="A1579">
        <f t="shared" si="24"/>
        <v>0</v>
      </c>
      <c r="C1579">
        <f>NOT('hospitalityq-nil'!C1579="")*(OR(NOT(IFERROR(AND(INT('hospitalityq-nil'!C1579)='hospitalityq-nil'!C1579,'hospitalityq-nil'!C1579&gt;=2018-50,'hospitalityq-nil'!C1579&lt;=2018+50),FALSE)),SUMPRODUCT(--(TRIM('hospitalityq-nil'!C6:C1579)=TRIM('hospitalityq-nil'!C1579)),--(TRIM('hospitalityq-nil'!D6:D1579)=TRIM('hospitalityq-nil'!D1579)))&gt;1))</f>
        <v>0</v>
      </c>
      <c r="D1579">
        <f>NOT('hospitalityq-nil'!D1579="")*(OR(COUNTIF(reference!$C$144:$C$155,TRIM(LEFT('hospitalityq-nil'!D1579,FIND(":",'hospitalityq-nil'!D1579&amp;":")-1))&amp;":*")=0,SUMPRODUCT(--(TRIM('hospitalityq-nil'!C6:C1579)=TRIM('hospitalityq-nil'!C1579)),--(TRIM('hospitalityq-nil'!D6:D1579)=TRIM('hospitalityq-nil'!D1579)))&gt;1))</f>
        <v>0</v>
      </c>
    </row>
    <row r="1580" spans="1:4" x14ac:dyDescent="0.25">
      <c r="A1580">
        <f t="shared" si="24"/>
        <v>0</v>
      </c>
      <c r="C1580">
        <f>NOT('hospitalityq-nil'!C1580="")*(OR(NOT(IFERROR(AND(INT('hospitalityq-nil'!C1580)='hospitalityq-nil'!C1580,'hospitalityq-nil'!C1580&gt;=2018-50,'hospitalityq-nil'!C1580&lt;=2018+50),FALSE)),SUMPRODUCT(--(TRIM('hospitalityq-nil'!C6:C1580)=TRIM('hospitalityq-nil'!C1580)),--(TRIM('hospitalityq-nil'!D6:D1580)=TRIM('hospitalityq-nil'!D1580)))&gt;1))</f>
        <v>0</v>
      </c>
      <c r="D1580">
        <f>NOT('hospitalityq-nil'!D1580="")*(OR(COUNTIF(reference!$C$144:$C$155,TRIM(LEFT('hospitalityq-nil'!D1580,FIND(":",'hospitalityq-nil'!D1580&amp;":")-1))&amp;":*")=0,SUMPRODUCT(--(TRIM('hospitalityq-nil'!C6:C1580)=TRIM('hospitalityq-nil'!C1580)),--(TRIM('hospitalityq-nil'!D6:D1580)=TRIM('hospitalityq-nil'!D1580)))&gt;1))</f>
        <v>0</v>
      </c>
    </row>
    <row r="1581" spans="1:4" x14ac:dyDescent="0.25">
      <c r="A1581">
        <f t="shared" si="24"/>
        <v>0</v>
      </c>
      <c r="C1581">
        <f>NOT('hospitalityq-nil'!C1581="")*(OR(NOT(IFERROR(AND(INT('hospitalityq-nil'!C1581)='hospitalityq-nil'!C1581,'hospitalityq-nil'!C1581&gt;=2018-50,'hospitalityq-nil'!C1581&lt;=2018+50),FALSE)),SUMPRODUCT(--(TRIM('hospitalityq-nil'!C6:C1581)=TRIM('hospitalityq-nil'!C1581)),--(TRIM('hospitalityq-nil'!D6:D1581)=TRIM('hospitalityq-nil'!D1581)))&gt;1))</f>
        <v>0</v>
      </c>
      <c r="D1581">
        <f>NOT('hospitalityq-nil'!D1581="")*(OR(COUNTIF(reference!$C$144:$C$155,TRIM(LEFT('hospitalityq-nil'!D1581,FIND(":",'hospitalityq-nil'!D1581&amp;":")-1))&amp;":*")=0,SUMPRODUCT(--(TRIM('hospitalityq-nil'!C6:C1581)=TRIM('hospitalityq-nil'!C1581)),--(TRIM('hospitalityq-nil'!D6:D1581)=TRIM('hospitalityq-nil'!D1581)))&gt;1))</f>
        <v>0</v>
      </c>
    </row>
    <row r="1582" spans="1:4" x14ac:dyDescent="0.25">
      <c r="A1582">
        <f t="shared" si="24"/>
        <v>0</v>
      </c>
      <c r="C1582">
        <f>NOT('hospitalityq-nil'!C1582="")*(OR(NOT(IFERROR(AND(INT('hospitalityq-nil'!C1582)='hospitalityq-nil'!C1582,'hospitalityq-nil'!C1582&gt;=2018-50,'hospitalityq-nil'!C1582&lt;=2018+50),FALSE)),SUMPRODUCT(--(TRIM('hospitalityq-nil'!C6:C1582)=TRIM('hospitalityq-nil'!C1582)),--(TRIM('hospitalityq-nil'!D6:D1582)=TRIM('hospitalityq-nil'!D1582)))&gt;1))</f>
        <v>0</v>
      </c>
      <c r="D1582">
        <f>NOT('hospitalityq-nil'!D1582="")*(OR(COUNTIF(reference!$C$144:$C$155,TRIM(LEFT('hospitalityq-nil'!D1582,FIND(":",'hospitalityq-nil'!D1582&amp;":")-1))&amp;":*")=0,SUMPRODUCT(--(TRIM('hospitalityq-nil'!C6:C1582)=TRIM('hospitalityq-nil'!C1582)),--(TRIM('hospitalityq-nil'!D6:D1582)=TRIM('hospitalityq-nil'!D1582)))&gt;1))</f>
        <v>0</v>
      </c>
    </row>
    <row r="1583" spans="1:4" x14ac:dyDescent="0.25">
      <c r="A1583">
        <f t="shared" si="24"/>
        <v>0</v>
      </c>
      <c r="C1583">
        <f>NOT('hospitalityq-nil'!C1583="")*(OR(NOT(IFERROR(AND(INT('hospitalityq-nil'!C1583)='hospitalityq-nil'!C1583,'hospitalityq-nil'!C1583&gt;=2018-50,'hospitalityq-nil'!C1583&lt;=2018+50),FALSE)),SUMPRODUCT(--(TRIM('hospitalityq-nil'!C6:C1583)=TRIM('hospitalityq-nil'!C1583)),--(TRIM('hospitalityq-nil'!D6:D1583)=TRIM('hospitalityq-nil'!D1583)))&gt;1))</f>
        <v>0</v>
      </c>
      <c r="D1583">
        <f>NOT('hospitalityq-nil'!D1583="")*(OR(COUNTIF(reference!$C$144:$C$155,TRIM(LEFT('hospitalityq-nil'!D1583,FIND(":",'hospitalityq-nil'!D1583&amp;":")-1))&amp;":*")=0,SUMPRODUCT(--(TRIM('hospitalityq-nil'!C6:C1583)=TRIM('hospitalityq-nil'!C1583)),--(TRIM('hospitalityq-nil'!D6:D1583)=TRIM('hospitalityq-nil'!D1583)))&gt;1))</f>
        <v>0</v>
      </c>
    </row>
    <row r="1584" spans="1:4" x14ac:dyDescent="0.25">
      <c r="A1584">
        <f t="shared" si="24"/>
        <v>0</v>
      </c>
      <c r="C1584">
        <f>NOT('hospitalityq-nil'!C1584="")*(OR(NOT(IFERROR(AND(INT('hospitalityq-nil'!C1584)='hospitalityq-nil'!C1584,'hospitalityq-nil'!C1584&gt;=2018-50,'hospitalityq-nil'!C1584&lt;=2018+50),FALSE)),SUMPRODUCT(--(TRIM('hospitalityq-nil'!C6:C1584)=TRIM('hospitalityq-nil'!C1584)),--(TRIM('hospitalityq-nil'!D6:D1584)=TRIM('hospitalityq-nil'!D1584)))&gt;1))</f>
        <v>0</v>
      </c>
      <c r="D1584">
        <f>NOT('hospitalityq-nil'!D1584="")*(OR(COUNTIF(reference!$C$144:$C$155,TRIM(LEFT('hospitalityq-nil'!D1584,FIND(":",'hospitalityq-nil'!D1584&amp;":")-1))&amp;":*")=0,SUMPRODUCT(--(TRIM('hospitalityq-nil'!C6:C1584)=TRIM('hospitalityq-nil'!C1584)),--(TRIM('hospitalityq-nil'!D6:D1584)=TRIM('hospitalityq-nil'!D1584)))&gt;1))</f>
        <v>0</v>
      </c>
    </row>
    <row r="1585" spans="1:4" x14ac:dyDescent="0.25">
      <c r="A1585">
        <f t="shared" si="24"/>
        <v>0</v>
      </c>
      <c r="C1585">
        <f>NOT('hospitalityq-nil'!C1585="")*(OR(NOT(IFERROR(AND(INT('hospitalityq-nil'!C1585)='hospitalityq-nil'!C1585,'hospitalityq-nil'!C1585&gt;=2018-50,'hospitalityq-nil'!C1585&lt;=2018+50),FALSE)),SUMPRODUCT(--(TRIM('hospitalityq-nil'!C6:C1585)=TRIM('hospitalityq-nil'!C1585)),--(TRIM('hospitalityq-nil'!D6:D1585)=TRIM('hospitalityq-nil'!D1585)))&gt;1))</f>
        <v>0</v>
      </c>
      <c r="D1585">
        <f>NOT('hospitalityq-nil'!D1585="")*(OR(COUNTIF(reference!$C$144:$C$155,TRIM(LEFT('hospitalityq-nil'!D1585,FIND(":",'hospitalityq-nil'!D1585&amp;":")-1))&amp;":*")=0,SUMPRODUCT(--(TRIM('hospitalityq-nil'!C6:C1585)=TRIM('hospitalityq-nil'!C1585)),--(TRIM('hospitalityq-nil'!D6:D1585)=TRIM('hospitalityq-nil'!D1585)))&gt;1))</f>
        <v>0</v>
      </c>
    </row>
    <row r="1586" spans="1:4" x14ac:dyDescent="0.25">
      <c r="A1586">
        <f t="shared" si="24"/>
        <v>0</v>
      </c>
      <c r="C1586">
        <f>NOT('hospitalityq-nil'!C1586="")*(OR(NOT(IFERROR(AND(INT('hospitalityq-nil'!C1586)='hospitalityq-nil'!C1586,'hospitalityq-nil'!C1586&gt;=2018-50,'hospitalityq-nil'!C1586&lt;=2018+50),FALSE)),SUMPRODUCT(--(TRIM('hospitalityq-nil'!C6:C1586)=TRIM('hospitalityq-nil'!C1586)),--(TRIM('hospitalityq-nil'!D6:D1586)=TRIM('hospitalityq-nil'!D1586)))&gt;1))</f>
        <v>0</v>
      </c>
      <c r="D1586">
        <f>NOT('hospitalityq-nil'!D1586="")*(OR(COUNTIF(reference!$C$144:$C$155,TRIM(LEFT('hospitalityq-nil'!D1586,FIND(":",'hospitalityq-nil'!D1586&amp;":")-1))&amp;":*")=0,SUMPRODUCT(--(TRIM('hospitalityq-nil'!C6:C1586)=TRIM('hospitalityq-nil'!C1586)),--(TRIM('hospitalityq-nil'!D6:D1586)=TRIM('hospitalityq-nil'!D1586)))&gt;1))</f>
        <v>0</v>
      </c>
    </row>
    <row r="1587" spans="1:4" x14ac:dyDescent="0.25">
      <c r="A1587">
        <f t="shared" si="24"/>
        <v>0</v>
      </c>
      <c r="C1587">
        <f>NOT('hospitalityq-nil'!C1587="")*(OR(NOT(IFERROR(AND(INT('hospitalityq-nil'!C1587)='hospitalityq-nil'!C1587,'hospitalityq-nil'!C1587&gt;=2018-50,'hospitalityq-nil'!C1587&lt;=2018+50),FALSE)),SUMPRODUCT(--(TRIM('hospitalityq-nil'!C6:C1587)=TRIM('hospitalityq-nil'!C1587)),--(TRIM('hospitalityq-nil'!D6:D1587)=TRIM('hospitalityq-nil'!D1587)))&gt;1))</f>
        <v>0</v>
      </c>
      <c r="D1587">
        <f>NOT('hospitalityq-nil'!D1587="")*(OR(COUNTIF(reference!$C$144:$C$155,TRIM(LEFT('hospitalityq-nil'!D1587,FIND(":",'hospitalityq-nil'!D1587&amp;":")-1))&amp;":*")=0,SUMPRODUCT(--(TRIM('hospitalityq-nil'!C6:C1587)=TRIM('hospitalityq-nil'!C1587)),--(TRIM('hospitalityq-nil'!D6:D1587)=TRIM('hospitalityq-nil'!D1587)))&gt;1))</f>
        <v>0</v>
      </c>
    </row>
    <row r="1588" spans="1:4" x14ac:dyDescent="0.25">
      <c r="A1588">
        <f t="shared" si="24"/>
        <v>0</v>
      </c>
      <c r="C1588">
        <f>NOT('hospitalityq-nil'!C1588="")*(OR(NOT(IFERROR(AND(INT('hospitalityq-nil'!C1588)='hospitalityq-nil'!C1588,'hospitalityq-nil'!C1588&gt;=2018-50,'hospitalityq-nil'!C1588&lt;=2018+50),FALSE)),SUMPRODUCT(--(TRIM('hospitalityq-nil'!C6:C1588)=TRIM('hospitalityq-nil'!C1588)),--(TRIM('hospitalityq-nil'!D6:D1588)=TRIM('hospitalityq-nil'!D1588)))&gt;1))</f>
        <v>0</v>
      </c>
      <c r="D1588">
        <f>NOT('hospitalityq-nil'!D1588="")*(OR(COUNTIF(reference!$C$144:$C$155,TRIM(LEFT('hospitalityq-nil'!D1588,FIND(":",'hospitalityq-nil'!D1588&amp;":")-1))&amp;":*")=0,SUMPRODUCT(--(TRIM('hospitalityq-nil'!C6:C1588)=TRIM('hospitalityq-nil'!C1588)),--(TRIM('hospitalityq-nil'!D6:D1588)=TRIM('hospitalityq-nil'!D1588)))&gt;1))</f>
        <v>0</v>
      </c>
    </row>
    <row r="1589" spans="1:4" x14ac:dyDescent="0.25">
      <c r="A1589">
        <f t="shared" si="24"/>
        <v>0</v>
      </c>
      <c r="C1589">
        <f>NOT('hospitalityq-nil'!C1589="")*(OR(NOT(IFERROR(AND(INT('hospitalityq-nil'!C1589)='hospitalityq-nil'!C1589,'hospitalityq-nil'!C1589&gt;=2018-50,'hospitalityq-nil'!C1589&lt;=2018+50),FALSE)),SUMPRODUCT(--(TRIM('hospitalityq-nil'!C6:C1589)=TRIM('hospitalityq-nil'!C1589)),--(TRIM('hospitalityq-nil'!D6:D1589)=TRIM('hospitalityq-nil'!D1589)))&gt;1))</f>
        <v>0</v>
      </c>
      <c r="D1589">
        <f>NOT('hospitalityq-nil'!D1589="")*(OR(COUNTIF(reference!$C$144:$C$155,TRIM(LEFT('hospitalityq-nil'!D1589,FIND(":",'hospitalityq-nil'!D1589&amp;":")-1))&amp;":*")=0,SUMPRODUCT(--(TRIM('hospitalityq-nil'!C6:C1589)=TRIM('hospitalityq-nil'!C1589)),--(TRIM('hospitalityq-nil'!D6:D1589)=TRIM('hospitalityq-nil'!D1589)))&gt;1))</f>
        <v>0</v>
      </c>
    </row>
    <row r="1590" spans="1:4" x14ac:dyDescent="0.25">
      <c r="A1590">
        <f t="shared" si="24"/>
        <v>0</v>
      </c>
      <c r="C1590">
        <f>NOT('hospitalityq-nil'!C1590="")*(OR(NOT(IFERROR(AND(INT('hospitalityq-nil'!C1590)='hospitalityq-nil'!C1590,'hospitalityq-nil'!C1590&gt;=2018-50,'hospitalityq-nil'!C1590&lt;=2018+50),FALSE)),SUMPRODUCT(--(TRIM('hospitalityq-nil'!C6:C1590)=TRIM('hospitalityq-nil'!C1590)),--(TRIM('hospitalityq-nil'!D6:D1590)=TRIM('hospitalityq-nil'!D1590)))&gt;1))</f>
        <v>0</v>
      </c>
      <c r="D1590">
        <f>NOT('hospitalityq-nil'!D1590="")*(OR(COUNTIF(reference!$C$144:$C$155,TRIM(LEFT('hospitalityq-nil'!D1590,FIND(":",'hospitalityq-nil'!D1590&amp;":")-1))&amp;":*")=0,SUMPRODUCT(--(TRIM('hospitalityq-nil'!C6:C1590)=TRIM('hospitalityq-nil'!C1590)),--(TRIM('hospitalityq-nil'!D6:D1590)=TRIM('hospitalityq-nil'!D1590)))&gt;1))</f>
        <v>0</v>
      </c>
    </row>
    <row r="1591" spans="1:4" x14ac:dyDescent="0.25">
      <c r="A1591">
        <f t="shared" si="24"/>
        <v>0</v>
      </c>
      <c r="C1591">
        <f>NOT('hospitalityq-nil'!C1591="")*(OR(NOT(IFERROR(AND(INT('hospitalityq-nil'!C1591)='hospitalityq-nil'!C1591,'hospitalityq-nil'!C1591&gt;=2018-50,'hospitalityq-nil'!C1591&lt;=2018+50),FALSE)),SUMPRODUCT(--(TRIM('hospitalityq-nil'!C6:C1591)=TRIM('hospitalityq-nil'!C1591)),--(TRIM('hospitalityq-nil'!D6:D1591)=TRIM('hospitalityq-nil'!D1591)))&gt;1))</f>
        <v>0</v>
      </c>
      <c r="D1591">
        <f>NOT('hospitalityq-nil'!D1591="")*(OR(COUNTIF(reference!$C$144:$C$155,TRIM(LEFT('hospitalityq-nil'!D1591,FIND(":",'hospitalityq-nil'!D1591&amp;":")-1))&amp;":*")=0,SUMPRODUCT(--(TRIM('hospitalityq-nil'!C6:C1591)=TRIM('hospitalityq-nil'!C1591)),--(TRIM('hospitalityq-nil'!D6:D1591)=TRIM('hospitalityq-nil'!D1591)))&gt;1))</f>
        <v>0</v>
      </c>
    </row>
    <row r="1592" spans="1:4" x14ac:dyDescent="0.25">
      <c r="A1592">
        <f t="shared" si="24"/>
        <v>0</v>
      </c>
      <c r="C1592">
        <f>NOT('hospitalityq-nil'!C1592="")*(OR(NOT(IFERROR(AND(INT('hospitalityq-nil'!C1592)='hospitalityq-nil'!C1592,'hospitalityq-nil'!C1592&gt;=2018-50,'hospitalityq-nil'!C1592&lt;=2018+50),FALSE)),SUMPRODUCT(--(TRIM('hospitalityq-nil'!C6:C1592)=TRIM('hospitalityq-nil'!C1592)),--(TRIM('hospitalityq-nil'!D6:D1592)=TRIM('hospitalityq-nil'!D1592)))&gt;1))</f>
        <v>0</v>
      </c>
      <c r="D1592">
        <f>NOT('hospitalityq-nil'!D1592="")*(OR(COUNTIF(reference!$C$144:$C$155,TRIM(LEFT('hospitalityq-nil'!D1592,FIND(":",'hospitalityq-nil'!D1592&amp;":")-1))&amp;":*")=0,SUMPRODUCT(--(TRIM('hospitalityq-nil'!C6:C1592)=TRIM('hospitalityq-nil'!C1592)),--(TRIM('hospitalityq-nil'!D6:D1592)=TRIM('hospitalityq-nil'!D1592)))&gt;1))</f>
        <v>0</v>
      </c>
    </row>
    <row r="1593" spans="1:4" x14ac:dyDescent="0.25">
      <c r="A1593">
        <f t="shared" si="24"/>
        <v>0</v>
      </c>
      <c r="C1593">
        <f>NOT('hospitalityq-nil'!C1593="")*(OR(NOT(IFERROR(AND(INT('hospitalityq-nil'!C1593)='hospitalityq-nil'!C1593,'hospitalityq-nil'!C1593&gt;=2018-50,'hospitalityq-nil'!C1593&lt;=2018+50),FALSE)),SUMPRODUCT(--(TRIM('hospitalityq-nil'!C6:C1593)=TRIM('hospitalityq-nil'!C1593)),--(TRIM('hospitalityq-nil'!D6:D1593)=TRIM('hospitalityq-nil'!D1593)))&gt;1))</f>
        <v>0</v>
      </c>
      <c r="D1593">
        <f>NOT('hospitalityq-nil'!D1593="")*(OR(COUNTIF(reference!$C$144:$C$155,TRIM(LEFT('hospitalityq-nil'!D1593,FIND(":",'hospitalityq-nil'!D1593&amp;":")-1))&amp;":*")=0,SUMPRODUCT(--(TRIM('hospitalityq-nil'!C6:C1593)=TRIM('hospitalityq-nil'!C1593)),--(TRIM('hospitalityq-nil'!D6:D1593)=TRIM('hospitalityq-nil'!D1593)))&gt;1))</f>
        <v>0</v>
      </c>
    </row>
    <row r="1594" spans="1:4" x14ac:dyDescent="0.25">
      <c r="A1594">
        <f t="shared" si="24"/>
        <v>0</v>
      </c>
      <c r="C1594">
        <f>NOT('hospitalityq-nil'!C1594="")*(OR(NOT(IFERROR(AND(INT('hospitalityq-nil'!C1594)='hospitalityq-nil'!C1594,'hospitalityq-nil'!C1594&gt;=2018-50,'hospitalityq-nil'!C1594&lt;=2018+50),FALSE)),SUMPRODUCT(--(TRIM('hospitalityq-nil'!C6:C1594)=TRIM('hospitalityq-nil'!C1594)),--(TRIM('hospitalityq-nil'!D6:D1594)=TRIM('hospitalityq-nil'!D1594)))&gt;1))</f>
        <v>0</v>
      </c>
      <c r="D1594">
        <f>NOT('hospitalityq-nil'!D1594="")*(OR(COUNTIF(reference!$C$144:$C$155,TRIM(LEFT('hospitalityq-nil'!D1594,FIND(":",'hospitalityq-nil'!D1594&amp;":")-1))&amp;":*")=0,SUMPRODUCT(--(TRIM('hospitalityq-nil'!C6:C1594)=TRIM('hospitalityq-nil'!C1594)),--(TRIM('hospitalityq-nil'!D6:D1594)=TRIM('hospitalityq-nil'!D1594)))&gt;1))</f>
        <v>0</v>
      </c>
    </row>
    <row r="1595" spans="1:4" x14ac:dyDescent="0.25">
      <c r="A1595">
        <f t="shared" si="24"/>
        <v>0</v>
      </c>
      <c r="C1595">
        <f>NOT('hospitalityq-nil'!C1595="")*(OR(NOT(IFERROR(AND(INT('hospitalityq-nil'!C1595)='hospitalityq-nil'!C1595,'hospitalityq-nil'!C1595&gt;=2018-50,'hospitalityq-nil'!C1595&lt;=2018+50),FALSE)),SUMPRODUCT(--(TRIM('hospitalityq-nil'!C6:C1595)=TRIM('hospitalityq-nil'!C1595)),--(TRIM('hospitalityq-nil'!D6:D1595)=TRIM('hospitalityq-nil'!D1595)))&gt;1))</f>
        <v>0</v>
      </c>
      <c r="D1595">
        <f>NOT('hospitalityq-nil'!D1595="")*(OR(COUNTIF(reference!$C$144:$C$155,TRIM(LEFT('hospitalityq-nil'!D1595,FIND(":",'hospitalityq-nil'!D1595&amp;":")-1))&amp;":*")=0,SUMPRODUCT(--(TRIM('hospitalityq-nil'!C6:C1595)=TRIM('hospitalityq-nil'!C1595)),--(TRIM('hospitalityq-nil'!D6:D1595)=TRIM('hospitalityq-nil'!D1595)))&gt;1))</f>
        <v>0</v>
      </c>
    </row>
    <row r="1596" spans="1:4" x14ac:dyDescent="0.25">
      <c r="A1596">
        <f t="shared" si="24"/>
        <v>0</v>
      </c>
      <c r="C1596">
        <f>NOT('hospitalityq-nil'!C1596="")*(OR(NOT(IFERROR(AND(INT('hospitalityq-nil'!C1596)='hospitalityq-nil'!C1596,'hospitalityq-nil'!C1596&gt;=2018-50,'hospitalityq-nil'!C1596&lt;=2018+50),FALSE)),SUMPRODUCT(--(TRIM('hospitalityq-nil'!C6:C1596)=TRIM('hospitalityq-nil'!C1596)),--(TRIM('hospitalityq-nil'!D6:D1596)=TRIM('hospitalityq-nil'!D1596)))&gt;1))</f>
        <v>0</v>
      </c>
      <c r="D1596">
        <f>NOT('hospitalityq-nil'!D1596="")*(OR(COUNTIF(reference!$C$144:$C$155,TRIM(LEFT('hospitalityq-nil'!D1596,FIND(":",'hospitalityq-nil'!D1596&amp;":")-1))&amp;":*")=0,SUMPRODUCT(--(TRIM('hospitalityq-nil'!C6:C1596)=TRIM('hospitalityq-nil'!C1596)),--(TRIM('hospitalityq-nil'!D6:D1596)=TRIM('hospitalityq-nil'!D1596)))&gt;1))</f>
        <v>0</v>
      </c>
    </row>
    <row r="1597" spans="1:4" x14ac:dyDescent="0.25">
      <c r="A1597">
        <f t="shared" si="24"/>
        <v>0</v>
      </c>
      <c r="C1597">
        <f>NOT('hospitalityq-nil'!C1597="")*(OR(NOT(IFERROR(AND(INT('hospitalityq-nil'!C1597)='hospitalityq-nil'!C1597,'hospitalityq-nil'!C1597&gt;=2018-50,'hospitalityq-nil'!C1597&lt;=2018+50),FALSE)),SUMPRODUCT(--(TRIM('hospitalityq-nil'!C6:C1597)=TRIM('hospitalityq-nil'!C1597)),--(TRIM('hospitalityq-nil'!D6:D1597)=TRIM('hospitalityq-nil'!D1597)))&gt;1))</f>
        <v>0</v>
      </c>
      <c r="D1597">
        <f>NOT('hospitalityq-nil'!D1597="")*(OR(COUNTIF(reference!$C$144:$C$155,TRIM(LEFT('hospitalityq-nil'!D1597,FIND(":",'hospitalityq-nil'!D1597&amp;":")-1))&amp;":*")=0,SUMPRODUCT(--(TRIM('hospitalityq-nil'!C6:C1597)=TRIM('hospitalityq-nil'!C1597)),--(TRIM('hospitalityq-nil'!D6:D1597)=TRIM('hospitalityq-nil'!D1597)))&gt;1))</f>
        <v>0</v>
      </c>
    </row>
    <row r="1598" spans="1:4" x14ac:dyDescent="0.25">
      <c r="A1598">
        <f t="shared" si="24"/>
        <v>0</v>
      </c>
      <c r="C1598">
        <f>NOT('hospitalityq-nil'!C1598="")*(OR(NOT(IFERROR(AND(INT('hospitalityq-nil'!C1598)='hospitalityq-nil'!C1598,'hospitalityq-nil'!C1598&gt;=2018-50,'hospitalityq-nil'!C1598&lt;=2018+50),FALSE)),SUMPRODUCT(--(TRIM('hospitalityq-nil'!C6:C1598)=TRIM('hospitalityq-nil'!C1598)),--(TRIM('hospitalityq-nil'!D6:D1598)=TRIM('hospitalityq-nil'!D1598)))&gt;1))</f>
        <v>0</v>
      </c>
      <c r="D1598">
        <f>NOT('hospitalityq-nil'!D1598="")*(OR(COUNTIF(reference!$C$144:$C$155,TRIM(LEFT('hospitalityq-nil'!D1598,FIND(":",'hospitalityq-nil'!D1598&amp;":")-1))&amp;":*")=0,SUMPRODUCT(--(TRIM('hospitalityq-nil'!C6:C1598)=TRIM('hospitalityq-nil'!C1598)),--(TRIM('hospitalityq-nil'!D6:D1598)=TRIM('hospitalityq-nil'!D1598)))&gt;1))</f>
        <v>0</v>
      </c>
    </row>
    <row r="1599" spans="1:4" x14ac:dyDescent="0.25">
      <c r="A1599">
        <f t="shared" si="24"/>
        <v>0</v>
      </c>
      <c r="C1599">
        <f>NOT('hospitalityq-nil'!C1599="")*(OR(NOT(IFERROR(AND(INT('hospitalityq-nil'!C1599)='hospitalityq-nil'!C1599,'hospitalityq-nil'!C1599&gt;=2018-50,'hospitalityq-nil'!C1599&lt;=2018+50),FALSE)),SUMPRODUCT(--(TRIM('hospitalityq-nil'!C6:C1599)=TRIM('hospitalityq-nil'!C1599)),--(TRIM('hospitalityq-nil'!D6:D1599)=TRIM('hospitalityq-nil'!D1599)))&gt;1))</f>
        <v>0</v>
      </c>
      <c r="D1599">
        <f>NOT('hospitalityq-nil'!D1599="")*(OR(COUNTIF(reference!$C$144:$C$155,TRIM(LEFT('hospitalityq-nil'!D1599,FIND(":",'hospitalityq-nil'!D1599&amp;":")-1))&amp;":*")=0,SUMPRODUCT(--(TRIM('hospitalityq-nil'!C6:C1599)=TRIM('hospitalityq-nil'!C1599)),--(TRIM('hospitalityq-nil'!D6:D1599)=TRIM('hospitalityq-nil'!D1599)))&gt;1))</f>
        <v>0</v>
      </c>
    </row>
    <row r="1600" spans="1:4" x14ac:dyDescent="0.25">
      <c r="A1600">
        <f t="shared" si="24"/>
        <v>0</v>
      </c>
      <c r="C1600">
        <f>NOT('hospitalityq-nil'!C1600="")*(OR(NOT(IFERROR(AND(INT('hospitalityq-nil'!C1600)='hospitalityq-nil'!C1600,'hospitalityq-nil'!C1600&gt;=2018-50,'hospitalityq-nil'!C1600&lt;=2018+50),FALSE)),SUMPRODUCT(--(TRIM('hospitalityq-nil'!C6:C1600)=TRIM('hospitalityq-nil'!C1600)),--(TRIM('hospitalityq-nil'!D6:D1600)=TRIM('hospitalityq-nil'!D1600)))&gt;1))</f>
        <v>0</v>
      </c>
      <c r="D1600">
        <f>NOT('hospitalityq-nil'!D1600="")*(OR(COUNTIF(reference!$C$144:$C$155,TRIM(LEFT('hospitalityq-nil'!D1600,FIND(":",'hospitalityq-nil'!D1600&amp;":")-1))&amp;":*")=0,SUMPRODUCT(--(TRIM('hospitalityq-nil'!C6:C1600)=TRIM('hospitalityq-nil'!C1600)),--(TRIM('hospitalityq-nil'!D6:D1600)=TRIM('hospitalityq-nil'!D1600)))&gt;1))</f>
        <v>0</v>
      </c>
    </row>
    <row r="1601" spans="1:4" x14ac:dyDescent="0.25">
      <c r="A1601">
        <f t="shared" si="24"/>
        <v>0</v>
      </c>
      <c r="C1601">
        <f>NOT('hospitalityq-nil'!C1601="")*(OR(NOT(IFERROR(AND(INT('hospitalityq-nil'!C1601)='hospitalityq-nil'!C1601,'hospitalityq-nil'!C1601&gt;=2018-50,'hospitalityq-nil'!C1601&lt;=2018+50),FALSE)),SUMPRODUCT(--(TRIM('hospitalityq-nil'!C6:C1601)=TRIM('hospitalityq-nil'!C1601)),--(TRIM('hospitalityq-nil'!D6:D1601)=TRIM('hospitalityq-nil'!D1601)))&gt;1))</f>
        <v>0</v>
      </c>
      <c r="D1601">
        <f>NOT('hospitalityq-nil'!D1601="")*(OR(COUNTIF(reference!$C$144:$C$155,TRIM(LEFT('hospitalityq-nil'!D1601,FIND(":",'hospitalityq-nil'!D1601&amp;":")-1))&amp;":*")=0,SUMPRODUCT(--(TRIM('hospitalityq-nil'!C6:C1601)=TRIM('hospitalityq-nil'!C1601)),--(TRIM('hospitalityq-nil'!D6:D1601)=TRIM('hospitalityq-nil'!D1601)))&gt;1))</f>
        <v>0</v>
      </c>
    </row>
    <row r="1602" spans="1:4" x14ac:dyDescent="0.25">
      <c r="A1602">
        <f t="shared" si="24"/>
        <v>0</v>
      </c>
      <c r="C1602">
        <f>NOT('hospitalityq-nil'!C1602="")*(OR(NOT(IFERROR(AND(INT('hospitalityq-nil'!C1602)='hospitalityq-nil'!C1602,'hospitalityq-nil'!C1602&gt;=2018-50,'hospitalityq-nil'!C1602&lt;=2018+50),FALSE)),SUMPRODUCT(--(TRIM('hospitalityq-nil'!C6:C1602)=TRIM('hospitalityq-nil'!C1602)),--(TRIM('hospitalityq-nil'!D6:D1602)=TRIM('hospitalityq-nil'!D1602)))&gt;1))</f>
        <v>0</v>
      </c>
      <c r="D1602">
        <f>NOT('hospitalityq-nil'!D1602="")*(OR(COUNTIF(reference!$C$144:$C$155,TRIM(LEFT('hospitalityq-nil'!D1602,FIND(":",'hospitalityq-nil'!D1602&amp;":")-1))&amp;":*")=0,SUMPRODUCT(--(TRIM('hospitalityq-nil'!C6:C1602)=TRIM('hospitalityq-nil'!C1602)),--(TRIM('hospitalityq-nil'!D6:D1602)=TRIM('hospitalityq-nil'!D1602)))&gt;1))</f>
        <v>0</v>
      </c>
    </row>
    <row r="1603" spans="1:4" x14ac:dyDescent="0.25">
      <c r="A1603">
        <f t="shared" si="24"/>
        <v>0</v>
      </c>
      <c r="C1603">
        <f>NOT('hospitalityq-nil'!C1603="")*(OR(NOT(IFERROR(AND(INT('hospitalityq-nil'!C1603)='hospitalityq-nil'!C1603,'hospitalityq-nil'!C1603&gt;=2018-50,'hospitalityq-nil'!C1603&lt;=2018+50),FALSE)),SUMPRODUCT(--(TRIM('hospitalityq-nil'!C6:C1603)=TRIM('hospitalityq-nil'!C1603)),--(TRIM('hospitalityq-nil'!D6:D1603)=TRIM('hospitalityq-nil'!D1603)))&gt;1))</f>
        <v>0</v>
      </c>
      <c r="D1603">
        <f>NOT('hospitalityq-nil'!D1603="")*(OR(COUNTIF(reference!$C$144:$C$155,TRIM(LEFT('hospitalityq-nil'!D1603,FIND(":",'hospitalityq-nil'!D1603&amp;":")-1))&amp;":*")=0,SUMPRODUCT(--(TRIM('hospitalityq-nil'!C6:C1603)=TRIM('hospitalityq-nil'!C1603)),--(TRIM('hospitalityq-nil'!D6:D1603)=TRIM('hospitalityq-nil'!D1603)))&gt;1))</f>
        <v>0</v>
      </c>
    </row>
    <row r="1604" spans="1:4" x14ac:dyDescent="0.25">
      <c r="A1604">
        <f t="shared" si="24"/>
        <v>0</v>
      </c>
      <c r="C1604">
        <f>NOT('hospitalityq-nil'!C1604="")*(OR(NOT(IFERROR(AND(INT('hospitalityq-nil'!C1604)='hospitalityq-nil'!C1604,'hospitalityq-nil'!C1604&gt;=2018-50,'hospitalityq-nil'!C1604&lt;=2018+50),FALSE)),SUMPRODUCT(--(TRIM('hospitalityq-nil'!C6:C1604)=TRIM('hospitalityq-nil'!C1604)),--(TRIM('hospitalityq-nil'!D6:D1604)=TRIM('hospitalityq-nil'!D1604)))&gt;1))</f>
        <v>0</v>
      </c>
      <c r="D1604">
        <f>NOT('hospitalityq-nil'!D1604="")*(OR(COUNTIF(reference!$C$144:$C$155,TRIM(LEFT('hospitalityq-nil'!D1604,FIND(":",'hospitalityq-nil'!D1604&amp;":")-1))&amp;":*")=0,SUMPRODUCT(--(TRIM('hospitalityq-nil'!C6:C1604)=TRIM('hospitalityq-nil'!C1604)),--(TRIM('hospitalityq-nil'!D6:D1604)=TRIM('hospitalityq-nil'!D1604)))&gt;1))</f>
        <v>0</v>
      </c>
    </row>
    <row r="1605" spans="1:4" x14ac:dyDescent="0.25">
      <c r="A1605">
        <f t="shared" si="24"/>
        <v>0</v>
      </c>
      <c r="C1605">
        <f>NOT('hospitalityq-nil'!C1605="")*(OR(NOT(IFERROR(AND(INT('hospitalityq-nil'!C1605)='hospitalityq-nil'!C1605,'hospitalityq-nil'!C1605&gt;=2018-50,'hospitalityq-nil'!C1605&lt;=2018+50),FALSE)),SUMPRODUCT(--(TRIM('hospitalityq-nil'!C6:C1605)=TRIM('hospitalityq-nil'!C1605)),--(TRIM('hospitalityq-nil'!D6:D1605)=TRIM('hospitalityq-nil'!D1605)))&gt;1))</f>
        <v>0</v>
      </c>
      <c r="D1605">
        <f>NOT('hospitalityq-nil'!D1605="")*(OR(COUNTIF(reference!$C$144:$C$155,TRIM(LEFT('hospitalityq-nil'!D1605,FIND(":",'hospitalityq-nil'!D1605&amp;":")-1))&amp;":*")=0,SUMPRODUCT(--(TRIM('hospitalityq-nil'!C6:C1605)=TRIM('hospitalityq-nil'!C1605)),--(TRIM('hospitalityq-nil'!D6:D1605)=TRIM('hospitalityq-nil'!D1605)))&gt;1))</f>
        <v>0</v>
      </c>
    </row>
    <row r="1606" spans="1:4" x14ac:dyDescent="0.25">
      <c r="A1606">
        <f t="shared" ref="A1606:A1669" si="25">IFERROR(MATCH(TRUE,INDEX(C1606:D1606&lt;&gt;0,),)+2,0)</f>
        <v>0</v>
      </c>
      <c r="C1606">
        <f>NOT('hospitalityq-nil'!C1606="")*(OR(NOT(IFERROR(AND(INT('hospitalityq-nil'!C1606)='hospitalityq-nil'!C1606,'hospitalityq-nil'!C1606&gt;=2018-50,'hospitalityq-nil'!C1606&lt;=2018+50),FALSE)),SUMPRODUCT(--(TRIM('hospitalityq-nil'!C6:C1606)=TRIM('hospitalityq-nil'!C1606)),--(TRIM('hospitalityq-nil'!D6:D1606)=TRIM('hospitalityq-nil'!D1606)))&gt;1))</f>
        <v>0</v>
      </c>
      <c r="D1606">
        <f>NOT('hospitalityq-nil'!D1606="")*(OR(COUNTIF(reference!$C$144:$C$155,TRIM(LEFT('hospitalityq-nil'!D1606,FIND(":",'hospitalityq-nil'!D1606&amp;":")-1))&amp;":*")=0,SUMPRODUCT(--(TRIM('hospitalityq-nil'!C6:C1606)=TRIM('hospitalityq-nil'!C1606)),--(TRIM('hospitalityq-nil'!D6:D1606)=TRIM('hospitalityq-nil'!D1606)))&gt;1))</f>
        <v>0</v>
      </c>
    </row>
    <row r="1607" spans="1:4" x14ac:dyDescent="0.25">
      <c r="A1607">
        <f t="shared" si="25"/>
        <v>0</v>
      </c>
      <c r="C1607">
        <f>NOT('hospitalityq-nil'!C1607="")*(OR(NOT(IFERROR(AND(INT('hospitalityq-nil'!C1607)='hospitalityq-nil'!C1607,'hospitalityq-nil'!C1607&gt;=2018-50,'hospitalityq-nil'!C1607&lt;=2018+50),FALSE)),SUMPRODUCT(--(TRIM('hospitalityq-nil'!C6:C1607)=TRIM('hospitalityq-nil'!C1607)),--(TRIM('hospitalityq-nil'!D6:D1607)=TRIM('hospitalityq-nil'!D1607)))&gt;1))</f>
        <v>0</v>
      </c>
      <c r="D1607">
        <f>NOT('hospitalityq-nil'!D1607="")*(OR(COUNTIF(reference!$C$144:$C$155,TRIM(LEFT('hospitalityq-nil'!D1607,FIND(":",'hospitalityq-nil'!D1607&amp;":")-1))&amp;":*")=0,SUMPRODUCT(--(TRIM('hospitalityq-nil'!C6:C1607)=TRIM('hospitalityq-nil'!C1607)),--(TRIM('hospitalityq-nil'!D6:D1607)=TRIM('hospitalityq-nil'!D1607)))&gt;1))</f>
        <v>0</v>
      </c>
    </row>
    <row r="1608" spans="1:4" x14ac:dyDescent="0.25">
      <c r="A1608">
        <f t="shared" si="25"/>
        <v>0</v>
      </c>
      <c r="C1608">
        <f>NOT('hospitalityq-nil'!C1608="")*(OR(NOT(IFERROR(AND(INT('hospitalityq-nil'!C1608)='hospitalityq-nil'!C1608,'hospitalityq-nil'!C1608&gt;=2018-50,'hospitalityq-nil'!C1608&lt;=2018+50),FALSE)),SUMPRODUCT(--(TRIM('hospitalityq-nil'!C6:C1608)=TRIM('hospitalityq-nil'!C1608)),--(TRIM('hospitalityq-nil'!D6:D1608)=TRIM('hospitalityq-nil'!D1608)))&gt;1))</f>
        <v>0</v>
      </c>
      <c r="D1608">
        <f>NOT('hospitalityq-nil'!D1608="")*(OR(COUNTIF(reference!$C$144:$C$155,TRIM(LEFT('hospitalityq-nil'!D1608,FIND(":",'hospitalityq-nil'!D1608&amp;":")-1))&amp;":*")=0,SUMPRODUCT(--(TRIM('hospitalityq-nil'!C6:C1608)=TRIM('hospitalityq-nil'!C1608)),--(TRIM('hospitalityq-nil'!D6:D1608)=TRIM('hospitalityq-nil'!D1608)))&gt;1))</f>
        <v>0</v>
      </c>
    </row>
    <row r="1609" spans="1:4" x14ac:dyDescent="0.25">
      <c r="A1609">
        <f t="shared" si="25"/>
        <v>0</v>
      </c>
      <c r="C1609">
        <f>NOT('hospitalityq-nil'!C1609="")*(OR(NOT(IFERROR(AND(INT('hospitalityq-nil'!C1609)='hospitalityq-nil'!C1609,'hospitalityq-nil'!C1609&gt;=2018-50,'hospitalityq-nil'!C1609&lt;=2018+50),FALSE)),SUMPRODUCT(--(TRIM('hospitalityq-nil'!C6:C1609)=TRIM('hospitalityq-nil'!C1609)),--(TRIM('hospitalityq-nil'!D6:D1609)=TRIM('hospitalityq-nil'!D1609)))&gt;1))</f>
        <v>0</v>
      </c>
      <c r="D1609">
        <f>NOT('hospitalityq-nil'!D1609="")*(OR(COUNTIF(reference!$C$144:$C$155,TRIM(LEFT('hospitalityq-nil'!D1609,FIND(":",'hospitalityq-nil'!D1609&amp;":")-1))&amp;":*")=0,SUMPRODUCT(--(TRIM('hospitalityq-nil'!C6:C1609)=TRIM('hospitalityq-nil'!C1609)),--(TRIM('hospitalityq-nil'!D6:D1609)=TRIM('hospitalityq-nil'!D1609)))&gt;1))</f>
        <v>0</v>
      </c>
    </row>
    <row r="1610" spans="1:4" x14ac:dyDescent="0.25">
      <c r="A1610">
        <f t="shared" si="25"/>
        <v>0</v>
      </c>
      <c r="C1610">
        <f>NOT('hospitalityq-nil'!C1610="")*(OR(NOT(IFERROR(AND(INT('hospitalityq-nil'!C1610)='hospitalityq-nil'!C1610,'hospitalityq-nil'!C1610&gt;=2018-50,'hospitalityq-nil'!C1610&lt;=2018+50),FALSE)),SUMPRODUCT(--(TRIM('hospitalityq-nil'!C6:C1610)=TRIM('hospitalityq-nil'!C1610)),--(TRIM('hospitalityq-nil'!D6:D1610)=TRIM('hospitalityq-nil'!D1610)))&gt;1))</f>
        <v>0</v>
      </c>
      <c r="D1610">
        <f>NOT('hospitalityq-nil'!D1610="")*(OR(COUNTIF(reference!$C$144:$C$155,TRIM(LEFT('hospitalityq-nil'!D1610,FIND(":",'hospitalityq-nil'!D1610&amp;":")-1))&amp;":*")=0,SUMPRODUCT(--(TRIM('hospitalityq-nil'!C6:C1610)=TRIM('hospitalityq-nil'!C1610)),--(TRIM('hospitalityq-nil'!D6:D1610)=TRIM('hospitalityq-nil'!D1610)))&gt;1))</f>
        <v>0</v>
      </c>
    </row>
    <row r="1611" spans="1:4" x14ac:dyDescent="0.25">
      <c r="A1611">
        <f t="shared" si="25"/>
        <v>0</v>
      </c>
      <c r="C1611">
        <f>NOT('hospitalityq-nil'!C1611="")*(OR(NOT(IFERROR(AND(INT('hospitalityq-nil'!C1611)='hospitalityq-nil'!C1611,'hospitalityq-nil'!C1611&gt;=2018-50,'hospitalityq-nil'!C1611&lt;=2018+50),FALSE)),SUMPRODUCT(--(TRIM('hospitalityq-nil'!C6:C1611)=TRIM('hospitalityq-nil'!C1611)),--(TRIM('hospitalityq-nil'!D6:D1611)=TRIM('hospitalityq-nil'!D1611)))&gt;1))</f>
        <v>0</v>
      </c>
      <c r="D1611">
        <f>NOT('hospitalityq-nil'!D1611="")*(OR(COUNTIF(reference!$C$144:$C$155,TRIM(LEFT('hospitalityq-nil'!D1611,FIND(":",'hospitalityq-nil'!D1611&amp;":")-1))&amp;":*")=0,SUMPRODUCT(--(TRIM('hospitalityq-nil'!C6:C1611)=TRIM('hospitalityq-nil'!C1611)),--(TRIM('hospitalityq-nil'!D6:D1611)=TRIM('hospitalityq-nil'!D1611)))&gt;1))</f>
        <v>0</v>
      </c>
    </row>
    <row r="1612" spans="1:4" x14ac:dyDescent="0.25">
      <c r="A1612">
        <f t="shared" si="25"/>
        <v>0</v>
      </c>
      <c r="C1612">
        <f>NOT('hospitalityq-nil'!C1612="")*(OR(NOT(IFERROR(AND(INT('hospitalityq-nil'!C1612)='hospitalityq-nil'!C1612,'hospitalityq-nil'!C1612&gt;=2018-50,'hospitalityq-nil'!C1612&lt;=2018+50),FALSE)),SUMPRODUCT(--(TRIM('hospitalityq-nil'!C6:C1612)=TRIM('hospitalityq-nil'!C1612)),--(TRIM('hospitalityq-nil'!D6:D1612)=TRIM('hospitalityq-nil'!D1612)))&gt;1))</f>
        <v>0</v>
      </c>
      <c r="D1612">
        <f>NOT('hospitalityq-nil'!D1612="")*(OR(COUNTIF(reference!$C$144:$C$155,TRIM(LEFT('hospitalityq-nil'!D1612,FIND(":",'hospitalityq-nil'!D1612&amp;":")-1))&amp;":*")=0,SUMPRODUCT(--(TRIM('hospitalityq-nil'!C6:C1612)=TRIM('hospitalityq-nil'!C1612)),--(TRIM('hospitalityq-nil'!D6:D1612)=TRIM('hospitalityq-nil'!D1612)))&gt;1))</f>
        <v>0</v>
      </c>
    </row>
    <row r="1613" spans="1:4" x14ac:dyDescent="0.25">
      <c r="A1613">
        <f t="shared" si="25"/>
        <v>0</v>
      </c>
      <c r="C1613">
        <f>NOT('hospitalityq-nil'!C1613="")*(OR(NOT(IFERROR(AND(INT('hospitalityq-nil'!C1613)='hospitalityq-nil'!C1613,'hospitalityq-nil'!C1613&gt;=2018-50,'hospitalityq-nil'!C1613&lt;=2018+50),FALSE)),SUMPRODUCT(--(TRIM('hospitalityq-nil'!C6:C1613)=TRIM('hospitalityq-nil'!C1613)),--(TRIM('hospitalityq-nil'!D6:D1613)=TRIM('hospitalityq-nil'!D1613)))&gt;1))</f>
        <v>0</v>
      </c>
      <c r="D1613">
        <f>NOT('hospitalityq-nil'!D1613="")*(OR(COUNTIF(reference!$C$144:$C$155,TRIM(LEFT('hospitalityq-nil'!D1613,FIND(":",'hospitalityq-nil'!D1613&amp;":")-1))&amp;":*")=0,SUMPRODUCT(--(TRIM('hospitalityq-nil'!C6:C1613)=TRIM('hospitalityq-nil'!C1613)),--(TRIM('hospitalityq-nil'!D6:D1613)=TRIM('hospitalityq-nil'!D1613)))&gt;1))</f>
        <v>0</v>
      </c>
    </row>
    <row r="1614" spans="1:4" x14ac:dyDescent="0.25">
      <c r="A1614">
        <f t="shared" si="25"/>
        <v>0</v>
      </c>
      <c r="C1614">
        <f>NOT('hospitalityq-nil'!C1614="")*(OR(NOT(IFERROR(AND(INT('hospitalityq-nil'!C1614)='hospitalityq-nil'!C1614,'hospitalityq-nil'!C1614&gt;=2018-50,'hospitalityq-nil'!C1614&lt;=2018+50),FALSE)),SUMPRODUCT(--(TRIM('hospitalityq-nil'!C6:C1614)=TRIM('hospitalityq-nil'!C1614)),--(TRIM('hospitalityq-nil'!D6:D1614)=TRIM('hospitalityq-nil'!D1614)))&gt;1))</f>
        <v>0</v>
      </c>
      <c r="D1614">
        <f>NOT('hospitalityq-nil'!D1614="")*(OR(COUNTIF(reference!$C$144:$C$155,TRIM(LEFT('hospitalityq-nil'!D1614,FIND(":",'hospitalityq-nil'!D1614&amp;":")-1))&amp;":*")=0,SUMPRODUCT(--(TRIM('hospitalityq-nil'!C6:C1614)=TRIM('hospitalityq-nil'!C1614)),--(TRIM('hospitalityq-nil'!D6:D1614)=TRIM('hospitalityq-nil'!D1614)))&gt;1))</f>
        <v>0</v>
      </c>
    </row>
    <row r="1615" spans="1:4" x14ac:dyDescent="0.25">
      <c r="A1615">
        <f t="shared" si="25"/>
        <v>0</v>
      </c>
      <c r="C1615">
        <f>NOT('hospitalityq-nil'!C1615="")*(OR(NOT(IFERROR(AND(INT('hospitalityq-nil'!C1615)='hospitalityq-nil'!C1615,'hospitalityq-nil'!C1615&gt;=2018-50,'hospitalityq-nil'!C1615&lt;=2018+50),FALSE)),SUMPRODUCT(--(TRIM('hospitalityq-nil'!C6:C1615)=TRIM('hospitalityq-nil'!C1615)),--(TRIM('hospitalityq-nil'!D6:D1615)=TRIM('hospitalityq-nil'!D1615)))&gt;1))</f>
        <v>0</v>
      </c>
      <c r="D1615">
        <f>NOT('hospitalityq-nil'!D1615="")*(OR(COUNTIF(reference!$C$144:$C$155,TRIM(LEFT('hospitalityq-nil'!D1615,FIND(":",'hospitalityq-nil'!D1615&amp;":")-1))&amp;":*")=0,SUMPRODUCT(--(TRIM('hospitalityq-nil'!C6:C1615)=TRIM('hospitalityq-nil'!C1615)),--(TRIM('hospitalityq-nil'!D6:D1615)=TRIM('hospitalityq-nil'!D1615)))&gt;1))</f>
        <v>0</v>
      </c>
    </row>
    <row r="1616" spans="1:4" x14ac:dyDescent="0.25">
      <c r="A1616">
        <f t="shared" si="25"/>
        <v>0</v>
      </c>
      <c r="C1616">
        <f>NOT('hospitalityq-nil'!C1616="")*(OR(NOT(IFERROR(AND(INT('hospitalityq-nil'!C1616)='hospitalityq-nil'!C1616,'hospitalityq-nil'!C1616&gt;=2018-50,'hospitalityq-nil'!C1616&lt;=2018+50),FALSE)),SUMPRODUCT(--(TRIM('hospitalityq-nil'!C6:C1616)=TRIM('hospitalityq-nil'!C1616)),--(TRIM('hospitalityq-nil'!D6:D1616)=TRIM('hospitalityq-nil'!D1616)))&gt;1))</f>
        <v>0</v>
      </c>
      <c r="D1616">
        <f>NOT('hospitalityq-nil'!D1616="")*(OR(COUNTIF(reference!$C$144:$C$155,TRIM(LEFT('hospitalityq-nil'!D1616,FIND(":",'hospitalityq-nil'!D1616&amp;":")-1))&amp;":*")=0,SUMPRODUCT(--(TRIM('hospitalityq-nil'!C6:C1616)=TRIM('hospitalityq-nil'!C1616)),--(TRIM('hospitalityq-nil'!D6:D1616)=TRIM('hospitalityq-nil'!D1616)))&gt;1))</f>
        <v>0</v>
      </c>
    </row>
    <row r="1617" spans="1:4" x14ac:dyDescent="0.25">
      <c r="A1617">
        <f t="shared" si="25"/>
        <v>0</v>
      </c>
      <c r="C1617">
        <f>NOT('hospitalityq-nil'!C1617="")*(OR(NOT(IFERROR(AND(INT('hospitalityq-nil'!C1617)='hospitalityq-nil'!C1617,'hospitalityq-nil'!C1617&gt;=2018-50,'hospitalityq-nil'!C1617&lt;=2018+50),FALSE)),SUMPRODUCT(--(TRIM('hospitalityq-nil'!C6:C1617)=TRIM('hospitalityq-nil'!C1617)),--(TRIM('hospitalityq-nil'!D6:D1617)=TRIM('hospitalityq-nil'!D1617)))&gt;1))</f>
        <v>0</v>
      </c>
      <c r="D1617">
        <f>NOT('hospitalityq-nil'!D1617="")*(OR(COUNTIF(reference!$C$144:$C$155,TRIM(LEFT('hospitalityq-nil'!D1617,FIND(":",'hospitalityq-nil'!D1617&amp;":")-1))&amp;":*")=0,SUMPRODUCT(--(TRIM('hospitalityq-nil'!C6:C1617)=TRIM('hospitalityq-nil'!C1617)),--(TRIM('hospitalityq-nil'!D6:D1617)=TRIM('hospitalityq-nil'!D1617)))&gt;1))</f>
        <v>0</v>
      </c>
    </row>
    <row r="1618" spans="1:4" x14ac:dyDescent="0.25">
      <c r="A1618">
        <f t="shared" si="25"/>
        <v>0</v>
      </c>
      <c r="C1618">
        <f>NOT('hospitalityq-nil'!C1618="")*(OR(NOT(IFERROR(AND(INT('hospitalityq-nil'!C1618)='hospitalityq-nil'!C1618,'hospitalityq-nil'!C1618&gt;=2018-50,'hospitalityq-nil'!C1618&lt;=2018+50),FALSE)),SUMPRODUCT(--(TRIM('hospitalityq-nil'!C6:C1618)=TRIM('hospitalityq-nil'!C1618)),--(TRIM('hospitalityq-nil'!D6:D1618)=TRIM('hospitalityq-nil'!D1618)))&gt;1))</f>
        <v>0</v>
      </c>
      <c r="D1618">
        <f>NOT('hospitalityq-nil'!D1618="")*(OR(COUNTIF(reference!$C$144:$C$155,TRIM(LEFT('hospitalityq-nil'!D1618,FIND(":",'hospitalityq-nil'!D1618&amp;":")-1))&amp;":*")=0,SUMPRODUCT(--(TRIM('hospitalityq-nil'!C6:C1618)=TRIM('hospitalityq-nil'!C1618)),--(TRIM('hospitalityq-nil'!D6:D1618)=TRIM('hospitalityq-nil'!D1618)))&gt;1))</f>
        <v>0</v>
      </c>
    </row>
    <row r="1619" spans="1:4" x14ac:dyDescent="0.25">
      <c r="A1619">
        <f t="shared" si="25"/>
        <v>0</v>
      </c>
      <c r="C1619">
        <f>NOT('hospitalityq-nil'!C1619="")*(OR(NOT(IFERROR(AND(INT('hospitalityq-nil'!C1619)='hospitalityq-nil'!C1619,'hospitalityq-nil'!C1619&gt;=2018-50,'hospitalityq-nil'!C1619&lt;=2018+50),FALSE)),SUMPRODUCT(--(TRIM('hospitalityq-nil'!C6:C1619)=TRIM('hospitalityq-nil'!C1619)),--(TRIM('hospitalityq-nil'!D6:D1619)=TRIM('hospitalityq-nil'!D1619)))&gt;1))</f>
        <v>0</v>
      </c>
      <c r="D1619">
        <f>NOT('hospitalityq-nil'!D1619="")*(OR(COUNTIF(reference!$C$144:$C$155,TRIM(LEFT('hospitalityq-nil'!D1619,FIND(":",'hospitalityq-nil'!D1619&amp;":")-1))&amp;":*")=0,SUMPRODUCT(--(TRIM('hospitalityq-nil'!C6:C1619)=TRIM('hospitalityq-nil'!C1619)),--(TRIM('hospitalityq-nil'!D6:D1619)=TRIM('hospitalityq-nil'!D1619)))&gt;1))</f>
        <v>0</v>
      </c>
    </row>
    <row r="1620" spans="1:4" x14ac:dyDescent="0.25">
      <c r="A1620">
        <f t="shared" si="25"/>
        <v>0</v>
      </c>
      <c r="C1620">
        <f>NOT('hospitalityq-nil'!C1620="")*(OR(NOT(IFERROR(AND(INT('hospitalityq-nil'!C1620)='hospitalityq-nil'!C1620,'hospitalityq-nil'!C1620&gt;=2018-50,'hospitalityq-nil'!C1620&lt;=2018+50),FALSE)),SUMPRODUCT(--(TRIM('hospitalityq-nil'!C6:C1620)=TRIM('hospitalityq-nil'!C1620)),--(TRIM('hospitalityq-nil'!D6:D1620)=TRIM('hospitalityq-nil'!D1620)))&gt;1))</f>
        <v>0</v>
      </c>
      <c r="D1620">
        <f>NOT('hospitalityq-nil'!D1620="")*(OR(COUNTIF(reference!$C$144:$C$155,TRIM(LEFT('hospitalityq-nil'!D1620,FIND(":",'hospitalityq-nil'!D1620&amp;":")-1))&amp;":*")=0,SUMPRODUCT(--(TRIM('hospitalityq-nil'!C6:C1620)=TRIM('hospitalityq-nil'!C1620)),--(TRIM('hospitalityq-nil'!D6:D1620)=TRIM('hospitalityq-nil'!D1620)))&gt;1))</f>
        <v>0</v>
      </c>
    </row>
    <row r="1621" spans="1:4" x14ac:dyDescent="0.25">
      <c r="A1621">
        <f t="shared" si="25"/>
        <v>0</v>
      </c>
      <c r="C1621">
        <f>NOT('hospitalityq-nil'!C1621="")*(OR(NOT(IFERROR(AND(INT('hospitalityq-nil'!C1621)='hospitalityq-nil'!C1621,'hospitalityq-nil'!C1621&gt;=2018-50,'hospitalityq-nil'!C1621&lt;=2018+50),FALSE)),SUMPRODUCT(--(TRIM('hospitalityq-nil'!C6:C1621)=TRIM('hospitalityq-nil'!C1621)),--(TRIM('hospitalityq-nil'!D6:D1621)=TRIM('hospitalityq-nil'!D1621)))&gt;1))</f>
        <v>0</v>
      </c>
      <c r="D1621">
        <f>NOT('hospitalityq-nil'!D1621="")*(OR(COUNTIF(reference!$C$144:$C$155,TRIM(LEFT('hospitalityq-nil'!D1621,FIND(":",'hospitalityq-nil'!D1621&amp;":")-1))&amp;":*")=0,SUMPRODUCT(--(TRIM('hospitalityq-nil'!C6:C1621)=TRIM('hospitalityq-nil'!C1621)),--(TRIM('hospitalityq-nil'!D6:D1621)=TRIM('hospitalityq-nil'!D1621)))&gt;1))</f>
        <v>0</v>
      </c>
    </row>
    <row r="1622" spans="1:4" x14ac:dyDescent="0.25">
      <c r="A1622">
        <f t="shared" si="25"/>
        <v>0</v>
      </c>
      <c r="C1622">
        <f>NOT('hospitalityq-nil'!C1622="")*(OR(NOT(IFERROR(AND(INT('hospitalityq-nil'!C1622)='hospitalityq-nil'!C1622,'hospitalityq-nil'!C1622&gt;=2018-50,'hospitalityq-nil'!C1622&lt;=2018+50),FALSE)),SUMPRODUCT(--(TRIM('hospitalityq-nil'!C6:C1622)=TRIM('hospitalityq-nil'!C1622)),--(TRIM('hospitalityq-nil'!D6:D1622)=TRIM('hospitalityq-nil'!D1622)))&gt;1))</f>
        <v>0</v>
      </c>
      <c r="D1622">
        <f>NOT('hospitalityq-nil'!D1622="")*(OR(COUNTIF(reference!$C$144:$C$155,TRIM(LEFT('hospitalityq-nil'!D1622,FIND(":",'hospitalityq-nil'!D1622&amp;":")-1))&amp;":*")=0,SUMPRODUCT(--(TRIM('hospitalityq-nil'!C6:C1622)=TRIM('hospitalityq-nil'!C1622)),--(TRIM('hospitalityq-nil'!D6:D1622)=TRIM('hospitalityq-nil'!D1622)))&gt;1))</f>
        <v>0</v>
      </c>
    </row>
    <row r="1623" spans="1:4" x14ac:dyDescent="0.25">
      <c r="A1623">
        <f t="shared" si="25"/>
        <v>0</v>
      </c>
      <c r="C1623">
        <f>NOT('hospitalityq-nil'!C1623="")*(OR(NOT(IFERROR(AND(INT('hospitalityq-nil'!C1623)='hospitalityq-nil'!C1623,'hospitalityq-nil'!C1623&gt;=2018-50,'hospitalityq-nil'!C1623&lt;=2018+50),FALSE)),SUMPRODUCT(--(TRIM('hospitalityq-nil'!C6:C1623)=TRIM('hospitalityq-nil'!C1623)),--(TRIM('hospitalityq-nil'!D6:D1623)=TRIM('hospitalityq-nil'!D1623)))&gt;1))</f>
        <v>0</v>
      </c>
      <c r="D1623">
        <f>NOT('hospitalityq-nil'!D1623="")*(OR(COUNTIF(reference!$C$144:$C$155,TRIM(LEFT('hospitalityq-nil'!D1623,FIND(":",'hospitalityq-nil'!D1623&amp;":")-1))&amp;":*")=0,SUMPRODUCT(--(TRIM('hospitalityq-nil'!C6:C1623)=TRIM('hospitalityq-nil'!C1623)),--(TRIM('hospitalityq-nil'!D6:D1623)=TRIM('hospitalityq-nil'!D1623)))&gt;1))</f>
        <v>0</v>
      </c>
    </row>
    <row r="1624" spans="1:4" x14ac:dyDescent="0.25">
      <c r="A1624">
        <f t="shared" si="25"/>
        <v>0</v>
      </c>
      <c r="C1624">
        <f>NOT('hospitalityq-nil'!C1624="")*(OR(NOT(IFERROR(AND(INT('hospitalityq-nil'!C1624)='hospitalityq-nil'!C1624,'hospitalityq-nil'!C1624&gt;=2018-50,'hospitalityq-nil'!C1624&lt;=2018+50),FALSE)),SUMPRODUCT(--(TRIM('hospitalityq-nil'!C6:C1624)=TRIM('hospitalityq-nil'!C1624)),--(TRIM('hospitalityq-nil'!D6:D1624)=TRIM('hospitalityq-nil'!D1624)))&gt;1))</f>
        <v>0</v>
      </c>
      <c r="D1624">
        <f>NOT('hospitalityq-nil'!D1624="")*(OR(COUNTIF(reference!$C$144:$C$155,TRIM(LEFT('hospitalityq-nil'!D1624,FIND(":",'hospitalityq-nil'!D1624&amp;":")-1))&amp;":*")=0,SUMPRODUCT(--(TRIM('hospitalityq-nil'!C6:C1624)=TRIM('hospitalityq-nil'!C1624)),--(TRIM('hospitalityq-nil'!D6:D1624)=TRIM('hospitalityq-nil'!D1624)))&gt;1))</f>
        <v>0</v>
      </c>
    </row>
    <row r="1625" spans="1:4" x14ac:dyDescent="0.25">
      <c r="A1625">
        <f t="shared" si="25"/>
        <v>0</v>
      </c>
      <c r="C1625">
        <f>NOT('hospitalityq-nil'!C1625="")*(OR(NOT(IFERROR(AND(INT('hospitalityq-nil'!C1625)='hospitalityq-nil'!C1625,'hospitalityq-nil'!C1625&gt;=2018-50,'hospitalityq-nil'!C1625&lt;=2018+50),FALSE)),SUMPRODUCT(--(TRIM('hospitalityq-nil'!C6:C1625)=TRIM('hospitalityq-nil'!C1625)),--(TRIM('hospitalityq-nil'!D6:D1625)=TRIM('hospitalityq-nil'!D1625)))&gt;1))</f>
        <v>0</v>
      </c>
      <c r="D1625">
        <f>NOT('hospitalityq-nil'!D1625="")*(OR(COUNTIF(reference!$C$144:$C$155,TRIM(LEFT('hospitalityq-nil'!D1625,FIND(":",'hospitalityq-nil'!D1625&amp;":")-1))&amp;":*")=0,SUMPRODUCT(--(TRIM('hospitalityq-nil'!C6:C1625)=TRIM('hospitalityq-nil'!C1625)),--(TRIM('hospitalityq-nil'!D6:D1625)=TRIM('hospitalityq-nil'!D1625)))&gt;1))</f>
        <v>0</v>
      </c>
    </row>
    <row r="1626" spans="1:4" x14ac:dyDescent="0.25">
      <c r="A1626">
        <f t="shared" si="25"/>
        <v>0</v>
      </c>
      <c r="C1626">
        <f>NOT('hospitalityq-nil'!C1626="")*(OR(NOT(IFERROR(AND(INT('hospitalityq-nil'!C1626)='hospitalityq-nil'!C1626,'hospitalityq-nil'!C1626&gt;=2018-50,'hospitalityq-nil'!C1626&lt;=2018+50),FALSE)),SUMPRODUCT(--(TRIM('hospitalityq-nil'!C6:C1626)=TRIM('hospitalityq-nil'!C1626)),--(TRIM('hospitalityq-nil'!D6:D1626)=TRIM('hospitalityq-nil'!D1626)))&gt;1))</f>
        <v>0</v>
      </c>
      <c r="D1626">
        <f>NOT('hospitalityq-nil'!D1626="")*(OR(COUNTIF(reference!$C$144:$C$155,TRIM(LEFT('hospitalityq-nil'!D1626,FIND(":",'hospitalityq-nil'!D1626&amp;":")-1))&amp;":*")=0,SUMPRODUCT(--(TRIM('hospitalityq-nil'!C6:C1626)=TRIM('hospitalityq-nil'!C1626)),--(TRIM('hospitalityq-nil'!D6:D1626)=TRIM('hospitalityq-nil'!D1626)))&gt;1))</f>
        <v>0</v>
      </c>
    </row>
    <row r="1627" spans="1:4" x14ac:dyDescent="0.25">
      <c r="A1627">
        <f t="shared" si="25"/>
        <v>0</v>
      </c>
      <c r="C1627">
        <f>NOT('hospitalityq-nil'!C1627="")*(OR(NOT(IFERROR(AND(INT('hospitalityq-nil'!C1627)='hospitalityq-nil'!C1627,'hospitalityq-nil'!C1627&gt;=2018-50,'hospitalityq-nil'!C1627&lt;=2018+50),FALSE)),SUMPRODUCT(--(TRIM('hospitalityq-nil'!C6:C1627)=TRIM('hospitalityq-nil'!C1627)),--(TRIM('hospitalityq-nil'!D6:D1627)=TRIM('hospitalityq-nil'!D1627)))&gt;1))</f>
        <v>0</v>
      </c>
      <c r="D1627">
        <f>NOT('hospitalityq-nil'!D1627="")*(OR(COUNTIF(reference!$C$144:$C$155,TRIM(LEFT('hospitalityq-nil'!D1627,FIND(":",'hospitalityq-nil'!D1627&amp;":")-1))&amp;":*")=0,SUMPRODUCT(--(TRIM('hospitalityq-nil'!C6:C1627)=TRIM('hospitalityq-nil'!C1627)),--(TRIM('hospitalityq-nil'!D6:D1627)=TRIM('hospitalityq-nil'!D1627)))&gt;1))</f>
        <v>0</v>
      </c>
    </row>
    <row r="1628" spans="1:4" x14ac:dyDescent="0.25">
      <c r="A1628">
        <f t="shared" si="25"/>
        <v>0</v>
      </c>
      <c r="C1628">
        <f>NOT('hospitalityq-nil'!C1628="")*(OR(NOT(IFERROR(AND(INT('hospitalityq-nil'!C1628)='hospitalityq-nil'!C1628,'hospitalityq-nil'!C1628&gt;=2018-50,'hospitalityq-nil'!C1628&lt;=2018+50),FALSE)),SUMPRODUCT(--(TRIM('hospitalityq-nil'!C6:C1628)=TRIM('hospitalityq-nil'!C1628)),--(TRIM('hospitalityq-nil'!D6:D1628)=TRIM('hospitalityq-nil'!D1628)))&gt;1))</f>
        <v>0</v>
      </c>
      <c r="D1628">
        <f>NOT('hospitalityq-nil'!D1628="")*(OR(COUNTIF(reference!$C$144:$C$155,TRIM(LEFT('hospitalityq-nil'!D1628,FIND(":",'hospitalityq-nil'!D1628&amp;":")-1))&amp;":*")=0,SUMPRODUCT(--(TRIM('hospitalityq-nil'!C6:C1628)=TRIM('hospitalityq-nil'!C1628)),--(TRIM('hospitalityq-nil'!D6:D1628)=TRIM('hospitalityq-nil'!D1628)))&gt;1))</f>
        <v>0</v>
      </c>
    </row>
    <row r="1629" spans="1:4" x14ac:dyDescent="0.25">
      <c r="A1629">
        <f t="shared" si="25"/>
        <v>0</v>
      </c>
      <c r="C1629">
        <f>NOT('hospitalityq-nil'!C1629="")*(OR(NOT(IFERROR(AND(INT('hospitalityq-nil'!C1629)='hospitalityq-nil'!C1629,'hospitalityq-nil'!C1629&gt;=2018-50,'hospitalityq-nil'!C1629&lt;=2018+50),FALSE)),SUMPRODUCT(--(TRIM('hospitalityq-nil'!C6:C1629)=TRIM('hospitalityq-nil'!C1629)),--(TRIM('hospitalityq-nil'!D6:D1629)=TRIM('hospitalityq-nil'!D1629)))&gt;1))</f>
        <v>0</v>
      </c>
      <c r="D1629">
        <f>NOT('hospitalityq-nil'!D1629="")*(OR(COUNTIF(reference!$C$144:$C$155,TRIM(LEFT('hospitalityq-nil'!D1629,FIND(":",'hospitalityq-nil'!D1629&amp;":")-1))&amp;":*")=0,SUMPRODUCT(--(TRIM('hospitalityq-nil'!C6:C1629)=TRIM('hospitalityq-nil'!C1629)),--(TRIM('hospitalityq-nil'!D6:D1629)=TRIM('hospitalityq-nil'!D1629)))&gt;1))</f>
        <v>0</v>
      </c>
    </row>
    <row r="1630" spans="1:4" x14ac:dyDescent="0.25">
      <c r="A1630">
        <f t="shared" si="25"/>
        <v>0</v>
      </c>
      <c r="C1630">
        <f>NOT('hospitalityq-nil'!C1630="")*(OR(NOT(IFERROR(AND(INT('hospitalityq-nil'!C1630)='hospitalityq-nil'!C1630,'hospitalityq-nil'!C1630&gt;=2018-50,'hospitalityq-nil'!C1630&lt;=2018+50),FALSE)),SUMPRODUCT(--(TRIM('hospitalityq-nil'!C6:C1630)=TRIM('hospitalityq-nil'!C1630)),--(TRIM('hospitalityq-nil'!D6:D1630)=TRIM('hospitalityq-nil'!D1630)))&gt;1))</f>
        <v>0</v>
      </c>
      <c r="D1630">
        <f>NOT('hospitalityq-nil'!D1630="")*(OR(COUNTIF(reference!$C$144:$C$155,TRIM(LEFT('hospitalityq-nil'!D1630,FIND(":",'hospitalityq-nil'!D1630&amp;":")-1))&amp;":*")=0,SUMPRODUCT(--(TRIM('hospitalityq-nil'!C6:C1630)=TRIM('hospitalityq-nil'!C1630)),--(TRIM('hospitalityq-nil'!D6:D1630)=TRIM('hospitalityq-nil'!D1630)))&gt;1))</f>
        <v>0</v>
      </c>
    </row>
    <row r="1631" spans="1:4" x14ac:dyDescent="0.25">
      <c r="A1631">
        <f t="shared" si="25"/>
        <v>0</v>
      </c>
      <c r="C1631">
        <f>NOT('hospitalityq-nil'!C1631="")*(OR(NOT(IFERROR(AND(INT('hospitalityq-nil'!C1631)='hospitalityq-nil'!C1631,'hospitalityq-nil'!C1631&gt;=2018-50,'hospitalityq-nil'!C1631&lt;=2018+50),FALSE)),SUMPRODUCT(--(TRIM('hospitalityq-nil'!C6:C1631)=TRIM('hospitalityq-nil'!C1631)),--(TRIM('hospitalityq-nil'!D6:D1631)=TRIM('hospitalityq-nil'!D1631)))&gt;1))</f>
        <v>0</v>
      </c>
      <c r="D1631">
        <f>NOT('hospitalityq-nil'!D1631="")*(OR(COUNTIF(reference!$C$144:$C$155,TRIM(LEFT('hospitalityq-nil'!D1631,FIND(":",'hospitalityq-nil'!D1631&amp;":")-1))&amp;":*")=0,SUMPRODUCT(--(TRIM('hospitalityq-nil'!C6:C1631)=TRIM('hospitalityq-nil'!C1631)),--(TRIM('hospitalityq-nil'!D6:D1631)=TRIM('hospitalityq-nil'!D1631)))&gt;1))</f>
        <v>0</v>
      </c>
    </row>
    <row r="1632" spans="1:4" x14ac:dyDescent="0.25">
      <c r="A1632">
        <f t="shared" si="25"/>
        <v>0</v>
      </c>
      <c r="C1632">
        <f>NOT('hospitalityq-nil'!C1632="")*(OR(NOT(IFERROR(AND(INT('hospitalityq-nil'!C1632)='hospitalityq-nil'!C1632,'hospitalityq-nil'!C1632&gt;=2018-50,'hospitalityq-nil'!C1632&lt;=2018+50),FALSE)),SUMPRODUCT(--(TRIM('hospitalityq-nil'!C6:C1632)=TRIM('hospitalityq-nil'!C1632)),--(TRIM('hospitalityq-nil'!D6:D1632)=TRIM('hospitalityq-nil'!D1632)))&gt;1))</f>
        <v>0</v>
      </c>
      <c r="D1632">
        <f>NOT('hospitalityq-nil'!D1632="")*(OR(COUNTIF(reference!$C$144:$C$155,TRIM(LEFT('hospitalityq-nil'!D1632,FIND(":",'hospitalityq-nil'!D1632&amp;":")-1))&amp;":*")=0,SUMPRODUCT(--(TRIM('hospitalityq-nil'!C6:C1632)=TRIM('hospitalityq-nil'!C1632)),--(TRIM('hospitalityq-nil'!D6:D1632)=TRIM('hospitalityq-nil'!D1632)))&gt;1))</f>
        <v>0</v>
      </c>
    </row>
    <row r="1633" spans="1:4" x14ac:dyDescent="0.25">
      <c r="A1633">
        <f t="shared" si="25"/>
        <v>0</v>
      </c>
      <c r="C1633">
        <f>NOT('hospitalityq-nil'!C1633="")*(OR(NOT(IFERROR(AND(INT('hospitalityq-nil'!C1633)='hospitalityq-nil'!C1633,'hospitalityq-nil'!C1633&gt;=2018-50,'hospitalityq-nil'!C1633&lt;=2018+50),FALSE)),SUMPRODUCT(--(TRIM('hospitalityq-nil'!C6:C1633)=TRIM('hospitalityq-nil'!C1633)),--(TRIM('hospitalityq-nil'!D6:D1633)=TRIM('hospitalityq-nil'!D1633)))&gt;1))</f>
        <v>0</v>
      </c>
      <c r="D1633">
        <f>NOT('hospitalityq-nil'!D1633="")*(OR(COUNTIF(reference!$C$144:$C$155,TRIM(LEFT('hospitalityq-nil'!D1633,FIND(":",'hospitalityq-nil'!D1633&amp;":")-1))&amp;":*")=0,SUMPRODUCT(--(TRIM('hospitalityq-nil'!C6:C1633)=TRIM('hospitalityq-nil'!C1633)),--(TRIM('hospitalityq-nil'!D6:D1633)=TRIM('hospitalityq-nil'!D1633)))&gt;1))</f>
        <v>0</v>
      </c>
    </row>
    <row r="1634" spans="1:4" x14ac:dyDescent="0.25">
      <c r="A1634">
        <f t="shared" si="25"/>
        <v>0</v>
      </c>
      <c r="C1634">
        <f>NOT('hospitalityq-nil'!C1634="")*(OR(NOT(IFERROR(AND(INT('hospitalityq-nil'!C1634)='hospitalityq-nil'!C1634,'hospitalityq-nil'!C1634&gt;=2018-50,'hospitalityq-nil'!C1634&lt;=2018+50),FALSE)),SUMPRODUCT(--(TRIM('hospitalityq-nil'!C6:C1634)=TRIM('hospitalityq-nil'!C1634)),--(TRIM('hospitalityq-nil'!D6:D1634)=TRIM('hospitalityq-nil'!D1634)))&gt;1))</f>
        <v>0</v>
      </c>
      <c r="D1634">
        <f>NOT('hospitalityq-nil'!D1634="")*(OR(COUNTIF(reference!$C$144:$C$155,TRIM(LEFT('hospitalityq-nil'!D1634,FIND(":",'hospitalityq-nil'!D1634&amp;":")-1))&amp;":*")=0,SUMPRODUCT(--(TRIM('hospitalityq-nil'!C6:C1634)=TRIM('hospitalityq-nil'!C1634)),--(TRIM('hospitalityq-nil'!D6:D1634)=TRIM('hospitalityq-nil'!D1634)))&gt;1))</f>
        <v>0</v>
      </c>
    </row>
    <row r="1635" spans="1:4" x14ac:dyDescent="0.25">
      <c r="A1635">
        <f t="shared" si="25"/>
        <v>0</v>
      </c>
      <c r="C1635">
        <f>NOT('hospitalityq-nil'!C1635="")*(OR(NOT(IFERROR(AND(INT('hospitalityq-nil'!C1635)='hospitalityq-nil'!C1635,'hospitalityq-nil'!C1635&gt;=2018-50,'hospitalityq-nil'!C1635&lt;=2018+50),FALSE)),SUMPRODUCT(--(TRIM('hospitalityq-nil'!C6:C1635)=TRIM('hospitalityq-nil'!C1635)),--(TRIM('hospitalityq-nil'!D6:D1635)=TRIM('hospitalityq-nil'!D1635)))&gt;1))</f>
        <v>0</v>
      </c>
      <c r="D1635">
        <f>NOT('hospitalityq-nil'!D1635="")*(OR(COUNTIF(reference!$C$144:$C$155,TRIM(LEFT('hospitalityq-nil'!D1635,FIND(":",'hospitalityq-nil'!D1635&amp;":")-1))&amp;":*")=0,SUMPRODUCT(--(TRIM('hospitalityq-nil'!C6:C1635)=TRIM('hospitalityq-nil'!C1635)),--(TRIM('hospitalityq-nil'!D6:D1635)=TRIM('hospitalityq-nil'!D1635)))&gt;1))</f>
        <v>0</v>
      </c>
    </row>
    <row r="1636" spans="1:4" x14ac:dyDescent="0.25">
      <c r="A1636">
        <f t="shared" si="25"/>
        <v>0</v>
      </c>
      <c r="C1636">
        <f>NOT('hospitalityq-nil'!C1636="")*(OR(NOT(IFERROR(AND(INT('hospitalityq-nil'!C1636)='hospitalityq-nil'!C1636,'hospitalityq-nil'!C1636&gt;=2018-50,'hospitalityq-nil'!C1636&lt;=2018+50),FALSE)),SUMPRODUCT(--(TRIM('hospitalityq-nil'!C6:C1636)=TRIM('hospitalityq-nil'!C1636)),--(TRIM('hospitalityq-nil'!D6:D1636)=TRIM('hospitalityq-nil'!D1636)))&gt;1))</f>
        <v>0</v>
      </c>
      <c r="D1636">
        <f>NOT('hospitalityq-nil'!D1636="")*(OR(COUNTIF(reference!$C$144:$C$155,TRIM(LEFT('hospitalityq-nil'!D1636,FIND(":",'hospitalityq-nil'!D1636&amp;":")-1))&amp;":*")=0,SUMPRODUCT(--(TRIM('hospitalityq-nil'!C6:C1636)=TRIM('hospitalityq-nil'!C1636)),--(TRIM('hospitalityq-nil'!D6:D1636)=TRIM('hospitalityq-nil'!D1636)))&gt;1))</f>
        <v>0</v>
      </c>
    </row>
    <row r="1637" spans="1:4" x14ac:dyDescent="0.25">
      <c r="A1637">
        <f t="shared" si="25"/>
        <v>0</v>
      </c>
      <c r="C1637">
        <f>NOT('hospitalityq-nil'!C1637="")*(OR(NOT(IFERROR(AND(INT('hospitalityq-nil'!C1637)='hospitalityq-nil'!C1637,'hospitalityq-nil'!C1637&gt;=2018-50,'hospitalityq-nil'!C1637&lt;=2018+50),FALSE)),SUMPRODUCT(--(TRIM('hospitalityq-nil'!C6:C1637)=TRIM('hospitalityq-nil'!C1637)),--(TRIM('hospitalityq-nil'!D6:D1637)=TRIM('hospitalityq-nil'!D1637)))&gt;1))</f>
        <v>0</v>
      </c>
      <c r="D1637">
        <f>NOT('hospitalityq-nil'!D1637="")*(OR(COUNTIF(reference!$C$144:$C$155,TRIM(LEFT('hospitalityq-nil'!D1637,FIND(":",'hospitalityq-nil'!D1637&amp;":")-1))&amp;":*")=0,SUMPRODUCT(--(TRIM('hospitalityq-nil'!C6:C1637)=TRIM('hospitalityq-nil'!C1637)),--(TRIM('hospitalityq-nil'!D6:D1637)=TRIM('hospitalityq-nil'!D1637)))&gt;1))</f>
        <v>0</v>
      </c>
    </row>
    <row r="1638" spans="1:4" x14ac:dyDescent="0.25">
      <c r="A1638">
        <f t="shared" si="25"/>
        <v>0</v>
      </c>
      <c r="C1638">
        <f>NOT('hospitalityq-nil'!C1638="")*(OR(NOT(IFERROR(AND(INT('hospitalityq-nil'!C1638)='hospitalityq-nil'!C1638,'hospitalityq-nil'!C1638&gt;=2018-50,'hospitalityq-nil'!C1638&lt;=2018+50),FALSE)),SUMPRODUCT(--(TRIM('hospitalityq-nil'!C6:C1638)=TRIM('hospitalityq-nil'!C1638)),--(TRIM('hospitalityq-nil'!D6:D1638)=TRIM('hospitalityq-nil'!D1638)))&gt;1))</f>
        <v>0</v>
      </c>
      <c r="D1638">
        <f>NOT('hospitalityq-nil'!D1638="")*(OR(COUNTIF(reference!$C$144:$C$155,TRIM(LEFT('hospitalityq-nil'!D1638,FIND(":",'hospitalityq-nil'!D1638&amp;":")-1))&amp;":*")=0,SUMPRODUCT(--(TRIM('hospitalityq-nil'!C6:C1638)=TRIM('hospitalityq-nil'!C1638)),--(TRIM('hospitalityq-nil'!D6:D1638)=TRIM('hospitalityq-nil'!D1638)))&gt;1))</f>
        <v>0</v>
      </c>
    </row>
    <row r="1639" spans="1:4" x14ac:dyDescent="0.25">
      <c r="A1639">
        <f t="shared" si="25"/>
        <v>0</v>
      </c>
      <c r="C1639">
        <f>NOT('hospitalityq-nil'!C1639="")*(OR(NOT(IFERROR(AND(INT('hospitalityq-nil'!C1639)='hospitalityq-nil'!C1639,'hospitalityq-nil'!C1639&gt;=2018-50,'hospitalityq-nil'!C1639&lt;=2018+50),FALSE)),SUMPRODUCT(--(TRIM('hospitalityq-nil'!C6:C1639)=TRIM('hospitalityq-nil'!C1639)),--(TRIM('hospitalityq-nil'!D6:D1639)=TRIM('hospitalityq-nil'!D1639)))&gt;1))</f>
        <v>0</v>
      </c>
      <c r="D1639">
        <f>NOT('hospitalityq-nil'!D1639="")*(OR(COUNTIF(reference!$C$144:$C$155,TRIM(LEFT('hospitalityq-nil'!D1639,FIND(":",'hospitalityq-nil'!D1639&amp;":")-1))&amp;":*")=0,SUMPRODUCT(--(TRIM('hospitalityq-nil'!C6:C1639)=TRIM('hospitalityq-nil'!C1639)),--(TRIM('hospitalityq-nil'!D6:D1639)=TRIM('hospitalityq-nil'!D1639)))&gt;1))</f>
        <v>0</v>
      </c>
    </row>
    <row r="1640" spans="1:4" x14ac:dyDescent="0.25">
      <c r="A1640">
        <f t="shared" si="25"/>
        <v>0</v>
      </c>
      <c r="C1640">
        <f>NOT('hospitalityq-nil'!C1640="")*(OR(NOT(IFERROR(AND(INT('hospitalityq-nil'!C1640)='hospitalityq-nil'!C1640,'hospitalityq-nil'!C1640&gt;=2018-50,'hospitalityq-nil'!C1640&lt;=2018+50),FALSE)),SUMPRODUCT(--(TRIM('hospitalityq-nil'!C6:C1640)=TRIM('hospitalityq-nil'!C1640)),--(TRIM('hospitalityq-nil'!D6:D1640)=TRIM('hospitalityq-nil'!D1640)))&gt;1))</f>
        <v>0</v>
      </c>
      <c r="D1640">
        <f>NOT('hospitalityq-nil'!D1640="")*(OR(COUNTIF(reference!$C$144:$C$155,TRIM(LEFT('hospitalityq-nil'!D1640,FIND(":",'hospitalityq-nil'!D1640&amp;":")-1))&amp;":*")=0,SUMPRODUCT(--(TRIM('hospitalityq-nil'!C6:C1640)=TRIM('hospitalityq-nil'!C1640)),--(TRIM('hospitalityq-nil'!D6:D1640)=TRIM('hospitalityq-nil'!D1640)))&gt;1))</f>
        <v>0</v>
      </c>
    </row>
    <row r="1641" spans="1:4" x14ac:dyDescent="0.25">
      <c r="A1641">
        <f t="shared" si="25"/>
        <v>0</v>
      </c>
      <c r="C1641">
        <f>NOT('hospitalityq-nil'!C1641="")*(OR(NOT(IFERROR(AND(INT('hospitalityq-nil'!C1641)='hospitalityq-nil'!C1641,'hospitalityq-nil'!C1641&gt;=2018-50,'hospitalityq-nil'!C1641&lt;=2018+50),FALSE)),SUMPRODUCT(--(TRIM('hospitalityq-nil'!C6:C1641)=TRIM('hospitalityq-nil'!C1641)),--(TRIM('hospitalityq-nil'!D6:D1641)=TRIM('hospitalityq-nil'!D1641)))&gt;1))</f>
        <v>0</v>
      </c>
      <c r="D1641">
        <f>NOT('hospitalityq-nil'!D1641="")*(OR(COUNTIF(reference!$C$144:$C$155,TRIM(LEFT('hospitalityq-nil'!D1641,FIND(":",'hospitalityq-nil'!D1641&amp;":")-1))&amp;":*")=0,SUMPRODUCT(--(TRIM('hospitalityq-nil'!C6:C1641)=TRIM('hospitalityq-nil'!C1641)),--(TRIM('hospitalityq-nil'!D6:D1641)=TRIM('hospitalityq-nil'!D1641)))&gt;1))</f>
        <v>0</v>
      </c>
    </row>
    <row r="1642" spans="1:4" x14ac:dyDescent="0.25">
      <c r="A1642">
        <f t="shared" si="25"/>
        <v>0</v>
      </c>
      <c r="C1642">
        <f>NOT('hospitalityq-nil'!C1642="")*(OR(NOT(IFERROR(AND(INT('hospitalityq-nil'!C1642)='hospitalityq-nil'!C1642,'hospitalityq-nil'!C1642&gt;=2018-50,'hospitalityq-nil'!C1642&lt;=2018+50),FALSE)),SUMPRODUCT(--(TRIM('hospitalityq-nil'!C6:C1642)=TRIM('hospitalityq-nil'!C1642)),--(TRIM('hospitalityq-nil'!D6:D1642)=TRIM('hospitalityq-nil'!D1642)))&gt;1))</f>
        <v>0</v>
      </c>
      <c r="D1642">
        <f>NOT('hospitalityq-nil'!D1642="")*(OR(COUNTIF(reference!$C$144:$C$155,TRIM(LEFT('hospitalityq-nil'!D1642,FIND(":",'hospitalityq-nil'!D1642&amp;":")-1))&amp;":*")=0,SUMPRODUCT(--(TRIM('hospitalityq-nil'!C6:C1642)=TRIM('hospitalityq-nil'!C1642)),--(TRIM('hospitalityq-nil'!D6:D1642)=TRIM('hospitalityq-nil'!D1642)))&gt;1))</f>
        <v>0</v>
      </c>
    </row>
    <row r="1643" spans="1:4" x14ac:dyDescent="0.25">
      <c r="A1643">
        <f t="shared" si="25"/>
        <v>0</v>
      </c>
      <c r="C1643">
        <f>NOT('hospitalityq-nil'!C1643="")*(OR(NOT(IFERROR(AND(INT('hospitalityq-nil'!C1643)='hospitalityq-nil'!C1643,'hospitalityq-nil'!C1643&gt;=2018-50,'hospitalityq-nil'!C1643&lt;=2018+50),FALSE)),SUMPRODUCT(--(TRIM('hospitalityq-nil'!C6:C1643)=TRIM('hospitalityq-nil'!C1643)),--(TRIM('hospitalityq-nil'!D6:D1643)=TRIM('hospitalityq-nil'!D1643)))&gt;1))</f>
        <v>0</v>
      </c>
      <c r="D1643">
        <f>NOT('hospitalityq-nil'!D1643="")*(OR(COUNTIF(reference!$C$144:$C$155,TRIM(LEFT('hospitalityq-nil'!D1643,FIND(":",'hospitalityq-nil'!D1643&amp;":")-1))&amp;":*")=0,SUMPRODUCT(--(TRIM('hospitalityq-nil'!C6:C1643)=TRIM('hospitalityq-nil'!C1643)),--(TRIM('hospitalityq-nil'!D6:D1643)=TRIM('hospitalityq-nil'!D1643)))&gt;1))</f>
        <v>0</v>
      </c>
    </row>
    <row r="1644" spans="1:4" x14ac:dyDescent="0.25">
      <c r="A1644">
        <f t="shared" si="25"/>
        <v>0</v>
      </c>
      <c r="C1644">
        <f>NOT('hospitalityq-nil'!C1644="")*(OR(NOT(IFERROR(AND(INT('hospitalityq-nil'!C1644)='hospitalityq-nil'!C1644,'hospitalityq-nil'!C1644&gt;=2018-50,'hospitalityq-nil'!C1644&lt;=2018+50),FALSE)),SUMPRODUCT(--(TRIM('hospitalityq-nil'!C6:C1644)=TRIM('hospitalityq-nil'!C1644)),--(TRIM('hospitalityq-nil'!D6:D1644)=TRIM('hospitalityq-nil'!D1644)))&gt;1))</f>
        <v>0</v>
      </c>
      <c r="D1644">
        <f>NOT('hospitalityq-nil'!D1644="")*(OR(COUNTIF(reference!$C$144:$C$155,TRIM(LEFT('hospitalityq-nil'!D1644,FIND(":",'hospitalityq-nil'!D1644&amp;":")-1))&amp;":*")=0,SUMPRODUCT(--(TRIM('hospitalityq-nil'!C6:C1644)=TRIM('hospitalityq-nil'!C1644)),--(TRIM('hospitalityq-nil'!D6:D1644)=TRIM('hospitalityq-nil'!D1644)))&gt;1))</f>
        <v>0</v>
      </c>
    </row>
    <row r="1645" spans="1:4" x14ac:dyDescent="0.25">
      <c r="A1645">
        <f t="shared" si="25"/>
        <v>0</v>
      </c>
      <c r="C1645">
        <f>NOT('hospitalityq-nil'!C1645="")*(OR(NOT(IFERROR(AND(INT('hospitalityq-nil'!C1645)='hospitalityq-nil'!C1645,'hospitalityq-nil'!C1645&gt;=2018-50,'hospitalityq-nil'!C1645&lt;=2018+50),FALSE)),SUMPRODUCT(--(TRIM('hospitalityq-nil'!C6:C1645)=TRIM('hospitalityq-nil'!C1645)),--(TRIM('hospitalityq-nil'!D6:D1645)=TRIM('hospitalityq-nil'!D1645)))&gt;1))</f>
        <v>0</v>
      </c>
      <c r="D1645">
        <f>NOT('hospitalityq-nil'!D1645="")*(OR(COUNTIF(reference!$C$144:$C$155,TRIM(LEFT('hospitalityq-nil'!D1645,FIND(":",'hospitalityq-nil'!D1645&amp;":")-1))&amp;":*")=0,SUMPRODUCT(--(TRIM('hospitalityq-nil'!C6:C1645)=TRIM('hospitalityq-nil'!C1645)),--(TRIM('hospitalityq-nil'!D6:D1645)=TRIM('hospitalityq-nil'!D1645)))&gt;1))</f>
        <v>0</v>
      </c>
    </row>
    <row r="1646" spans="1:4" x14ac:dyDescent="0.25">
      <c r="A1646">
        <f t="shared" si="25"/>
        <v>0</v>
      </c>
      <c r="C1646">
        <f>NOT('hospitalityq-nil'!C1646="")*(OR(NOT(IFERROR(AND(INT('hospitalityq-nil'!C1646)='hospitalityq-nil'!C1646,'hospitalityq-nil'!C1646&gt;=2018-50,'hospitalityq-nil'!C1646&lt;=2018+50),FALSE)),SUMPRODUCT(--(TRIM('hospitalityq-nil'!C6:C1646)=TRIM('hospitalityq-nil'!C1646)),--(TRIM('hospitalityq-nil'!D6:D1646)=TRIM('hospitalityq-nil'!D1646)))&gt;1))</f>
        <v>0</v>
      </c>
      <c r="D1646">
        <f>NOT('hospitalityq-nil'!D1646="")*(OR(COUNTIF(reference!$C$144:$C$155,TRIM(LEFT('hospitalityq-nil'!D1646,FIND(":",'hospitalityq-nil'!D1646&amp;":")-1))&amp;":*")=0,SUMPRODUCT(--(TRIM('hospitalityq-nil'!C6:C1646)=TRIM('hospitalityq-nil'!C1646)),--(TRIM('hospitalityq-nil'!D6:D1646)=TRIM('hospitalityq-nil'!D1646)))&gt;1))</f>
        <v>0</v>
      </c>
    </row>
    <row r="1647" spans="1:4" x14ac:dyDescent="0.25">
      <c r="A1647">
        <f t="shared" si="25"/>
        <v>0</v>
      </c>
      <c r="C1647">
        <f>NOT('hospitalityq-nil'!C1647="")*(OR(NOT(IFERROR(AND(INT('hospitalityq-nil'!C1647)='hospitalityq-nil'!C1647,'hospitalityq-nil'!C1647&gt;=2018-50,'hospitalityq-nil'!C1647&lt;=2018+50),FALSE)),SUMPRODUCT(--(TRIM('hospitalityq-nil'!C6:C1647)=TRIM('hospitalityq-nil'!C1647)),--(TRIM('hospitalityq-nil'!D6:D1647)=TRIM('hospitalityq-nil'!D1647)))&gt;1))</f>
        <v>0</v>
      </c>
      <c r="D1647">
        <f>NOT('hospitalityq-nil'!D1647="")*(OR(COUNTIF(reference!$C$144:$C$155,TRIM(LEFT('hospitalityq-nil'!D1647,FIND(":",'hospitalityq-nil'!D1647&amp;":")-1))&amp;":*")=0,SUMPRODUCT(--(TRIM('hospitalityq-nil'!C6:C1647)=TRIM('hospitalityq-nil'!C1647)),--(TRIM('hospitalityq-nil'!D6:D1647)=TRIM('hospitalityq-nil'!D1647)))&gt;1))</f>
        <v>0</v>
      </c>
    </row>
    <row r="1648" spans="1:4" x14ac:dyDescent="0.25">
      <c r="A1648">
        <f t="shared" si="25"/>
        <v>0</v>
      </c>
      <c r="C1648">
        <f>NOT('hospitalityq-nil'!C1648="")*(OR(NOT(IFERROR(AND(INT('hospitalityq-nil'!C1648)='hospitalityq-nil'!C1648,'hospitalityq-nil'!C1648&gt;=2018-50,'hospitalityq-nil'!C1648&lt;=2018+50),FALSE)),SUMPRODUCT(--(TRIM('hospitalityq-nil'!C6:C1648)=TRIM('hospitalityq-nil'!C1648)),--(TRIM('hospitalityq-nil'!D6:D1648)=TRIM('hospitalityq-nil'!D1648)))&gt;1))</f>
        <v>0</v>
      </c>
      <c r="D1648">
        <f>NOT('hospitalityq-nil'!D1648="")*(OR(COUNTIF(reference!$C$144:$C$155,TRIM(LEFT('hospitalityq-nil'!D1648,FIND(":",'hospitalityq-nil'!D1648&amp;":")-1))&amp;":*")=0,SUMPRODUCT(--(TRIM('hospitalityq-nil'!C6:C1648)=TRIM('hospitalityq-nil'!C1648)),--(TRIM('hospitalityq-nil'!D6:D1648)=TRIM('hospitalityq-nil'!D1648)))&gt;1))</f>
        <v>0</v>
      </c>
    </row>
    <row r="1649" spans="1:4" x14ac:dyDescent="0.25">
      <c r="A1649">
        <f t="shared" si="25"/>
        <v>0</v>
      </c>
      <c r="C1649">
        <f>NOT('hospitalityq-nil'!C1649="")*(OR(NOT(IFERROR(AND(INT('hospitalityq-nil'!C1649)='hospitalityq-nil'!C1649,'hospitalityq-nil'!C1649&gt;=2018-50,'hospitalityq-nil'!C1649&lt;=2018+50),FALSE)),SUMPRODUCT(--(TRIM('hospitalityq-nil'!C6:C1649)=TRIM('hospitalityq-nil'!C1649)),--(TRIM('hospitalityq-nil'!D6:D1649)=TRIM('hospitalityq-nil'!D1649)))&gt;1))</f>
        <v>0</v>
      </c>
      <c r="D1649">
        <f>NOT('hospitalityq-nil'!D1649="")*(OR(COUNTIF(reference!$C$144:$C$155,TRIM(LEFT('hospitalityq-nil'!D1649,FIND(":",'hospitalityq-nil'!D1649&amp;":")-1))&amp;":*")=0,SUMPRODUCT(--(TRIM('hospitalityq-nil'!C6:C1649)=TRIM('hospitalityq-nil'!C1649)),--(TRIM('hospitalityq-nil'!D6:D1649)=TRIM('hospitalityq-nil'!D1649)))&gt;1))</f>
        <v>0</v>
      </c>
    </row>
    <row r="1650" spans="1:4" x14ac:dyDescent="0.25">
      <c r="A1650">
        <f t="shared" si="25"/>
        <v>0</v>
      </c>
      <c r="C1650">
        <f>NOT('hospitalityq-nil'!C1650="")*(OR(NOT(IFERROR(AND(INT('hospitalityq-nil'!C1650)='hospitalityq-nil'!C1650,'hospitalityq-nil'!C1650&gt;=2018-50,'hospitalityq-nil'!C1650&lt;=2018+50),FALSE)),SUMPRODUCT(--(TRIM('hospitalityq-nil'!C6:C1650)=TRIM('hospitalityq-nil'!C1650)),--(TRIM('hospitalityq-nil'!D6:D1650)=TRIM('hospitalityq-nil'!D1650)))&gt;1))</f>
        <v>0</v>
      </c>
      <c r="D1650">
        <f>NOT('hospitalityq-nil'!D1650="")*(OR(COUNTIF(reference!$C$144:$C$155,TRIM(LEFT('hospitalityq-nil'!D1650,FIND(":",'hospitalityq-nil'!D1650&amp;":")-1))&amp;":*")=0,SUMPRODUCT(--(TRIM('hospitalityq-nil'!C6:C1650)=TRIM('hospitalityq-nil'!C1650)),--(TRIM('hospitalityq-nil'!D6:D1650)=TRIM('hospitalityq-nil'!D1650)))&gt;1))</f>
        <v>0</v>
      </c>
    </row>
    <row r="1651" spans="1:4" x14ac:dyDescent="0.25">
      <c r="A1651">
        <f t="shared" si="25"/>
        <v>0</v>
      </c>
      <c r="C1651">
        <f>NOT('hospitalityq-nil'!C1651="")*(OR(NOT(IFERROR(AND(INT('hospitalityq-nil'!C1651)='hospitalityq-nil'!C1651,'hospitalityq-nil'!C1651&gt;=2018-50,'hospitalityq-nil'!C1651&lt;=2018+50),FALSE)),SUMPRODUCT(--(TRIM('hospitalityq-nil'!C6:C1651)=TRIM('hospitalityq-nil'!C1651)),--(TRIM('hospitalityq-nil'!D6:D1651)=TRIM('hospitalityq-nil'!D1651)))&gt;1))</f>
        <v>0</v>
      </c>
      <c r="D1651">
        <f>NOT('hospitalityq-nil'!D1651="")*(OR(COUNTIF(reference!$C$144:$C$155,TRIM(LEFT('hospitalityq-nil'!D1651,FIND(":",'hospitalityq-nil'!D1651&amp;":")-1))&amp;":*")=0,SUMPRODUCT(--(TRIM('hospitalityq-nil'!C6:C1651)=TRIM('hospitalityq-nil'!C1651)),--(TRIM('hospitalityq-nil'!D6:D1651)=TRIM('hospitalityq-nil'!D1651)))&gt;1))</f>
        <v>0</v>
      </c>
    </row>
    <row r="1652" spans="1:4" x14ac:dyDescent="0.25">
      <c r="A1652">
        <f t="shared" si="25"/>
        <v>0</v>
      </c>
      <c r="C1652">
        <f>NOT('hospitalityq-nil'!C1652="")*(OR(NOT(IFERROR(AND(INT('hospitalityq-nil'!C1652)='hospitalityq-nil'!C1652,'hospitalityq-nil'!C1652&gt;=2018-50,'hospitalityq-nil'!C1652&lt;=2018+50),FALSE)),SUMPRODUCT(--(TRIM('hospitalityq-nil'!C6:C1652)=TRIM('hospitalityq-nil'!C1652)),--(TRIM('hospitalityq-nil'!D6:D1652)=TRIM('hospitalityq-nil'!D1652)))&gt;1))</f>
        <v>0</v>
      </c>
      <c r="D1652">
        <f>NOT('hospitalityq-nil'!D1652="")*(OR(COUNTIF(reference!$C$144:$C$155,TRIM(LEFT('hospitalityq-nil'!D1652,FIND(":",'hospitalityq-nil'!D1652&amp;":")-1))&amp;":*")=0,SUMPRODUCT(--(TRIM('hospitalityq-nil'!C6:C1652)=TRIM('hospitalityq-nil'!C1652)),--(TRIM('hospitalityq-nil'!D6:D1652)=TRIM('hospitalityq-nil'!D1652)))&gt;1))</f>
        <v>0</v>
      </c>
    </row>
    <row r="1653" spans="1:4" x14ac:dyDescent="0.25">
      <c r="A1653">
        <f t="shared" si="25"/>
        <v>0</v>
      </c>
      <c r="C1653">
        <f>NOT('hospitalityq-nil'!C1653="")*(OR(NOT(IFERROR(AND(INT('hospitalityq-nil'!C1653)='hospitalityq-nil'!C1653,'hospitalityq-nil'!C1653&gt;=2018-50,'hospitalityq-nil'!C1653&lt;=2018+50),FALSE)),SUMPRODUCT(--(TRIM('hospitalityq-nil'!C6:C1653)=TRIM('hospitalityq-nil'!C1653)),--(TRIM('hospitalityq-nil'!D6:D1653)=TRIM('hospitalityq-nil'!D1653)))&gt;1))</f>
        <v>0</v>
      </c>
      <c r="D1653">
        <f>NOT('hospitalityq-nil'!D1653="")*(OR(COUNTIF(reference!$C$144:$C$155,TRIM(LEFT('hospitalityq-nil'!D1653,FIND(":",'hospitalityq-nil'!D1653&amp;":")-1))&amp;":*")=0,SUMPRODUCT(--(TRIM('hospitalityq-nil'!C6:C1653)=TRIM('hospitalityq-nil'!C1653)),--(TRIM('hospitalityq-nil'!D6:D1653)=TRIM('hospitalityq-nil'!D1653)))&gt;1))</f>
        <v>0</v>
      </c>
    </row>
    <row r="1654" spans="1:4" x14ac:dyDescent="0.25">
      <c r="A1654">
        <f t="shared" si="25"/>
        <v>0</v>
      </c>
      <c r="C1654">
        <f>NOT('hospitalityq-nil'!C1654="")*(OR(NOT(IFERROR(AND(INT('hospitalityq-nil'!C1654)='hospitalityq-nil'!C1654,'hospitalityq-nil'!C1654&gt;=2018-50,'hospitalityq-nil'!C1654&lt;=2018+50),FALSE)),SUMPRODUCT(--(TRIM('hospitalityq-nil'!C6:C1654)=TRIM('hospitalityq-nil'!C1654)),--(TRIM('hospitalityq-nil'!D6:D1654)=TRIM('hospitalityq-nil'!D1654)))&gt;1))</f>
        <v>0</v>
      </c>
      <c r="D1654">
        <f>NOT('hospitalityq-nil'!D1654="")*(OR(COUNTIF(reference!$C$144:$C$155,TRIM(LEFT('hospitalityq-nil'!D1654,FIND(":",'hospitalityq-nil'!D1654&amp;":")-1))&amp;":*")=0,SUMPRODUCT(--(TRIM('hospitalityq-nil'!C6:C1654)=TRIM('hospitalityq-nil'!C1654)),--(TRIM('hospitalityq-nil'!D6:D1654)=TRIM('hospitalityq-nil'!D1654)))&gt;1))</f>
        <v>0</v>
      </c>
    </row>
    <row r="1655" spans="1:4" x14ac:dyDescent="0.25">
      <c r="A1655">
        <f t="shared" si="25"/>
        <v>0</v>
      </c>
      <c r="C1655">
        <f>NOT('hospitalityq-nil'!C1655="")*(OR(NOT(IFERROR(AND(INT('hospitalityq-nil'!C1655)='hospitalityq-nil'!C1655,'hospitalityq-nil'!C1655&gt;=2018-50,'hospitalityq-nil'!C1655&lt;=2018+50),FALSE)),SUMPRODUCT(--(TRIM('hospitalityq-nil'!C6:C1655)=TRIM('hospitalityq-nil'!C1655)),--(TRIM('hospitalityq-nil'!D6:D1655)=TRIM('hospitalityq-nil'!D1655)))&gt;1))</f>
        <v>0</v>
      </c>
      <c r="D1655">
        <f>NOT('hospitalityq-nil'!D1655="")*(OR(COUNTIF(reference!$C$144:$C$155,TRIM(LEFT('hospitalityq-nil'!D1655,FIND(":",'hospitalityq-nil'!D1655&amp;":")-1))&amp;":*")=0,SUMPRODUCT(--(TRIM('hospitalityq-nil'!C6:C1655)=TRIM('hospitalityq-nil'!C1655)),--(TRIM('hospitalityq-nil'!D6:D1655)=TRIM('hospitalityq-nil'!D1655)))&gt;1))</f>
        <v>0</v>
      </c>
    </row>
    <row r="1656" spans="1:4" x14ac:dyDescent="0.25">
      <c r="A1656">
        <f t="shared" si="25"/>
        <v>0</v>
      </c>
      <c r="C1656">
        <f>NOT('hospitalityq-nil'!C1656="")*(OR(NOT(IFERROR(AND(INT('hospitalityq-nil'!C1656)='hospitalityq-nil'!C1656,'hospitalityq-nil'!C1656&gt;=2018-50,'hospitalityq-nil'!C1656&lt;=2018+50),FALSE)),SUMPRODUCT(--(TRIM('hospitalityq-nil'!C6:C1656)=TRIM('hospitalityq-nil'!C1656)),--(TRIM('hospitalityq-nil'!D6:D1656)=TRIM('hospitalityq-nil'!D1656)))&gt;1))</f>
        <v>0</v>
      </c>
      <c r="D1656">
        <f>NOT('hospitalityq-nil'!D1656="")*(OR(COUNTIF(reference!$C$144:$C$155,TRIM(LEFT('hospitalityq-nil'!D1656,FIND(":",'hospitalityq-nil'!D1656&amp;":")-1))&amp;":*")=0,SUMPRODUCT(--(TRIM('hospitalityq-nil'!C6:C1656)=TRIM('hospitalityq-nil'!C1656)),--(TRIM('hospitalityq-nil'!D6:D1656)=TRIM('hospitalityq-nil'!D1656)))&gt;1))</f>
        <v>0</v>
      </c>
    </row>
    <row r="1657" spans="1:4" x14ac:dyDescent="0.25">
      <c r="A1657">
        <f t="shared" si="25"/>
        <v>0</v>
      </c>
      <c r="C1657">
        <f>NOT('hospitalityq-nil'!C1657="")*(OR(NOT(IFERROR(AND(INT('hospitalityq-nil'!C1657)='hospitalityq-nil'!C1657,'hospitalityq-nil'!C1657&gt;=2018-50,'hospitalityq-nil'!C1657&lt;=2018+50),FALSE)),SUMPRODUCT(--(TRIM('hospitalityq-nil'!C6:C1657)=TRIM('hospitalityq-nil'!C1657)),--(TRIM('hospitalityq-nil'!D6:D1657)=TRIM('hospitalityq-nil'!D1657)))&gt;1))</f>
        <v>0</v>
      </c>
      <c r="D1657">
        <f>NOT('hospitalityq-nil'!D1657="")*(OR(COUNTIF(reference!$C$144:$C$155,TRIM(LEFT('hospitalityq-nil'!D1657,FIND(":",'hospitalityq-nil'!D1657&amp;":")-1))&amp;":*")=0,SUMPRODUCT(--(TRIM('hospitalityq-nil'!C6:C1657)=TRIM('hospitalityq-nil'!C1657)),--(TRIM('hospitalityq-nil'!D6:D1657)=TRIM('hospitalityq-nil'!D1657)))&gt;1))</f>
        <v>0</v>
      </c>
    </row>
    <row r="1658" spans="1:4" x14ac:dyDescent="0.25">
      <c r="A1658">
        <f t="shared" si="25"/>
        <v>0</v>
      </c>
      <c r="C1658">
        <f>NOT('hospitalityq-nil'!C1658="")*(OR(NOT(IFERROR(AND(INT('hospitalityq-nil'!C1658)='hospitalityq-nil'!C1658,'hospitalityq-nil'!C1658&gt;=2018-50,'hospitalityq-nil'!C1658&lt;=2018+50),FALSE)),SUMPRODUCT(--(TRIM('hospitalityq-nil'!C6:C1658)=TRIM('hospitalityq-nil'!C1658)),--(TRIM('hospitalityq-nil'!D6:D1658)=TRIM('hospitalityq-nil'!D1658)))&gt;1))</f>
        <v>0</v>
      </c>
      <c r="D1658">
        <f>NOT('hospitalityq-nil'!D1658="")*(OR(COUNTIF(reference!$C$144:$C$155,TRIM(LEFT('hospitalityq-nil'!D1658,FIND(":",'hospitalityq-nil'!D1658&amp;":")-1))&amp;":*")=0,SUMPRODUCT(--(TRIM('hospitalityq-nil'!C6:C1658)=TRIM('hospitalityq-nil'!C1658)),--(TRIM('hospitalityq-nil'!D6:D1658)=TRIM('hospitalityq-nil'!D1658)))&gt;1))</f>
        <v>0</v>
      </c>
    </row>
    <row r="1659" spans="1:4" x14ac:dyDescent="0.25">
      <c r="A1659">
        <f t="shared" si="25"/>
        <v>0</v>
      </c>
      <c r="C1659">
        <f>NOT('hospitalityq-nil'!C1659="")*(OR(NOT(IFERROR(AND(INT('hospitalityq-nil'!C1659)='hospitalityq-nil'!C1659,'hospitalityq-nil'!C1659&gt;=2018-50,'hospitalityq-nil'!C1659&lt;=2018+50),FALSE)),SUMPRODUCT(--(TRIM('hospitalityq-nil'!C6:C1659)=TRIM('hospitalityq-nil'!C1659)),--(TRIM('hospitalityq-nil'!D6:D1659)=TRIM('hospitalityq-nil'!D1659)))&gt;1))</f>
        <v>0</v>
      </c>
      <c r="D1659">
        <f>NOT('hospitalityq-nil'!D1659="")*(OR(COUNTIF(reference!$C$144:$C$155,TRIM(LEFT('hospitalityq-nil'!D1659,FIND(":",'hospitalityq-nil'!D1659&amp;":")-1))&amp;":*")=0,SUMPRODUCT(--(TRIM('hospitalityq-nil'!C6:C1659)=TRIM('hospitalityq-nil'!C1659)),--(TRIM('hospitalityq-nil'!D6:D1659)=TRIM('hospitalityq-nil'!D1659)))&gt;1))</f>
        <v>0</v>
      </c>
    </row>
    <row r="1660" spans="1:4" x14ac:dyDescent="0.25">
      <c r="A1660">
        <f t="shared" si="25"/>
        <v>0</v>
      </c>
      <c r="C1660">
        <f>NOT('hospitalityq-nil'!C1660="")*(OR(NOT(IFERROR(AND(INT('hospitalityq-nil'!C1660)='hospitalityq-nil'!C1660,'hospitalityq-nil'!C1660&gt;=2018-50,'hospitalityq-nil'!C1660&lt;=2018+50),FALSE)),SUMPRODUCT(--(TRIM('hospitalityq-nil'!C6:C1660)=TRIM('hospitalityq-nil'!C1660)),--(TRIM('hospitalityq-nil'!D6:D1660)=TRIM('hospitalityq-nil'!D1660)))&gt;1))</f>
        <v>0</v>
      </c>
      <c r="D1660">
        <f>NOT('hospitalityq-nil'!D1660="")*(OR(COUNTIF(reference!$C$144:$C$155,TRIM(LEFT('hospitalityq-nil'!D1660,FIND(":",'hospitalityq-nil'!D1660&amp;":")-1))&amp;":*")=0,SUMPRODUCT(--(TRIM('hospitalityq-nil'!C6:C1660)=TRIM('hospitalityq-nil'!C1660)),--(TRIM('hospitalityq-nil'!D6:D1660)=TRIM('hospitalityq-nil'!D1660)))&gt;1))</f>
        <v>0</v>
      </c>
    </row>
    <row r="1661" spans="1:4" x14ac:dyDescent="0.25">
      <c r="A1661">
        <f t="shared" si="25"/>
        <v>0</v>
      </c>
      <c r="C1661">
        <f>NOT('hospitalityq-nil'!C1661="")*(OR(NOT(IFERROR(AND(INT('hospitalityq-nil'!C1661)='hospitalityq-nil'!C1661,'hospitalityq-nil'!C1661&gt;=2018-50,'hospitalityq-nil'!C1661&lt;=2018+50),FALSE)),SUMPRODUCT(--(TRIM('hospitalityq-nil'!C6:C1661)=TRIM('hospitalityq-nil'!C1661)),--(TRIM('hospitalityq-nil'!D6:D1661)=TRIM('hospitalityq-nil'!D1661)))&gt;1))</f>
        <v>0</v>
      </c>
      <c r="D1661">
        <f>NOT('hospitalityq-nil'!D1661="")*(OR(COUNTIF(reference!$C$144:$C$155,TRIM(LEFT('hospitalityq-nil'!D1661,FIND(":",'hospitalityq-nil'!D1661&amp;":")-1))&amp;":*")=0,SUMPRODUCT(--(TRIM('hospitalityq-nil'!C6:C1661)=TRIM('hospitalityq-nil'!C1661)),--(TRIM('hospitalityq-nil'!D6:D1661)=TRIM('hospitalityq-nil'!D1661)))&gt;1))</f>
        <v>0</v>
      </c>
    </row>
    <row r="1662" spans="1:4" x14ac:dyDescent="0.25">
      <c r="A1662">
        <f t="shared" si="25"/>
        <v>0</v>
      </c>
      <c r="C1662">
        <f>NOT('hospitalityq-nil'!C1662="")*(OR(NOT(IFERROR(AND(INT('hospitalityq-nil'!C1662)='hospitalityq-nil'!C1662,'hospitalityq-nil'!C1662&gt;=2018-50,'hospitalityq-nil'!C1662&lt;=2018+50),FALSE)),SUMPRODUCT(--(TRIM('hospitalityq-nil'!C6:C1662)=TRIM('hospitalityq-nil'!C1662)),--(TRIM('hospitalityq-nil'!D6:D1662)=TRIM('hospitalityq-nil'!D1662)))&gt;1))</f>
        <v>0</v>
      </c>
      <c r="D1662">
        <f>NOT('hospitalityq-nil'!D1662="")*(OR(COUNTIF(reference!$C$144:$C$155,TRIM(LEFT('hospitalityq-nil'!D1662,FIND(":",'hospitalityq-nil'!D1662&amp;":")-1))&amp;":*")=0,SUMPRODUCT(--(TRIM('hospitalityq-nil'!C6:C1662)=TRIM('hospitalityq-nil'!C1662)),--(TRIM('hospitalityq-nil'!D6:D1662)=TRIM('hospitalityq-nil'!D1662)))&gt;1))</f>
        <v>0</v>
      </c>
    </row>
    <row r="1663" spans="1:4" x14ac:dyDescent="0.25">
      <c r="A1663">
        <f t="shared" si="25"/>
        <v>0</v>
      </c>
      <c r="C1663">
        <f>NOT('hospitalityq-nil'!C1663="")*(OR(NOT(IFERROR(AND(INT('hospitalityq-nil'!C1663)='hospitalityq-nil'!C1663,'hospitalityq-nil'!C1663&gt;=2018-50,'hospitalityq-nil'!C1663&lt;=2018+50),FALSE)),SUMPRODUCT(--(TRIM('hospitalityq-nil'!C6:C1663)=TRIM('hospitalityq-nil'!C1663)),--(TRIM('hospitalityq-nil'!D6:D1663)=TRIM('hospitalityq-nil'!D1663)))&gt;1))</f>
        <v>0</v>
      </c>
      <c r="D1663">
        <f>NOT('hospitalityq-nil'!D1663="")*(OR(COUNTIF(reference!$C$144:$C$155,TRIM(LEFT('hospitalityq-nil'!D1663,FIND(":",'hospitalityq-nil'!D1663&amp;":")-1))&amp;":*")=0,SUMPRODUCT(--(TRIM('hospitalityq-nil'!C6:C1663)=TRIM('hospitalityq-nil'!C1663)),--(TRIM('hospitalityq-nil'!D6:D1663)=TRIM('hospitalityq-nil'!D1663)))&gt;1))</f>
        <v>0</v>
      </c>
    </row>
    <row r="1664" spans="1:4" x14ac:dyDescent="0.25">
      <c r="A1664">
        <f t="shared" si="25"/>
        <v>0</v>
      </c>
      <c r="C1664">
        <f>NOT('hospitalityq-nil'!C1664="")*(OR(NOT(IFERROR(AND(INT('hospitalityq-nil'!C1664)='hospitalityq-nil'!C1664,'hospitalityq-nil'!C1664&gt;=2018-50,'hospitalityq-nil'!C1664&lt;=2018+50),FALSE)),SUMPRODUCT(--(TRIM('hospitalityq-nil'!C6:C1664)=TRIM('hospitalityq-nil'!C1664)),--(TRIM('hospitalityq-nil'!D6:D1664)=TRIM('hospitalityq-nil'!D1664)))&gt;1))</f>
        <v>0</v>
      </c>
      <c r="D1664">
        <f>NOT('hospitalityq-nil'!D1664="")*(OR(COUNTIF(reference!$C$144:$C$155,TRIM(LEFT('hospitalityq-nil'!D1664,FIND(":",'hospitalityq-nil'!D1664&amp;":")-1))&amp;":*")=0,SUMPRODUCT(--(TRIM('hospitalityq-nil'!C6:C1664)=TRIM('hospitalityq-nil'!C1664)),--(TRIM('hospitalityq-nil'!D6:D1664)=TRIM('hospitalityq-nil'!D1664)))&gt;1))</f>
        <v>0</v>
      </c>
    </row>
    <row r="1665" spans="1:4" x14ac:dyDescent="0.25">
      <c r="A1665">
        <f t="shared" si="25"/>
        <v>0</v>
      </c>
      <c r="C1665">
        <f>NOT('hospitalityq-nil'!C1665="")*(OR(NOT(IFERROR(AND(INT('hospitalityq-nil'!C1665)='hospitalityq-nil'!C1665,'hospitalityq-nil'!C1665&gt;=2018-50,'hospitalityq-nil'!C1665&lt;=2018+50),FALSE)),SUMPRODUCT(--(TRIM('hospitalityq-nil'!C6:C1665)=TRIM('hospitalityq-nil'!C1665)),--(TRIM('hospitalityq-nil'!D6:D1665)=TRIM('hospitalityq-nil'!D1665)))&gt;1))</f>
        <v>0</v>
      </c>
      <c r="D1665">
        <f>NOT('hospitalityq-nil'!D1665="")*(OR(COUNTIF(reference!$C$144:$C$155,TRIM(LEFT('hospitalityq-nil'!D1665,FIND(":",'hospitalityq-nil'!D1665&amp;":")-1))&amp;":*")=0,SUMPRODUCT(--(TRIM('hospitalityq-nil'!C6:C1665)=TRIM('hospitalityq-nil'!C1665)),--(TRIM('hospitalityq-nil'!D6:D1665)=TRIM('hospitalityq-nil'!D1665)))&gt;1))</f>
        <v>0</v>
      </c>
    </row>
    <row r="1666" spans="1:4" x14ac:dyDescent="0.25">
      <c r="A1666">
        <f t="shared" si="25"/>
        <v>0</v>
      </c>
      <c r="C1666">
        <f>NOT('hospitalityq-nil'!C1666="")*(OR(NOT(IFERROR(AND(INT('hospitalityq-nil'!C1666)='hospitalityq-nil'!C1666,'hospitalityq-nil'!C1666&gt;=2018-50,'hospitalityq-nil'!C1666&lt;=2018+50),FALSE)),SUMPRODUCT(--(TRIM('hospitalityq-nil'!C6:C1666)=TRIM('hospitalityq-nil'!C1666)),--(TRIM('hospitalityq-nil'!D6:D1666)=TRIM('hospitalityq-nil'!D1666)))&gt;1))</f>
        <v>0</v>
      </c>
      <c r="D1666">
        <f>NOT('hospitalityq-nil'!D1666="")*(OR(COUNTIF(reference!$C$144:$C$155,TRIM(LEFT('hospitalityq-nil'!D1666,FIND(":",'hospitalityq-nil'!D1666&amp;":")-1))&amp;":*")=0,SUMPRODUCT(--(TRIM('hospitalityq-nil'!C6:C1666)=TRIM('hospitalityq-nil'!C1666)),--(TRIM('hospitalityq-nil'!D6:D1666)=TRIM('hospitalityq-nil'!D1666)))&gt;1))</f>
        <v>0</v>
      </c>
    </row>
    <row r="1667" spans="1:4" x14ac:dyDescent="0.25">
      <c r="A1667">
        <f t="shared" si="25"/>
        <v>0</v>
      </c>
      <c r="C1667">
        <f>NOT('hospitalityq-nil'!C1667="")*(OR(NOT(IFERROR(AND(INT('hospitalityq-nil'!C1667)='hospitalityq-nil'!C1667,'hospitalityq-nil'!C1667&gt;=2018-50,'hospitalityq-nil'!C1667&lt;=2018+50),FALSE)),SUMPRODUCT(--(TRIM('hospitalityq-nil'!C6:C1667)=TRIM('hospitalityq-nil'!C1667)),--(TRIM('hospitalityq-nil'!D6:D1667)=TRIM('hospitalityq-nil'!D1667)))&gt;1))</f>
        <v>0</v>
      </c>
      <c r="D1667">
        <f>NOT('hospitalityq-nil'!D1667="")*(OR(COUNTIF(reference!$C$144:$C$155,TRIM(LEFT('hospitalityq-nil'!D1667,FIND(":",'hospitalityq-nil'!D1667&amp;":")-1))&amp;":*")=0,SUMPRODUCT(--(TRIM('hospitalityq-nil'!C6:C1667)=TRIM('hospitalityq-nil'!C1667)),--(TRIM('hospitalityq-nil'!D6:D1667)=TRIM('hospitalityq-nil'!D1667)))&gt;1))</f>
        <v>0</v>
      </c>
    </row>
    <row r="1668" spans="1:4" x14ac:dyDescent="0.25">
      <c r="A1668">
        <f t="shared" si="25"/>
        <v>0</v>
      </c>
      <c r="C1668">
        <f>NOT('hospitalityq-nil'!C1668="")*(OR(NOT(IFERROR(AND(INT('hospitalityq-nil'!C1668)='hospitalityq-nil'!C1668,'hospitalityq-nil'!C1668&gt;=2018-50,'hospitalityq-nil'!C1668&lt;=2018+50),FALSE)),SUMPRODUCT(--(TRIM('hospitalityq-nil'!C6:C1668)=TRIM('hospitalityq-nil'!C1668)),--(TRIM('hospitalityq-nil'!D6:D1668)=TRIM('hospitalityq-nil'!D1668)))&gt;1))</f>
        <v>0</v>
      </c>
      <c r="D1668">
        <f>NOT('hospitalityq-nil'!D1668="")*(OR(COUNTIF(reference!$C$144:$C$155,TRIM(LEFT('hospitalityq-nil'!D1668,FIND(":",'hospitalityq-nil'!D1668&amp;":")-1))&amp;":*")=0,SUMPRODUCT(--(TRIM('hospitalityq-nil'!C6:C1668)=TRIM('hospitalityq-nil'!C1668)),--(TRIM('hospitalityq-nil'!D6:D1668)=TRIM('hospitalityq-nil'!D1668)))&gt;1))</f>
        <v>0</v>
      </c>
    </row>
    <row r="1669" spans="1:4" x14ac:dyDescent="0.25">
      <c r="A1669">
        <f t="shared" si="25"/>
        <v>0</v>
      </c>
      <c r="C1669">
        <f>NOT('hospitalityq-nil'!C1669="")*(OR(NOT(IFERROR(AND(INT('hospitalityq-nil'!C1669)='hospitalityq-nil'!C1669,'hospitalityq-nil'!C1669&gt;=2018-50,'hospitalityq-nil'!C1669&lt;=2018+50),FALSE)),SUMPRODUCT(--(TRIM('hospitalityq-nil'!C6:C1669)=TRIM('hospitalityq-nil'!C1669)),--(TRIM('hospitalityq-nil'!D6:D1669)=TRIM('hospitalityq-nil'!D1669)))&gt;1))</f>
        <v>0</v>
      </c>
      <c r="D1669">
        <f>NOT('hospitalityq-nil'!D1669="")*(OR(COUNTIF(reference!$C$144:$C$155,TRIM(LEFT('hospitalityq-nil'!D1669,FIND(":",'hospitalityq-nil'!D1669&amp;":")-1))&amp;":*")=0,SUMPRODUCT(--(TRIM('hospitalityq-nil'!C6:C1669)=TRIM('hospitalityq-nil'!C1669)),--(TRIM('hospitalityq-nil'!D6:D1669)=TRIM('hospitalityq-nil'!D1669)))&gt;1))</f>
        <v>0</v>
      </c>
    </row>
    <row r="1670" spans="1:4" x14ac:dyDescent="0.25">
      <c r="A1670">
        <f t="shared" ref="A1670:A1733" si="26">IFERROR(MATCH(TRUE,INDEX(C1670:D1670&lt;&gt;0,),)+2,0)</f>
        <v>0</v>
      </c>
      <c r="C1670">
        <f>NOT('hospitalityq-nil'!C1670="")*(OR(NOT(IFERROR(AND(INT('hospitalityq-nil'!C1670)='hospitalityq-nil'!C1670,'hospitalityq-nil'!C1670&gt;=2018-50,'hospitalityq-nil'!C1670&lt;=2018+50),FALSE)),SUMPRODUCT(--(TRIM('hospitalityq-nil'!C6:C1670)=TRIM('hospitalityq-nil'!C1670)),--(TRIM('hospitalityq-nil'!D6:D1670)=TRIM('hospitalityq-nil'!D1670)))&gt;1))</f>
        <v>0</v>
      </c>
      <c r="D1670">
        <f>NOT('hospitalityq-nil'!D1670="")*(OR(COUNTIF(reference!$C$144:$C$155,TRIM(LEFT('hospitalityq-nil'!D1670,FIND(":",'hospitalityq-nil'!D1670&amp;":")-1))&amp;":*")=0,SUMPRODUCT(--(TRIM('hospitalityq-nil'!C6:C1670)=TRIM('hospitalityq-nil'!C1670)),--(TRIM('hospitalityq-nil'!D6:D1670)=TRIM('hospitalityq-nil'!D1670)))&gt;1))</f>
        <v>0</v>
      </c>
    </row>
    <row r="1671" spans="1:4" x14ac:dyDescent="0.25">
      <c r="A1671">
        <f t="shared" si="26"/>
        <v>0</v>
      </c>
      <c r="C1671">
        <f>NOT('hospitalityq-nil'!C1671="")*(OR(NOT(IFERROR(AND(INT('hospitalityq-nil'!C1671)='hospitalityq-nil'!C1671,'hospitalityq-nil'!C1671&gt;=2018-50,'hospitalityq-nil'!C1671&lt;=2018+50),FALSE)),SUMPRODUCT(--(TRIM('hospitalityq-nil'!C6:C1671)=TRIM('hospitalityq-nil'!C1671)),--(TRIM('hospitalityq-nil'!D6:D1671)=TRIM('hospitalityq-nil'!D1671)))&gt;1))</f>
        <v>0</v>
      </c>
      <c r="D1671">
        <f>NOT('hospitalityq-nil'!D1671="")*(OR(COUNTIF(reference!$C$144:$C$155,TRIM(LEFT('hospitalityq-nil'!D1671,FIND(":",'hospitalityq-nil'!D1671&amp;":")-1))&amp;":*")=0,SUMPRODUCT(--(TRIM('hospitalityq-nil'!C6:C1671)=TRIM('hospitalityq-nil'!C1671)),--(TRIM('hospitalityq-nil'!D6:D1671)=TRIM('hospitalityq-nil'!D1671)))&gt;1))</f>
        <v>0</v>
      </c>
    </row>
    <row r="1672" spans="1:4" x14ac:dyDescent="0.25">
      <c r="A1672">
        <f t="shared" si="26"/>
        <v>0</v>
      </c>
      <c r="C1672">
        <f>NOT('hospitalityq-nil'!C1672="")*(OR(NOT(IFERROR(AND(INT('hospitalityq-nil'!C1672)='hospitalityq-nil'!C1672,'hospitalityq-nil'!C1672&gt;=2018-50,'hospitalityq-nil'!C1672&lt;=2018+50),FALSE)),SUMPRODUCT(--(TRIM('hospitalityq-nil'!C6:C1672)=TRIM('hospitalityq-nil'!C1672)),--(TRIM('hospitalityq-nil'!D6:D1672)=TRIM('hospitalityq-nil'!D1672)))&gt;1))</f>
        <v>0</v>
      </c>
      <c r="D1672">
        <f>NOT('hospitalityq-nil'!D1672="")*(OR(COUNTIF(reference!$C$144:$C$155,TRIM(LEFT('hospitalityq-nil'!D1672,FIND(":",'hospitalityq-nil'!D1672&amp;":")-1))&amp;":*")=0,SUMPRODUCT(--(TRIM('hospitalityq-nil'!C6:C1672)=TRIM('hospitalityq-nil'!C1672)),--(TRIM('hospitalityq-nil'!D6:D1672)=TRIM('hospitalityq-nil'!D1672)))&gt;1))</f>
        <v>0</v>
      </c>
    </row>
    <row r="1673" spans="1:4" x14ac:dyDescent="0.25">
      <c r="A1673">
        <f t="shared" si="26"/>
        <v>0</v>
      </c>
      <c r="C1673">
        <f>NOT('hospitalityq-nil'!C1673="")*(OR(NOT(IFERROR(AND(INT('hospitalityq-nil'!C1673)='hospitalityq-nil'!C1673,'hospitalityq-nil'!C1673&gt;=2018-50,'hospitalityq-nil'!C1673&lt;=2018+50),FALSE)),SUMPRODUCT(--(TRIM('hospitalityq-nil'!C6:C1673)=TRIM('hospitalityq-nil'!C1673)),--(TRIM('hospitalityq-nil'!D6:D1673)=TRIM('hospitalityq-nil'!D1673)))&gt;1))</f>
        <v>0</v>
      </c>
      <c r="D1673">
        <f>NOT('hospitalityq-nil'!D1673="")*(OR(COUNTIF(reference!$C$144:$C$155,TRIM(LEFT('hospitalityq-nil'!D1673,FIND(":",'hospitalityq-nil'!D1673&amp;":")-1))&amp;":*")=0,SUMPRODUCT(--(TRIM('hospitalityq-nil'!C6:C1673)=TRIM('hospitalityq-nil'!C1673)),--(TRIM('hospitalityq-nil'!D6:D1673)=TRIM('hospitalityq-nil'!D1673)))&gt;1))</f>
        <v>0</v>
      </c>
    </row>
    <row r="1674" spans="1:4" x14ac:dyDescent="0.25">
      <c r="A1674">
        <f t="shared" si="26"/>
        <v>0</v>
      </c>
      <c r="C1674">
        <f>NOT('hospitalityq-nil'!C1674="")*(OR(NOT(IFERROR(AND(INT('hospitalityq-nil'!C1674)='hospitalityq-nil'!C1674,'hospitalityq-nil'!C1674&gt;=2018-50,'hospitalityq-nil'!C1674&lt;=2018+50),FALSE)),SUMPRODUCT(--(TRIM('hospitalityq-nil'!C6:C1674)=TRIM('hospitalityq-nil'!C1674)),--(TRIM('hospitalityq-nil'!D6:D1674)=TRIM('hospitalityq-nil'!D1674)))&gt;1))</f>
        <v>0</v>
      </c>
      <c r="D1674">
        <f>NOT('hospitalityq-nil'!D1674="")*(OR(COUNTIF(reference!$C$144:$C$155,TRIM(LEFT('hospitalityq-nil'!D1674,FIND(":",'hospitalityq-nil'!D1674&amp;":")-1))&amp;":*")=0,SUMPRODUCT(--(TRIM('hospitalityq-nil'!C6:C1674)=TRIM('hospitalityq-nil'!C1674)),--(TRIM('hospitalityq-nil'!D6:D1674)=TRIM('hospitalityq-nil'!D1674)))&gt;1))</f>
        <v>0</v>
      </c>
    </row>
    <row r="1675" spans="1:4" x14ac:dyDescent="0.25">
      <c r="A1675">
        <f t="shared" si="26"/>
        <v>0</v>
      </c>
      <c r="C1675">
        <f>NOT('hospitalityq-nil'!C1675="")*(OR(NOT(IFERROR(AND(INT('hospitalityq-nil'!C1675)='hospitalityq-nil'!C1675,'hospitalityq-nil'!C1675&gt;=2018-50,'hospitalityq-nil'!C1675&lt;=2018+50),FALSE)),SUMPRODUCT(--(TRIM('hospitalityq-nil'!C6:C1675)=TRIM('hospitalityq-nil'!C1675)),--(TRIM('hospitalityq-nil'!D6:D1675)=TRIM('hospitalityq-nil'!D1675)))&gt;1))</f>
        <v>0</v>
      </c>
      <c r="D1675">
        <f>NOT('hospitalityq-nil'!D1675="")*(OR(COUNTIF(reference!$C$144:$C$155,TRIM(LEFT('hospitalityq-nil'!D1675,FIND(":",'hospitalityq-nil'!D1675&amp;":")-1))&amp;":*")=0,SUMPRODUCT(--(TRIM('hospitalityq-nil'!C6:C1675)=TRIM('hospitalityq-nil'!C1675)),--(TRIM('hospitalityq-nil'!D6:D1675)=TRIM('hospitalityq-nil'!D1675)))&gt;1))</f>
        <v>0</v>
      </c>
    </row>
    <row r="1676" spans="1:4" x14ac:dyDescent="0.25">
      <c r="A1676">
        <f t="shared" si="26"/>
        <v>0</v>
      </c>
      <c r="C1676">
        <f>NOT('hospitalityq-nil'!C1676="")*(OR(NOT(IFERROR(AND(INT('hospitalityq-nil'!C1676)='hospitalityq-nil'!C1676,'hospitalityq-nil'!C1676&gt;=2018-50,'hospitalityq-nil'!C1676&lt;=2018+50),FALSE)),SUMPRODUCT(--(TRIM('hospitalityq-nil'!C6:C1676)=TRIM('hospitalityq-nil'!C1676)),--(TRIM('hospitalityq-nil'!D6:D1676)=TRIM('hospitalityq-nil'!D1676)))&gt;1))</f>
        <v>0</v>
      </c>
      <c r="D1676">
        <f>NOT('hospitalityq-nil'!D1676="")*(OR(COUNTIF(reference!$C$144:$C$155,TRIM(LEFT('hospitalityq-nil'!D1676,FIND(":",'hospitalityq-nil'!D1676&amp;":")-1))&amp;":*")=0,SUMPRODUCT(--(TRIM('hospitalityq-nil'!C6:C1676)=TRIM('hospitalityq-nil'!C1676)),--(TRIM('hospitalityq-nil'!D6:D1676)=TRIM('hospitalityq-nil'!D1676)))&gt;1))</f>
        <v>0</v>
      </c>
    </row>
    <row r="1677" spans="1:4" x14ac:dyDescent="0.25">
      <c r="A1677">
        <f t="shared" si="26"/>
        <v>0</v>
      </c>
      <c r="C1677">
        <f>NOT('hospitalityq-nil'!C1677="")*(OR(NOT(IFERROR(AND(INT('hospitalityq-nil'!C1677)='hospitalityq-nil'!C1677,'hospitalityq-nil'!C1677&gt;=2018-50,'hospitalityq-nil'!C1677&lt;=2018+50),FALSE)),SUMPRODUCT(--(TRIM('hospitalityq-nil'!C6:C1677)=TRIM('hospitalityq-nil'!C1677)),--(TRIM('hospitalityq-nil'!D6:D1677)=TRIM('hospitalityq-nil'!D1677)))&gt;1))</f>
        <v>0</v>
      </c>
      <c r="D1677">
        <f>NOT('hospitalityq-nil'!D1677="")*(OR(COUNTIF(reference!$C$144:$C$155,TRIM(LEFT('hospitalityq-nil'!D1677,FIND(":",'hospitalityq-nil'!D1677&amp;":")-1))&amp;":*")=0,SUMPRODUCT(--(TRIM('hospitalityq-nil'!C6:C1677)=TRIM('hospitalityq-nil'!C1677)),--(TRIM('hospitalityq-nil'!D6:D1677)=TRIM('hospitalityq-nil'!D1677)))&gt;1))</f>
        <v>0</v>
      </c>
    </row>
    <row r="1678" spans="1:4" x14ac:dyDescent="0.25">
      <c r="A1678">
        <f t="shared" si="26"/>
        <v>0</v>
      </c>
      <c r="C1678">
        <f>NOT('hospitalityq-nil'!C1678="")*(OR(NOT(IFERROR(AND(INT('hospitalityq-nil'!C1678)='hospitalityq-nil'!C1678,'hospitalityq-nil'!C1678&gt;=2018-50,'hospitalityq-nil'!C1678&lt;=2018+50),FALSE)),SUMPRODUCT(--(TRIM('hospitalityq-nil'!C6:C1678)=TRIM('hospitalityq-nil'!C1678)),--(TRIM('hospitalityq-nil'!D6:D1678)=TRIM('hospitalityq-nil'!D1678)))&gt;1))</f>
        <v>0</v>
      </c>
      <c r="D1678">
        <f>NOT('hospitalityq-nil'!D1678="")*(OR(COUNTIF(reference!$C$144:$C$155,TRIM(LEFT('hospitalityq-nil'!D1678,FIND(":",'hospitalityq-nil'!D1678&amp;":")-1))&amp;":*")=0,SUMPRODUCT(--(TRIM('hospitalityq-nil'!C6:C1678)=TRIM('hospitalityq-nil'!C1678)),--(TRIM('hospitalityq-nil'!D6:D1678)=TRIM('hospitalityq-nil'!D1678)))&gt;1))</f>
        <v>0</v>
      </c>
    </row>
    <row r="1679" spans="1:4" x14ac:dyDescent="0.25">
      <c r="A1679">
        <f t="shared" si="26"/>
        <v>0</v>
      </c>
      <c r="C1679">
        <f>NOT('hospitalityq-nil'!C1679="")*(OR(NOT(IFERROR(AND(INT('hospitalityq-nil'!C1679)='hospitalityq-nil'!C1679,'hospitalityq-nil'!C1679&gt;=2018-50,'hospitalityq-nil'!C1679&lt;=2018+50),FALSE)),SUMPRODUCT(--(TRIM('hospitalityq-nil'!C6:C1679)=TRIM('hospitalityq-nil'!C1679)),--(TRIM('hospitalityq-nil'!D6:D1679)=TRIM('hospitalityq-nil'!D1679)))&gt;1))</f>
        <v>0</v>
      </c>
      <c r="D1679">
        <f>NOT('hospitalityq-nil'!D1679="")*(OR(COUNTIF(reference!$C$144:$C$155,TRIM(LEFT('hospitalityq-nil'!D1679,FIND(":",'hospitalityq-nil'!D1679&amp;":")-1))&amp;":*")=0,SUMPRODUCT(--(TRIM('hospitalityq-nil'!C6:C1679)=TRIM('hospitalityq-nil'!C1679)),--(TRIM('hospitalityq-nil'!D6:D1679)=TRIM('hospitalityq-nil'!D1679)))&gt;1))</f>
        <v>0</v>
      </c>
    </row>
    <row r="1680" spans="1:4" x14ac:dyDescent="0.25">
      <c r="A1680">
        <f t="shared" si="26"/>
        <v>0</v>
      </c>
      <c r="C1680">
        <f>NOT('hospitalityq-nil'!C1680="")*(OR(NOT(IFERROR(AND(INT('hospitalityq-nil'!C1680)='hospitalityq-nil'!C1680,'hospitalityq-nil'!C1680&gt;=2018-50,'hospitalityq-nil'!C1680&lt;=2018+50),FALSE)),SUMPRODUCT(--(TRIM('hospitalityq-nil'!C6:C1680)=TRIM('hospitalityq-nil'!C1680)),--(TRIM('hospitalityq-nil'!D6:D1680)=TRIM('hospitalityq-nil'!D1680)))&gt;1))</f>
        <v>0</v>
      </c>
      <c r="D1680">
        <f>NOT('hospitalityq-nil'!D1680="")*(OR(COUNTIF(reference!$C$144:$C$155,TRIM(LEFT('hospitalityq-nil'!D1680,FIND(":",'hospitalityq-nil'!D1680&amp;":")-1))&amp;":*")=0,SUMPRODUCT(--(TRIM('hospitalityq-nil'!C6:C1680)=TRIM('hospitalityq-nil'!C1680)),--(TRIM('hospitalityq-nil'!D6:D1680)=TRIM('hospitalityq-nil'!D1680)))&gt;1))</f>
        <v>0</v>
      </c>
    </row>
    <row r="1681" spans="1:4" x14ac:dyDescent="0.25">
      <c r="A1681">
        <f t="shared" si="26"/>
        <v>0</v>
      </c>
      <c r="C1681">
        <f>NOT('hospitalityq-nil'!C1681="")*(OR(NOT(IFERROR(AND(INT('hospitalityq-nil'!C1681)='hospitalityq-nil'!C1681,'hospitalityq-nil'!C1681&gt;=2018-50,'hospitalityq-nil'!C1681&lt;=2018+50),FALSE)),SUMPRODUCT(--(TRIM('hospitalityq-nil'!C6:C1681)=TRIM('hospitalityq-nil'!C1681)),--(TRIM('hospitalityq-nil'!D6:D1681)=TRIM('hospitalityq-nil'!D1681)))&gt;1))</f>
        <v>0</v>
      </c>
      <c r="D1681">
        <f>NOT('hospitalityq-nil'!D1681="")*(OR(COUNTIF(reference!$C$144:$C$155,TRIM(LEFT('hospitalityq-nil'!D1681,FIND(":",'hospitalityq-nil'!D1681&amp;":")-1))&amp;":*")=0,SUMPRODUCT(--(TRIM('hospitalityq-nil'!C6:C1681)=TRIM('hospitalityq-nil'!C1681)),--(TRIM('hospitalityq-nil'!D6:D1681)=TRIM('hospitalityq-nil'!D1681)))&gt;1))</f>
        <v>0</v>
      </c>
    </row>
    <row r="1682" spans="1:4" x14ac:dyDescent="0.25">
      <c r="A1682">
        <f t="shared" si="26"/>
        <v>0</v>
      </c>
      <c r="C1682">
        <f>NOT('hospitalityq-nil'!C1682="")*(OR(NOT(IFERROR(AND(INT('hospitalityq-nil'!C1682)='hospitalityq-nil'!C1682,'hospitalityq-nil'!C1682&gt;=2018-50,'hospitalityq-nil'!C1682&lt;=2018+50),FALSE)),SUMPRODUCT(--(TRIM('hospitalityq-nil'!C6:C1682)=TRIM('hospitalityq-nil'!C1682)),--(TRIM('hospitalityq-nil'!D6:D1682)=TRIM('hospitalityq-nil'!D1682)))&gt;1))</f>
        <v>0</v>
      </c>
      <c r="D1682">
        <f>NOT('hospitalityq-nil'!D1682="")*(OR(COUNTIF(reference!$C$144:$C$155,TRIM(LEFT('hospitalityq-nil'!D1682,FIND(":",'hospitalityq-nil'!D1682&amp;":")-1))&amp;":*")=0,SUMPRODUCT(--(TRIM('hospitalityq-nil'!C6:C1682)=TRIM('hospitalityq-nil'!C1682)),--(TRIM('hospitalityq-nil'!D6:D1682)=TRIM('hospitalityq-nil'!D1682)))&gt;1))</f>
        <v>0</v>
      </c>
    </row>
    <row r="1683" spans="1:4" x14ac:dyDescent="0.25">
      <c r="A1683">
        <f t="shared" si="26"/>
        <v>0</v>
      </c>
      <c r="C1683">
        <f>NOT('hospitalityq-nil'!C1683="")*(OR(NOT(IFERROR(AND(INT('hospitalityq-nil'!C1683)='hospitalityq-nil'!C1683,'hospitalityq-nil'!C1683&gt;=2018-50,'hospitalityq-nil'!C1683&lt;=2018+50),FALSE)),SUMPRODUCT(--(TRIM('hospitalityq-nil'!C6:C1683)=TRIM('hospitalityq-nil'!C1683)),--(TRIM('hospitalityq-nil'!D6:D1683)=TRIM('hospitalityq-nil'!D1683)))&gt;1))</f>
        <v>0</v>
      </c>
      <c r="D1683">
        <f>NOT('hospitalityq-nil'!D1683="")*(OR(COUNTIF(reference!$C$144:$C$155,TRIM(LEFT('hospitalityq-nil'!D1683,FIND(":",'hospitalityq-nil'!D1683&amp;":")-1))&amp;":*")=0,SUMPRODUCT(--(TRIM('hospitalityq-nil'!C6:C1683)=TRIM('hospitalityq-nil'!C1683)),--(TRIM('hospitalityq-nil'!D6:D1683)=TRIM('hospitalityq-nil'!D1683)))&gt;1))</f>
        <v>0</v>
      </c>
    </row>
    <row r="1684" spans="1:4" x14ac:dyDescent="0.25">
      <c r="A1684">
        <f t="shared" si="26"/>
        <v>0</v>
      </c>
      <c r="C1684">
        <f>NOT('hospitalityq-nil'!C1684="")*(OR(NOT(IFERROR(AND(INT('hospitalityq-nil'!C1684)='hospitalityq-nil'!C1684,'hospitalityq-nil'!C1684&gt;=2018-50,'hospitalityq-nil'!C1684&lt;=2018+50),FALSE)),SUMPRODUCT(--(TRIM('hospitalityq-nil'!C6:C1684)=TRIM('hospitalityq-nil'!C1684)),--(TRIM('hospitalityq-nil'!D6:D1684)=TRIM('hospitalityq-nil'!D1684)))&gt;1))</f>
        <v>0</v>
      </c>
      <c r="D1684">
        <f>NOT('hospitalityq-nil'!D1684="")*(OR(COUNTIF(reference!$C$144:$C$155,TRIM(LEFT('hospitalityq-nil'!D1684,FIND(":",'hospitalityq-nil'!D1684&amp;":")-1))&amp;":*")=0,SUMPRODUCT(--(TRIM('hospitalityq-nil'!C6:C1684)=TRIM('hospitalityq-nil'!C1684)),--(TRIM('hospitalityq-nil'!D6:D1684)=TRIM('hospitalityq-nil'!D1684)))&gt;1))</f>
        <v>0</v>
      </c>
    </row>
    <row r="1685" spans="1:4" x14ac:dyDescent="0.25">
      <c r="A1685">
        <f t="shared" si="26"/>
        <v>0</v>
      </c>
      <c r="C1685">
        <f>NOT('hospitalityq-nil'!C1685="")*(OR(NOT(IFERROR(AND(INT('hospitalityq-nil'!C1685)='hospitalityq-nil'!C1685,'hospitalityq-nil'!C1685&gt;=2018-50,'hospitalityq-nil'!C1685&lt;=2018+50),FALSE)),SUMPRODUCT(--(TRIM('hospitalityq-nil'!C6:C1685)=TRIM('hospitalityq-nil'!C1685)),--(TRIM('hospitalityq-nil'!D6:D1685)=TRIM('hospitalityq-nil'!D1685)))&gt;1))</f>
        <v>0</v>
      </c>
      <c r="D1685">
        <f>NOT('hospitalityq-nil'!D1685="")*(OR(COUNTIF(reference!$C$144:$C$155,TRIM(LEFT('hospitalityq-nil'!D1685,FIND(":",'hospitalityq-nil'!D1685&amp;":")-1))&amp;":*")=0,SUMPRODUCT(--(TRIM('hospitalityq-nil'!C6:C1685)=TRIM('hospitalityq-nil'!C1685)),--(TRIM('hospitalityq-nil'!D6:D1685)=TRIM('hospitalityq-nil'!D1685)))&gt;1))</f>
        <v>0</v>
      </c>
    </row>
    <row r="1686" spans="1:4" x14ac:dyDescent="0.25">
      <c r="A1686">
        <f t="shared" si="26"/>
        <v>0</v>
      </c>
      <c r="C1686">
        <f>NOT('hospitalityq-nil'!C1686="")*(OR(NOT(IFERROR(AND(INT('hospitalityq-nil'!C1686)='hospitalityq-nil'!C1686,'hospitalityq-nil'!C1686&gt;=2018-50,'hospitalityq-nil'!C1686&lt;=2018+50),FALSE)),SUMPRODUCT(--(TRIM('hospitalityq-nil'!C6:C1686)=TRIM('hospitalityq-nil'!C1686)),--(TRIM('hospitalityq-nil'!D6:D1686)=TRIM('hospitalityq-nil'!D1686)))&gt;1))</f>
        <v>0</v>
      </c>
      <c r="D1686">
        <f>NOT('hospitalityq-nil'!D1686="")*(OR(COUNTIF(reference!$C$144:$C$155,TRIM(LEFT('hospitalityq-nil'!D1686,FIND(":",'hospitalityq-nil'!D1686&amp;":")-1))&amp;":*")=0,SUMPRODUCT(--(TRIM('hospitalityq-nil'!C6:C1686)=TRIM('hospitalityq-nil'!C1686)),--(TRIM('hospitalityq-nil'!D6:D1686)=TRIM('hospitalityq-nil'!D1686)))&gt;1))</f>
        <v>0</v>
      </c>
    </row>
    <row r="1687" spans="1:4" x14ac:dyDescent="0.25">
      <c r="A1687">
        <f t="shared" si="26"/>
        <v>0</v>
      </c>
      <c r="C1687">
        <f>NOT('hospitalityq-nil'!C1687="")*(OR(NOT(IFERROR(AND(INT('hospitalityq-nil'!C1687)='hospitalityq-nil'!C1687,'hospitalityq-nil'!C1687&gt;=2018-50,'hospitalityq-nil'!C1687&lt;=2018+50),FALSE)),SUMPRODUCT(--(TRIM('hospitalityq-nil'!C6:C1687)=TRIM('hospitalityq-nil'!C1687)),--(TRIM('hospitalityq-nil'!D6:D1687)=TRIM('hospitalityq-nil'!D1687)))&gt;1))</f>
        <v>0</v>
      </c>
      <c r="D1687">
        <f>NOT('hospitalityq-nil'!D1687="")*(OR(COUNTIF(reference!$C$144:$C$155,TRIM(LEFT('hospitalityq-nil'!D1687,FIND(":",'hospitalityq-nil'!D1687&amp;":")-1))&amp;":*")=0,SUMPRODUCT(--(TRIM('hospitalityq-nil'!C6:C1687)=TRIM('hospitalityq-nil'!C1687)),--(TRIM('hospitalityq-nil'!D6:D1687)=TRIM('hospitalityq-nil'!D1687)))&gt;1))</f>
        <v>0</v>
      </c>
    </row>
    <row r="1688" spans="1:4" x14ac:dyDescent="0.25">
      <c r="A1688">
        <f t="shared" si="26"/>
        <v>0</v>
      </c>
      <c r="C1688">
        <f>NOT('hospitalityq-nil'!C1688="")*(OR(NOT(IFERROR(AND(INT('hospitalityq-nil'!C1688)='hospitalityq-nil'!C1688,'hospitalityq-nil'!C1688&gt;=2018-50,'hospitalityq-nil'!C1688&lt;=2018+50),FALSE)),SUMPRODUCT(--(TRIM('hospitalityq-nil'!C6:C1688)=TRIM('hospitalityq-nil'!C1688)),--(TRIM('hospitalityq-nil'!D6:D1688)=TRIM('hospitalityq-nil'!D1688)))&gt;1))</f>
        <v>0</v>
      </c>
      <c r="D1688">
        <f>NOT('hospitalityq-nil'!D1688="")*(OR(COUNTIF(reference!$C$144:$C$155,TRIM(LEFT('hospitalityq-nil'!D1688,FIND(":",'hospitalityq-nil'!D1688&amp;":")-1))&amp;":*")=0,SUMPRODUCT(--(TRIM('hospitalityq-nil'!C6:C1688)=TRIM('hospitalityq-nil'!C1688)),--(TRIM('hospitalityq-nil'!D6:D1688)=TRIM('hospitalityq-nil'!D1688)))&gt;1))</f>
        <v>0</v>
      </c>
    </row>
    <row r="1689" spans="1:4" x14ac:dyDescent="0.25">
      <c r="A1689">
        <f t="shared" si="26"/>
        <v>0</v>
      </c>
      <c r="C1689">
        <f>NOT('hospitalityq-nil'!C1689="")*(OR(NOT(IFERROR(AND(INT('hospitalityq-nil'!C1689)='hospitalityq-nil'!C1689,'hospitalityq-nil'!C1689&gt;=2018-50,'hospitalityq-nil'!C1689&lt;=2018+50),FALSE)),SUMPRODUCT(--(TRIM('hospitalityq-nil'!C6:C1689)=TRIM('hospitalityq-nil'!C1689)),--(TRIM('hospitalityq-nil'!D6:D1689)=TRIM('hospitalityq-nil'!D1689)))&gt;1))</f>
        <v>0</v>
      </c>
      <c r="D1689">
        <f>NOT('hospitalityq-nil'!D1689="")*(OR(COUNTIF(reference!$C$144:$C$155,TRIM(LEFT('hospitalityq-nil'!D1689,FIND(":",'hospitalityq-nil'!D1689&amp;":")-1))&amp;":*")=0,SUMPRODUCT(--(TRIM('hospitalityq-nil'!C6:C1689)=TRIM('hospitalityq-nil'!C1689)),--(TRIM('hospitalityq-nil'!D6:D1689)=TRIM('hospitalityq-nil'!D1689)))&gt;1))</f>
        <v>0</v>
      </c>
    </row>
    <row r="1690" spans="1:4" x14ac:dyDescent="0.25">
      <c r="A1690">
        <f t="shared" si="26"/>
        <v>0</v>
      </c>
      <c r="C1690">
        <f>NOT('hospitalityq-nil'!C1690="")*(OR(NOT(IFERROR(AND(INT('hospitalityq-nil'!C1690)='hospitalityq-nil'!C1690,'hospitalityq-nil'!C1690&gt;=2018-50,'hospitalityq-nil'!C1690&lt;=2018+50),FALSE)),SUMPRODUCT(--(TRIM('hospitalityq-nil'!C6:C1690)=TRIM('hospitalityq-nil'!C1690)),--(TRIM('hospitalityq-nil'!D6:D1690)=TRIM('hospitalityq-nil'!D1690)))&gt;1))</f>
        <v>0</v>
      </c>
      <c r="D1690">
        <f>NOT('hospitalityq-nil'!D1690="")*(OR(COUNTIF(reference!$C$144:$C$155,TRIM(LEFT('hospitalityq-nil'!D1690,FIND(":",'hospitalityq-nil'!D1690&amp;":")-1))&amp;":*")=0,SUMPRODUCT(--(TRIM('hospitalityq-nil'!C6:C1690)=TRIM('hospitalityq-nil'!C1690)),--(TRIM('hospitalityq-nil'!D6:D1690)=TRIM('hospitalityq-nil'!D1690)))&gt;1))</f>
        <v>0</v>
      </c>
    </row>
    <row r="1691" spans="1:4" x14ac:dyDescent="0.25">
      <c r="A1691">
        <f t="shared" si="26"/>
        <v>0</v>
      </c>
      <c r="C1691">
        <f>NOT('hospitalityq-nil'!C1691="")*(OR(NOT(IFERROR(AND(INT('hospitalityq-nil'!C1691)='hospitalityq-nil'!C1691,'hospitalityq-nil'!C1691&gt;=2018-50,'hospitalityq-nil'!C1691&lt;=2018+50),FALSE)),SUMPRODUCT(--(TRIM('hospitalityq-nil'!C6:C1691)=TRIM('hospitalityq-nil'!C1691)),--(TRIM('hospitalityq-nil'!D6:D1691)=TRIM('hospitalityq-nil'!D1691)))&gt;1))</f>
        <v>0</v>
      </c>
      <c r="D1691">
        <f>NOT('hospitalityq-nil'!D1691="")*(OR(COUNTIF(reference!$C$144:$C$155,TRIM(LEFT('hospitalityq-nil'!D1691,FIND(":",'hospitalityq-nil'!D1691&amp;":")-1))&amp;":*")=0,SUMPRODUCT(--(TRIM('hospitalityq-nil'!C6:C1691)=TRIM('hospitalityq-nil'!C1691)),--(TRIM('hospitalityq-nil'!D6:D1691)=TRIM('hospitalityq-nil'!D1691)))&gt;1))</f>
        <v>0</v>
      </c>
    </row>
    <row r="1692" spans="1:4" x14ac:dyDescent="0.25">
      <c r="A1692">
        <f t="shared" si="26"/>
        <v>0</v>
      </c>
      <c r="C1692">
        <f>NOT('hospitalityq-nil'!C1692="")*(OR(NOT(IFERROR(AND(INT('hospitalityq-nil'!C1692)='hospitalityq-nil'!C1692,'hospitalityq-nil'!C1692&gt;=2018-50,'hospitalityq-nil'!C1692&lt;=2018+50),FALSE)),SUMPRODUCT(--(TRIM('hospitalityq-nil'!C6:C1692)=TRIM('hospitalityq-nil'!C1692)),--(TRIM('hospitalityq-nil'!D6:D1692)=TRIM('hospitalityq-nil'!D1692)))&gt;1))</f>
        <v>0</v>
      </c>
      <c r="D1692">
        <f>NOT('hospitalityq-nil'!D1692="")*(OR(COUNTIF(reference!$C$144:$C$155,TRIM(LEFT('hospitalityq-nil'!D1692,FIND(":",'hospitalityq-nil'!D1692&amp;":")-1))&amp;":*")=0,SUMPRODUCT(--(TRIM('hospitalityq-nil'!C6:C1692)=TRIM('hospitalityq-nil'!C1692)),--(TRIM('hospitalityq-nil'!D6:D1692)=TRIM('hospitalityq-nil'!D1692)))&gt;1))</f>
        <v>0</v>
      </c>
    </row>
    <row r="1693" spans="1:4" x14ac:dyDescent="0.25">
      <c r="A1693">
        <f t="shared" si="26"/>
        <v>0</v>
      </c>
      <c r="C1693">
        <f>NOT('hospitalityq-nil'!C1693="")*(OR(NOT(IFERROR(AND(INT('hospitalityq-nil'!C1693)='hospitalityq-nil'!C1693,'hospitalityq-nil'!C1693&gt;=2018-50,'hospitalityq-nil'!C1693&lt;=2018+50),FALSE)),SUMPRODUCT(--(TRIM('hospitalityq-nil'!C6:C1693)=TRIM('hospitalityq-nil'!C1693)),--(TRIM('hospitalityq-nil'!D6:D1693)=TRIM('hospitalityq-nil'!D1693)))&gt;1))</f>
        <v>0</v>
      </c>
      <c r="D1693">
        <f>NOT('hospitalityq-nil'!D1693="")*(OR(COUNTIF(reference!$C$144:$C$155,TRIM(LEFT('hospitalityq-nil'!D1693,FIND(":",'hospitalityq-nil'!D1693&amp;":")-1))&amp;":*")=0,SUMPRODUCT(--(TRIM('hospitalityq-nil'!C6:C1693)=TRIM('hospitalityq-nil'!C1693)),--(TRIM('hospitalityq-nil'!D6:D1693)=TRIM('hospitalityq-nil'!D1693)))&gt;1))</f>
        <v>0</v>
      </c>
    </row>
    <row r="1694" spans="1:4" x14ac:dyDescent="0.25">
      <c r="A1694">
        <f t="shared" si="26"/>
        <v>0</v>
      </c>
      <c r="C1694">
        <f>NOT('hospitalityq-nil'!C1694="")*(OR(NOT(IFERROR(AND(INT('hospitalityq-nil'!C1694)='hospitalityq-nil'!C1694,'hospitalityq-nil'!C1694&gt;=2018-50,'hospitalityq-nil'!C1694&lt;=2018+50),FALSE)),SUMPRODUCT(--(TRIM('hospitalityq-nil'!C6:C1694)=TRIM('hospitalityq-nil'!C1694)),--(TRIM('hospitalityq-nil'!D6:D1694)=TRIM('hospitalityq-nil'!D1694)))&gt;1))</f>
        <v>0</v>
      </c>
      <c r="D1694">
        <f>NOT('hospitalityq-nil'!D1694="")*(OR(COUNTIF(reference!$C$144:$C$155,TRIM(LEFT('hospitalityq-nil'!D1694,FIND(":",'hospitalityq-nil'!D1694&amp;":")-1))&amp;":*")=0,SUMPRODUCT(--(TRIM('hospitalityq-nil'!C6:C1694)=TRIM('hospitalityq-nil'!C1694)),--(TRIM('hospitalityq-nil'!D6:D1694)=TRIM('hospitalityq-nil'!D1694)))&gt;1))</f>
        <v>0</v>
      </c>
    </row>
    <row r="1695" spans="1:4" x14ac:dyDescent="0.25">
      <c r="A1695">
        <f t="shared" si="26"/>
        <v>0</v>
      </c>
      <c r="C1695">
        <f>NOT('hospitalityq-nil'!C1695="")*(OR(NOT(IFERROR(AND(INT('hospitalityq-nil'!C1695)='hospitalityq-nil'!C1695,'hospitalityq-nil'!C1695&gt;=2018-50,'hospitalityq-nil'!C1695&lt;=2018+50),FALSE)),SUMPRODUCT(--(TRIM('hospitalityq-nil'!C6:C1695)=TRIM('hospitalityq-nil'!C1695)),--(TRIM('hospitalityq-nil'!D6:D1695)=TRIM('hospitalityq-nil'!D1695)))&gt;1))</f>
        <v>0</v>
      </c>
      <c r="D1695">
        <f>NOT('hospitalityq-nil'!D1695="")*(OR(COUNTIF(reference!$C$144:$C$155,TRIM(LEFT('hospitalityq-nil'!D1695,FIND(":",'hospitalityq-nil'!D1695&amp;":")-1))&amp;":*")=0,SUMPRODUCT(--(TRIM('hospitalityq-nil'!C6:C1695)=TRIM('hospitalityq-nil'!C1695)),--(TRIM('hospitalityq-nil'!D6:D1695)=TRIM('hospitalityq-nil'!D1695)))&gt;1))</f>
        <v>0</v>
      </c>
    </row>
    <row r="1696" spans="1:4" x14ac:dyDescent="0.25">
      <c r="A1696">
        <f t="shared" si="26"/>
        <v>0</v>
      </c>
      <c r="C1696">
        <f>NOT('hospitalityq-nil'!C1696="")*(OR(NOT(IFERROR(AND(INT('hospitalityq-nil'!C1696)='hospitalityq-nil'!C1696,'hospitalityq-nil'!C1696&gt;=2018-50,'hospitalityq-nil'!C1696&lt;=2018+50),FALSE)),SUMPRODUCT(--(TRIM('hospitalityq-nil'!C6:C1696)=TRIM('hospitalityq-nil'!C1696)),--(TRIM('hospitalityq-nil'!D6:D1696)=TRIM('hospitalityq-nil'!D1696)))&gt;1))</f>
        <v>0</v>
      </c>
      <c r="D1696">
        <f>NOT('hospitalityq-nil'!D1696="")*(OR(COUNTIF(reference!$C$144:$C$155,TRIM(LEFT('hospitalityq-nil'!D1696,FIND(":",'hospitalityq-nil'!D1696&amp;":")-1))&amp;":*")=0,SUMPRODUCT(--(TRIM('hospitalityq-nil'!C6:C1696)=TRIM('hospitalityq-nil'!C1696)),--(TRIM('hospitalityq-nil'!D6:D1696)=TRIM('hospitalityq-nil'!D1696)))&gt;1))</f>
        <v>0</v>
      </c>
    </row>
    <row r="1697" spans="1:4" x14ac:dyDescent="0.25">
      <c r="A1697">
        <f t="shared" si="26"/>
        <v>0</v>
      </c>
      <c r="C1697">
        <f>NOT('hospitalityq-nil'!C1697="")*(OR(NOT(IFERROR(AND(INT('hospitalityq-nil'!C1697)='hospitalityq-nil'!C1697,'hospitalityq-nil'!C1697&gt;=2018-50,'hospitalityq-nil'!C1697&lt;=2018+50),FALSE)),SUMPRODUCT(--(TRIM('hospitalityq-nil'!C6:C1697)=TRIM('hospitalityq-nil'!C1697)),--(TRIM('hospitalityq-nil'!D6:D1697)=TRIM('hospitalityq-nil'!D1697)))&gt;1))</f>
        <v>0</v>
      </c>
      <c r="D1697">
        <f>NOT('hospitalityq-nil'!D1697="")*(OR(COUNTIF(reference!$C$144:$C$155,TRIM(LEFT('hospitalityq-nil'!D1697,FIND(":",'hospitalityq-nil'!D1697&amp;":")-1))&amp;":*")=0,SUMPRODUCT(--(TRIM('hospitalityq-nil'!C6:C1697)=TRIM('hospitalityq-nil'!C1697)),--(TRIM('hospitalityq-nil'!D6:D1697)=TRIM('hospitalityq-nil'!D1697)))&gt;1))</f>
        <v>0</v>
      </c>
    </row>
    <row r="1698" spans="1:4" x14ac:dyDescent="0.25">
      <c r="A1698">
        <f t="shared" si="26"/>
        <v>0</v>
      </c>
      <c r="C1698">
        <f>NOT('hospitalityq-nil'!C1698="")*(OR(NOT(IFERROR(AND(INT('hospitalityq-nil'!C1698)='hospitalityq-nil'!C1698,'hospitalityq-nil'!C1698&gt;=2018-50,'hospitalityq-nil'!C1698&lt;=2018+50),FALSE)),SUMPRODUCT(--(TRIM('hospitalityq-nil'!C6:C1698)=TRIM('hospitalityq-nil'!C1698)),--(TRIM('hospitalityq-nil'!D6:D1698)=TRIM('hospitalityq-nil'!D1698)))&gt;1))</f>
        <v>0</v>
      </c>
      <c r="D1698">
        <f>NOT('hospitalityq-nil'!D1698="")*(OR(COUNTIF(reference!$C$144:$C$155,TRIM(LEFT('hospitalityq-nil'!D1698,FIND(":",'hospitalityq-nil'!D1698&amp;":")-1))&amp;":*")=0,SUMPRODUCT(--(TRIM('hospitalityq-nil'!C6:C1698)=TRIM('hospitalityq-nil'!C1698)),--(TRIM('hospitalityq-nil'!D6:D1698)=TRIM('hospitalityq-nil'!D1698)))&gt;1))</f>
        <v>0</v>
      </c>
    </row>
    <row r="1699" spans="1:4" x14ac:dyDescent="0.25">
      <c r="A1699">
        <f t="shared" si="26"/>
        <v>0</v>
      </c>
      <c r="C1699">
        <f>NOT('hospitalityq-nil'!C1699="")*(OR(NOT(IFERROR(AND(INT('hospitalityq-nil'!C1699)='hospitalityq-nil'!C1699,'hospitalityq-nil'!C1699&gt;=2018-50,'hospitalityq-nil'!C1699&lt;=2018+50),FALSE)),SUMPRODUCT(--(TRIM('hospitalityq-nil'!C6:C1699)=TRIM('hospitalityq-nil'!C1699)),--(TRIM('hospitalityq-nil'!D6:D1699)=TRIM('hospitalityq-nil'!D1699)))&gt;1))</f>
        <v>0</v>
      </c>
      <c r="D1699">
        <f>NOT('hospitalityq-nil'!D1699="")*(OR(COUNTIF(reference!$C$144:$C$155,TRIM(LEFT('hospitalityq-nil'!D1699,FIND(":",'hospitalityq-nil'!D1699&amp;":")-1))&amp;":*")=0,SUMPRODUCT(--(TRIM('hospitalityq-nil'!C6:C1699)=TRIM('hospitalityq-nil'!C1699)),--(TRIM('hospitalityq-nil'!D6:D1699)=TRIM('hospitalityq-nil'!D1699)))&gt;1))</f>
        <v>0</v>
      </c>
    </row>
    <row r="1700" spans="1:4" x14ac:dyDescent="0.25">
      <c r="A1700">
        <f t="shared" si="26"/>
        <v>0</v>
      </c>
      <c r="C1700">
        <f>NOT('hospitalityq-nil'!C1700="")*(OR(NOT(IFERROR(AND(INT('hospitalityq-nil'!C1700)='hospitalityq-nil'!C1700,'hospitalityq-nil'!C1700&gt;=2018-50,'hospitalityq-nil'!C1700&lt;=2018+50),FALSE)),SUMPRODUCT(--(TRIM('hospitalityq-nil'!C6:C1700)=TRIM('hospitalityq-nil'!C1700)),--(TRIM('hospitalityq-nil'!D6:D1700)=TRIM('hospitalityq-nil'!D1700)))&gt;1))</f>
        <v>0</v>
      </c>
      <c r="D1700">
        <f>NOT('hospitalityq-nil'!D1700="")*(OR(COUNTIF(reference!$C$144:$C$155,TRIM(LEFT('hospitalityq-nil'!D1700,FIND(":",'hospitalityq-nil'!D1700&amp;":")-1))&amp;":*")=0,SUMPRODUCT(--(TRIM('hospitalityq-nil'!C6:C1700)=TRIM('hospitalityq-nil'!C1700)),--(TRIM('hospitalityq-nil'!D6:D1700)=TRIM('hospitalityq-nil'!D1700)))&gt;1))</f>
        <v>0</v>
      </c>
    </row>
    <row r="1701" spans="1:4" x14ac:dyDescent="0.25">
      <c r="A1701">
        <f t="shared" si="26"/>
        <v>0</v>
      </c>
      <c r="C1701">
        <f>NOT('hospitalityq-nil'!C1701="")*(OR(NOT(IFERROR(AND(INT('hospitalityq-nil'!C1701)='hospitalityq-nil'!C1701,'hospitalityq-nil'!C1701&gt;=2018-50,'hospitalityq-nil'!C1701&lt;=2018+50),FALSE)),SUMPRODUCT(--(TRIM('hospitalityq-nil'!C6:C1701)=TRIM('hospitalityq-nil'!C1701)),--(TRIM('hospitalityq-nil'!D6:D1701)=TRIM('hospitalityq-nil'!D1701)))&gt;1))</f>
        <v>0</v>
      </c>
      <c r="D1701">
        <f>NOT('hospitalityq-nil'!D1701="")*(OR(COUNTIF(reference!$C$144:$C$155,TRIM(LEFT('hospitalityq-nil'!D1701,FIND(":",'hospitalityq-nil'!D1701&amp;":")-1))&amp;":*")=0,SUMPRODUCT(--(TRIM('hospitalityq-nil'!C6:C1701)=TRIM('hospitalityq-nil'!C1701)),--(TRIM('hospitalityq-nil'!D6:D1701)=TRIM('hospitalityq-nil'!D1701)))&gt;1))</f>
        <v>0</v>
      </c>
    </row>
    <row r="1702" spans="1:4" x14ac:dyDescent="0.25">
      <c r="A1702">
        <f t="shared" si="26"/>
        <v>0</v>
      </c>
      <c r="C1702">
        <f>NOT('hospitalityq-nil'!C1702="")*(OR(NOT(IFERROR(AND(INT('hospitalityq-nil'!C1702)='hospitalityq-nil'!C1702,'hospitalityq-nil'!C1702&gt;=2018-50,'hospitalityq-nil'!C1702&lt;=2018+50),FALSE)),SUMPRODUCT(--(TRIM('hospitalityq-nil'!C6:C1702)=TRIM('hospitalityq-nil'!C1702)),--(TRIM('hospitalityq-nil'!D6:D1702)=TRIM('hospitalityq-nil'!D1702)))&gt;1))</f>
        <v>0</v>
      </c>
      <c r="D1702">
        <f>NOT('hospitalityq-nil'!D1702="")*(OR(COUNTIF(reference!$C$144:$C$155,TRIM(LEFT('hospitalityq-nil'!D1702,FIND(":",'hospitalityq-nil'!D1702&amp;":")-1))&amp;":*")=0,SUMPRODUCT(--(TRIM('hospitalityq-nil'!C6:C1702)=TRIM('hospitalityq-nil'!C1702)),--(TRIM('hospitalityq-nil'!D6:D1702)=TRIM('hospitalityq-nil'!D1702)))&gt;1))</f>
        <v>0</v>
      </c>
    </row>
    <row r="1703" spans="1:4" x14ac:dyDescent="0.25">
      <c r="A1703">
        <f t="shared" si="26"/>
        <v>0</v>
      </c>
      <c r="C1703">
        <f>NOT('hospitalityq-nil'!C1703="")*(OR(NOT(IFERROR(AND(INT('hospitalityq-nil'!C1703)='hospitalityq-nil'!C1703,'hospitalityq-nil'!C1703&gt;=2018-50,'hospitalityq-nil'!C1703&lt;=2018+50),FALSE)),SUMPRODUCT(--(TRIM('hospitalityq-nil'!C6:C1703)=TRIM('hospitalityq-nil'!C1703)),--(TRIM('hospitalityq-nil'!D6:D1703)=TRIM('hospitalityq-nil'!D1703)))&gt;1))</f>
        <v>0</v>
      </c>
      <c r="D1703">
        <f>NOT('hospitalityq-nil'!D1703="")*(OR(COUNTIF(reference!$C$144:$C$155,TRIM(LEFT('hospitalityq-nil'!D1703,FIND(":",'hospitalityq-nil'!D1703&amp;":")-1))&amp;":*")=0,SUMPRODUCT(--(TRIM('hospitalityq-nil'!C6:C1703)=TRIM('hospitalityq-nil'!C1703)),--(TRIM('hospitalityq-nil'!D6:D1703)=TRIM('hospitalityq-nil'!D1703)))&gt;1))</f>
        <v>0</v>
      </c>
    </row>
    <row r="1704" spans="1:4" x14ac:dyDescent="0.25">
      <c r="A1704">
        <f t="shared" si="26"/>
        <v>0</v>
      </c>
      <c r="C1704">
        <f>NOT('hospitalityq-nil'!C1704="")*(OR(NOT(IFERROR(AND(INT('hospitalityq-nil'!C1704)='hospitalityq-nil'!C1704,'hospitalityq-nil'!C1704&gt;=2018-50,'hospitalityq-nil'!C1704&lt;=2018+50),FALSE)),SUMPRODUCT(--(TRIM('hospitalityq-nil'!C6:C1704)=TRIM('hospitalityq-nil'!C1704)),--(TRIM('hospitalityq-nil'!D6:D1704)=TRIM('hospitalityq-nil'!D1704)))&gt;1))</f>
        <v>0</v>
      </c>
      <c r="D1704">
        <f>NOT('hospitalityq-nil'!D1704="")*(OR(COUNTIF(reference!$C$144:$C$155,TRIM(LEFT('hospitalityq-nil'!D1704,FIND(":",'hospitalityq-nil'!D1704&amp;":")-1))&amp;":*")=0,SUMPRODUCT(--(TRIM('hospitalityq-nil'!C6:C1704)=TRIM('hospitalityq-nil'!C1704)),--(TRIM('hospitalityq-nil'!D6:D1704)=TRIM('hospitalityq-nil'!D1704)))&gt;1))</f>
        <v>0</v>
      </c>
    </row>
    <row r="1705" spans="1:4" x14ac:dyDescent="0.25">
      <c r="A1705">
        <f t="shared" si="26"/>
        <v>0</v>
      </c>
      <c r="C1705">
        <f>NOT('hospitalityq-nil'!C1705="")*(OR(NOT(IFERROR(AND(INT('hospitalityq-nil'!C1705)='hospitalityq-nil'!C1705,'hospitalityq-nil'!C1705&gt;=2018-50,'hospitalityq-nil'!C1705&lt;=2018+50),FALSE)),SUMPRODUCT(--(TRIM('hospitalityq-nil'!C6:C1705)=TRIM('hospitalityq-nil'!C1705)),--(TRIM('hospitalityq-nil'!D6:D1705)=TRIM('hospitalityq-nil'!D1705)))&gt;1))</f>
        <v>0</v>
      </c>
      <c r="D1705">
        <f>NOT('hospitalityq-nil'!D1705="")*(OR(COUNTIF(reference!$C$144:$C$155,TRIM(LEFT('hospitalityq-nil'!D1705,FIND(":",'hospitalityq-nil'!D1705&amp;":")-1))&amp;":*")=0,SUMPRODUCT(--(TRIM('hospitalityq-nil'!C6:C1705)=TRIM('hospitalityq-nil'!C1705)),--(TRIM('hospitalityq-nil'!D6:D1705)=TRIM('hospitalityq-nil'!D1705)))&gt;1))</f>
        <v>0</v>
      </c>
    </row>
    <row r="1706" spans="1:4" x14ac:dyDescent="0.25">
      <c r="A1706">
        <f t="shared" si="26"/>
        <v>0</v>
      </c>
      <c r="C1706">
        <f>NOT('hospitalityq-nil'!C1706="")*(OR(NOT(IFERROR(AND(INT('hospitalityq-nil'!C1706)='hospitalityq-nil'!C1706,'hospitalityq-nil'!C1706&gt;=2018-50,'hospitalityq-nil'!C1706&lt;=2018+50),FALSE)),SUMPRODUCT(--(TRIM('hospitalityq-nil'!C6:C1706)=TRIM('hospitalityq-nil'!C1706)),--(TRIM('hospitalityq-nil'!D6:D1706)=TRIM('hospitalityq-nil'!D1706)))&gt;1))</f>
        <v>0</v>
      </c>
      <c r="D1706">
        <f>NOT('hospitalityq-nil'!D1706="")*(OR(COUNTIF(reference!$C$144:$C$155,TRIM(LEFT('hospitalityq-nil'!D1706,FIND(":",'hospitalityq-nil'!D1706&amp;":")-1))&amp;":*")=0,SUMPRODUCT(--(TRIM('hospitalityq-nil'!C6:C1706)=TRIM('hospitalityq-nil'!C1706)),--(TRIM('hospitalityq-nil'!D6:D1706)=TRIM('hospitalityq-nil'!D1706)))&gt;1))</f>
        <v>0</v>
      </c>
    </row>
    <row r="1707" spans="1:4" x14ac:dyDescent="0.25">
      <c r="A1707">
        <f t="shared" si="26"/>
        <v>0</v>
      </c>
      <c r="C1707">
        <f>NOT('hospitalityq-nil'!C1707="")*(OR(NOT(IFERROR(AND(INT('hospitalityq-nil'!C1707)='hospitalityq-nil'!C1707,'hospitalityq-nil'!C1707&gt;=2018-50,'hospitalityq-nil'!C1707&lt;=2018+50),FALSE)),SUMPRODUCT(--(TRIM('hospitalityq-nil'!C6:C1707)=TRIM('hospitalityq-nil'!C1707)),--(TRIM('hospitalityq-nil'!D6:D1707)=TRIM('hospitalityq-nil'!D1707)))&gt;1))</f>
        <v>0</v>
      </c>
      <c r="D1707">
        <f>NOT('hospitalityq-nil'!D1707="")*(OR(COUNTIF(reference!$C$144:$C$155,TRIM(LEFT('hospitalityq-nil'!D1707,FIND(":",'hospitalityq-nil'!D1707&amp;":")-1))&amp;":*")=0,SUMPRODUCT(--(TRIM('hospitalityq-nil'!C6:C1707)=TRIM('hospitalityq-nil'!C1707)),--(TRIM('hospitalityq-nil'!D6:D1707)=TRIM('hospitalityq-nil'!D1707)))&gt;1))</f>
        <v>0</v>
      </c>
    </row>
    <row r="1708" spans="1:4" x14ac:dyDescent="0.25">
      <c r="A1708">
        <f t="shared" si="26"/>
        <v>0</v>
      </c>
      <c r="C1708">
        <f>NOT('hospitalityq-nil'!C1708="")*(OR(NOT(IFERROR(AND(INT('hospitalityq-nil'!C1708)='hospitalityq-nil'!C1708,'hospitalityq-nil'!C1708&gt;=2018-50,'hospitalityq-nil'!C1708&lt;=2018+50),FALSE)),SUMPRODUCT(--(TRIM('hospitalityq-nil'!C6:C1708)=TRIM('hospitalityq-nil'!C1708)),--(TRIM('hospitalityq-nil'!D6:D1708)=TRIM('hospitalityq-nil'!D1708)))&gt;1))</f>
        <v>0</v>
      </c>
      <c r="D1708">
        <f>NOT('hospitalityq-nil'!D1708="")*(OR(COUNTIF(reference!$C$144:$C$155,TRIM(LEFT('hospitalityq-nil'!D1708,FIND(":",'hospitalityq-nil'!D1708&amp;":")-1))&amp;":*")=0,SUMPRODUCT(--(TRIM('hospitalityq-nil'!C6:C1708)=TRIM('hospitalityq-nil'!C1708)),--(TRIM('hospitalityq-nil'!D6:D1708)=TRIM('hospitalityq-nil'!D1708)))&gt;1))</f>
        <v>0</v>
      </c>
    </row>
    <row r="1709" spans="1:4" x14ac:dyDescent="0.25">
      <c r="A1709">
        <f t="shared" si="26"/>
        <v>0</v>
      </c>
      <c r="C1709">
        <f>NOT('hospitalityq-nil'!C1709="")*(OR(NOT(IFERROR(AND(INT('hospitalityq-nil'!C1709)='hospitalityq-nil'!C1709,'hospitalityq-nil'!C1709&gt;=2018-50,'hospitalityq-nil'!C1709&lt;=2018+50),FALSE)),SUMPRODUCT(--(TRIM('hospitalityq-nil'!C6:C1709)=TRIM('hospitalityq-nil'!C1709)),--(TRIM('hospitalityq-nil'!D6:D1709)=TRIM('hospitalityq-nil'!D1709)))&gt;1))</f>
        <v>0</v>
      </c>
      <c r="D1709">
        <f>NOT('hospitalityq-nil'!D1709="")*(OR(COUNTIF(reference!$C$144:$C$155,TRIM(LEFT('hospitalityq-nil'!D1709,FIND(":",'hospitalityq-nil'!D1709&amp;":")-1))&amp;":*")=0,SUMPRODUCT(--(TRIM('hospitalityq-nil'!C6:C1709)=TRIM('hospitalityq-nil'!C1709)),--(TRIM('hospitalityq-nil'!D6:D1709)=TRIM('hospitalityq-nil'!D1709)))&gt;1))</f>
        <v>0</v>
      </c>
    </row>
    <row r="1710" spans="1:4" x14ac:dyDescent="0.25">
      <c r="A1710">
        <f t="shared" si="26"/>
        <v>0</v>
      </c>
      <c r="C1710">
        <f>NOT('hospitalityq-nil'!C1710="")*(OR(NOT(IFERROR(AND(INT('hospitalityq-nil'!C1710)='hospitalityq-nil'!C1710,'hospitalityq-nil'!C1710&gt;=2018-50,'hospitalityq-nil'!C1710&lt;=2018+50),FALSE)),SUMPRODUCT(--(TRIM('hospitalityq-nil'!C6:C1710)=TRIM('hospitalityq-nil'!C1710)),--(TRIM('hospitalityq-nil'!D6:D1710)=TRIM('hospitalityq-nil'!D1710)))&gt;1))</f>
        <v>0</v>
      </c>
      <c r="D1710">
        <f>NOT('hospitalityq-nil'!D1710="")*(OR(COUNTIF(reference!$C$144:$C$155,TRIM(LEFT('hospitalityq-nil'!D1710,FIND(":",'hospitalityq-nil'!D1710&amp;":")-1))&amp;":*")=0,SUMPRODUCT(--(TRIM('hospitalityq-nil'!C6:C1710)=TRIM('hospitalityq-nil'!C1710)),--(TRIM('hospitalityq-nil'!D6:D1710)=TRIM('hospitalityq-nil'!D1710)))&gt;1))</f>
        <v>0</v>
      </c>
    </row>
    <row r="1711" spans="1:4" x14ac:dyDescent="0.25">
      <c r="A1711">
        <f t="shared" si="26"/>
        <v>0</v>
      </c>
      <c r="C1711">
        <f>NOT('hospitalityq-nil'!C1711="")*(OR(NOT(IFERROR(AND(INT('hospitalityq-nil'!C1711)='hospitalityq-nil'!C1711,'hospitalityq-nil'!C1711&gt;=2018-50,'hospitalityq-nil'!C1711&lt;=2018+50),FALSE)),SUMPRODUCT(--(TRIM('hospitalityq-nil'!C6:C1711)=TRIM('hospitalityq-nil'!C1711)),--(TRIM('hospitalityq-nil'!D6:D1711)=TRIM('hospitalityq-nil'!D1711)))&gt;1))</f>
        <v>0</v>
      </c>
      <c r="D1711">
        <f>NOT('hospitalityq-nil'!D1711="")*(OR(COUNTIF(reference!$C$144:$C$155,TRIM(LEFT('hospitalityq-nil'!D1711,FIND(":",'hospitalityq-nil'!D1711&amp;":")-1))&amp;":*")=0,SUMPRODUCT(--(TRIM('hospitalityq-nil'!C6:C1711)=TRIM('hospitalityq-nil'!C1711)),--(TRIM('hospitalityq-nil'!D6:D1711)=TRIM('hospitalityq-nil'!D1711)))&gt;1))</f>
        <v>0</v>
      </c>
    </row>
    <row r="1712" spans="1:4" x14ac:dyDescent="0.25">
      <c r="A1712">
        <f t="shared" si="26"/>
        <v>0</v>
      </c>
      <c r="C1712">
        <f>NOT('hospitalityq-nil'!C1712="")*(OR(NOT(IFERROR(AND(INT('hospitalityq-nil'!C1712)='hospitalityq-nil'!C1712,'hospitalityq-nil'!C1712&gt;=2018-50,'hospitalityq-nil'!C1712&lt;=2018+50),FALSE)),SUMPRODUCT(--(TRIM('hospitalityq-nil'!C6:C1712)=TRIM('hospitalityq-nil'!C1712)),--(TRIM('hospitalityq-nil'!D6:D1712)=TRIM('hospitalityq-nil'!D1712)))&gt;1))</f>
        <v>0</v>
      </c>
      <c r="D1712">
        <f>NOT('hospitalityq-nil'!D1712="")*(OR(COUNTIF(reference!$C$144:$C$155,TRIM(LEFT('hospitalityq-nil'!D1712,FIND(":",'hospitalityq-nil'!D1712&amp;":")-1))&amp;":*")=0,SUMPRODUCT(--(TRIM('hospitalityq-nil'!C6:C1712)=TRIM('hospitalityq-nil'!C1712)),--(TRIM('hospitalityq-nil'!D6:D1712)=TRIM('hospitalityq-nil'!D1712)))&gt;1))</f>
        <v>0</v>
      </c>
    </row>
    <row r="1713" spans="1:4" x14ac:dyDescent="0.25">
      <c r="A1713">
        <f t="shared" si="26"/>
        <v>0</v>
      </c>
      <c r="C1713">
        <f>NOT('hospitalityq-nil'!C1713="")*(OR(NOT(IFERROR(AND(INT('hospitalityq-nil'!C1713)='hospitalityq-nil'!C1713,'hospitalityq-nil'!C1713&gt;=2018-50,'hospitalityq-nil'!C1713&lt;=2018+50),FALSE)),SUMPRODUCT(--(TRIM('hospitalityq-nil'!C6:C1713)=TRIM('hospitalityq-nil'!C1713)),--(TRIM('hospitalityq-nil'!D6:D1713)=TRIM('hospitalityq-nil'!D1713)))&gt;1))</f>
        <v>0</v>
      </c>
      <c r="D1713">
        <f>NOT('hospitalityq-nil'!D1713="")*(OR(COUNTIF(reference!$C$144:$C$155,TRIM(LEFT('hospitalityq-nil'!D1713,FIND(":",'hospitalityq-nil'!D1713&amp;":")-1))&amp;":*")=0,SUMPRODUCT(--(TRIM('hospitalityq-nil'!C6:C1713)=TRIM('hospitalityq-nil'!C1713)),--(TRIM('hospitalityq-nil'!D6:D1713)=TRIM('hospitalityq-nil'!D1713)))&gt;1))</f>
        <v>0</v>
      </c>
    </row>
    <row r="1714" spans="1:4" x14ac:dyDescent="0.25">
      <c r="A1714">
        <f t="shared" si="26"/>
        <v>0</v>
      </c>
      <c r="C1714">
        <f>NOT('hospitalityq-nil'!C1714="")*(OR(NOT(IFERROR(AND(INT('hospitalityq-nil'!C1714)='hospitalityq-nil'!C1714,'hospitalityq-nil'!C1714&gt;=2018-50,'hospitalityq-nil'!C1714&lt;=2018+50),FALSE)),SUMPRODUCT(--(TRIM('hospitalityq-nil'!C6:C1714)=TRIM('hospitalityq-nil'!C1714)),--(TRIM('hospitalityq-nil'!D6:D1714)=TRIM('hospitalityq-nil'!D1714)))&gt;1))</f>
        <v>0</v>
      </c>
      <c r="D1714">
        <f>NOT('hospitalityq-nil'!D1714="")*(OR(COUNTIF(reference!$C$144:$C$155,TRIM(LEFT('hospitalityq-nil'!D1714,FIND(":",'hospitalityq-nil'!D1714&amp;":")-1))&amp;":*")=0,SUMPRODUCT(--(TRIM('hospitalityq-nil'!C6:C1714)=TRIM('hospitalityq-nil'!C1714)),--(TRIM('hospitalityq-nil'!D6:D1714)=TRIM('hospitalityq-nil'!D1714)))&gt;1))</f>
        <v>0</v>
      </c>
    </row>
    <row r="1715" spans="1:4" x14ac:dyDescent="0.25">
      <c r="A1715">
        <f t="shared" si="26"/>
        <v>0</v>
      </c>
      <c r="C1715">
        <f>NOT('hospitalityq-nil'!C1715="")*(OR(NOT(IFERROR(AND(INT('hospitalityq-nil'!C1715)='hospitalityq-nil'!C1715,'hospitalityq-nil'!C1715&gt;=2018-50,'hospitalityq-nil'!C1715&lt;=2018+50),FALSE)),SUMPRODUCT(--(TRIM('hospitalityq-nil'!C6:C1715)=TRIM('hospitalityq-nil'!C1715)),--(TRIM('hospitalityq-nil'!D6:D1715)=TRIM('hospitalityq-nil'!D1715)))&gt;1))</f>
        <v>0</v>
      </c>
      <c r="D1715">
        <f>NOT('hospitalityq-nil'!D1715="")*(OR(COUNTIF(reference!$C$144:$C$155,TRIM(LEFT('hospitalityq-nil'!D1715,FIND(":",'hospitalityq-nil'!D1715&amp;":")-1))&amp;":*")=0,SUMPRODUCT(--(TRIM('hospitalityq-nil'!C6:C1715)=TRIM('hospitalityq-nil'!C1715)),--(TRIM('hospitalityq-nil'!D6:D1715)=TRIM('hospitalityq-nil'!D1715)))&gt;1))</f>
        <v>0</v>
      </c>
    </row>
    <row r="1716" spans="1:4" x14ac:dyDescent="0.25">
      <c r="A1716">
        <f t="shared" si="26"/>
        <v>0</v>
      </c>
      <c r="C1716">
        <f>NOT('hospitalityq-nil'!C1716="")*(OR(NOT(IFERROR(AND(INT('hospitalityq-nil'!C1716)='hospitalityq-nil'!C1716,'hospitalityq-nil'!C1716&gt;=2018-50,'hospitalityq-nil'!C1716&lt;=2018+50),FALSE)),SUMPRODUCT(--(TRIM('hospitalityq-nil'!C6:C1716)=TRIM('hospitalityq-nil'!C1716)),--(TRIM('hospitalityq-nil'!D6:D1716)=TRIM('hospitalityq-nil'!D1716)))&gt;1))</f>
        <v>0</v>
      </c>
      <c r="D1716">
        <f>NOT('hospitalityq-nil'!D1716="")*(OR(COUNTIF(reference!$C$144:$C$155,TRIM(LEFT('hospitalityq-nil'!D1716,FIND(":",'hospitalityq-nil'!D1716&amp;":")-1))&amp;":*")=0,SUMPRODUCT(--(TRIM('hospitalityq-nil'!C6:C1716)=TRIM('hospitalityq-nil'!C1716)),--(TRIM('hospitalityq-nil'!D6:D1716)=TRIM('hospitalityq-nil'!D1716)))&gt;1))</f>
        <v>0</v>
      </c>
    </row>
    <row r="1717" spans="1:4" x14ac:dyDescent="0.25">
      <c r="A1717">
        <f t="shared" si="26"/>
        <v>0</v>
      </c>
      <c r="C1717">
        <f>NOT('hospitalityq-nil'!C1717="")*(OR(NOT(IFERROR(AND(INT('hospitalityq-nil'!C1717)='hospitalityq-nil'!C1717,'hospitalityq-nil'!C1717&gt;=2018-50,'hospitalityq-nil'!C1717&lt;=2018+50),FALSE)),SUMPRODUCT(--(TRIM('hospitalityq-nil'!C6:C1717)=TRIM('hospitalityq-nil'!C1717)),--(TRIM('hospitalityq-nil'!D6:D1717)=TRIM('hospitalityq-nil'!D1717)))&gt;1))</f>
        <v>0</v>
      </c>
      <c r="D1717">
        <f>NOT('hospitalityq-nil'!D1717="")*(OR(COUNTIF(reference!$C$144:$C$155,TRIM(LEFT('hospitalityq-nil'!D1717,FIND(":",'hospitalityq-nil'!D1717&amp;":")-1))&amp;":*")=0,SUMPRODUCT(--(TRIM('hospitalityq-nil'!C6:C1717)=TRIM('hospitalityq-nil'!C1717)),--(TRIM('hospitalityq-nil'!D6:D1717)=TRIM('hospitalityq-nil'!D1717)))&gt;1))</f>
        <v>0</v>
      </c>
    </row>
    <row r="1718" spans="1:4" x14ac:dyDescent="0.25">
      <c r="A1718">
        <f t="shared" si="26"/>
        <v>0</v>
      </c>
      <c r="C1718">
        <f>NOT('hospitalityq-nil'!C1718="")*(OR(NOT(IFERROR(AND(INT('hospitalityq-nil'!C1718)='hospitalityq-nil'!C1718,'hospitalityq-nil'!C1718&gt;=2018-50,'hospitalityq-nil'!C1718&lt;=2018+50),FALSE)),SUMPRODUCT(--(TRIM('hospitalityq-nil'!C6:C1718)=TRIM('hospitalityq-nil'!C1718)),--(TRIM('hospitalityq-nil'!D6:D1718)=TRIM('hospitalityq-nil'!D1718)))&gt;1))</f>
        <v>0</v>
      </c>
      <c r="D1718">
        <f>NOT('hospitalityq-nil'!D1718="")*(OR(COUNTIF(reference!$C$144:$C$155,TRIM(LEFT('hospitalityq-nil'!D1718,FIND(":",'hospitalityq-nil'!D1718&amp;":")-1))&amp;":*")=0,SUMPRODUCT(--(TRIM('hospitalityq-nil'!C6:C1718)=TRIM('hospitalityq-nil'!C1718)),--(TRIM('hospitalityq-nil'!D6:D1718)=TRIM('hospitalityq-nil'!D1718)))&gt;1))</f>
        <v>0</v>
      </c>
    </row>
    <row r="1719" spans="1:4" x14ac:dyDescent="0.25">
      <c r="A1719">
        <f t="shared" si="26"/>
        <v>0</v>
      </c>
      <c r="C1719">
        <f>NOT('hospitalityq-nil'!C1719="")*(OR(NOT(IFERROR(AND(INT('hospitalityq-nil'!C1719)='hospitalityq-nil'!C1719,'hospitalityq-nil'!C1719&gt;=2018-50,'hospitalityq-nil'!C1719&lt;=2018+50),FALSE)),SUMPRODUCT(--(TRIM('hospitalityq-nil'!C6:C1719)=TRIM('hospitalityq-nil'!C1719)),--(TRIM('hospitalityq-nil'!D6:D1719)=TRIM('hospitalityq-nil'!D1719)))&gt;1))</f>
        <v>0</v>
      </c>
      <c r="D1719">
        <f>NOT('hospitalityq-nil'!D1719="")*(OR(COUNTIF(reference!$C$144:$C$155,TRIM(LEFT('hospitalityq-nil'!D1719,FIND(":",'hospitalityq-nil'!D1719&amp;":")-1))&amp;":*")=0,SUMPRODUCT(--(TRIM('hospitalityq-nil'!C6:C1719)=TRIM('hospitalityq-nil'!C1719)),--(TRIM('hospitalityq-nil'!D6:D1719)=TRIM('hospitalityq-nil'!D1719)))&gt;1))</f>
        <v>0</v>
      </c>
    </row>
    <row r="1720" spans="1:4" x14ac:dyDescent="0.25">
      <c r="A1720">
        <f t="shared" si="26"/>
        <v>0</v>
      </c>
      <c r="C1720">
        <f>NOT('hospitalityq-nil'!C1720="")*(OR(NOT(IFERROR(AND(INT('hospitalityq-nil'!C1720)='hospitalityq-nil'!C1720,'hospitalityq-nil'!C1720&gt;=2018-50,'hospitalityq-nil'!C1720&lt;=2018+50),FALSE)),SUMPRODUCT(--(TRIM('hospitalityq-nil'!C6:C1720)=TRIM('hospitalityq-nil'!C1720)),--(TRIM('hospitalityq-nil'!D6:D1720)=TRIM('hospitalityq-nil'!D1720)))&gt;1))</f>
        <v>0</v>
      </c>
      <c r="D1720">
        <f>NOT('hospitalityq-nil'!D1720="")*(OR(COUNTIF(reference!$C$144:$C$155,TRIM(LEFT('hospitalityq-nil'!D1720,FIND(":",'hospitalityq-nil'!D1720&amp;":")-1))&amp;":*")=0,SUMPRODUCT(--(TRIM('hospitalityq-nil'!C6:C1720)=TRIM('hospitalityq-nil'!C1720)),--(TRIM('hospitalityq-nil'!D6:D1720)=TRIM('hospitalityq-nil'!D1720)))&gt;1))</f>
        <v>0</v>
      </c>
    </row>
    <row r="1721" spans="1:4" x14ac:dyDescent="0.25">
      <c r="A1721">
        <f t="shared" si="26"/>
        <v>0</v>
      </c>
      <c r="C1721">
        <f>NOT('hospitalityq-nil'!C1721="")*(OR(NOT(IFERROR(AND(INT('hospitalityq-nil'!C1721)='hospitalityq-nil'!C1721,'hospitalityq-nil'!C1721&gt;=2018-50,'hospitalityq-nil'!C1721&lt;=2018+50),FALSE)),SUMPRODUCT(--(TRIM('hospitalityq-nil'!C6:C1721)=TRIM('hospitalityq-nil'!C1721)),--(TRIM('hospitalityq-nil'!D6:D1721)=TRIM('hospitalityq-nil'!D1721)))&gt;1))</f>
        <v>0</v>
      </c>
      <c r="D1721">
        <f>NOT('hospitalityq-nil'!D1721="")*(OR(COUNTIF(reference!$C$144:$C$155,TRIM(LEFT('hospitalityq-nil'!D1721,FIND(":",'hospitalityq-nil'!D1721&amp;":")-1))&amp;":*")=0,SUMPRODUCT(--(TRIM('hospitalityq-nil'!C6:C1721)=TRIM('hospitalityq-nil'!C1721)),--(TRIM('hospitalityq-nil'!D6:D1721)=TRIM('hospitalityq-nil'!D1721)))&gt;1))</f>
        <v>0</v>
      </c>
    </row>
    <row r="1722" spans="1:4" x14ac:dyDescent="0.25">
      <c r="A1722">
        <f t="shared" si="26"/>
        <v>0</v>
      </c>
      <c r="C1722">
        <f>NOT('hospitalityq-nil'!C1722="")*(OR(NOT(IFERROR(AND(INT('hospitalityq-nil'!C1722)='hospitalityq-nil'!C1722,'hospitalityq-nil'!C1722&gt;=2018-50,'hospitalityq-nil'!C1722&lt;=2018+50),FALSE)),SUMPRODUCT(--(TRIM('hospitalityq-nil'!C6:C1722)=TRIM('hospitalityq-nil'!C1722)),--(TRIM('hospitalityq-nil'!D6:D1722)=TRIM('hospitalityq-nil'!D1722)))&gt;1))</f>
        <v>0</v>
      </c>
      <c r="D1722">
        <f>NOT('hospitalityq-nil'!D1722="")*(OR(COUNTIF(reference!$C$144:$C$155,TRIM(LEFT('hospitalityq-nil'!D1722,FIND(":",'hospitalityq-nil'!D1722&amp;":")-1))&amp;":*")=0,SUMPRODUCT(--(TRIM('hospitalityq-nil'!C6:C1722)=TRIM('hospitalityq-nil'!C1722)),--(TRIM('hospitalityq-nil'!D6:D1722)=TRIM('hospitalityq-nil'!D1722)))&gt;1))</f>
        <v>0</v>
      </c>
    </row>
    <row r="1723" spans="1:4" x14ac:dyDescent="0.25">
      <c r="A1723">
        <f t="shared" si="26"/>
        <v>0</v>
      </c>
      <c r="C1723">
        <f>NOT('hospitalityq-nil'!C1723="")*(OR(NOT(IFERROR(AND(INT('hospitalityq-nil'!C1723)='hospitalityq-nil'!C1723,'hospitalityq-nil'!C1723&gt;=2018-50,'hospitalityq-nil'!C1723&lt;=2018+50),FALSE)),SUMPRODUCT(--(TRIM('hospitalityq-nil'!C6:C1723)=TRIM('hospitalityq-nil'!C1723)),--(TRIM('hospitalityq-nil'!D6:D1723)=TRIM('hospitalityq-nil'!D1723)))&gt;1))</f>
        <v>0</v>
      </c>
      <c r="D1723">
        <f>NOT('hospitalityq-nil'!D1723="")*(OR(COUNTIF(reference!$C$144:$C$155,TRIM(LEFT('hospitalityq-nil'!D1723,FIND(":",'hospitalityq-nil'!D1723&amp;":")-1))&amp;":*")=0,SUMPRODUCT(--(TRIM('hospitalityq-nil'!C6:C1723)=TRIM('hospitalityq-nil'!C1723)),--(TRIM('hospitalityq-nil'!D6:D1723)=TRIM('hospitalityq-nil'!D1723)))&gt;1))</f>
        <v>0</v>
      </c>
    </row>
    <row r="1724" spans="1:4" x14ac:dyDescent="0.25">
      <c r="A1724">
        <f t="shared" si="26"/>
        <v>0</v>
      </c>
      <c r="C1724">
        <f>NOT('hospitalityq-nil'!C1724="")*(OR(NOT(IFERROR(AND(INT('hospitalityq-nil'!C1724)='hospitalityq-nil'!C1724,'hospitalityq-nil'!C1724&gt;=2018-50,'hospitalityq-nil'!C1724&lt;=2018+50),FALSE)),SUMPRODUCT(--(TRIM('hospitalityq-nil'!C6:C1724)=TRIM('hospitalityq-nil'!C1724)),--(TRIM('hospitalityq-nil'!D6:D1724)=TRIM('hospitalityq-nil'!D1724)))&gt;1))</f>
        <v>0</v>
      </c>
      <c r="D1724">
        <f>NOT('hospitalityq-nil'!D1724="")*(OR(COUNTIF(reference!$C$144:$C$155,TRIM(LEFT('hospitalityq-nil'!D1724,FIND(":",'hospitalityq-nil'!D1724&amp;":")-1))&amp;":*")=0,SUMPRODUCT(--(TRIM('hospitalityq-nil'!C6:C1724)=TRIM('hospitalityq-nil'!C1724)),--(TRIM('hospitalityq-nil'!D6:D1724)=TRIM('hospitalityq-nil'!D1724)))&gt;1))</f>
        <v>0</v>
      </c>
    </row>
    <row r="1725" spans="1:4" x14ac:dyDescent="0.25">
      <c r="A1725">
        <f t="shared" si="26"/>
        <v>0</v>
      </c>
      <c r="C1725">
        <f>NOT('hospitalityq-nil'!C1725="")*(OR(NOT(IFERROR(AND(INT('hospitalityq-nil'!C1725)='hospitalityq-nil'!C1725,'hospitalityq-nil'!C1725&gt;=2018-50,'hospitalityq-nil'!C1725&lt;=2018+50),FALSE)),SUMPRODUCT(--(TRIM('hospitalityq-nil'!C6:C1725)=TRIM('hospitalityq-nil'!C1725)),--(TRIM('hospitalityq-nil'!D6:D1725)=TRIM('hospitalityq-nil'!D1725)))&gt;1))</f>
        <v>0</v>
      </c>
      <c r="D1725">
        <f>NOT('hospitalityq-nil'!D1725="")*(OR(COUNTIF(reference!$C$144:$C$155,TRIM(LEFT('hospitalityq-nil'!D1725,FIND(":",'hospitalityq-nil'!D1725&amp;":")-1))&amp;":*")=0,SUMPRODUCT(--(TRIM('hospitalityq-nil'!C6:C1725)=TRIM('hospitalityq-nil'!C1725)),--(TRIM('hospitalityq-nil'!D6:D1725)=TRIM('hospitalityq-nil'!D1725)))&gt;1))</f>
        <v>0</v>
      </c>
    </row>
    <row r="1726" spans="1:4" x14ac:dyDescent="0.25">
      <c r="A1726">
        <f t="shared" si="26"/>
        <v>0</v>
      </c>
      <c r="C1726">
        <f>NOT('hospitalityq-nil'!C1726="")*(OR(NOT(IFERROR(AND(INT('hospitalityq-nil'!C1726)='hospitalityq-nil'!C1726,'hospitalityq-nil'!C1726&gt;=2018-50,'hospitalityq-nil'!C1726&lt;=2018+50),FALSE)),SUMPRODUCT(--(TRIM('hospitalityq-nil'!C6:C1726)=TRIM('hospitalityq-nil'!C1726)),--(TRIM('hospitalityq-nil'!D6:D1726)=TRIM('hospitalityq-nil'!D1726)))&gt;1))</f>
        <v>0</v>
      </c>
      <c r="D1726">
        <f>NOT('hospitalityq-nil'!D1726="")*(OR(COUNTIF(reference!$C$144:$C$155,TRIM(LEFT('hospitalityq-nil'!D1726,FIND(":",'hospitalityq-nil'!D1726&amp;":")-1))&amp;":*")=0,SUMPRODUCT(--(TRIM('hospitalityq-nil'!C6:C1726)=TRIM('hospitalityq-nil'!C1726)),--(TRIM('hospitalityq-nil'!D6:D1726)=TRIM('hospitalityq-nil'!D1726)))&gt;1))</f>
        <v>0</v>
      </c>
    </row>
    <row r="1727" spans="1:4" x14ac:dyDescent="0.25">
      <c r="A1727">
        <f t="shared" si="26"/>
        <v>0</v>
      </c>
      <c r="C1727">
        <f>NOT('hospitalityq-nil'!C1727="")*(OR(NOT(IFERROR(AND(INT('hospitalityq-nil'!C1727)='hospitalityq-nil'!C1727,'hospitalityq-nil'!C1727&gt;=2018-50,'hospitalityq-nil'!C1727&lt;=2018+50),FALSE)),SUMPRODUCT(--(TRIM('hospitalityq-nil'!C6:C1727)=TRIM('hospitalityq-nil'!C1727)),--(TRIM('hospitalityq-nil'!D6:D1727)=TRIM('hospitalityq-nil'!D1727)))&gt;1))</f>
        <v>0</v>
      </c>
      <c r="D1727">
        <f>NOT('hospitalityq-nil'!D1727="")*(OR(COUNTIF(reference!$C$144:$C$155,TRIM(LEFT('hospitalityq-nil'!D1727,FIND(":",'hospitalityq-nil'!D1727&amp;":")-1))&amp;":*")=0,SUMPRODUCT(--(TRIM('hospitalityq-nil'!C6:C1727)=TRIM('hospitalityq-nil'!C1727)),--(TRIM('hospitalityq-nil'!D6:D1727)=TRIM('hospitalityq-nil'!D1727)))&gt;1))</f>
        <v>0</v>
      </c>
    </row>
    <row r="1728" spans="1:4" x14ac:dyDescent="0.25">
      <c r="A1728">
        <f t="shared" si="26"/>
        <v>0</v>
      </c>
      <c r="C1728">
        <f>NOT('hospitalityq-nil'!C1728="")*(OR(NOT(IFERROR(AND(INT('hospitalityq-nil'!C1728)='hospitalityq-nil'!C1728,'hospitalityq-nil'!C1728&gt;=2018-50,'hospitalityq-nil'!C1728&lt;=2018+50),FALSE)),SUMPRODUCT(--(TRIM('hospitalityq-nil'!C6:C1728)=TRIM('hospitalityq-nil'!C1728)),--(TRIM('hospitalityq-nil'!D6:D1728)=TRIM('hospitalityq-nil'!D1728)))&gt;1))</f>
        <v>0</v>
      </c>
      <c r="D1728">
        <f>NOT('hospitalityq-nil'!D1728="")*(OR(COUNTIF(reference!$C$144:$C$155,TRIM(LEFT('hospitalityq-nil'!D1728,FIND(":",'hospitalityq-nil'!D1728&amp;":")-1))&amp;":*")=0,SUMPRODUCT(--(TRIM('hospitalityq-nil'!C6:C1728)=TRIM('hospitalityq-nil'!C1728)),--(TRIM('hospitalityq-nil'!D6:D1728)=TRIM('hospitalityq-nil'!D1728)))&gt;1))</f>
        <v>0</v>
      </c>
    </row>
    <row r="1729" spans="1:4" x14ac:dyDescent="0.25">
      <c r="A1729">
        <f t="shared" si="26"/>
        <v>0</v>
      </c>
      <c r="C1729">
        <f>NOT('hospitalityq-nil'!C1729="")*(OR(NOT(IFERROR(AND(INT('hospitalityq-nil'!C1729)='hospitalityq-nil'!C1729,'hospitalityq-nil'!C1729&gt;=2018-50,'hospitalityq-nil'!C1729&lt;=2018+50),FALSE)),SUMPRODUCT(--(TRIM('hospitalityq-nil'!C6:C1729)=TRIM('hospitalityq-nil'!C1729)),--(TRIM('hospitalityq-nil'!D6:D1729)=TRIM('hospitalityq-nil'!D1729)))&gt;1))</f>
        <v>0</v>
      </c>
      <c r="D1729">
        <f>NOT('hospitalityq-nil'!D1729="")*(OR(COUNTIF(reference!$C$144:$C$155,TRIM(LEFT('hospitalityq-nil'!D1729,FIND(":",'hospitalityq-nil'!D1729&amp;":")-1))&amp;":*")=0,SUMPRODUCT(--(TRIM('hospitalityq-nil'!C6:C1729)=TRIM('hospitalityq-nil'!C1729)),--(TRIM('hospitalityq-nil'!D6:D1729)=TRIM('hospitalityq-nil'!D1729)))&gt;1))</f>
        <v>0</v>
      </c>
    </row>
    <row r="1730" spans="1:4" x14ac:dyDescent="0.25">
      <c r="A1730">
        <f t="shared" si="26"/>
        <v>0</v>
      </c>
      <c r="C1730">
        <f>NOT('hospitalityq-nil'!C1730="")*(OR(NOT(IFERROR(AND(INT('hospitalityq-nil'!C1730)='hospitalityq-nil'!C1730,'hospitalityq-nil'!C1730&gt;=2018-50,'hospitalityq-nil'!C1730&lt;=2018+50),FALSE)),SUMPRODUCT(--(TRIM('hospitalityq-nil'!C6:C1730)=TRIM('hospitalityq-nil'!C1730)),--(TRIM('hospitalityq-nil'!D6:D1730)=TRIM('hospitalityq-nil'!D1730)))&gt;1))</f>
        <v>0</v>
      </c>
      <c r="D1730">
        <f>NOT('hospitalityq-nil'!D1730="")*(OR(COUNTIF(reference!$C$144:$C$155,TRIM(LEFT('hospitalityq-nil'!D1730,FIND(":",'hospitalityq-nil'!D1730&amp;":")-1))&amp;":*")=0,SUMPRODUCT(--(TRIM('hospitalityq-nil'!C6:C1730)=TRIM('hospitalityq-nil'!C1730)),--(TRIM('hospitalityq-nil'!D6:D1730)=TRIM('hospitalityq-nil'!D1730)))&gt;1))</f>
        <v>0</v>
      </c>
    </row>
    <row r="1731" spans="1:4" x14ac:dyDescent="0.25">
      <c r="A1731">
        <f t="shared" si="26"/>
        <v>0</v>
      </c>
      <c r="C1731">
        <f>NOT('hospitalityq-nil'!C1731="")*(OR(NOT(IFERROR(AND(INT('hospitalityq-nil'!C1731)='hospitalityq-nil'!C1731,'hospitalityq-nil'!C1731&gt;=2018-50,'hospitalityq-nil'!C1731&lt;=2018+50),FALSE)),SUMPRODUCT(--(TRIM('hospitalityq-nil'!C6:C1731)=TRIM('hospitalityq-nil'!C1731)),--(TRIM('hospitalityq-nil'!D6:D1731)=TRIM('hospitalityq-nil'!D1731)))&gt;1))</f>
        <v>0</v>
      </c>
      <c r="D1731">
        <f>NOT('hospitalityq-nil'!D1731="")*(OR(COUNTIF(reference!$C$144:$C$155,TRIM(LEFT('hospitalityq-nil'!D1731,FIND(":",'hospitalityq-nil'!D1731&amp;":")-1))&amp;":*")=0,SUMPRODUCT(--(TRIM('hospitalityq-nil'!C6:C1731)=TRIM('hospitalityq-nil'!C1731)),--(TRIM('hospitalityq-nil'!D6:D1731)=TRIM('hospitalityq-nil'!D1731)))&gt;1))</f>
        <v>0</v>
      </c>
    </row>
    <row r="1732" spans="1:4" x14ac:dyDescent="0.25">
      <c r="A1732">
        <f t="shared" si="26"/>
        <v>0</v>
      </c>
      <c r="C1732">
        <f>NOT('hospitalityq-nil'!C1732="")*(OR(NOT(IFERROR(AND(INT('hospitalityq-nil'!C1732)='hospitalityq-nil'!C1732,'hospitalityq-nil'!C1732&gt;=2018-50,'hospitalityq-nil'!C1732&lt;=2018+50),FALSE)),SUMPRODUCT(--(TRIM('hospitalityq-nil'!C6:C1732)=TRIM('hospitalityq-nil'!C1732)),--(TRIM('hospitalityq-nil'!D6:D1732)=TRIM('hospitalityq-nil'!D1732)))&gt;1))</f>
        <v>0</v>
      </c>
      <c r="D1732">
        <f>NOT('hospitalityq-nil'!D1732="")*(OR(COUNTIF(reference!$C$144:$C$155,TRIM(LEFT('hospitalityq-nil'!D1732,FIND(":",'hospitalityq-nil'!D1732&amp;":")-1))&amp;":*")=0,SUMPRODUCT(--(TRIM('hospitalityq-nil'!C6:C1732)=TRIM('hospitalityq-nil'!C1732)),--(TRIM('hospitalityq-nil'!D6:D1732)=TRIM('hospitalityq-nil'!D1732)))&gt;1))</f>
        <v>0</v>
      </c>
    </row>
    <row r="1733" spans="1:4" x14ac:dyDescent="0.25">
      <c r="A1733">
        <f t="shared" si="26"/>
        <v>0</v>
      </c>
      <c r="C1733">
        <f>NOT('hospitalityq-nil'!C1733="")*(OR(NOT(IFERROR(AND(INT('hospitalityq-nil'!C1733)='hospitalityq-nil'!C1733,'hospitalityq-nil'!C1733&gt;=2018-50,'hospitalityq-nil'!C1733&lt;=2018+50),FALSE)),SUMPRODUCT(--(TRIM('hospitalityq-nil'!C6:C1733)=TRIM('hospitalityq-nil'!C1733)),--(TRIM('hospitalityq-nil'!D6:D1733)=TRIM('hospitalityq-nil'!D1733)))&gt;1))</f>
        <v>0</v>
      </c>
      <c r="D1733">
        <f>NOT('hospitalityq-nil'!D1733="")*(OR(COUNTIF(reference!$C$144:$C$155,TRIM(LEFT('hospitalityq-nil'!D1733,FIND(":",'hospitalityq-nil'!D1733&amp;":")-1))&amp;":*")=0,SUMPRODUCT(--(TRIM('hospitalityq-nil'!C6:C1733)=TRIM('hospitalityq-nil'!C1733)),--(TRIM('hospitalityq-nil'!D6:D1733)=TRIM('hospitalityq-nil'!D1733)))&gt;1))</f>
        <v>0</v>
      </c>
    </row>
    <row r="1734" spans="1:4" x14ac:dyDescent="0.25">
      <c r="A1734">
        <f t="shared" ref="A1734:A1797" si="27">IFERROR(MATCH(TRUE,INDEX(C1734:D1734&lt;&gt;0,),)+2,0)</f>
        <v>0</v>
      </c>
      <c r="C1734">
        <f>NOT('hospitalityq-nil'!C1734="")*(OR(NOT(IFERROR(AND(INT('hospitalityq-nil'!C1734)='hospitalityq-nil'!C1734,'hospitalityq-nil'!C1734&gt;=2018-50,'hospitalityq-nil'!C1734&lt;=2018+50),FALSE)),SUMPRODUCT(--(TRIM('hospitalityq-nil'!C6:C1734)=TRIM('hospitalityq-nil'!C1734)),--(TRIM('hospitalityq-nil'!D6:D1734)=TRIM('hospitalityq-nil'!D1734)))&gt;1))</f>
        <v>0</v>
      </c>
      <c r="D1734">
        <f>NOT('hospitalityq-nil'!D1734="")*(OR(COUNTIF(reference!$C$144:$C$155,TRIM(LEFT('hospitalityq-nil'!D1734,FIND(":",'hospitalityq-nil'!D1734&amp;":")-1))&amp;":*")=0,SUMPRODUCT(--(TRIM('hospitalityq-nil'!C6:C1734)=TRIM('hospitalityq-nil'!C1734)),--(TRIM('hospitalityq-nil'!D6:D1734)=TRIM('hospitalityq-nil'!D1734)))&gt;1))</f>
        <v>0</v>
      </c>
    </row>
    <row r="1735" spans="1:4" x14ac:dyDescent="0.25">
      <c r="A1735">
        <f t="shared" si="27"/>
        <v>0</v>
      </c>
      <c r="C1735">
        <f>NOT('hospitalityq-nil'!C1735="")*(OR(NOT(IFERROR(AND(INT('hospitalityq-nil'!C1735)='hospitalityq-nil'!C1735,'hospitalityq-nil'!C1735&gt;=2018-50,'hospitalityq-nil'!C1735&lt;=2018+50),FALSE)),SUMPRODUCT(--(TRIM('hospitalityq-nil'!C6:C1735)=TRIM('hospitalityq-nil'!C1735)),--(TRIM('hospitalityq-nil'!D6:D1735)=TRIM('hospitalityq-nil'!D1735)))&gt;1))</f>
        <v>0</v>
      </c>
      <c r="D1735">
        <f>NOT('hospitalityq-nil'!D1735="")*(OR(COUNTIF(reference!$C$144:$C$155,TRIM(LEFT('hospitalityq-nil'!D1735,FIND(":",'hospitalityq-nil'!D1735&amp;":")-1))&amp;":*")=0,SUMPRODUCT(--(TRIM('hospitalityq-nil'!C6:C1735)=TRIM('hospitalityq-nil'!C1735)),--(TRIM('hospitalityq-nil'!D6:D1735)=TRIM('hospitalityq-nil'!D1735)))&gt;1))</f>
        <v>0</v>
      </c>
    </row>
    <row r="1736" spans="1:4" x14ac:dyDescent="0.25">
      <c r="A1736">
        <f t="shared" si="27"/>
        <v>0</v>
      </c>
      <c r="C1736">
        <f>NOT('hospitalityq-nil'!C1736="")*(OR(NOT(IFERROR(AND(INT('hospitalityq-nil'!C1736)='hospitalityq-nil'!C1736,'hospitalityq-nil'!C1736&gt;=2018-50,'hospitalityq-nil'!C1736&lt;=2018+50),FALSE)),SUMPRODUCT(--(TRIM('hospitalityq-nil'!C6:C1736)=TRIM('hospitalityq-nil'!C1736)),--(TRIM('hospitalityq-nil'!D6:D1736)=TRIM('hospitalityq-nil'!D1736)))&gt;1))</f>
        <v>0</v>
      </c>
      <c r="D1736">
        <f>NOT('hospitalityq-nil'!D1736="")*(OR(COUNTIF(reference!$C$144:$C$155,TRIM(LEFT('hospitalityq-nil'!D1736,FIND(":",'hospitalityq-nil'!D1736&amp;":")-1))&amp;":*")=0,SUMPRODUCT(--(TRIM('hospitalityq-nil'!C6:C1736)=TRIM('hospitalityq-nil'!C1736)),--(TRIM('hospitalityq-nil'!D6:D1736)=TRIM('hospitalityq-nil'!D1736)))&gt;1))</f>
        <v>0</v>
      </c>
    </row>
    <row r="1737" spans="1:4" x14ac:dyDescent="0.25">
      <c r="A1737">
        <f t="shared" si="27"/>
        <v>0</v>
      </c>
      <c r="C1737">
        <f>NOT('hospitalityq-nil'!C1737="")*(OR(NOT(IFERROR(AND(INT('hospitalityq-nil'!C1737)='hospitalityq-nil'!C1737,'hospitalityq-nil'!C1737&gt;=2018-50,'hospitalityq-nil'!C1737&lt;=2018+50),FALSE)),SUMPRODUCT(--(TRIM('hospitalityq-nil'!C6:C1737)=TRIM('hospitalityq-nil'!C1737)),--(TRIM('hospitalityq-nil'!D6:D1737)=TRIM('hospitalityq-nil'!D1737)))&gt;1))</f>
        <v>0</v>
      </c>
      <c r="D1737">
        <f>NOT('hospitalityq-nil'!D1737="")*(OR(COUNTIF(reference!$C$144:$C$155,TRIM(LEFT('hospitalityq-nil'!D1737,FIND(":",'hospitalityq-nil'!D1737&amp;":")-1))&amp;":*")=0,SUMPRODUCT(--(TRIM('hospitalityq-nil'!C6:C1737)=TRIM('hospitalityq-nil'!C1737)),--(TRIM('hospitalityq-nil'!D6:D1737)=TRIM('hospitalityq-nil'!D1737)))&gt;1))</f>
        <v>0</v>
      </c>
    </row>
    <row r="1738" spans="1:4" x14ac:dyDescent="0.25">
      <c r="A1738">
        <f t="shared" si="27"/>
        <v>0</v>
      </c>
      <c r="C1738">
        <f>NOT('hospitalityq-nil'!C1738="")*(OR(NOT(IFERROR(AND(INT('hospitalityq-nil'!C1738)='hospitalityq-nil'!C1738,'hospitalityq-nil'!C1738&gt;=2018-50,'hospitalityq-nil'!C1738&lt;=2018+50),FALSE)),SUMPRODUCT(--(TRIM('hospitalityq-nil'!C6:C1738)=TRIM('hospitalityq-nil'!C1738)),--(TRIM('hospitalityq-nil'!D6:D1738)=TRIM('hospitalityq-nil'!D1738)))&gt;1))</f>
        <v>0</v>
      </c>
      <c r="D1738">
        <f>NOT('hospitalityq-nil'!D1738="")*(OR(COUNTIF(reference!$C$144:$C$155,TRIM(LEFT('hospitalityq-nil'!D1738,FIND(":",'hospitalityq-nil'!D1738&amp;":")-1))&amp;":*")=0,SUMPRODUCT(--(TRIM('hospitalityq-nil'!C6:C1738)=TRIM('hospitalityq-nil'!C1738)),--(TRIM('hospitalityq-nil'!D6:D1738)=TRIM('hospitalityq-nil'!D1738)))&gt;1))</f>
        <v>0</v>
      </c>
    </row>
    <row r="1739" spans="1:4" x14ac:dyDescent="0.25">
      <c r="A1739">
        <f t="shared" si="27"/>
        <v>0</v>
      </c>
      <c r="C1739">
        <f>NOT('hospitalityq-nil'!C1739="")*(OR(NOT(IFERROR(AND(INT('hospitalityq-nil'!C1739)='hospitalityq-nil'!C1739,'hospitalityq-nil'!C1739&gt;=2018-50,'hospitalityq-nil'!C1739&lt;=2018+50),FALSE)),SUMPRODUCT(--(TRIM('hospitalityq-nil'!C6:C1739)=TRIM('hospitalityq-nil'!C1739)),--(TRIM('hospitalityq-nil'!D6:D1739)=TRIM('hospitalityq-nil'!D1739)))&gt;1))</f>
        <v>0</v>
      </c>
      <c r="D1739">
        <f>NOT('hospitalityq-nil'!D1739="")*(OR(COUNTIF(reference!$C$144:$C$155,TRIM(LEFT('hospitalityq-nil'!D1739,FIND(":",'hospitalityq-nil'!D1739&amp;":")-1))&amp;":*")=0,SUMPRODUCT(--(TRIM('hospitalityq-nil'!C6:C1739)=TRIM('hospitalityq-nil'!C1739)),--(TRIM('hospitalityq-nil'!D6:D1739)=TRIM('hospitalityq-nil'!D1739)))&gt;1))</f>
        <v>0</v>
      </c>
    </row>
    <row r="1740" spans="1:4" x14ac:dyDescent="0.25">
      <c r="A1740">
        <f t="shared" si="27"/>
        <v>0</v>
      </c>
      <c r="C1740">
        <f>NOT('hospitalityq-nil'!C1740="")*(OR(NOT(IFERROR(AND(INT('hospitalityq-nil'!C1740)='hospitalityq-nil'!C1740,'hospitalityq-nil'!C1740&gt;=2018-50,'hospitalityq-nil'!C1740&lt;=2018+50),FALSE)),SUMPRODUCT(--(TRIM('hospitalityq-nil'!C6:C1740)=TRIM('hospitalityq-nil'!C1740)),--(TRIM('hospitalityq-nil'!D6:D1740)=TRIM('hospitalityq-nil'!D1740)))&gt;1))</f>
        <v>0</v>
      </c>
      <c r="D1740">
        <f>NOT('hospitalityq-nil'!D1740="")*(OR(COUNTIF(reference!$C$144:$C$155,TRIM(LEFT('hospitalityq-nil'!D1740,FIND(":",'hospitalityq-nil'!D1740&amp;":")-1))&amp;":*")=0,SUMPRODUCT(--(TRIM('hospitalityq-nil'!C6:C1740)=TRIM('hospitalityq-nil'!C1740)),--(TRIM('hospitalityq-nil'!D6:D1740)=TRIM('hospitalityq-nil'!D1740)))&gt;1))</f>
        <v>0</v>
      </c>
    </row>
    <row r="1741" spans="1:4" x14ac:dyDescent="0.25">
      <c r="A1741">
        <f t="shared" si="27"/>
        <v>0</v>
      </c>
      <c r="C1741">
        <f>NOT('hospitalityq-nil'!C1741="")*(OR(NOT(IFERROR(AND(INT('hospitalityq-nil'!C1741)='hospitalityq-nil'!C1741,'hospitalityq-nil'!C1741&gt;=2018-50,'hospitalityq-nil'!C1741&lt;=2018+50),FALSE)),SUMPRODUCT(--(TRIM('hospitalityq-nil'!C6:C1741)=TRIM('hospitalityq-nil'!C1741)),--(TRIM('hospitalityq-nil'!D6:D1741)=TRIM('hospitalityq-nil'!D1741)))&gt;1))</f>
        <v>0</v>
      </c>
      <c r="D1741">
        <f>NOT('hospitalityq-nil'!D1741="")*(OR(COUNTIF(reference!$C$144:$C$155,TRIM(LEFT('hospitalityq-nil'!D1741,FIND(":",'hospitalityq-nil'!D1741&amp;":")-1))&amp;":*")=0,SUMPRODUCT(--(TRIM('hospitalityq-nil'!C6:C1741)=TRIM('hospitalityq-nil'!C1741)),--(TRIM('hospitalityq-nil'!D6:D1741)=TRIM('hospitalityq-nil'!D1741)))&gt;1))</f>
        <v>0</v>
      </c>
    </row>
    <row r="1742" spans="1:4" x14ac:dyDescent="0.25">
      <c r="A1742">
        <f t="shared" si="27"/>
        <v>0</v>
      </c>
      <c r="C1742">
        <f>NOT('hospitalityq-nil'!C1742="")*(OR(NOT(IFERROR(AND(INT('hospitalityq-nil'!C1742)='hospitalityq-nil'!C1742,'hospitalityq-nil'!C1742&gt;=2018-50,'hospitalityq-nil'!C1742&lt;=2018+50),FALSE)),SUMPRODUCT(--(TRIM('hospitalityq-nil'!C6:C1742)=TRIM('hospitalityq-nil'!C1742)),--(TRIM('hospitalityq-nil'!D6:D1742)=TRIM('hospitalityq-nil'!D1742)))&gt;1))</f>
        <v>0</v>
      </c>
      <c r="D1742">
        <f>NOT('hospitalityq-nil'!D1742="")*(OR(COUNTIF(reference!$C$144:$C$155,TRIM(LEFT('hospitalityq-nil'!D1742,FIND(":",'hospitalityq-nil'!D1742&amp;":")-1))&amp;":*")=0,SUMPRODUCT(--(TRIM('hospitalityq-nil'!C6:C1742)=TRIM('hospitalityq-nil'!C1742)),--(TRIM('hospitalityq-nil'!D6:D1742)=TRIM('hospitalityq-nil'!D1742)))&gt;1))</f>
        <v>0</v>
      </c>
    </row>
    <row r="1743" spans="1:4" x14ac:dyDescent="0.25">
      <c r="A1743">
        <f t="shared" si="27"/>
        <v>0</v>
      </c>
      <c r="C1743">
        <f>NOT('hospitalityq-nil'!C1743="")*(OR(NOT(IFERROR(AND(INT('hospitalityq-nil'!C1743)='hospitalityq-nil'!C1743,'hospitalityq-nil'!C1743&gt;=2018-50,'hospitalityq-nil'!C1743&lt;=2018+50),FALSE)),SUMPRODUCT(--(TRIM('hospitalityq-nil'!C6:C1743)=TRIM('hospitalityq-nil'!C1743)),--(TRIM('hospitalityq-nil'!D6:D1743)=TRIM('hospitalityq-nil'!D1743)))&gt;1))</f>
        <v>0</v>
      </c>
      <c r="D1743">
        <f>NOT('hospitalityq-nil'!D1743="")*(OR(COUNTIF(reference!$C$144:$C$155,TRIM(LEFT('hospitalityq-nil'!D1743,FIND(":",'hospitalityq-nil'!D1743&amp;":")-1))&amp;":*")=0,SUMPRODUCT(--(TRIM('hospitalityq-nil'!C6:C1743)=TRIM('hospitalityq-nil'!C1743)),--(TRIM('hospitalityq-nil'!D6:D1743)=TRIM('hospitalityq-nil'!D1743)))&gt;1))</f>
        <v>0</v>
      </c>
    </row>
    <row r="1744" spans="1:4" x14ac:dyDescent="0.25">
      <c r="A1744">
        <f t="shared" si="27"/>
        <v>0</v>
      </c>
      <c r="C1744">
        <f>NOT('hospitalityq-nil'!C1744="")*(OR(NOT(IFERROR(AND(INT('hospitalityq-nil'!C1744)='hospitalityq-nil'!C1744,'hospitalityq-nil'!C1744&gt;=2018-50,'hospitalityq-nil'!C1744&lt;=2018+50),FALSE)),SUMPRODUCT(--(TRIM('hospitalityq-nil'!C6:C1744)=TRIM('hospitalityq-nil'!C1744)),--(TRIM('hospitalityq-nil'!D6:D1744)=TRIM('hospitalityq-nil'!D1744)))&gt;1))</f>
        <v>0</v>
      </c>
      <c r="D1744">
        <f>NOT('hospitalityq-nil'!D1744="")*(OR(COUNTIF(reference!$C$144:$C$155,TRIM(LEFT('hospitalityq-nil'!D1744,FIND(":",'hospitalityq-nil'!D1744&amp;":")-1))&amp;":*")=0,SUMPRODUCT(--(TRIM('hospitalityq-nil'!C6:C1744)=TRIM('hospitalityq-nil'!C1744)),--(TRIM('hospitalityq-nil'!D6:D1744)=TRIM('hospitalityq-nil'!D1744)))&gt;1))</f>
        <v>0</v>
      </c>
    </row>
    <row r="1745" spans="1:4" x14ac:dyDescent="0.25">
      <c r="A1745">
        <f t="shared" si="27"/>
        <v>0</v>
      </c>
      <c r="C1745">
        <f>NOT('hospitalityq-nil'!C1745="")*(OR(NOT(IFERROR(AND(INT('hospitalityq-nil'!C1745)='hospitalityq-nil'!C1745,'hospitalityq-nil'!C1745&gt;=2018-50,'hospitalityq-nil'!C1745&lt;=2018+50),FALSE)),SUMPRODUCT(--(TRIM('hospitalityq-nil'!C6:C1745)=TRIM('hospitalityq-nil'!C1745)),--(TRIM('hospitalityq-nil'!D6:D1745)=TRIM('hospitalityq-nil'!D1745)))&gt;1))</f>
        <v>0</v>
      </c>
      <c r="D1745">
        <f>NOT('hospitalityq-nil'!D1745="")*(OR(COUNTIF(reference!$C$144:$C$155,TRIM(LEFT('hospitalityq-nil'!D1745,FIND(":",'hospitalityq-nil'!D1745&amp;":")-1))&amp;":*")=0,SUMPRODUCT(--(TRIM('hospitalityq-nil'!C6:C1745)=TRIM('hospitalityq-nil'!C1745)),--(TRIM('hospitalityq-nil'!D6:D1745)=TRIM('hospitalityq-nil'!D1745)))&gt;1))</f>
        <v>0</v>
      </c>
    </row>
    <row r="1746" spans="1:4" x14ac:dyDescent="0.25">
      <c r="A1746">
        <f t="shared" si="27"/>
        <v>0</v>
      </c>
      <c r="C1746">
        <f>NOT('hospitalityq-nil'!C1746="")*(OR(NOT(IFERROR(AND(INT('hospitalityq-nil'!C1746)='hospitalityq-nil'!C1746,'hospitalityq-nil'!C1746&gt;=2018-50,'hospitalityq-nil'!C1746&lt;=2018+50),FALSE)),SUMPRODUCT(--(TRIM('hospitalityq-nil'!C6:C1746)=TRIM('hospitalityq-nil'!C1746)),--(TRIM('hospitalityq-nil'!D6:D1746)=TRIM('hospitalityq-nil'!D1746)))&gt;1))</f>
        <v>0</v>
      </c>
      <c r="D1746">
        <f>NOT('hospitalityq-nil'!D1746="")*(OR(COUNTIF(reference!$C$144:$C$155,TRIM(LEFT('hospitalityq-nil'!D1746,FIND(":",'hospitalityq-nil'!D1746&amp;":")-1))&amp;":*")=0,SUMPRODUCT(--(TRIM('hospitalityq-nil'!C6:C1746)=TRIM('hospitalityq-nil'!C1746)),--(TRIM('hospitalityq-nil'!D6:D1746)=TRIM('hospitalityq-nil'!D1746)))&gt;1))</f>
        <v>0</v>
      </c>
    </row>
    <row r="1747" spans="1:4" x14ac:dyDescent="0.25">
      <c r="A1747">
        <f t="shared" si="27"/>
        <v>0</v>
      </c>
      <c r="C1747">
        <f>NOT('hospitalityq-nil'!C1747="")*(OR(NOT(IFERROR(AND(INT('hospitalityq-nil'!C1747)='hospitalityq-nil'!C1747,'hospitalityq-nil'!C1747&gt;=2018-50,'hospitalityq-nil'!C1747&lt;=2018+50),FALSE)),SUMPRODUCT(--(TRIM('hospitalityq-nil'!C6:C1747)=TRIM('hospitalityq-nil'!C1747)),--(TRIM('hospitalityq-nil'!D6:D1747)=TRIM('hospitalityq-nil'!D1747)))&gt;1))</f>
        <v>0</v>
      </c>
      <c r="D1747">
        <f>NOT('hospitalityq-nil'!D1747="")*(OR(COUNTIF(reference!$C$144:$C$155,TRIM(LEFT('hospitalityq-nil'!D1747,FIND(":",'hospitalityq-nil'!D1747&amp;":")-1))&amp;":*")=0,SUMPRODUCT(--(TRIM('hospitalityq-nil'!C6:C1747)=TRIM('hospitalityq-nil'!C1747)),--(TRIM('hospitalityq-nil'!D6:D1747)=TRIM('hospitalityq-nil'!D1747)))&gt;1))</f>
        <v>0</v>
      </c>
    </row>
    <row r="1748" spans="1:4" x14ac:dyDescent="0.25">
      <c r="A1748">
        <f t="shared" si="27"/>
        <v>0</v>
      </c>
      <c r="C1748">
        <f>NOT('hospitalityq-nil'!C1748="")*(OR(NOT(IFERROR(AND(INT('hospitalityq-nil'!C1748)='hospitalityq-nil'!C1748,'hospitalityq-nil'!C1748&gt;=2018-50,'hospitalityq-nil'!C1748&lt;=2018+50),FALSE)),SUMPRODUCT(--(TRIM('hospitalityq-nil'!C6:C1748)=TRIM('hospitalityq-nil'!C1748)),--(TRIM('hospitalityq-nil'!D6:D1748)=TRIM('hospitalityq-nil'!D1748)))&gt;1))</f>
        <v>0</v>
      </c>
      <c r="D1748">
        <f>NOT('hospitalityq-nil'!D1748="")*(OR(COUNTIF(reference!$C$144:$C$155,TRIM(LEFT('hospitalityq-nil'!D1748,FIND(":",'hospitalityq-nil'!D1748&amp;":")-1))&amp;":*")=0,SUMPRODUCT(--(TRIM('hospitalityq-nil'!C6:C1748)=TRIM('hospitalityq-nil'!C1748)),--(TRIM('hospitalityq-nil'!D6:D1748)=TRIM('hospitalityq-nil'!D1748)))&gt;1))</f>
        <v>0</v>
      </c>
    </row>
    <row r="1749" spans="1:4" x14ac:dyDescent="0.25">
      <c r="A1749">
        <f t="shared" si="27"/>
        <v>0</v>
      </c>
      <c r="C1749">
        <f>NOT('hospitalityq-nil'!C1749="")*(OR(NOT(IFERROR(AND(INT('hospitalityq-nil'!C1749)='hospitalityq-nil'!C1749,'hospitalityq-nil'!C1749&gt;=2018-50,'hospitalityq-nil'!C1749&lt;=2018+50),FALSE)),SUMPRODUCT(--(TRIM('hospitalityq-nil'!C6:C1749)=TRIM('hospitalityq-nil'!C1749)),--(TRIM('hospitalityq-nil'!D6:D1749)=TRIM('hospitalityq-nil'!D1749)))&gt;1))</f>
        <v>0</v>
      </c>
      <c r="D1749">
        <f>NOT('hospitalityq-nil'!D1749="")*(OR(COUNTIF(reference!$C$144:$C$155,TRIM(LEFT('hospitalityq-nil'!D1749,FIND(":",'hospitalityq-nil'!D1749&amp;":")-1))&amp;":*")=0,SUMPRODUCT(--(TRIM('hospitalityq-nil'!C6:C1749)=TRIM('hospitalityq-nil'!C1749)),--(TRIM('hospitalityq-nil'!D6:D1749)=TRIM('hospitalityq-nil'!D1749)))&gt;1))</f>
        <v>0</v>
      </c>
    </row>
    <row r="1750" spans="1:4" x14ac:dyDescent="0.25">
      <c r="A1750">
        <f t="shared" si="27"/>
        <v>0</v>
      </c>
      <c r="C1750">
        <f>NOT('hospitalityq-nil'!C1750="")*(OR(NOT(IFERROR(AND(INT('hospitalityq-nil'!C1750)='hospitalityq-nil'!C1750,'hospitalityq-nil'!C1750&gt;=2018-50,'hospitalityq-nil'!C1750&lt;=2018+50),FALSE)),SUMPRODUCT(--(TRIM('hospitalityq-nil'!C6:C1750)=TRIM('hospitalityq-nil'!C1750)),--(TRIM('hospitalityq-nil'!D6:D1750)=TRIM('hospitalityq-nil'!D1750)))&gt;1))</f>
        <v>0</v>
      </c>
      <c r="D1750">
        <f>NOT('hospitalityq-nil'!D1750="")*(OR(COUNTIF(reference!$C$144:$C$155,TRIM(LEFT('hospitalityq-nil'!D1750,FIND(":",'hospitalityq-nil'!D1750&amp;":")-1))&amp;":*")=0,SUMPRODUCT(--(TRIM('hospitalityq-nil'!C6:C1750)=TRIM('hospitalityq-nil'!C1750)),--(TRIM('hospitalityq-nil'!D6:D1750)=TRIM('hospitalityq-nil'!D1750)))&gt;1))</f>
        <v>0</v>
      </c>
    </row>
    <row r="1751" spans="1:4" x14ac:dyDescent="0.25">
      <c r="A1751">
        <f t="shared" si="27"/>
        <v>0</v>
      </c>
      <c r="C1751">
        <f>NOT('hospitalityq-nil'!C1751="")*(OR(NOT(IFERROR(AND(INT('hospitalityq-nil'!C1751)='hospitalityq-nil'!C1751,'hospitalityq-nil'!C1751&gt;=2018-50,'hospitalityq-nil'!C1751&lt;=2018+50),FALSE)),SUMPRODUCT(--(TRIM('hospitalityq-nil'!C6:C1751)=TRIM('hospitalityq-nil'!C1751)),--(TRIM('hospitalityq-nil'!D6:D1751)=TRIM('hospitalityq-nil'!D1751)))&gt;1))</f>
        <v>0</v>
      </c>
      <c r="D1751">
        <f>NOT('hospitalityq-nil'!D1751="")*(OR(COUNTIF(reference!$C$144:$C$155,TRIM(LEFT('hospitalityq-nil'!D1751,FIND(":",'hospitalityq-nil'!D1751&amp;":")-1))&amp;":*")=0,SUMPRODUCT(--(TRIM('hospitalityq-nil'!C6:C1751)=TRIM('hospitalityq-nil'!C1751)),--(TRIM('hospitalityq-nil'!D6:D1751)=TRIM('hospitalityq-nil'!D1751)))&gt;1))</f>
        <v>0</v>
      </c>
    </row>
    <row r="1752" spans="1:4" x14ac:dyDescent="0.25">
      <c r="A1752">
        <f t="shared" si="27"/>
        <v>0</v>
      </c>
      <c r="C1752">
        <f>NOT('hospitalityq-nil'!C1752="")*(OR(NOT(IFERROR(AND(INT('hospitalityq-nil'!C1752)='hospitalityq-nil'!C1752,'hospitalityq-nil'!C1752&gt;=2018-50,'hospitalityq-nil'!C1752&lt;=2018+50),FALSE)),SUMPRODUCT(--(TRIM('hospitalityq-nil'!C6:C1752)=TRIM('hospitalityq-nil'!C1752)),--(TRIM('hospitalityq-nil'!D6:D1752)=TRIM('hospitalityq-nil'!D1752)))&gt;1))</f>
        <v>0</v>
      </c>
      <c r="D1752">
        <f>NOT('hospitalityq-nil'!D1752="")*(OR(COUNTIF(reference!$C$144:$C$155,TRIM(LEFT('hospitalityq-nil'!D1752,FIND(":",'hospitalityq-nil'!D1752&amp;":")-1))&amp;":*")=0,SUMPRODUCT(--(TRIM('hospitalityq-nil'!C6:C1752)=TRIM('hospitalityq-nil'!C1752)),--(TRIM('hospitalityq-nil'!D6:D1752)=TRIM('hospitalityq-nil'!D1752)))&gt;1))</f>
        <v>0</v>
      </c>
    </row>
    <row r="1753" spans="1:4" x14ac:dyDescent="0.25">
      <c r="A1753">
        <f t="shared" si="27"/>
        <v>0</v>
      </c>
      <c r="C1753">
        <f>NOT('hospitalityq-nil'!C1753="")*(OR(NOT(IFERROR(AND(INT('hospitalityq-nil'!C1753)='hospitalityq-nil'!C1753,'hospitalityq-nil'!C1753&gt;=2018-50,'hospitalityq-nil'!C1753&lt;=2018+50),FALSE)),SUMPRODUCT(--(TRIM('hospitalityq-nil'!C6:C1753)=TRIM('hospitalityq-nil'!C1753)),--(TRIM('hospitalityq-nil'!D6:D1753)=TRIM('hospitalityq-nil'!D1753)))&gt;1))</f>
        <v>0</v>
      </c>
      <c r="D1753">
        <f>NOT('hospitalityq-nil'!D1753="")*(OR(COUNTIF(reference!$C$144:$C$155,TRIM(LEFT('hospitalityq-nil'!D1753,FIND(":",'hospitalityq-nil'!D1753&amp;":")-1))&amp;":*")=0,SUMPRODUCT(--(TRIM('hospitalityq-nil'!C6:C1753)=TRIM('hospitalityq-nil'!C1753)),--(TRIM('hospitalityq-nil'!D6:D1753)=TRIM('hospitalityq-nil'!D1753)))&gt;1))</f>
        <v>0</v>
      </c>
    </row>
    <row r="1754" spans="1:4" x14ac:dyDescent="0.25">
      <c r="A1754">
        <f t="shared" si="27"/>
        <v>0</v>
      </c>
      <c r="C1754">
        <f>NOT('hospitalityq-nil'!C1754="")*(OR(NOT(IFERROR(AND(INT('hospitalityq-nil'!C1754)='hospitalityq-nil'!C1754,'hospitalityq-nil'!C1754&gt;=2018-50,'hospitalityq-nil'!C1754&lt;=2018+50),FALSE)),SUMPRODUCT(--(TRIM('hospitalityq-nil'!C6:C1754)=TRIM('hospitalityq-nil'!C1754)),--(TRIM('hospitalityq-nil'!D6:D1754)=TRIM('hospitalityq-nil'!D1754)))&gt;1))</f>
        <v>0</v>
      </c>
      <c r="D1754">
        <f>NOT('hospitalityq-nil'!D1754="")*(OR(COUNTIF(reference!$C$144:$C$155,TRIM(LEFT('hospitalityq-nil'!D1754,FIND(":",'hospitalityq-nil'!D1754&amp;":")-1))&amp;":*")=0,SUMPRODUCT(--(TRIM('hospitalityq-nil'!C6:C1754)=TRIM('hospitalityq-nil'!C1754)),--(TRIM('hospitalityq-nil'!D6:D1754)=TRIM('hospitalityq-nil'!D1754)))&gt;1))</f>
        <v>0</v>
      </c>
    </row>
    <row r="1755" spans="1:4" x14ac:dyDescent="0.25">
      <c r="A1755">
        <f t="shared" si="27"/>
        <v>0</v>
      </c>
      <c r="C1755">
        <f>NOT('hospitalityq-nil'!C1755="")*(OR(NOT(IFERROR(AND(INT('hospitalityq-nil'!C1755)='hospitalityq-nil'!C1755,'hospitalityq-nil'!C1755&gt;=2018-50,'hospitalityq-nil'!C1755&lt;=2018+50),FALSE)),SUMPRODUCT(--(TRIM('hospitalityq-nil'!C6:C1755)=TRIM('hospitalityq-nil'!C1755)),--(TRIM('hospitalityq-nil'!D6:D1755)=TRIM('hospitalityq-nil'!D1755)))&gt;1))</f>
        <v>0</v>
      </c>
      <c r="D1755">
        <f>NOT('hospitalityq-nil'!D1755="")*(OR(COUNTIF(reference!$C$144:$C$155,TRIM(LEFT('hospitalityq-nil'!D1755,FIND(":",'hospitalityq-nil'!D1755&amp;":")-1))&amp;":*")=0,SUMPRODUCT(--(TRIM('hospitalityq-nil'!C6:C1755)=TRIM('hospitalityq-nil'!C1755)),--(TRIM('hospitalityq-nil'!D6:D1755)=TRIM('hospitalityq-nil'!D1755)))&gt;1))</f>
        <v>0</v>
      </c>
    </row>
    <row r="1756" spans="1:4" x14ac:dyDescent="0.25">
      <c r="A1756">
        <f t="shared" si="27"/>
        <v>0</v>
      </c>
      <c r="C1756">
        <f>NOT('hospitalityq-nil'!C1756="")*(OR(NOT(IFERROR(AND(INT('hospitalityq-nil'!C1756)='hospitalityq-nil'!C1756,'hospitalityq-nil'!C1756&gt;=2018-50,'hospitalityq-nil'!C1756&lt;=2018+50),FALSE)),SUMPRODUCT(--(TRIM('hospitalityq-nil'!C6:C1756)=TRIM('hospitalityq-nil'!C1756)),--(TRIM('hospitalityq-nil'!D6:D1756)=TRIM('hospitalityq-nil'!D1756)))&gt;1))</f>
        <v>0</v>
      </c>
      <c r="D1756">
        <f>NOT('hospitalityq-nil'!D1756="")*(OR(COUNTIF(reference!$C$144:$C$155,TRIM(LEFT('hospitalityq-nil'!D1756,FIND(":",'hospitalityq-nil'!D1756&amp;":")-1))&amp;":*")=0,SUMPRODUCT(--(TRIM('hospitalityq-nil'!C6:C1756)=TRIM('hospitalityq-nil'!C1756)),--(TRIM('hospitalityq-nil'!D6:D1756)=TRIM('hospitalityq-nil'!D1756)))&gt;1))</f>
        <v>0</v>
      </c>
    </row>
    <row r="1757" spans="1:4" x14ac:dyDescent="0.25">
      <c r="A1757">
        <f t="shared" si="27"/>
        <v>0</v>
      </c>
      <c r="C1757">
        <f>NOT('hospitalityq-nil'!C1757="")*(OR(NOT(IFERROR(AND(INT('hospitalityq-nil'!C1757)='hospitalityq-nil'!C1757,'hospitalityq-nil'!C1757&gt;=2018-50,'hospitalityq-nil'!C1757&lt;=2018+50),FALSE)),SUMPRODUCT(--(TRIM('hospitalityq-nil'!C6:C1757)=TRIM('hospitalityq-nil'!C1757)),--(TRIM('hospitalityq-nil'!D6:D1757)=TRIM('hospitalityq-nil'!D1757)))&gt;1))</f>
        <v>0</v>
      </c>
      <c r="D1757">
        <f>NOT('hospitalityq-nil'!D1757="")*(OR(COUNTIF(reference!$C$144:$C$155,TRIM(LEFT('hospitalityq-nil'!D1757,FIND(":",'hospitalityq-nil'!D1757&amp;":")-1))&amp;":*")=0,SUMPRODUCT(--(TRIM('hospitalityq-nil'!C6:C1757)=TRIM('hospitalityq-nil'!C1757)),--(TRIM('hospitalityq-nil'!D6:D1757)=TRIM('hospitalityq-nil'!D1757)))&gt;1))</f>
        <v>0</v>
      </c>
    </row>
    <row r="1758" spans="1:4" x14ac:dyDescent="0.25">
      <c r="A1758">
        <f t="shared" si="27"/>
        <v>0</v>
      </c>
      <c r="C1758">
        <f>NOT('hospitalityq-nil'!C1758="")*(OR(NOT(IFERROR(AND(INT('hospitalityq-nil'!C1758)='hospitalityq-nil'!C1758,'hospitalityq-nil'!C1758&gt;=2018-50,'hospitalityq-nil'!C1758&lt;=2018+50),FALSE)),SUMPRODUCT(--(TRIM('hospitalityq-nil'!C6:C1758)=TRIM('hospitalityq-nil'!C1758)),--(TRIM('hospitalityq-nil'!D6:D1758)=TRIM('hospitalityq-nil'!D1758)))&gt;1))</f>
        <v>0</v>
      </c>
      <c r="D1758">
        <f>NOT('hospitalityq-nil'!D1758="")*(OR(COUNTIF(reference!$C$144:$C$155,TRIM(LEFT('hospitalityq-nil'!D1758,FIND(":",'hospitalityq-nil'!D1758&amp;":")-1))&amp;":*")=0,SUMPRODUCT(--(TRIM('hospitalityq-nil'!C6:C1758)=TRIM('hospitalityq-nil'!C1758)),--(TRIM('hospitalityq-nil'!D6:D1758)=TRIM('hospitalityq-nil'!D1758)))&gt;1))</f>
        <v>0</v>
      </c>
    </row>
    <row r="1759" spans="1:4" x14ac:dyDescent="0.25">
      <c r="A1759">
        <f t="shared" si="27"/>
        <v>0</v>
      </c>
      <c r="C1759">
        <f>NOT('hospitalityq-nil'!C1759="")*(OR(NOT(IFERROR(AND(INT('hospitalityq-nil'!C1759)='hospitalityq-nil'!C1759,'hospitalityq-nil'!C1759&gt;=2018-50,'hospitalityq-nil'!C1759&lt;=2018+50),FALSE)),SUMPRODUCT(--(TRIM('hospitalityq-nil'!C6:C1759)=TRIM('hospitalityq-nil'!C1759)),--(TRIM('hospitalityq-nil'!D6:D1759)=TRIM('hospitalityq-nil'!D1759)))&gt;1))</f>
        <v>0</v>
      </c>
      <c r="D1759">
        <f>NOT('hospitalityq-nil'!D1759="")*(OR(COUNTIF(reference!$C$144:$C$155,TRIM(LEFT('hospitalityq-nil'!D1759,FIND(":",'hospitalityq-nil'!D1759&amp;":")-1))&amp;":*")=0,SUMPRODUCT(--(TRIM('hospitalityq-nil'!C6:C1759)=TRIM('hospitalityq-nil'!C1759)),--(TRIM('hospitalityq-nil'!D6:D1759)=TRIM('hospitalityq-nil'!D1759)))&gt;1))</f>
        <v>0</v>
      </c>
    </row>
    <row r="1760" spans="1:4" x14ac:dyDescent="0.25">
      <c r="A1760">
        <f t="shared" si="27"/>
        <v>0</v>
      </c>
      <c r="C1760">
        <f>NOT('hospitalityq-nil'!C1760="")*(OR(NOT(IFERROR(AND(INT('hospitalityq-nil'!C1760)='hospitalityq-nil'!C1760,'hospitalityq-nil'!C1760&gt;=2018-50,'hospitalityq-nil'!C1760&lt;=2018+50),FALSE)),SUMPRODUCT(--(TRIM('hospitalityq-nil'!C6:C1760)=TRIM('hospitalityq-nil'!C1760)),--(TRIM('hospitalityq-nil'!D6:D1760)=TRIM('hospitalityq-nil'!D1760)))&gt;1))</f>
        <v>0</v>
      </c>
      <c r="D1760">
        <f>NOT('hospitalityq-nil'!D1760="")*(OR(COUNTIF(reference!$C$144:$C$155,TRIM(LEFT('hospitalityq-nil'!D1760,FIND(":",'hospitalityq-nil'!D1760&amp;":")-1))&amp;":*")=0,SUMPRODUCT(--(TRIM('hospitalityq-nil'!C6:C1760)=TRIM('hospitalityq-nil'!C1760)),--(TRIM('hospitalityq-nil'!D6:D1760)=TRIM('hospitalityq-nil'!D1760)))&gt;1))</f>
        <v>0</v>
      </c>
    </row>
    <row r="1761" spans="1:4" x14ac:dyDescent="0.25">
      <c r="A1761">
        <f t="shared" si="27"/>
        <v>0</v>
      </c>
      <c r="C1761">
        <f>NOT('hospitalityq-nil'!C1761="")*(OR(NOT(IFERROR(AND(INT('hospitalityq-nil'!C1761)='hospitalityq-nil'!C1761,'hospitalityq-nil'!C1761&gt;=2018-50,'hospitalityq-nil'!C1761&lt;=2018+50),FALSE)),SUMPRODUCT(--(TRIM('hospitalityq-nil'!C6:C1761)=TRIM('hospitalityq-nil'!C1761)),--(TRIM('hospitalityq-nil'!D6:D1761)=TRIM('hospitalityq-nil'!D1761)))&gt;1))</f>
        <v>0</v>
      </c>
      <c r="D1761">
        <f>NOT('hospitalityq-nil'!D1761="")*(OR(COUNTIF(reference!$C$144:$C$155,TRIM(LEFT('hospitalityq-nil'!D1761,FIND(":",'hospitalityq-nil'!D1761&amp;":")-1))&amp;":*")=0,SUMPRODUCT(--(TRIM('hospitalityq-nil'!C6:C1761)=TRIM('hospitalityq-nil'!C1761)),--(TRIM('hospitalityq-nil'!D6:D1761)=TRIM('hospitalityq-nil'!D1761)))&gt;1))</f>
        <v>0</v>
      </c>
    </row>
    <row r="1762" spans="1:4" x14ac:dyDescent="0.25">
      <c r="A1762">
        <f t="shared" si="27"/>
        <v>0</v>
      </c>
      <c r="C1762">
        <f>NOT('hospitalityq-nil'!C1762="")*(OR(NOT(IFERROR(AND(INT('hospitalityq-nil'!C1762)='hospitalityq-nil'!C1762,'hospitalityq-nil'!C1762&gt;=2018-50,'hospitalityq-nil'!C1762&lt;=2018+50),FALSE)),SUMPRODUCT(--(TRIM('hospitalityq-nil'!C6:C1762)=TRIM('hospitalityq-nil'!C1762)),--(TRIM('hospitalityq-nil'!D6:D1762)=TRIM('hospitalityq-nil'!D1762)))&gt;1))</f>
        <v>0</v>
      </c>
      <c r="D1762">
        <f>NOT('hospitalityq-nil'!D1762="")*(OR(COUNTIF(reference!$C$144:$C$155,TRIM(LEFT('hospitalityq-nil'!D1762,FIND(":",'hospitalityq-nil'!D1762&amp;":")-1))&amp;":*")=0,SUMPRODUCT(--(TRIM('hospitalityq-nil'!C6:C1762)=TRIM('hospitalityq-nil'!C1762)),--(TRIM('hospitalityq-nil'!D6:D1762)=TRIM('hospitalityq-nil'!D1762)))&gt;1))</f>
        <v>0</v>
      </c>
    </row>
    <row r="1763" spans="1:4" x14ac:dyDescent="0.25">
      <c r="A1763">
        <f t="shared" si="27"/>
        <v>0</v>
      </c>
      <c r="C1763">
        <f>NOT('hospitalityq-nil'!C1763="")*(OR(NOT(IFERROR(AND(INT('hospitalityq-nil'!C1763)='hospitalityq-nil'!C1763,'hospitalityq-nil'!C1763&gt;=2018-50,'hospitalityq-nil'!C1763&lt;=2018+50),FALSE)),SUMPRODUCT(--(TRIM('hospitalityq-nil'!C6:C1763)=TRIM('hospitalityq-nil'!C1763)),--(TRIM('hospitalityq-nil'!D6:D1763)=TRIM('hospitalityq-nil'!D1763)))&gt;1))</f>
        <v>0</v>
      </c>
      <c r="D1763">
        <f>NOT('hospitalityq-nil'!D1763="")*(OR(COUNTIF(reference!$C$144:$C$155,TRIM(LEFT('hospitalityq-nil'!D1763,FIND(":",'hospitalityq-nil'!D1763&amp;":")-1))&amp;":*")=0,SUMPRODUCT(--(TRIM('hospitalityq-nil'!C6:C1763)=TRIM('hospitalityq-nil'!C1763)),--(TRIM('hospitalityq-nil'!D6:D1763)=TRIM('hospitalityq-nil'!D1763)))&gt;1))</f>
        <v>0</v>
      </c>
    </row>
    <row r="1764" spans="1:4" x14ac:dyDescent="0.25">
      <c r="A1764">
        <f t="shared" si="27"/>
        <v>0</v>
      </c>
      <c r="C1764">
        <f>NOT('hospitalityq-nil'!C1764="")*(OR(NOT(IFERROR(AND(INT('hospitalityq-nil'!C1764)='hospitalityq-nil'!C1764,'hospitalityq-nil'!C1764&gt;=2018-50,'hospitalityq-nil'!C1764&lt;=2018+50),FALSE)),SUMPRODUCT(--(TRIM('hospitalityq-nil'!C6:C1764)=TRIM('hospitalityq-nil'!C1764)),--(TRIM('hospitalityq-nil'!D6:D1764)=TRIM('hospitalityq-nil'!D1764)))&gt;1))</f>
        <v>0</v>
      </c>
      <c r="D1764">
        <f>NOT('hospitalityq-nil'!D1764="")*(OR(COUNTIF(reference!$C$144:$C$155,TRIM(LEFT('hospitalityq-nil'!D1764,FIND(":",'hospitalityq-nil'!D1764&amp;":")-1))&amp;":*")=0,SUMPRODUCT(--(TRIM('hospitalityq-nil'!C6:C1764)=TRIM('hospitalityq-nil'!C1764)),--(TRIM('hospitalityq-nil'!D6:D1764)=TRIM('hospitalityq-nil'!D1764)))&gt;1))</f>
        <v>0</v>
      </c>
    </row>
    <row r="1765" spans="1:4" x14ac:dyDescent="0.25">
      <c r="A1765">
        <f t="shared" si="27"/>
        <v>0</v>
      </c>
      <c r="C1765">
        <f>NOT('hospitalityq-nil'!C1765="")*(OR(NOT(IFERROR(AND(INT('hospitalityq-nil'!C1765)='hospitalityq-nil'!C1765,'hospitalityq-nil'!C1765&gt;=2018-50,'hospitalityq-nil'!C1765&lt;=2018+50),FALSE)),SUMPRODUCT(--(TRIM('hospitalityq-nil'!C6:C1765)=TRIM('hospitalityq-nil'!C1765)),--(TRIM('hospitalityq-nil'!D6:D1765)=TRIM('hospitalityq-nil'!D1765)))&gt;1))</f>
        <v>0</v>
      </c>
      <c r="D1765">
        <f>NOT('hospitalityq-nil'!D1765="")*(OR(COUNTIF(reference!$C$144:$C$155,TRIM(LEFT('hospitalityq-nil'!D1765,FIND(":",'hospitalityq-nil'!D1765&amp;":")-1))&amp;":*")=0,SUMPRODUCT(--(TRIM('hospitalityq-nil'!C6:C1765)=TRIM('hospitalityq-nil'!C1765)),--(TRIM('hospitalityq-nil'!D6:D1765)=TRIM('hospitalityq-nil'!D1765)))&gt;1))</f>
        <v>0</v>
      </c>
    </row>
    <row r="1766" spans="1:4" x14ac:dyDescent="0.25">
      <c r="A1766">
        <f t="shared" si="27"/>
        <v>0</v>
      </c>
      <c r="C1766">
        <f>NOT('hospitalityq-nil'!C1766="")*(OR(NOT(IFERROR(AND(INT('hospitalityq-nil'!C1766)='hospitalityq-nil'!C1766,'hospitalityq-nil'!C1766&gt;=2018-50,'hospitalityq-nil'!C1766&lt;=2018+50),FALSE)),SUMPRODUCT(--(TRIM('hospitalityq-nil'!C6:C1766)=TRIM('hospitalityq-nil'!C1766)),--(TRIM('hospitalityq-nil'!D6:D1766)=TRIM('hospitalityq-nil'!D1766)))&gt;1))</f>
        <v>0</v>
      </c>
      <c r="D1766">
        <f>NOT('hospitalityq-nil'!D1766="")*(OR(COUNTIF(reference!$C$144:$C$155,TRIM(LEFT('hospitalityq-nil'!D1766,FIND(":",'hospitalityq-nil'!D1766&amp;":")-1))&amp;":*")=0,SUMPRODUCT(--(TRIM('hospitalityq-nil'!C6:C1766)=TRIM('hospitalityq-nil'!C1766)),--(TRIM('hospitalityq-nil'!D6:D1766)=TRIM('hospitalityq-nil'!D1766)))&gt;1))</f>
        <v>0</v>
      </c>
    </row>
    <row r="1767" spans="1:4" x14ac:dyDescent="0.25">
      <c r="A1767">
        <f t="shared" si="27"/>
        <v>0</v>
      </c>
      <c r="C1767">
        <f>NOT('hospitalityq-nil'!C1767="")*(OR(NOT(IFERROR(AND(INT('hospitalityq-nil'!C1767)='hospitalityq-nil'!C1767,'hospitalityq-nil'!C1767&gt;=2018-50,'hospitalityq-nil'!C1767&lt;=2018+50),FALSE)),SUMPRODUCT(--(TRIM('hospitalityq-nil'!C6:C1767)=TRIM('hospitalityq-nil'!C1767)),--(TRIM('hospitalityq-nil'!D6:D1767)=TRIM('hospitalityq-nil'!D1767)))&gt;1))</f>
        <v>0</v>
      </c>
      <c r="D1767">
        <f>NOT('hospitalityq-nil'!D1767="")*(OR(COUNTIF(reference!$C$144:$C$155,TRIM(LEFT('hospitalityq-nil'!D1767,FIND(":",'hospitalityq-nil'!D1767&amp;":")-1))&amp;":*")=0,SUMPRODUCT(--(TRIM('hospitalityq-nil'!C6:C1767)=TRIM('hospitalityq-nil'!C1767)),--(TRIM('hospitalityq-nil'!D6:D1767)=TRIM('hospitalityq-nil'!D1767)))&gt;1))</f>
        <v>0</v>
      </c>
    </row>
    <row r="1768" spans="1:4" x14ac:dyDescent="0.25">
      <c r="A1768">
        <f t="shared" si="27"/>
        <v>0</v>
      </c>
      <c r="C1768">
        <f>NOT('hospitalityq-nil'!C1768="")*(OR(NOT(IFERROR(AND(INT('hospitalityq-nil'!C1768)='hospitalityq-nil'!C1768,'hospitalityq-nil'!C1768&gt;=2018-50,'hospitalityq-nil'!C1768&lt;=2018+50),FALSE)),SUMPRODUCT(--(TRIM('hospitalityq-nil'!C6:C1768)=TRIM('hospitalityq-nil'!C1768)),--(TRIM('hospitalityq-nil'!D6:D1768)=TRIM('hospitalityq-nil'!D1768)))&gt;1))</f>
        <v>0</v>
      </c>
      <c r="D1768">
        <f>NOT('hospitalityq-nil'!D1768="")*(OR(COUNTIF(reference!$C$144:$C$155,TRIM(LEFT('hospitalityq-nil'!D1768,FIND(":",'hospitalityq-nil'!D1768&amp;":")-1))&amp;":*")=0,SUMPRODUCT(--(TRIM('hospitalityq-nil'!C6:C1768)=TRIM('hospitalityq-nil'!C1768)),--(TRIM('hospitalityq-nil'!D6:D1768)=TRIM('hospitalityq-nil'!D1768)))&gt;1))</f>
        <v>0</v>
      </c>
    </row>
    <row r="1769" spans="1:4" x14ac:dyDescent="0.25">
      <c r="A1769">
        <f t="shared" si="27"/>
        <v>0</v>
      </c>
      <c r="C1769">
        <f>NOT('hospitalityq-nil'!C1769="")*(OR(NOT(IFERROR(AND(INT('hospitalityq-nil'!C1769)='hospitalityq-nil'!C1769,'hospitalityq-nil'!C1769&gt;=2018-50,'hospitalityq-nil'!C1769&lt;=2018+50),FALSE)),SUMPRODUCT(--(TRIM('hospitalityq-nil'!C6:C1769)=TRIM('hospitalityq-nil'!C1769)),--(TRIM('hospitalityq-nil'!D6:D1769)=TRIM('hospitalityq-nil'!D1769)))&gt;1))</f>
        <v>0</v>
      </c>
      <c r="D1769">
        <f>NOT('hospitalityq-nil'!D1769="")*(OR(COUNTIF(reference!$C$144:$C$155,TRIM(LEFT('hospitalityq-nil'!D1769,FIND(":",'hospitalityq-nil'!D1769&amp;":")-1))&amp;":*")=0,SUMPRODUCT(--(TRIM('hospitalityq-nil'!C6:C1769)=TRIM('hospitalityq-nil'!C1769)),--(TRIM('hospitalityq-nil'!D6:D1769)=TRIM('hospitalityq-nil'!D1769)))&gt;1))</f>
        <v>0</v>
      </c>
    </row>
    <row r="1770" spans="1:4" x14ac:dyDescent="0.25">
      <c r="A1770">
        <f t="shared" si="27"/>
        <v>0</v>
      </c>
      <c r="C1770">
        <f>NOT('hospitalityq-nil'!C1770="")*(OR(NOT(IFERROR(AND(INT('hospitalityq-nil'!C1770)='hospitalityq-nil'!C1770,'hospitalityq-nil'!C1770&gt;=2018-50,'hospitalityq-nil'!C1770&lt;=2018+50),FALSE)),SUMPRODUCT(--(TRIM('hospitalityq-nil'!C6:C1770)=TRIM('hospitalityq-nil'!C1770)),--(TRIM('hospitalityq-nil'!D6:D1770)=TRIM('hospitalityq-nil'!D1770)))&gt;1))</f>
        <v>0</v>
      </c>
      <c r="D1770">
        <f>NOT('hospitalityq-nil'!D1770="")*(OR(COUNTIF(reference!$C$144:$C$155,TRIM(LEFT('hospitalityq-nil'!D1770,FIND(":",'hospitalityq-nil'!D1770&amp;":")-1))&amp;":*")=0,SUMPRODUCT(--(TRIM('hospitalityq-nil'!C6:C1770)=TRIM('hospitalityq-nil'!C1770)),--(TRIM('hospitalityq-nil'!D6:D1770)=TRIM('hospitalityq-nil'!D1770)))&gt;1))</f>
        <v>0</v>
      </c>
    </row>
    <row r="1771" spans="1:4" x14ac:dyDescent="0.25">
      <c r="A1771">
        <f t="shared" si="27"/>
        <v>0</v>
      </c>
      <c r="C1771">
        <f>NOT('hospitalityq-nil'!C1771="")*(OR(NOT(IFERROR(AND(INT('hospitalityq-nil'!C1771)='hospitalityq-nil'!C1771,'hospitalityq-nil'!C1771&gt;=2018-50,'hospitalityq-nil'!C1771&lt;=2018+50),FALSE)),SUMPRODUCT(--(TRIM('hospitalityq-nil'!C6:C1771)=TRIM('hospitalityq-nil'!C1771)),--(TRIM('hospitalityq-nil'!D6:D1771)=TRIM('hospitalityq-nil'!D1771)))&gt;1))</f>
        <v>0</v>
      </c>
      <c r="D1771">
        <f>NOT('hospitalityq-nil'!D1771="")*(OR(COUNTIF(reference!$C$144:$C$155,TRIM(LEFT('hospitalityq-nil'!D1771,FIND(":",'hospitalityq-nil'!D1771&amp;":")-1))&amp;":*")=0,SUMPRODUCT(--(TRIM('hospitalityq-nil'!C6:C1771)=TRIM('hospitalityq-nil'!C1771)),--(TRIM('hospitalityq-nil'!D6:D1771)=TRIM('hospitalityq-nil'!D1771)))&gt;1))</f>
        <v>0</v>
      </c>
    </row>
    <row r="1772" spans="1:4" x14ac:dyDescent="0.25">
      <c r="A1772">
        <f t="shared" si="27"/>
        <v>0</v>
      </c>
      <c r="C1772">
        <f>NOT('hospitalityq-nil'!C1772="")*(OR(NOT(IFERROR(AND(INT('hospitalityq-nil'!C1772)='hospitalityq-nil'!C1772,'hospitalityq-nil'!C1772&gt;=2018-50,'hospitalityq-nil'!C1772&lt;=2018+50),FALSE)),SUMPRODUCT(--(TRIM('hospitalityq-nil'!C6:C1772)=TRIM('hospitalityq-nil'!C1772)),--(TRIM('hospitalityq-nil'!D6:D1772)=TRIM('hospitalityq-nil'!D1772)))&gt;1))</f>
        <v>0</v>
      </c>
      <c r="D1772">
        <f>NOT('hospitalityq-nil'!D1772="")*(OR(COUNTIF(reference!$C$144:$C$155,TRIM(LEFT('hospitalityq-nil'!D1772,FIND(":",'hospitalityq-nil'!D1772&amp;":")-1))&amp;":*")=0,SUMPRODUCT(--(TRIM('hospitalityq-nil'!C6:C1772)=TRIM('hospitalityq-nil'!C1772)),--(TRIM('hospitalityq-nil'!D6:D1772)=TRIM('hospitalityq-nil'!D1772)))&gt;1))</f>
        <v>0</v>
      </c>
    </row>
    <row r="1773" spans="1:4" x14ac:dyDescent="0.25">
      <c r="A1773">
        <f t="shared" si="27"/>
        <v>0</v>
      </c>
      <c r="C1773">
        <f>NOT('hospitalityq-nil'!C1773="")*(OR(NOT(IFERROR(AND(INT('hospitalityq-nil'!C1773)='hospitalityq-nil'!C1773,'hospitalityq-nil'!C1773&gt;=2018-50,'hospitalityq-nil'!C1773&lt;=2018+50),FALSE)),SUMPRODUCT(--(TRIM('hospitalityq-nil'!C6:C1773)=TRIM('hospitalityq-nil'!C1773)),--(TRIM('hospitalityq-nil'!D6:D1773)=TRIM('hospitalityq-nil'!D1773)))&gt;1))</f>
        <v>0</v>
      </c>
      <c r="D1773">
        <f>NOT('hospitalityq-nil'!D1773="")*(OR(COUNTIF(reference!$C$144:$C$155,TRIM(LEFT('hospitalityq-nil'!D1773,FIND(":",'hospitalityq-nil'!D1773&amp;":")-1))&amp;":*")=0,SUMPRODUCT(--(TRIM('hospitalityq-nil'!C6:C1773)=TRIM('hospitalityq-nil'!C1773)),--(TRIM('hospitalityq-nil'!D6:D1773)=TRIM('hospitalityq-nil'!D1773)))&gt;1))</f>
        <v>0</v>
      </c>
    </row>
    <row r="1774" spans="1:4" x14ac:dyDescent="0.25">
      <c r="A1774">
        <f t="shared" si="27"/>
        <v>0</v>
      </c>
      <c r="C1774">
        <f>NOT('hospitalityq-nil'!C1774="")*(OR(NOT(IFERROR(AND(INT('hospitalityq-nil'!C1774)='hospitalityq-nil'!C1774,'hospitalityq-nil'!C1774&gt;=2018-50,'hospitalityq-nil'!C1774&lt;=2018+50),FALSE)),SUMPRODUCT(--(TRIM('hospitalityq-nil'!C6:C1774)=TRIM('hospitalityq-nil'!C1774)),--(TRIM('hospitalityq-nil'!D6:D1774)=TRIM('hospitalityq-nil'!D1774)))&gt;1))</f>
        <v>0</v>
      </c>
      <c r="D1774">
        <f>NOT('hospitalityq-nil'!D1774="")*(OR(COUNTIF(reference!$C$144:$C$155,TRIM(LEFT('hospitalityq-nil'!D1774,FIND(":",'hospitalityq-nil'!D1774&amp;":")-1))&amp;":*")=0,SUMPRODUCT(--(TRIM('hospitalityq-nil'!C6:C1774)=TRIM('hospitalityq-nil'!C1774)),--(TRIM('hospitalityq-nil'!D6:D1774)=TRIM('hospitalityq-nil'!D1774)))&gt;1))</f>
        <v>0</v>
      </c>
    </row>
    <row r="1775" spans="1:4" x14ac:dyDescent="0.25">
      <c r="A1775">
        <f t="shared" si="27"/>
        <v>0</v>
      </c>
      <c r="C1775">
        <f>NOT('hospitalityq-nil'!C1775="")*(OR(NOT(IFERROR(AND(INT('hospitalityq-nil'!C1775)='hospitalityq-nil'!C1775,'hospitalityq-nil'!C1775&gt;=2018-50,'hospitalityq-nil'!C1775&lt;=2018+50),FALSE)),SUMPRODUCT(--(TRIM('hospitalityq-nil'!C6:C1775)=TRIM('hospitalityq-nil'!C1775)),--(TRIM('hospitalityq-nil'!D6:D1775)=TRIM('hospitalityq-nil'!D1775)))&gt;1))</f>
        <v>0</v>
      </c>
      <c r="D1775">
        <f>NOT('hospitalityq-nil'!D1775="")*(OR(COUNTIF(reference!$C$144:$C$155,TRIM(LEFT('hospitalityq-nil'!D1775,FIND(":",'hospitalityq-nil'!D1775&amp;":")-1))&amp;":*")=0,SUMPRODUCT(--(TRIM('hospitalityq-nil'!C6:C1775)=TRIM('hospitalityq-nil'!C1775)),--(TRIM('hospitalityq-nil'!D6:D1775)=TRIM('hospitalityq-nil'!D1775)))&gt;1))</f>
        <v>0</v>
      </c>
    </row>
    <row r="1776" spans="1:4" x14ac:dyDescent="0.25">
      <c r="A1776">
        <f t="shared" si="27"/>
        <v>0</v>
      </c>
      <c r="C1776">
        <f>NOT('hospitalityq-nil'!C1776="")*(OR(NOT(IFERROR(AND(INT('hospitalityq-nil'!C1776)='hospitalityq-nil'!C1776,'hospitalityq-nil'!C1776&gt;=2018-50,'hospitalityq-nil'!C1776&lt;=2018+50),FALSE)),SUMPRODUCT(--(TRIM('hospitalityq-nil'!C6:C1776)=TRIM('hospitalityq-nil'!C1776)),--(TRIM('hospitalityq-nil'!D6:D1776)=TRIM('hospitalityq-nil'!D1776)))&gt;1))</f>
        <v>0</v>
      </c>
      <c r="D1776">
        <f>NOT('hospitalityq-nil'!D1776="")*(OR(COUNTIF(reference!$C$144:$C$155,TRIM(LEFT('hospitalityq-nil'!D1776,FIND(":",'hospitalityq-nil'!D1776&amp;":")-1))&amp;":*")=0,SUMPRODUCT(--(TRIM('hospitalityq-nil'!C6:C1776)=TRIM('hospitalityq-nil'!C1776)),--(TRIM('hospitalityq-nil'!D6:D1776)=TRIM('hospitalityq-nil'!D1776)))&gt;1))</f>
        <v>0</v>
      </c>
    </row>
    <row r="1777" spans="1:4" x14ac:dyDescent="0.25">
      <c r="A1777">
        <f t="shared" si="27"/>
        <v>0</v>
      </c>
      <c r="C1777">
        <f>NOT('hospitalityq-nil'!C1777="")*(OR(NOT(IFERROR(AND(INT('hospitalityq-nil'!C1777)='hospitalityq-nil'!C1777,'hospitalityq-nil'!C1777&gt;=2018-50,'hospitalityq-nil'!C1777&lt;=2018+50),FALSE)),SUMPRODUCT(--(TRIM('hospitalityq-nil'!C6:C1777)=TRIM('hospitalityq-nil'!C1777)),--(TRIM('hospitalityq-nil'!D6:D1777)=TRIM('hospitalityq-nil'!D1777)))&gt;1))</f>
        <v>0</v>
      </c>
      <c r="D1777">
        <f>NOT('hospitalityq-nil'!D1777="")*(OR(COUNTIF(reference!$C$144:$C$155,TRIM(LEFT('hospitalityq-nil'!D1777,FIND(":",'hospitalityq-nil'!D1777&amp;":")-1))&amp;":*")=0,SUMPRODUCT(--(TRIM('hospitalityq-nil'!C6:C1777)=TRIM('hospitalityq-nil'!C1777)),--(TRIM('hospitalityq-nil'!D6:D1777)=TRIM('hospitalityq-nil'!D1777)))&gt;1))</f>
        <v>0</v>
      </c>
    </row>
    <row r="1778" spans="1:4" x14ac:dyDescent="0.25">
      <c r="A1778">
        <f t="shared" si="27"/>
        <v>0</v>
      </c>
      <c r="C1778">
        <f>NOT('hospitalityq-nil'!C1778="")*(OR(NOT(IFERROR(AND(INT('hospitalityq-nil'!C1778)='hospitalityq-nil'!C1778,'hospitalityq-nil'!C1778&gt;=2018-50,'hospitalityq-nil'!C1778&lt;=2018+50),FALSE)),SUMPRODUCT(--(TRIM('hospitalityq-nil'!C6:C1778)=TRIM('hospitalityq-nil'!C1778)),--(TRIM('hospitalityq-nil'!D6:D1778)=TRIM('hospitalityq-nil'!D1778)))&gt;1))</f>
        <v>0</v>
      </c>
      <c r="D1778">
        <f>NOT('hospitalityq-nil'!D1778="")*(OR(COUNTIF(reference!$C$144:$C$155,TRIM(LEFT('hospitalityq-nil'!D1778,FIND(":",'hospitalityq-nil'!D1778&amp;":")-1))&amp;":*")=0,SUMPRODUCT(--(TRIM('hospitalityq-nil'!C6:C1778)=TRIM('hospitalityq-nil'!C1778)),--(TRIM('hospitalityq-nil'!D6:D1778)=TRIM('hospitalityq-nil'!D1778)))&gt;1))</f>
        <v>0</v>
      </c>
    </row>
    <row r="1779" spans="1:4" x14ac:dyDescent="0.25">
      <c r="A1779">
        <f t="shared" si="27"/>
        <v>0</v>
      </c>
      <c r="C1779">
        <f>NOT('hospitalityq-nil'!C1779="")*(OR(NOT(IFERROR(AND(INT('hospitalityq-nil'!C1779)='hospitalityq-nil'!C1779,'hospitalityq-nil'!C1779&gt;=2018-50,'hospitalityq-nil'!C1779&lt;=2018+50),FALSE)),SUMPRODUCT(--(TRIM('hospitalityq-nil'!C6:C1779)=TRIM('hospitalityq-nil'!C1779)),--(TRIM('hospitalityq-nil'!D6:D1779)=TRIM('hospitalityq-nil'!D1779)))&gt;1))</f>
        <v>0</v>
      </c>
      <c r="D1779">
        <f>NOT('hospitalityq-nil'!D1779="")*(OR(COUNTIF(reference!$C$144:$C$155,TRIM(LEFT('hospitalityq-nil'!D1779,FIND(":",'hospitalityq-nil'!D1779&amp;":")-1))&amp;":*")=0,SUMPRODUCT(--(TRIM('hospitalityq-nil'!C6:C1779)=TRIM('hospitalityq-nil'!C1779)),--(TRIM('hospitalityq-nil'!D6:D1779)=TRIM('hospitalityq-nil'!D1779)))&gt;1))</f>
        <v>0</v>
      </c>
    </row>
    <row r="1780" spans="1:4" x14ac:dyDescent="0.25">
      <c r="A1780">
        <f t="shared" si="27"/>
        <v>0</v>
      </c>
      <c r="C1780">
        <f>NOT('hospitalityq-nil'!C1780="")*(OR(NOT(IFERROR(AND(INT('hospitalityq-nil'!C1780)='hospitalityq-nil'!C1780,'hospitalityq-nil'!C1780&gt;=2018-50,'hospitalityq-nil'!C1780&lt;=2018+50),FALSE)),SUMPRODUCT(--(TRIM('hospitalityq-nil'!C6:C1780)=TRIM('hospitalityq-nil'!C1780)),--(TRIM('hospitalityq-nil'!D6:D1780)=TRIM('hospitalityq-nil'!D1780)))&gt;1))</f>
        <v>0</v>
      </c>
      <c r="D1780">
        <f>NOT('hospitalityq-nil'!D1780="")*(OR(COUNTIF(reference!$C$144:$C$155,TRIM(LEFT('hospitalityq-nil'!D1780,FIND(":",'hospitalityq-nil'!D1780&amp;":")-1))&amp;":*")=0,SUMPRODUCT(--(TRIM('hospitalityq-nil'!C6:C1780)=TRIM('hospitalityq-nil'!C1780)),--(TRIM('hospitalityq-nil'!D6:D1780)=TRIM('hospitalityq-nil'!D1780)))&gt;1))</f>
        <v>0</v>
      </c>
    </row>
    <row r="1781" spans="1:4" x14ac:dyDescent="0.25">
      <c r="A1781">
        <f t="shared" si="27"/>
        <v>0</v>
      </c>
      <c r="C1781">
        <f>NOT('hospitalityq-nil'!C1781="")*(OR(NOT(IFERROR(AND(INT('hospitalityq-nil'!C1781)='hospitalityq-nil'!C1781,'hospitalityq-nil'!C1781&gt;=2018-50,'hospitalityq-nil'!C1781&lt;=2018+50),FALSE)),SUMPRODUCT(--(TRIM('hospitalityq-nil'!C6:C1781)=TRIM('hospitalityq-nil'!C1781)),--(TRIM('hospitalityq-nil'!D6:D1781)=TRIM('hospitalityq-nil'!D1781)))&gt;1))</f>
        <v>0</v>
      </c>
      <c r="D1781">
        <f>NOT('hospitalityq-nil'!D1781="")*(OR(COUNTIF(reference!$C$144:$C$155,TRIM(LEFT('hospitalityq-nil'!D1781,FIND(":",'hospitalityq-nil'!D1781&amp;":")-1))&amp;":*")=0,SUMPRODUCT(--(TRIM('hospitalityq-nil'!C6:C1781)=TRIM('hospitalityq-nil'!C1781)),--(TRIM('hospitalityq-nil'!D6:D1781)=TRIM('hospitalityq-nil'!D1781)))&gt;1))</f>
        <v>0</v>
      </c>
    </row>
    <row r="1782" spans="1:4" x14ac:dyDescent="0.25">
      <c r="A1782">
        <f t="shared" si="27"/>
        <v>0</v>
      </c>
      <c r="C1782">
        <f>NOT('hospitalityq-nil'!C1782="")*(OR(NOT(IFERROR(AND(INT('hospitalityq-nil'!C1782)='hospitalityq-nil'!C1782,'hospitalityq-nil'!C1782&gt;=2018-50,'hospitalityq-nil'!C1782&lt;=2018+50),FALSE)),SUMPRODUCT(--(TRIM('hospitalityq-nil'!C6:C1782)=TRIM('hospitalityq-nil'!C1782)),--(TRIM('hospitalityq-nil'!D6:D1782)=TRIM('hospitalityq-nil'!D1782)))&gt;1))</f>
        <v>0</v>
      </c>
      <c r="D1782">
        <f>NOT('hospitalityq-nil'!D1782="")*(OR(COUNTIF(reference!$C$144:$C$155,TRIM(LEFT('hospitalityq-nil'!D1782,FIND(":",'hospitalityq-nil'!D1782&amp;":")-1))&amp;":*")=0,SUMPRODUCT(--(TRIM('hospitalityq-nil'!C6:C1782)=TRIM('hospitalityq-nil'!C1782)),--(TRIM('hospitalityq-nil'!D6:D1782)=TRIM('hospitalityq-nil'!D1782)))&gt;1))</f>
        <v>0</v>
      </c>
    </row>
    <row r="1783" spans="1:4" x14ac:dyDescent="0.25">
      <c r="A1783">
        <f t="shared" si="27"/>
        <v>0</v>
      </c>
      <c r="C1783">
        <f>NOT('hospitalityq-nil'!C1783="")*(OR(NOT(IFERROR(AND(INT('hospitalityq-nil'!C1783)='hospitalityq-nil'!C1783,'hospitalityq-nil'!C1783&gt;=2018-50,'hospitalityq-nil'!C1783&lt;=2018+50),FALSE)),SUMPRODUCT(--(TRIM('hospitalityq-nil'!C6:C1783)=TRIM('hospitalityq-nil'!C1783)),--(TRIM('hospitalityq-nil'!D6:D1783)=TRIM('hospitalityq-nil'!D1783)))&gt;1))</f>
        <v>0</v>
      </c>
      <c r="D1783">
        <f>NOT('hospitalityq-nil'!D1783="")*(OR(COUNTIF(reference!$C$144:$C$155,TRIM(LEFT('hospitalityq-nil'!D1783,FIND(":",'hospitalityq-nil'!D1783&amp;":")-1))&amp;":*")=0,SUMPRODUCT(--(TRIM('hospitalityq-nil'!C6:C1783)=TRIM('hospitalityq-nil'!C1783)),--(TRIM('hospitalityq-nil'!D6:D1783)=TRIM('hospitalityq-nil'!D1783)))&gt;1))</f>
        <v>0</v>
      </c>
    </row>
    <row r="1784" spans="1:4" x14ac:dyDescent="0.25">
      <c r="A1784">
        <f t="shared" si="27"/>
        <v>0</v>
      </c>
      <c r="C1784">
        <f>NOT('hospitalityq-nil'!C1784="")*(OR(NOT(IFERROR(AND(INT('hospitalityq-nil'!C1784)='hospitalityq-nil'!C1784,'hospitalityq-nil'!C1784&gt;=2018-50,'hospitalityq-nil'!C1784&lt;=2018+50),FALSE)),SUMPRODUCT(--(TRIM('hospitalityq-nil'!C6:C1784)=TRIM('hospitalityq-nil'!C1784)),--(TRIM('hospitalityq-nil'!D6:D1784)=TRIM('hospitalityq-nil'!D1784)))&gt;1))</f>
        <v>0</v>
      </c>
      <c r="D1784">
        <f>NOT('hospitalityq-nil'!D1784="")*(OR(COUNTIF(reference!$C$144:$C$155,TRIM(LEFT('hospitalityq-nil'!D1784,FIND(":",'hospitalityq-nil'!D1784&amp;":")-1))&amp;":*")=0,SUMPRODUCT(--(TRIM('hospitalityq-nil'!C6:C1784)=TRIM('hospitalityq-nil'!C1784)),--(TRIM('hospitalityq-nil'!D6:D1784)=TRIM('hospitalityq-nil'!D1784)))&gt;1))</f>
        <v>0</v>
      </c>
    </row>
    <row r="1785" spans="1:4" x14ac:dyDescent="0.25">
      <c r="A1785">
        <f t="shared" si="27"/>
        <v>0</v>
      </c>
      <c r="C1785">
        <f>NOT('hospitalityq-nil'!C1785="")*(OR(NOT(IFERROR(AND(INT('hospitalityq-nil'!C1785)='hospitalityq-nil'!C1785,'hospitalityq-nil'!C1785&gt;=2018-50,'hospitalityq-nil'!C1785&lt;=2018+50),FALSE)),SUMPRODUCT(--(TRIM('hospitalityq-nil'!C6:C1785)=TRIM('hospitalityq-nil'!C1785)),--(TRIM('hospitalityq-nil'!D6:D1785)=TRIM('hospitalityq-nil'!D1785)))&gt;1))</f>
        <v>0</v>
      </c>
      <c r="D1785">
        <f>NOT('hospitalityq-nil'!D1785="")*(OR(COUNTIF(reference!$C$144:$C$155,TRIM(LEFT('hospitalityq-nil'!D1785,FIND(":",'hospitalityq-nil'!D1785&amp;":")-1))&amp;":*")=0,SUMPRODUCT(--(TRIM('hospitalityq-nil'!C6:C1785)=TRIM('hospitalityq-nil'!C1785)),--(TRIM('hospitalityq-nil'!D6:D1785)=TRIM('hospitalityq-nil'!D1785)))&gt;1))</f>
        <v>0</v>
      </c>
    </row>
    <row r="1786" spans="1:4" x14ac:dyDescent="0.25">
      <c r="A1786">
        <f t="shared" si="27"/>
        <v>0</v>
      </c>
      <c r="C1786">
        <f>NOT('hospitalityq-nil'!C1786="")*(OR(NOT(IFERROR(AND(INT('hospitalityq-nil'!C1786)='hospitalityq-nil'!C1786,'hospitalityq-nil'!C1786&gt;=2018-50,'hospitalityq-nil'!C1786&lt;=2018+50),FALSE)),SUMPRODUCT(--(TRIM('hospitalityq-nil'!C6:C1786)=TRIM('hospitalityq-nil'!C1786)),--(TRIM('hospitalityq-nil'!D6:D1786)=TRIM('hospitalityq-nil'!D1786)))&gt;1))</f>
        <v>0</v>
      </c>
      <c r="D1786">
        <f>NOT('hospitalityq-nil'!D1786="")*(OR(COUNTIF(reference!$C$144:$C$155,TRIM(LEFT('hospitalityq-nil'!D1786,FIND(":",'hospitalityq-nil'!D1786&amp;":")-1))&amp;":*")=0,SUMPRODUCT(--(TRIM('hospitalityq-nil'!C6:C1786)=TRIM('hospitalityq-nil'!C1786)),--(TRIM('hospitalityq-nil'!D6:D1786)=TRIM('hospitalityq-nil'!D1786)))&gt;1))</f>
        <v>0</v>
      </c>
    </row>
    <row r="1787" spans="1:4" x14ac:dyDescent="0.25">
      <c r="A1787">
        <f t="shared" si="27"/>
        <v>0</v>
      </c>
      <c r="C1787">
        <f>NOT('hospitalityq-nil'!C1787="")*(OR(NOT(IFERROR(AND(INT('hospitalityq-nil'!C1787)='hospitalityq-nil'!C1787,'hospitalityq-nil'!C1787&gt;=2018-50,'hospitalityq-nil'!C1787&lt;=2018+50),FALSE)),SUMPRODUCT(--(TRIM('hospitalityq-nil'!C6:C1787)=TRIM('hospitalityq-nil'!C1787)),--(TRIM('hospitalityq-nil'!D6:D1787)=TRIM('hospitalityq-nil'!D1787)))&gt;1))</f>
        <v>0</v>
      </c>
      <c r="D1787">
        <f>NOT('hospitalityq-nil'!D1787="")*(OR(COUNTIF(reference!$C$144:$C$155,TRIM(LEFT('hospitalityq-nil'!D1787,FIND(":",'hospitalityq-nil'!D1787&amp;":")-1))&amp;":*")=0,SUMPRODUCT(--(TRIM('hospitalityq-nil'!C6:C1787)=TRIM('hospitalityq-nil'!C1787)),--(TRIM('hospitalityq-nil'!D6:D1787)=TRIM('hospitalityq-nil'!D1787)))&gt;1))</f>
        <v>0</v>
      </c>
    </row>
    <row r="1788" spans="1:4" x14ac:dyDescent="0.25">
      <c r="A1788">
        <f t="shared" si="27"/>
        <v>0</v>
      </c>
      <c r="C1788">
        <f>NOT('hospitalityq-nil'!C1788="")*(OR(NOT(IFERROR(AND(INT('hospitalityq-nil'!C1788)='hospitalityq-nil'!C1788,'hospitalityq-nil'!C1788&gt;=2018-50,'hospitalityq-nil'!C1788&lt;=2018+50),FALSE)),SUMPRODUCT(--(TRIM('hospitalityq-nil'!C6:C1788)=TRIM('hospitalityq-nil'!C1788)),--(TRIM('hospitalityq-nil'!D6:D1788)=TRIM('hospitalityq-nil'!D1788)))&gt;1))</f>
        <v>0</v>
      </c>
      <c r="D1788">
        <f>NOT('hospitalityq-nil'!D1788="")*(OR(COUNTIF(reference!$C$144:$C$155,TRIM(LEFT('hospitalityq-nil'!D1788,FIND(":",'hospitalityq-nil'!D1788&amp;":")-1))&amp;":*")=0,SUMPRODUCT(--(TRIM('hospitalityq-nil'!C6:C1788)=TRIM('hospitalityq-nil'!C1788)),--(TRIM('hospitalityq-nil'!D6:D1788)=TRIM('hospitalityq-nil'!D1788)))&gt;1))</f>
        <v>0</v>
      </c>
    </row>
    <row r="1789" spans="1:4" x14ac:dyDescent="0.25">
      <c r="A1789">
        <f t="shared" si="27"/>
        <v>0</v>
      </c>
      <c r="C1789">
        <f>NOT('hospitalityq-nil'!C1789="")*(OR(NOT(IFERROR(AND(INT('hospitalityq-nil'!C1789)='hospitalityq-nil'!C1789,'hospitalityq-nil'!C1789&gt;=2018-50,'hospitalityq-nil'!C1789&lt;=2018+50),FALSE)),SUMPRODUCT(--(TRIM('hospitalityq-nil'!C6:C1789)=TRIM('hospitalityq-nil'!C1789)),--(TRIM('hospitalityq-nil'!D6:D1789)=TRIM('hospitalityq-nil'!D1789)))&gt;1))</f>
        <v>0</v>
      </c>
      <c r="D1789">
        <f>NOT('hospitalityq-nil'!D1789="")*(OR(COUNTIF(reference!$C$144:$C$155,TRIM(LEFT('hospitalityq-nil'!D1789,FIND(":",'hospitalityq-nil'!D1789&amp;":")-1))&amp;":*")=0,SUMPRODUCT(--(TRIM('hospitalityq-nil'!C6:C1789)=TRIM('hospitalityq-nil'!C1789)),--(TRIM('hospitalityq-nil'!D6:D1789)=TRIM('hospitalityq-nil'!D1789)))&gt;1))</f>
        <v>0</v>
      </c>
    </row>
    <row r="1790" spans="1:4" x14ac:dyDescent="0.25">
      <c r="A1790">
        <f t="shared" si="27"/>
        <v>0</v>
      </c>
      <c r="C1790">
        <f>NOT('hospitalityq-nil'!C1790="")*(OR(NOT(IFERROR(AND(INT('hospitalityq-nil'!C1790)='hospitalityq-nil'!C1790,'hospitalityq-nil'!C1790&gt;=2018-50,'hospitalityq-nil'!C1790&lt;=2018+50),FALSE)),SUMPRODUCT(--(TRIM('hospitalityq-nil'!C6:C1790)=TRIM('hospitalityq-nil'!C1790)),--(TRIM('hospitalityq-nil'!D6:D1790)=TRIM('hospitalityq-nil'!D1790)))&gt;1))</f>
        <v>0</v>
      </c>
      <c r="D1790">
        <f>NOT('hospitalityq-nil'!D1790="")*(OR(COUNTIF(reference!$C$144:$C$155,TRIM(LEFT('hospitalityq-nil'!D1790,FIND(":",'hospitalityq-nil'!D1790&amp;":")-1))&amp;":*")=0,SUMPRODUCT(--(TRIM('hospitalityq-nil'!C6:C1790)=TRIM('hospitalityq-nil'!C1790)),--(TRIM('hospitalityq-nil'!D6:D1790)=TRIM('hospitalityq-nil'!D1790)))&gt;1))</f>
        <v>0</v>
      </c>
    </row>
    <row r="1791" spans="1:4" x14ac:dyDescent="0.25">
      <c r="A1791">
        <f t="shared" si="27"/>
        <v>0</v>
      </c>
      <c r="C1791">
        <f>NOT('hospitalityq-nil'!C1791="")*(OR(NOT(IFERROR(AND(INT('hospitalityq-nil'!C1791)='hospitalityq-nil'!C1791,'hospitalityq-nil'!C1791&gt;=2018-50,'hospitalityq-nil'!C1791&lt;=2018+50),FALSE)),SUMPRODUCT(--(TRIM('hospitalityq-nil'!C6:C1791)=TRIM('hospitalityq-nil'!C1791)),--(TRIM('hospitalityq-nil'!D6:D1791)=TRIM('hospitalityq-nil'!D1791)))&gt;1))</f>
        <v>0</v>
      </c>
      <c r="D1791">
        <f>NOT('hospitalityq-nil'!D1791="")*(OR(COUNTIF(reference!$C$144:$C$155,TRIM(LEFT('hospitalityq-nil'!D1791,FIND(":",'hospitalityq-nil'!D1791&amp;":")-1))&amp;":*")=0,SUMPRODUCT(--(TRIM('hospitalityq-nil'!C6:C1791)=TRIM('hospitalityq-nil'!C1791)),--(TRIM('hospitalityq-nil'!D6:D1791)=TRIM('hospitalityq-nil'!D1791)))&gt;1))</f>
        <v>0</v>
      </c>
    </row>
    <row r="1792" spans="1:4" x14ac:dyDescent="0.25">
      <c r="A1792">
        <f t="shared" si="27"/>
        <v>0</v>
      </c>
      <c r="C1792">
        <f>NOT('hospitalityq-nil'!C1792="")*(OR(NOT(IFERROR(AND(INT('hospitalityq-nil'!C1792)='hospitalityq-nil'!C1792,'hospitalityq-nil'!C1792&gt;=2018-50,'hospitalityq-nil'!C1792&lt;=2018+50),FALSE)),SUMPRODUCT(--(TRIM('hospitalityq-nil'!C6:C1792)=TRIM('hospitalityq-nil'!C1792)),--(TRIM('hospitalityq-nil'!D6:D1792)=TRIM('hospitalityq-nil'!D1792)))&gt;1))</f>
        <v>0</v>
      </c>
      <c r="D1792">
        <f>NOT('hospitalityq-nil'!D1792="")*(OR(COUNTIF(reference!$C$144:$C$155,TRIM(LEFT('hospitalityq-nil'!D1792,FIND(":",'hospitalityq-nil'!D1792&amp;":")-1))&amp;":*")=0,SUMPRODUCT(--(TRIM('hospitalityq-nil'!C6:C1792)=TRIM('hospitalityq-nil'!C1792)),--(TRIM('hospitalityq-nil'!D6:D1792)=TRIM('hospitalityq-nil'!D1792)))&gt;1))</f>
        <v>0</v>
      </c>
    </row>
    <row r="1793" spans="1:4" x14ac:dyDescent="0.25">
      <c r="A1793">
        <f t="shared" si="27"/>
        <v>0</v>
      </c>
      <c r="C1793">
        <f>NOT('hospitalityq-nil'!C1793="")*(OR(NOT(IFERROR(AND(INT('hospitalityq-nil'!C1793)='hospitalityq-nil'!C1793,'hospitalityq-nil'!C1793&gt;=2018-50,'hospitalityq-nil'!C1793&lt;=2018+50),FALSE)),SUMPRODUCT(--(TRIM('hospitalityq-nil'!C6:C1793)=TRIM('hospitalityq-nil'!C1793)),--(TRIM('hospitalityq-nil'!D6:D1793)=TRIM('hospitalityq-nil'!D1793)))&gt;1))</f>
        <v>0</v>
      </c>
      <c r="D1793">
        <f>NOT('hospitalityq-nil'!D1793="")*(OR(COUNTIF(reference!$C$144:$C$155,TRIM(LEFT('hospitalityq-nil'!D1793,FIND(":",'hospitalityq-nil'!D1793&amp;":")-1))&amp;":*")=0,SUMPRODUCT(--(TRIM('hospitalityq-nil'!C6:C1793)=TRIM('hospitalityq-nil'!C1793)),--(TRIM('hospitalityq-nil'!D6:D1793)=TRIM('hospitalityq-nil'!D1793)))&gt;1))</f>
        <v>0</v>
      </c>
    </row>
    <row r="1794" spans="1:4" x14ac:dyDescent="0.25">
      <c r="A1794">
        <f t="shared" si="27"/>
        <v>0</v>
      </c>
      <c r="C1794">
        <f>NOT('hospitalityq-nil'!C1794="")*(OR(NOT(IFERROR(AND(INT('hospitalityq-nil'!C1794)='hospitalityq-nil'!C1794,'hospitalityq-nil'!C1794&gt;=2018-50,'hospitalityq-nil'!C1794&lt;=2018+50),FALSE)),SUMPRODUCT(--(TRIM('hospitalityq-nil'!C6:C1794)=TRIM('hospitalityq-nil'!C1794)),--(TRIM('hospitalityq-nil'!D6:D1794)=TRIM('hospitalityq-nil'!D1794)))&gt;1))</f>
        <v>0</v>
      </c>
      <c r="D1794">
        <f>NOT('hospitalityq-nil'!D1794="")*(OR(COUNTIF(reference!$C$144:$C$155,TRIM(LEFT('hospitalityq-nil'!D1794,FIND(":",'hospitalityq-nil'!D1794&amp;":")-1))&amp;":*")=0,SUMPRODUCT(--(TRIM('hospitalityq-nil'!C6:C1794)=TRIM('hospitalityq-nil'!C1794)),--(TRIM('hospitalityq-nil'!D6:D1794)=TRIM('hospitalityq-nil'!D1794)))&gt;1))</f>
        <v>0</v>
      </c>
    </row>
    <row r="1795" spans="1:4" x14ac:dyDescent="0.25">
      <c r="A1795">
        <f t="shared" si="27"/>
        <v>0</v>
      </c>
      <c r="C1795">
        <f>NOT('hospitalityq-nil'!C1795="")*(OR(NOT(IFERROR(AND(INT('hospitalityq-nil'!C1795)='hospitalityq-nil'!C1795,'hospitalityq-nil'!C1795&gt;=2018-50,'hospitalityq-nil'!C1795&lt;=2018+50),FALSE)),SUMPRODUCT(--(TRIM('hospitalityq-nil'!C6:C1795)=TRIM('hospitalityq-nil'!C1795)),--(TRIM('hospitalityq-nil'!D6:D1795)=TRIM('hospitalityq-nil'!D1795)))&gt;1))</f>
        <v>0</v>
      </c>
      <c r="D1795">
        <f>NOT('hospitalityq-nil'!D1795="")*(OR(COUNTIF(reference!$C$144:$C$155,TRIM(LEFT('hospitalityq-nil'!D1795,FIND(":",'hospitalityq-nil'!D1795&amp;":")-1))&amp;":*")=0,SUMPRODUCT(--(TRIM('hospitalityq-nil'!C6:C1795)=TRIM('hospitalityq-nil'!C1795)),--(TRIM('hospitalityq-nil'!D6:D1795)=TRIM('hospitalityq-nil'!D1795)))&gt;1))</f>
        <v>0</v>
      </c>
    </row>
    <row r="1796" spans="1:4" x14ac:dyDescent="0.25">
      <c r="A1796">
        <f t="shared" si="27"/>
        <v>0</v>
      </c>
      <c r="C1796">
        <f>NOT('hospitalityq-nil'!C1796="")*(OR(NOT(IFERROR(AND(INT('hospitalityq-nil'!C1796)='hospitalityq-nil'!C1796,'hospitalityq-nil'!C1796&gt;=2018-50,'hospitalityq-nil'!C1796&lt;=2018+50),FALSE)),SUMPRODUCT(--(TRIM('hospitalityq-nil'!C6:C1796)=TRIM('hospitalityq-nil'!C1796)),--(TRIM('hospitalityq-nil'!D6:D1796)=TRIM('hospitalityq-nil'!D1796)))&gt;1))</f>
        <v>0</v>
      </c>
      <c r="D1796">
        <f>NOT('hospitalityq-nil'!D1796="")*(OR(COUNTIF(reference!$C$144:$C$155,TRIM(LEFT('hospitalityq-nil'!D1796,FIND(":",'hospitalityq-nil'!D1796&amp;":")-1))&amp;":*")=0,SUMPRODUCT(--(TRIM('hospitalityq-nil'!C6:C1796)=TRIM('hospitalityq-nil'!C1796)),--(TRIM('hospitalityq-nil'!D6:D1796)=TRIM('hospitalityq-nil'!D1796)))&gt;1))</f>
        <v>0</v>
      </c>
    </row>
    <row r="1797" spans="1:4" x14ac:dyDescent="0.25">
      <c r="A1797">
        <f t="shared" si="27"/>
        <v>0</v>
      </c>
      <c r="C1797">
        <f>NOT('hospitalityq-nil'!C1797="")*(OR(NOT(IFERROR(AND(INT('hospitalityq-nil'!C1797)='hospitalityq-nil'!C1797,'hospitalityq-nil'!C1797&gt;=2018-50,'hospitalityq-nil'!C1797&lt;=2018+50),FALSE)),SUMPRODUCT(--(TRIM('hospitalityq-nil'!C6:C1797)=TRIM('hospitalityq-nil'!C1797)),--(TRIM('hospitalityq-nil'!D6:D1797)=TRIM('hospitalityq-nil'!D1797)))&gt;1))</f>
        <v>0</v>
      </c>
      <c r="D1797">
        <f>NOT('hospitalityq-nil'!D1797="")*(OR(COUNTIF(reference!$C$144:$C$155,TRIM(LEFT('hospitalityq-nil'!D1797,FIND(":",'hospitalityq-nil'!D1797&amp;":")-1))&amp;":*")=0,SUMPRODUCT(--(TRIM('hospitalityq-nil'!C6:C1797)=TRIM('hospitalityq-nil'!C1797)),--(TRIM('hospitalityq-nil'!D6:D1797)=TRIM('hospitalityq-nil'!D1797)))&gt;1))</f>
        <v>0</v>
      </c>
    </row>
    <row r="1798" spans="1:4" x14ac:dyDescent="0.25">
      <c r="A1798">
        <f t="shared" ref="A1798:A1861" si="28">IFERROR(MATCH(TRUE,INDEX(C1798:D1798&lt;&gt;0,),)+2,0)</f>
        <v>0</v>
      </c>
      <c r="C1798">
        <f>NOT('hospitalityq-nil'!C1798="")*(OR(NOT(IFERROR(AND(INT('hospitalityq-nil'!C1798)='hospitalityq-nil'!C1798,'hospitalityq-nil'!C1798&gt;=2018-50,'hospitalityq-nil'!C1798&lt;=2018+50),FALSE)),SUMPRODUCT(--(TRIM('hospitalityq-nil'!C6:C1798)=TRIM('hospitalityq-nil'!C1798)),--(TRIM('hospitalityq-nil'!D6:D1798)=TRIM('hospitalityq-nil'!D1798)))&gt;1))</f>
        <v>0</v>
      </c>
      <c r="D1798">
        <f>NOT('hospitalityq-nil'!D1798="")*(OR(COUNTIF(reference!$C$144:$C$155,TRIM(LEFT('hospitalityq-nil'!D1798,FIND(":",'hospitalityq-nil'!D1798&amp;":")-1))&amp;":*")=0,SUMPRODUCT(--(TRIM('hospitalityq-nil'!C6:C1798)=TRIM('hospitalityq-nil'!C1798)),--(TRIM('hospitalityq-nil'!D6:D1798)=TRIM('hospitalityq-nil'!D1798)))&gt;1))</f>
        <v>0</v>
      </c>
    </row>
    <row r="1799" spans="1:4" x14ac:dyDescent="0.25">
      <c r="A1799">
        <f t="shared" si="28"/>
        <v>0</v>
      </c>
      <c r="C1799">
        <f>NOT('hospitalityq-nil'!C1799="")*(OR(NOT(IFERROR(AND(INT('hospitalityq-nil'!C1799)='hospitalityq-nil'!C1799,'hospitalityq-nil'!C1799&gt;=2018-50,'hospitalityq-nil'!C1799&lt;=2018+50),FALSE)),SUMPRODUCT(--(TRIM('hospitalityq-nil'!C6:C1799)=TRIM('hospitalityq-nil'!C1799)),--(TRIM('hospitalityq-nil'!D6:D1799)=TRIM('hospitalityq-nil'!D1799)))&gt;1))</f>
        <v>0</v>
      </c>
      <c r="D1799">
        <f>NOT('hospitalityq-nil'!D1799="")*(OR(COUNTIF(reference!$C$144:$C$155,TRIM(LEFT('hospitalityq-nil'!D1799,FIND(":",'hospitalityq-nil'!D1799&amp;":")-1))&amp;":*")=0,SUMPRODUCT(--(TRIM('hospitalityq-nil'!C6:C1799)=TRIM('hospitalityq-nil'!C1799)),--(TRIM('hospitalityq-nil'!D6:D1799)=TRIM('hospitalityq-nil'!D1799)))&gt;1))</f>
        <v>0</v>
      </c>
    </row>
    <row r="1800" spans="1:4" x14ac:dyDescent="0.25">
      <c r="A1800">
        <f t="shared" si="28"/>
        <v>0</v>
      </c>
      <c r="C1800">
        <f>NOT('hospitalityq-nil'!C1800="")*(OR(NOT(IFERROR(AND(INT('hospitalityq-nil'!C1800)='hospitalityq-nil'!C1800,'hospitalityq-nil'!C1800&gt;=2018-50,'hospitalityq-nil'!C1800&lt;=2018+50),FALSE)),SUMPRODUCT(--(TRIM('hospitalityq-nil'!C6:C1800)=TRIM('hospitalityq-nil'!C1800)),--(TRIM('hospitalityq-nil'!D6:D1800)=TRIM('hospitalityq-nil'!D1800)))&gt;1))</f>
        <v>0</v>
      </c>
      <c r="D1800">
        <f>NOT('hospitalityq-nil'!D1800="")*(OR(COUNTIF(reference!$C$144:$C$155,TRIM(LEFT('hospitalityq-nil'!D1800,FIND(":",'hospitalityq-nil'!D1800&amp;":")-1))&amp;":*")=0,SUMPRODUCT(--(TRIM('hospitalityq-nil'!C6:C1800)=TRIM('hospitalityq-nil'!C1800)),--(TRIM('hospitalityq-nil'!D6:D1800)=TRIM('hospitalityq-nil'!D1800)))&gt;1))</f>
        <v>0</v>
      </c>
    </row>
    <row r="1801" spans="1:4" x14ac:dyDescent="0.25">
      <c r="A1801">
        <f t="shared" si="28"/>
        <v>0</v>
      </c>
      <c r="C1801">
        <f>NOT('hospitalityq-nil'!C1801="")*(OR(NOT(IFERROR(AND(INT('hospitalityq-nil'!C1801)='hospitalityq-nil'!C1801,'hospitalityq-nil'!C1801&gt;=2018-50,'hospitalityq-nil'!C1801&lt;=2018+50),FALSE)),SUMPRODUCT(--(TRIM('hospitalityq-nil'!C6:C1801)=TRIM('hospitalityq-nil'!C1801)),--(TRIM('hospitalityq-nil'!D6:D1801)=TRIM('hospitalityq-nil'!D1801)))&gt;1))</f>
        <v>0</v>
      </c>
      <c r="D1801">
        <f>NOT('hospitalityq-nil'!D1801="")*(OR(COUNTIF(reference!$C$144:$C$155,TRIM(LEFT('hospitalityq-nil'!D1801,FIND(":",'hospitalityq-nil'!D1801&amp;":")-1))&amp;":*")=0,SUMPRODUCT(--(TRIM('hospitalityq-nil'!C6:C1801)=TRIM('hospitalityq-nil'!C1801)),--(TRIM('hospitalityq-nil'!D6:D1801)=TRIM('hospitalityq-nil'!D1801)))&gt;1))</f>
        <v>0</v>
      </c>
    </row>
    <row r="1802" spans="1:4" x14ac:dyDescent="0.25">
      <c r="A1802">
        <f t="shared" si="28"/>
        <v>0</v>
      </c>
      <c r="C1802">
        <f>NOT('hospitalityq-nil'!C1802="")*(OR(NOT(IFERROR(AND(INT('hospitalityq-nil'!C1802)='hospitalityq-nil'!C1802,'hospitalityq-nil'!C1802&gt;=2018-50,'hospitalityq-nil'!C1802&lt;=2018+50),FALSE)),SUMPRODUCT(--(TRIM('hospitalityq-nil'!C6:C1802)=TRIM('hospitalityq-nil'!C1802)),--(TRIM('hospitalityq-nil'!D6:D1802)=TRIM('hospitalityq-nil'!D1802)))&gt;1))</f>
        <v>0</v>
      </c>
      <c r="D1802">
        <f>NOT('hospitalityq-nil'!D1802="")*(OR(COUNTIF(reference!$C$144:$C$155,TRIM(LEFT('hospitalityq-nil'!D1802,FIND(":",'hospitalityq-nil'!D1802&amp;":")-1))&amp;":*")=0,SUMPRODUCT(--(TRIM('hospitalityq-nil'!C6:C1802)=TRIM('hospitalityq-nil'!C1802)),--(TRIM('hospitalityq-nil'!D6:D1802)=TRIM('hospitalityq-nil'!D1802)))&gt;1))</f>
        <v>0</v>
      </c>
    </row>
    <row r="1803" spans="1:4" x14ac:dyDescent="0.25">
      <c r="A1803">
        <f t="shared" si="28"/>
        <v>0</v>
      </c>
      <c r="C1803">
        <f>NOT('hospitalityq-nil'!C1803="")*(OR(NOT(IFERROR(AND(INT('hospitalityq-nil'!C1803)='hospitalityq-nil'!C1803,'hospitalityq-nil'!C1803&gt;=2018-50,'hospitalityq-nil'!C1803&lt;=2018+50),FALSE)),SUMPRODUCT(--(TRIM('hospitalityq-nil'!C6:C1803)=TRIM('hospitalityq-nil'!C1803)),--(TRIM('hospitalityq-nil'!D6:D1803)=TRIM('hospitalityq-nil'!D1803)))&gt;1))</f>
        <v>0</v>
      </c>
      <c r="D1803">
        <f>NOT('hospitalityq-nil'!D1803="")*(OR(COUNTIF(reference!$C$144:$C$155,TRIM(LEFT('hospitalityq-nil'!D1803,FIND(":",'hospitalityq-nil'!D1803&amp;":")-1))&amp;":*")=0,SUMPRODUCT(--(TRIM('hospitalityq-nil'!C6:C1803)=TRIM('hospitalityq-nil'!C1803)),--(TRIM('hospitalityq-nil'!D6:D1803)=TRIM('hospitalityq-nil'!D1803)))&gt;1))</f>
        <v>0</v>
      </c>
    </row>
    <row r="1804" spans="1:4" x14ac:dyDescent="0.25">
      <c r="A1804">
        <f t="shared" si="28"/>
        <v>0</v>
      </c>
      <c r="C1804">
        <f>NOT('hospitalityq-nil'!C1804="")*(OR(NOT(IFERROR(AND(INT('hospitalityq-nil'!C1804)='hospitalityq-nil'!C1804,'hospitalityq-nil'!C1804&gt;=2018-50,'hospitalityq-nil'!C1804&lt;=2018+50),FALSE)),SUMPRODUCT(--(TRIM('hospitalityq-nil'!C6:C1804)=TRIM('hospitalityq-nil'!C1804)),--(TRIM('hospitalityq-nil'!D6:D1804)=TRIM('hospitalityq-nil'!D1804)))&gt;1))</f>
        <v>0</v>
      </c>
      <c r="D1804">
        <f>NOT('hospitalityq-nil'!D1804="")*(OR(COUNTIF(reference!$C$144:$C$155,TRIM(LEFT('hospitalityq-nil'!D1804,FIND(":",'hospitalityq-nil'!D1804&amp;":")-1))&amp;":*")=0,SUMPRODUCT(--(TRIM('hospitalityq-nil'!C6:C1804)=TRIM('hospitalityq-nil'!C1804)),--(TRIM('hospitalityq-nil'!D6:D1804)=TRIM('hospitalityq-nil'!D1804)))&gt;1))</f>
        <v>0</v>
      </c>
    </row>
    <row r="1805" spans="1:4" x14ac:dyDescent="0.25">
      <c r="A1805">
        <f t="shared" si="28"/>
        <v>0</v>
      </c>
      <c r="C1805">
        <f>NOT('hospitalityq-nil'!C1805="")*(OR(NOT(IFERROR(AND(INT('hospitalityq-nil'!C1805)='hospitalityq-nil'!C1805,'hospitalityq-nil'!C1805&gt;=2018-50,'hospitalityq-nil'!C1805&lt;=2018+50),FALSE)),SUMPRODUCT(--(TRIM('hospitalityq-nil'!C6:C1805)=TRIM('hospitalityq-nil'!C1805)),--(TRIM('hospitalityq-nil'!D6:D1805)=TRIM('hospitalityq-nil'!D1805)))&gt;1))</f>
        <v>0</v>
      </c>
      <c r="D1805">
        <f>NOT('hospitalityq-nil'!D1805="")*(OR(COUNTIF(reference!$C$144:$C$155,TRIM(LEFT('hospitalityq-nil'!D1805,FIND(":",'hospitalityq-nil'!D1805&amp;":")-1))&amp;":*")=0,SUMPRODUCT(--(TRIM('hospitalityq-nil'!C6:C1805)=TRIM('hospitalityq-nil'!C1805)),--(TRIM('hospitalityq-nil'!D6:D1805)=TRIM('hospitalityq-nil'!D1805)))&gt;1))</f>
        <v>0</v>
      </c>
    </row>
    <row r="1806" spans="1:4" x14ac:dyDescent="0.25">
      <c r="A1806">
        <f t="shared" si="28"/>
        <v>0</v>
      </c>
      <c r="C1806">
        <f>NOT('hospitalityq-nil'!C1806="")*(OR(NOT(IFERROR(AND(INT('hospitalityq-nil'!C1806)='hospitalityq-nil'!C1806,'hospitalityq-nil'!C1806&gt;=2018-50,'hospitalityq-nil'!C1806&lt;=2018+50),FALSE)),SUMPRODUCT(--(TRIM('hospitalityq-nil'!C6:C1806)=TRIM('hospitalityq-nil'!C1806)),--(TRIM('hospitalityq-nil'!D6:D1806)=TRIM('hospitalityq-nil'!D1806)))&gt;1))</f>
        <v>0</v>
      </c>
      <c r="D1806">
        <f>NOT('hospitalityq-nil'!D1806="")*(OR(COUNTIF(reference!$C$144:$C$155,TRIM(LEFT('hospitalityq-nil'!D1806,FIND(":",'hospitalityq-nil'!D1806&amp;":")-1))&amp;":*")=0,SUMPRODUCT(--(TRIM('hospitalityq-nil'!C6:C1806)=TRIM('hospitalityq-nil'!C1806)),--(TRIM('hospitalityq-nil'!D6:D1806)=TRIM('hospitalityq-nil'!D1806)))&gt;1))</f>
        <v>0</v>
      </c>
    </row>
    <row r="1807" spans="1:4" x14ac:dyDescent="0.25">
      <c r="A1807">
        <f t="shared" si="28"/>
        <v>0</v>
      </c>
      <c r="C1807">
        <f>NOT('hospitalityq-nil'!C1807="")*(OR(NOT(IFERROR(AND(INT('hospitalityq-nil'!C1807)='hospitalityq-nil'!C1807,'hospitalityq-nil'!C1807&gt;=2018-50,'hospitalityq-nil'!C1807&lt;=2018+50),FALSE)),SUMPRODUCT(--(TRIM('hospitalityq-nil'!C6:C1807)=TRIM('hospitalityq-nil'!C1807)),--(TRIM('hospitalityq-nil'!D6:D1807)=TRIM('hospitalityq-nil'!D1807)))&gt;1))</f>
        <v>0</v>
      </c>
      <c r="D1807">
        <f>NOT('hospitalityq-nil'!D1807="")*(OR(COUNTIF(reference!$C$144:$C$155,TRIM(LEFT('hospitalityq-nil'!D1807,FIND(":",'hospitalityq-nil'!D1807&amp;":")-1))&amp;":*")=0,SUMPRODUCT(--(TRIM('hospitalityq-nil'!C6:C1807)=TRIM('hospitalityq-nil'!C1807)),--(TRIM('hospitalityq-nil'!D6:D1807)=TRIM('hospitalityq-nil'!D1807)))&gt;1))</f>
        <v>0</v>
      </c>
    </row>
    <row r="1808" spans="1:4" x14ac:dyDescent="0.25">
      <c r="A1808">
        <f t="shared" si="28"/>
        <v>0</v>
      </c>
      <c r="C1808">
        <f>NOT('hospitalityq-nil'!C1808="")*(OR(NOT(IFERROR(AND(INT('hospitalityq-nil'!C1808)='hospitalityq-nil'!C1808,'hospitalityq-nil'!C1808&gt;=2018-50,'hospitalityq-nil'!C1808&lt;=2018+50),FALSE)),SUMPRODUCT(--(TRIM('hospitalityq-nil'!C6:C1808)=TRIM('hospitalityq-nil'!C1808)),--(TRIM('hospitalityq-nil'!D6:D1808)=TRIM('hospitalityq-nil'!D1808)))&gt;1))</f>
        <v>0</v>
      </c>
      <c r="D1808">
        <f>NOT('hospitalityq-nil'!D1808="")*(OR(COUNTIF(reference!$C$144:$C$155,TRIM(LEFT('hospitalityq-nil'!D1808,FIND(":",'hospitalityq-nil'!D1808&amp;":")-1))&amp;":*")=0,SUMPRODUCT(--(TRIM('hospitalityq-nil'!C6:C1808)=TRIM('hospitalityq-nil'!C1808)),--(TRIM('hospitalityq-nil'!D6:D1808)=TRIM('hospitalityq-nil'!D1808)))&gt;1))</f>
        <v>0</v>
      </c>
    </row>
    <row r="1809" spans="1:4" x14ac:dyDescent="0.25">
      <c r="A1809">
        <f t="shared" si="28"/>
        <v>0</v>
      </c>
      <c r="C1809">
        <f>NOT('hospitalityq-nil'!C1809="")*(OR(NOT(IFERROR(AND(INT('hospitalityq-nil'!C1809)='hospitalityq-nil'!C1809,'hospitalityq-nil'!C1809&gt;=2018-50,'hospitalityq-nil'!C1809&lt;=2018+50),FALSE)),SUMPRODUCT(--(TRIM('hospitalityq-nil'!C6:C1809)=TRIM('hospitalityq-nil'!C1809)),--(TRIM('hospitalityq-nil'!D6:D1809)=TRIM('hospitalityq-nil'!D1809)))&gt;1))</f>
        <v>0</v>
      </c>
      <c r="D1809">
        <f>NOT('hospitalityq-nil'!D1809="")*(OR(COUNTIF(reference!$C$144:$C$155,TRIM(LEFT('hospitalityq-nil'!D1809,FIND(":",'hospitalityq-nil'!D1809&amp;":")-1))&amp;":*")=0,SUMPRODUCT(--(TRIM('hospitalityq-nil'!C6:C1809)=TRIM('hospitalityq-nil'!C1809)),--(TRIM('hospitalityq-nil'!D6:D1809)=TRIM('hospitalityq-nil'!D1809)))&gt;1))</f>
        <v>0</v>
      </c>
    </row>
    <row r="1810" spans="1:4" x14ac:dyDescent="0.25">
      <c r="A1810">
        <f t="shared" si="28"/>
        <v>0</v>
      </c>
      <c r="C1810">
        <f>NOT('hospitalityq-nil'!C1810="")*(OR(NOT(IFERROR(AND(INT('hospitalityq-nil'!C1810)='hospitalityq-nil'!C1810,'hospitalityq-nil'!C1810&gt;=2018-50,'hospitalityq-nil'!C1810&lt;=2018+50),FALSE)),SUMPRODUCT(--(TRIM('hospitalityq-nil'!C6:C1810)=TRIM('hospitalityq-nil'!C1810)),--(TRIM('hospitalityq-nil'!D6:D1810)=TRIM('hospitalityq-nil'!D1810)))&gt;1))</f>
        <v>0</v>
      </c>
      <c r="D1810">
        <f>NOT('hospitalityq-nil'!D1810="")*(OR(COUNTIF(reference!$C$144:$C$155,TRIM(LEFT('hospitalityq-nil'!D1810,FIND(":",'hospitalityq-nil'!D1810&amp;":")-1))&amp;":*")=0,SUMPRODUCT(--(TRIM('hospitalityq-nil'!C6:C1810)=TRIM('hospitalityq-nil'!C1810)),--(TRIM('hospitalityq-nil'!D6:D1810)=TRIM('hospitalityq-nil'!D1810)))&gt;1))</f>
        <v>0</v>
      </c>
    </row>
    <row r="1811" spans="1:4" x14ac:dyDescent="0.25">
      <c r="A1811">
        <f t="shared" si="28"/>
        <v>0</v>
      </c>
      <c r="C1811">
        <f>NOT('hospitalityq-nil'!C1811="")*(OR(NOT(IFERROR(AND(INT('hospitalityq-nil'!C1811)='hospitalityq-nil'!C1811,'hospitalityq-nil'!C1811&gt;=2018-50,'hospitalityq-nil'!C1811&lt;=2018+50),FALSE)),SUMPRODUCT(--(TRIM('hospitalityq-nil'!C6:C1811)=TRIM('hospitalityq-nil'!C1811)),--(TRIM('hospitalityq-nil'!D6:D1811)=TRIM('hospitalityq-nil'!D1811)))&gt;1))</f>
        <v>0</v>
      </c>
      <c r="D1811">
        <f>NOT('hospitalityq-nil'!D1811="")*(OR(COUNTIF(reference!$C$144:$C$155,TRIM(LEFT('hospitalityq-nil'!D1811,FIND(":",'hospitalityq-nil'!D1811&amp;":")-1))&amp;":*")=0,SUMPRODUCT(--(TRIM('hospitalityq-nil'!C6:C1811)=TRIM('hospitalityq-nil'!C1811)),--(TRIM('hospitalityq-nil'!D6:D1811)=TRIM('hospitalityq-nil'!D1811)))&gt;1))</f>
        <v>0</v>
      </c>
    </row>
    <row r="1812" spans="1:4" x14ac:dyDescent="0.25">
      <c r="A1812">
        <f t="shared" si="28"/>
        <v>0</v>
      </c>
      <c r="C1812">
        <f>NOT('hospitalityq-nil'!C1812="")*(OR(NOT(IFERROR(AND(INT('hospitalityq-nil'!C1812)='hospitalityq-nil'!C1812,'hospitalityq-nil'!C1812&gt;=2018-50,'hospitalityq-nil'!C1812&lt;=2018+50),FALSE)),SUMPRODUCT(--(TRIM('hospitalityq-nil'!C6:C1812)=TRIM('hospitalityq-nil'!C1812)),--(TRIM('hospitalityq-nil'!D6:D1812)=TRIM('hospitalityq-nil'!D1812)))&gt;1))</f>
        <v>0</v>
      </c>
      <c r="D1812">
        <f>NOT('hospitalityq-nil'!D1812="")*(OR(COUNTIF(reference!$C$144:$C$155,TRIM(LEFT('hospitalityq-nil'!D1812,FIND(":",'hospitalityq-nil'!D1812&amp;":")-1))&amp;":*")=0,SUMPRODUCT(--(TRIM('hospitalityq-nil'!C6:C1812)=TRIM('hospitalityq-nil'!C1812)),--(TRIM('hospitalityq-nil'!D6:D1812)=TRIM('hospitalityq-nil'!D1812)))&gt;1))</f>
        <v>0</v>
      </c>
    </row>
    <row r="1813" spans="1:4" x14ac:dyDescent="0.25">
      <c r="A1813">
        <f t="shared" si="28"/>
        <v>0</v>
      </c>
      <c r="C1813">
        <f>NOT('hospitalityq-nil'!C1813="")*(OR(NOT(IFERROR(AND(INT('hospitalityq-nil'!C1813)='hospitalityq-nil'!C1813,'hospitalityq-nil'!C1813&gt;=2018-50,'hospitalityq-nil'!C1813&lt;=2018+50),FALSE)),SUMPRODUCT(--(TRIM('hospitalityq-nil'!C6:C1813)=TRIM('hospitalityq-nil'!C1813)),--(TRIM('hospitalityq-nil'!D6:D1813)=TRIM('hospitalityq-nil'!D1813)))&gt;1))</f>
        <v>0</v>
      </c>
      <c r="D1813">
        <f>NOT('hospitalityq-nil'!D1813="")*(OR(COUNTIF(reference!$C$144:$C$155,TRIM(LEFT('hospitalityq-nil'!D1813,FIND(":",'hospitalityq-nil'!D1813&amp;":")-1))&amp;":*")=0,SUMPRODUCT(--(TRIM('hospitalityq-nil'!C6:C1813)=TRIM('hospitalityq-nil'!C1813)),--(TRIM('hospitalityq-nil'!D6:D1813)=TRIM('hospitalityq-nil'!D1813)))&gt;1))</f>
        <v>0</v>
      </c>
    </row>
    <row r="1814" spans="1:4" x14ac:dyDescent="0.25">
      <c r="A1814">
        <f t="shared" si="28"/>
        <v>0</v>
      </c>
      <c r="C1814">
        <f>NOT('hospitalityq-nil'!C1814="")*(OR(NOT(IFERROR(AND(INT('hospitalityq-nil'!C1814)='hospitalityq-nil'!C1814,'hospitalityq-nil'!C1814&gt;=2018-50,'hospitalityq-nil'!C1814&lt;=2018+50),FALSE)),SUMPRODUCT(--(TRIM('hospitalityq-nil'!C6:C1814)=TRIM('hospitalityq-nil'!C1814)),--(TRIM('hospitalityq-nil'!D6:D1814)=TRIM('hospitalityq-nil'!D1814)))&gt;1))</f>
        <v>0</v>
      </c>
      <c r="D1814">
        <f>NOT('hospitalityq-nil'!D1814="")*(OR(COUNTIF(reference!$C$144:$C$155,TRIM(LEFT('hospitalityq-nil'!D1814,FIND(":",'hospitalityq-nil'!D1814&amp;":")-1))&amp;":*")=0,SUMPRODUCT(--(TRIM('hospitalityq-nil'!C6:C1814)=TRIM('hospitalityq-nil'!C1814)),--(TRIM('hospitalityq-nil'!D6:D1814)=TRIM('hospitalityq-nil'!D1814)))&gt;1))</f>
        <v>0</v>
      </c>
    </row>
    <row r="1815" spans="1:4" x14ac:dyDescent="0.25">
      <c r="A1815">
        <f t="shared" si="28"/>
        <v>0</v>
      </c>
      <c r="C1815">
        <f>NOT('hospitalityq-nil'!C1815="")*(OR(NOT(IFERROR(AND(INT('hospitalityq-nil'!C1815)='hospitalityq-nil'!C1815,'hospitalityq-nil'!C1815&gt;=2018-50,'hospitalityq-nil'!C1815&lt;=2018+50),FALSE)),SUMPRODUCT(--(TRIM('hospitalityq-nil'!C6:C1815)=TRIM('hospitalityq-nil'!C1815)),--(TRIM('hospitalityq-nil'!D6:D1815)=TRIM('hospitalityq-nil'!D1815)))&gt;1))</f>
        <v>0</v>
      </c>
      <c r="D1815">
        <f>NOT('hospitalityq-nil'!D1815="")*(OR(COUNTIF(reference!$C$144:$C$155,TRIM(LEFT('hospitalityq-nil'!D1815,FIND(":",'hospitalityq-nil'!D1815&amp;":")-1))&amp;":*")=0,SUMPRODUCT(--(TRIM('hospitalityq-nil'!C6:C1815)=TRIM('hospitalityq-nil'!C1815)),--(TRIM('hospitalityq-nil'!D6:D1815)=TRIM('hospitalityq-nil'!D1815)))&gt;1))</f>
        <v>0</v>
      </c>
    </row>
    <row r="1816" spans="1:4" x14ac:dyDescent="0.25">
      <c r="A1816">
        <f t="shared" si="28"/>
        <v>0</v>
      </c>
      <c r="C1816">
        <f>NOT('hospitalityq-nil'!C1816="")*(OR(NOT(IFERROR(AND(INT('hospitalityq-nil'!C1816)='hospitalityq-nil'!C1816,'hospitalityq-nil'!C1816&gt;=2018-50,'hospitalityq-nil'!C1816&lt;=2018+50),FALSE)),SUMPRODUCT(--(TRIM('hospitalityq-nil'!C6:C1816)=TRIM('hospitalityq-nil'!C1816)),--(TRIM('hospitalityq-nil'!D6:D1816)=TRIM('hospitalityq-nil'!D1816)))&gt;1))</f>
        <v>0</v>
      </c>
      <c r="D1816">
        <f>NOT('hospitalityq-nil'!D1816="")*(OR(COUNTIF(reference!$C$144:$C$155,TRIM(LEFT('hospitalityq-nil'!D1816,FIND(":",'hospitalityq-nil'!D1816&amp;":")-1))&amp;":*")=0,SUMPRODUCT(--(TRIM('hospitalityq-nil'!C6:C1816)=TRIM('hospitalityq-nil'!C1816)),--(TRIM('hospitalityq-nil'!D6:D1816)=TRIM('hospitalityq-nil'!D1816)))&gt;1))</f>
        <v>0</v>
      </c>
    </row>
    <row r="1817" spans="1:4" x14ac:dyDescent="0.25">
      <c r="A1817">
        <f t="shared" si="28"/>
        <v>0</v>
      </c>
      <c r="C1817">
        <f>NOT('hospitalityq-nil'!C1817="")*(OR(NOT(IFERROR(AND(INT('hospitalityq-nil'!C1817)='hospitalityq-nil'!C1817,'hospitalityq-nil'!C1817&gt;=2018-50,'hospitalityq-nil'!C1817&lt;=2018+50),FALSE)),SUMPRODUCT(--(TRIM('hospitalityq-nil'!C6:C1817)=TRIM('hospitalityq-nil'!C1817)),--(TRIM('hospitalityq-nil'!D6:D1817)=TRIM('hospitalityq-nil'!D1817)))&gt;1))</f>
        <v>0</v>
      </c>
      <c r="D1817">
        <f>NOT('hospitalityq-nil'!D1817="")*(OR(COUNTIF(reference!$C$144:$C$155,TRIM(LEFT('hospitalityq-nil'!D1817,FIND(":",'hospitalityq-nil'!D1817&amp;":")-1))&amp;":*")=0,SUMPRODUCT(--(TRIM('hospitalityq-nil'!C6:C1817)=TRIM('hospitalityq-nil'!C1817)),--(TRIM('hospitalityq-nil'!D6:D1817)=TRIM('hospitalityq-nil'!D1817)))&gt;1))</f>
        <v>0</v>
      </c>
    </row>
    <row r="1818" spans="1:4" x14ac:dyDescent="0.25">
      <c r="A1818">
        <f t="shared" si="28"/>
        <v>0</v>
      </c>
      <c r="C1818">
        <f>NOT('hospitalityq-nil'!C1818="")*(OR(NOT(IFERROR(AND(INT('hospitalityq-nil'!C1818)='hospitalityq-nil'!C1818,'hospitalityq-nil'!C1818&gt;=2018-50,'hospitalityq-nil'!C1818&lt;=2018+50),FALSE)),SUMPRODUCT(--(TRIM('hospitalityq-nil'!C6:C1818)=TRIM('hospitalityq-nil'!C1818)),--(TRIM('hospitalityq-nil'!D6:D1818)=TRIM('hospitalityq-nil'!D1818)))&gt;1))</f>
        <v>0</v>
      </c>
      <c r="D1818">
        <f>NOT('hospitalityq-nil'!D1818="")*(OR(COUNTIF(reference!$C$144:$C$155,TRIM(LEFT('hospitalityq-nil'!D1818,FIND(":",'hospitalityq-nil'!D1818&amp;":")-1))&amp;":*")=0,SUMPRODUCT(--(TRIM('hospitalityq-nil'!C6:C1818)=TRIM('hospitalityq-nil'!C1818)),--(TRIM('hospitalityq-nil'!D6:D1818)=TRIM('hospitalityq-nil'!D1818)))&gt;1))</f>
        <v>0</v>
      </c>
    </row>
    <row r="1819" spans="1:4" x14ac:dyDescent="0.25">
      <c r="A1819">
        <f t="shared" si="28"/>
        <v>0</v>
      </c>
      <c r="C1819">
        <f>NOT('hospitalityq-nil'!C1819="")*(OR(NOT(IFERROR(AND(INT('hospitalityq-nil'!C1819)='hospitalityq-nil'!C1819,'hospitalityq-nil'!C1819&gt;=2018-50,'hospitalityq-nil'!C1819&lt;=2018+50),FALSE)),SUMPRODUCT(--(TRIM('hospitalityq-nil'!C6:C1819)=TRIM('hospitalityq-nil'!C1819)),--(TRIM('hospitalityq-nil'!D6:D1819)=TRIM('hospitalityq-nil'!D1819)))&gt;1))</f>
        <v>0</v>
      </c>
      <c r="D1819">
        <f>NOT('hospitalityq-nil'!D1819="")*(OR(COUNTIF(reference!$C$144:$C$155,TRIM(LEFT('hospitalityq-nil'!D1819,FIND(":",'hospitalityq-nil'!D1819&amp;":")-1))&amp;":*")=0,SUMPRODUCT(--(TRIM('hospitalityq-nil'!C6:C1819)=TRIM('hospitalityq-nil'!C1819)),--(TRIM('hospitalityq-nil'!D6:D1819)=TRIM('hospitalityq-nil'!D1819)))&gt;1))</f>
        <v>0</v>
      </c>
    </row>
    <row r="1820" spans="1:4" x14ac:dyDescent="0.25">
      <c r="A1820">
        <f t="shared" si="28"/>
        <v>0</v>
      </c>
      <c r="C1820">
        <f>NOT('hospitalityq-nil'!C1820="")*(OR(NOT(IFERROR(AND(INT('hospitalityq-nil'!C1820)='hospitalityq-nil'!C1820,'hospitalityq-nil'!C1820&gt;=2018-50,'hospitalityq-nil'!C1820&lt;=2018+50),FALSE)),SUMPRODUCT(--(TRIM('hospitalityq-nil'!C6:C1820)=TRIM('hospitalityq-nil'!C1820)),--(TRIM('hospitalityq-nil'!D6:D1820)=TRIM('hospitalityq-nil'!D1820)))&gt;1))</f>
        <v>0</v>
      </c>
      <c r="D1820">
        <f>NOT('hospitalityq-nil'!D1820="")*(OR(COUNTIF(reference!$C$144:$C$155,TRIM(LEFT('hospitalityq-nil'!D1820,FIND(":",'hospitalityq-nil'!D1820&amp;":")-1))&amp;":*")=0,SUMPRODUCT(--(TRIM('hospitalityq-nil'!C6:C1820)=TRIM('hospitalityq-nil'!C1820)),--(TRIM('hospitalityq-nil'!D6:D1820)=TRIM('hospitalityq-nil'!D1820)))&gt;1))</f>
        <v>0</v>
      </c>
    </row>
    <row r="1821" spans="1:4" x14ac:dyDescent="0.25">
      <c r="A1821">
        <f t="shared" si="28"/>
        <v>0</v>
      </c>
      <c r="C1821">
        <f>NOT('hospitalityq-nil'!C1821="")*(OR(NOT(IFERROR(AND(INT('hospitalityq-nil'!C1821)='hospitalityq-nil'!C1821,'hospitalityq-nil'!C1821&gt;=2018-50,'hospitalityq-nil'!C1821&lt;=2018+50),FALSE)),SUMPRODUCT(--(TRIM('hospitalityq-nil'!C6:C1821)=TRIM('hospitalityq-nil'!C1821)),--(TRIM('hospitalityq-nil'!D6:D1821)=TRIM('hospitalityq-nil'!D1821)))&gt;1))</f>
        <v>0</v>
      </c>
      <c r="D1821">
        <f>NOT('hospitalityq-nil'!D1821="")*(OR(COUNTIF(reference!$C$144:$C$155,TRIM(LEFT('hospitalityq-nil'!D1821,FIND(":",'hospitalityq-nil'!D1821&amp;":")-1))&amp;":*")=0,SUMPRODUCT(--(TRIM('hospitalityq-nil'!C6:C1821)=TRIM('hospitalityq-nil'!C1821)),--(TRIM('hospitalityq-nil'!D6:D1821)=TRIM('hospitalityq-nil'!D1821)))&gt;1))</f>
        <v>0</v>
      </c>
    </row>
    <row r="1822" spans="1:4" x14ac:dyDescent="0.25">
      <c r="A1822">
        <f t="shared" si="28"/>
        <v>0</v>
      </c>
      <c r="C1822">
        <f>NOT('hospitalityq-nil'!C1822="")*(OR(NOT(IFERROR(AND(INT('hospitalityq-nil'!C1822)='hospitalityq-nil'!C1822,'hospitalityq-nil'!C1822&gt;=2018-50,'hospitalityq-nil'!C1822&lt;=2018+50),FALSE)),SUMPRODUCT(--(TRIM('hospitalityq-nil'!C6:C1822)=TRIM('hospitalityq-nil'!C1822)),--(TRIM('hospitalityq-nil'!D6:D1822)=TRIM('hospitalityq-nil'!D1822)))&gt;1))</f>
        <v>0</v>
      </c>
      <c r="D1822">
        <f>NOT('hospitalityq-nil'!D1822="")*(OR(COUNTIF(reference!$C$144:$C$155,TRIM(LEFT('hospitalityq-nil'!D1822,FIND(":",'hospitalityq-nil'!D1822&amp;":")-1))&amp;":*")=0,SUMPRODUCT(--(TRIM('hospitalityq-nil'!C6:C1822)=TRIM('hospitalityq-nil'!C1822)),--(TRIM('hospitalityq-nil'!D6:D1822)=TRIM('hospitalityq-nil'!D1822)))&gt;1))</f>
        <v>0</v>
      </c>
    </row>
    <row r="1823" spans="1:4" x14ac:dyDescent="0.25">
      <c r="A1823">
        <f t="shared" si="28"/>
        <v>0</v>
      </c>
      <c r="C1823">
        <f>NOT('hospitalityq-nil'!C1823="")*(OR(NOT(IFERROR(AND(INT('hospitalityq-nil'!C1823)='hospitalityq-nil'!C1823,'hospitalityq-nil'!C1823&gt;=2018-50,'hospitalityq-nil'!C1823&lt;=2018+50),FALSE)),SUMPRODUCT(--(TRIM('hospitalityq-nil'!C6:C1823)=TRIM('hospitalityq-nil'!C1823)),--(TRIM('hospitalityq-nil'!D6:D1823)=TRIM('hospitalityq-nil'!D1823)))&gt;1))</f>
        <v>0</v>
      </c>
      <c r="D1823">
        <f>NOT('hospitalityq-nil'!D1823="")*(OR(COUNTIF(reference!$C$144:$C$155,TRIM(LEFT('hospitalityq-nil'!D1823,FIND(":",'hospitalityq-nil'!D1823&amp;":")-1))&amp;":*")=0,SUMPRODUCT(--(TRIM('hospitalityq-nil'!C6:C1823)=TRIM('hospitalityq-nil'!C1823)),--(TRIM('hospitalityq-nil'!D6:D1823)=TRIM('hospitalityq-nil'!D1823)))&gt;1))</f>
        <v>0</v>
      </c>
    </row>
    <row r="1824" spans="1:4" x14ac:dyDescent="0.25">
      <c r="A1824">
        <f t="shared" si="28"/>
        <v>0</v>
      </c>
      <c r="C1824">
        <f>NOT('hospitalityq-nil'!C1824="")*(OR(NOT(IFERROR(AND(INT('hospitalityq-nil'!C1824)='hospitalityq-nil'!C1824,'hospitalityq-nil'!C1824&gt;=2018-50,'hospitalityq-nil'!C1824&lt;=2018+50),FALSE)),SUMPRODUCT(--(TRIM('hospitalityq-nil'!C6:C1824)=TRIM('hospitalityq-nil'!C1824)),--(TRIM('hospitalityq-nil'!D6:D1824)=TRIM('hospitalityq-nil'!D1824)))&gt;1))</f>
        <v>0</v>
      </c>
      <c r="D1824">
        <f>NOT('hospitalityq-nil'!D1824="")*(OR(COUNTIF(reference!$C$144:$C$155,TRIM(LEFT('hospitalityq-nil'!D1824,FIND(":",'hospitalityq-nil'!D1824&amp;":")-1))&amp;":*")=0,SUMPRODUCT(--(TRIM('hospitalityq-nil'!C6:C1824)=TRIM('hospitalityq-nil'!C1824)),--(TRIM('hospitalityq-nil'!D6:D1824)=TRIM('hospitalityq-nil'!D1824)))&gt;1))</f>
        <v>0</v>
      </c>
    </row>
    <row r="1825" spans="1:4" x14ac:dyDescent="0.25">
      <c r="A1825">
        <f t="shared" si="28"/>
        <v>0</v>
      </c>
      <c r="C1825">
        <f>NOT('hospitalityq-nil'!C1825="")*(OR(NOT(IFERROR(AND(INT('hospitalityq-nil'!C1825)='hospitalityq-nil'!C1825,'hospitalityq-nil'!C1825&gt;=2018-50,'hospitalityq-nil'!C1825&lt;=2018+50),FALSE)),SUMPRODUCT(--(TRIM('hospitalityq-nil'!C6:C1825)=TRIM('hospitalityq-nil'!C1825)),--(TRIM('hospitalityq-nil'!D6:D1825)=TRIM('hospitalityq-nil'!D1825)))&gt;1))</f>
        <v>0</v>
      </c>
      <c r="D1825">
        <f>NOT('hospitalityq-nil'!D1825="")*(OR(COUNTIF(reference!$C$144:$C$155,TRIM(LEFT('hospitalityq-nil'!D1825,FIND(":",'hospitalityq-nil'!D1825&amp;":")-1))&amp;":*")=0,SUMPRODUCT(--(TRIM('hospitalityq-nil'!C6:C1825)=TRIM('hospitalityq-nil'!C1825)),--(TRIM('hospitalityq-nil'!D6:D1825)=TRIM('hospitalityq-nil'!D1825)))&gt;1))</f>
        <v>0</v>
      </c>
    </row>
    <row r="1826" spans="1:4" x14ac:dyDescent="0.25">
      <c r="A1826">
        <f t="shared" si="28"/>
        <v>0</v>
      </c>
      <c r="C1826">
        <f>NOT('hospitalityq-nil'!C1826="")*(OR(NOT(IFERROR(AND(INT('hospitalityq-nil'!C1826)='hospitalityq-nil'!C1826,'hospitalityq-nil'!C1826&gt;=2018-50,'hospitalityq-nil'!C1826&lt;=2018+50),FALSE)),SUMPRODUCT(--(TRIM('hospitalityq-nil'!C6:C1826)=TRIM('hospitalityq-nil'!C1826)),--(TRIM('hospitalityq-nil'!D6:D1826)=TRIM('hospitalityq-nil'!D1826)))&gt;1))</f>
        <v>0</v>
      </c>
      <c r="D1826">
        <f>NOT('hospitalityq-nil'!D1826="")*(OR(COUNTIF(reference!$C$144:$C$155,TRIM(LEFT('hospitalityq-nil'!D1826,FIND(":",'hospitalityq-nil'!D1826&amp;":")-1))&amp;":*")=0,SUMPRODUCT(--(TRIM('hospitalityq-nil'!C6:C1826)=TRIM('hospitalityq-nil'!C1826)),--(TRIM('hospitalityq-nil'!D6:D1826)=TRIM('hospitalityq-nil'!D1826)))&gt;1))</f>
        <v>0</v>
      </c>
    </row>
    <row r="1827" spans="1:4" x14ac:dyDescent="0.25">
      <c r="A1827">
        <f t="shared" si="28"/>
        <v>0</v>
      </c>
      <c r="C1827">
        <f>NOT('hospitalityq-nil'!C1827="")*(OR(NOT(IFERROR(AND(INT('hospitalityq-nil'!C1827)='hospitalityq-nil'!C1827,'hospitalityq-nil'!C1827&gt;=2018-50,'hospitalityq-nil'!C1827&lt;=2018+50),FALSE)),SUMPRODUCT(--(TRIM('hospitalityq-nil'!C6:C1827)=TRIM('hospitalityq-nil'!C1827)),--(TRIM('hospitalityq-nil'!D6:D1827)=TRIM('hospitalityq-nil'!D1827)))&gt;1))</f>
        <v>0</v>
      </c>
      <c r="D1827">
        <f>NOT('hospitalityq-nil'!D1827="")*(OR(COUNTIF(reference!$C$144:$C$155,TRIM(LEFT('hospitalityq-nil'!D1827,FIND(":",'hospitalityq-nil'!D1827&amp;":")-1))&amp;":*")=0,SUMPRODUCT(--(TRIM('hospitalityq-nil'!C6:C1827)=TRIM('hospitalityq-nil'!C1827)),--(TRIM('hospitalityq-nil'!D6:D1827)=TRIM('hospitalityq-nil'!D1827)))&gt;1))</f>
        <v>0</v>
      </c>
    </row>
    <row r="1828" spans="1:4" x14ac:dyDescent="0.25">
      <c r="A1828">
        <f t="shared" si="28"/>
        <v>0</v>
      </c>
      <c r="C1828">
        <f>NOT('hospitalityq-nil'!C1828="")*(OR(NOT(IFERROR(AND(INT('hospitalityq-nil'!C1828)='hospitalityq-nil'!C1828,'hospitalityq-nil'!C1828&gt;=2018-50,'hospitalityq-nil'!C1828&lt;=2018+50),FALSE)),SUMPRODUCT(--(TRIM('hospitalityq-nil'!C6:C1828)=TRIM('hospitalityq-nil'!C1828)),--(TRIM('hospitalityq-nil'!D6:D1828)=TRIM('hospitalityq-nil'!D1828)))&gt;1))</f>
        <v>0</v>
      </c>
      <c r="D1828">
        <f>NOT('hospitalityq-nil'!D1828="")*(OR(COUNTIF(reference!$C$144:$C$155,TRIM(LEFT('hospitalityq-nil'!D1828,FIND(":",'hospitalityq-nil'!D1828&amp;":")-1))&amp;":*")=0,SUMPRODUCT(--(TRIM('hospitalityq-nil'!C6:C1828)=TRIM('hospitalityq-nil'!C1828)),--(TRIM('hospitalityq-nil'!D6:D1828)=TRIM('hospitalityq-nil'!D1828)))&gt;1))</f>
        <v>0</v>
      </c>
    </row>
    <row r="1829" spans="1:4" x14ac:dyDescent="0.25">
      <c r="A1829">
        <f t="shared" si="28"/>
        <v>0</v>
      </c>
      <c r="C1829">
        <f>NOT('hospitalityq-nil'!C1829="")*(OR(NOT(IFERROR(AND(INT('hospitalityq-nil'!C1829)='hospitalityq-nil'!C1829,'hospitalityq-nil'!C1829&gt;=2018-50,'hospitalityq-nil'!C1829&lt;=2018+50),FALSE)),SUMPRODUCT(--(TRIM('hospitalityq-nil'!C6:C1829)=TRIM('hospitalityq-nil'!C1829)),--(TRIM('hospitalityq-nil'!D6:D1829)=TRIM('hospitalityq-nil'!D1829)))&gt;1))</f>
        <v>0</v>
      </c>
      <c r="D1829">
        <f>NOT('hospitalityq-nil'!D1829="")*(OR(COUNTIF(reference!$C$144:$C$155,TRIM(LEFT('hospitalityq-nil'!D1829,FIND(":",'hospitalityq-nil'!D1829&amp;":")-1))&amp;":*")=0,SUMPRODUCT(--(TRIM('hospitalityq-nil'!C6:C1829)=TRIM('hospitalityq-nil'!C1829)),--(TRIM('hospitalityq-nil'!D6:D1829)=TRIM('hospitalityq-nil'!D1829)))&gt;1))</f>
        <v>0</v>
      </c>
    </row>
    <row r="1830" spans="1:4" x14ac:dyDescent="0.25">
      <c r="A1830">
        <f t="shared" si="28"/>
        <v>0</v>
      </c>
      <c r="C1830">
        <f>NOT('hospitalityq-nil'!C1830="")*(OR(NOT(IFERROR(AND(INT('hospitalityq-nil'!C1830)='hospitalityq-nil'!C1830,'hospitalityq-nil'!C1830&gt;=2018-50,'hospitalityq-nil'!C1830&lt;=2018+50),FALSE)),SUMPRODUCT(--(TRIM('hospitalityq-nil'!C6:C1830)=TRIM('hospitalityq-nil'!C1830)),--(TRIM('hospitalityq-nil'!D6:D1830)=TRIM('hospitalityq-nil'!D1830)))&gt;1))</f>
        <v>0</v>
      </c>
      <c r="D1830">
        <f>NOT('hospitalityq-nil'!D1830="")*(OR(COUNTIF(reference!$C$144:$C$155,TRIM(LEFT('hospitalityq-nil'!D1830,FIND(":",'hospitalityq-nil'!D1830&amp;":")-1))&amp;":*")=0,SUMPRODUCT(--(TRIM('hospitalityq-nil'!C6:C1830)=TRIM('hospitalityq-nil'!C1830)),--(TRIM('hospitalityq-nil'!D6:D1830)=TRIM('hospitalityq-nil'!D1830)))&gt;1))</f>
        <v>0</v>
      </c>
    </row>
    <row r="1831" spans="1:4" x14ac:dyDescent="0.25">
      <c r="A1831">
        <f t="shared" si="28"/>
        <v>0</v>
      </c>
      <c r="C1831">
        <f>NOT('hospitalityq-nil'!C1831="")*(OR(NOT(IFERROR(AND(INT('hospitalityq-nil'!C1831)='hospitalityq-nil'!C1831,'hospitalityq-nil'!C1831&gt;=2018-50,'hospitalityq-nil'!C1831&lt;=2018+50),FALSE)),SUMPRODUCT(--(TRIM('hospitalityq-nil'!C6:C1831)=TRIM('hospitalityq-nil'!C1831)),--(TRIM('hospitalityq-nil'!D6:D1831)=TRIM('hospitalityq-nil'!D1831)))&gt;1))</f>
        <v>0</v>
      </c>
      <c r="D1831">
        <f>NOT('hospitalityq-nil'!D1831="")*(OR(COUNTIF(reference!$C$144:$C$155,TRIM(LEFT('hospitalityq-nil'!D1831,FIND(":",'hospitalityq-nil'!D1831&amp;":")-1))&amp;":*")=0,SUMPRODUCT(--(TRIM('hospitalityq-nil'!C6:C1831)=TRIM('hospitalityq-nil'!C1831)),--(TRIM('hospitalityq-nil'!D6:D1831)=TRIM('hospitalityq-nil'!D1831)))&gt;1))</f>
        <v>0</v>
      </c>
    </row>
    <row r="1832" spans="1:4" x14ac:dyDescent="0.25">
      <c r="A1832">
        <f t="shared" si="28"/>
        <v>0</v>
      </c>
      <c r="C1832">
        <f>NOT('hospitalityq-nil'!C1832="")*(OR(NOT(IFERROR(AND(INT('hospitalityq-nil'!C1832)='hospitalityq-nil'!C1832,'hospitalityq-nil'!C1832&gt;=2018-50,'hospitalityq-nil'!C1832&lt;=2018+50),FALSE)),SUMPRODUCT(--(TRIM('hospitalityq-nil'!C6:C1832)=TRIM('hospitalityq-nil'!C1832)),--(TRIM('hospitalityq-nil'!D6:D1832)=TRIM('hospitalityq-nil'!D1832)))&gt;1))</f>
        <v>0</v>
      </c>
      <c r="D1832">
        <f>NOT('hospitalityq-nil'!D1832="")*(OR(COUNTIF(reference!$C$144:$C$155,TRIM(LEFT('hospitalityq-nil'!D1832,FIND(":",'hospitalityq-nil'!D1832&amp;":")-1))&amp;":*")=0,SUMPRODUCT(--(TRIM('hospitalityq-nil'!C6:C1832)=TRIM('hospitalityq-nil'!C1832)),--(TRIM('hospitalityq-nil'!D6:D1832)=TRIM('hospitalityq-nil'!D1832)))&gt;1))</f>
        <v>0</v>
      </c>
    </row>
    <row r="1833" spans="1:4" x14ac:dyDescent="0.25">
      <c r="A1833">
        <f t="shared" si="28"/>
        <v>0</v>
      </c>
      <c r="C1833">
        <f>NOT('hospitalityq-nil'!C1833="")*(OR(NOT(IFERROR(AND(INT('hospitalityq-nil'!C1833)='hospitalityq-nil'!C1833,'hospitalityq-nil'!C1833&gt;=2018-50,'hospitalityq-nil'!C1833&lt;=2018+50),FALSE)),SUMPRODUCT(--(TRIM('hospitalityq-nil'!C6:C1833)=TRIM('hospitalityq-nil'!C1833)),--(TRIM('hospitalityq-nil'!D6:D1833)=TRIM('hospitalityq-nil'!D1833)))&gt;1))</f>
        <v>0</v>
      </c>
      <c r="D1833">
        <f>NOT('hospitalityq-nil'!D1833="")*(OR(COUNTIF(reference!$C$144:$C$155,TRIM(LEFT('hospitalityq-nil'!D1833,FIND(":",'hospitalityq-nil'!D1833&amp;":")-1))&amp;":*")=0,SUMPRODUCT(--(TRIM('hospitalityq-nil'!C6:C1833)=TRIM('hospitalityq-nil'!C1833)),--(TRIM('hospitalityq-nil'!D6:D1833)=TRIM('hospitalityq-nil'!D1833)))&gt;1))</f>
        <v>0</v>
      </c>
    </row>
    <row r="1834" spans="1:4" x14ac:dyDescent="0.25">
      <c r="A1834">
        <f t="shared" si="28"/>
        <v>0</v>
      </c>
      <c r="C1834">
        <f>NOT('hospitalityq-nil'!C1834="")*(OR(NOT(IFERROR(AND(INT('hospitalityq-nil'!C1834)='hospitalityq-nil'!C1834,'hospitalityq-nil'!C1834&gt;=2018-50,'hospitalityq-nil'!C1834&lt;=2018+50),FALSE)),SUMPRODUCT(--(TRIM('hospitalityq-nil'!C6:C1834)=TRIM('hospitalityq-nil'!C1834)),--(TRIM('hospitalityq-nil'!D6:D1834)=TRIM('hospitalityq-nil'!D1834)))&gt;1))</f>
        <v>0</v>
      </c>
      <c r="D1834">
        <f>NOT('hospitalityq-nil'!D1834="")*(OR(COUNTIF(reference!$C$144:$C$155,TRIM(LEFT('hospitalityq-nil'!D1834,FIND(":",'hospitalityq-nil'!D1834&amp;":")-1))&amp;":*")=0,SUMPRODUCT(--(TRIM('hospitalityq-nil'!C6:C1834)=TRIM('hospitalityq-nil'!C1834)),--(TRIM('hospitalityq-nil'!D6:D1834)=TRIM('hospitalityq-nil'!D1834)))&gt;1))</f>
        <v>0</v>
      </c>
    </row>
    <row r="1835" spans="1:4" x14ac:dyDescent="0.25">
      <c r="A1835">
        <f t="shared" si="28"/>
        <v>0</v>
      </c>
      <c r="C1835">
        <f>NOT('hospitalityq-nil'!C1835="")*(OR(NOT(IFERROR(AND(INT('hospitalityq-nil'!C1835)='hospitalityq-nil'!C1835,'hospitalityq-nil'!C1835&gt;=2018-50,'hospitalityq-nil'!C1835&lt;=2018+50),FALSE)),SUMPRODUCT(--(TRIM('hospitalityq-nil'!C6:C1835)=TRIM('hospitalityq-nil'!C1835)),--(TRIM('hospitalityq-nil'!D6:D1835)=TRIM('hospitalityq-nil'!D1835)))&gt;1))</f>
        <v>0</v>
      </c>
      <c r="D1835">
        <f>NOT('hospitalityq-nil'!D1835="")*(OR(COUNTIF(reference!$C$144:$C$155,TRIM(LEFT('hospitalityq-nil'!D1835,FIND(":",'hospitalityq-nil'!D1835&amp;":")-1))&amp;":*")=0,SUMPRODUCT(--(TRIM('hospitalityq-nil'!C6:C1835)=TRIM('hospitalityq-nil'!C1835)),--(TRIM('hospitalityq-nil'!D6:D1835)=TRIM('hospitalityq-nil'!D1835)))&gt;1))</f>
        <v>0</v>
      </c>
    </row>
    <row r="1836" spans="1:4" x14ac:dyDescent="0.25">
      <c r="A1836">
        <f t="shared" si="28"/>
        <v>0</v>
      </c>
      <c r="C1836">
        <f>NOT('hospitalityq-nil'!C1836="")*(OR(NOT(IFERROR(AND(INT('hospitalityq-nil'!C1836)='hospitalityq-nil'!C1836,'hospitalityq-nil'!C1836&gt;=2018-50,'hospitalityq-nil'!C1836&lt;=2018+50),FALSE)),SUMPRODUCT(--(TRIM('hospitalityq-nil'!C6:C1836)=TRIM('hospitalityq-nil'!C1836)),--(TRIM('hospitalityq-nil'!D6:D1836)=TRIM('hospitalityq-nil'!D1836)))&gt;1))</f>
        <v>0</v>
      </c>
      <c r="D1836">
        <f>NOT('hospitalityq-nil'!D1836="")*(OR(COUNTIF(reference!$C$144:$C$155,TRIM(LEFT('hospitalityq-nil'!D1836,FIND(":",'hospitalityq-nil'!D1836&amp;":")-1))&amp;":*")=0,SUMPRODUCT(--(TRIM('hospitalityq-nil'!C6:C1836)=TRIM('hospitalityq-nil'!C1836)),--(TRIM('hospitalityq-nil'!D6:D1836)=TRIM('hospitalityq-nil'!D1836)))&gt;1))</f>
        <v>0</v>
      </c>
    </row>
    <row r="1837" spans="1:4" x14ac:dyDescent="0.25">
      <c r="A1837">
        <f t="shared" si="28"/>
        <v>0</v>
      </c>
      <c r="C1837">
        <f>NOT('hospitalityq-nil'!C1837="")*(OR(NOT(IFERROR(AND(INT('hospitalityq-nil'!C1837)='hospitalityq-nil'!C1837,'hospitalityq-nil'!C1837&gt;=2018-50,'hospitalityq-nil'!C1837&lt;=2018+50),FALSE)),SUMPRODUCT(--(TRIM('hospitalityq-nil'!C6:C1837)=TRIM('hospitalityq-nil'!C1837)),--(TRIM('hospitalityq-nil'!D6:D1837)=TRIM('hospitalityq-nil'!D1837)))&gt;1))</f>
        <v>0</v>
      </c>
      <c r="D1837">
        <f>NOT('hospitalityq-nil'!D1837="")*(OR(COUNTIF(reference!$C$144:$C$155,TRIM(LEFT('hospitalityq-nil'!D1837,FIND(":",'hospitalityq-nil'!D1837&amp;":")-1))&amp;":*")=0,SUMPRODUCT(--(TRIM('hospitalityq-nil'!C6:C1837)=TRIM('hospitalityq-nil'!C1837)),--(TRIM('hospitalityq-nil'!D6:D1837)=TRIM('hospitalityq-nil'!D1837)))&gt;1))</f>
        <v>0</v>
      </c>
    </row>
    <row r="1838" spans="1:4" x14ac:dyDescent="0.25">
      <c r="A1838">
        <f t="shared" si="28"/>
        <v>0</v>
      </c>
      <c r="C1838">
        <f>NOT('hospitalityq-nil'!C1838="")*(OR(NOT(IFERROR(AND(INT('hospitalityq-nil'!C1838)='hospitalityq-nil'!C1838,'hospitalityq-nil'!C1838&gt;=2018-50,'hospitalityq-nil'!C1838&lt;=2018+50),FALSE)),SUMPRODUCT(--(TRIM('hospitalityq-nil'!C6:C1838)=TRIM('hospitalityq-nil'!C1838)),--(TRIM('hospitalityq-nil'!D6:D1838)=TRIM('hospitalityq-nil'!D1838)))&gt;1))</f>
        <v>0</v>
      </c>
      <c r="D1838">
        <f>NOT('hospitalityq-nil'!D1838="")*(OR(COUNTIF(reference!$C$144:$C$155,TRIM(LEFT('hospitalityq-nil'!D1838,FIND(":",'hospitalityq-nil'!D1838&amp;":")-1))&amp;":*")=0,SUMPRODUCT(--(TRIM('hospitalityq-nil'!C6:C1838)=TRIM('hospitalityq-nil'!C1838)),--(TRIM('hospitalityq-nil'!D6:D1838)=TRIM('hospitalityq-nil'!D1838)))&gt;1))</f>
        <v>0</v>
      </c>
    </row>
    <row r="1839" spans="1:4" x14ac:dyDescent="0.25">
      <c r="A1839">
        <f t="shared" si="28"/>
        <v>0</v>
      </c>
      <c r="C1839">
        <f>NOT('hospitalityq-nil'!C1839="")*(OR(NOT(IFERROR(AND(INT('hospitalityq-nil'!C1839)='hospitalityq-nil'!C1839,'hospitalityq-nil'!C1839&gt;=2018-50,'hospitalityq-nil'!C1839&lt;=2018+50),FALSE)),SUMPRODUCT(--(TRIM('hospitalityq-nil'!C6:C1839)=TRIM('hospitalityq-nil'!C1839)),--(TRIM('hospitalityq-nil'!D6:D1839)=TRIM('hospitalityq-nil'!D1839)))&gt;1))</f>
        <v>0</v>
      </c>
      <c r="D1839">
        <f>NOT('hospitalityq-nil'!D1839="")*(OR(COUNTIF(reference!$C$144:$C$155,TRIM(LEFT('hospitalityq-nil'!D1839,FIND(":",'hospitalityq-nil'!D1839&amp;":")-1))&amp;":*")=0,SUMPRODUCT(--(TRIM('hospitalityq-nil'!C6:C1839)=TRIM('hospitalityq-nil'!C1839)),--(TRIM('hospitalityq-nil'!D6:D1839)=TRIM('hospitalityq-nil'!D1839)))&gt;1))</f>
        <v>0</v>
      </c>
    </row>
    <row r="1840" spans="1:4" x14ac:dyDescent="0.25">
      <c r="A1840">
        <f t="shared" si="28"/>
        <v>0</v>
      </c>
      <c r="C1840">
        <f>NOT('hospitalityq-nil'!C1840="")*(OR(NOT(IFERROR(AND(INT('hospitalityq-nil'!C1840)='hospitalityq-nil'!C1840,'hospitalityq-nil'!C1840&gt;=2018-50,'hospitalityq-nil'!C1840&lt;=2018+50),FALSE)),SUMPRODUCT(--(TRIM('hospitalityq-nil'!C6:C1840)=TRIM('hospitalityq-nil'!C1840)),--(TRIM('hospitalityq-nil'!D6:D1840)=TRIM('hospitalityq-nil'!D1840)))&gt;1))</f>
        <v>0</v>
      </c>
      <c r="D1840">
        <f>NOT('hospitalityq-nil'!D1840="")*(OR(COUNTIF(reference!$C$144:$C$155,TRIM(LEFT('hospitalityq-nil'!D1840,FIND(":",'hospitalityq-nil'!D1840&amp;":")-1))&amp;":*")=0,SUMPRODUCT(--(TRIM('hospitalityq-nil'!C6:C1840)=TRIM('hospitalityq-nil'!C1840)),--(TRIM('hospitalityq-nil'!D6:D1840)=TRIM('hospitalityq-nil'!D1840)))&gt;1))</f>
        <v>0</v>
      </c>
    </row>
    <row r="1841" spans="1:4" x14ac:dyDescent="0.25">
      <c r="A1841">
        <f t="shared" si="28"/>
        <v>0</v>
      </c>
      <c r="C1841">
        <f>NOT('hospitalityq-nil'!C1841="")*(OR(NOT(IFERROR(AND(INT('hospitalityq-nil'!C1841)='hospitalityq-nil'!C1841,'hospitalityq-nil'!C1841&gt;=2018-50,'hospitalityq-nil'!C1841&lt;=2018+50),FALSE)),SUMPRODUCT(--(TRIM('hospitalityq-nil'!C6:C1841)=TRIM('hospitalityq-nil'!C1841)),--(TRIM('hospitalityq-nil'!D6:D1841)=TRIM('hospitalityq-nil'!D1841)))&gt;1))</f>
        <v>0</v>
      </c>
      <c r="D1841">
        <f>NOT('hospitalityq-nil'!D1841="")*(OR(COUNTIF(reference!$C$144:$C$155,TRIM(LEFT('hospitalityq-nil'!D1841,FIND(":",'hospitalityq-nil'!D1841&amp;":")-1))&amp;":*")=0,SUMPRODUCT(--(TRIM('hospitalityq-nil'!C6:C1841)=TRIM('hospitalityq-nil'!C1841)),--(TRIM('hospitalityq-nil'!D6:D1841)=TRIM('hospitalityq-nil'!D1841)))&gt;1))</f>
        <v>0</v>
      </c>
    </row>
    <row r="1842" spans="1:4" x14ac:dyDescent="0.25">
      <c r="A1842">
        <f t="shared" si="28"/>
        <v>0</v>
      </c>
      <c r="C1842">
        <f>NOT('hospitalityq-nil'!C1842="")*(OR(NOT(IFERROR(AND(INT('hospitalityq-nil'!C1842)='hospitalityq-nil'!C1842,'hospitalityq-nil'!C1842&gt;=2018-50,'hospitalityq-nil'!C1842&lt;=2018+50),FALSE)),SUMPRODUCT(--(TRIM('hospitalityq-nil'!C6:C1842)=TRIM('hospitalityq-nil'!C1842)),--(TRIM('hospitalityq-nil'!D6:D1842)=TRIM('hospitalityq-nil'!D1842)))&gt;1))</f>
        <v>0</v>
      </c>
      <c r="D1842">
        <f>NOT('hospitalityq-nil'!D1842="")*(OR(COUNTIF(reference!$C$144:$C$155,TRIM(LEFT('hospitalityq-nil'!D1842,FIND(":",'hospitalityq-nil'!D1842&amp;":")-1))&amp;":*")=0,SUMPRODUCT(--(TRIM('hospitalityq-nil'!C6:C1842)=TRIM('hospitalityq-nil'!C1842)),--(TRIM('hospitalityq-nil'!D6:D1842)=TRIM('hospitalityq-nil'!D1842)))&gt;1))</f>
        <v>0</v>
      </c>
    </row>
    <row r="1843" spans="1:4" x14ac:dyDescent="0.25">
      <c r="A1843">
        <f t="shared" si="28"/>
        <v>0</v>
      </c>
      <c r="C1843">
        <f>NOT('hospitalityq-nil'!C1843="")*(OR(NOT(IFERROR(AND(INT('hospitalityq-nil'!C1843)='hospitalityq-nil'!C1843,'hospitalityq-nil'!C1843&gt;=2018-50,'hospitalityq-nil'!C1843&lt;=2018+50),FALSE)),SUMPRODUCT(--(TRIM('hospitalityq-nil'!C6:C1843)=TRIM('hospitalityq-nil'!C1843)),--(TRIM('hospitalityq-nil'!D6:D1843)=TRIM('hospitalityq-nil'!D1843)))&gt;1))</f>
        <v>0</v>
      </c>
      <c r="D1843">
        <f>NOT('hospitalityq-nil'!D1843="")*(OR(COUNTIF(reference!$C$144:$C$155,TRIM(LEFT('hospitalityq-nil'!D1843,FIND(":",'hospitalityq-nil'!D1843&amp;":")-1))&amp;":*")=0,SUMPRODUCT(--(TRIM('hospitalityq-nil'!C6:C1843)=TRIM('hospitalityq-nil'!C1843)),--(TRIM('hospitalityq-nil'!D6:D1843)=TRIM('hospitalityq-nil'!D1843)))&gt;1))</f>
        <v>0</v>
      </c>
    </row>
    <row r="1844" spans="1:4" x14ac:dyDescent="0.25">
      <c r="A1844">
        <f t="shared" si="28"/>
        <v>0</v>
      </c>
      <c r="C1844">
        <f>NOT('hospitalityq-nil'!C1844="")*(OR(NOT(IFERROR(AND(INT('hospitalityq-nil'!C1844)='hospitalityq-nil'!C1844,'hospitalityq-nil'!C1844&gt;=2018-50,'hospitalityq-nil'!C1844&lt;=2018+50),FALSE)),SUMPRODUCT(--(TRIM('hospitalityq-nil'!C6:C1844)=TRIM('hospitalityq-nil'!C1844)),--(TRIM('hospitalityq-nil'!D6:D1844)=TRIM('hospitalityq-nil'!D1844)))&gt;1))</f>
        <v>0</v>
      </c>
      <c r="D1844">
        <f>NOT('hospitalityq-nil'!D1844="")*(OR(COUNTIF(reference!$C$144:$C$155,TRIM(LEFT('hospitalityq-nil'!D1844,FIND(":",'hospitalityq-nil'!D1844&amp;":")-1))&amp;":*")=0,SUMPRODUCT(--(TRIM('hospitalityq-nil'!C6:C1844)=TRIM('hospitalityq-nil'!C1844)),--(TRIM('hospitalityq-nil'!D6:D1844)=TRIM('hospitalityq-nil'!D1844)))&gt;1))</f>
        <v>0</v>
      </c>
    </row>
    <row r="1845" spans="1:4" x14ac:dyDescent="0.25">
      <c r="A1845">
        <f t="shared" si="28"/>
        <v>0</v>
      </c>
      <c r="C1845">
        <f>NOT('hospitalityq-nil'!C1845="")*(OR(NOT(IFERROR(AND(INT('hospitalityq-nil'!C1845)='hospitalityq-nil'!C1845,'hospitalityq-nil'!C1845&gt;=2018-50,'hospitalityq-nil'!C1845&lt;=2018+50),FALSE)),SUMPRODUCT(--(TRIM('hospitalityq-nil'!C6:C1845)=TRIM('hospitalityq-nil'!C1845)),--(TRIM('hospitalityq-nil'!D6:D1845)=TRIM('hospitalityq-nil'!D1845)))&gt;1))</f>
        <v>0</v>
      </c>
      <c r="D1845">
        <f>NOT('hospitalityq-nil'!D1845="")*(OR(COUNTIF(reference!$C$144:$C$155,TRIM(LEFT('hospitalityq-nil'!D1845,FIND(":",'hospitalityq-nil'!D1845&amp;":")-1))&amp;":*")=0,SUMPRODUCT(--(TRIM('hospitalityq-nil'!C6:C1845)=TRIM('hospitalityq-nil'!C1845)),--(TRIM('hospitalityq-nil'!D6:D1845)=TRIM('hospitalityq-nil'!D1845)))&gt;1))</f>
        <v>0</v>
      </c>
    </row>
    <row r="1846" spans="1:4" x14ac:dyDescent="0.25">
      <c r="A1846">
        <f t="shared" si="28"/>
        <v>0</v>
      </c>
      <c r="C1846">
        <f>NOT('hospitalityq-nil'!C1846="")*(OR(NOT(IFERROR(AND(INT('hospitalityq-nil'!C1846)='hospitalityq-nil'!C1846,'hospitalityq-nil'!C1846&gt;=2018-50,'hospitalityq-nil'!C1846&lt;=2018+50),FALSE)),SUMPRODUCT(--(TRIM('hospitalityq-nil'!C6:C1846)=TRIM('hospitalityq-nil'!C1846)),--(TRIM('hospitalityq-nil'!D6:D1846)=TRIM('hospitalityq-nil'!D1846)))&gt;1))</f>
        <v>0</v>
      </c>
      <c r="D1846">
        <f>NOT('hospitalityq-nil'!D1846="")*(OR(COUNTIF(reference!$C$144:$C$155,TRIM(LEFT('hospitalityq-nil'!D1846,FIND(":",'hospitalityq-nil'!D1846&amp;":")-1))&amp;":*")=0,SUMPRODUCT(--(TRIM('hospitalityq-nil'!C6:C1846)=TRIM('hospitalityq-nil'!C1846)),--(TRIM('hospitalityq-nil'!D6:D1846)=TRIM('hospitalityq-nil'!D1846)))&gt;1))</f>
        <v>0</v>
      </c>
    </row>
    <row r="1847" spans="1:4" x14ac:dyDescent="0.25">
      <c r="A1847">
        <f t="shared" si="28"/>
        <v>0</v>
      </c>
      <c r="C1847">
        <f>NOT('hospitalityq-nil'!C1847="")*(OR(NOT(IFERROR(AND(INT('hospitalityq-nil'!C1847)='hospitalityq-nil'!C1847,'hospitalityq-nil'!C1847&gt;=2018-50,'hospitalityq-nil'!C1847&lt;=2018+50),FALSE)),SUMPRODUCT(--(TRIM('hospitalityq-nil'!C6:C1847)=TRIM('hospitalityq-nil'!C1847)),--(TRIM('hospitalityq-nil'!D6:D1847)=TRIM('hospitalityq-nil'!D1847)))&gt;1))</f>
        <v>0</v>
      </c>
      <c r="D1847">
        <f>NOT('hospitalityq-nil'!D1847="")*(OR(COUNTIF(reference!$C$144:$C$155,TRIM(LEFT('hospitalityq-nil'!D1847,FIND(":",'hospitalityq-nil'!D1847&amp;":")-1))&amp;":*")=0,SUMPRODUCT(--(TRIM('hospitalityq-nil'!C6:C1847)=TRIM('hospitalityq-nil'!C1847)),--(TRIM('hospitalityq-nil'!D6:D1847)=TRIM('hospitalityq-nil'!D1847)))&gt;1))</f>
        <v>0</v>
      </c>
    </row>
    <row r="1848" spans="1:4" x14ac:dyDescent="0.25">
      <c r="A1848">
        <f t="shared" si="28"/>
        <v>0</v>
      </c>
      <c r="C1848">
        <f>NOT('hospitalityq-nil'!C1848="")*(OR(NOT(IFERROR(AND(INT('hospitalityq-nil'!C1848)='hospitalityq-nil'!C1848,'hospitalityq-nil'!C1848&gt;=2018-50,'hospitalityq-nil'!C1848&lt;=2018+50),FALSE)),SUMPRODUCT(--(TRIM('hospitalityq-nil'!C6:C1848)=TRIM('hospitalityq-nil'!C1848)),--(TRIM('hospitalityq-nil'!D6:D1848)=TRIM('hospitalityq-nil'!D1848)))&gt;1))</f>
        <v>0</v>
      </c>
      <c r="D1848">
        <f>NOT('hospitalityq-nil'!D1848="")*(OR(COUNTIF(reference!$C$144:$C$155,TRIM(LEFT('hospitalityq-nil'!D1848,FIND(":",'hospitalityq-nil'!D1848&amp;":")-1))&amp;":*")=0,SUMPRODUCT(--(TRIM('hospitalityq-nil'!C6:C1848)=TRIM('hospitalityq-nil'!C1848)),--(TRIM('hospitalityq-nil'!D6:D1848)=TRIM('hospitalityq-nil'!D1848)))&gt;1))</f>
        <v>0</v>
      </c>
    </row>
    <row r="1849" spans="1:4" x14ac:dyDescent="0.25">
      <c r="A1849">
        <f t="shared" si="28"/>
        <v>0</v>
      </c>
      <c r="C1849">
        <f>NOT('hospitalityq-nil'!C1849="")*(OR(NOT(IFERROR(AND(INT('hospitalityq-nil'!C1849)='hospitalityq-nil'!C1849,'hospitalityq-nil'!C1849&gt;=2018-50,'hospitalityq-nil'!C1849&lt;=2018+50),FALSE)),SUMPRODUCT(--(TRIM('hospitalityq-nil'!C6:C1849)=TRIM('hospitalityq-nil'!C1849)),--(TRIM('hospitalityq-nil'!D6:D1849)=TRIM('hospitalityq-nil'!D1849)))&gt;1))</f>
        <v>0</v>
      </c>
      <c r="D1849">
        <f>NOT('hospitalityq-nil'!D1849="")*(OR(COUNTIF(reference!$C$144:$C$155,TRIM(LEFT('hospitalityq-nil'!D1849,FIND(":",'hospitalityq-nil'!D1849&amp;":")-1))&amp;":*")=0,SUMPRODUCT(--(TRIM('hospitalityq-nil'!C6:C1849)=TRIM('hospitalityq-nil'!C1849)),--(TRIM('hospitalityq-nil'!D6:D1849)=TRIM('hospitalityq-nil'!D1849)))&gt;1))</f>
        <v>0</v>
      </c>
    </row>
    <row r="1850" spans="1:4" x14ac:dyDescent="0.25">
      <c r="A1850">
        <f t="shared" si="28"/>
        <v>0</v>
      </c>
      <c r="C1850">
        <f>NOT('hospitalityq-nil'!C1850="")*(OR(NOT(IFERROR(AND(INT('hospitalityq-nil'!C1850)='hospitalityq-nil'!C1850,'hospitalityq-nil'!C1850&gt;=2018-50,'hospitalityq-nil'!C1850&lt;=2018+50),FALSE)),SUMPRODUCT(--(TRIM('hospitalityq-nil'!C6:C1850)=TRIM('hospitalityq-nil'!C1850)),--(TRIM('hospitalityq-nil'!D6:D1850)=TRIM('hospitalityq-nil'!D1850)))&gt;1))</f>
        <v>0</v>
      </c>
      <c r="D1850">
        <f>NOT('hospitalityq-nil'!D1850="")*(OR(COUNTIF(reference!$C$144:$C$155,TRIM(LEFT('hospitalityq-nil'!D1850,FIND(":",'hospitalityq-nil'!D1850&amp;":")-1))&amp;":*")=0,SUMPRODUCT(--(TRIM('hospitalityq-nil'!C6:C1850)=TRIM('hospitalityq-nil'!C1850)),--(TRIM('hospitalityq-nil'!D6:D1850)=TRIM('hospitalityq-nil'!D1850)))&gt;1))</f>
        <v>0</v>
      </c>
    </row>
    <row r="1851" spans="1:4" x14ac:dyDescent="0.25">
      <c r="A1851">
        <f t="shared" si="28"/>
        <v>0</v>
      </c>
      <c r="C1851">
        <f>NOT('hospitalityq-nil'!C1851="")*(OR(NOT(IFERROR(AND(INT('hospitalityq-nil'!C1851)='hospitalityq-nil'!C1851,'hospitalityq-nil'!C1851&gt;=2018-50,'hospitalityq-nil'!C1851&lt;=2018+50),FALSE)),SUMPRODUCT(--(TRIM('hospitalityq-nil'!C6:C1851)=TRIM('hospitalityq-nil'!C1851)),--(TRIM('hospitalityq-nil'!D6:D1851)=TRIM('hospitalityq-nil'!D1851)))&gt;1))</f>
        <v>0</v>
      </c>
      <c r="D1851">
        <f>NOT('hospitalityq-nil'!D1851="")*(OR(COUNTIF(reference!$C$144:$C$155,TRIM(LEFT('hospitalityq-nil'!D1851,FIND(":",'hospitalityq-nil'!D1851&amp;":")-1))&amp;":*")=0,SUMPRODUCT(--(TRIM('hospitalityq-nil'!C6:C1851)=TRIM('hospitalityq-nil'!C1851)),--(TRIM('hospitalityq-nil'!D6:D1851)=TRIM('hospitalityq-nil'!D1851)))&gt;1))</f>
        <v>0</v>
      </c>
    </row>
    <row r="1852" spans="1:4" x14ac:dyDescent="0.25">
      <c r="A1852">
        <f t="shared" si="28"/>
        <v>0</v>
      </c>
      <c r="C1852">
        <f>NOT('hospitalityq-nil'!C1852="")*(OR(NOT(IFERROR(AND(INT('hospitalityq-nil'!C1852)='hospitalityq-nil'!C1852,'hospitalityq-nil'!C1852&gt;=2018-50,'hospitalityq-nil'!C1852&lt;=2018+50),FALSE)),SUMPRODUCT(--(TRIM('hospitalityq-nil'!C6:C1852)=TRIM('hospitalityq-nil'!C1852)),--(TRIM('hospitalityq-nil'!D6:D1852)=TRIM('hospitalityq-nil'!D1852)))&gt;1))</f>
        <v>0</v>
      </c>
      <c r="D1852">
        <f>NOT('hospitalityq-nil'!D1852="")*(OR(COUNTIF(reference!$C$144:$C$155,TRIM(LEFT('hospitalityq-nil'!D1852,FIND(":",'hospitalityq-nil'!D1852&amp;":")-1))&amp;":*")=0,SUMPRODUCT(--(TRIM('hospitalityq-nil'!C6:C1852)=TRIM('hospitalityq-nil'!C1852)),--(TRIM('hospitalityq-nil'!D6:D1852)=TRIM('hospitalityq-nil'!D1852)))&gt;1))</f>
        <v>0</v>
      </c>
    </row>
    <row r="1853" spans="1:4" x14ac:dyDescent="0.25">
      <c r="A1853">
        <f t="shared" si="28"/>
        <v>0</v>
      </c>
      <c r="C1853">
        <f>NOT('hospitalityq-nil'!C1853="")*(OR(NOT(IFERROR(AND(INT('hospitalityq-nil'!C1853)='hospitalityq-nil'!C1853,'hospitalityq-nil'!C1853&gt;=2018-50,'hospitalityq-nil'!C1853&lt;=2018+50),FALSE)),SUMPRODUCT(--(TRIM('hospitalityq-nil'!C6:C1853)=TRIM('hospitalityq-nil'!C1853)),--(TRIM('hospitalityq-nil'!D6:D1853)=TRIM('hospitalityq-nil'!D1853)))&gt;1))</f>
        <v>0</v>
      </c>
      <c r="D1853">
        <f>NOT('hospitalityq-nil'!D1853="")*(OR(COUNTIF(reference!$C$144:$C$155,TRIM(LEFT('hospitalityq-nil'!D1853,FIND(":",'hospitalityq-nil'!D1853&amp;":")-1))&amp;":*")=0,SUMPRODUCT(--(TRIM('hospitalityq-nil'!C6:C1853)=TRIM('hospitalityq-nil'!C1853)),--(TRIM('hospitalityq-nil'!D6:D1853)=TRIM('hospitalityq-nil'!D1853)))&gt;1))</f>
        <v>0</v>
      </c>
    </row>
    <row r="1854" spans="1:4" x14ac:dyDescent="0.25">
      <c r="A1854">
        <f t="shared" si="28"/>
        <v>0</v>
      </c>
      <c r="C1854">
        <f>NOT('hospitalityq-nil'!C1854="")*(OR(NOT(IFERROR(AND(INT('hospitalityq-nil'!C1854)='hospitalityq-nil'!C1854,'hospitalityq-nil'!C1854&gt;=2018-50,'hospitalityq-nil'!C1854&lt;=2018+50),FALSE)),SUMPRODUCT(--(TRIM('hospitalityq-nil'!C6:C1854)=TRIM('hospitalityq-nil'!C1854)),--(TRIM('hospitalityq-nil'!D6:D1854)=TRIM('hospitalityq-nil'!D1854)))&gt;1))</f>
        <v>0</v>
      </c>
      <c r="D1854">
        <f>NOT('hospitalityq-nil'!D1854="")*(OR(COUNTIF(reference!$C$144:$C$155,TRIM(LEFT('hospitalityq-nil'!D1854,FIND(":",'hospitalityq-nil'!D1854&amp;":")-1))&amp;":*")=0,SUMPRODUCT(--(TRIM('hospitalityq-nil'!C6:C1854)=TRIM('hospitalityq-nil'!C1854)),--(TRIM('hospitalityq-nil'!D6:D1854)=TRIM('hospitalityq-nil'!D1854)))&gt;1))</f>
        <v>0</v>
      </c>
    </row>
    <row r="1855" spans="1:4" x14ac:dyDescent="0.25">
      <c r="A1855">
        <f t="shared" si="28"/>
        <v>0</v>
      </c>
      <c r="C1855">
        <f>NOT('hospitalityq-nil'!C1855="")*(OR(NOT(IFERROR(AND(INT('hospitalityq-nil'!C1855)='hospitalityq-nil'!C1855,'hospitalityq-nil'!C1855&gt;=2018-50,'hospitalityq-nil'!C1855&lt;=2018+50),FALSE)),SUMPRODUCT(--(TRIM('hospitalityq-nil'!C6:C1855)=TRIM('hospitalityq-nil'!C1855)),--(TRIM('hospitalityq-nil'!D6:D1855)=TRIM('hospitalityq-nil'!D1855)))&gt;1))</f>
        <v>0</v>
      </c>
      <c r="D1855">
        <f>NOT('hospitalityq-nil'!D1855="")*(OR(COUNTIF(reference!$C$144:$C$155,TRIM(LEFT('hospitalityq-nil'!D1855,FIND(":",'hospitalityq-nil'!D1855&amp;":")-1))&amp;":*")=0,SUMPRODUCT(--(TRIM('hospitalityq-nil'!C6:C1855)=TRIM('hospitalityq-nil'!C1855)),--(TRIM('hospitalityq-nil'!D6:D1855)=TRIM('hospitalityq-nil'!D1855)))&gt;1))</f>
        <v>0</v>
      </c>
    </row>
    <row r="1856" spans="1:4" x14ac:dyDescent="0.25">
      <c r="A1856">
        <f t="shared" si="28"/>
        <v>0</v>
      </c>
      <c r="C1856">
        <f>NOT('hospitalityq-nil'!C1856="")*(OR(NOT(IFERROR(AND(INT('hospitalityq-nil'!C1856)='hospitalityq-nil'!C1856,'hospitalityq-nil'!C1856&gt;=2018-50,'hospitalityq-nil'!C1856&lt;=2018+50),FALSE)),SUMPRODUCT(--(TRIM('hospitalityq-nil'!C6:C1856)=TRIM('hospitalityq-nil'!C1856)),--(TRIM('hospitalityq-nil'!D6:D1856)=TRIM('hospitalityq-nil'!D1856)))&gt;1))</f>
        <v>0</v>
      </c>
      <c r="D1856">
        <f>NOT('hospitalityq-nil'!D1856="")*(OR(COUNTIF(reference!$C$144:$C$155,TRIM(LEFT('hospitalityq-nil'!D1856,FIND(":",'hospitalityq-nil'!D1856&amp;":")-1))&amp;":*")=0,SUMPRODUCT(--(TRIM('hospitalityq-nil'!C6:C1856)=TRIM('hospitalityq-nil'!C1856)),--(TRIM('hospitalityq-nil'!D6:D1856)=TRIM('hospitalityq-nil'!D1856)))&gt;1))</f>
        <v>0</v>
      </c>
    </row>
    <row r="1857" spans="1:4" x14ac:dyDescent="0.25">
      <c r="A1857">
        <f t="shared" si="28"/>
        <v>0</v>
      </c>
      <c r="C1857">
        <f>NOT('hospitalityq-nil'!C1857="")*(OR(NOT(IFERROR(AND(INT('hospitalityq-nil'!C1857)='hospitalityq-nil'!C1857,'hospitalityq-nil'!C1857&gt;=2018-50,'hospitalityq-nil'!C1857&lt;=2018+50),FALSE)),SUMPRODUCT(--(TRIM('hospitalityq-nil'!C6:C1857)=TRIM('hospitalityq-nil'!C1857)),--(TRIM('hospitalityq-nil'!D6:D1857)=TRIM('hospitalityq-nil'!D1857)))&gt;1))</f>
        <v>0</v>
      </c>
      <c r="D1857">
        <f>NOT('hospitalityq-nil'!D1857="")*(OR(COUNTIF(reference!$C$144:$C$155,TRIM(LEFT('hospitalityq-nil'!D1857,FIND(":",'hospitalityq-nil'!D1857&amp;":")-1))&amp;":*")=0,SUMPRODUCT(--(TRIM('hospitalityq-nil'!C6:C1857)=TRIM('hospitalityq-nil'!C1857)),--(TRIM('hospitalityq-nil'!D6:D1857)=TRIM('hospitalityq-nil'!D1857)))&gt;1))</f>
        <v>0</v>
      </c>
    </row>
    <row r="1858" spans="1:4" x14ac:dyDescent="0.25">
      <c r="A1858">
        <f t="shared" si="28"/>
        <v>0</v>
      </c>
      <c r="C1858">
        <f>NOT('hospitalityq-nil'!C1858="")*(OR(NOT(IFERROR(AND(INT('hospitalityq-nil'!C1858)='hospitalityq-nil'!C1858,'hospitalityq-nil'!C1858&gt;=2018-50,'hospitalityq-nil'!C1858&lt;=2018+50),FALSE)),SUMPRODUCT(--(TRIM('hospitalityq-nil'!C6:C1858)=TRIM('hospitalityq-nil'!C1858)),--(TRIM('hospitalityq-nil'!D6:D1858)=TRIM('hospitalityq-nil'!D1858)))&gt;1))</f>
        <v>0</v>
      </c>
      <c r="D1858">
        <f>NOT('hospitalityq-nil'!D1858="")*(OR(COUNTIF(reference!$C$144:$C$155,TRIM(LEFT('hospitalityq-nil'!D1858,FIND(":",'hospitalityq-nil'!D1858&amp;":")-1))&amp;":*")=0,SUMPRODUCT(--(TRIM('hospitalityq-nil'!C6:C1858)=TRIM('hospitalityq-nil'!C1858)),--(TRIM('hospitalityq-nil'!D6:D1858)=TRIM('hospitalityq-nil'!D1858)))&gt;1))</f>
        <v>0</v>
      </c>
    </row>
    <row r="1859" spans="1:4" x14ac:dyDescent="0.25">
      <c r="A1859">
        <f t="shared" si="28"/>
        <v>0</v>
      </c>
      <c r="C1859">
        <f>NOT('hospitalityq-nil'!C1859="")*(OR(NOT(IFERROR(AND(INT('hospitalityq-nil'!C1859)='hospitalityq-nil'!C1859,'hospitalityq-nil'!C1859&gt;=2018-50,'hospitalityq-nil'!C1859&lt;=2018+50),FALSE)),SUMPRODUCT(--(TRIM('hospitalityq-nil'!C6:C1859)=TRIM('hospitalityq-nil'!C1859)),--(TRIM('hospitalityq-nil'!D6:D1859)=TRIM('hospitalityq-nil'!D1859)))&gt;1))</f>
        <v>0</v>
      </c>
      <c r="D1859">
        <f>NOT('hospitalityq-nil'!D1859="")*(OR(COUNTIF(reference!$C$144:$C$155,TRIM(LEFT('hospitalityq-nil'!D1859,FIND(":",'hospitalityq-nil'!D1859&amp;":")-1))&amp;":*")=0,SUMPRODUCT(--(TRIM('hospitalityq-nil'!C6:C1859)=TRIM('hospitalityq-nil'!C1859)),--(TRIM('hospitalityq-nil'!D6:D1859)=TRIM('hospitalityq-nil'!D1859)))&gt;1))</f>
        <v>0</v>
      </c>
    </row>
    <row r="1860" spans="1:4" x14ac:dyDescent="0.25">
      <c r="A1860">
        <f t="shared" si="28"/>
        <v>0</v>
      </c>
      <c r="C1860">
        <f>NOT('hospitalityq-nil'!C1860="")*(OR(NOT(IFERROR(AND(INT('hospitalityq-nil'!C1860)='hospitalityq-nil'!C1860,'hospitalityq-nil'!C1860&gt;=2018-50,'hospitalityq-nil'!C1860&lt;=2018+50),FALSE)),SUMPRODUCT(--(TRIM('hospitalityq-nil'!C6:C1860)=TRIM('hospitalityq-nil'!C1860)),--(TRIM('hospitalityq-nil'!D6:D1860)=TRIM('hospitalityq-nil'!D1860)))&gt;1))</f>
        <v>0</v>
      </c>
      <c r="D1860">
        <f>NOT('hospitalityq-nil'!D1860="")*(OR(COUNTIF(reference!$C$144:$C$155,TRIM(LEFT('hospitalityq-nil'!D1860,FIND(":",'hospitalityq-nil'!D1860&amp;":")-1))&amp;":*")=0,SUMPRODUCT(--(TRIM('hospitalityq-nil'!C6:C1860)=TRIM('hospitalityq-nil'!C1860)),--(TRIM('hospitalityq-nil'!D6:D1860)=TRIM('hospitalityq-nil'!D1860)))&gt;1))</f>
        <v>0</v>
      </c>
    </row>
    <row r="1861" spans="1:4" x14ac:dyDescent="0.25">
      <c r="A1861">
        <f t="shared" si="28"/>
        <v>0</v>
      </c>
      <c r="C1861">
        <f>NOT('hospitalityq-nil'!C1861="")*(OR(NOT(IFERROR(AND(INT('hospitalityq-nil'!C1861)='hospitalityq-nil'!C1861,'hospitalityq-nil'!C1861&gt;=2018-50,'hospitalityq-nil'!C1861&lt;=2018+50),FALSE)),SUMPRODUCT(--(TRIM('hospitalityq-nil'!C6:C1861)=TRIM('hospitalityq-nil'!C1861)),--(TRIM('hospitalityq-nil'!D6:D1861)=TRIM('hospitalityq-nil'!D1861)))&gt;1))</f>
        <v>0</v>
      </c>
      <c r="D1861">
        <f>NOT('hospitalityq-nil'!D1861="")*(OR(COUNTIF(reference!$C$144:$C$155,TRIM(LEFT('hospitalityq-nil'!D1861,FIND(":",'hospitalityq-nil'!D1861&amp;":")-1))&amp;":*")=0,SUMPRODUCT(--(TRIM('hospitalityq-nil'!C6:C1861)=TRIM('hospitalityq-nil'!C1861)),--(TRIM('hospitalityq-nil'!D6:D1861)=TRIM('hospitalityq-nil'!D1861)))&gt;1))</f>
        <v>0</v>
      </c>
    </row>
    <row r="1862" spans="1:4" x14ac:dyDescent="0.25">
      <c r="A1862">
        <f t="shared" ref="A1862:A1925" si="29">IFERROR(MATCH(TRUE,INDEX(C1862:D1862&lt;&gt;0,),)+2,0)</f>
        <v>0</v>
      </c>
      <c r="C1862">
        <f>NOT('hospitalityq-nil'!C1862="")*(OR(NOT(IFERROR(AND(INT('hospitalityq-nil'!C1862)='hospitalityq-nil'!C1862,'hospitalityq-nil'!C1862&gt;=2018-50,'hospitalityq-nil'!C1862&lt;=2018+50),FALSE)),SUMPRODUCT(--(TRIM('hospitalityq-nil'!C6:C1862)=TRIM('hospitalityq-nil'!C1862)),--(TRIM('hospitalityq-nil'!D6:D1862)=TRIM('hospitalityq-nil'!D1862)))&gt;1))</f>
        <v>0</v>
      </c>
      <c r="D1862">
        <f>NOT('hospitalityq-nil'!D1862="")*(OR(COUNTIF(reference!$C$144:$C$155,TRIM(LEFT('hospitalityq-nil'!D1862,FIND(":",'hospitalityq-nil'!D1862&amp;":")-1))&amp;":*")=0,SUMPRODUCT(--(TRIM('hospitalityq-nil'!C6:C1862)=TRIM('hospitalityq-nil'!C1862)),--(TRIM('hospitalityq-nil'!D6:D1862)=TRIM('hospitalityq-nil'!D1862)))&gt;1))</f>
        <v>0</v>
      </c>
    </row>
    <row r="1863" spans="1:4" x14ac:dyDescent="0.25">
      <c r="A1863">
        <f t="shared" si="29"/>
        <v>0</v>
      </c>
      <c r="C1863">
        <f>NOT('hospitalityq-nil'!C1863="")*(OR(NOT(IFERROR(AND(INT('hospitalityq-nil'!C1863)='hospitalityq-nil'!C1863,'hospitalityq-nil'!C1863&gt;=2018-50,'hospitalityq-nil'!C1863&lt;=2018+50),FALSE)),SUMPRODUCT(--(TRIM('hospitalityq-nil'!C6:C1863)=TRIM('hospitalityq-nil'!C1863)),--(TRIM('hospitalityq-nil'!D6:D1863)=TRIM('hospitalityq-nil'!D1863)))&gt;1))</f>
        <v>0</v>
      </c>
      <c r="D1863">
        <f>NOT('hospitalityq-nil'!D1863="")*(OR(COUNTIF(reference!$C$144:$C$155,TRIM(LEFT('hospitalityq-nil'!D1863,FIND(":",'hospitalityq-nil'!D1863&amp;":")-1))&amp;":*")=0,SUMPRODUCT(--(TRIM('hospitalityq-nil'!C6:C1863)=TRIM('hospitalityq-nil'!C1863)),--(TRIM('hospitalityq-nil'!D6:D1863)=TRIM('hospitalityq-nil'!D1863)))&gt;1))</f>
        <v>0</v>
      </c>
    </row>
    <row r="1864" spans="1:4" x14ac:dyDescent="0.25">
      <c r="A1864">
        <f t="shared" si="29"/>
        <v>0</v>
      </c>
      <c r="C1864">
        <f>NOT('hospitalityq-nil'!C1864="")*(OR(NOT(IFERROR(AND(INT('hospitalityq-nil'!C1864)='hospitalityq-nil'!C1864,'hospitalityq-nil'!C1864&gt;=2018-50,'hospitalityq-nil'!C1864&lt;=2018+50),FALSE)),SUMPRODUCT(--(TRIM('hospitalityq-nil'!C6:C1864)=TRIM('hospitalityq-nil'!C1864)),--(TRIM('hospitalityq-nil'!D6:D1864)=TRIM('hospitalityq-nil'!D1864)))&gt;1))</f>
        <v>0</v>
      </c>
      <c r="D1864">
        <f>NOT('hospitalityq-nil'!D1864="")*(OR(COUNTIF(reference!$C$144:$C$155,TRIM(LEFT('hospitalityq-nil'!D1864,FIND(":",'hospitalityq-nil'!D1864&amp;":")-1))&amp;":*")=0,SUMPRODUCT(--(TRIM('hospitalityq-nil'!C6:C1864)=TRIM('hospitalityq-nil'!C1864)),--(TRIM('hospitalityq-nil'!D6:D1864)=TRIM('hospitalityq-nil'!D1864)))&gt;1))</f>
        <v>0</v>
      </c>
    </row>
    <row r="1865" spans="1:4" x14ac:dyDescent="0.25">
      <c r="A1865">
        <f t="shared" si="29"/>
        <v>0</v>
      </c>
      <c r="C1865">
        <f>NOT('hospitalityq-nil'!C1865="")*(OR(NOT(IFERROR(AND(INT('hospitalityq-nil'!C1865)='hospitalityq-nil'!C1865,'hospitalityq-nil'!C1865&gt;=2018-50,'hospitalityq-nil'!C1865&lt;=2018+50),FALSE)),SUMPRODUCT(--(TRIM('hospitalityq-nil'!C6:C1865)=TRIM('hospitalityq-nil'!C1865)),--(TRIM('hospitalityq-nil'!D6:D1865)=TRIM('hospitalityq-nil'!D1865)))&gt;1))</f>
        <v>0</v>
      </c>
      <c r="D1865">
        <f>NOT('hospitalityq-nil'!D1865="")*(OR(COUNTIF(reference!$C$144:$C$155,TRIM(LEFT('hospitalityq-nil'!D1865,FIND(":",'hospitalityq-nil'!D1865&amp;":")-1))&amp;":*")=0,SUMPRODUCT(--(TRIM('hospitalityq-nil'!C6:C1865)=TRIM('hospitalityq-nil'!C1865)),--(TRIM('hospitalityq-nil'!D6:D1865)=TRIM('hospitalityq-nil'!D1865)))&gt;1))</f>
        <v>0</v>
      </c>
    </row>
    <row r="1866" spans="1:4" x14ac:dyDescent="0.25">
      <c r="A1866">
        <f t="shared" si="29"/>
        <v>0</v>
      </c>
      <c r="C1866">
        <f>NOT('hospitalityq-nil'!C1866="")*(OR(NOT(IFERROR(AND(INT('hospitalityq-nil'!C1866)='hospitalityq-nil'!C1866,'hospitalityq-nil'!C1866&gt;=2018-50,'hospitalityq-nil'!C1866&lt;=2018+50),FALSE)),SUMPRODUCT(--(TRIM('hospitalityq-nil'!C6:C1866)=TRIM('hospitalityq-nil'!C1866)),--(TRIM('hospitalityq-nil'!D6:D1866)=TRIM('hospitalityq-nil'!D1866)))&gt;1))</f>
        <v>0</v>
      </c>
      <c r="D1866">
        <f>NOT('hospitalityq-nil'!D1866="")*(OR(COUNTIF(reference!$C$144:$C$155,TRIM(LEFT('hospitalityq-nil'!D1866,FIND(":",'hospitalityq-nil'!D1866&amp;":")-1))&amp;":*")=0,SUMPRODUCT(--(TRIM('hospitalityq-nil'!C6:C1866)=TRIM('hospitalityq-nil'!C1866)),--(TRIM('hospitalityq-nil'!D6:D1866)=TRIM('hospitalityq-nil'!D1866)))&gt;1))</f>
        <v>0</v>
      </c>
    </row>
    <row r="1867" spans="1:4" x14ac:dyDescent="0.25">
      <c r="A1867">
        <f t="shared" si="29"/>
        <v>0</v>
      </c>
      <c r="C1867">
        <f>NOT('hospitalityq-nil'!C1867="")*(OR(NOT(IFERROR(AND(INT('hospitalityq-nil'!C1867)='hospitalityq-nil'!C1867,'hospitalityq-nil'!C1867&gt;=2018-50,'hospitalityq-nil'!C1867&lt;=2018+50),FALSE)),SUMPRODUCT(--(TRIM('hospitalityq-nil'!C6:C1867)=TRIM('hospitalityq-nil'!C1867)),--(TRIM('hospitalityq-nil'!D6:D1867)=TRIM('hospitalityq-nil'!D1867)))&gt;1))</f>
        <v>0</v>
      </c>
      <c r="D1867">
        <f>NOT('hospitalityq-nil'!D1867="")*(OR(COUNTIF(reference!$C$144:$C$155,TRIM(LEFT('hospitalityq-nil'!D1867,FIND(":",'hospitalityq-nil'!D1867&amp;":")-1))&amp;":*")=0,SUMPRODUCT(--(TRIM('hospitalityq-nil'!C6:C1867)=TRIM('hospitalityq-nil'!C1867)),--(TRIM('hospitalityq-nil'!D6:D1867)=TRIM('hospitalityq-nil'!D1867)))&gt;1))</f>
        <v>0</v>
      </c>
    </row>
    <row r="1868" spans="1:4" x14ac:dyDescent="0.25">
      <c r="A1868">
        <f t="shared" si="29"/>
        <v>0</v>
      </c>
      <c r="C1868">
        <f>NOT('hospitalityq-nil'!C1868="")*(OR(NOT(IFERROR(AND(INT('hospitalityq-nil'!C1868)='hospitalityq-nil'!C1868,'hospitalityq-nil'!C1868&gt;=2018-50,'hospitalityq-nil'!C1868&lt;=2018+50),FALSE)),SUMPRODUCT(--(TRIM('hospitalityq-nil'!C6:C1868)=TRIM('hospitalityq-nil'!C1868)),--(TRIM('hospitalityq-nil'!D6:D1868)=TRIM('hospitalityq-nil'!D1868)))&gt;1))</f>
        <v>0</v>
      </c>
      <c r="D1868">
        <f>NOT('hospitalityq-nil'!D1868="")*(OR(COUNTIF(reference!$C$144:$C$155,TRIM(LEFT('hospitalityq-nil'!D1868,FIND(":",'hospitalityq-nil'!D1868&amp;":")-1))&amp;":*")=0,SUMPRODUCT(--(TRIM('hospitalityq-nil'!C6:C1868)=TRIM('hospitalityq-nil'!C1868)),--(TRIM('hospitalityq-nil'!D6:D1868)=TRIM('hospitalityq-nil'!D1868)))&gt;1))</f>
        <v>0</v>
      </c>
    </row>
    <row r="1869" spans="1:4" x14ac:dyDescent="0.25">
      <c r="A1869">
        <f t="shared" si="29"/>
        <v>0</v>
      </c>
      <c r="C1869">
        <f>NOT('hospitalityq-nil'!C1869="")*(OR(NOT(IFERROR(AND(INT('hospitalityq-nil'!C1869)='hospitalityq-nil'!C1869,'hospitalityq-nil'!C1869&gt;=2018-50,'hospitalityq-nil'!C1869&lt;=2018+50),FALSE)),SUMPRODUCT(--(TRIM('hospitalityq-nil'!C6:C1869)=TRIM('hospitalityq-nil'!C1869)),--(TRIM('hospitalityq-nil'!D6:D1869)=TRIM('hospitalityq-nil'!D1869)))&gt;1))</f>
        <v>0</v>
      </c>
      <c r="D1869">
        <f>NOT('hospitalityq-nil'!D1869="")*(OR(COUNTIF(reference!$C$144:$C$155,TRIM(LEFT('hospitalityq-nil'!D1869,FIND(":",'hospitalityq-nil'!D1869&amp;":")-1))&amp;":*")=0,SUMPRODUCT(--(TRIM('hospitalityq-nil'!C6:C1869)=TRIM('hospitalityq-nil'!C1869)),--(TRIM('hospitalityq-nil'!D6:D1869)=TRIM('hospitalityq-nil'!D1869)))&gt;1))</f>
        <v>0</v>
      </c>
    </row>
    <row r="1870" spans="1:4" x14ac:dyDescent="0.25">
      <c r="A1870">
        <f t="shared" si="29"/>
        <v>0</v>
      </c>
      <c r="C1870">
        <f>NOT('hospitalityq-nil'!C1870="")*(OR(NOT(IFERROR(AND(INT('hospitalityq-nil'!C1870)='hospitalityq-nil'!C1870,'hospitalityq-nil'!C1870&gt;=2018-50,'hospitalityq-nil'!C1870&lt;=2018+50),FALSE)),SUMPRODUCT(--(TRIM('hospitalityq-nil'!C6:C1870)=TRIM('hospitalityq-nil'!C1870)),--(TRIM('hospitalityq-nil'!D6:D1870)=TRIM('hospitalityq-nil'!D1870)))&gt;1))</f>
        <v>0</v>
      </c>
      <c r="D1870">
        <f>NOT('hospitalityq-nil'!D1870="")*(OR(COUNTIF(reference!$C$144:$C$155,TRIM(LEFT('hospitalityq-nil'!D1870,FIND(":",'hospitalityq-nil'!D1870&amp;":")-1))&amp;":*")=0,SUMPRODUCT(--(TRIM('hospitalityq-nil'!C6:C1870)=TRIM('hospitalityq-nil'!C1870)),--(TRIM('hospitalityq-nil'!D6:D1870)=TRIM('hospitalityq-nil'!D1870)))&gt;1))</f>
        <v>0</v>
      </c>
    </row>
    <row r="1871" spans="1:4" x14ac:dyDescent="0.25">
      <c r="A1871">
        <f t="shared" si="29"/>
        <v>0</v>
      </c>
      <c r="C1871">
        <f>NOT('hospitalityq-nil'!C1871="")*(OR(NOT(IFERROR(AND(INT('hospitalityq-nil'!C1871)='hospitalityq-nil'!C1871,'hospitalityq-nil'!C1871&gt;=2018-50,'hospitalityq-nil'!C1871&lt;=2018+50),FALSE)),SUMPRODUCT(--(TRIM('hospitalityq-nil'!C6:C1871)=TRIM('hospitalityq-nil'!C1871)),--(TRIM('hospitalityq-nil'!D6:D1871)=TRIM('hospitalityq-nil'!D1871)))&gt;1))</f>
        <v>0</v>
      </c>
      <c r="D1871">
        <f>NOT('hospitalityq-nil'!D1871="")*(OR(COUNTIF(reference!$C$144:$C$155,TRIM(LEFT('hospitalityq-nil'!D1871,FIND(":",'hospitalityq-nil'!D1871&amp;":")-1))&amp;":*")=0,SUMPRODUCT(--(TRIM('hospitalityq-nil'!C6:C1871)=TRIM('hospitalityq-nil'!C1871)),--(TRIM('hospitalityq-nil'!D6:D1871)=TRIM('hospitalityq-nil'!D1871)))&gt;1))</f>
        <v>0</v>
      </c>
    </row>
    <row r="1872" spans="1:4" x14ac:dyDescent="0.25">
      <c r="A1872">
        <f t="shared" si="29"/>
        <v>0</v>
      </c>
      <c r="C1872">
        <f>NOT('hospitalityq-nil'!C1872="")*(OR(NOT(IFERROR(AND(INT('hospitalityq-nil'!C1872)='hospitalityq-nil'!C1872,'hospitalityq-nil'!C1872&gt;=2018-50,'hospitalityq-nil'!C1872&lt;=2018+50),FALSE)),SUMPRODUCT(--(TRIM('hospitalityq-nil'!C6:C1872)=TRIM('hospitalityq-nil'!C1872)),--(TRIM('hospitalityq-nil'!D6:D1872)=TRIM('hospitalityq-nil'!D1872)))&gt;1))</f>
        <v>0</v>
      </c>
      <c r="D1872">
        <f>NOT('hospitalityq-nil'!D1872="")*(OR(COUNTIF(reference!$C$144:$C$155,TRIM(LEFT('hospitalityq-nil'!D1872,FIND(":",'hospitalityq-nil'!D1872&amp;":")-1))&amp;":*")=0,SUMPRODUCT(--(TRIM('hospitalityq-nil'!C6:C1872)=TRIM('hospitalityq-nil'!C1872)),--(TRIM('hospitalityq-nil'!D6:D1872)=TRIM('hospitalityq-nil'!D1872)))&gt;1))</f>
        <v>0</v>
      </c>
    </row>
    <row r="1873" spans="1:4" x14ac:dyDescent="0.25">
      <c r="A1873">
        <f t="shared" si="29"/>
        <v>0</v>
      </c>
      <c r="C1873">
        <f>NOT('hospitalityq-nil'!C1873="")*(OR(NOT(IFERROR(AND(INT('hospitalityq-nil'!C1873)='hospitalityq-nil'!C1873,'hospitalityq-nil'!C1873&gt;=2018-50,'hospitalityq-nil'!C1873&lt;=2018+50),FALSE)),SUMPRODUCT(--(TRIM('hospitalityq-nil'!C6:C1873)=TRIM('hospitalityq-nil'!C1873)),--(TRIM('hospitalityq-nil'!D6:D1873)=TRIM('hospitalityq-nil'!D1873)))&gt;1))</f>
        <v>0</v>
      </c>
      <c r="D1873">
        <f>NOT('hospitalityq-nil'!D1873="")*(OR(COUNTIF(reference!$C$144:$C$155,TRIM(LEFT('hospitalityq-nil'!D1873,FIND(":",'hospitalityq-nil'!D1873&amp;":")-1))&amp;":*")=0,SUMPRODUCT(--(TRIM('hospitalityq-nil'!C6:C1873)=TRIM('hospitalityq-nil'!C1873)),--(TRIM('hospitalityq-nil'!D6:D1873)=TRIM('hospitalityq-nil'!D1873)))&gt;1))</f>
        <v>0</v>
      </c>
    </row>
    <row r="1874" spans="1:4" x14ac:dyDescent="0.25">
      <c r="A1874">
        <f t="shared" si="29"/>
        <v>0</v>
      </c>
      <c r="C1874">
        <f>NOT('hospitalityq-nil'!C1874="")*(OR(NOT(IFERROR(AND(INT('hospitalityq-nil'!C1874)='hospitalityq-nil'!C1874,'hospitalityq-nil'!C1874&gt;=2018-50,'hospitalityq-nil'!C1874&lt;=2018+50),FALSE)),SUMPRODUCT(--(TRIM('hospitalityq-nil'!C6:C1874)=TRIM('hospitalityq-nil'!C1874)),--(TRIM('hospitalityq-nil'!D6:D1874)=TRIM('hospitalityq-nil'!D1874)))&gt;1))</f>
        <v>0</v>
      </c>
      <c r="D1874">
        <f>NOT('hospitalityq-nil'!D1874="")*(OR(COUNTIF(reference!$C$144:$C$155,TRIM(LEFT('hospitalityq-nil'!D1874,FIND(":",'hospitalityq-nil'!D1874&amp;":")-1))&amp;":*")=0,SUMPRODUCT(--(TRIM('hospitalityq-nil'!C6:C1874)=TRIM('hospitalityq-nil'!C1874)),--(TRIM('hospitalityq-nil'!D6:D1874)=TRIM('hospitalityq-nil'!D1874)))&gt;1))</f>
        <v>0</v>
      </c>
    </row>
    <row r="1875" spans="1:4" x14ac:dyDescent="0.25">
      <c r="A1875">
        <f t="shared" si="29"/>
        <v>0</v>
      </c>
      <c r="C1875">
        <f>NOT('hospitalityq-nil'!C1875="")*(OR(NOT(IFERROR(AND(INT('hospitalityq-nil'!C1875)='hospitalityq-nil'!C1875,'hospitalityq-nil'!C1875&gt;=2018-50,'hospitalityq-nil'!C1875&lt;=2018+50),FALSE)),SUMPRODUCT(--(TRIM('hospitalityq-nil'!C6:C1875)=TRIM('hospitalityq-nil'!C1875)),--(TRIM('hospitalityq-nil'!D6:D1875)=TRIM('hospitalityq-nil'!D1875)))&gt;1))</f>
        <v>0</v>
      </c>
      <c r="D1875">
        <f>NOT('hospitalityq-nil'!D1875="")*(OR(COUNTIF(reference!$C$144:$C$155,TRIM(LEFT('hospitalityq-nil'!D1875,FIND(":",'hospitalityq-nil'!D1875&amp;":")-1))&amp;":*")=0,SUMPRODUCT(--(TRIM('hospitalityq-nil'!C6:C1875)=TRIM('hospitalityq-nil'!C1875)),--(TRIM('hospitalityq-nil'!D6:D1875)=TRIM('hospitalityq-nil'!D1875)))&gt;1))</f>
        <v>0</v>
      </c>
    </row>
    <row r="1876" spans="1:4" x14ac:dyDescent="0.25">
      <c r="A1876">
        <f t="shared" si="29"/>
        <v>0</v>
      </c>
      <c r="C1876">
        <f>NOT('hospitalityq-nil'!C1876="")*(OR(NOT(IFERROR(AND(INT('hospitalityq-nil'!C1876)='hospitalityq-nil'!C1876,'hospitalityq-nil'!C1876&gt;=2018-50,'hospitalityq-nil'!C1876&lt;=2018+50),FALSE)),SUMPRODUCT(--(TRIM('hospitalityq-nil'!C6:C1876)=TRIM('hospitalityq-nil'!C1876)),--(TRIM('hospitalityq-nil'!D6:D1876)=TRIM('hospitalityq-nil'!D1876)))&gt;1))</f>
        <v>0</v>
      </c>
      <c r="D1876">
        <f>NOT('hospitalityq-nil'!D1876="")*(OR(COUNTIF(reference!$C$144:$C$155,TRIM(LEFT('hospitalityq-nil'!D1876,FIND(":",'hospitalityq-nil'!D1876&amp;":")-1))&amp;":*")=0,SUMPRODUCT(--(TRIM('hospitalityq-nil'!C6:C1876)=TRIM('hospitalityq-nil'!C1876)),--(TRIM('hospitalityq-nil'!D6:D1876)=TRIM('hospitalityq-nil'!D1876)))&gt;1))</f>
        <v>0</v>
      </c>
    </row>
    <row r="1877" spans="1:4" x14ac:dyDescent="0.25">
      <c r="A1877">
        <f t="shared" si="29"/>
        <v>0</v>
      </c>
      <c r="C1877">
        <f>NOT('hospitalityq-nil'!C1877="")*(OR(NOT(IFERROR(AND(INT('hospitalityq-nil'!C1877)='hospitalityq-nil'!C1877,'hospitalityq-nil'!C1877&gt;=2018-50,'hospitalityq-nil'!C1877&lt;=2018+50),FALSE)),SUMPRODUCT(--(TRIM('hospitalityq-nil'!C6:C1877)=TRIM('hospitalityq-nil'!C1877)),--(TRIM('hospitalityq-nil'!D6:D1877)=TRIM('hospitalityq-nil'!D1877)))&gt;1))</f>
        <v>0</v>
      </c>
      <c r="D1877">
        <f>NOT('hospitalityq-nil'!D1877="")*(OR(COUNTIF(reference!$C$144:$C$155,TRIM(LEFT('hospitalityq-nil'!D1877,FIND(":",'hospitalityq-nil'!D1877&amp;":")-1))&amp;":*")=0,SUMPRODUCT(--(TRIM('hospitalityq-nil'!C6:C1877)=TRIM('hospitalityq-nil'!C1877)),--(TRIM('hospitalityq-nil'!D6:D1877)=TRIM('hospitalityq-nil'!D1877)))&gt;1))</f>
        <v>0</v>
      </c>
    </row>
    <row r="1878" spans="1:4" x14ac:dyDescent="0.25">
      <c r="A1878">
        <f t="shared" si="29"/>
        <v>0</v>
      </c>
      <c r="C1878">
        <f>NOT('hospitalityq-nil'!C1878="")*(OR(NOT(IFERROR(AND(INT('hospitalityq-nil'!C1878)='hospitalityq-nil'!C1878,'hospitalityq-nil'!C1878&gt;=2018-50,'hospitalityq-nil'!C1878&lt;=2018+50),FALSE)),SUMPRODUCT(--(TRIM('hospitalityq-nil'!C6:C1878)=TRIM('hospitalityq-nil'!C1878)),--(TRIM('hospitalityq-nil'!D6:D1878)=TRIM('hospitalityq-nil'!D1878)))&gt;1))</f>
        <v>0</v>
      </c>
      <c r="D1878">
        <f>NOT('hospitalityq-nil'!D1878="")*(OR(COUNTIF(reference!$C$144:$C$155,TRIM(LEFT('hospitalityq-nil'!D1878,FIND(":",'hospitalityq-nil'!D1878&amp;":")-1))&amp;":*")=0,SUMPRODUCT(--(TRIM('hospitalityq-nil'!C6:C1878)=TRIM('hospitalityq-nil'!C1878)),--(TRIM('hospitalityq-nil'!D6:D1878)=TRIM('hospitalityq-nil'!D1878)))&gt;1))</f>
        <v>0</v>
      </c>
    </row>
    <row r="1879" spans="1:4" x14ac:dyDescent="0.25">
      <c r="A1879">
        <f t="shared" si="29"/>
        <v>0</v>
      </c>
      <c r="C1879">
        <f>NOT('hospitalityq-nil'!C1879="")*(OR(NOT(IFERROR(AND(INT('hospitalityq-nil'!C1879)='hospitalityq-nil'!C1879,'hospitalityq-nil'!C1879&gt;=2018-50,'hospitalityq-nil'!C1879&lt;=2018+50),FALSE)),SUMPRODUCT(--(TRIM('hospitalityq-nil'!C6:C1879)=TRIM('hospitalityq-nil'!C1879)),--(TRIM('hospitalityq-nil'!D6:D1879)=TRIM('hospitalityq-nil'!D1879)))&gt;1))</f>
        <v>0</v>
      </c>
      <c r="D1879">
        <f>NOT('hospitalityq-nil'!D1879="")*(OR(COUNTIF(reference!$C$144:$C$155,TRIM(LEFT('hospitalityq-nil'!D1879,FIND(":",'hospitalityq-nil'!D1879&amp;":")-1))&amp;":*")=0,SUMPRODUCT(--(TRIM('hospitalityq-nil'!C6:C1879)=TRIM('hospitalityq-nil'!C1879)),--(TRIM('hospitalityq-nil'!D6:D1879)=TRIM('hospitalityq-nil'!D1879)))&gt;1))</f>
        <v>0</v>
      </c>
    </row>
    <row r="1880" spans="1:4" x14ac:dyDescent="0.25">
      <c r="A1880">
        <f t="shared" si="29"/>
        <v>0</v>
      </c>
      <c r="C1880">
        <f>NOT('hospitalityq-nil'!C1880="")*(OR(NOT(IFERROR(AND(INT('hospitalityq-nil'!C1880)='hospitalityq-nil'!C1880,'hospitalityq-nil'!C1880&gt;=2018-50,'hospitalityq-nil'!C1880&lt;=2018+50),FALSE)),SUMPRODUCT(--(TRIM('hospitalityq-nil'!C6:C1880)=TRIM('hospitalityq-nil'!C1880)),--(TRIM('hospitalityq-nil'!D6:D1880)=TRIM('hospitalityq-nil'!D1880)))&gt;1))</f>
        <v>0</v>
      </c>
      <c r="D1880">
        <f>NOT('hospitalityq-nil'!D1880="")*(OR(COUNTIF(reference!$C$144:$C$155,TRIM(LEFT('hospitalityq-nil'!D1880,FIND(":",'hospitalityq-nil'!D1880&amp;":")-1))&amp;":*")=0,SUMPRODUCT(--(TRIM('hospitalityq-nil'!C6:C1880)=TRIM('hospitalityq-nil'!C1880)),--(TRIM('hospitalityq-nil'!D6:D1880)=TRIM('hospitalityq-nil'!D1880)))&gt;1))</f>
        <v>0</v>
      </c>
    </row>
    <row r="1881" spans="1:4" x14ac:dyDescent="0.25">
      <c r="A1881">
        <f t="shared" si="29"/>
        <v>0</v>
      </c>
      <c r="C1881">
        <f>NOT('hospitalityq-nil'!C1881="")*(OR(NOT(IFERROR(AND(INT('hospitalityq-nil'!C1881)='hospitalityq-nil'!C1881,'hospitalityq-nil'!C1881&gt;=2018-50,'hospitalityq-nil'!C1881&lt;=2018+50),FALSE)),SUMPRODUCT(--(TRIM('hospitalityq-nil'!C6:C1881)=TRIM('hospitalityq-nil'!C1881)),--(TRIM('hospitalityq-nil'!D6:D1881)=TRIM('hospitalityq-nil'!D1881)))&gt;1))</f>
        <v>0</v>
      </c>
      <c r="D1881">
        <f>NOT('hospitalityq-nil'!D1881="")*(OR(COUNTIF(reference!$C$144:$C$155,TRIM(LEFT('hospitalityq-nil'!D1881,FIND(":",'hospitalityq-nil'!D1881&amp;":")-1))&amp;":*")=0,SUMPRODUCT(--(TRIM('hospitalityq-nil'!C6:C1881)=TRIM('hospitalityq-nil'!C1881)),--(TRIM('hospitalityq-nil'!D6:D1881)=TRIM('hospitalityq-nil'!D1881)))&gt;1))</f>
        <v>0</v>
      </c>
    </row>
    <row r="1882" spans="1:4" x14ac:dyDescent="0.25">
      <c r="A1882">
        <f t="shared" si="29"/>
        <v>0</v>
      </c>
      <c r="C1882">
        <f>NOT('hospitalityq-nil'!C1882="")*(OR(NOT(IFERROR(AND(INT('hospitalityq-nil'!C1882)='hospitalityq-nil'!C1882,'hospitalityq-nil'!C1882&gt;=2018-50,'hospitalityq-nil'!C1882&lt;=2018+50),FALSE)),SUMPRODUCT(--(TRIM('hospitalityq-nil'!C6:C1882)=TRIM('hospitalityq-nil'!C1882)),--(TRIM('hospitalityq-nil'!D6:D1882)=TRIM('hospitalityq-nil'!D1882)))&gt;1))</f>
        <v>0</v>
      </c>
      <c r="D1882">
        <f>NOT('hospitalityq-nil'!D1882="")*(OR(COUNTIF(reference!$C$144:$C$155,TRIM(LEFT('hospitalityq-nil'!D1882,FIND(":",'hospitalityq-nil'!D1882&amp;":")-1))&amp;":*")=0,SUMPRODUCT(--(TRIM('hospitalityq-nil'!C6:C1882)=TRIM('hospitalityq-nil'!C1882)),--(TRIM('hospitalityq-nil'!D6:D1882)=TRIM('hospitalityq-nil'!D1882)))&gt;1))</f>
        <v>0</v>
      </c>
    </row>
    <row r="1883" spans="1:4" x14ac:dyDescent="0.25">
      <c r="A1883">
        <f t="shared" si="29"/>
        <v>0</v>
      </c>
      <c r="C1883">
        <f>NOT('hospitalityq-nil'!C1883="")*(OR(NOT(IFERROR(AND(INT('hospitalityq-nil'!C1883)='hospitalityq-nil'!C1883,'hospitalityq-nil'!C1883&gt;=2018-50,'hospitalityq-nil'!C1883&lt;=2018+50),FALSE)),SUMPRODUCT(--(TRIM('hospitalityq-nil'!C6:C1883)=TRIM('hospitalityq-nil'!C1883)),--(TRIM('hospitalityq-nil'!D6:D1883)=TRIM('hospitalityq-nil'!D1883)))&gt;1))</f>
        <v>0</v>
      </c>
      <c r="D1883">
        <f>NOT('hospitalityq-nil'!D1883="")*(OR(COUNTIF(reference!$C$144:$C$155,TRIM(LEFT('hospitalityq-nil'!D1883,FIND(":",'hospitalityq-nil'!D1883&amp;":")-1))&amp;":*")=0,SUMPRODUCT(--(TRIM('hospitalityq-nil'!C6:C1883)=TRIM('hospitalityq-nil'!C1883)),--(TRIM('hospitalityq-nil'!D6:D1883)=TRIM('hospitalityq-nil'!D1883)))&gt;1))</f>
        <v>0</v>
      </c>
    </row>
    <row r="1884" spans="1:4" x14ac:dyDescent="0.25">
      <c r="A1884">
        <f t="shared" si="29"/>
        <v>0</v>
      </c>
      <c r="C1884">
        <f>NOT('hospitalityq-nil'!C1884="")*(OR(NOT(IFERROR(AND(INT('hospitalityq-nil'!C1884)='hospitalityq-nil'!C1884,'hospitalityq-nil'!C1884&gt;=2018-50,'hospitalityq-nil'!C1884&lt;=2018+50),FALSE)),SUMPRODUCT(--(TRIM('hospitalityq-nil'!C6:C1884)=TRIM('hospitalityq-nil'!C1884)),--(TRIM('hospitalityq-nil'!D6:D1884)=TRIM('hospitalityq-nil'!D1884)))&gt;1))</f>
        <v>0</v>
      </c>
      <c r="D1884">
        <f>NOT('hospitalityq-nil'!D1884="")*(OR(COUNTIF(reference!$C$144:$C$155,TRIM(LEFT('hospitalityq-nil'!D1884,FIND(":",'hospitalityq-nil'!D1884&amp;":")-1))&amp;":*")=0,SUMPRODUCT(--(TRIM('hospitalityq-nil'!C6:C1884)=TRIM('hospitalityq-nil'!C1884)),--(TRIM('hospitalityq-nil'!D6:D1884)=TRIM('hospitalityq-nil'!D1884)))&gt;1))</f>
        <v>0</v>
      </c>
    </row>
    <row r="1885" spans="1:4" x14ac:dyDescent="0.25">
      <c r="A1885">
        <f t="shared" si="29"/>
        <v>0</v>
      </c>
      <c r="C1885">
        <f>NOT('hospitalityq-nil'!C1885="")*(OR(NOT(IFERROR(AND(INT('hospitalityq-nil'!C1885)='hospitalityq-nil'!C1885,'hospitalityq-nil'!C1885&gt;=2018-50,'hospitalityq-nil'!C1885&lt;=2018+50),FALSE)),SUMPRODUCT(--(TRIM('hospitalityq-nil'!C6:C1885)=TRIM('hospitalityq-nil'!C1885)),--(TRIM('hospitalityq-nil'!D6:D1885)=TRIM('hospitalityq-nil'!D1885)))&gt;1))</f>
        <v>0</v>
      </c>
      <c r="D1885">
        <f>NOT('hospitalityq-nil'!D1885="")*(OR(COUNTIF(reference!$C$144:$C$155,TRIM(LEFT('hospitalityq-nil'!D1885,FIND(":",'hospitalityq-nil'!D1885&amp;":")-1))&amp;":*")=0,SUMPRODUCT(--(TRIM('hospitalityq-nil'!C6:C1885)=TRIM('hospitalityq-nil'!C1885)),--(TRIM('hospitalityq-nil'!D6:D1885)=TRIM('hospitalityq-nil'!D1885)))&gt;1))</f>
        <v>0</v>
      </c>
    </row>
    <row r="1886" spans="1:4" x14ac:dyDescent="0.25">
      <c r="A1886">
        <f t="shared" si="29"/>
        <v>0</v>
      </c>
      <c r="C1886">
        <f>NOT('hospitalityq-nil'!C1886="")*(OR(NOT(IFERROR(AND(INT('hospitalityq-nil'!C1886)='hospitalityq-nil'!C1886,'hospitalityq-nil'!C1886&gt;=2018-50,'hospitalityq-nil'!C1886&lt;=2018+50),FALSE)),SUMPRODUCT(--(TRIM('hospitalityq-nil'!C6:C1886)=TRIM('hospitalityq-nil'!C1886)),--(TRIM('hospitalityq-nil'!D6:D1886)=TRIM('hospitalityq-nil'!D1886)))&gt;1))</f>
        <v>0</v>
      </c>
      <c r="D1886">
        <f>NOT('hospitalityq-nil'!D1886="")*(OR(COUNTIF(reference!$C$144:$C$155,TRIM(LEFT('hospitalityq-nil'!D1886,FIND(":",'hospitalityq-nil'!D1886&amp;":")-1))&amp;":*")=0,SUMPRODUCT(--(TRIM('hospitalityq-nil'!C6:C1886)=TRIM('hospitalityq-nil'!C1886)),--(TRIM('hospitalityq-nil'!D6:D1886)=TRIM('hospitalityq-nil'!D1886)))&gt;1))</f>
        <v>0</v>
      </c>
    </row>
    <row r="1887" spans="1:4" x14ac:dyDescent="0.25">
      <c r="A1887">
        <f t="shared" si="29"/>
        <v>0</v>
      </c>
      <c r="C1887">
        <f>NOT('hospitalityq-nil'!C1887="")*(OR(NOT(IFERROR(AND(INT('hospitalityq-nil'!C1887)='hospitalityq-nil'!C1887,'hospitalityq-nil'!C1887&gt;=2018-50,'hospitalityq-nil'!C1887&lt;=2018+50),FALSE)),SUMPRODUCT(--(TRIM('hospitalityq-nil'!C6:C1887)=TRIM('hospitalityq-nil'!C1887)),--(TRIM('hospitalityq-nil'!D6:D1887)=TRIM('hospitalityq-nil'!D1887)))&gt;1))</f>
        <v>0</v>
      </c>
      <c r="D1887">
        <f>NOT('hospitalityq-nil'!D1887="")*(OR(COUNTIF(reference!$C$144:$C$155,TRIM(LEFT('hospitalityq-nil'!D1887,FIND(":",'hospitalityq-nil'!D1887&amp;":")-1))&amp;":*")=0,SUMPRODUCT(--(TRIM('hospitalityq-nil'!C6:C1887)=TRIM('hospitalityq-nil'!C1887)),--(TRIM('hospitalityq-nil'!D6:D1887)=TRIM('hospitalityq-nil'!D1887)))&gt;1))</f>
        <v>0</v>
      </c>
    </row>
    <row r="1888" spans="1:4" x14ac:dyDescent="0.25">
      <c r="A1888">
        <f t="shared" si="29"/>
        <v>0</v>
      </c>
      <c r="C1888">
        <f>NOT('hospitalityq-nil'!C1888="")*(OR(NOT(IFERROR(AND(INT('hospitalityq-nil'!C1888)='hospitalityq-nil'!C1888,'hospitalityq-nil'!C1888&gt;=2018-50,'hospitalityq-nil'!C1888&lt;=2018+50),FALSE)),SUMPRODUCT(--(TRIM('hospitalityq-nil'!C6:C1888)=TRIM('hospitalityq-nil'!C1888)),--(TRIM('hospitalityq-nil'!D6:D1888)=TRIM('hospitalityq-nil'!D1888)))&gt;1))</f>
        <v>0</v>
      </c>
      <c r="D1888">
        <f>NOT('hospitalityq-nil'!D1888="")*(OR(COUNTIF(reference!$C$144:$C$155,TRIM(LEFT('hospitalityq-nil'!D1888,FIND(":",'hospitalityq-nil'!D1888&amp;":")-1))&amp;":*")=0,SUMPRODUCT(--(TRIM('hospitalityq-nil'!C6:C1888)=TRIM('hospitalityq-nil'!C1888)),--(TRIM('hospitalityq-nil'!D6:D1888)=TRIM('hospitalityq-nil'!D1888)))&gt;1))</f>
        <v>0</v>
      </c>
    </row>
    <row r="1889" spans="1:4" x14ac:dyDescent="0.25">
      <c r="A1889">
        <f t="shared" si="29"/>
        <v>0</v>
      </c>
      <c r="C1889">
        <f>NOT('hospitalityq-nil'!C1889="")*(OR(NOT(IFERROR(AND(INT('hospitalityq-nil'!C1889)='hospitalityq-nil'!C1889,'hospitalityq-nil'!C1889&gt;=2018-50,'hospitalityq-nil'!C1889&lt;=2018+50),FALSE)),SUMPRODUCT(--(TRIM('hospitalityq-nil'!C6:C1889)=TRIM('hospitalityq-nil'!C1889)),--(TRIM('hospitalityq-nil'!D6:D1889)=TRIM('hospitalityq-nil'!D1889)))&gt;1))</f>
        <v>0</v>
      </c>
      <c r="D1889">
        <f>NOT('hospitalityq-nil'!D1889="")*(OR(COUNTIF(reference!$C$144:$C$155,TRIM(LEFT('hospitalityq-nil'!D1889,FIND(":",'hospitalityq-nil'!D1889&amp;":")-1))&amp;":*")=0,SUMPRODUCT(--(TRIM('hospitalityq-nil'!C6:C1889)=TRIM('hospitalityq-nil'!C1889)),--(TRIM('hospitalityq-nil'!D6:D1889)=TRIM('hospitalityq-nil'!D1889)))&gt;1))</f>
        <v>0</v>
      </c>
    </row>
    <row r="1890" spans="1:4" x14ac:dyDescent="0.25">
      <c r="A1890">
        <f t="shared" si="29"/>
        <v>0</v>
      </c>
      <c r="C1890">
        <f>NOT('hospitalityq-nil'!C1890="")*(OR(NOT(IFERROR(AND(INT('hospitalityq-nil'!C1890)='hospitalityq-nil'!C1890,'hospitalityq-nil'!C1890&gt;=2018-50,'hospitalityq-nil'!C1890&lt;=2018+50),FALSE)),SUMPRODUCT(--(TRIM('hospitalityq-nil'!C6:C1890)=TRIM('hospitalityq-nil'!C1890)),--(TRIM('hospitalityq-nil'!D6:D1890)=TRIM('hospitalityq-nil'!D1890)))&gt;1))</f>
        <v>0</v>
      </c>
      <c r="D1890">
        <f>NOT('hospitalityq-nil'!D1890="")*(OR(COUNTIF(reference!$C$144:$C$155,TRIM(LEFT('hospitalityq-nil'!D1890,FIND(":",'hospitalityq-nil'!D1890&amp;":")-1))&amp;":*")=0,SUMPRODUCT(--(TRIM('hospitalityq-nil'!C6:C1890)=TRIM('hospitalityq-nil'!C1890)),--(TRIM('hospitalityq-nil'!D6:D1890)=TRIM('hospitalityq-nil'!D1890)))&gt;1))</f>
        <v>0</v>
      </c>
    </row>
    <row r="1891" spans="1:4" x14ac:dyDescent="0.25">
      <c r="A1891">
        <f t="shared" si="29"/>
        <v>0</v>
      </c>
      <c r="C1891">
        <f>NOT('hospitalityq-nil'!C1891="")*(OR(NOT(IFERROR(AND(INT('hospitalityq-nil'!C1891)='hospitalityq-nil'!C1891,'hospitalityq-nil'!C1891&gt;=2018-50,'hospitalityq-nil'!C1891&lt;=2018+50),FALSE)),SUMPRODUCT(--(TRIM('hospitalityq-nil'!C6:C1891)=TRIM('hospitalityq-nil'!C1891)),--(TRIM('hospitalityq-nil'!D6:D1891)=TRIM('hospitalityq-nil'!D1891)))&gt;1))</f>
        <v>0</v>
      </c>
      <c r="D1891">
        <f>NOT('hospitalityq-nil'!D1891="")*(OR(COUNTIF(reference!$C$144:$C$155,TRIM(LEFT('hospitalityq-nil'!D1891,FIND(":",'hospitalityq-nil'!D1891&amp;":")-1))&amp;":*")=0,SUMPRODUCT(--(TRIM('hospitalityq-nil'!C6:C1891)=TRIM('hospitalityq-nil'!C1891)),--(TRIM('hospitalityq-nil'!D6:D1891)=TRIM('hospitalityq-nil'!D1891)))&gt;1))</f>
        <v>0</v>
      </c>
    </row>
    <row r="1892" spans="1:4" x14ac:dyDescent="0.25">
      <c r="A1892">
        <f t="shared" si="29"/>
        <v>0</v>
      </c>
      <c r="C1892">
        <f>NOT('hospitalityq-nil'!C1892="")*(OR(NOT(IFERROR(AND(INT('hospitalityq-nil'!C1892)='hospitalityq-nil'!C1892,'hospitalityq-nil'!C1892&gt;=2018-50,'hospitalityq-nil'!C1892&lt;=2018+50),FALSE)),SUMPRODUCT(--(TRIM('hospitalityq-nil'!C6:C1892)=TRIM('hospitalityq-nil'!C1892)),--(TRIM('hospitalityq-nil'!D6:D1892)=TRIM('hospitalityq-nil'!D1892)))&gt;1))</f>
        <v>0</v>
      </c>
      <c r="D1892">
        <f>NOT('hospitalityq-nil'!D1892="")*(OR(COUNTIF(reference!$C$144:$C$155,TRIM(LEFT('hospitalityq-nil'!D1892,FIND(":",'hospitalityq-nil'!D1892&amp;":")-1))&amp;":*")=0,SUMPRODUCT(--(TRIM('hospitalityq-nil'!C6:C1892)=TRIM('hospitalityq-nil'!C1892)),--(TRIM('hospitalityq-nil'!D6:D1892)=TRIM('hospitalityq-nil'!D1892)))&gt;1))</f>
        <v>0</v>
      </c>
    </row>
    <row r="1893" spans="1:4" x14ac:dyDescent="0.25">
      <c r="A1893">
        <f t="shared" si="29"/>
        <v>0</v>
      </c>
      <c r="C1893">
        <f>NOT('hospitalityq-nil'!C1893="")*(OR(NOT(IFERROR(AND(INT('hospitalityq-nil'!C1893)='hospitalityq-nil'!C1893,'hospitalityq-nil'!C1893&gt;=2018-50,'hospitalityq-nil'!C1893&lt;=2018+50),FALSE)),SUMPRODUCT(--(TRIM('hospitalityq-nil'!C6:C1893)=TRIM('hospitalityq-nil'!C1893)),--(TRIM('hospitalityq-nil'!D6:D1893)=TRIM('hospitalityq-nil'!D1893)))&gt;1))</f>
        <v>0</v>
      </c>
      <c r="D1893">
        <f>NOT('hospitalityq-nil'!D1893="")*(OR(COUNTIF(reference!$C$144:$C$155,TRIM(LEFT('hospitalityq-nil'!D1893,FIND(":",'hospitalityq-nil'!D1893&amp;":")-1))&amp;":*")=0,SUMPRODUCT(--(TRIM('hospitalityq-nil'!C6:C1893)=TRIM('hospitalityq-nil'!C1893)),--(TRIM('hospitalityq-nil'!D6:D1893)=TRIM('hospitalityq-nil'!D1893)))&gt;1))</f>
        <v>0</v>
      </c>
    </row>
    <row r="1894" spans="1:4" x14ac:dyDescent="0.25">
      <c r="A1894">
        <f t="shared" si="29"/>
        <v>0</v>
      </c>
      <c r="C1894">
        <f>NOT('hospitalityq-nil'!C1894="")*(OR(NOT(IFERROR(AND(INT('hospitalityq-nil'!C1894)='hospitalityq-nil'!C1894,'hospitalityq-nil'!C1894&gt;=2018-50,'hospitalityq-nil'!C1894&lt;=2018+50),FALSE)),SUMPRODUCT(--(TRIM('hospitalityq-nil'!C6:C1894)=TRIM('hospitalityq-nil'!C1894)),--(TRIM('hospitalityq-nil'!D6:D1894)=TRIM('hospitalityq-nil'!D1894)))&gt;1))</f>
        <v>0</v>
      </c>
      <c r="D1894">
        <f>NOT('hospitalityq-nil'!D1894="")*(OR(COUNTIF(reference!$C$144:$C$155,TRIM(LEFT('hospitalityq-nil'!D1894,FIND(":",'hospitalityq-nil'!D1894&amp;":")-1))&amp;":*")=0,SUMPRODUCT(--(TRIM('hospitalityq-nil'!C6:C1894)=TRIM('hospitalityq-nil'!C1894)),--(TRIM('hospitalityq-nil'!D6:D1894)=TRIM('hospitalityq-nil'!D1894)))&gt;1))</f>
        <v>0</v>
      </c>
    </row>
    <row r="1895" spans="1:4" x14ac:dyDescent="0.25">
      <c r="A1895">
        <f t="shared" si="29"/>
        <v>0</v>
      </c>
      <c r="C1895">
        <f>NOT('hospitalityq-nil'!C1895="")*(OR(NOT(IFERROR(AND(INT('hospitalityq-nil'!C1895)='hospitalityq-nil'!C1895,'hospitalityq-nil'!C1895&gt;=2018-50,'hospitalityq-nil'!C1895&lt;=2018+50),FALSE)),SUMPRODUCT(--(TRIM('hospitalityq-nil'!C6:C1895)=TRIM('hospitalityq-nil'!C1895)),--(TRIM('hospitalityq-nil'!D6:D1895)=TRIM('hospitalityq-nil'!D1895)))&gt;1))</f>
        <v>0</v>
      </c>
      <c r="D1895">
        <f>NOT('hospitalityq-nil'!D1895="")*(OR(COUNTIF(reference!$C$144:$C$155,TRIM(LEFT('hospitalityq-nil'!D1895,FIND(":",'hospitalityq-nil'!D1895&amp;":")-1))&amp;":*")=0,SUMPRODUCT(--(TRIM('hospitalityq-nil'!C6:C1895)=TRIM('hospitalityq-nil'!C1895)),--(TRIM('hospitalityq-nil'!D6:D1895)=TRIM('hospitalityq-nil'!D1895)))&gt;1))</f>
        <v>0</v>
      </c>
    </row>
    <row r="1896" spans="1:4" x14ac:dyDescent="0.25">
      <c r="A1896">
        <f t="shared" si="29"/>
        <v>0</v>
      </c>
      <c r="C1896">
        <f>NOT('hospitalityq-nil'!C1896="")*(OR(NOT(IFERROR(AND(INT('hospitalityq-nil'!C1896)='hospitalityq-nil'!C1896,'hospitalityq-nil'!C1896&gt;=2018-50,'hospitalityq-nil'!C1896&lt;=2018+50),FALSE)),SUMPRODUCT(--(TRIM('hospitalityq-nil'!C6:C1896)=TRIM('hospitalityq-nil'!C1896)),--(TRIM('hospitalityq-nil'!D6:D1896)=TRIM('hospitalityq-nil'!D1896)))&gt;1))</f>
        <v>0</v>
      </c>
      <c r="D1896">
        <f>NOT('hospitalityq-nil'!D1896="")*(OR(COUNTIF(reference!$C$144:$C$155,TRIM(LEFT('hospitalityq-nil'!D1896,FIND(":",'hospitalityq-nil'!D1896&amp;":")-1))&amp;":*")=0,SUMPRODUCT(--(TRIM('hospitalityq-nil'!C6:C1896)=TRIM('hospitalityq-nil'!C1896)),--(TRIM('hospitalityq-nil'!D6:D1896)=TRIM('hospitalityq-nil'!D1896)))&gt;1))</f>
        <v>0</v>
      </c>
    </row>
    <row r="1897" spans="1:4" x14ac:dyDescent="0.25">
      <c r="A1897">
        <f t="shared" si="29"/>
        <v>0</v>
      </c>
      <c r="C1897">
        <f>NOT('hospitalityq-nil'!C1897="")*(OR(NOT(IFERROR(AND(INT('hospitalityq-nil'!C1897)='hospitalityq-nil'!C1897,'hospitalityq-nil'!C1897&gt;=2018-50,'hospitalityq-nil'!C1897&lt;=2018+50),FALSE)),SUMPRODUCT(--(TRIM('hospitalityq-nil'!C6:C1897)=TRIM('hospitalityq-nil'!C1897)),--(TRIM('hospitalityq-nil'!D6:D1897)=TRIM('hospitalityq-nil'!D1897)))&gt;1))</f>
        <v>0</v>
      </c>
      <c r="D1897">
        <f>NOT('hospitalityq-nil'!D1897="")*(OR(COUNTIF(reference!$C$144:$C$155,TRIM(LEFT('hospitalityq-nil'!D1897,FIND(":",'hospitalityq-nil'!D1897&amp;":")-1))&amp;":*")=0,SUMPRODUCT(--(TRIM('hospitalityq-nil'!C6:C1897)=TRIM('hospitalityq-nil'!C1897)),--(TRIM('hospitalityq-nil'!D6:D1897)=TRIM('hospitalityq-nil'!D1897)))&gt;1))</f>
        <v>0</v>
      </c>
    </row>
    <row r="1898" spans="1:4" x14ac:dyDescent="0.25">
      <c r="A1898">
        <f t="shared" si="29"/>
        <v>0</v>
      </c>
      <c r="C1898">
        <f>NOT('hospitalityq-nil'!C1898="")*(OR(NOT(IFERROR(AND(INT('hospitalityq-nil'!C1898)='hospitalityq-nil'!C1898,'hospitalityq-nil'!C1898&gt;=2018-50,'hospitalityq-nil'!C1898&lt;=2018+50),FALSE)),SUMPRODUCT(--(TRIM('hospitalityq-nil'!C6:C1898)=TRIM('hospitalityq-nil'!C1898)),--(TRIM('hospitalityq-nil'!D6:D1898)=TRIM('hospitalityq-nil'!D1898)))&gt;1))</f>
        <v>0</v>
      </c>
      <c r="D1898">
        <f>NOT('hospitalityq-nil'!D1898="")*(OR(COUNTIF(reference!$C$144:$C$155,TRIM(LEFT('hospitalityq-nil'!D1898,FIND(":",'hospitalityq-nil'!D1898&amp;":")-1))&amp;":*")=0,SUMPRODUCT(--(TRIM('hospitalityq-nil'!C6:C1898)=TRIM('hospitalityq-nil'!C1898)),--(TRIM('hospitalityq-nil'!D6:D1898)=TRIM('hospitalityq-nil'!D1898)))&gt;1))</f>
        <v>0</v>
      </c>
    </row>
    <row r="1899" spans="1:4" x14ac:dyDescent="0.25">
      <c r="A1899">
        <f t="shared" si="29"/>
        <v>0</v>
      </c>
      <c r="C1899">
        <f>NOT('hospitalityq-nil'!C1899="")*(OR(NOT(IFERROR(AND(INT('hospitalityq-nil'!C1899)='hospitalityq-nil'!C1899,'hospitalityq-nil'!C1899&gt;=2018-50,'hospitalityq-nil'!C1899&lt;=2018+50),FALSE)),SUMPRODUCT(--(TRIM('hospitalityq-nil'!C6:C1899)=TRIM('hospitalityq-nil'!C1899)),--(TRIM('hospitalityq-nil'!D6:D1899)=TRIM('hospitalityq-nil'!D1899)))&gt;1))</f>
        <v>0</v>
      </c>
      <c r="D1899">
        <f>NOT('hospitalityq-nil'!D1899="")*(OR(COUNTIF(reference!$C$144:$C$155,TRIM(LEFT('hospitalityq-nil'!D1899,FIND(":",'hospitalityq-nil'!D1899&amp;":")-1))&amp;":*")=0,SUMPRODUCT(--(TRIM('hospitalityq-nil'!C6:C1899)=TRIM('hospitalityq-nil'!C1899)),--(TRIM('hospitalityq-nil'!D6:D1899)=TRIM('hospitalityq-nil'!D1899)))&gt;1))</f>
        <v>0</v>
      </c>
    </row>
    <row r="1900" spans="1:4" x14ac:dyDescent="0.25">
      <c r="A1900">
        <f t="shared" si="29"/>
        <v>0</v>
      </c>
      <c r="C1900">
        <f>NOT('hospitalityq-nil'!C1900="")*(OR(NOT(IFERROR(AND(INT('hospitalityq-nil'!C1900)='hospitalityq-nil'!C1900,'hospitalityq-nil'!C1900&gt;=2018-50,'hospitalityq-nil'!C1900&lt;=2018+50),FALSE)),SUMPRODUCT(--(TRIM('hospitalityq-nil'!C6:C1900)=TRIM('hospitalityq-nil'!C1900)),--(TRIM('hospitalityq-nil'!D6:D1900)=TRIM('hospitalityq-nil'!D1900)))&gt;1))</f>
        <v>0</v>
      </c>
      <c r="D1900">
        <f>NOT('hospitalityq-nil'!D1900="")*(OR(COUNTIF(reference!$C$144:$C$155,TRIM(LEFT('hospitalityq-nil'!D1900,FIND(":",'hospitalityq-nil'!D1900&amp;":")-1))&amp;":*")=0,SUMPRODUCT(--(TRIM('hospitalityq-nil'!C6:C1900)=TRIM('hospitalityq-nil'!C1900)),--(TRIM('hospitalityq-nil'!D6:D1900)=TRIM('hospitalityq-nil'!D1900)))&gt;1))</f>
        <v>0</v>
      </c>
    </row>
    <row r="1901" spans="1:4" x14ac:dyDescent="0.25">
      <c r="A1901">
        <f t="shared" si="29"/>
        <v>0</v>
      </c>
      <c r="C1901">
        <f>NOT('hospitalityq-nil'!C1901="")*(OR(NOT(IFERROR(AND(INT('hospitalityq-nil'!C1901)='hospitalityq-nil'!C1901,'hospitalityq-nil'!C1901&gt;=2018-50,'hospitalityq-nil'!C1901&lt;=2018+50),FALSE)),SUMPRODUCT(--(TRIM('hospitalityq-nil'!C6:C1901)=TRIM('hospitalityq-nil'!C1901)),--(TRIM('hospitalityq-nil'!D6:D1901)=TRIM('hospitalityq-nil'!D1901)))&gt;1))</f>
        <v>0</v>
      </c>
      <c r="D1901">
        <f>NOT('hospitalityq-nil'!D1901="")*(OR(COUNTIF(reference!$C$144:$C$155,TRIM(LEFT('hospitalityq-nil'!D1901,FIND(":",'hospitalityq-nil'!D1901&amp;":")-1))&amp;":*")=0,SUMPRODUCT(--(TRIM('hospitalityq-nil'!C6:C1901)=TRIM('hospitalityq-nil'!C1901)),--(TRIM('hospitalityq-nil'!D6:D1901)=TRIM('hospitalityq-nil'!D1901)))&gt;1))</f>
        <v>0</v>
      </c>
    </row>
    <row r="1902" spans="1:4" x14ac:dyDescent="0.25">
      <c r="A1902">
        <f t="shared" si="29"/>
        <v>0</v>
      </c>
      <c r="C1902">
        <f>NOT('hospitalityq-nil'!C1902="")*(OR(NOT(IFERROR(AND(INT('hospitalityq-nil'!C1902)='hospitalityq-nil'!C1902,'hospitalityq-nil'!C1902&gt;=2018-50,'hospitalityq-nil'!C1902&lt;=2018+50),FALSE)),SUMPRODUCT(--(TRIM('hospitalityq-nil'!C6:C1902)=TRIM('hospitalityq-nil'!C1902)),--(TRIM('hospitalityq-nil'!D6:D1902)=TRIM('hospitalityq-nil'!D1902)))&gt;1))</f>
        <v>0</v>
      </c>
      <c r="D1902">
        <f>NOT('hospitalityq-nil'!D1902="")*(OR(COUNTIF(reference!$C$144:$C$155,TRIM(LEFT('hospitalityq-nil'!D1902,FIND(":",'hospitalityq-nil'!D1902&amp;":")-1))&amp;":*")=0,SUMPRODUCT(--(TRIM('hospitalityq-nil'!C6:C1902)=TRIM('hospitalityq-nil'!C1902)),--(TRIM('hospitalityq-nil'!D6:D1902)=TRIM('hospitalityq-nil'!D1902)))&gt;1))</f>
        <v>0</v>
      </c>
    </row>
    <row r="1903" spans="1:4" x14ac:dyDescent="0.25">
      <c r="A1903">
        <f t="shared" si="29"/>
        <v>0</v>
      </c>
      <c r="C1903">
        <f>NOT('hospitalityq-nil'!C1903="")*(OR(NOT(IFERROR(AND(INT('hospitalityq-nil'!C1903)='hospitalityq-nil'!C1903,'hospitalityq-nil'!C1903&gt;=2018-50,'hospitalityq-nil'!C1903&lt;=2018+50),FALSE)),SUMPRODUCT(--(TRIM('hospitalityq-nil'!C6:C1903)=TRIM('hospitalityq-nil'!C1903)),--(TRIM('hospitalityq-nil'!D6:D1903)=TRIM('hospitalityq-nil'!D1903)))&gt;1))</f>
        <v>0</v>
      </c>
      <c r="D1903">
        <f>NOT('hospitalityq-nil'!D1903="")*(OR(COUNTIF(reference!$C$144:$C$155,TRIM(LEFT('hospitalityq-nil'!D1903,FIND(":",'hospitalityq-nil'!D1903&amp;":")-1))&amp;":*")=0,SUMPRODUCT(--(TRIM('hospitalityq-nil'!C6:C1903)=TRIM('hospitalityq-nil'!C1903)),--(TRIM('hospitalityq-nil'!D6:D1903)=TRIM('hospitalityq-nil'!D1903)))&gt;1))</f>
        <v>0</v>
      </c>
    </row>
    <row r="1904" spans="1:4" x14ac:dyDescent="0.25">
      <c r="A1904">
        <f t="shared" si="29"/>
        <v>0</v>
      </c>
      <c r="C1904">
        <f>NOT('hospitalityq-nil'!C1904="")*(OR(NOT(IFERROR(AND(INT('hospitalityq-nil'!C1904)='hospitalityq-nil'!C1904,'hospitalityq-nil'!C1904&gt;=2018-50,'hospitalityq-nil'!C1904&lt;=2018+50),FALSE)),SUMPRODUCT(--(TRIM('hospitalityq-nil'!C6:C1904)=TRIM('hospitalityq-nil'!C1904)),--(TRIM('hospitalityq-nil'!D6:D1904)=TRIM('hospitalityq-nil'!D1904)))&gt;1))</f>
        <v>0</v>
      </c>
      <c r="D1904">
        <f>NOT('hospitalityq-nil'!D1904="")*(OR(COUNTIF(reference!$C$144:$C$155,TRIM(LEFT('hospitalityq-nil'!D1904,FIND(":",'hospitalityq-nil'!D1904&amp;":")-1))&amp;":*")=0,SUMPRODUCT(--(TRIM('hospitalityq-nil'!C6:C1904)=TRIM('hospitalityq-nil'!C1904)),--(TRIM('hospitalityq-nil'!D6:D1904)=TRIM('hospitalityq-nil'!D1904)))&gt;1))</f>
        <v>0</v>
      </c>
    </row>
    <row r="1905" spans="1:4" x14ac:dyDescent="0.25">
      <c r="A1905">
        <f t="shared" si="29"/>
        <v>0</v>
      </c>
      <c r="C1905">
        <f>NOT('hospitalityq-nil'!C1905="")*(OR(NOT(IFERROR(AND(INT('hospitalityq-nil'!C1905)='hospitalityq-nil'!C1905,'hospitalityq-nil'!C1905&gt;=2018-50,'hospitalityq-nil'!C1905&lt;=2018+50),FALSE)),SUMPRODUCT(--(TRIM('hospitalityq-nil'!C6:C1905)=TRIM('hospitalityq-nil'!C1905)),--(TRIM('hospitalityq-nil'!D6:D1905)=TRIM('hospitalityq-nil'!D1905)))&gt;1))</f>
        <v>0</v>
      </c>
      <c r="D1905">
        <f>NOT('hospitalityq-nil'!D1905="")*(OR(COUNTIF(reference!$C$144:$C$155,TRIM(LEFT('hospitalityq-nil'!D1905,FIND(":",'hospitalityq-nil'!D1905&amp;":")-1))&amp;":*")=0,SUMPRODUCT(--(TRIM('hospitalityq-nil'!C6:C1905)=TRIM('hospitalityq-nil'!C1905)),--(TRIM('hospitalityq-nil'!D6:D1905)=TRIM('hospitalityq-nil'!D1905)))&gt;1))</f>
        <v>0</v>
      </c>
    </row>
    <row r="1906" spans="1:4" x14ac:dyDescent="0.25">
      <c r="A1906">
        <f t="shared" si="29"/>
        <v>0</v>
      </c>
      <c r="C1906">
        <f>NOT('hospitalityq-nil'!C1906="")*(OR(NOT(IFERROR(AND(INT('hospitalityq-nil'!C1906)='hospitalityq-nil'!C1906,'hospitalityq-nil'!C1906&gt;=2018-50,'hospitalityq-nil'!C1906&lt;=2018+50),FALSE)),SUMPRODUCT(--(TRIM('hospitalityq-nil'!C6:C1906)=TRIM('hospitalityq-nil'!C1906)),--(TRIM('hospitalityq-nil'!D6:D1906)=TRIM('hospitalityq-nil'!D1906)))&gt;1))</f>
        <v>0</v>
      </c>
      <c r="D1906">
        <f>NOT('hospitalityq-nil'!D1906="")*(OR(COUNTIF(reference!$C$144:$C$155,TRIM(LEFT('hospitalityq-nil'!D1906,FIND(":",'hospitalityq-nil'!D1906&amp;":")-1))&amp;":*")=0,SUMPRODUCT(--(TRIM('hospitalityq-nil'!C6:C1906)=TRIM('hospitalityq-nil'!C1906)),--(TRIM('hospitalityq-nil'!D6:D1906)=TRIM('hospitalityq-nil'!D1906)))&gt;1))</f>
        <v>0</v>
      </c>
    </row>
    <row r="1907" spans="1:4" x14ac:dyDescent="0.25">
      <c r="A1907">
        <f t="shared" si="29"/>
        <v>0</v>
      </c>
      <c r="C1907">
        <f>NOT('hospitalityq-nil'!C1907="")*(OR(NOT(IFERROR(AND(INT('hospitalityq-nil'!C1907)='hospitalityq-nil'!C1907,'hospitalityq-nil'!C1907&gt;=2018-50,'hospitalityq-nil'!C1907&lt;=2018+50),FALSE)),SUMPRODUCT(--(TRIM('hospitalityq-nil'!C6:C1907)=TRIM('hospitalityq-nil'!C1907)),--(TRIM('hospitalityq-nil'!D6:D1907)=TRIM('hospitalityq-nil'!D1907)))&gt;1))</f>
        <v>0</v>
      </c>
      <c r="D1907">
        <f>NOT('hospitalityq-nil'!D1907="")*(OR(COUNTIF(reference!$C$144:$C$155,TRIM(LEFT('hospitalityq-nil'!D1907,FIND(":",'hospitalityq-nil'!D1907&amp;":")-1))&amp;":*")=0,SUMPRODUCT(--(TRIM('hospitalityq-nil'!C6:C1907)=TRIM('hospitalityq-nil'!C1907)),--(TRIM('hospitalityq-nil'!D6:D1907)=TRIM('hospitalityq-nil'!D1907)))&gt;1))</f>
        <v>0</v>
      </c>
    </row>
    <row r="1908" spans="1:4" x14ac:dyDescent="0.25">
      <c r="A1908">
        <f t="shared" si="29"/>
        <v>0</v>
      </c>
      <c r="C1908">
        <f>NOT('hospitalityq-nil'!C1908="")*(OR(NOT(IFERROR(AND(INT('hospitalityq-nil'!C1908)='hospitalityq-nil'!C1908,'hospitalityq-nil'!C1908&gt;=2018-50,'hospitalityq-nil'!C1908&lt;=2018+50),FALSE)),SUMPRODUCT(--(TRIM('hospitalityq-nil'!C6:C1908)=TRIM('hospitalityq-nil'!C1908)),--(TRIM('hospitalityq-nil'!D6:D1908)=TRIM('hospitalityq-nil'!D1908)))&gt;1))</f>
        <v>0</v>
      </c>
      <c r="D1908">
        <f>NOT('hospitalityq-nil'!D1908="")*(OR(COUNTIF(reference!$C$144:$C$155,TRIM(LEFT('hospitalityq-nil'!D1908,FIND(":",'hospitalityq-nil'!D1908&amp;":")-1))&amp;":*")=0,SUMPRODUCT(--(TRIM('hospitalityq-nil'!C6:C1908)=TRIM('hospitalityq-nil'!C1908)),--(TRIM('hospitalityq-nil'!D6:D1908)=TRIM('hospitalityq-nil'!D1908)))&gt;1))</f>
        <v>0</v>
      </c>
    </row>
    <row r="1909" spans="1:4" x14ac:dyDescent="0.25">
      <c r="A1909">
        <f t="shared" si="29"/>
        <v>0</v>
      </c>
      <c r="C1909">
        <f>NOT('hospitalityq-nil'!C1909="")*(OR(NOT(IFERROR(AND(INT('hospitalityq-nil'!C1909)='hospitalityq-nil'!C1909,'hospitalityq-nil'!C1909&gt;=2018-50,'hospitalityq-nil'!C1909&lt;=2018+50),FALSE)),SUMPRODUCT(--(TRIM('hospitalityq-nil'!C6:C1909)=TRIM('hospitalityq-nil'!C1909)),--(TRIM('hospitalityq-nil'!D6:D1909)=TRIM('hospitalityq-nil'!D1909)))&gt;1))</f>
        <v>0</v>
      </c>
      <c r="D1909">
        <f>NOT('hospitalityq-nil'!D1909="")*(OR(COUNTIF(reference!$C$144:$C$155,TRIM(LEFT('hospitalityq-nil'!D1909,FIND(":",'hospitalityq-nil'!D1909&amp;":")-1))&amp;":*")=0,SUMPRODUCT(--(TRIM('hospitalityq-nil'!C6:C1909)=TRIM('hospitalityq-nil'!C1909)),--(TRIM('hospitalityq-nil'!D6:D1909)=TRIM('hospitalityq-nil'!D1909)))&gt;1))</f>
        <v>0</v>
      </c>
    </row>
    <row r="1910" spans="1:4" x14ac:dyDescent="0.25">
      <c r="A1910">
        <f t="shared" si="29"/>
        <v>0</v>
      </c>
      <c r="C1910">
        <f>NOT('hospitalityq-nil'!C1910="")*(OR(NOT(IFERROR(AND(INT('hospitalityq-nil'!C1910)='hospitalityq-nil'!C1910,'hospitalityq-nil'!C1910&gt;=2018-50,'hospitalityq-nil'!C1910&lt;=2018+50),FALSE)),SUMPRODUCT(--(TRIM('hospitalityq-nil'!C6:C1910)=TRIM('hospitalityq-nil'!C1910)),--(TRIM('hospitalityq-nil'!D6:D1910)=TRIM('hospitalityq-nil'!D1910)))&gt;1))</f>
        <v>0</v>
      </c>
      <c r="D1910">
        <f>NOT('hospitalityq-nil'!D1910="")*(OR(COUNTIF(reference!$C$144:$C$155,TRIM(LEFT('hospitalityq-nil'!D1910,FIND(":",'hospitalityq-nil'!D1910&amp;":")-1))&amp;":*")=0,SUMPRODUCT(--(TRIM('hospitalityq-nil'!C6:C1910)=TRIM('hospitalityq-nil'!C1910)),--(TRIM('hospitalityq-nil'!D6:D1910)=TRIM('hospitalityq-nil'!D1910)))&gt;1))</f>
        <v>0</v>
      </c>
    </row>
    <row r="1911" spans="1:4" x14ac:dyDescent="0.25">
      <c r="A1911">
        <f t="shared" si="29"/>
        <v>0</v>
      </c>
      <c r="C1911">
        <f>NOT('hospitalityq-nil'!C1911="")*(OR(NOT(IFERROR(AND(INT('hospitalityq-nil'!C1911)='hospitalityq-nil'!C1911,'hospitalityq-nil'!C1911&gt;=2018-50,'hospitalityq-nil'!C1911&lt;=2018+50),FALSE)),SUMPRODUCT(--(TRIM('hospitalityq-nil'!C6:C1911)=TRIM('hospitalityq-nil'!C1911)),--(TRIM('hospitalityq-nil'!D6:D1911)=TRIM('hospitalityq-nil'!D1911)))&gt;1))</f>
        <v>0</v>
      </c>
      <c r="D1911">
        <f>NOT('hospitalityq-nil'!D1911="")*(OR(COUNTIF(reference!$C$144:$C$155,TRIM(LEFT('hospitalityq-nil'!D1911,FIND(":",'hospitalityq-nil'!D1911&amp;":")-1))&amp;":*")=0,SUMPRODUCT(--(TRIM('hospitalityq-nil'!C6:C1911)=TRIM('hospitalityq-nil'!C1911)),--(TRIM('hospitalityq-nil'!D6:D1911)=TRIM('hospitalityq-nil'!D1911)))&gt;1))</f>
        <v>0</v>
      </c>
    </row>
    <row r="1912" spans="1:4" x14ac:dyDescent="0.25">
      <c r="A1912">
        <f t="shared" si="29"/>
        <v>0</v>
      </c>
      <c r="C1912">
        <f>NOT('hospitalityq-nil'!C1912="")*(OR(NOT(IFERROR(AND(INT('hospitalityq-nil'!C1912)='hospitalityq-nil'!C1912,'hospitalityq-nil'!C1912&gt;=2018-50,'hospitalityq-nil'!C1912&lt;=2018+50),FALSE)),SUMPRODUCT(--(TRIM('hospitalityq-nil'!C6:C1912)=TRIM('hospitalityq-nil'!C1912)),--(TRIM('hospitalityq-nil'!D6:D1912)=TRIM('hospitalityq-nil'!D1912)))&gt;1))</f>
        <v>0</v>
      </c>
      <c r="D1912">
        <f>NOT('hospitalityq-nil'!D1912="")*(OR(COUNTIF(reference!$C$144:$C$155,TRIM(LEFT('hospitalityq-nil'!D1912,FIND(":",'hospitalityq-nil'!D1912&amp;":")-1))&amp;":*")=0,SUMPRODUCT(--(TRIM('hospitalityq-nil'!C6:C1912)=TRIM('hospitalityq-nil'!C1912)),--(TRIM('hospitalityq-nil'!D6:D1912)=TRIM('hospitalityq-nil'!D1912)))&gt;1))</f>
        <v>0</v>
      </c>
    </row>
    <row r="1913" spans="1:4" x14ac:dyDescent="0.25">
      <c r="A1913">
        <f t="shared" si="29"/>
        <v>0</v>
      </c>
      <c r="C1913">
        <f>NOT('hospitalityq-nil'!C1913="")*(OR(NOT(IFERROR(AND(INT('hospitalityq-nil'!C1913)='hospitalityq-nil'!C1913,'hospitalityq-nil'!C1913&gt;=2018-50,'hospitalityq-nil'!C1913&lt;=2018+50),FALSE)),SUMPRODUCT(--(TRIM('hospitalityq-nil'!C6:C1913)=TRIM('hospitalityq-nil'!C1913)),--(TRIM('hospitalityq-nil'!D6:D1913)=TRIM('hospitalityq-nil'!D1913)))&gt;1))</f>
        <v>0</v>
      </c>
      <c r="D1913">
        <f>NOT('hospitalityq-nil'!D1913="")*(OR(COUNTIF(reference!$C$144:$C$155,TRIM(LEFT('hospitalityq-nil'!D1913,FIND(":",'hospitalityq-nil'!D1913&amp;":")-1))&amp;":*")=0,SUMPRODUCT(--(TRIM('hospitalityq-nil'!C6:C1913)=TRIM('hospitalityq-nil'!C1913)),--(TRIM('hospitalityq-nil'!D6:D1913)=TRIM('hospitalityq-nil'!D1913)))&gt;1))</f>
        <v>0</v>
      </c>
    </row>
    <row r="1914" spans="1:4" x14ac:dyDescent="0.25">
      <c r="A1914">
        <f t="shared" si="29"/>
        <v>0</v>
      </c>
      <c r="C1914">
        <f>NOT('hospitalityq-nil'!C1914="")*(OR(NOT(IFERROR(AND(INT('hospitalityq-nil'!C1914)='hospitalityq-nil'!C1914,'hospitalityq-nil'!C1914&gt;=2018-50,'hospitalityq-nil'!C1914&lt;=2018+50),FALSE)),SUMPRODUCT(--(TRIM('hospitalityq-nil'!C6:C1914)=TRIM('hospitalityq-nil'!C1914)),--(TRIM('hospitalityq-nil'!D6:D1914)=TRIM('hospitalityq-nil'!D1914)))&gt;1))</f>
        <v>0</v>
      </c>
      <c r="D1914">
        <f>NOT('hospitalityq-nil'!D1914="")*(OR(COUNTIF(reference!$C$144:$C$155,TRIM(LEFT('hospitalityq-nil'!D1914,FIND(":",'hospitalityq-nil'!D1914&amp;":")-1))&amp;":*")=0,SUMPRODUCT(--(TRIM('hospitalityq-nil'!C6:C1914)=TRIM('hospitalityq-nil'!C1914)),--(TRIM('hospitalityq-nil'!D6:D1914)=TRIM('hospitalityq-nil'!D1914)))&gt;1))</f>
        <v>0</v>
      </c>
    </row>
    <row r="1915" spans="1:4" x14ac:dyDescent="0.25">
      <c r="A1915">
        <f t="shared" si="29"/>
        <v>0</v>
      </c>
      <c r="C1915">
        <f>NOT('hospitalityq-nil'!C1915="")*(OR(NOT(IFERROR(AND(INT('hospitalityq-nil'!C1915)='hospitalityq-nil'!C1915,'hospitalityq-nil'!C1915&gt;=2018-50,'hospitalityq-nil'!C1915&lt;=2018+50),FALSE)),SUMPRODUCT(--(TRIM('hospitalityq-nil'!C6:C1915)=TRIM('hospitalityq-nil'!C1915)),--(TRIM('hospitalityq-nil'!D6:D1915)=TRIM('hospitalityq-nil'!D1915)))&gt;1))</f>
        <v>0</v>
      </c>
      <c r="D1915">
        <f>NOT('hospitalityq-nil'!D1915="")*(OR(COUNTIF(reference!$C$144:$C$155,TRIM(LEFT('hospitalityq-nil'!D1915,FIND(":",'hospitalityq-nil'!D1915&amp;":")-1))&amp;":*")=0,SUMPRODUCT(--(TRIM('hospitalityq-nil'!C6:C1915)=TRIM('hospitalityq-nil'!C1915)),--(TRIM('hospitalityq-nil'!D6:D1915)=TRIM('hospitalityq-nil'!D1915)))&gt;1))</f>
        <v>0</v>
      </c>
    </row>
    <row r="1916" spans="1:4" x14ac:dyDescent="0.25">
      <c r="A1916">
        <f t="shared" si="29"/>
        <v>0</v>
      </c>
      <c r="C1916">
        <f>NOT('hospitalityq-nil'!C1916="")*(OR(NOT(IFERROR(AND(INT('hospitalityq-nil'!C1916)='hospitalityq-nil'!C1916,'hospitalityq-nil'!C1916&gt;=2018-50,'hospitalityq-nil'!C1916&lt;=2018+50),FALSE)),SUMPRODUCT(--(TRIM('hospitalityq-nil'!C6:C1916)=TRIM('hospitalityq-nil'!C1916)),--(TRIM('hospitalityq-nil'!D6:D1916)=TRIM('hospitalityq-nil'!D1916)))&gt;1))</f>
        <v>0</v>
      </c>
      <c r="D1916">
        <f>NOT('hospitalityq-nil'!D1916="")*(OR(COUNTIF(reference!$C$144:$C$155,TRIM(LEFT('hospitalityq-nil'!D1916,FIND(":",'hospitalityq-nil'!D1916&amp;":")-1))&amp;":*")=0,SUMPRODUCT(--(TRIM('hospitalityq-nil'!C6:C1916)=TRIM('hospitalityq-nil'!C1916)),--(TRIM('hospitalityq-nil'!D6:D1916)=TRIM('hospitalityq-nil'!D1916)))&gt;1))</f>
        <v>0</v>
      </c>
    </row>
    <row r="1917" spans="1:4" x14ac:dyDescent="0.25">
      <c r="A1917">
        <f t="shared" si="29"/>
        <v>0</v>
      </c>
      <c r="C1917">
        <f>NOT('hospitalityq-nil'!C1917="")*(OR(NOT(IFERROR(AND(INT('hospitalityq-nil'!C1917)='hospitalityq-nil'!C1917,'hospitalityq-nil'!C1917&gt;=2018-50,'hospitalityq-nil'!C1917&lt;=2018+50),FALSE)),SUMPRODUCT(--(TRIM('hospitalityq-nil'!C6:C1917)=TRIM('hospitalityq-nil'!C1917)),--(TRIM('hospitalityq-nil'!D6:D1917)=TRIM('hospitalityq-nil'!D1917)))&gt;1))</f>
        <v>0</v>
      </c>
      <c r="D1917">
        <f>NOT('hospitalityq-nil'!D1917="")*(OR(COUNTIF(reference!$C$144:$C$155,TRIM(LEFT('hospitalityq-nil'!D1917,FIND(":",'hospitalityq-nil'!D1917&amp;":")-1))&amp;":*")=0,SUMPRODUCT(--(TRIM('hospitalityq-nil'!C6:C1917)=TRIM('hospitalityq-nil'!C1917)),--(TRIM('hospitalityq-nil'!D6:D1917)=TRIM('hospitalityq-nil'!D1917)))&gt;1))</f>
        <v>0</v>
      </c>
    </row>
    <row r="1918" spans="1:4" x14ac:dyDescent="0.25">
      <c r="A1918">
        <f t="shared" si="29"/>
        <v>0</v>
      </c>
      <c r="C1918">
        <f>NOT('hospitalityq-nil'!C1918="")*(OR(NOT(IFERROR(AND(INT('hospitalityq-nil'!C1918)='hospitalityq-nil'!C1918,'hospitalityq-nil'!C1918&gt;=2018-50,'hospitalityq-nil'!C1918&lt;=2018+50),FALSE)),SUMPRODUCT(--(TRIM('hospitalityq-nil'!C6:C1918)=TRIM('hospitalityq-nil'!C1918)),--(TRIM('hospitalityq-nil'!D6:D1918)=TRIM('hospitalityq-nil'!D1918)))&gt;1))</f>
        <v>0</v>
      </c>
      <c r="D1918">
        <f>NOT('hospitalityq-nil'!D1918="")*(OR(COUNTIF(reference!$C$144:$C$155,TRIM(LEFT('hospitalityq-nil'!D1918,FIND(":",'hospitalityq-nil'!D1918&amp;":")-1))&amp;":*")=0,SUMPRODUCT(--(TRIM('hospitalityq-nil'!C6:C1918)=TRIM('hospitalityq-nil'!C1918)),--(TRIM('hospitalityq-nil'!D6:D1918)=TRIM('hospitalityq-nil'!D1918)))&gt;1))</f>
        <v>0</v>
      </c>
    </row>
    <row r="1919" spans="1:4" x14ac:dyDescent="0.25">
      <c r="A1919">
        <f t="shared" si="29"/>
        <v>0</v>
      </c>
      <c r="C1919">
        <f>NOT('hospitalityq-nil'!C1919="")*(OR(NOT(IFERROR(AND(INT('hospitalityq-nil'!C1919)='hospitalityq-nil'!C1919,'hospitalityq-nil'!C1919&gt;=2018-50,'hospitalityq-nil'!C1919&lt;=2018+50),FALSE)),SUMPRODUCT(--(TRIM('hospitalityq-nil'!C6:C1919)=TRIM('hospitalityq-nil'!C1919)),--(TRIM('hospitalityq-nil'!D6:D1919)=TRIM('hospitalityq-nil'!D1919)))&gt;1))</f>
        <v>0</v>
      </c>
      <c r="D1919">
        <f>NOT('hospitalityq-nil'!D1919="")*(OR(COUNTIF(reference!$C$144:$C$155,TRIM(LEFT('hospitalityq-nil'!D1919,FIND(":",'hospitalityq-nil'!D1919&amp;":")-1))&amp;":*")=0,SUMPRODUCT(--(TRIM('hospitalityq-nil'!C6:C1919)=TRIM('hospitalityq-nil'!C1919)),--(TRIM('hospitalityq-nil'!D6:D1919)=TRIM('hospitalityq-nil'!D1919)))&gt;1))</f>
        <v>0</v>
      </c>
    </row>
    <row r="1920" spans="1:4" x14ac:dyDescent="0.25">
      <c r="A1920">
        <f t="shared" si="29"/>
        <v>0</v>
      </c>
      <c r="C1920">
        <f>NOT('hospitalityq-nil'!C1920="")*(OR(NOT(IFERROR(AND(INT('hospitalityq-nil'!C1920)='hospitalityq-nil'!C1920,'hospitalityq-nil'!C1920&gt;=2018-50,'hospitalityq-nil'!C1920&lt;=2018+50),FALSE)),SUMPRODUCT(--(TRIM('hospitalityq-nil'!C6:C1920)=TRIM('hospitalityq-nil'!C1920)),--(TRIM('hospitalityq-nil'!D6:D1920)=TRIM('hospitalityq-nil'!D1920)))&gt;1))</f>
        <v>0</v>
      </c>
      <c r="D1920">
        <f>NOT('hospitalityq-nil'!D1920="")*(OR(COUNTIF(reference!$C$144:$C$155,TRIM(LEFT('hospitalityq-nil'!D1920,FIND(":",'hospitalityq-nil'!D1920&amp;":")-1))&amp;":*")=0,SUMPRODUCT(--(TRIM('hospitalityq-nil'!C6:C1920)=TRIM('hospitalityq-nil'!C1920)),--(TRIM('hospitalityq-nil'!D6:D1920)=TRIM('hospitalityq-nil'!D1920)))&gt;1))</f>
        <v>0</v>
      </c>
    </row>
    <row r="1921" spans="1:4" x14ac:dyDescent="0.25">
      <c r="A1921">
        <f t="shared" si="29"/>
        <v>0</v>
      </c>
      <c r="C1921">
        <f>NOT('hospitalityq-nil'!C1921="")*(OR(NOT(IFERROR(AND(INT('hospitalityq-nil'!C1921)='hospitalityq-nil'!C1921,'hospitalityq-nil'!C1921&gt;=2018-50,'hospitalityq-nil'!C1921&lt;=2018+50),FALSE)),SUMPRODUCT(--(TRIM('hospitalityq-nil'!C6:C1921)=TRIM('hospitalityq-nil'!C1921)),--(TRIM('hospitalityq-nil'!D6:D1921)=TRIM('hospitalityq-nil'!D1921)))&gt;1))</f>
        <v>0</v>
      </c>
      <c r="D1921">
        <f>NOT('hospitalityq-nil'!D1921="")*(OR(COUNTIF(reference!$C$144:$C$155,TRIM(LEFT('hospitalityq-nil'!D1921,FIND(":",'hospitalityq-nil'!D1921&amp;":")-1))&amp;":*")=0,SUMPRODUCT(--(TRIM('hospitalityq-nil'!C6:C1921)=TRIM('hospitalityq-nil'!C1921)),--(TRIM('hospitalityq-nil'!D6:D1921)=TRIM('hospitalityq-nil'!D1921)))&gt;1))</f>
        <v>0</v>
      </c>
    </row>
    <row r="1922" spans="1:4" x14ac:dyDescent="0.25">
      <c r="A1922">
        <f t="shared" si="29"/>
        <v>0</v>
      </c>
      <c r="C1922">
        <f>NOT('hospitalityq-nil'!C1922="")*(OR(NOT(IFERROR(AND(INT('hospitalityq-nil'!C1922)='hospitalityq-nil'!C1922,'hospitalityq-nil'!C1922&gt;=2018-50,'hospitalityq-nil'!C1922&lt;=2018+50),FALSE)),SUMPRODUCT(--(TRIM('hospitalityq-nil'!C6:C1922)=TRIM('hospitalityq-nil'!C1922)),--(TRIM('hospitalityq-nil'!D6:D1922)=TRIM('hospitalityq-nil'!D1922)))&gt;1))</f>
        <v>0</v>
      </c>
      <c r="D1922">
        <f>NOT('hospitalityq-nil'!D1922="")*(OR(COUNTIF(reference!$C$144:$C$155,TRIM(LEFT('hospitalityq-nil'!D1922,FIND(":",'hospitalityq-nil'!D1922&amp;":")-1))&amp;":*")=0,SUMPRODUCT(--(TRIM('hospitalityq-nil'!C6:C1922)=TRIM('hospitalityq-nil'!C1922)),--(TRIM('hospitalityq-nil'!D6:D1922)=TRIM('hospitalityq-nil'!D1922)))&gt;1))</f>
        <v>0</v>
      </c>
    </row>
    <row r="1923" spans="1:4" x14ac:dyDescent="0.25">
      <c r="A1923">
        <f t="shared" si="29"/>
        <v>0</v>
      </c>
      <c r="C1923">
        <f>NOT('hospitalityq-nil'!C1923="")*(OR(NOT(IFERROR(AND(INT('hospitalityq-nil'!C1923)='hospitalityq-nil'!C1923,'hospitalityq-nil'!C1923&gt;=2018-50,'hospitalityq-nil'!C1923&lt;=2018+50),FALSE)),SUMPRODUCT(--(TRIM('hospitalityq-nil'!C6:C1923)=TRIM('hospitalityq-nil'!C1923)),--(TRIM('hospitalityq-nil'!D6:D1923)=TRIM('hospitalityq-nil'!D1923)))&gt;1))</f>
        <v>0</v>
      </c>
      <c r="D1923">
        <f>NOT('hospitalityq-nil'!D1923="")*(OR(COUNTIF(reference!$C$144:$C$155,TRIM(LEFT('hospitalityq-nil'!D1923,FIND(":",'hospitalityq-nil'!D1923&amp;":")-1))&amp;":*")=0,SUMPRODUCT(--(TRIM('hospitalityq-nil'!C6:C1923)=TRIM('hospitalityq-nil'!C1923)),--(TRIM('hospitalityq-nil'!D6:D1923)=TRIM('hospitalityq-nil'!D1923)))&gt;1))</f>
        <v>0</v>
      </c>
    </row>
    <row r="1924" spans="1:4" x14ac:dyDescent="0.25">
      <c r="A1924">
        <f t="shared" si="29"/>
        <v>0</v>
      </c>
      <c r="C1924">
        <f>NOT('hospitalityq-nil'!C1924="")*(OR(NOT(IFERROR(AND(INT('hospitalityq-nil'!C1924)='hospitalityq-nil'!C1924,'hospitalityq-nil'!C1924&gt;=2018-50,'hospitalityq-nil'!C1924&lt;=2018+50),FALSE)),SUMPRODUCT(--(TRIM('hospitalityq-nil'!C6:C1924)=TRIM('hospitalityq-nil'!C1924)),--(TRIM('hospitalityq-nil'!D6:D1924)=TRIM('hospitalityq-nil'!D1924)))&gt;1))</f>
        <v>0</v>
      </c>
      <c r="D1924">
        <f>NOT('hospitalityq-nil'!D1924="")*(OR(COUNTIF(reference!$C$144:$C$155,TRIM(LEFT('hospitalityq-nil'!D1924,FIND(":",'hospitalityq-nil'!D1924&amp;":")-1))&amp;":*")=0,SUMPRODUCT(--(TRIM('hospitalityq-nil'!C6:C1924)=TRIM('hospitalityq-nil'!C1924)),--(TRIM('hospitalityq-nil'!D6:D1924)=TRIM('hospitalityq-nil'!D1924)))&gt;1))</f>
        <v>0</v>
      </c>
    </row>
    <row r="1925" spans="1:4" x14ac:dyDescent="0.25">
      <c r="A1925">
        <f t="shared" si="29"/>
        <v>0</v>
      </c>
      <c r="C1925">
        <f>NOT('hospitalityq-nil'!C1925="")*(OR(NOT(IFERROR(AND(INT('hospitalityq-nil'!C1925)='hospitalityq-nil'!C1925,'hospitalityq-nil'!C1925&gt;=2018-50,'hospitalityq-nil'!C1925&lt;=2018+50),FALSE)),SUMPRODUCT(--(TRIM('hospitalityq-nil'!C6:C1925)=TRIM('hospitalityq-nil'!C1925)),--(TRIM('hospitalityq-nil'!D6:D1925)=TRIM('hospitalityq-nil'!D1925)))&gt;1))</f>
        <v>0</v>
      </c>
      <c r="D1925">
        <f>NOT('hospitalityq-nil'!D1925="")*(OR(COUNTIF(reference!$C$144:$C$155,TRIM(LEFT('hospitalityq-nil'!D1925,FIND(":",'hospitalityq-nil'!D1925&amp;":")-1))&amp;":*")=0,SUMPRODUCT(--(TRIM('hospitalityq-nil'!C6:C1925)=TRIM('hospitalityq-nil'!C1925)),--(TRIM('hospitalityq-nil'!D6:D1925)=TRIM('hospitalityq-nil'!D1925)))&gt;1))</f>
        <v>0</v>
      </c>
    </row>
    <row r="1926" spans="1:4" x14ac:dyDescent="0.25">
      <c r="A1926">
        <f t="shared" ref="A1926:A1989" si="30">IFERROR(MATCH(TRUE,INDEX(C1926:D1926&lt;&gt;0,),)+2,0)</f>
        <v>0</v>
      </c>
      <c r="C1926">
        <f>NOT('hospitalityq-nil'!C1926="")*(OR(NOT(IFERROR(AND(INT('hospitalityq-nil'!C1926)='hospitalityq-nil'!C1926,'hospitalityq-nil'!C1926&gt;=2018-50,'hospitalityq-nil'!C1926&lt;=2018+50),FALSE)),SUMPRODUCT(--(TRIM('hospitalityq-nil'!C6:C1926)=TRIM('hospitalityq-nil'!C1926)),--(TRIM('hospitalityq-nil'!D6:D1926)=TRIM('hospitalityq-nil'!D1926)))&gt;1))</f>
        <v>0</v>
      </c>
      <c r="D1926">
        <f>NOT('hospitalityq-nil'!D1926="")*(OR(COUNTIF(reference!$C$144:$C$155,TRIM(LEFT('hospitalityq-nil'!D1926,FIND(":",'hospitalityq-nil'!D1926&amp;":")-1))&amp;":*")=0,SUMPRODUCT(--(TRIM('hospitalityq-nil'!C6:C1926)=TRIM('hospitalityq-nil'!C1926)),--(TRIM('hospitalityq-nil'!D6:D1926)=TRIM('hospitalityq-nil'!D1926)))&gt;1))</f>
        <v>0</v>
      </c>
    </row>
    <row r="1927" spans="1:4" x14ac:dyDescent="0.25">
      <c r="A1927">
        <f t="shared" si="30"/>
        <v>0</v>
      </c>
      <c r="C1927">
        <f>NOT('hospitalityq-nil'!C1927="")*(OR(NOT(IFERROR(AND(INT('hospitalityq-nil'!C1927)='hospitalityq-nil'!C1927,'hospitalityq-nil'!C1927&gt;=2018-50,'hospitalityq-nil'!C1927&lt;=2018+50),FALSE)),SUMPRODUCT(--(TRIM('hospitalityq-nil'!C6:C1927)=TRIM('hospitalityq-nil'!C1927)),--(TRIM('hospitalityq-nil'!D6:D1927)=TRIM('hospitalityq-nil'!D1927)))&gt;1))</f>
        <v>0</v>
      </c>
      <c r="D1927">
        <f>NOT('hospitalityq-nil'!D1927="")*(OR(COUNTIF(reference!$C$144:$C$155,TRIM(LEFT('hospitalityq-nil'!D1927,FIND(":",'hospitalityq-nil'!D1927&amp;":")-1))&amp;":*")=0,SUMPRODUCT(--(TRIM('hospitalityq-nil'!C6:C1927)=TRIM('hospitalityq-nil'!C1927)),--(TRIM('hospitalityq-nil'!D6:D1927)=TRIM('hospitalityq-nil'!D1927)))&gt;1))</f>
        <v>0</v>
      </c>
    </row>
    <row r="1928" spans="1:4" x14ac:dyDescent="0.25">
      <c r="A1928">
        <f t="shared" si="30"/>
        <v>0</v>
      </c>
      <c r="C1928">
        <f>NOT('hospitalityq-nil'!C1928="")*(OR(NOT(IFERROR(AND(INT('hospitalityq-nil'!C1928)='hospitalityq-nil'!C1928,'hospitalityq-nil'!C1928&gt;=2018-50,'hospitalityq-nil'!C1928&lt;=2018+50),FALSE)),SUMPRODUCT(--(TRIM('hospitalityq-nil'!C6:C1928)=TRIM('hospitalityq-nil'!C1928)),--(TRIM('hospitalityq-nil'!D6:D1928)=TRIM('hospitalityq-nil'!D1928)))&gt;1))</f>
        <v>0</v>
      </c>
      <c r="D1928">
        <f>NOT('hospitalityq-nil'!D1928="")*(OR(COUNTIF(reference!$C$144:$C$155,TRIM(LEFT('hospitalityq-nil'!D1928,FIND(":",'hospitalityq-nil'!D1928&amp;":")-1))&amp;":*")=0,SUMPRODUCT(--(TRIM('hospitalityq-nil'!C6:C1928)=TRIM('hospitalityq-nil'!C1928)),--(TRIM('hospitalityq-nil'!D6:D1928)=TRIM('hospitalityq-nil'!D1928)))&gt;1))</f>
        <v>0</v>
      </c>
    </row>
    <row r="1929" spans="1:4" x14ac:dyDescent="0.25">
      <c r="A1929">
        <f t="shared" si="30"/>
        <v>0</v>
      </c>
      <c r="C1929">
        <f>NOT('hospitalityq-nil'!C1929="")*(OR(NOT(IFERROR(AND(INT('hospitalityq-nil'!C1929)='hospitalityq-nil'!C1929,'hospitalityq-nil'!C1929&gt;=2018-50,'hospitalityq-nil'!C1929&lt;=2018+50),FALSE)),SUMPRODUCT(--(TRIM('hospitalityq-nil'!C6:C1929)=TRIM('hospitalityq-nil'!C1929)),--(TRIM('hospitalityq-nil'!D6:D1929)=TRIM('hospitalityq-nil'!D1929)))&gt;1))</f>
        <v>0</v>
      </c>
      <c r="D1929">
        <f>NOT('hospitalityq-nil'!D1929="")*(OR(COUNTIF(reference!$C$144:$C$155,TRIM(LEFT('hospitalityq-nil'!D1929,FIND(":",'hospitalityq-nil'!D1929&amp;":")-1))&amp;":*")=0,SUMPRODUCT(--(TRIM('hospitalityq-nil'!C6:C1929)=TRIM('hospitalityq-nil'!C1929)),--(TRIM('hospitalityq-nil'!D6:D1929)=TRIM('hospitalityq-nil'!D1929)))&gt;1))</f>
        <v>0</v>
      </c>
    </row>
    <row r="1930" spans="1:4" x14ac:dyDescent="0.25">
      <c r="A1930">
        <f t="shared" si="30"/>
        <v>0</v>
      </c>
      <c r="C1930">
        <f>NOT('hospitalityq-nil'!C1930="")*(OR(NOT(IFERROR(AND(INT('hospitalityq-nil'!C1930)='hospitalityq-nil'!C1930,'hospitalityq-nil'!C1930&gt;=2018-50,'hospitalityq-nil'!C1930&lt;=2018+50),FALSE)),SUMPRODUCT(--(TRIM('hospitalityq-nil'!C6:C1930)=TRIM('hospitalityq-nil'!C1930)),--(TRIM('hospitalityq-nil'!D6:D1930)=TRIM('hospitalityq-nil'!D1930)))&gt;1))</f>
        <v>0</v>
      </c>
      <c r="D1930">
        <f>NOT('hospitalityq-nil'!D1930="")*(OR(COUNTIF(reference!$C$144:$C$155,TRIM(LEFT('hospitalityq-nil'!D1930,FIND(":",'hospitalityq-nil'!D1930&amp;":")-1))&amp;":*")=0,SUMPRODUCT(--(TRIM('hospitalityq-nil'!C6:C1930)=TRIM('hospitalityq-nil'!C1930)),--(TRIM('hospitalityq-nil'!D6:D1930)=TRIM('hospitalityq-nil'!D1930)))&gt;1))</f>
        <v>0</v>
      </c>
    </row>
    <row r="1931" spans="1:4" x14ac:dyDescent="0.25">
      <c r="A1931">
        <f t="shared" si="30"/>
        <v>0</v>
      </c>
      <c r="C1931">
        <f>NOT('hospitalityq-nil'!C1931="")*(OR(NOT(IFERROR(AND(INT('hospitalityq-nil'!C1931)='hospitalityq-nil'!C1931,'hospitalityq-nil'!C1931&gt;=2018-50,'hospitalityq-nil'!C1931&lt;=2018+50),FALSE)),SUMPRODUCT(--(TRIM('hospitalityq-nil'!C6:C1931)=TRIM('hospitalityq-nil'!C1931)),--(TRIM('hospitalityq-nil'!D6:D1931)=TRIM('hospitalityq-nil'!D1931)))&gt;1))</f>
        <v>0</v>
      </c>
      <c r="D1931">
        <f>NOT('hospitalityq-nil'!D1931="")*(OR(COUNTIF(reference!$C$144:$C$155,TRIM(LEFT('hospitalityq-nil'!D1931,FIND(":",'hospitalityq-nil'!D1931&amp;":")-1))&amp;":*")=0,SUMPRODUCT(--(TRIM('hospitalityq-nil'!C6:C1931)=TRIM('hospitalityq-nil'!C1931)),--(TRIM('hospitalityq-nil'!D6:D1931)=TRIM('hospitalityq-nil'!D1931)))&gt;1))</f>
        <v>0</v>
      </c>
    </row>
    <row r="1932" spans="1:4" x14ac:dyDescent="0.25">
      <c r="A1932">
        <f t="shared" si="30"/>
        <v>0</v>
      </c>
      <c r="C1932">
        <f>NOT('hospitalityq-nil'!C1932="")*(OR(NOT(IFERROR(AND(INT('hospitalityq-nil'!C1932)='hospitalityq-nil'!C1932,'hospitalityq-nil'!C1932&gt;=2018-50,'hospitalityq-nil'!C1932&lt;=2018+50),FALSE)),SUMPRODUCT(--(TRIM('hospitalityq-nil'!C6:C1932)=TRIM('hospitalityq-nil'!C1932)),--(TRIM('hospitalityq-nil'!D6:D1932)=TRIM('hospitalityq-nil'!D1932)))&gt;1))</f>
        <v>0</v>
      </c>
      <c r="D1932">
        <f>NOT('hospitalityq-nil'!D1932="")*(OR(COUNTIF(reference!$C$144:$C$155,TRIM(LEFT('hospitalityq-nil'!D1932,FIND(":",'hospitalityq-nil'!D1932&amp;":")-1))&amp;":*")=0,SUMPRODUCT(--(TRIM('hospitalityq-nil'!C6:C1932)=TRIM('hospitalityq-nil'!C1932)),--(TRIM('hospitalityq-nil'!D6:D1932)=TRIM('hospitalityq-nil'!D1932)))&gt;1))</f>
        <v>0</v>
      </c>
    </row>
    <row r="1933" spans="1:4" x14ac:dyDescent="0.25">
      <c r="A1933">
        <f t="shared" si="30"/>
        <v>0</v>
      </c>
      <c r="C1933">
        <f>NOT('hospitalityq-nil'!C1933="")*(OR(NOT(IFERROR(AND(INT('hospitalityq-nil'!C1933)='hospitalityq-nil'!C1933,'hospitalityq-nil'!C1933&gt;=2018-50,'hospitalityq-nil'!C1933&lt;=2018+50),FALSE)),SUMPRODUCT(--(TRIM('hospitalityq-nil'!C6:C1933)=TRIM('hospitalityq-nil'!C1933)),--(TRIM('hospitalityq-nil'!D6:D1933)=TRIM('hospitalityq-nil'!D1933)))&gt;1))</f>
        <v>0</v>
      </c>
      <c r="D1933">
        <f>NOT('hospitalityq-nil'!D1933="")*(OR(COUNTIF(reference!$C$144:$C$155,TRIM(LEFT('hospitalityq-nil'!D1933,FIND(":",'hospitalityq-nil'!D1933&amp;":")-1))&amp;":*")=0,SUMPRODUCT(--(TRIM('hospitalityq-nil'!C6:C1933)=TRIM('hospitalityq-nil'!C1933)),--(TRIM('hospitalityq-nil'!D6:D1933)=TRIM('hospitalityq-nil'!D1933)))&gt;1))</f>
        <v>0</v>
      </c>
    </row>
    <row r="1934" spans="1:4" x14ac:dyDescent="0.25">
      <c r="A1934">
        <f t="shared" si="30"/>
        <v>0</v>
      </c>
      <c r="C1934">
        <f>NOT('hospitalityq-nil'!C1934="")*(OR(NOT(IFERROR(AND(INT('hospitalityq-nil'!C1934)='hospitalityq-nil'!C1934,'hospitalityq-nil'!C1934&gt;=2018-50,'hospitalityq-nil'!C1934&lt;=2018+50),FALSE)),SUMPRODUCT(--(TRIM('hospitalityq-nil'!C6:C1934)=TRIM('hospitalityq-nil'!C1934)),--(TRIM('hospitalityq-nil'!D6:D1934)=TRIM('hospitalityq-nil'!D1934)))&gt;1))</f>
        <v>0</v>
      </c>
      <c r="D1934">
        <f>NOT('hospitalityq-nil'!D1934="")*(OR(COUNTIF(reference!$C$144:$C$155,TRIM(LEFT('hospitalityq-nil'!D1934,FIND(":",'hospitalityq-nil'!D1934&amp;":")-1))&amp;":*")=0,SUMPRODUCT(--(TRIM('hospitalityq-nil'!C6:C1934)=TRIM('hospitalityq-nil'!C1934)),--(TRIM('hospitalityq-nil'!D6:D1934)=TRIM('hospitalityq-nil'!D1934)))&gt;1))</f>
        <v>0</v>
      </c>
    </row>
    <row r="1935" spans="1:4" x14ac:dyDescent="0.25">
      <c r="A1935">
        <f t="shared" si="30"/>
        <v>0</v>
      </c>
      <c r="C1935">
        <f>NOT('hospitalityq-nil'!C1935="")*(OR(NOT(IFERROR(AND(INT('hospitalityq-nil'!C1935)='hospitalityq-nil'!C1935,'hospitalityq-nil'!C1935&gt;=2018-50,'hospitalityq-nil'!C1935&lt;=2018+50),FALSE)),SUMPRODUCT(--(TRIM('hospitalityq-nil'!C6:C1935)=TRIM('hospitalityq-nil'!C1935)),--(TRIM('hospitalityq-nil'!D6:D1935)=TRIM('hospitalityq-nil'!D1935)))&gt;1))</f>
        <v>0</v>
      </c>
      <c r="D1935">
        <f>NOT('hospitalityq-nil'!D1935="")*(OR(COUNTIF(reference!$C$144:$C$155,TRIM(LEFT('hospitalityq-nil'!D1935,FIND(":",'hospitalityq-nil'!D1935&amp;":")-1))&amp;":*")=0,SUMPRODUCT(--(TRIM('hospitalityq-nil'!C6:C1935)=TRIM('hospitalityq-nil'!C1935)),--(TRIM('hospitalityq-nil'!D6:D1935)=TRIM('hospitalityq-nil'!D1935)))&gt;1))</f>
        <v>0</v>
      </c>
    </row>
    <row r="1936" spans="1:4" x14ac:dyDescent="0.25">
      <c r="A1936">
        <f t="shared" si="30"/>
        <v>0</v>
      </c>
      <c r="C1936">
        <f>NOT('hospitalityq-nil'!C1936="")*(OR(NOT(IFERROR(AND(INT('hospitalityq-nil'!C1936)='hospitalityq-nil'!C1936,'hospitalityq-nil'!C1936&gt;=2018-50,'hospitalityq-nil'!C1936&lt;=2018+50),FALSE)),SUMPRODUCT(--(TRIM('hospitalityq-nil'!C6:C1936)=TRIM('hospitalityq-nil'!C1936)),--(TRIM('hospitalityq-nil'!D6:D1936)=TRIM('hospitalityq-nil'!D1936)))&gt;1))</f>
        <v>0</v>
      </c>
      <c r="D1936">
        <f>NOT('hospitalityq-nil'!D1936="")*(OR(COUNTIF(reference!$C$144:$C$155,TRIM(LEFT('hospitalityq-nil'!D1936,FIND(":",'hospitalityq-nil'!D1936&amp;":")-1))&amp;":*")=0,SUMPRODUCT(--(TRIM('hospitalityq-nil'!C6:C1936)=TRIM('hospitalityq-nil'!C1936)),--(TRIM('hospitalityq-nil'!D6:D1936)=TRIM('hospitalityq-nil'!D1936)))&gt;1))</f>
        <v>0</v>
      </c>
    </row>
    <row r="1937" spans="1:4" x14ac:dyDescent="0.25">
      <c r="A1937">
        <f t="shared" si="30"/>
        <v>0</v>
      </c>
      <c r="C1937">
        <f>NOT('hospitalityq-nil'!C1937="")*(OR(NOT(IFERROR(AND(INT('hospitalityq-nil'!C1937)='hospitalityq-nil'!C1937,'hospitalityq-nil'!C1937&gt;=2018-50,'hospitalityq-nil'!C1937&lt;=2018+50),FALSE)),SUMPRODUCT(--(TRIM('hospitalityq-nil'!C6:C1937)=TRIM('hospitalityq-nil'!C1937)),--(TRIM('hospitalityq-nil'!D6:D1937)=TRIM('hospitalityq-nil'!D1937)))&gt;1))</f>
        <v>0</v>
      </c>
      <c r="D1937">
        <f>NOT('hospitalityq-nil'!D1937="")*(OR(COUNTIF(reference!$C$144:$C$155,TRIM(LEFT('hospitalityq-nil'!D1937,FIND(":",'hospitalityq-nil'!D1937&amp;":")-1))&amp;":*")=0,SUMPRODUCT(--(TRIM('hospitalityq-nil'!C6:C1937)=TRIM('hospitalityq-nil'!C1937)),--(TRIM('hospitalityq-nil'!D6:D1937)=TRIM('hospitalityq-nil'!D1937)))&gt;1))</f>
        <v>0</v>
      </c>
    </row>
    <row r="1938" spans="1:4" x14ac:dyDescent="0.25">
      <c r="A1938">
        <f t="shared" si="30"/>
        <v>0</v>
      </c>
      <c r="C1938">
        <f>NOT('hospitalityq-nil'!C1938="")*(OR(NOT(IFERROR(AND(INT('hospitalityq-nil'!C1938)='hospitalityq-nil'!C1938,'hospitalityq-nil'!C1938&gt;=2018-50,'hospitalityq-nil'!C1938&lt;=2018+50),FALSE)),SUMPRODUCT(--(TRIM('hospitalityq-nil'!C6:C1938)=TRIM('hospitalityq-nil'!C1938)),--(TRIM('hospitalityq-nil'!D6:D1938)=TRIM('hospitalityq-nil'!D1938)))&gt;1))</f>
        <v>0</v>
      </c>
      <c r="D1938">
        <f>NOT('hospitalityq-nil'!D1938="")*(OR(COUNTIF(reference!$C$144:$C$155,TRIM(LEFT('hospitalityq-nil'!D1938,FIND(":",'hospitalityq-nil'!D1938&amp;":")-1))&amp;":*")=0,SUMPRODUCT(--(TRIM('hospitalityq-nil'!C6:C1938)=TRIM('hospitalityq-nil'!C1938)),--(TRIM('hospitalityq-nil'!D6:D1938)=TRIM('hospitalityq-nil'!D1938)))&gt;1))</f>
        <v>0</v>
      </c>
    </row>
    <row r="1939" spans="1:4" x14ac:dyDescent="0.25">
      <c r="A1939">
        <f t="shared" si="30"/>
        <v>0</v>
      </c>
      <c r="C1939">
        <f>NOT('hospitalityq-nil'!C1939="")*(OR(NOT(IFERROR(AND(INT('hospitalityq-nil'!C1939)='hospitalityq-nil'!C1939,'hospitalityq-nil'!C1939&gt;=2018-50,'hospitalityq-nil'!C1939&lt;=2018+50),FALSE)),SUMPRODUCT(--(TRIM('hospitalityq-nil'!C6:C1939)=TRIM('hospitalityq-nil'!C1939)),--(TRIM('hospitalityq-nil'!D6:D1939)=TRIM('hospitalityq-nil'!D1939)))&gt;1))</f>
        <v>0</v>
      </c>
      <c r="D1939">
        <f>NOT('hospitalityq-nil'!D1939="")*(OR(COUNTIF(reference!$C$144:$C$155,TRIM(LEFT('hospitalityq-nil'!D1939,FIND(":",'hospitalityq-nil'!D1939&amp;":")-1))&amp;":*")=0,SUMPRODUCT(--(TRIM('hospitalityq-nil'!C6:C1939)=TRIM('hospitalityq-nil'!C1939)),--(TRIM('hospitalityq-nil'!D6:D1939)=TRIM('hospitalityq-nil'!D1939)))&gt;1))</f>
        <v>0</v>
      </c>
    </row>
    <row r="1940" spans="1:4" x14ac:dyDescent="0.25">
      <c r="A1940">
        <f t="shared" si="30"/>
        <v>0</v>
      </c>
      <c r="C1940">
        <f>NOT('hospitalityq-nil'!C1940="")*(OR(NOT(IFERROR(AND(INT('hospitalityq-nil'!C1940)='hospitalityq-nil'!C1940,'hospitalityq-nil'!C1940&gt;=2018-50,'hospitalityq-nil'!C1940&lt;=2018+50),FALSE)),SUMPRODUCT(--(TRIM('hospitalityq-nil'!C6:C1940)=TRIM('hospitalityq-nil'!C1940)),--(TRIM('hospitalityq-nil'!D6:D1940)=TRIM('hospitalityq-nil'!D1940)))&gt;1))</f>
        <v>0</v>
      </c>
      <c r="D1940">
        <f>NOT('hospitalityq-nil'!D1940="")*(OR(COUNTIF(reference!$C$144:$C$155,TRIM(LEFT('hospitalityq-nil'!D1940,FIND(":",'hospitalityq-nil'!D1940&amp;":")-1))&amp;":*")=0,SUMPRODUCT(--(TRIM('hospitalityq-nil'!C6:C1940)=TRIM('hospitalityq-nil'!C1940)),--(TRIM('hospitalityq-nil'!D6:D1940)=TRIM('hospitalityq-nil'!D1940)))&gt;1))</f>
        <v>0</v>
      </c>
    </row>
    <row r="1941" spans="1:4" x14ac:dyDescent="0.25">
      <c r="A1941">
        <f t="shared" si="30"/>
        <v>0</v>
      </c>
      <c r="C1941">
        <f>NOT('hospitalityq-nil'!C1941="")*(OR(NOT(IFERROR(AND(INT('hospitalityq-nil'!C1941)='hospitalityq-nil'!C1941,'hospitalityq-nil'!C1941&gt;=2018-50,'hospitalityq-nil'!C1941&lt;=2018+50),FALSE)),SUMPRODUCT(--(TRIM('hospitalityq-nil'!C6:C1941)=TRIM('hospitalityq-nil'!C1941)),--(TRIM('hospitalityq-nil'!D6:D1941)=TRIM('hospitalityq-nil'!D1941)))&gt;1))</f>
        <v>0</v>
      </c>
      <c r="D1941">
        <f>NOT('hospitalityq-nil'!D1941="")*(OR(COUNTIF(reference!$C$144:$C$155,TRIM(LEFT('hospitalityq-nil'!D1941,FIND(":",'hospitalityq-nil'!D1941&amp;":")-1))&amp;":*")=0,SUMPRODUCT(--(TRIM('hospitalityq-nil'!C6:C1941)=TRIM('hospitalityq-nil'!C1941)),--(TRIM('hospitalityq-nil'!D6:D1941)=TRIM('hospitalityq-nil'!D1941)))&gt;1))</f>
        <v>0</v>
      </c>
    </row>
    <row r="1942" spans="1:4" x14ac:dyDescent="0.25">
      <c r="A1942">
        <f t="shared" si="30"/>
        <v>0</v>
      </c>
      <c r="C1942">
        <f>NOT('hospitalityq-nil'!C1942="")*(OR(NOT(IFERROR(AND(INT('hospitalityq-nil'!C1942)='hospitalityq-nil'!C1942,'hospitalityq-nil'!C1942&gt;=2018-50,'hospitalityq-nil'!C1942&lt;=2018+50),FALSE)),SUMPRODUCT(--(TRIM('hospitalityq-nil'!C6:C1942)=TRIM('hospitalityq-nil'!C1942)),--(TRIM('hospitalityq-nil'!D6:D1942)=TRIM('hospitalityq-nil'!D1942)))&gt;1))</f>
        <v>0</v>
      </c>
      <c r="D1942">
        <f>NOT('hospitalityq-nil'!D1942="")*(OR(COUNTIF(reference!$C$144:$C$155,TRIM(LEFT('hospitalityq-nil'!D1942,FIND(":",'hospitalityq-nil'!D1942&amp;":")-1))&amp;":*")=0,SUMPRODUCT(--(TRIM('hospitalityq-nil'!C6:C1942)=TRIM('hospitalityq-nil'!C1942)),--(TRIM('hospitalityq-nil'!D6:D1942)=TRIM('hospitalityq-nil'!D1942)))&gt;1))</f>
        <v>0</v>
      </c>
    </row>
    <row r="1943" spans="1:4" x14ac:dyDescent="0.25">
      <c r="A1943">
        <f t="shared" si="30"/>
        <v>0</v>
      </c>
      <c r="C1943">
        <f>NOT('hospitalityq-nil'!C1943="")*(OR(NOT(IFERROR(AND(INT('hospitalityq-nil'!C1943)='hospitalityq-nil'!C1943,'hospitalityq-nil'!C1943&gt;=2018-50,'hospitalityq-nil'!C1943&lt;=2018+50),FALSE)),SUMPRODUCT(--(TRIM('hospitalityq-nil'!C6:C1943)=TRIM('hospitalityq-nil'!C1943)),--(TRIM('hospitalityq-nil'!D6:D1943)=TRIM('hospitalityq-nil'!D1943)))&gt;1))</f>
        <v>0</v>
      </c>
      <c r="D1943">
        <f>NOT('hospitalityq-nil'!D1943="")*(OR(COUNTIF(reference!$C$144:$C$155,TRIM(LEFT('hospitalityq-nil'!D1943,FIND(":",'hospitalityq-nil'!D1943&amp;":")-1))&amp;":*")=0,SUMPRODUCT(--(TRIM('hospitalityq-nil'!C6:C1943)=TRIM('hospitalityq-nil'!C1943)),--(TRIM('hospitalityq-nil'!D6:D1943)=TRIM('hospitalityq-nil'!D1943)))&gt;1))</f>
        <v>0</v>
      </c>
    </row>
    <row r="1944" spans="1:4" x14ac:dyDescent="0.25">
      <c r="A1944">
        <f t="shared" si="30"/>
        <v>0</v>
      </c>
      <c r="C1944">
        <f>NOT('hospitalityq-nil'!C1944="")*(OR(NOT(IFERROR(AND(INT('hospitalityq-nil'!C1944)='hospitalityq-nil'!C1944,'hospitalityq-nil'!C1944&gt;=2018-50,'hospitalityq-nil'!C1944&lt;=2018+50),FALSE)),SUMPRODUCT(--(TRIM('hospitalityq-nil'!C6:C1944)=TRIM('hospitalityq-nil'!C1944)),--(TRIM('hospitalityq-nil'!D6:D1944)=TRIM('hospitalityq-nil'!D1944)))&gt;1))</f>
        <v>0</v>
      </c>
      <c r="D1944">
        <f>NOT('hospitalityq-nil'!D1944="")*(OR(COUNTIF(reference!$C$144:$C$155,TRIM(LEFT('hospitalityq-nil'!D1944,FIND(":",'hospitalityq-nil'!D1944&amp;":")-1))&amp;":*")=0,SUMPRODUCT(--(TRIM('hospitalityq-nil'!C6:C1944)=TRIM('hospitalityq-nil'!C1944)),--(TRIM('hospitalityq-nil'!D6:D1944)=TRIM('hospitalityq-nil'!D1944)))&gt;1))</f>
        <v>0</v>
      </c>
    </row>
    <row r="1945" spans="1:4" x14ac:dyDescent="0.25">
      <c r="A1945">
        <f t="shared" si="30"/>
        <v>0</v>
      </c>
      <c r="C1945">
        <f>NOT('hospitalityq-nil'!C1945="")*(OR(NOT(IFERROR(AND(INT('hospitalityq-nil'!C1945)='hospitalityq-nil'!C1945,'hospitalityq-nil'!C1945&gt;=2018-50,'hospitalityq-nil'!C1945&lt;=2018+50),FALSE)),SUMPRODUCT(--(TRIM('hospitalityq-nil'!C6:C1945)=TRIM('hospitalityq-nil'!C1945)),--(TRIM('hospitalityq-nil'!D6:D1945)=TRIM('hospitalityq-nil'!D1945)))&gt;1))</f>
        <v>0</v>
      </c>
      <c r="D1945">
        <f>NOT('hospitalityq-nil'!D1945="")*(OR(COUNTIF(reference!$C$144:$C$155,TRIM(LEFT('hospitalityq-nil'!D1945,FIND(":",'hospitalityq-nil'!D1945&amp;":")-1))&amp;":*")=0,SUMPRODUCT(--(TRIM('hospitalityq-nil'!C6:C1945)=TRIM('hospitalityq-nil'!C1945)),--(TRIM('hospitalityq-nil'!D6:D1945)=TRIM('hospitalityq-nil'!D1945)))&gt;1))</f>
        <v>0</v>
      </c>
    </row>
    <row r="1946" spans="1:4" x14ac:dyDescent="0.25">
      <c r="A1946">
        <f t="shared" si="30"/>
        <v>0</v>
      </c>
      <c r="C1946">
        <f>NOT('hospitalityq-nil'!C1946="")*(OR(NOT(IFERROR(AND(INT('hospitalityq-nil'!C1946)='hospitalityq-nil'!C1946,'hospitalityq-nil'!C1946&gt;=2018-50,'hospitalityq-nil'!C1946&lt;=2018+50),FALSE)),SUMPRODUCT(--(TRIM('hospitalityq-nil'!C6:C1946)=TRIM('hospitalityq-nil'!C1946)),--(TRIM('hospitalityq-nil'!D6:D1946)=TRIM('hospitalityq-nil'!D1946)))&gt;1))</f>
        <v>0</v>
      </c>
      <c r="D1946">
        <f>NOT('hospitalityq-nil'!D1946="")*(OR(COUNTIF(reference!$C$144:$C$155,TRIM(LEFT('hospitalityq-nil'!D1946,FIND(":",'hospitalityq-nil'!D1946&amp;":")-1))&amp;":*")=0,SUMPRODUCT(--(TRIM('hospitalityq-nil'!C6:C1946)=TRIM('hospitalityq-nil'!C1946)),--(TRIM('hospitalityq-nil'!D6:D1946)=TRIM('hospitalityq-nil'!D1946)))&gt;1))</f>
        <v>0</v>
      </c>
    </row>
    <row r="1947" spans="1:4" x14ac:dyDescent="0.25">
      <c r="A1947">
        <f t="shared" si="30"/>
        <v>0</v>
      </c>
      <c r="C1947">
        <f>NOT('hospitalityq-nil'!C1947="")*(OR(NOT(IFERROR(AND(INT('hospitalityq-nil'!C1947)='hospitalityq-nil'!C1947,'hospitalityq-nil'!C1947&gt;=2018-50,'hospitalityq-nil'!C1947&lt;=2018+50),FALSE)),SUMPRODUCT(--(TRIM('hospitalityq-nil'!C6:C1947)=TRIM('hospitalityq-nil'!C1947)),--(TRIM('hospitalityq-nil'!D6:D1947)=TRIM('hospitalityq-nil'!D1947)))&gt;1))</f>
        <v>0</v>
      </c>
      <c r="D1947">
        <f>NOT('hospitalityq-nil'!D1947="")*(OR(COUNTIF(reference!$C$144:$C$155,TRIM(LEFT('hospitalityq-nil'!D1947,FIND(":",'hospitalityq-nil'!D1947&amp;":")-1))&amp;":*")=0,SUMPRODUCT(--(TRIM('hospitalityq-nil'!C6:C1947)=TRIM('hospitalityq-nil'!C1947)),--(TRIM('hospitalityq-nil'!D6:D1947)=TRIM('hospitalityq-nil'!D1947)))&gt;1))</f>
        <v>0</v>
      </c>
    </row>
    <row r="1948" spans="1:4" x14ac:dyDescent="0.25">
      <c r="A1948">
        <f t="shared" si="30"/>
        <v>0</v>
      </c>
      <c r="C1948">
        <f>NOT('hospitalityq-nil'!C1948="")*(OR(NOT(IFERROR(AND(INT('hospitalityq-nil'!C1948)='hospitalityq-nil'!C1948,'hospitalityq-nil'!C1948&gt;=2018-50,'hospitalityq-nil'!C1948&lt;=2018+50),FALSE)),SUMPRODUCT(--(TRIM('hospitalityq-nil'!C6:C1948)=TRIM('hospitalityq-nil'!C1948)),--(TRIM('hospitalityq-nil'!D6:D1948)=TRIM('hospitalityq-nil'!D1948)))&gt;1))</f>
        <v>0</v>
      </c>
      <c r="D1948">
        <f>NOT('hospitalityq-nil'!D1948="")*(OR(COUNTIF(reference!$C$144:$C$155,TRIM(LEFT('hospitalityq-nil'!D1948,FIND(":",'hospitalityq-nil'!D1948&amp;":")-1))&amp;":*")=0,SUMPRODUCT(--(TRIM('hospitalityq-nil'!C6:C1948)=TRIM('hospitalityq-nil'!C1948)),--(TRIM('hospitalityq-nil'!D6:D1948)=TRIM('hospitalityq-nil'!D1948)))&gt;1))</f>
        <v>0</v>
      </c>
    </row>
    <row r="1949" spans="1:4" x14ac:dyDescent="0.25">
      <c r="A1949">
        <f t="shared" si="30"/>
        <v>0</v>
      </c>
      <c r="C1949">
        <f>NOT('hospitalityq-nil'!C1949="")*(OR(NOT(IFERROR(AND(INT('hospitalityq-nil'!C1949)='hospitalityq-nil'!C1949,'hospitalityq-nil'!C1949&gt;=2018-50,'hospitalityq-nil'!C1949&lt;=2018+50),FALSE)),SUMPRODUCT(--(TRIM('hospitalityq-nil'!C6:C1949)=TRIM('hospitalityq-nil'!C1949)),--(TRIM('hospitalityq-nil'!D6:D1949)=TRIM('hospitalityq-nil'!D1949)))&gt;1))</f>
        <v>0</v>
      </c>
      <c r="D1949">
        <f>NOT('hospitalityq-nil'!D1949="")*(OR(COUNTIF(reference!$C$144:$C$155,TRIM(LEFT('hospitalityq-nil'!D1949,FIND(":",'hospitalityq-nil'!D1949&amp;":")-1))&amp;":*")=0,SUMPRODUCT(--(TRIM('hospitalityq-nil'!C6:C1949)=TRIM('hospitalityq-nil'!C1949)),--(TRIM('hospitalityq-nil'!D6:D1949)=TRIM('hospitalityq-nil'!D1949)))&gt;1))</f>
        <v>0</v>
      </c>
    </row>
    <row r="1950" spans="1:4" x14ac:dyDescent="0.25">
      <c r="A1950">
        <f t="shared" si="30"/>
        <v>0</v>
      </c>
      <c r="C1950">
        <f>NOT('hospitalityq-nil'!C1950="")*(OR(NOT(IFERROR(AND(INT('hospitalityq-nil'!C1950)='hospitalityq-nil'!C1950,'hospitalityq-nil'!C1950&gt;=2018-50,'hospitalityq-nil'!C1950&lt;=2018+50),FALSE)),SUMPRODUCT(--(TRIM('hospitalityq-nil'!C6:C1950)=TRIM('hospitalityq-nil'!C1950)),--(TRIM('hospitalityq-nil'!D6:D1950)=TRIM('hospitalityq-nil'!D1950)))&gt;1))</f>
        <v>0</v>
      </c>
      <c r="D1950">
        <f>NOT('hospitalityq-nil'!D1950="")*(OR(COUNTIF(reference!$C$144:$C$155,TRIM(LEFT('hospitalityq-nil'!D1950,FIND(":",'hospitalityq-nil'!D1950&amp;":")-1))&amp;":*")=0,SUMPRODUCT(--(TRIM('hospitalityq-nil'!C6:C1950)=TRIM('hospitalityq-nil'!C1950)),--(TRIM('hospitalityq-nil'!D6:D1950)=TRIM('hospitalityq-nil'!D1950)))&gt;1))</f>
        <v>0</v>
      </c>
    </row>
    <row r="1951" spans="1:4" x14ac:dyDescent="0.25">
      <c r="A1951">
        <f t="shared" si="30"/>
        <v>0</v>
      </c>
      <c r="C1951">
        <f>NOT('hospitalityq-nil'!C1951="")*(OR(NOT(IFERROR(AND(INT('hospitalityq-nil'!C1951)='hospitalityq-nil'!C1951,'hospitalityq-nil'!C1951&gt;=2018-50,'hospitalityq-nil'!C1951&lt;=2018+50),FALSE)),SUMPRODUCT(--(TRIM('hospitalityq-nil'!C6:C1951)=TRIM('hospitalityq-nil'!C1951)),--(TRIM('hospitalityq-nil'!D6:D1951)=TRIM('hospitalityq-nil'!D1951)))&gt;1))</f>
        <v>0</v>
      </c>
      <c r="D1951">
        <f>NOT('hospitalityq-nil'!D1951="")*(OR(COUNTIF(reference!$C$144:$C$155,TRIM(LEFT('hospitalityq-nil'!D1951,FIND(":",'hospitalityq-nil'!D1951&amp;":")-1))&amp;":*")=0,SUMPRODUCT(--(TRIM('hospitalityq-nil'!C6:C1951)=TRIM('hospitalityq-nil'!C1951)),--(TRIM('hospitalityq-nil'!D6:D1951)=TRIM('hospitalityq-nil'!D1951)))&gt;1))</f>
        <v>0</v>
      </c>
    </row>
    <row r="1952" spans="1:4" x14ac:dyDescent="0.25">
      <c r="A1952">
        <f t="shared" si="30"/>
        <v>0</v>
      </c>
      <c r="C1952">
        <f>NOT('hospitalityq-nil'!C1952="")*(OR(NOT(IFERROR(AND(INT('hospitalityq-nil'!C1952)='hospitalityq-nil'!C1952,'hospitalityq-nil'!C1952&gt;=2018-50,'hospitalityq-nil'!C1952&lt;=2018+50),FALSE)),SUMPRODUCT(--(TRIM('hospitalityq-nil'!C6:C1952)=TRIM('hospitalityq-nil'!C1952)),--(TRIM('hospitalityq-nil'!D6:D1952)=TRIM('hospitalityq-nil'!D1952)))&gt;1))</f>
        <v>0</v>
      </c>
      <c r="D1952">
        <f>NOT('hospitalityq-nil'!D1952="")*(OR(COUNTIF(reference!$C$144:$C$155,TRIM(LEFT('hospitalityq-nil'!D1952,FIND(":",'hospitalityq-nil'!D1952&amp;":")-1))&amp;":*")=0,SUMPRODUCT(--(TRIM('hospitalityq-nil'!C6:C1952)=TRIM('hospitalityq-nil'!C1952)),--(TRIM('hospitalityq-nil'!D6:D1952)=TRIM('hospitalityq-nil'!D1952)))&gt;1))</f>
        <v>0</v>
      </c>
    </row>
    <row r="1953" spans="1:4" x14ac:dyDescent="0.25">
      <c r="A1953">
        <f t="shared" si="30"/>
        <v>0</v>
      </c>
      <c r="C1953">
        <f>NOT('hospitalityq-nil'!C1953="")*(OR(NOT(IFERROR(AND(INT('hospitalityq-nil'!C1953)='hospitalityq-nil'!C1953,'hospitalityq-nil'!C1953&gt;=2018-50,'hospitalityq-nil'!C1953&lt;=2018+50),FALSE)),SUMPRODUCT(--(TRIM('hospitalityq-nil'!C6:C1953)=TRIM('hospitalityq-nil'!C1953)),--(TRIM('hospitalityq-nil'!D6:D1953)=TRIM('hospitalityq-nil'!D1953)))&gt;1))</f>
        <v>0</v>
      </c>
      <c r="D1953">
        <f>NOT('hospitalityq-nil'!D1953="")*(OR(COUNTIF(reference!$C$144:$C$155,TRIM(LEFT('hospitalityq-nil'!D1953,FIND(":",'hospitalityq-nil'!D1953&amp;":")-1))&amp;":*")=0,SUMPRODUCT(--(TRIM('hospitalityq-nil'!C6:C1953)=TRIM('hospitalityq-nil'!C1953)),--(TRIM('hospitalityq-nil'!D6:D1953)=TRIM('hospitalityq-nil'!D1953)))&gt;1))</f>
        <v>0</v>
      </c>
    </row>
    <row r="1954" spans="1:4" x14ac:dyDescent="0.25">
      <c r="A1954">
        <f t="shared" si="30"/>
        <v>0</v>
      </c>
      <c r="C1954">
        <f>NOT('hospitalityq-nil'!C1954="")*(OR(NOT(IFERROR(AND(INT('hospitalityq-nil'!C1954)='hospitalityq-nil'!C1954,'hospitalityq-nil'!C1954&gt;=2018-50,'hospitalityq-nil'!C1954&lt;=2018+50),FALSE)),SUMPRODUCT(--(TRIM('hospitalityq-nil'!C6:C1954)=TRIM('hospitalityq-nil'!C1954)),--(TRIM('hospitalityq-nil'!D6:D1954)=TRIM('hospitalityq-nil'!D1954)))&gt;1))</f>
        <v>0</v>
      </c>
      <c r="D1954">
        <f>NOT('hospitalityq-nil'!D1954="")*(OR(COUNTIF(reference!$C$144:$C$155,TRIM(LEFT('hospitalityq-nil'!D1954,FIND(":",'hospitalityq-nil'!D1954&amp;":")-1))&amp;":*")=0,SUMPRODUCT(--(TRIM('hospitalityq-nil'!C6:C1954)=TRIM('hospitalityq-nil'!C1954)),--(TRIM('hospitalityq-nil'!D6:D1954)=TRIM('hospitalityq-nil'!D1954)))&gt;1))</f>
        <v>0</v>
      </c>
    </row>
    <row r="1955" spans="1:4" x14ac:dyDescent="0.25">
      <c r="A1955">
        <f t="shared" si="30"/>
        <v>0</v>
      </c>
      <c r="C1955">
        <f>NOT('hospitalityq-nil'!C1955="")*(OR(NOT(IFERROR(AND(INT('hospitalityq-nil'!C1955)='hospitalityq-nil'!C1955,'hospitalityq-nil'!C1955&gt;=2018-50,'hospitalityq-nil'!C1955&lt;=2018+50),FALSE)),SUMPRODUCT(--(TRIM('hospitalityq-nil'!C6:C1955)=TRIM('hospitalityq-nil'!C1955)),--(TRIM('hospitalityq-nil'!D6:D1955)=TRIM('hospitalityq-nil'!D1955)))&gt;1))</f>
        <v>0</v>
      </c>
      <c r="D1955">
        <f>NOT('hospitalityq-nil'!D1955="")*(OR(COUNTIF(reference!$C$144:$C$155,TRIM(LEFT('hospitalityq-nil'!D1955,FIND(":",'hospitalityq-nil'!D1955&amp;":")-1))&amp;":*")=0,SUMPRODUCT(--(TRIM('hospitalityq-nil'!C6:C1955)=TRIM('hospitalityq-nil'!C1955)),--(TRIM('hospitalityq-nil'!D6:D1955)=TRIM('hospitalityq-nil'!D1955)))&gt;1))</f>
        <v>0</v>
      </c>
    </row>
    <row r="1956" spans="1:4" x14ac:dyDescent="0.25">
      <c r="A1956">
        <f t="shared" si="30"/>
        <v>0</v>
      </c>
      <c r="C1956">
        <f>NOT('hospitalityq-nil'!C1956="")*(OR(NOT(IFERROR(AND(INT('hospitalityq-nil'!C1956)='hospitalityq-nil'!C1956,'hospitalityq-nil'!C1956&gt;=2018-50,'hospitalityq-nil'!C1956&lt;=2018+50),FALSE)),SUMPRODUCT(--(TRIM('hospitalityq-nil'!C6:C1956)=TRIM('hospitalityq-nil'!C1956)),--(TRIM('hospitalityq-nil'!D6:D1956)=TRIM('hospitalityq-nil'!D1956)))&gt;1))</f>
        <v>0</v>
      </c>
      <c r="D1956">
        <f>NOT('hospitalityq-nil'!D1956="")*(OR(COUNTIF(reference!$C$144:$C$155,TRIM(LEFT('hospitalityq-nil'!D1956,FIND(":",'hospitalityq-nil'!D1956&amp;":")-1))&amp;":*")=0,SUMPRODUCT(--(TRIM('hospitalityq-nil'!C6:C1956)=TRIM('hospitalityq-nil'!C1956)),--(TRIM('hospitalityq-nil'!D6:D1956)=TRIM('hospitalityq-nil'!D1956)))&gt;1))</f>
        <v>0</v>
      </c>
    </row>
    <row r="1957" spans="1:4" x14ac:dyDescent="0.25">
      <c r="A1957">
        <f t="shared" si="30"/>
        <v>0</v>
      </c>
      <c r="C1957">
        <f>NOT('hospitalityq-nil'!C1957="")*(OR(NOT(IFERROR(AND(INT('hospitalityq-nil'!C1957)='hospitalityq-nil'!C1957,'hospitalityq-nil'!C1957&gt;=2018-50,'hospitalityq-nil'!C1957&lt;=2018+50),FALSE)),SUMPRODUCT(--(TRIM('hospitalityq-nil'!C6:C1957)=TRIM('hospitalityq-nil'!C1957)),--(TRIM('hospitalityq-nil'!D6:D1957)=TRIM('hospitalityq-nil'!D1957)))&gt;1))</f>
        <v>0</v>
      </c>
      <c r="D1957">
        <f>NOT('hospitalityq-nil'!D1957="")*(OR(COUNTIF(reference!$C$144:$C$155,TRIM(LEFT('hospitalityq-nil'!D1957,FIND(":",'hospitalityq-nil'!D1957&amp;":")-1))&amp;":*")=0,SUMPRODUCT(--(TRIM('hospitalityq-nil'!C6:C1957)=TRIM('hospitalityq-nil'!C1957)),--(TRIM('hospitalityq-nil'!D6:D1957)=TRIM('hospitalityq-nil'!D1957)))&gt;1))</f>
        <v>0</v>
      </c>
    </row>
    <row r="1958" spans="1:4" x14ac:dyDescent="0.25">
      <c r="A1958">
        <f t="shared" si="30"/>
        <v>0</v>
      </c>
      <c r="C1958">
        <f>NOT('hospitalityq-nil'!C1958="")*(OR(NOT(IFERROR(AND(INT('hospitalityq-nil'!C1958)='hospitalityq-nil'!C1958,'hospitalityq-nil'!C1958&gt;=2018-50,'hospitalityq-nil'!C1958&lt;=2018+50),FALSE)),SUMPRODUCT(--(TRIM('hospitalityq-nil'!C6:C1958)=TRIM('hospitalityq-nil'!C1958)),--(TRIM('hospitalityq-nil'!D6:D1958)=TRIM('hospitalityq-nil'!D1958)))&gt;1))</f>
        <v>0</v>
      </c>
      <c r="D1958">
        <f>NOT('hospitalityq-nil'!D1958="")*(OR(COUNTIF(reference!$C$144:$C$155,TRIM(LEFT('hospitalityq-nil'!D1958,FIND(":",'hospitalityq-nil'!D1958&amp;":")-1))&amp;":*")=0,SUMPRODUCT(--(TRIM('hospitalityq-nil'!C6:C1958)=TRIM('hospitalityq-nil'!C1958)),--(TRIM('hospitalityq-nil'!D6:D1958)=TRIM('hospitalityq-nil'!D1958)))&gt;1))</f>
        <v>0</v>
      </c>
    </row>
    <row r="1959" spans="1:4" x14ac:dyDescent="0.25">
      <c r="A1959">
        <f t="shared" si="30"/>
        <v>0</v>
      </c>
      <c r="C1959">
        <f>NOT('hospitalityq-nil'!C1959="")*(OR(NOT(IFERROR(AND(INT('hospitalityq-nil'!C1959)='hospitalityq-nil'!C1959,'hospitalityq-nil'!C1959&gt;=2018-50,'hospitalityq-nil'!C1959&lt;=2018+50),FALSE)),SUMPRODUCT(--(TRIM('hospitalityq-nil'!C6:C1959)=TRIM('hospitalityq-nil'!C1959)),--(TRIM('hospitalityq-nil'!D6:D1959)=TRIM('hospitalityq-nil'!D1959)))&gt;1))</f>
        <v>0</v>
      </c>
      <c r="D1959">
        <f>NOT('hospitalityq-nil'!D1959="")*(OR(COUNTIF(reference!$C$144:$C$155,TRIM(LEFT('hospitalityq-nil'!D1959,FIND(":",'hospitalityq-nil'!D1959&amp;":")-1))&amp;":*")=0,SUMPRODUCT(--(TRIM('hospitalityq-nil'!C6:C1959)=TRIM('hospitalityq-nil'!C1959)),--(TRIM('hospitalityq-nil'!D6:D1959)=TRIM('hospitalityq-nil'!D1959)))&gt;1))</f>
        <v>0</v>
      </c>
    </row>
    <row r="1960" spans="1:4" x14ac:dyDescent="0.25">
      <c r="A1960">
        <f t="shared" si="30"/>
        <v>0</v>
      </c>
      <c r="C1960">
        <f>NOT('hospitalityq-nil'!C1960="")*(OR(NOT(IFERROR(AND(INT('hospitalityq-nil'!C1960)='hospitalityq-nil'!C1960,'hospitalityq-nil'!C1960&gt;=2018-50,'hospitalityq-nil'!C1960&lt;=2018+50),FALSE)),SUMPRODUCT(--(TRIM('hospitalityq-nil'!C6:C1960)=TRIM('hospitalityq-nil'!C1960)),--(TRIM('hospitalityq-nil'!D6:D1960)=TRIM('hospitalityq-nil'!D1960)))&gt;1))</f>
        <v>0</v>
      </c>
      <c r="D1960">
        <f>NOT('hospitalityq-nil'!D1960="")*(OR(COUNTIF(reference!$C$144:$C$155,TRIM(LEFT('hospitalityq-nil'!D1960,FIND(":",'hospitalityq-nil'!D1960&amp;":")-1))&amp;":*")=0,SUMPRODUCT(--(TRIM('hospitalityq-nil'!C6:C1960)=TRIM('hospitalityq-nil'!C1960)),--(TRIM('hospitalityq-nil'!D6:D1960)=TRIM('hospitalityq-nil'!D1960)))&gt;1))</f>
        <v>0</v>
      </c>
    </row>
    <row r="1961" spans="1:4" x14ac:dyDescent="0.25">
      <c r="A1961">
        <f t="shared" si="30"/>
        <v>0</v>
      </c>
      <c r="C1961">
        <f>NOT('hospitalityq-nil'!C1961="")*(OR(NOT(IFERROR(AND(INT('hospitalityq-nil'!C1961)='hospitalityq-nil'!C1961,'hospitalityq-nil'!C1961&gt;=2018-50,'hospitalityq-nil'!C1961&lt;=2018+50),FALSE)),SUMPRODUCT(--(TRIM('hospitalityq-nil'!C6:C1961)=TRIM('hospitalityq-nil'!C1961)),--(TRIM('hospitalityq-nil'!D6:D1961)=TRIM('hospitalityq-nil'!D1961)))&gt;1))</f>
        <v>0</v>
      </c>
      <c r="D1961">
        <f>NOT('hospitalityq-nil'!D1961="")*(OR(COUNTIF(reference!$C$144:$C$155,TRIM(LEFT('hospitalityq-nil'!D1961,FIND(":",'hospitalityq-nil'!D1961&amp;":")-1))&amp;":*")=0,SUMPRODUCT(--(TRIM('hospitalityq-nil'!C6:C1961)=TRIM('hospitalityq-nil'!C1961)),--(TRIM('hospitalityq-nil'!D6:D1961)=TRIM('hospitalityq-nil'!D1961)))&gt;1))</f>
        <v>0</v>
      </c>
    </row>
    <row r="1962" spans="1:4" x14ac:dyDescent="0.25">
      <c r="A1962">
        <f t="shared" si="30"/>
        <v>0</v>
      </c>
      <c r="C1962">
        <f>NOT('hospitalityq-nil'!C1962="")*(OR(NOT(IFERROR(AND(INT('hospitalityq-nil'!C1962)='hospitalityq-nil'!C1962,'hospitalityq-nil'!C1962&gt;=2018-50,'hospitalityq-nil'!C1962&lt;=2018+50),FALSE)),SUMPRODUCT(--(TRIM('hospitalityq-nil'!C6:C1962)=TRIM('hospitalityq-nil'!C1962)),--(TRIM('hospitalityq-nil'!D6:D1962)=TRIM('hospitalityq-nil'!D1962)))&gt;1))</f>
        <v>0</v>
      </c>
      <c r="D1962">
        <f>NOT('hospitalityq-nil'!D1962="")*(OR(COUNTIF(reference!$C$144:$C$155,TRIM(LEFT('hospitalityq-nil'!D1962,FIND(":",'hospitalityq-nil'!D1962&amp;":")-1))&amp;":*")=0,SUMPRODUCT(--(TRIM('hospitalityq-nil'!C6:C1962)=TRIM('hospitalityq-nil'!C1962)),--(TRIM('hospitalityq-nil'!D6:D1962)=TRIM('hospitalityq-nil'!D1962)))&gt;1))</f>
        <v>0</v>
      </c>
    </row>
    <row r="1963" spans="1:4" x14ac:dyDescent="0.25">
      <c r="A1963">
        <f t="shared" si="30"/>
        <v>0</v>
      </c>
      <c r="C1963">
        <f>NOT('hospitalityq-nil'!C1963="")*(OR(NOT(IFERROR(AND(INT('hospitalityq-nil'!C1963)='hospitalityq-nil'!C1963,'hospitalityq-nil'!C1963&gt;=2018-50,'hospitalityq-nil'!C1963&lt;=2018+50),FALSE)),SUMPRODUCT(--(TRIM('hospitalityq-nil'!C6:C1963)=TRIM('hospitalityq-nil'!C1963)),--(TRIM('hospitalityq-nil'!D6:D1963)=TRIM('hospitalityq-nil'!D1963)))&gt;1))</f>
        <v>0</v>
      </c>
      <c r="D1963">
        <f>NOT('hospitalityq-nil'!D1963="")*(OR(COUNTIF(reference!$C$144:$C$155,TRIM(LEFT('hospitalityq-nil'!D1963,FIND(":",'hospitalityq-nil'!D1963&amp;":")-1))&amp;":*")=0,SUMPRODUCT(--(TRIM('hospitalityq-nil'!C6:C1963)=TRIM('hospitalityq-nil'!C1963)),--(TRIM('hospitalityq-nil'!D6:D1963)=TRIM('hospitalityq-nil'!D1963)))&gt;1))</f>
        <v>0</v>
      </c>
    </row>
    <row r="1964" spans="1:4" x14ac:dyDescent="0.25">
      <c r="A1964">
        <f t="shared" si="30"/>
        <v>0</v>
      </c>
      <c r="C1964">
        <f>NOT('hospitalityq-nil'!C1964="")*(OR(NOT(IFERROR(AND(INT('hospitalityq-nil'!C1964)='hospitalityq-nil'!C1964,'hospitalityq-nil'!C1964&gt;=2018-50,'hospitalityq-nil'!C1964&lt;=2018+50),FALSE)),SUMPRODUCT(--(TRIM('hospitalityq-nil'!C6:C1964)=TRIM('hospitalityq-nil'!C1964)),--(TRIM('hospitalityq-nil'!D6:D1964)=TRIM('hospitalityq-nil'!D1964)))&gt;1))</f>
        <v>0</v>
      </c>
      <c r="D1964">
        <f>NOT('hospitalityq-nil'!D1964="")*(OR(COUNTIF(reference!$C$144:$C$155,TRIM(LEFT('hospitalityq-nil'!D1964,FIND(":",'hospitalityq-nil'!D1964&amp;":")-1))&amp;":*")=0,SUMPRODUCT(--(TRIM('hospitalityq-nil'!C6:C1964)=TRIM('hospitalityq-nil'!C1964)),--(TRIM('hospitalityq-nil'!D6:D1964)=TRIM('hospitalityq-nil'!D1964)))&gt;1))</f>
        <v>0</v>
      </c>
    </row>
    <row r="1965" spans="1:4" x14ac:dyDescent="0.25">
      <c r="A1965">
        <f t="shared" si="30"/>
        <v>0</v>
      </c>
      <c r="C1965">
        <f>NOT('hospitalityq-nil'!C1965="")*(OR(NOT(IFERROR(AND(INT('hospitalityq-nil'!C1965)='hospitalityq-nil'!C1965,'hospitalityq-nil'!C1965&gt;=2018-50,'hospitalityq-nil'!C1965&lt;=2018+50),FALSE)),SUMPRODUCT(--(TRIM('hospitalityq-nil'!C6:C1965)=TRIM('hospitalityq-nil'!C1965)),--(TRIM('hospitalityq-nil'!D6:D1965)=TRIM('hospitalityq-nil'!D1965)))&gt;1))</f>
        <v>0</v>
      </c>
      <c r="D1965">
        <f>NOT('hospitalityq-nil'!D1965="")*(OR(COUNTIF(reference!$C$144:$C$155,TRIM(LEFT('hospitalityq-nil'!D1965,FIND(":",'hospitalityq-nil'!D1965&amp;":")-1))&amp;":*")=0,SUMPRODUCT(--(TRIM('hospitalityq-nil'!C6:C1965)=TRIM('hospitalityq-nil'!C1965)),--(TRIM('hospitalityq-nil'!D6:D1965)=TRIM('hospitalityq-nil'!D1965)))&gt;1))</f>
        <v>0</v>
      </c>
    </row>
    <row r="1966" spans="1:4" x14ac:dyDescent="0.25">
      <c r="A1966">
        <f t="shared" si="30"/>
        <v>0</v>
      </c>
      <c r="C1966">
        <f>NOT('hospitalityq-nil'!C1966="")*(OR(NOT(IFERROR(AND(INT('hospitalityq-nil'!C1966)='hospitalityq-nil'!C1966,'hospitalityq-nil'!C1966&gt;=2018-50,'hospitalityq-nil'!C1966&lt;=2018+50),FALSE)),SUMPRODUCT(--(TRIM('hospitalityq-nil'!C6:C1966)=TRIM('hospitalityq-nil'!C1966)),--(TRIM('hospitalityq-nil'!D6:D1966)=TRIM('hospitalityq-nil'!D1966)))&gt;1))</f>
        <v>0</v>
      </c>
      <c r="D1966">
        <f>NOT('hospitalityq-nil'!D1966="")*(OR(COUNTIF(reference!$C$144:$C$155,TRIM(LEFT('hospitalityq-nil'!D1966,FIND(":",'hospitalityq-nil'!D1966&amp;":")-1))&amp;":*")=0,SUMPRODUCT(--(TRIM('hospitalityq-nil'!C6:C1966)=TRIM('hospitalityq-nil'!C1966)),--(TRIM('hospitalityq-nil'!D6:D1966)=TRIM('hospitalityq-nil'!D1966)))&gt;1))</f>
        <v>0</v>
      </c>
    </row>
    <row r="1967" spans="1:4" x14ac:dyDescent="0.25">
      <c r="A1967">
        <f t="shared" si="30"/>
        <v>0</v>
      </c>
      <c r="C1967">
        <f>NOT('hospitalityq-nil'!C1967="")*(OR(NOT(IFERROR(AND(INT('hospitalityq-nil'!C1967)='hospitalityq-nil'!C1967,'hospitalityq-nil'!C1967&gt;=2018-50,'hospitalityq-nil'!C1967&lt;=2018+50),FALSE)),SUMPRODUCT(--(TRIM('hospitalityq-nil'!C6:C1967)=TRIM('hospitalityq-nil'!C1967)),--(TRIM('hospitalityq-nil'!D6:D1967)=TRIM('hospitalityq-nil'!D1967)))&gt;1))</f>
        <v>0</v>
      </c>
      <c r="D1967">
        <f>NOT('hospitalityq-nil'!D1967="")*(OR(COUNTIF(reference!$C$144:$C$155,TRIM(LEFT('hospitalityq-nil'!D1967,FIND(":",'hospitalityq-nil'!D1967&amp;":")-1))&amp;":*")=0,SUMPRODUCT(--(TRIM('hospitalityq-nil'!C6:C1967)=TRIM('hospitalityq-nil'!C1967)),--(TRIM('hospitalityq-nil'!D6:D1967)=TRIM('hospitalityq-nil'!D1967)))&gt;1))</f>
        <v>0</v>
      </c>
    </row>
    <row r="1968" spans="1:4" x14ac:dyDescent="0.25">
      <c r="A1968">
        <f t="shared" si="30"/>
        <v>0</v>
      </c>
      <c r="C1968">
        <f>NOT('hospitalityq-nil'!C1968="")*(OR(NOT(IFERROR(AND(INT('hospitalityq-nil'!C1968)='hospitalityq-nil'!C1968,'hospitalityq-nil'!C1968&gt;=2018-50,'hospitalityq-nil'!C1968&lt;=2018+50),FALSE)),SUMPRODUCT(--(TRIM('hospitalityq-nil'!C6:C1968)=TRIM('hospitalityq-nil'!C1968)),--(TRIM('hospitalityq-nil'!D6:D1968)=TRIM('hospitalityq-nil'!D1968)))&gt;1))</f>
        <v>0</v>
      </c>
      <c r="D1968">
        <f>NOT('hospitalityq-nil'!D1968="")*(OR(COUNTIF(reference!$C$144:$C$155,TRIM(LEFT('hospitalityq-nil'!D1968,FIND(":",'hospitalityq-nil'!D1968&amp;":")-1))&amp;":*")=0,SUMPRODUCT(--(TRIM('hospitalityq-nil'!C6:C1968)=TRIM('hospitalityq-nil'!C1968)),--(TRIM('hospitalityq-nil'!D6:D1968)=TRIM('hospitalityq-nil'!D1968)))&gt;1))</f>
        <v>0</v>
      </c>
    </row>
    <row r="1969" spans="1:4" x14ac:dyDescent="0.25">
      <c r="A1969">
        <f t="shared" si="30"/>
        <v>0</v>
      </c>
      <c r="C1969">
        <f>NOT('hospitalityq-nil'!C1969="")*(OR(NOT(IFERROR(AND(INT('hospitalityq-nil'!C1969)='hospitalityq-nil'!C1969,'hospitalityq-nil'!C1969&gt;=2018-50,'hospitalityq-nil'!C1969&lt;=2018+50),FALSE)),SUMPRODUCT(--(TRIM('hospitalityq-nil'!C6:C1969)=TRIM('hospitalityq-nil'!C1969)),--(TRIM('hospitalityq-nil'!D6:D1969)=TRIM('hospitalityq-nil'!D1969)))&gt;1))</f>
        <v>0</v>
      </c>
      <c r="D1969">
        <f>NOT('hospitalityq-nil'!D1969="")*(OR(COUNTIF(reference!$C$144:$C$155,TRIM(LEFT('hospitalityq-nil'!D1969,FIND(":",'hospitalityq-nil'!D1969&amp;":")-1))&amp;":*")=0,SUMPRODUCT(--(TRIM('hospitalityq-nil'!C6:C1969)=TRIM('hospitalityq-nil'!C1969)),--(TRIM('hospitalityq-nil'!D6:D1969)=TRIM('hospitalityq-nil'!D1969)))&gt;1))</f>
        <v>0</v>
      </c>
    </row>
    <row r="1970" spans="1:4" x14ac:dyDescent="0.25">
      <c r="A1970">
        <f t="shared" si="30"/>
        <v>0</v>
      </c>
      <c r="C1970">
        <f>NOT('hospitalityq-nil'!C1970="")*(OR(NOT(IFERROR(AND(INT('hospitalityq-nil'!C1970)='hospitalityq-nil'!C1970,'hospitalityq-nil'!C1970&gt;=2018-50,'hospitalityq-nil'!C1970&lt;=2018+50),FALSE)),SUMPRODUCT(--(TRIM('hospitalityq-nil'!C6:C1970)=TRIM('hospitalityq-nil'!C1970)),--(TRIM('hospitalityq-nil'!D6:D1970)=TRIM('hospitalityq-nil'!D1970)))&gt;1))</f>
        <v>0</v>
      </c>
      <c r="D1970">
        <f>NOT('hospitalityq-nil'!D1970="")*(OR(COUNTIF(reference!$C$144:$C$155,TRIM(LEFT('hospitalityq-nil'!D1970,FIND(":",'hospitalityq-nil'!D1970&amp;":")-1))&amp;":*")=0,SUMPRODUCT(--(TRIM('hospitalityq-nil'!C6:C1970)=TRIM('hospitalityq-nil'!C1970)),--(TRIM('hospitalityq-nil'!D6:D1970)=TRIM('hospitalityq-nil'!D1970)))&gt;1))</f>
        <v>0</v>
      </c>
    </row>
    <row r="1971" spans="1:4" x14ac:dyDescent="0.25">
      <c r="A1971">
        <f t="shared" si="30"/>
        <v>0</v>
      </c>
      <c r="C1971">
        <f>NOT('hospitalityq-nil'!C1971="")*(OR(NOT(IFERROR(AND(INT('hospitalityq-nil'!C1971)='hospitalityq-nil'!C1971,'hospitalityq-nil'!C1971&gt;=2018-50,'hospitalityq-nil'!C1971&lt;=2018+50),FALSE)),SUMPRODUCT(--(TRIM('hospitalityq-nil'!C6:C1971)=TRIM('hospitalityq-nil'!C1971)),--(TRIM('hospitalityq-nil'!D6:D1971)=TRIM('hospitalityq-nil'!D1971)))&gt;1))</f>
        <v>0</v>
      </c>
      <c r="D1971">
        <f>NOT('hospitalityq-nil'!D1971="")*(OR(COUNTIF(reference!$C$144:$C$155,TRIM(LEFT('hospitalityq-nil'!D1971,FIND(":",'hospitalityq-nil'!D1971&amp;":")-1))&amp;":*")=0,SUMPRODUCT(--(TRIM('hospitalityq-nil'!C6:C1971)=TRIM('hospitalityq-nil'!C1971)),--(TRIM('hospitalityq-nil'!D6:D1971)=TRIM('hospitalityq-nil'!D1971)))&gt;1))</f>
        <v>0</v>
      </c>
    </row>
    <row r="1972" spans="1:4" x14ac:dyDescent="0.25">
      <c r="A1972">
        <f t="shared" si="30"/>
        <v>0</v>
      </c>
      <c r="C1972">
        <f>NOT('hospitalityq-nil'!C1972="")*(OR(NOT(IFERROR(AND(INT('hospitalityq-nil'!C1972)='hospitalityq-nil'!C1972,'hospitalityq-nil'!C1972&gt;=2018-50,'hospitalityq-nil'!C1972&lt;=2018+50),FALSE)),SUMPRODUCT(--(TRIM('hospitalityq-nil'!C6:C1972)=TRIM('hospitalityq-nil'!C1972)),--(TRIM('hospitalityq-nil'!D6:D1972)=TRIM('hospitalityq-nil'!D1972)))&gt;1))</f>
        <v>0</v>
      </c>
      <c r="D1972">
        <f>NOT('hospitalityq-nil'!D1972="")*(OR(COUNTIF(reference!$C$144:$C$155,TRIM(LEFT('hospitalityq-nil'!D1972,FIND(":",'hospitalityq-nil'!D1972&amp;":")-1))&amp;":*")=0,SUMPRODUCT(--(TRIM('hospitalityq-nil'!C6:C1972)=TRIM('hospitalityq-nil'!C1972)),--(TRIM('hospitalityq-nil'!D6:D1972)=TRIM('hospitalityq-nil'!D1972)))&gt;1))</f>
        <v>0</v>
      </c>
    </row>
    <row r="1973" spans="1:4" x14ac:dyDescent="0.25">
      <c r="A1973">
        <f t="shared" si="30"/>
        <v>0</v>
      </c>
      <c r="C1973">
        <f>NOT('hospitalityq-nil'!C1973="")*(OR(NOT(IFERROR(AND(INT('hospitalityq-nil'!C1973)='hospitalityq-nil'!C1973,'hospitalityq-nil'!C1973&gt;=2018-50,'hospitalityq-nil'!C1973&lt;=2018+50),FALSE)),SUMPRODUCT(--(TRIM('hospitalityq-nil'!C6:C1973)=TRIM('hospitalityq-nil'!C1973)),--(TRIM('hospitalityq-nil'!D6:D1973)=TRIM('hospitalityq-nil'!D1973)))&gt;1))</f>
        <v>0</v>
      </c>
      <c r="D1973">
        <f>NOT('hospitalityq-nil'!D1973="")*(OR(COUNTIF(reference!$C$144:$C$155,TRIM(LEFT('hospitalityq-nil'!D1973,FIND(":",'hospitalityq-nil'!D1973&amp;":")-1))&amp;":*")=0,SUMPRODUCT(--(TRIM('hospitalityq-nil'!C6:C1973)=TRIM('hospitalityq-nil'!C1973)),--(TRIM('hospitalityq-nil'!D6:D1973)=TRIM('hospitalityq-nil'!D1973)))&gt;1))</f>
        <v>0</v>
      </c>
    </row>
    <row r="1974" spans="1:4" x14ac:dyDescent="0.25">
      <c r="A1974">
        <f t="shared" si="30"/>
        <v>0</v>
      </c>
      <c r="C1974">
        <f>NOT('hospitalityq-nil'!C1974="")*(OR(NOT(IFERROR(AND(INT('hospitalityq-nil'!C1974)='hospitalityq-nil'!C1974,'hospitalityq-nil'!C1974&gt;=2018-50,'hospitalityq-nil'!C1974&lt;=2018+50),FALSE)),SUMPRODUCT(--(TRIM('hospitalityq-nil'!C6:C1974)=TRIM('hospitalityq-nil'!C1974)),--(TRIM('hospitalityq-nil'!D6:D1974)=TRIM('hospitalityq-nil'!D1974)))&gt;1))</f>
        <v>0</v>
      </c>
      <c r="D1974">
        <f>NOT('hospitalityq-nil'!D1974="")*(OR(COUNTIF(reference!$C$144:$C$155,TRIM(LEFT('hospitalityq-nil'!D1974,FIND(":",'hospitalityq-nil'!D1974&amp;":")-1))&amp;":*")=0,SUMPRODUCT(--(TRIM('hospitalityq-nil'!C6:C1974)=TRIM('hospitalityq-nil'!C1974)),--(TRIM('hospitalityq-nil'!D6:D1974)=TRIM('hospitalityq-nil'!D1974)))&gt;1))</f>
        <v>0</v>
      </c>
    </row>
    <row r="1975" spans="1:4" x14ac:dyDescent="0.25">
      <c r="A1975">
        <f t="shared" si="30"/>
        <v>0</v>
      </c>
      <c r="C1975">
        <f>NOT('hospitalityq-nil'!C1975="")*(OR(NOT(IFERROR(AND(INT('hospitalityq-nil'!C1975)='hospitalityq-nil'!C1975,'hospitalityq-nil'!C1975&gt;=2018-50,'hospitalityq-nil'!C1975&lt;=2018+50),FALSE)),SUMPRODUCT(--(TRIM('hospitalityq-nil'!C6:C1975)=TRIM('hospitalityq-nil'!C1975)),--(TRIM('hospitalityq-nil'!D6:D1975)=TRIM('hospitalityq-nil'!D1975)))&gt;1))</f>
        <v>0</v>
      </c>
      <c r="D1975">
        <f>NOT('hospitalityq-nil'!D1975="")*(OR(COUNTIF(reference!$C$144:$C$155,TRIM(LEFT('hospitalityq-nil'!D1975,FIND(":",'hospitalityq-nil'!D1975&amp;":")-1))&amp;":*")=0,SUMPRODUCT(--(TRIM('hospitalityq-nil'!C6:C1975)=TRIM('hospitalityq-nil'!C1975)),--(TRIM('hospitalityq-nil'!D6:D1975)=TRIM('hospitalityq-nil'!D1975)))&gt;1))</f>
        <v>0</v>
      </c>
    </row>
    <row r="1976" spans="1:4" x14ac:dyDescent="0.25">
      <c r="A1976">
        <f t="shared" si="30"/>
        <v>0</v>
      </c>
      <c r="C1976">
        <f>NOT('hospitalityq-nil'!C1976="")*(OR(NOT(IFERROR(AND(INT('hospitalityq-nil'!C1976)='hospitalityq-nil'!C1976,'hospitalityq-nil'!C1976&gt;=2018-50,'hospitalityq-nil'!C1976&lt;=2018+50),FALSE)),SUMPRODUCT(--(TRIM('hospitalityq-nil'!C6:C1976)=TRIM('hospitalityq-nil'!C1976)),--(TRIM('hospitalityq-nil'!D6:D1976)=TRIM('hospitalityq-nil'!D1976)))&gt;1))</f>
        <v>0</v>
      </c>
      <c r="D1976">
        <f>NOT('hospitalityq-nil'!D1976="")*(OR(COUNTIF(reference!$C$144:$C$155,TRIM(LEFT('hospitalityq-nil'!D1976,FIND(":",'hospitalityq-nil'!D1976&amp;":")-1))&amp;":*")=0,SUMPRODUCT(--(TRIM('hospitalityq-nil'!C6:C1976)=TRIM('hospitalityq-nil'!C1976)),--(TRIM('hospitalityq-nil'!D6:D1976)=TRIM('hospitalityq-nil'!D1976)))&gt;1))</f>
        <v>0</v>
      </c>
    </row>
    <row r="1977" spans="1:4" x14ac:dyDescent="0.25">
      <c r="A1977">
        <f t="shared" si="30"/>
        <v>0</v>
      </c>
      <c r="C1977">
        <f>NOT('hospitalityq-nil'!C1977="")*(OR(NOT(IFERROR(AND(INT('hospitalityq-nil'!C1977)='hospitalityq-nil'!C1977,'hospitalityq-nil'!C1977&gt;=2018-50,'hospitalityq-nil'!C1977&lt;=2018+50),FALSE)),SUMPRODUCT(--(TRIM('hospitalityq-nil'!C6:C1977)=TRIM('hospitalityq-nil'!C1977)),--(TRIM('hospitalityq-nil'!D6:D1977)=TRIM('hospitalityq-nil'!D1977)))&gt;1))</f>
        <v>0</v>
      </c>
      <c r="D1977">
        <f>NOT('hospitalityq-nil'!D1977="")*(OR(COUNTIF(reference!$C$144:$C$155,TRIM(LEFT('hospitalityq-nil'!D1977,FIND(":",'hospitalityq-nil'!D1977&amp;":")-1))&amp;":*")=0,SUMPRODUCT(--(TRIM('hospitalityq-nil'!C6:C1977)=TRIM('hospitalityq-nil'!C1977)),--(TRIM('hospitalityq-nil'!D6:D1977)=TRIM('hospitalityq-nil'!D1977)))&gt;1))</f>
        <v>0</v>
      </c>
    </row>
    <row r="1978" spans="1:4" x14ac:dyDescent="0.25">
      <c r="A1978">
        <f t="shared" si="30"/>
        <v>0</v>
      </c>
      <c r="C1978">
        <f>NOT('hospitalityq-nil'!C1978="")*(OR(NOT(IFERROR(AND(INT('hospitalityq-nil'!C1978)='hospitalityq-nil'!C1978,'hospitalityq-nil'!C1978&gt;=2018-50,'hospitalityq-nil'!C1978&lt;=2018+50),FALSE)),SUMPRODUCT(--(TRIM('hospitalityq-nil'!C6:C1978)=TRIM('hospitalityq-nil'!C1978)),--(TRIM('hospitalityq-nil'!D6:D1978)=TRIM('hospitalityq-nil'!D1978)))&gt;1))</f>
        <v>0</v>
      </c>
      <c r="D1978">
        <f>NOT('hospitalityq-nil'!D1978="")*(OR(COUNTIF(reference!$C$144:$C$155,TRIM(LEFT('hospitalityq-nil'!D1978,FIND(":",'hospitalityq-nil'!D1978&amp;":")-1))&amp;":*")=0,SUMPRODUCT(--(TRIM('hospitalityq-nil'!C6:C1978)=TRIM('hospitalityq-nil'!C1978)),--(TRIM('hospitalityq-nil'!D6:D1978)=TRIM('hospitalityq-nil'!D1978)))&gt;1))</f>
        <v>0</v>
      </c>
    </row>
    <row r="1979" spans="1:4" x14ac:dyDescent="0.25">
      <c r="A1979">
        <f t="shared" si="30"/>
        <v>0</v>
      </c>
      <c r="C1979">
        <f>NOT('hospitalityq-nil'!C1979="")*(OR(NOT(IFERROR(AND(INT('hospitalityq-nil'!C1979)='hospitalityq-nil'!C1979,'hospitalityq-nil'!C1979&gt;=2018-50,'hospitalityq-nil'!C1979&lt;=2018+50),FALSE)),SUMPRODUCT(--(TRIM('hospitalityq-nil'!C6:C1979)=TRIM('hospitalityq-nil'!C1979)),--(TRIM('hospitalityq-nil'!D6:D1979)=TRIM('hospitalityq-nil'!D1979)))&gt;1))</f>
        <v>0</v>
      </c>
      <c r="D1979">
        <f>NOT('hospitalityq-nil'!D1979="")*(OR(COUNTIF(reference!$C$144:$C$155,TRIM(LEFT('hospitalityq-nil'!D1979,FIND(":",'hospitalityq-nil'!D1979&amp;":")-1))&amp;":*")=0,SUMPRODUCT(--(TRIM('hospitalityq-nil'!C6:C1979)=TRIM('hospitalityq-nil'!C1979)),--(TRIM('hospitalityq-nil'!D6:D1979)=TRIM('hospitalityq-nil'!D1979)))&gt;1))</f>
        <v>0</v>
      </c>
    </row>
    <row r="1980" spans="1:4" x14ac:dyDescent="0.25">
      <c r="A1980">
        <f t="shared" si="30"/>
        <v>0</v>
      </c>
      <c r="C1980">
        <f>NOT('hospitalityq-nil'!C1980="")*(OR(NOT(IFERROR(AND(INT('hospitalityq-nil'!C1980)='hospitalityq-nil'!C1980,'hospitalityq-nil'!C1980&gt;=2018-50,'hospitalityq-nil'!C1980&lt;=2018+50),FALSE)),SUMPRODUCT(--(TRIM('hospitalityq-nil'!C6:C1980)=TRIM('hospitalityq-nil'!C1980)),--(TRIM('hospitalityq-nil'!D6:D1980)=TRIM('hospitalityq-nil'!D1980)))&gt;1))</f>
        <v>0</v>
      </c>
      <c r="D1980">
        <f>NOT('hospitalityq-nil'!D1980="")*(OR(COUNTIF(reference!$C$144:$C$155,TRIM(LEFT('hospitalityq-nil'!D1980,FIND(":",'hospitalityq-nil'!D1980&amp;":")-1))&amp;":*")=0,SUMPRODUCT(--(TRIM('hospitalityq-nil'!C6:C1980)=TRIM('hospitalityq-nil'!C1980)),--(TRIM('hospitalityq-nil'!D6:D1980)=TRIM('hospitalityq-nil'!D1980)))&gt;1))</f>
        <v>0</v>
      </c>
    </row>
    <row r="1981" spans="1:4" x14ac:dyDescent="0.25">
      <c r="A1981">
        <f t="shared" si="30"/>
        <v>0</v>
      </c>
      <c r="C1981">
        <f>NOT('hospitalityq-nil'!C1981="")*(OR(NOT(IFERROR(AND(INT('hospitalityq-nil'!C1981)='hospitalityq-nil'!C1981,'hospitalityq-nil'!C1981&gt;=2018-50,'hospitalityq-nil'!C1981&lt;=2018+50),FALSE)),SUMPRODUCT(--(TRIM('hospitalityq-nil'!C6:C1981)=TRIM('hospitalityq-nil'!C1981)),--(TRIM('hospitalityq-nil'!D6:D1981)=TRIM('hospitalityq-nil'!D1981)))&gt;1))</f>
        <v>0</v>
      </c>
      <c r="D1981">
        <f>NOT('hospitalityq-nil'!D1981="")*(OR(COUNTIF(reference!$C$144:$C$155,TRIM(LEFT('hospitalityq-nil'!D1981,FIND(":",'hospitalityq-nil'!D1981&amp;":")-1))&amp;":*")=0,SUMPRODUCT(--(TRIM('hospitalityq-nil'!C6:C1981)=TRIM('hospitalityq-nil'!C1981)),--(TRIM('hospitalityq-nil'!D6:D1981)=TRIM('hospitalityq-nil'!D1981)))&gt;1))</f>
        <v>0</v>
      </c>
    </row>
    <row r="1982" spans="1:4" x14ac:dyDescent="0.25">
      <c r="A1982">
        <f t="shared" si="30"/>
        <v>0</v>
      </c>
      <c r="C1982">
        <f>NOT('hospitalityq-nil'!C1982="")*(OR(NOT(IFERROR(AND(INT('hospitalityq-nil'!C1982)='hospitalityq-nil'!C1982,'hospitalityq-nil'!C1982&gt;=2018-50,'hospitalityq-nil'!C1982&lt;=2018+50),FALSE)),SUMPRODUCT(--(TRIM('hospitalityq-nil'!C6:C1982)=TRIM('hospitalityq-nil'!C1982)),--(TRIM('hospitalityq-nil'!D6:D1982)=TRIM('hospitalityq-nil'!D1982)))&gt;1))</f>
        <v>0</v>
      </c>
      <c r="D1982">
        <f>NOT('hospitalityq-nil'!D1982="")*(OR(COUNTIF(reference!$C$144:$C$155,TRIM(LEFT('hospitalityq-nil'!D1982,FIND(":",'hospitalityq-nil'!D1982&amp;":")-1))&amp;":*")=0,SUMPRODUCT(--(TRIM('hospitalityq-nil'!C6:C1982)=TRIM('hospitalityq-nil'!C1982)),--(TRIM('hospitalityq-nil'!D6:D1982)=TRIM('hospitalityq-nil'!D1982)))&gt;1))</f>
        <v>0</v>
      </c>
    </row>
    <row r="1983" spans="1:4" x14ac:dyDescent="0.25">
      <c r="A1983">
        <f t="shared" si="30"/>
        <v>0</v>
      </c>
      <c r="C1983">
        <f>NOT('hospitalityq-nil'!C1983="")*(OR(NOT(IFERROR(AND(INT('hospitalityq-nil'!C1983)='hospitalityq-nil'!C1983,'hospitalityq-nil'!C1983&gt;=2018-50,'hospitalityq-nil'!C1983&lt;=2018+50),FALSE)),SUMPRODUCT(--(TRIM('hospitalityq-nil'!C6:C1983)=TRIM('hospitalityq-nil'!C1983)),--(TRIM('hospitalityq-nil'!D6:D1983)=TRIM('hospitalityq-nil'!D1983)))&gt;1))</f>
        <v>0</v>
      </c>
      <c r="D1983">
        <f>NOT('hospitalityq-nil'!D1983="")*(OR(COUNTIF(reference!$C$144:$C$155,TRIM(LEFT('hospitalityq-nil'!D1983,FIND(":",'hospitalityq-nil'!D1983&amp;":")-1))&amp;":*")=0,SUMPRODUCT(--(TRIM('hospitalityq-nil'!C6:C1983)=TRIM('hospitalityq-nil'!C1983)),--(TRIM('hospitalityq-nil'!D6:D1983)=TRIM('hospitalityq-nil'!D1983)))&gt;1))</f>
        <v>0</v>
      </c>
    </row>
    <row r="1984" spans="1:4" x14ac:dyDescent="0.25">
      <c r="A1984">
        <f t="shared" si="30"/>
        <v>0</v>
      </c>
      <c r="C1984">
        <f>NOT('hospitalityq-nil'!C1984="")*(OR(NOT(IFERROR(AND(INT('hospitalityq-nil'!C1984)='hospitalityq-nil'!C1984,'hospitalityq-nil'!C1984&gt;=2018-50,'hospitalityq-nil'!C1984&lt;=2018+50),FALSE)),SUMPRODUCT(--(TRIM('hospitalityq-nil'!C6:C1984)=TRIM('hospitalityq-nil'!C1984)),--(TRIM('hospitalityq-nil'!D6:D1984)=TRIM('hospitalityq-nil'!D1984)))&gt;1))</f>
        <v>0</v>
      </c>
      <c r="D1984">
        <f>NOT('hospitalityq-nil'!D1984="")*(OR(COUNTIF(reference!$C$144:$C$155,TRIM(LEFT('hospitalityq-nil'!D1984,FIND(":",'hospitalityq-nil'!D1984&amp;":")-1))&amp;":*")=0,SUMPRODUCT(--(TRIM('hospitalityq-nil'!C6:C1984)=TRIM('hospitalityq-nil'!C1984)),--(TRIM('hospitalityq-nil'!D6:D1984)=TRIM('hospitalityq-nil'!D1984)))&gt;1))</f>
        <v>0</v>
      </c>
    </row>
    <row r="1985" spans="1:4" x14ac:dyDescent="0.25">
      <c r="A1985">
        <f t="shared" si="30"/>
        <v>0</v>
      </c>
      <c r="C1985">
        <f>NOT('hospitalityq-nil'!C1985="")*(OR(NOT(IFERROR(AND(INT('hospitalityq-nil'!C1985)='hospitalityq-nil'!C1985,'hospitalityq-nil'!C1985&gt;=2018-50,'hospitalityq-nil'!C1985&lt;=2018+50),FALSE)),SUMPRODUCT(--(TRIM('hospitalityq-nil'!C6:C1985)=TRIM('hospitalityq-nil'!C1985)),--(TRIM('hospitalityq-nil'!D6:D1985)=TRIM('hospitalityq-nil'!D1985)))&gt;1))</f>
        <v>0</v>
      </c>
      <c r="D1985">
        <f>NOT('hospitalityq-nil'!D1985="")*(OR(COUNTIF(reference!$C$144:$C$155,TRIM(LEFT('hospitalityq-nil'!D1985,FIND(":",'hospitalityq-nil'!D1985&amp;":")-1))&amp;":*")=0,SUMPRODUCT(--(TRIM('hospitalityq-nil'!C6:C1985)=TRIM('hospitalityq-nil'!C1985)),--(TRIM('hospitalityq-nil'!D6:D1985)=TRIM('hospitalityq-nil'!D1985)))&gt;1))</f>
        <v>0</v>
      </c>
    </row>
    <row r="1986" spans="1:4" x14ac:dyDescent="0.25">
      <c r="A1986">
        <f t="shared" si="30"/>
        <v>0</v>
      </c>
      <c r="C1986">
        <f>NOT('hospitalityq-nil'!C1986="")*(OR(NOT(IFERROR(AND(INT('hospitalityq-nil'!C1986)='hospitalityq-nil'!C1986,'hospitalityq-nil'!C1986&gt;=2018-50,'hospitalityq-nil'!C1986&lt;=2018+50),FALSE)),SUMPRODUCT(--(TRIM('hospitalityq-nil'!C6:C1986)=TRIM('hospitalityq-nil'!C1986)),--(TRIM('hospitalityq-nil'!D6:D1986)=TRIM('hospitalityq-nil'!D1986)))&gt;1))</f>
        <v>0</v>
      </c>
      <c r="D1986">
        <f>NOT('hospitalityq-nil'!D1986="")*(OR(COUNTIF(reference!$C$144:$C$155,TRIM(LEFT('hospitalityq-nil'!D1986,FIND(":",'hospitalityq-nil'!D1986&amp;":")-1))&amp;":*")=0,SUMPRODUCT(--(TRIM('hospitalityq-nil'!C6:C1986)=TRIM('hospitalityq-nil'!C1986)),--(TRIM('hospitalityq-nil'!D6:D1986)=TRIM('hospitalityq-nil'!D1986)))&gt;1))</f>
        <v>0</v>
      </c>
    </row>
    <row r="1987" spans="1:4" x14ac:dyDescent="0.25">
      <c r="A1987">
        <f t="shared" si="30"/>
        <v>0</v>
      </c>
      <c r="C1987">
        <f>NOT('hospitalityq-nil'!C1987="")*(OR(NOT(IFERROR(AND(INT('hospitalityq-nil'!C1987)='hospitalityq-nil'!C1987,'hospitalityq-nil'!C1987&gt;=2018-50,'hospitalityq-nil'!C1987&lt;=2018+50),FALSE)),SUMPRODUCT(--(TRIM('hospitalityq-nil'!C6:C1987)=TRIM('hospitalityq-nil'!C1987)),--(TRIM('hospitalityq-nil'!D6:D1987)=TRIM('hospitalityq-nil'!D1987)))&gt;1))</f>
        <v>0</v>
      </c>
      <c r="D1987">
        <f>NOT('hospitalityq-nil'!D1987="")*(OR(COUNTIF(reference!$C$144:$C$155,TRIM(LEFT('hospitalityq-nil'!D1987,FIND(":",'hospitalityq-nil'!D1987&amp;":")-1))&amp;":*")=0,SUMPRODUCT(--(TRIM('hospitalityq-nil'!C6:C1987)=TRIM('hospitalityq-nil'!C1987)),--(TRIM('hospitalityq-nil'!D6:D1987)=TRIM('hospitalityq-nil'!D1987)))&gt;1))</f>
        <v>0</v>
      </c>
    </row>
    <row r="1988" spans="1:4" x14ac:dyDescent="0.25">
      <c r="A1988">
        <f t="shared" si="30"/>
        <v>0</v>
      </c>
      <c r="C1988">
        <f>NOT('hospitalityq-nil'!C1988="")*(OR(NOT(IFERROR(AND(INT('hospitalityq-nil'!C1988)='hospitalityq-nil'!C1988,'hospitalityq-nil'!C1988&gt;=2018-50,'hospitalityq-nil'!C1988&lt;=2018+50),FALSE)),SUMPRODUCT(--(TRIM('hospitalityq-nil'!C6:C1988)=TRIM('hospitalityq-nil'!C1988)),--(TRIM('hospitalityq-nil'!D6:D1988)=TRIM('hospitalityq-nil'!D1988)))&gt;1))</f>
        <v>0</v>
      </c>
      <c r="D1988">
        <f>NOT('hospitalityq-nil'!D1988="")*(OR(COUNTIF(reference!$C$144:$C$155,TRIM(LEFT('hospitalityq-nil'!D1988,FIND(":",'hospitalityq-nil'!D1988&amp;":")-1))&amp;":*")=0,SUMPRODUCT(--(TRIM('hospitalityq-nil'!C6:C1988)=TRIM('hospitalityq-nil'!C1988)),--(TRIM('hospitalityq-nil'!D6:D1988)=TRIM('hospitalityq-nil'!D1988)))&gt;1))</f>
        <v>0</v>
      </c>
    </row>
    <row r="1989" spans="1:4" x14ac:dyDescent="0.25">
      <c r="A1989">
        <f t="shared" si="30"/>
        <v>0</v>
      </c>
      <c r="C1989">
        <f>NOT('hospitalityq-nil'!C1989="")*(OR(NOT(IFERROR(AND(INT('hospitalityq-nil'!C1989)='hospitalityq-nil'!C1989,'hospitalityq-nil'!C1989&gt;=2018-50,'hospitalityq-nil'!C1989&lt;=2018+50),FALSE)),SUMPRODUCT(--(TRIM('hospitalityq-nil'!C6:C1989)=TRIM('hospitalityq-nil'!C1989)),--(TRIM('hospitalityq-nil'!D6:D1989)=TRIM('hospitalityq-nil'!D1989)))&gt;1))</f>
        <v>0</v>
      </c>
      <c r="D1989">
        <f>NOT('hospitalityq-nil'!D1989="")*(OR(COUNTIF(reference!$C$144:$C$155,TRIM(LEFT('hospitalityq-nil'!D1989,FIND(":",'hospitalityq-nil'!D1989&amp;":")-1))&amp;":*")=0,SUMPRODUCT(--(TRIM('hospitalityq-nil'!C6:C1989)=TRIM('hospitalityq-nil'!C1989)),--(TRIM('hospitalityq-nil'!D6:D1989)=TRIM('hospitalityq-nil'!D1989)))&gt;1))</f>
        <v>0</v>
      </c>
    </row>
    <row r="1990" spans="1:4" x14ac:dyDescent="0.25">
      <c r="A1990">
        <f t="shared" ref="A1990:A2005" si="31">IFERROR(MATCH(TRUE,INDEX(C1990:D1990&lt;&gt;0,),)+2,0)</f>
        <v>0</v>
      </c>
      <c r="C1990">
        <f>NOT('hospitalityq-nil'!C1990="")*(OR(NOT(IFERROR(AND(INT('hospitalityq-nil'!C1990)='hospitalityq-nil'!C1990,'hospitalityq-nil'!C1990&gt;=2018-50,'hospitalityq-nil'!C1990&lt;=2018+50),FALSE)),SUMPRODUCT(--(TRIM('hospitalityq-nil'!C6:C1990)=TRIM('hospitalityq-nil'!C1990)),--(TRIM('hospitalityq-nil'!D6:D1990)=TRIM('hospitalityq-nil'!D1990)))&gt;1))</f>
        <v>0</v>
      </c>
      <c r="D1990">
        <f>NOT('hospitalityq-nil'!D1990="")*(OR(COUNTIF(reference!$C$144:$C$155,TRIM(LEFT('hospitalityq-nil'!D1990,FIND(":",'hospitalityq-nil'!D1990&amp;":")-1))&amp;":*")=0,SUMPRODUCT(--(TRIM('hospitalityq-nil'!C6:C1990)=TRIM('hospitalityq-nil'!C1990)),--(TRIM('hospitalityq-nil'!D6:D1990)=TRIM('hospitalityq-nil'!D1990)))&gt;1))</f>
        <v>0</v>
      </c>
    </row>
    <row r="1991" spans="1:4" x14ac:dyDescent="0.25">
      <c r="A1991">
        <f t="shared" si="31"/>
        <v>0</v>
      </c>
      <c r="C1991">
        <f>NOT('hospitalityq-nil'!C1991="")*(OR(NOT(IFERROR(AND(INT('hospitalityq-nil'!C1991)='hospitalityq-nil'!C1991,'hospitalityq-nil'!C1991&gt;=2018-50,'hospitalityq-nil'!C1991&lt;=2018+50),FALSE)),SUMPRODUCT(--(TRIM('hospitalityq-nil'!C6:C1991)=TRIM('hospitalityq-nil'!C1991)),--(TRIM('hospitalityq-nil'!D6:D1991)=TRIM('hospitalityq-nil'!D1991)))&gt;1))</f>
        <v>0</v>
      </c>
      <c r="D1991">
        <f>NOT('hospitalityq-nil'!D1991="")*(OR(COUNTIF(reference!$C$144:$C$155,TRIM(LEFT('hospitalityq-nil'!D1991,FIND(":",'hospitalityq-nil'!D1991&amp;":")-1))&amp;":*")=0,SUMPRODUCT(--(TRIM('hospitalityq-nil'!C6:C1991)=TRIM('hospitalityq-nil'!C1991)),--(TRIM('hospitalityq-nil'!D6:D1991)=TRIM('hospitalityq-nil'!D1991)))&gt;1))</f>
        <v>0</v>
      </c>
    </row>
    <row r="1992" spans="1:4" x14ac:dyDescent="0.25">
      <c r="A1992">
        <f t="shared" si="31"/>
        <v>0</v>
      </c>
      <c r="C1992">
        <f>NOT('hospitalityq-nil'!C1992="")*(OR(NOT(IFERROR(AND(INT('hospitalityq-nil'!C1992)='hospitalityq-nil'!C1992,'hospitalityq-nil'!C1992&gt;=2018-50,'hospitalityq-nil'!C1992&lt;=2018+50),FALSE)),SUMPRODUCT(--(TRIM('hospitalityq-nil'!C6:C1992)=TRIM('hospitalityq-nil'!C1992)),--(TRIM('hospitalityq-nil'!D6:D1992)=TRIM('hospitalityq-nil'!D1992)))&gt;1))</f>
        <v>0</v>
      </c>
      <c r="D1992">
        <f>NOT('hospitalityq-nil'!D1992="")*(OR(COUNTIF(reference!$C$144:$C$155,TRIM(LEFT('hospitalityq-nil'!D1992,FIND(":",'hospitalityq-nil'!D1992&amp;":")-1))&amp;":*")=0,SUMPRODUCT(--(TRIM('hospitalityq-nil'!C6:C1992)=TRIM('hospitalityq-nil'!C1992)),--(TRIM('hospitalityq-nil'!D6:D1992)=TRIM('hospitalityq-nil'!D1992)))&gt;1))</f>
        <v>0</v>
      </c>
    </row>
    <row r="1993" spans="1:4" x14ac:dyDescent="0.25">
      <c r="A1993">
        <f t="shared" si="31"/>
        <v>0</v>
      </c>
      <c r="C1993">
        <f>NOT('hospitalityq-nil'!C1993="")*(OR(NOT(IFERROR(AND(INT('hospitalityq-nil'!C1993)='hospitalityq-nil'!C1993,'hospitalityq-nil'!C1993&gt;=2018-50,'hospitalityq-nil'!C1993&lt;=2018+50),FALSE)),SUMPRODUCT(--(TRIM('hospitalityq-nil'!C6:C1993)=TRIM('hospitalityq-nil'!C1993)),--(TRIM('hospitalityq-nil'!D6:D1993)=TRIM('hospitalityq-nil'!D1993)))&gt;1))</f>
        <v>0</v>
      </c>
      <c r="D1993">
        <f>NOT('hospitalityq-nil'!D1993="")*(OR(COUNTIF(reference!$C$144:$C$155,TRIM(LEFT('hospitalityq-nil'!D1993,FIND(":",'hospitalityq-nil'!D1993&amp;":")-1))&amp;":*")=0,SUMPRODUCT(--(TRIM('hospitalityq-nil'!C6:C1993)=TRIM('hospitalityq-nil'!C1993)),--(TRIM('hospitalityq-nil'!D6:D1993)=TRIM('hospitalityq-nil'!D1993)))&gt;1))</f>
        <v>0</v>
      </c>
    </row>
    <row r="1994" spans="1:4" x14ac:dyDescent="0.25">
      <c r="A1994">
        <f t="shared" si="31"/>
        <v>0</v>
      </c>
      <c r="C1994">
        <f>NOT('hospitalityq-nil'!C1994="")*(OR(NOT(IFERROR(AND(INT('hospitalityq-nil'!C1994)='hospitalityq-nil'!C1994,'hospitalityq-nil'!C1994&gt;=2018-50,'hospitalityq-nil'!C1994&lt;=2018+50),FALSE)),SUMPRODUCT(--(TRIM('hospitalityq-nil'!C6:C1994)=TRIM('hospitalityq-nil'!C1994)),--(TRIM('hospitalityq-nil'!D6:D1994)=TRIM('hospitalityq-nil'!D1994)))&gt;1))</f>
        <v>0</v>
      </c>
      <c r="D1994">
        <f>NOT('hospitalityq-nil'!D1994="")*(OR(COUNTIF(reference!$C$144:$C$155,TRIM(LEFT('hospitalityq-nil'!D1994,FIND(":",'hospitalityq-nil'!D1994&amp;":")-1))&amp;":*")=0,SUMPRODUCT(--(TRIM('hospitalityq-nil'!C6:C1994)=TRIM('hospitalityq-nil'!C1994)),--(TRIM('hospitalityq-nil'!D6:D1994)=TRIM('hospitalityq-nil'!D1994)))&gt;1))</f>
        <v>0</v>
      </c>
    </row>
    <row r="1995" spans="1:4" x14ac:dyDescent="0.25">
      <c r="A1995">
        <f t="shared" si="31"/>
        <v>0</v>
      </c>
      <c r="C1995">
        <f>NOT('hospitalityq-nil'!C1995="")*(OR(NOT(IFERROR(AND(INT('hospitalityq-nil'!C1995)='hospitalityq-nil'!C1995,'hospitalityq-nil'!C1995&gt;=2018-50,'hospitalityq-nil'!C1995&lt;=2018+50),FALSE)),SUMPRODUCT(--(TRIM('hospitalityq-nil'!C6:C1995)=TRIM('hospitalityq-nil'!C1995)),--(TRIM('hospitalityq-nil'!D6:D1995)=TRIM('hospitalityq-nil'!D1995)))&gt;1))</f>
        <v>0</v>
      </c>
      <c r="D1995">
        <f>NOT('hospitalityq-nil'!D1995="")*(OR(COUNTIF(reference!$C$144:$C$155,TRIM(LEFT('hospitalityq-nil'!D1995,FIND(":",'hospitalityq-nil'!D1995&amp;":")-1))&amp;":*")=0,SUMPRODUCT(--(TRIM('hospitalityq-nil'!C6:C1995)=TRIM('hospitalityq-nil'!C1995)),--(TRIM('hospitalityq-nil'!D6:D1995)=TRIM('hospitalityq-nil'!D1995)))&gt;1))</f>
        <v>0</v>
      </c>
    </row>
    <row r="1996" spans="1:4" x14ac:dyDescent="0.25">
      <c r="A1996">
        <f t="shared" si="31"/>
        <v>0</v>
      </c>
      <c r="C1996">
        <f>NOT('hospitalityq-nil'!C1996="")*(OR(NOT(IFERROR(AND(INT('hospitalityq-nil'!C1996)='hospitalityq-nil'!C1996,'hospitalityq-nil'!C1996&gt;=2018-50,'hospitalityq-nil'!C1996&lt;=2018+50),FALSE)),SUMPRODUCT(--(TRIM('hospitalityq-nil'!C6:C1996)=TRIM('hospitalityq-nil'!C1996)),--(TRIM('hospitalityq-nil'!D6:D1996)=TRIM('hospitalityq-nil'!D1996)))&gt;1))</f>
        <v>0</v>
      </c>
      <c r="D1996">
        <f>NOT('hospitalityq-nil'!D1996="")*(OR(COUNTIF(reference!$C$144:$C$155,TRIM(LEFT('hospitalityq-nil'!D1996,FIND(":",'hospitalityq-nil'!D1996&amp;":")-1))&amp;":*")=0,SUMPRODUCT(--(TRIM('hospitalityq-nil'!C6:C1996)=TRIM('hospitalityq-nil'!C1996)),--(TRIM('hospitalityq-nil'!D6:D1996)=TRIM('hospitalityq-nil'!D1996)))&gt;1))</f>
        <v>0</v>
      </c>
    </row>
    <row r="1997" spans="1:4" x14ac:dyDescent="0.25">
      <c r="A1997">
        <f t="shared" si="31"/>
        <v>0</v>
      </c>
      <c r="C1997">
        <f>NOT('hospitalityq-nil'!C1997="")*(OR(NOT(IFERROR(AND(INT('hospitalityq-nil'!C1997)='hospitalityq-nil'!C1997,'hospitalityq-nil'!C1997&gt;=2018-50,'hospitalityq-nil'!C1997&lt;=2018+50),FALSE)),SUMPRODUCT(--(TRIM('hospitalityq-nil'!C6:C1997)=TRIM('hospitalityq-nil'!C1997)),--(TRIM('hospitalityq-nil'!D6:D1997)=TRIM('hospitalityq-nil'!D1997)))&gt;1))</f>
        <v>0</v>
      </c>
      <c r="D1997">
        <f>NOT('hospitalityq-nil'!D1997="")*(OR(COUNTIF(reference!$C$144:$C$155,TRIM(LEFT('hospitalityq-nil'!D1997,FIND(":",'hospitalityq-nil'!D1997&amp;":")-1))&amp;":*")=0,SUMPRODUCT(--(TRIM('hospitalityq-nil'!C6:C1997)=TRIM('hospitalityq-nil'!C1997)),--(TRIM('hospitalityq-nil'!D6:D1997)=TRIM('hospitalityq-nil'!D1997)))&gt;1))</f>
        <v>0</v>
      </c>
    </row>
    <row r="1998" spans="1:4" x14ac:dyDescent="0.25">
      <c r="A1998">
        <f t="shared" si="31"/>
        <v>0</v>
      </c>
      <c r="C1998">
        <f>NOT('hospitalityq-nil'!C1998="")*(OR(NOT(IFERROR(AND(INT('hospitalityq-nil'!C1998)='hospitalityq-nil'!C1998,'hospitalityq-nil'!C1998&gt;=2018-50,'hospitalityq-nil'!C1998&lt;=2018+50),FALSE)),SUMPRODUCT(--(TRIM('hospitalityq-nil'!C6:C1998)=TRIM('hospitalityq-nil'!C1998)),--(TRIM('hospitalityq-nil'!D6:D1998)=TRIM('hospitalityq-nil'!D1998)))&gt;1))</f>
        <v>0</v>
      </c>
      <c r="D1998">
        <f>NOT('hospitalityq-nil'!D1998="")*(OR(COUNTIF(reference!$C$144:$C$155,TRIM(LEFT('hospitalityq-nil'!D1998,FIND(":",'hospitalityq-nil'!D1998&amp;":")-1))&amp;":*")=0,SUMPRODUCT(--(TRIM('hospitalityq-nil'!C6:C1998)=TRIM('hospitalityq-nil'!C1998)),--(TRIM('hospitalityq-nil'!D6:D1998)=TRIM('hospitalityq-nil'!D1998)))&gt;1))</f>
        <v>0</v>
      </c>
    </row>
    <row r="1999" spans="1:4" x14ac:dyDescent="0.25">
      <c r="A1999">
        <f t="shared" si="31"/>
        <v>0</v>
      </c>
      <c r="C1999">
        <f>NOT('hospitalityq-nil'!C1999="")*(OR(NOT(IFERROR(AND(INT('hospitalityq-nil'!C1999)='hospitalityq-nil'!C1999,'hospitalityq-nil'!C1999&gt;=2018-50,'hospitalityq-nil'!C1999&lt;=2018+50),FALSE)),SUMPRODUCT(--(TRIM('hospitalityq-nil'!C6:C1999)=TRIM('hospitalityq-nil'!C1999)),--(TRIM('hospitalityq-nil'!D6:D1999)=TRIM('hospitalityq-nil'!D1999)))&gt;1))</f>
        <v>0</v>
      </c>
      <c r="D1999">
        <f>NOT('hospitalityq-nil'!D1999="")*(OR(COUNTIF(reference!$C$144:$C$155,TRIM(LEFT('hospitalityq-nil'!D1999,FIND(":",'hospitalityq-nil'!D1999&amp;":")-1))&amp;":*")=0,SUMPRODUCT(--(TRIM('hospitalityq-nil'!C6:C1999)=TRIM('hospitalityq-nil'!C1999)),--(TRIM('hospitalityq-nil'!D6:D1999)=TRIM('hospitalityq-nil'!D1999)))&gt;1))</f>
        <v>0</v>
      </c>
    </row>
    <row r="2000" spans="1:4" x14ac:dyDescent="0.25">
      <c r="A2000">
        <f t="shared" si="31"/>
        <v>0</v>
      </c>
      <c r="C2000">
        <f>NOT('hospitalityq-nil'!C2000="")*(OR(NOT(IFERROR(AND(INT('hospitalityq-nil'!C2000)='hospitalityq-nil'!C2000,'hospitalityq-nil'!C2000&gt;=2018-50,'hospitalityq-nil'!C2000&lt;=2018+50),FALSE)),SUMPRODUCT(--(TRIM('hospitalityq-nil'!C6:C2000)=TRIM('hospitalityq-nil'!C2000)),--(TRIM('hospitalityq-nil'!D6:D2000)=TRIM('hospitalityq-nil'!D2000)))&gt;1))</f>
        <v>0</v>
      </c>
      <c r="D2000">
        <f>NOT('hospitalityq-nil'!D2000="")*(OR(COUNTIF(reference!$C$144:$C$155,TRIM(LEFT('hospitalityq-nil'!D2000,FIND(":",'hospitalityq-nil'!D2000&amp;":")-1))&amp;":*")=0,SUMPRODUCT(--(TRIM('hospitalityq-nil'!C6:C2000)=TRIM('hospitalityq-nil'!C2000)),--(TRIM('hospitalityq-nil'!D6:D2000)=TRIM('hospitalityq-nil'!D2000)))&gt;1))</f>
        <v>0</v>
      </c>
    </row>
    <row r="2001" spans="1:4" x14ac:dyDescent="0.25">
      <c r="A2001">
        <f t="shared" si="31"/>
        <v>0</v>
      </c>
      <c r="C2001">
        <f>NOT('hospitalityq-nil'!C2001="")*(OR(NOT(IFERROR(AND(INT('hospitalityq-nil'!C2001)='hospitalityq-nil'!C2001,'hospitalityq-nil'!C2001&gt;=2018-50,'hospitalityq-nil'!C2001&lt;=2018+50),FALSE)),SUMPRODUCT(--(TRIM('hospitalityq-nil'!C6:C2001)=TRIM('hospitalityq-nil'!C2001)),--(TRIM('hospitalityq-nil'!D6:D2001)=TRIM('hospitalityq-nil'!D2001)))&gt;1))</f>
        <v>0</v>
      </c>
      <c r="D2001">
        <f>NOT('hospitalityq-nil'!D2001="")*(OR(COUNTIF(reference!$C$144:$C$155,TRIM(LEFT('hospitalityq-nil'!D2001,FIND(":",'hospitalityq-nil'!D2001&amp;":")-1))&amp;":*")=0,SUMPRODUCT(--(TRIM('hospitalityq-nil'!C6:C2001)=TRIM('hospitalityq-nil'!C2001)),--(TRIM('hospitalityq-nil'!D6:D2001)=TRIM('hospitalityq-nil'!D2001)))&gt;1))</f>
        <v>0</v>
      </c>
    </row>
    <row r="2002" spans="1:4" x14ac:dyDescent="0.25">
      <c r="A2002">
        <f t="shared" si="31"/>
        <v>0</v>
      </c>
      <c r="C2002">
        <f>NOT('hospitalityq-nil'!C2002="")*(OR(NOT(IFERROR(AND(INT('hospitalityq-nil'!C2002)='hospitalityq-nil'!C2002,'hospitalityq-nil'!C2002&gt;=2018-50,'hospitalityq-nil'!C2002&lt;=2018+50),FALSE)),SUMPRODUCT(--(TRIM('hospitalityq-nil'!C6:C2002)=TRIM('hospitalityq-nil'!C2002)),--(TRIM('hospitalityq-nil'!D6:D2002)=TRIM('hospitalityq-nil'!D2002)))&gt;1))</f>
        <v>0</v>
      </c>
      <c r="D2002">
        <f>NOT('hospitalityq-nil'!D2002="")*(OR(COUNTIF(reference!$C$144:$C$155,TRIM(LEFT('hospitalityq-nil'!D2002,FIND(":",'hospitalityq-nil'!D2002&amp;":")-1))&amp;":*")=0,SUMPRODUCT(--(TRIM('hospitalityq-nil'!C6:C2002)=TRIM('hospitalityq-nil'!C2002)),--(TRIM('hospitalityq-nil'!D6:D2002)=TRIM('hospitalityq-nil'!D2002)))&gt;1))</f>
        <v>0</v>
      </c>
    </row>
    <row r="2003" spans="1:4" x14ac:dyDescent="0.25">
      <c r="A2003">
        <f t="shared" si="31"/>
        <v>0</v>
      </c>
      <c r="C2003">
        <f>NOT('hospitalityq-nil'!C2003="")*(OR(NOT(IFERROR(AND(INT('hospitalityq-nil'!C2003)='hospitalityq-nil'!C2003,'hospitalityq-nil'!C2003&gt;=2018-50,'hospitalityq-nil'!C2003&lt;=2018+50),FALSE)),SUMPRODUCT(--(TRIM('hospitalityq-nil'!C6:C2003)=TRIM('hospitalityq-nil'!C2003)),--(TRIM('hospitalityq-nil'!D6:D2003)=TRIM('hospitalityq-nil'!D2003)))&gt;1))</f>
        <v>0</v>
      </c>
      <c r="D2003">
        <f>NOT('hospitalityq-nil'!D2003="")*(OR(COUNTIF(reference!$C$144:$C$155,TRIM(LEFT('hospitalityq-nil'!D2003,FIND(":",'hospitalityq-nil'!D2003&amp;":")-1))&amp;":*")=0,SUMPRODUCT(--(TRIM('hospitalityq-nil'!C6:C2003)=TRIM('hospitalityq-nil'!C2003)),--(TRIM('hospitalityq-nil'!D6:D2003)=TRIM('hospitalityq-nil'!D2003)))&gt;1))</f>
        <v>0</v>
      </c>
    </row>
    <row r="2004" spans="1:4" x14ac:dyDescent="0.25">
      <c r="A2004">
        <f t="shared" si="31"/>
        <v>0</v>
      </c>
      <c r="C2004">
        <f>NOT('hospitalityq-nil'!C2004="")*(OR(NOT(IFERROR(AND(INT('hospitalityq-nil'!C2004)='hospitalityq-nil'!C2004,'hospitalityq-nil'!C2004&gt;=2018-50,'hospitalityq-nil'!C2004&lt;=2018+50),FALSE)),SUMPRODUCT(--(TRIM('hospitalityq-nil'!C6:C2004)=TRIM('hospitalityq-nil'!C2004)),--(TRIM('hospitalityq-nil'!D6:D2004)=TRIM('hospitalityq-nil'!D2004)))&gt;1))</f>
        <v>0</v>
      </c>
      <c r="D2004">
        <f>NOT('hospitalityq-nil'!D2004="")*(OR(COUNTIF(reference!$C$144:$C$155,TRIM(LEFT('hospitalityq-nil'!D2004,FIND(":",'hospitalityq-nil'!D2004&amp;":")-1))&amp;":*")=0,SUMPRODUCT(--(TRIM('hospitalityq-nil'!C6:C2004)=TRIM('hospitalityq-nil'!C2004)),--(TRIM('hospitalityq-nil'!D6:D2004)=TRIM('hospitalityq-nil'!D2004)))&gt;1))</f>
        <v>0</v>
      </c>
    </row>
    <row r="2005" spans="1:4" x14ac:dyDescent="0.25">
      <c r="A2005">
        <f t="shared" si="31"/>
        <v>0</v>
      </c>
      <c r="C2005">
        <f>NOT('hospitalityq-nil'!C2005="")*(OR(NOT(IFERROR(AND(INT('hospitalityq-nil'!C2005)='hospitalityq-nil'!C2005,'hospitalityq-nil'!C2005&gt;=2018-50,'hospitalityq-nil'!C2005&lt;=2018+50),FALSE)),SUMPRODUCT(--(TRIM('hospitalityq-nil'!C6:C2005)=TRIM('hospitalityq-nil'!C2005)),--(TRIM('hospitalityq-nil'!D6:D2005)=TRIM('hospitalityq-nil'!D2005)))&gt;1))</f>
        <v>0</v>
      </c>
      <c r="D2005">
        <f>NOT('hospitalityq-nil'!D2005="")*(OR(COUNTIF(reference!$C$144:$C$155,TRIM(LEFT('hospitalityq-nil'!D2005,FIND(":",'hospitalityq-nil'!D2005&amp;":")-1))&amp;":*")=0,SUMPRODUCT(--(TRIM('hospitalityq-nil'!C6:C2005)=TRIM('hospitalityq-nil'!C2005)),--(TRIM('hospitalityq-nil'!D6:D2005)=TRIM('hospitalityq-nil'!D2005)))&gt;1))</f>
        <v>0</v>
      </c>
    </row>
  </sheetData>
  <sheetProtection sheet="1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D2005"/>
  <sheetViews>
    <sheetView workbookViewId="0"/>
  </sheetViews>
  <sheetFormatPr defaultRowHeight="15" x14ac:dyDescent="0.25"/>
  <sheetData>
    <row r="4" spans="1:4" x14ac:dyDescent="0.25">
      <c r="C4">
        <f>IFERROR(MATCH(TRUE,INDEX(C6:C2005&lt;&gt;0,),)+5,0)</f>
        <v>0</v>
      </c>
      <c r="D4">
        <f>IFERROR(MATCH(TRUE,INDEX(D6:D2005&lt;&gt;0,),)+5,0)</f>
        <v>0</v>
      </c>
    </row>
    <row r="6" spans="1:4" x14ac:dyDescent="0.25">
      <c r="A6">
        <f t="shared" ref="A6:A69" si="0">IFERROR(MATCH(TRUE,INDEX(C6:D6&lt;&gt;0,),)+2,0)</f>
        <v>0</v>
      </c>
      <c r="B6" t="b">
        <f>SUMPRODUCT(LEN('hospitalityq-nil'!C6:D6))&gt;0</f>
        <v>0</v>
      </c>
      <c r="C6">
        <f>B6*('hospitalityq-nil'!C6="")</f>
        <v>0</v>
      </c>
      <c r="D6">
        <f>B6*('hospitalityq-nil'!D6="")</f>
        <v>0</v>
      </c>
    </row>
    <row r="7" spans="1:4" x14ac:dyDescent="0.25">
      <c r="A7">
        <f t="shared" si="0"/>
        <v>0</v>
      </c>
      <c r="B7" t="b">
        <f>SUMPRODUCT(LEN('hospitalityq-nil'!C7:D7))&gt;0</f>
        <v>0</v>
      </c>
      <c r="C7">
        <f>B7*('hospitalityq-nil'!C7="")</f>
        <v>0</v>
      </c>
      <c r="D7">
        <f>B7*('hospitalityq-nil'!D7="")</f>
        <v>0</v>
      </c>
    </row>
    <row r="8" spans="1:4" x14ac:dyDescent="0.25">
      <c r="A8">
        <f t="shared" si="0"/>
        <v>0</v>
      </c>
      <c r="B8" t="b">
        <f>SUMPRODUCT(LEN('hospitalityq-nil'!C8:D8))&gt;0</f>
        <v>0</v>
      </c>
      <c r="C8">
        <f>B8*('hospitalityq-nil'!C8="")</f>
        <v>0</v>
      </c>
      <c r="D8">
        <f>B8*('hospitalityq-nil'!D8="")</f>
        <v>0</v>
      </c>
    </row>
    <row r="9" spans="1:4" x14ac:dyDescent="0.25">
      <c r="A9">
        <f t="shared" si="0"/>
        <v>0</v>
      </c>
      <c r="B9" t="b">
        <f>SUMPRODUCT(LEN('hospitalityq-nil'!C9:D9))&gt;0</f>
        <v>0</v>
      </c>
      <c r="C9">
        <f>B9*('hospitalityq-nil'!C9="")</f>
        <v>0</v>
      </c>
      <c r="D9">
        <f>B9*('hospitalityq-nil'!D9="")</f>
        <v>0</v>
      </c>
    </row>
    <row r="10" spans="1:4" x14ac:dyDescent="0.25">
      <c r="A10">
        <f t="shared" si="0"/>
        <v>0</v>
      </c>
      <c r="B10" t="b">
        <f>SUMPRODUCT(LEN('hospitalityq-nil'!C10:D10))&gt;0</f>
        <v>0</v>
      </c>
      <c r="C10">
        <f>B10*('hospitalityq-nil'!C10="")</f>
        <v>0</v>
      </c>
      <c r="D10">
        <f>B10*('hospitalityq-nil'!D10="")</f>
        <v>0</v>
      </c>
    </row>
    <row r="11" spans="1:4" x14ac:dyDescent="0.25">
      <c r="A11">
        <f t="shared" si="0"/>
        <v>0</v>
      </c>
      <c r="B11" t="b">
        <f>SUMPRODUCT(LEN('hospitalityq-nil'!C11:D11))&gt;0</f>
        <v>0</v>
      </c>
      <c r="C11">
        <f>B11*('hospitalityq-nil'!C11="")</f>
        <v>0</v>
      </c>
      <c r="D11">
        <f>B11*('hospitalityq-nil'!D11="")</f>
        <v>0</v>
      </c>
    </row>
    <row r="12" spans="1:4" x14ac:dyDescent="0.25">
      <c r="A12">
        <f t="shared" si="0"/>
        <v>0</v>
      </c>
      <c r="B12" t="b">
        <f>SUMPRODUCT(LEN('hospitalityq-nil'!C12:D12))&gt;0</f>
        <v>0</v>
      </c>
      <c r="C12">
        <f>B12*('hospitalityq-nil'!C12="")</f>
        <v>0</v>
      </c>
      <c r="D12">
        <f>B12*('hospitalityq-nil'!D12="")</f>
        <v>0</v>
      </c>
    </row>
    <row r="13" spans="1:4" x14ac:dyDescent="0.25">
      <c r="A13">
        <f t="shared" si="0"/>
        <v>0</v>
      </c>
      <c r="B13" t="b">
        <f>SUMPRODUCT(LEN('hospitalityq-nil'!C13:D13))&gt;0</f>
        <v>0</v>
      </c>
      <c r="C13">
        <f>B13*('hospitalityq-nil'!C13="")</f>
        <v>0</v>
      </c>
      <c r="D13">
        <f>B13*('hospitalityq-nil'!D13="")</f>
        <v>0</v>
      </c>
    </row>
    <row r="14" spans="1:4" x14ac:dyDescent="0.25">
      <c r="A14">
        <f t="shared" si="0"/>
        <v>0</v>
      </c>
      <c r="B14" t="b">
        <f>SUMPRODUCT(LEN('hospitalityq-nil'!C14:D14))&gt;0</f>
        <v>0</v>
      </c>
      <c r="C14">
        <f>B14*('hospitalityq-nil'!C14="")</f>
        <v>0</v>
      </c>
      <c r="D14">
        <f>B14*('hospitalityq-nil'!D14="")</f>
        <v>0</v>
      </c>
    </row>
    <row r="15" spans="1:4" x14ac:dyDescent="0.25">
      <c r="A15">
        <f t="shared" si="0"/>
        <v>0</v>
      </c>
      <c r="B15" t="b">
        <f>SUMPRODUCT(LEN('hospitalityq-nil'!C15:D15))&gt;0</f>
        <v>0</v>
      </c>
      <c r="C15">
        <f>B15*('hospitalityq-nil'!C15="")</f>
        <v>0</v>
      </c>
      <c r="D15">
        <f>B15*('hospitalityq-nil'!D15="")</f>
        <v>0</v>
      </c>
    </row>
    <row r="16" spans="1:4" x14ac:dyDescent="0.25">
      <c r="A16">
        <f t="shared" si="0"/>
        <v>0</v>
      </c>
      <c r="B16" t="b">
        <f>SUMPRODUCT(LEN('hospitalityq-nil'!C16:D16))&gt;0</f>
        <v>0</v>
      </c>
      <c r="C16">
        <f>B16*('hospitalityq-nil'!C16="")</f>
        <v>0</v>
      </c>
      <c r="D16">
        <f>B16*('hospitalityq-nil'!D16="")</f>
        <v>0</v>
      </c>
    </row>
    <row r="17" spans="1:4" x14ac:dyDescent="0.25">
      <c r="A17">
        <f t="shared" si="0"/>
        <v>0</v>
      </c>
      <c r="B17" t="b">
        <f>SUMPRODUCT(LEN('hospitalityq-nil'!C17:D17))&gt;0</f>
        <v>0</v>
      </c>
      <c r="C17">
        <f>B17*('hospitalityq-nil'!C17="")</f>
        <v>0</v>
      </c>
      <c r="D17">
        <f>B17*('hospitalityq-nil'!D17="")</f>
        <v>0</v>
      </c>
    </row>
    <row r="18" spans="1:4" x14ac:dyDescent="0.25">
      <c r="A18">
        <f t="shared" si="0"/>
        <v>0</v>
      </c>
      <c r="B18" t="b">
        <f>SUMPRODUCT(LEN('hospitalityq-nil'!C18:D18))&gt;0</f>
        <v>0</v>
      </c>
      <c r="C18">
        <f>B18*('hospitalityq-nil'!C18="")</f>
        <v>0</v>
      </c>
      <c r="D18">
        <f>B18*('hospitalityq-nil'!D18="")</f>
        <v>0</v>
      </c>
    </row>
    <row r="19" spans="1:4" x14ac:dyDescent="0.25">
      <c r="A19">
        <f t="shared" si="0"/>
        <v>0</v>
      </c>
      <c r="B19" t="b">
        <f>SUMPRODUCT(LEN('hospitalityq-nil'!C19:D19))&gt;0</f>
        <v>0</v>
      </c>
      <c r="C19">
        <f>B19*('hospitalityq-nil'!C19="")</f>
        <v>0</v>
      </c>
      <c r="D19">
        <f>B19*('hospitalityq-nil'!D19="")</f>
        <v>0</v>
      </c>
    </row>
    <row r="20" spans="1:4" x14ac:dyDescent="0.25">
      <c r="A20">
        <f t="shared" si="0"/>
        <v>0</v>
      </c>
      <c r="B20" t="b">
        <f>SUMPRODUCT(LEN('hospitalityq-nil'!C20:D20))&gt;0</f>
        <v>0</v>
      </c>
      <c r="C20">
        <f>B20*('hospitalityq-nil'!C20="")</f>
        <v>0</v>
      </c>
      <c r="D20">
        <f>B20*('hospitalityq-nil'!D20="")</f>
        <v>0</v>
      </c>
    </row>
    <row r="21" spans="1:4" x14ac:dyDescent="0.25">
      <c r="A21">
        <f t="shared" si="0"/>
        <v>0</v>
      </c>
      <c r="B21" t="b">
        <f>SUMPRODUCT(LEN('hospitalityq-nil'!C21:D21))&gt;0</f>
        <v>0</v>
      </c>
      <c r="C21">
        <f>B21*('hospitalityq-nil'!C21="")</f>
        <v>0</v>
      </c>
      <c r="D21">
        <f>B21*('hospitalityq-nil'!D21="")</f>
        <v>0</v>
      </c>
    </row>
    <row r="22" spans="1:4" x14ac:dyDescent="0.25">
      <c r="A22">
        <f t="shared" si="0"/>
        <v>0</v>
      </c>
      <c r="B22" t="b">
        <f>SUMPRODUCT(LEN('hospitalityq-nil'!C22:D22))&gt;0</f>
        <v>0</v>
      </c>
      <c r="C22">
        <f>B22*('hospitalityq-nil'!C22="")</f>
        <v>0</v>
      </c>
      <c r="D22">
        <f>B22*('hospitalityq-nil'!D22="")</f>
        <v>0</v>
      </c>
    </row>
    <row r="23" spans="1:4" x14ac:dyDescent="0.25">
      <c r="A23">
        <f t="shared" si="0"/>
        <v>0</v>
      </c>
      <c r="B23" t="b">
        <f>SUMPRODUCT(LEN('hospitalityq-nil'!C23:D23))&gt;0</f>
        <v>0</v>
      </c>
      <c r="C23">
        <f>B23*('hospitalityq-nil'!C23="")</f>
        <v>0</v>
      </c>
      <c r="D23">
        <f>B23*('hospitalityq-nil'!D23="")</f>
        <v>0</v>
      </c>
    </row>
    <row r="24" spans="1:4" x14ac:dyDescent="0.25">
      <c r="A24">
        <f t="shared" si="0"/>
        <v>0</v>
      </c>
      <c r="B24" t="b">
        <f>SUMPRODUCT(LEN('hospitalityq-nil'!C24:D24))&gt;0</f>
        <v>0</v>
      </c>
      <c r="C24">
        <f>B24*('hospitalityq-nil'!C24="")</f>
        <v>0</v>
      </c>
      <c r="D24">
        <f>B24*('hospitalityq-nil'!D24="")</f>
        <v>0</v>
      </c>
    </row>
    <row r="25" spans="1:4" x14ac:dyDescent="0.25">
      <c r="A25">
        <f t="shared" si="0"/>
        <v>0</v>
      </c>
      <c r="B25" t="b">
        <f>SUMPRODUCT(LEN('hospitalityq-nil'!C25:D25))&gt;0</f>
        <v>0</v>
      </c>
      <c r="C25">
        <f>B25*('hospitalityq-nil'!C25="")</f>
        <v>0</v>
      </c>
      <c r="D25">
        <f>B25*('hospitalityq-nil'!D25="")</f>
        <v>0</v>
      </c>
    </row>
    <row r="26" spans="1:4" x14ac:dyDescent="0.25">
      <c r="A26">
        <f t="shared" si="0"/>
        <v>0</v>
      </c>
      <c r="B26" t="b">
        <f>SUMPRODUCT(LEN('hospitalityq-nil'!C26:D26))&gt;0</f>
        <v>0</v>
      </c>
      <c r="C26">
        <f>B26*('hospitalityq-nil'!C26="")</f>
        <v>0</v>
      </c>
      <c r="D26">
        <f>B26*('hospitalityq-nil'!D26="")</f>
        <v>0</v>
      </c>
    </row>
    <row r="27" spans="1:4" x14ac:dyDescent="0.25">
      <c r="A27">
        <f t="shared" si="0"/>
        <v>0</v>
      </c>
      <c r="B27" t="b">
        <f>SUMPRODUCT(LEN('hospitalityq-nil'!C27:D27))&gt;0</f>
        <v>0</v>
      </c>
      <c r="C27">
        <f>B27*('hospitalityq-nil'!C27="")</f>
        <v>0</v>
      </c>
      <c r="D27">
        <f>B27*('hospitalityq-nil'!D27="")</f>
        <v>0</v>
      </c>
    </row>
    <row r="28" spans="1:4" x14ac:dyDescent="0.25">
      <c r="A28">
        <f t="shared" si="0"/>
        <v>0</v>
      </c>
      <c r="B28" t="b">
        <f>SUMPRODUCT(LEN('hospitalityq-nil'!C28:D28))&gt;0</f>
        <v>0</v>
      </c>
      <c r="C28">
        <f>B28*('hospitalityq-nil'!C28="")</f>
        <v>0</v>
      </c>
      <c r="D28">
        <f>B28*('hospitalityq-nil'!D28="")</f>
        <v>0</v>
      </c>
    </row>
    <row r="29" spans="1:4" x14ac:dyDescent="0.25">
      <c r="A29">
        <f t="shared" si="0"/>
        <v>0</v>
      </c>
      <c r="B29" t="b">
        <f>SUMPRODUCT(LEN('hospitalityq-nil'!C29:D29))&gt;0</f>
        <v>0</v>
      </c>
      <c r="C29">
        <f>B29*('hospitalityq-nil'!C29="")</f>
        <v>0</v>
      </c>
      <c r="D29">
        <f>B29*('hospitalityq-nil'!D29="")</f>
        <v>0</v>
      </c>
    </row>
    <row r="30" spans="1:4" x14ac:dyDescent="0.25">
      <c r="A30">
        <f t="shared" si="0"/>
        <v>0</v>
      </c>
      <c r="B30" t="b">
        <f>SUMPRODUCT(LEN('hospitalityq-nil'!C30:D30))&gt;0</f>
        <v>0</v>
      </c>
      <c r="C30">
        <f>B30*('hospitalityq-nil'!C30="")</f>
        <v>0</v>
      </c>
      <c r="D30">
        <f>B30*('hospitalityq-nil'!D30="")</f>
        <v>0</v>
      </c>
    </row>
    <row r="31" spans="1:4" x14ac:dyDescent="0.25">
      <c r="A31">
        <f t="shared" si="0"/>
        <v>0</v>
      </c>
      <c r="B31" t="b">
        <f>SUMPRODUCT(LEN('hospitalityq-nil'!C31:D31))&gt;0</f>
        <v>0</v>
      </c>
      <c r="C31">
        <f>B31*('hospitalityq-nil'!C31="")</f>
        <v>0</v>
      </c>
      <c r="D31">
        <f>B31*('hospitalityq-nil'!D31="")</f>
        <v>0</v>
      </c>
    </row>
    <row r="32" spans="1:4" x14ac:dyDescent="0.25">
      <c r="A32">
        <f t="shared" si="0"/>
        <v>0</v>
      </c>
      <c r="B32" t="b">
        <f>SUMPRODUCT(LEN('hospitalityq-nil'!C32:D32))&gt;0</f>
        <v>0</v>
      </c>
      <c r="C32">
        <f>B32*('hospitalityq-nil'!C32="")</f>
        <v>0</v>
      </c>
      <c r="D32">
        <f>B32*('hospitalityq-nil'!D32="")</f>
        <v>0</v>
      </c>
    </row>
    <row r="33" spans="1:4" x14ac:dyDescent="0.25">
      <c r="A33">
        <f t="shared" si="0"/>
        <v>0</v>
      </c>
      <c r="B33" t="b">
        <f>SUMPRODUCT(LEN('hospitalityq-nil'!C33:D33))&gt;0</f>
        <v>0</v>
      </c>
      <c r="C33">
        <f>B33*('hospitalityq-nil'!C33="")</f>
        <v>0</v>
      </c>
      <c r="D33">
        <f>B33*('hospitalityq-nil'!D33="")</f>
        <v>0</v>
      </c>
    </row>
    <row r="34" spans="1:4" x14ac:dyDescent="0.25">
      <c r="A34">
        <f t="shared" si="0"/>
        <v>0</v>
      </c>
      <c r="B34" t="b">
        <f>SUMPRODUCT(LEN('hospitalityq-nil'!C34:D34))&gt;0</f>
        <v>0</v>
      </c>
      <c r="C34">
        <f>B34*('hospitalityq-nil'!C34="")</f>
        <v>0</v>
      </c>
      <c r="D34">
        <f>B34*('hospitalityq-nil'!D34="")</f>
        <v>0</v>
      </c>
    </row>
    <row r="35" spans="1:4" x14ac:dyDescent="0.25">
      <c r="A35">
        <f t="shared" si="0"/>
        <v>0</v>
      </c>
      <c r="B35" t="b">
        <f>SUMPRODUCT(LEN('hospitalityq-nil'!C35:D35))&gt;0</f>
        <v>0</v>
      </c>
      <c r="C35">
        <f>B35*('hospitalityq-nil'!C35="")</f>
        <v>0</v>
      </c>
      <c r="D35">
        <f>B35*('hospitalityq-nil'!D35="")</f>
        <v>0</v>
      </c>
    </row>
    <row r="36" spans="1:4" x14ac:dyDescent="0.25">
      <c r="A36">
        <f t="shared" si="0"/>
        <v>0</v>
      </c>
      <c r="B36" t="b">
        <f>SUMPRODUCT(LEN('hospitalityq-nil'!C36:D36))&gt;0</f>
        <v>0</v>
      </c>
      <c r="C36">
        <f>B36*('hospitalityq-nil'!C36="")</f>
        <v>0</v>
      </c>
      <c r="D36">
        <f>B36*('hospitalityq-nil'!D36="")</f>
        <v>0</v>
      </c>
    </row>
    <row r="37" spans="1:4" x14ac:dyDescent="0.25">
      <c r="A37">
        <f t="shared" si="0"/>
        <v>0</v>
      </c>
      <c r="B37" t="b">
        <f>SUMPRODUCT(LEN('hospitalityq-nil'!C37:D37))&gt;0</f>
        <v>0</v>
      </c>
      <c r="C37">
        <f>B37*('hospitalityq-nil'!C37="")</f>
        <v>0</v>
      </c>
      <c r="D37">
        <f>B37*('hospitalityq-nil'!D37="")</f>
        <v>0</v>
      </c>
    </row>
    <row r="38" spans="1:4" x14ac:dyDescent="0.25">
      <c r="A38">
        <f t="shared" si="0"/>
        <v>0</v>
      </c>
      <c r="B38" t="b">
        <f>SUMPRODUCT(LEN('hospitalityq-nil'!C38:D38))&gt;0</f>
        <v>0</v>
      </c>
      <c r="C38">
        <f>B38*('hospitalityq-nil'!C38="")</f>
        <v>0</v>
      </c>
      <c r="D38">
        <f>B38*('hospitalityq-nil'!D38="")</f>
        <v>0</v>
      </c>
    </row>
    <row r="39" spans="1:4" x14ac:dyDescent="0.25">
      <c r="A39">
        <f t="shared" si="0"/>
        <v>0</v>
      </c>
      <c r="B39" t="b">
        <f>SUMPRODUCT(LEN('hospitalityq-nil'!C39:D39))&gt;0</f>
        <v>0</v>
      </c>
      <c r="C39">
        <f>B39*('hospitalityq-nil'!C39="")</f>
        <v>0</v>
      </c>
      <c r="D39">
        <f>B39*('hospitalityq-nil'!D39="")</f>
        <v>0</v>
      </c>
    </row>
    <row r="40" spans="1:4" x14ac:dyDescent="0.25">
      <c r="A40">
        <f t="shared" si="0"/>
        <v>0</v>
      </c>
      <c r="B40" t="b">
        <f>SUMPRODUCT(LEN('hospitalityq-nil'!C40:D40))&gt;0</f>
        <v>0</v>
      </c>
      <c r="C40">
        <f>B40*('hospitalityq-nil'!C40="")</f>
        <v>0</v>
      </c>
      <c r="D40">
        <f>B40*('hospitalityq-nil'!D40="")</f>
        <v>0</v>
      </c>
    </row>
    <row r="41" spans="1:4" x14ac:dyDescent="0.25">
      <c r="A41">
        <f t="shared" si="0"/>
        <v>0</v>
      </c>
      <c r="B41" t="b">
        <f>SUMPRODUCT(LEN('hospitalityq-nil'!C41:D41))&gt;0</f>
        <v>0</v>
      </c>
      <c r="C41">
        <f>B41*('hospitalityq-nil'!C41="")</f>
        <v>0</v>
      </c>
      <c r="D41">
        <f>B41*('hospitalityq-nil'!D41="")</f>
        <v>0</v>
      </c>
    </row>
    <row r="42" spans="1:4" x14ac:dyDescent="0.25">
      <c r="A42">
        <f t="shared" si="0"/>
        <v>0</v>
      </c>
      <c r="B42" t="b">
        <f>SUMPRODUCT(LEN('hospitalityq-nil'!C42:D42))&gt;0</f>
        <v>0</v>
      </c>
      <c r="C42">
        <f>B42*('hospitalityq-nil'!C42="")</f>
        <v>0</v>
      </c>
      <c r="D42">
        <f>B42*('hospitalityq-nil'!D42="")</f>
        <v>0</v>
      </c>
    </row>
    <row r="43" spans="1:4" x14ac:dyDescent="0.25">
      <c r="A43">
        <f t="shared" si="0"/>
        <v>0</v>
      </c>
      <c r="B43" t="b">
        <f>SUMPRODUCT(LEN('hospitalityq-nil'!C43:D43))&gt;0</f>
        <v>0</v>
      </c>
      <c r="C43">
        <f>B43*('hospitalityq-nil'!C43="")</f>
        <v>0</v>
      </c>
      <c r="D43">
        <f>B43*('hospitalityq-nil'!D43="")</f>
        <v>0</v>
      </c>
    </row>
    <row r="44" spans="1:4" x14ac:dyDescent="0.25">
      <c r="A44">
        <f t="shared" si="0"/>
        <v>0</v>
      </c>
      <c r="B44" t="b">
        <f>SUMPRODUCT(LEN('hospitalityq-nil'!C44:D44))&gt;0</f>
        <v>0</v>
      </c>
      <c r="C44">
        <f>B44*('hospitalityq-nil'!C44="")</f>
        <v>0</v>
      </c>
      <c r="D44">
        <f>B44*('hospitalityq-nil'!D44="")</f>
        <v>0</v>
      </c>
    </row>
    <row r="45" spans="1:4" x14ac:dyDescent="0.25">
      <c r="A45">
        <f t="shared" si="0"/>
        <v>0</v>
      </c>
      <c r="B45" t="b">
        <f>SUMPRODUCT(LEN('hospitalityq-nil'!C45:D45))&gt;0</f>
        <v>0</v>
      </c>
      <c r="C45">
        <f>B45*('hospitalityq-nil'!C45="")</f>
        <v>0</v>
      </c>
      <c r="D45">
        <f>B45*('hospitalityq-nil'!D45="")</f>
        <v>0</v>
      </c>
    </row>
    <row r="46" spans="1:4" x14ac:dyDescent="0.25">
      <c r="A46">
        <f t="shared" si="0"/>
        <v>0</v>
      </c>
      <c r="B46" t="b">
        <f>SUMPRODUCT(LEN('hospitalityq-nil'!C46:D46))&gt;0</f>
        <v>0</v>
      </c>
      <c r="C46">
        <f>B46*('hospitalityq-nil'!C46="")</f>
        <v>0</v>
      </c>
      <c r="D46">
        <f>B46*('hospitalityq-nil'!D46="")</f>
        <v>0</v>
      </c>
    </row>
    <row r="47" spans="1:4" x14ac:dyDescent="0.25">
      <c r="A47">
        <f t="shared" si="0"/>
        <v>0</v>
      </c>
      <c r="B47" t="b">
        <f>SUMPRODUCT(LEN('hospitalityq-nil'!C47:D47))&gt;0</f>
        <v>0</v>
      </c>
      <c r="C47">
        <f>B47*('hospitalityq-nil'!C47="")</f>
        <v>0</v>
      </c>
      <c r="D47">
        <f>B47*('hospitalityq-nil'!D47="")</f>
        <v>0</v>
      </c>
    </row>
    <row r="48" spans="1:4" x14ac:dyDescent="0.25">
      <c r="A48">
        <f t="shared" si="0"/>
        <v>0</v>
      </c>
      <c r="B48" t="b">
        <f>SUMPRODUCT(LEN('hospitalityq-nil'!C48:D48))&gt;0</f>
        <v>0</v>
      </c>
      <c r="C48">
        <f>B48*('hospitalityq-nil'!C48="")</f>
        <v>0</v>
      </c>
      <c r="D48">
        <f>B48*('hospitalityq-nil'!D48="")</f>
        <v>0</v>
      </c>
    </row>
    <row r="49" spans="1:4" x14ac:dyDescent="0.25">
      <c r="A49">
        <f t="shared" si="0"/>
        <v>0</v>
      </c>
      <c r="B49" t="b">
        <f>SUMPRODUCT(LEN('hospitalityq-nil'!C49:D49))&gt;0</f>
        <v>0</v>
      </c>
      <c r="C49">
        <f>B49*('hospitalityq-nil'!C49="")</f>
        <v>0</v>
      </c>
      <c r="D49">
        <f>B49*('hospitalityq-nil'!D49="")</f>
        <v>0</v>
      </c>
    </row>
    <row r="50" spans="1:4" x14ac:dyDescent="0.25">
      <c r="A50">
        <f t="shared" si="0"/>
        <v>0</v>
      </c>
      <c r="B50" t="b">
        <f>SUMPRODUCT(LEN('hospitalityq-nil'!C50:D50))&gt;0</f>
        <v>0</v>
      </c>
      <c r="C50">
        <f>B50*('hospitalityq-nil'!C50="")</f>
        <v>0</v>
      </c>
      <c r="D50">
        <f>B50*('hospitalityq-nil'!D50="")</f>
        <v>0</v>
      </c>
    </row>
    <row r="51" spans="1:4" x14ac:dyDescent="0.25">
      <c r="A51">
        <f t="shared" si="0"/>
        <v>0</v>
      </c>
      <c r="B51" t="b">
        <f>SUMPRODUCT(LEN('hospitalityq-nil'!C51:D51))&gt;0</f>
        <v>0</v>
      </c>
      <c r="C51">
        <f>B51*('hospitalityq-nil'!C51="")</f>
        <v>0</v>
      </c>
      <c r="D51">
        <f>B51*('hospitalityq-nil'!D51="")</f>
        <v>0</v>
      </c>
    </row>
    <row r="52" spans="1:4" x14ac:dyDescent="0.25">
      <c r="A52">
        <f t="shared" si="0"/>
        <v>0</v>
      </c>
      <c r="B52" t="b">
        <f>SUMPRODUCT(LEN('hospitalityq-nil'!C52:D52))&gt;0</f>
        <v>0</v>
      </c>
      <c r="C52">
        <f>B52*('hospitalityq-nil'!C52="")</f>
        <v>0</v>
      </c>
      <c r="D52">
        <f>B52*('hospitalityq-nil'!D52="")</f>
        <v>0</v>
      </c>
    </row>
    <row r="53" spans="1:4" x14ac:dyDescent="0.25">
      <c r="A53">
        <f t="shared" si="0"/>
        <v>0</v>
      </c>
      <c r="B53" t="b">
        <f>SUMPRODUCT(LEN('hospitalityq-nil'!C53:D53))&gt;0</f>
        <v>0</v>
      </c>
      <c r="C53">
        <f>B53*('hospitalityq-nil'!C53="")</f>
        <v>0</v>
      </c>
      <c r="D53">
        <f>B53*('hospitalityq-nil'!D53="")</f>
        <v>0</v>
      </c>
    </row>
    <row r="54" spans="1:4" x14ac:dyDescent="0.25">
      <c r="A54">
        <f t="shared" si="0"/>
        <v>0</v>
      </c>
      <c r="B54" t="b">
        <f>SUMPRODUCT(LEN('hospitalityq-nil'!C54:D54))&gt;0</f>
        <v>0</v>
      </c>
      <c r="C54">
        <f>B54*('hospitalityq-nil'!C54="")</f>
        <v>0</v>
      </c>
      <c r="D54">
        <f>B54*('hospitalityq-nil'!D54="")</f>
        <v>0</v>
      </c>
    </row>
    <row r="55" spans="1:4" x14ac:dyDescent="0.25">
      <c r="A55">
        <f t="shared" si="0"/>
        <v>0</v>
      </c>
      <c r="B55" t="b">
        <f>SUMPRODUCT(LEN('hospitalityq-nil'!C55:D55))&gt;0</f>
        <v>0</v>
      </c>
      <c r="C55">
        <f>B55*('hospitalityq-nil'!C55="")</f>
        <v>0</v>
      </c>
      <c r="D55">
        <f>B55*('hospitalityq-nil'!D55="")</f>
        <v>0</v>
      </c>
    </row>
    <row r="56" spans="1:4" x14ac:dyDescent="0.25">
      <c r="A56">
        <f t="shared" si="0"/>
        <v>0</v>
      </c>
      <c r="B56" t="b">
        <f>SUMPRODUCT(LEN('hospitalityq-nil'!C56:D56))&gt;0</f>
        <v>0</v>
      </c>
      <c r="C56">
        <f>B56*('hospitalityq-nil'!C56="")</f>
        <v>0</v>
      </c>
      <c r="D56">
        <f>B56*('hospitalityq-nil'!D56="")</f>
        <v>0</v>
      </c>
    </row>
    <row r="57" spans="1:4" x14ac:dyDescent="0.25">
      <c r="A57">
        <f t="shared" si="0"/>
        <v>0</v>
      </c>
      <c r="B57" t="b">
        <f>SUMPRODUCT(LEN('hospitalityq-nil'!C57:D57))&gt;0</f>
        <v>0</v>
      </c>
      <c r="C57">
        <f>B57*('hospitalityq-nil'!C57="")</f>
        <v>0</v>
      </c>
      <c r="D57">
        <f>B57*('hospitalityq-nil'!D57="")</f>
        <v>0</v>
      </c>
    </row>
    <row r="58" spans="1:4" x14ac:dyDescent="0.25">
      <c r="A58">
        <f t="shared" si="0"/>
        <v>0</v>
      </c>
      <c r="B58" t="b">
        <f>SUMPRODUCT(LEN('hospitalityq-nil'!C58:D58))&gt;0</f>
        <v>0</v>
      </c>
      <c r="C58">
        <f>B58*('hospitalityq-nil'!C58="")</f>
        <v>0</v>
      </c>
      <c r="D58">
        <f>B58*('hospitalityq-nil'!D58="")</f>
        <v>0</v>
      </c>
    </row>
    <row r="59" spans="1:4" x14ac:dyDescent="0.25">
      <c r="A59">
        <f t="shared" si="0"/>
        <v>0</v>
      </c>
      <c r="B59" t="b">
        <f>SUMPRODUCT(LEN('hospitalityq-nil'!C59:D59))&gt;0</f>
        <v>0</v>
      </c>
      <c r="C59">
        <f>B59*('hospitalityq-nil'!C59="")</f>
        <v>0</v>
      </c>
      <c r="D59">
        <f>B59*('hospitalityq-nil'!D59="")</f>
        <v>0</v>
      </c>
    </row>
    <row r="60" spans="1:4" x14ac:dyDescent="0.25">
      <c r="A60">
        <f t="shared" si="0"/>
        <v>0</v>
      </c>
      <c r="B60" t="b">
        <f>SUMPRODUCT(LEN('hospitalityq-nil'!C60:D60))&gt;0</f>
        <v>0</v>
      </c>
      <c r="C60">
        <f>B60*('hospitalityq-nil'!C60="")</f>
        <v>0</v>
      </c>
      <c r="D60">
        <f>B60*('hospitalityq-nil'!D60="")</f>
        <v>0</v>
      </c>
    </row>
    <row r="61" spans="1:4" x14ac:dyDescent="0.25">
      <c r="A61">
        <f t="shared" si="0"/>
        <v>0</v>
      </c>
      <c r="B61" t="b">
        <f>SUMPRODUCT(LEN('hospitalityq-nil'!C61:D61))&gt;0</f>
        <v>0</v>
      </c>
      <c r="C61">
        <f>B61*('hospitalityq-nil'!C61="")</f>
        <v>0</v>
      </c>
      <c r="D61">
        <f>B61*('hospitalityq-nil'!D61="")</f>
        <v>0</v>
      </c>
    </row>
    <row r="62" spans="1:4" x14ac:dyDescent="0.25">
      <c r="A62">
        <f t="shared" si="0"/>
        <v>0</v>
      </c>
      <c r="B62" t="b">
        <f>SUMPRODUCT(LEN('hospitalityq-nil'!C62:D62))&gt;0</f>
        <v>0</v>
      </c>
      <c r="C62">
        <f>B62*('hospitalityq-nil'!C62="")</f>
        <v>0</v>
      </c>
      <c r="D62">
        <f>B62*('hospitalityq-nil'!D62="")</f>
        <v>0</v>
      </c>
    </row>
    <row r="63" spans="1:4" x14ac:dyDescent="0.25">
      <c r="A63">
        <f t="shared" si="0"/>
        <v>0</v>
      </c>
      <c r="B63" t="b">
        <f>SUMPRODUCT(LEN('hospitalityq-nil'!C63:D63))&gt;0</f>
        <v>0</v>
      </c>
      <c r="C63">
        <f>B63*('hospitalityq-nil'!C63="")</f>
        <v>0</v>
      </c>
      <c r="D63">
        <f>B63*('hospitalityq-nil'!D63="")</f>
        <v>0</v>
      </c>
    </row>
    <row r="64" spans="1:4" x14ac:dyDescent="0.25">
      <c r="A64">
        <f t="shared" si="0"/>
        <v>0</v>
      </c>
      <c r="B64" t="b">
        <f>SUMPRODUCT(LEN('hospitalityq-nil'!C64:D64))&gt;0</f>
        <v>0</v>
      </c>
      <c r="C64">
        <f>B64*('hospitalityq-nil'!C64="")</f>
        <v>0</v>
      </c>
      <c r="D64">
        <f>B64*('hospitalityq-nil'!D64="")</f>
        <v>0</v>
      </c>
    </row>
    <row r="65" spans="1:4" x14ac:dyDescent="0.25">
      <c r="A65">
        <f t="shared" si="0"/>
        <v>0</v>
      </c>
      <c r="B65" t="b">
        <f>SUMPRODUCT(LEN('hospitalityq-nil'!C65:D65))&gt;0</f>
        <v>0</v>
      </c>
      <c r="C65">
        <f>B65*('hospitalityq-nil'!C65="")</f>
        <v>0</v>
      </c>
      <c r="D65">
        <f>B65*('hospitalityq-nil'!D65="")</f>
        <v>0</v>
      </c>
    </row>
    <row r="66" spans="1:4" x14ac:dyDescent="0.25">
      <c r="A66">
        <f t="shared" si="0"/>
        <v>0</v>
      </c>
      <c r="B66" t="b">
        <f>SUMPRODUCT(LEN('hospitalityq-nil'!C66:D66))&gt;0</f>
        <v>0</v>
      </c>
      <c r="C66">
        <f>B66*('hospitalityq-nil'!C66="")</f>
        <v>0</v>
      </c>
      <c r="D66">
        <f>B66*('hospitalityq-nil'!D66="")</f>
        <v>0</v>
      </c>
    </row>
    <row r="67" spans="1:4" x14ac:dyDescent="0.25">
      <c r="A67">
        <f t="shared" si="0"/>
        <v>0</v>
      </c>
      <c r="B67" t="b">
        <f>SUMPRODUCT(LEN('hospitalityq-nil'!C67:D67))&gt;0</f>
        <v>0</v>
      </c>
      <c r="C67">
        <f>B67*('hospitalityq-nil'!C67="")</f>
        <v>0</v>
      </c>
      <c r="D67">
        <f>B67*('hospitalityq-nil'!D67="")</f>
        <v>0</v>
      </c>
    </row>
    <row r="68" spans="1:4" x14ac:dyDescent="0.25">
      <c r="A68">
        <f t="shared" si="0"/>
        <v>0</v>
      </c>
      <c r="B68" t="b">
        <f>SUMPRODUCT(LEN('hospitalityq-nil'!C68:D68))&gt;0</f>
        <v>0</v>
      </c>
      <c r="C68">
        <f>B68*('hospitalityq-nil'!C68="")</f>
        <v>0</v>
      </c>
      <c r="D68">
        <f>B68*('hospitalityq-nil'!D68="")</f>
        <v>0</v>
      </c>
    </row>
    <row r="69" spans="1:4" x14ac:dyDescent="0.25">
      <c r="A69">
        <f t="shared" si="0"/>
        <v>0</v>
      </c>
      <c r="B69" t="b">
        <f>SUMPRODUCT(LEN('hospitalityq-nil'!C69:D69))&gt;0</f>
        <v>0</v>
      </c>
      <c r="C69">
        <f>B69*('hospitalityq-nil'!C69="")</f>
        <v>0</v>
      </c>
      <c r="D69">
        <f>B69*('hospitalityq-nil'!D69="")</f>
        <v>0</v>
      </c>
    </row>
    <row r="70" spans="1:4" x14ac:dyDescent="0.25">
      <c r="A70">
        <f t="shared" ref="A70:A133" si="1">IFERROR(MATCH(TRUE,INDEX(C70:D70&lt;&gt;0,),)+2,0)</f>
        <v>0</v>
      </c>
      <c r="B70" t="b">
        <f>SUMPRODUCT(LEN('hospitalityq-nil'!C70:D70))&gt;0</f>
        <v>0</v>
      </c>
      <c r="C70">
        <f>B70*('hospitalityq-nil'!C70="")</f>
        <v>0</v>
      </c>
      <c r="D70">
        <f>B70*('hospitalityq-nil'!D70="")</f>
        <v>0</v>
      </c>
    </row>
    <row r="71" spans="1:4" x14ac:dyDescent="0.25">
      <c r="A71">
        <f t="shared" si="1"/>
        <v>0</v>
      </c>
      <c r="B71" t="b">
        <f>SUMPRODUCT(LEN('hospitalityq-nil'!C71:D71))&gt;0</f>
        <v>0</v>
      </c>
      <c r="C71">
        <f>B71*('hospitalityq-nil'!C71="")</f>
        <v>0</v>
      </c>
      <c r="D71">
        <f>B71*('hospitalityq-nil'!D71="")</f>
        <v>0</v>
      </c>
    </row>
    <row r="72" spans="1:4" x14ac:dyDescent="0.25">
      <c r="A72">
        <f t="shared" si="1"/>
        <v>0</v>
      </c>
      <c r="B72" t="b">
        <f>SUMPRODUCT(LEN('hospitalityq-nil'!C72:D72))&gt;0</f>
        <v>0</v>
      </c>
      <c r="C72">
        <f>B72*('hospitalityq-nil'!C72="")</f>
        <v>0</v>
      </c>
      <c r="D72">
        <f>B72*('hospitalityq-nil'!D72="")</f>
        <v>0</v>
      </c>
    </row>
    <row r="73" spans="1:4" x14ac:dyDescent="0.25">
      <c r="A73">
        <f t="shared" si="1"/>
        <v>0</v>
      </c>
      <c r="B73" t="b">
        <f>SUMPRODUCT(LEN('hospitalityq-nil'!C73:D73))&gt;0</f>
        <v>0</v>
      </c>
      <c r="C73">
        <f>B73*('hospitalityq-nil'!C73="")</f>
        <v>0</v>
      </c>
      <c r="D73">
        <f>B73*('hospitalityq-nil'!D73="")</f>
        <v>0</v>
      </c>
    </row>
    <row r="74" spans="1:4" x14ac:dyDescent="0.25">
      <c r="A74">
        <f t="shared" si="1"/>
        <v>0</v>
      </c>
      <c r="B74" t="b">
        <f>SUMPRODUCT(LEN('hospitalityq-nil'!C74:D74))&gt;0</f>
        <v>0</v>
      </c>
      <c r="C74">
        <f>B74*('hospitalityq-nil'!C74="")</f>
        <v>0</v>
      </c>
      <c r="D74">
        <f>B74*('hospitalityq-nil'!D74="")</f>
        <v>0</v>
      </c>
    </row>
    <row r="75" spans="1:4" x14ac:dyDescent="0.25">
      <c r="A75">
        <f t="shared" si="1"/>
        <v>0</v>
      </c>
      <c r="B75" t="b">
        <f>SUMPRODUCT(LEN('hospitalityq-nil'!C75:D75))&gt;0</f>
        <v>0</v>
      </c>
      <c r="C75">
        <f>B75*('hospitalityq-nil'!C75="")</f>
        <v>0</v>
      </c>
      <c r="D75">
        <f>B75*('hospitalityq-nil'!D75="")</f>
        <v>0</v>
      </c>
    </row>
    <row r="76" spans="1:4" x14ac:dyDescent="0.25">
      <c r="A76">
        <f t="shared" si="1"/>
        <v>0</v>
      </c>
      <c r="B76" t="b">
        <f>SUMPRODUCT(LEN('hospitalityq-nil'!C76:D76))&gt;0</f>
        <v>0</v>
      </c>
      <c r="C76">
        <f>B76*('hospitalityq-nil'!C76="")</f>
        <v>0</v>
      </c>
      <c r="D76">
        <f>B76*('hospitalityq-nil'!D76="")</f>
        <v>0</v>
      </c>
    </row>
    <row r="77" spans="1:4" x14ac:dyDescent="0.25">
      <c r="A77">
        <f t="shared" si="1"/>
        <v>0</v>
      </c>
      <c r="B77" t="b">
        <f>SUMPRODUCT(LEN('hospitalityq-nil'!C77:D77))&gt;0</f>
        <v>0</v>
      </c>
      <c r="C77">
        <f>B77*('hospitalityq-nil'!C77="")</f>
        <v>0</v>
      </c>
      <c r="D77">
        <f>B77*('hospitalityq-nil'!D77="")</f>
        <v>0</v>
      </c>
    </row>
    <row r="78" spans="1:4" x14ac:dyDescent="0.25">
      <c r="A78">
        <f t="shared" si="1"/>
        <v>0</v>
      </c>
      <c r="B78" t="b">
        <f>SUMPRODUCT(LEN('hospitalityq-nil'!C78:D78))&gt;0</f>
        <v>0</v>
      </c>
      <c r="C78">
        <f>B78*('hospitalityq-nil'!C78="")</f>
        <v>0</v>
      </c>
      <c r="D78">
        <f>B78*('hospitalityq-nil'!D78="")</f>
        <v>0</v>
      </c>
    </row>
    <row r="79" spans="1:4" x14ac:dyDescent="0.25">
      <c r="A79">
        <f t="shared" si="1"/>
        <v>0</v>
      </c>
      <c r="B79" t="b">
        <f>SUMPRODUCT(LEN('hospitalityq-nil'!C79:D79))&gt;0</f>
        <v>0</v>
      </c>
      <c r="C79">
        <f>B79*('hospitalityq-nil'!C79="")</f>
        <v>0</v>
      </c>
      <c r="D79">
        <f>B79*('hospitalityq-nil'!D79="")</f>
        <v>0</v>
      </c>
    </row>
    <row r="80" spans="1:4" x14ac:dyDescent="0.25">
      <c r="A80">
        <f t="shared" si="1"/>
        <v>0</v>
      </c>
      <c r="B80" t="b">
        <f>SUMPRODUCT(LEN('hospitalityq-nil'!C80:D80))&gt;0</f>
        <v>0</v>
      </c>
      <c r="C80">
        <f>B80*('hospitalityq-nil'!C80="")</f>
        <v>0</v>
      </c>
      <c r="D80">
        <f>B80*('hospitalityq-nil'!D80="")</f>
        <v>0</v>
      </c>
    </row>
    <row r="81" spans="1:4" x14ac:dyDescent="0.25">
      <c r="A81">
        <f t="shared" si="1"/>
        <v>0</v>
      </c>
      <c r="B81" t="b">
        <f>SUMPRODUCT(LEN('hospitalityq-nil'!C81:D81))&gt;0</f>
        <v>0</v>
      </c>
      <c r="C81">
        <f>B81*('hospitalityq-nil'!C81="")</f>
        <v>0</v>
      </c>
      <c r="D81">
        <f>B81*('hospitalityq-nil'!D81="")</f>
        <v>0</v>
      </c>
    </row>
    <row r="82" spans="1:4" x14ac:dyDescent="0.25">
      <c r="A82">
        <f t="shared" si="1"/>
        <v>0</v>
      </c>
      <c r="B82" t="b">
        <f>SUMPRODUCT(LEN('hospitalityq-nil'!C82:D82))&gt;0</f>
        <v>0</v>
      </c>
      <c r="C82">
        <f>B82*('hospitalityq-nil'!C82="")</f>
        <v>0</v>
      </c>
      <c r="D82">
        <f>B82*('hospitalityq-nil'!D82="")</f>
        <v>0</v>
      </c>
    </row>
    <row r="83" spans="1:4" x14ac:dyDescent="0.25">
      <c r="A83">
        <f t="shared" si="1"/>
        <v>0</v>
      </c>
      <c r="B83" t="b">
        <f>SUMPRODUCT(LEN('hospitalityq-nil'!C83:D83))&gt;0</f>
        <v>0</v>
      </c>
      <c r="C83">
        <f>B83*('hospitalityq-nil'!C83="")</f>
        <v>0</v>
      </c>
      <c r="D83">
        <f>B83*('hospitalityq-nil'!D83="")</f>
        <v>0</v>
      </c>
    </row>
    <row r="84" spans="1:4" x14ac:dyDescent="0.25">
      <c r="A84">
        <f t="shared" si="1"/>
        <v>0</v>
      </c>
      <c r="B84" t="b">
        <f>SUMPRODUCT(LEN('hospitalityq-nil'!C84:D84))&gt;0</f>
        <v>0</v>
      </c>
      <c r="C84">
        <f>B84*('hospitalityq-nil'!C84="")</f>
        <v>0</v>
      </c>
      <c r="D84">
        <f>B84*('hospitalityq-nil'!D84="")</f>
        <v>0</v>
      </c>
    </row>
    <row r="85" spans="1:4" x14ac:dyDescent="0.25">
      <c r="A85">
        <f t="shared" si="1"/>
        <v>0</v>
      </c>
      <c r="B85" t="b">
        <f>SUMPRODUCT(LEN('hospitalityq-nil'!C85:D85))&gt;0</f>
        <v>0</v>
      </c>
      <c r="C85">
        <f>B85*('hospitalityq-nil'!C85="")</f>
        <v>0</v>
      </c>
      <c r="D85">
        <f>B85*('hospitalityq-nil'!D85="")</f>
        <v>0</v>
      </c>
    </row>
    <row r="86" spans="1:4" x14ac:dyDescent="0.25">
      <c r="A86">
        <f t="shared" si="1"/>
        <v>0</v>
      </c>
      <c r="B86" t="b">
        <f>SUMPRODUCT(LEN('hospitalityq-nil'!C86:D86))&gt;0</f>
        <v>0</v>
      </c>
      <c r="C86">
        <f>B86*('hospitalityq-nil'!C86="")</f>
        <v>0</v>
      </c>
      <c r="D86">
        <f>B86*('hospitalityq-nil'!D86="")</f>
        <v>0</v>
      </c>
    </row>
    <row r="87" spans="1:4" x14ac:dyDescent="0.25">
      <c r="A87">
        <f t="shared" si="1"/>
        <v>0</v>
      </c>
      <c r="B87" t="b">
        <f>SUMPRODUCT(LEN('hospitalityq-nil'!C87:D87))&gt;0</f>
        <v>0</v>
      </c>
      <c r="C87">
        <f>B87*('hospitalityq-nil'!C87="")</f>
        <v>0</v>
      </c>
      <c r="D87">
        <f>B87*('hospitalityq-nil'!D87="")</f>
        <v>0</v>
      </c>
    </row>
    <row r="88" spans="1:4" x14ac:dyDescent="0.25">
      <c r="A88">
        <f t="shared" si="1"/>
        <v>0</v>
      </c>
      <c r="B88" t="b">
        <f>SUMPRODUCT(LEN('hospitalityq-nil'!C88:D88))&gt;0</f>
        <v>0</v>
      </c>
      <c r="C88">
        <f>B88*('hospitalityq-nil'!C88="")</f>
        <v>0</v>
      </c>
      <c r="D88">
        <f>B88*('hospitalityq-nil'!D88="")</f>
        <v>0</v>
      </c>
    </row>
    <row r="89" spans="1:4" x14ac:dyDescent="0.25">
      <c r="A89">
        <f t="shared" si="1"/>
        <v>0</v>
      </c>
      <c r="B89" t="b">
        <f>SUMPRODUCT(LEN('hospitalityq-nil'!C89:D89))&gt;0</f>
        <v>0</v>
      </c>
      <c r="C89">
        <f>B89*('hospitalityq-nil'!C89="")</f>
        <v>0</v>
      </c>
      <c r="D89">
        <f>B89*('hospitalityq-nil'!D89="")</f>
        <v>0</v>
      </c>
    </row>
    <row r="90" spans="1:4" x14ac:dyDescent="0.25">
      <c r="A90">
        <f t="shared" si="1"/>
        <v>0</v>
      </c>
      <c r="B90" t="b">
        <f>SUMPRODUCT(LEN('hospitalityq-nil'!C90:D90))&gt;0</f>
        <v>0</v>
      </c>
      <c r="C90">
        <f>B90*('hospitalityq-nil'!C90="")</f>
        <v>0</v>
      </c>
      <c r="D90">
        <f>B90*('hospitalityq-nil'!D90="")</f>
        <v>0</v>
      </c>
    </row>
    <row r="91" spans="1:4" x14ac:dyDescent="0.25">
      <c r="A91">
        <f t="shared" si="1"/>
        <v>0</v>
      </c>
      <c r="B91" t="b">
        <f>SUMPRODUCT(LEN('hospitalityq-nil'!C91:D91))&gt;0</f>
        <v>0</v>
      </c>
      <c r="C91">
        <f>B91*('hospitalityq-nil'!C91="")</f>
        <v>0</v>
      </c>
      <c r="D91">
        <f>B91*('hospitalityq-nil'!D91="")</f>
        <v>0</v>
      </c>
    </row>
    <row r="92" spans="1:4" x14ac:dyDescent="0.25">
      <c r="A92">
        <f t="shared" si="1"/>
        <v>0</v>
      </c>
      <c r="B92" t="b">
        <f>SUMPRODUCT(LEN('hospitalityq-nil'!C92:D92))&gt;0</f>
        <v>0</v>
      </c>
      <c r="C92">
        <f>B92*('hospitalityq-nil'!C92="")</f>
        <v>0</v>
      </c>
      <c r="D92">
        <f>B92*('hospitalityq-nil'!D92="")</f>
        <v>0</v>
      </c>
    </row>
    <row r="93" spans="1:4" x14ac:dyDescent="0.25">
      <c r="A93">
        <f t="shared" si="1"/>
        <v>0</v>
      </c>
      <c r="B93" t="b">
        <f>SUMPRODUCT(LEN('hospitalityq-nil'!C93:D93))&gt;0</f>
        <v>0</v>
      </c>
      <c r="C93">
        <f>B93*('hospitalityq-nil'!C93="")</f>
        <v>0</v>
      </c>
      <c r="D93">
        <f>B93*('hospitalityq-nil'!D93="")</f>
        <v>0</v>
      </c>
    </row>
    <row r="94" spans="1:4" x14ac:dyDescent="0.25">
      <c r="A94">
        <f t="shared" si="1"/>
        <v>0</v>
      </c>
      <c r="B94" t="b">
        <f>SUMPRODUCT(LEN('hospitalityq-nil'!C94:D94))&gt;0</f>
        <v>0</v>
      </c>
      <c r="C94">
        <f>B94*('hospitalityq-nil'!C94="")</f>
        <v>0</v>
      </c>
      <c r="D94">
        <f>B94*('hospitalityq-nil'!D94="")</f>
        <v>0</v>
      </c>
    </row>
    <row r="95" spans="1:4" x14ac:dyDescent="0.25">
      <c r="A95">
        <f t="shared" si="1"/>
        <v>0</v>
      </c>
      <c r="B95" t="b">
        <f>SUMPRODUCT(LEN('hospitalityq-nil'!C95:D95))&gt;0</f>
        <v>0</v>
      </c>
      <c r="C95">
        <f>B95*('hospitalityq-nil'!C95="")</f>
        <v>0</v>
      </c>
      <c r="D95">
        <f>B95*('hospitalityq-nil'!D95="")</f>
        <v>0</v>
      </c>
    </row>
    <row r="96" spans="1:4" x14ac:dyDescent="0.25">
      <c r="A96">
        <f t="shared" si="1"/>
        <v>0</v>
      </c>
      <c r="B96" t="b">
        <f>SUMPRODUCT(LEN('hospitalityq-nil'!C96:D96))&gt;0</f>
        <v>0</v>
      </c>
      <c r="C96">
        <f>B96*('hospitalityq-nil'!C96="")</f>
        <v>0</v>
      </c>
      <c r="D96">
        <f>B96*('hospitalityq-nil'!D96="")</f>
        <v>0</v>
      </c>
    </row>
    <row r="97" spans="1:4" x14ac:dyDescent="0.25">
      <c r="A97">
        <f t="shared" si="1"/>
        <v>0</v>
      </c>
      <c r="B97" t="b">
        <f>SUMPRODUCT(LEN('hospitalityq-nil'!C97:D97))&gt;0</f>
        <v>0</v>
      </c>
      <c r="C97">
        <f>B97*('hospitalityq-nil'!C97="")</f>
        <v>0</v>
      </c>
      <c r="D97">
        <f>B97*('hospitalityq-nil'!D97="")</f>
        <v>0</v>
      </c>
    </row>
    <row r="98" spans="1:4" x14ac:dyDescent="0.25">
      <c r="A98">
        <f t="shared" si="1"/>
        <v>0</v>
      </c>
      <c r="B98" t="b">
        <f>SUMPRODUCT(LEN('hospitalityq-nil'!C98:D98))&gt;0</f>
        <v>0</v>
      </c>
      <c r="C98">
        <f>B98*('hospitalityq-nil'!C98="")</f>
        <v>0</v>
      </c>
      <c r="D98">
        <f>B98*('hospitalityq-nil'!D98="")</f>
        <v>0</v>
      </c>
    </row>
    <row r="99" spans="1:4" x14ac:dyDescent="0.25">
      <c r="A99">
        <f t="shared" si="1"/>
        <v>0</v>
      </c>
      <c r="B99" t="b">
        <f>SUMPRODUCT(LEN('hospitalityq-nil'!C99:D99))&gt;0</f>
        <v>0</v>
      </c>
      <c r="C99">
        <f>B99*('hospitalityq-nil'!C99="")</f>
        <v>0</v>
      </c>
      <c r="D99">
        <f>B99*('hospitalityq-nil'!D99="")</f>
        <v>0</v>
      </c>
    </row>
    <row r="100" spans="1:4" x14ac:dyDescent="0.25">
      <c r="A100">
        <f t="shared" si="1"/>
        <v>0</v>
      </c>
      <c r="B100" t="b">
        <f>SUMPRODUCT(LEN('hospitalityq-nil'!C100:D100))&gt;0</f>
        <v>0</v>
      </c>
      <c r="C100">
        <f>B100*('hospitalityq-nil'!C100="")</f>
        <v>0</v>
      </c>
      <c r="D100">
        <f>B100*('hospitalityq-nil'!D100="")</f>
        <v>0</v>
      </c>
    </row>
    <row r="101" spans="1:4" x14ac:dyDescent="0.25">
      <c r="A101">
        <f t="shared" si="1"/>
        <v>0</v>
      </c>
      <c r="B101" t="b">
        <f>SUMPRODUCT(LEN('hospitalityq-nil'!C101:D101))&gt;0</f>
        <v>0</v>
      </c>
      <c r="C101">
        <f>B101*('hospitalityq-nil'!C101="")</f>
        <v>0</v>
      </c>
      <c r="D101">
        <f>B101*('hospitalityq-nil'!D101="")</f>
        <v>0</v>
      </c>
    </row>
    <row r="102" spans="1:4" x14ac:dyDescent="0.25">
      <c r="A102">
        <f t="shared" si="1"/>
        <v>0</v>
      </c>
      <c r="B102" t="b">
        <f>SUMPRODUCT(LEN('hospitalityq-nil'!C102:D102))&gt;0</f>
        <v>0</v>
      </c>
      <c r="C102">
        <f>B102*('hospitalityq-nil'!C102="")</f>
        <v>0</v>
      </c>
      <c r="D102">
        <f>B102*('hospitalityq-nil'!D102="")</f>
        <v>0</v>
      </c>
    </row>
    <row r="103" spans="1:4" x14ac:dyDescent="0.25">
      <c r="A103">
        <f t="shared" si="1"/>
        <v>0</v>
      </c>
      <c r="B103" t="b">
        <f>SUMPRODUCT(LEN('hospitalityq-nil'!C103:D103))&gt;0</f>
        <v>0</v>
      </c>
      <c r="C103">
        <f>B103*('hospitalityq-nil'!C103="")</f>
        <v>0</v>
      </c>
      <c r="D103">
        <f>B103*('hospitalityq-nil'!D103="")</f>
        <v>0</v>
      </c>
    </row>
    <row r="104" spans="1:4" x14ac:dyDescent="0.25">
      <c r="A104">
        <f t="shared" si="1"/>
        <v>0</v>
      </c>
      <c r="B104" t="b">
        <f>SUMPRODUCT(LEN('hospitalityq-nil'!C104:D104))&gt;0</f>
        <v>0</v>
      </c>
      <c r="C104">
        <f>B104*('hospitalityq-nil'!C104="")</f>
        <v>0</v>
      </c>
      <c r="D104">
        <f>B104*('hospitalityq-nil'!D104="")</f>
        <v>0</v>
      </c>
    </row>
    <row r="105" spans="1:4" x14ac:dyDescent="0.25">
      <c r="A105">
        <f t="shared" si="1"/>
        <v>0</v>
      </c>
      <c r="B105" t="b">
        <f>SUMPRODUCT(LEN('hospitalityq-nil'!C105:D105))&gt;0</f>
        <v>0</v>
      </c>
      <c r="C105">
        <f>B105*('hospitalityq-nil'!C105="")</f>
        <v>0</v>
      </c>
      <c r="D105">
        <f>B105*('hospitalityq-nil'!D105="")</f>
        <v>0</v>
      </c>
    </row>
    <row r="106" spans="1:4" x14ac:dyDescent="0.25">
      <c r="A106">
        <f t="shared" si="1"/>
        <v>0</v>
      </c>
      <c r="B106" t="b">
        <f>SUMPRODUCT(LEN('hospitalityq-nil'!C106:D106))&gt;0</f>
        <v>0</v>
      </c>
      <c r="C106">
        <f>B106*('hospitalityq-nil'!C106="")</f>
        <v>0</v>
      </c>
      <c r="D106">
        <f>B106*('hospitalityq-nil'!D106="")</f>
        <v>0</v>
      </c>
    </row>
    <row r="107" spans="1:4" x14ac:dyDescent="0.25">
      <c r="A107">
        <f t="shared" si="1"/>
        <v>0</v>
      </c>
      <c r="B107" t="b">
        <f>SUMPRODUCT(LEN('hospitalityq-nil'!C107:D107))&gt;0</f>
        <v>0</v>
      </c>
      <c r="C107">
        <f>B107*('hospitalityq-nil'!C107="")</f>
        <v>0</v>
      </c>
      <c r="D107">
        <f>B107*('hospitalityq-nil'!D107="")</f>
        <v>0</v>
      </c>
    </row>
    <row r="108" spans="1:4" x14ac:dyDescent="0.25">
      <c r="A108">
        <f t="shared" si="1"/>
        <v>0</v>
      </c>
      <c r="B108" t="b">
        <f>SUMPRODUCT(LEN('hospitalityq-nil'!C108:D108))&gt;0</f>
        <v>0</v>
      </c>
      <c r="C108">
        <f>B108*('hospitalityq-nil'!C108="")</f>
        <v>0</v>
      </c>
      <c r="D108">
        <f>B108*('hospitalityq-nil'!D108="")</f>
        <v>0</v>
      </c>
    </row>
    <row r="109" spans="1:4" x14ac:dyDescent="0.25">
      <c r="A109">
        <f t="shared" si="1"/>
        <v>0</v>
      </c>
      <c r="B109" t="b">
        <f>SUMPRODUCT(LEN('hospitalityq-nil'!C109:D109))&gt;0</f>
        <v>0</v>
      </c>
      <c r="C109">
        <f>B109*('hospitalityq-nil'!C109="")</f>
        <v>0</v>
      </c>
      <c r="D109">
        <f>B109*('hospitalityq-nil'!D109="")</f>
        <v>0</v>
      </c>
    </row>
    <row r="110" spans="1:4" x14ac:dyDescent="0.25">
      <c r="A110">
        <f t="shared" si="1"/>
        <v>0</v>
      </c>
      <c r="B110" t="b">
        <f>SUMPRODUCT(LEN('hospitalityq-nil'!C110:D110))&gt;0</f>
        <v>0</v>
      </c>
      <c r="C110">
        <f>B110*('hospitalityq-nil'!C110="")</f>
        <v>0</v>
      </c>
      <c r="D110">
        <f>B110*('hospitalityq-nil'!D110="")</f>
        <v>0</v>
      </c>
    </row>
    <row r="111" spans="1:4" x14ac:dyDescent="0.25">
      <c r="A111">
        <f t="shared" si="1"/>
        <v>0</v>
      </c>
      <c r="B111" t="b">
        <f>SUMPRODUCT(LEN('hospitalityq-nil'!C111:D111))&gt;0</f>
        <v>0</v>
      </c>
      <c r="C111">
        <f>B111*('hospitalityq-nil'!C111="")</f>
        <v>0</v>
      </c>
      <c r="D111">
        <f>B111*('hospitalityq-nil'!D111="")</f>
        <v>0</v>
      </c>
    </row>
    <row r="112" spans="1:4" x14ac:dyDescent="0.25">
      <c r="A112">
        <f t="shared" si="1"/>
        <v>0</v>
      </c>
      <c r="B112" t="b">
        <f>SUMPRODUCT(LEN('hospitalityq-nil'!C112:D112))&gt;0</f>
        <v>0</v>
      </c>
      <c r="C112">
        <f>B112*('hospitalityq-nil'!C112="")</f>
        <v>0</v>
      </c>
      <c r="D112">
        <f>B112*('hospitalityq-nil'!D112="")</f>
        <v>0</v>
      </c>
    </row>
    <row r="113" spans="1:4" x14ac:dyDescent="0.25">
      <c r="A113">
        <f t="shared" si="1"/>
        <v>0</v>
      </c>
      <c r="B113" t="b">
        <f>SUMPRODUCT(LEN('hospitalityq-nil'!C113:D113))&gt;0</f>
        <v>0</v>
      </c>
      <c r="C113">
        <f>B113*('hospitalityq-nil'!C113="")</f>
        <v>0</v>
      </c>
      <c r="D113">
        <f>B113*('hospitalityq-nil'!D113="")</f>
        <v>0</v>
      </c>
    </row>
    <row r="114" spans="1:4" x14ac:dyDescent="0.25">
      <c r="A114">
        <f t="shared" si="1"/>
        <v>0</v>
      </c>
      <c r="B114" t="b">
        <f>SUMPRODUCT(LEN('hospitalityq-nil'!C114:D114))&gt;0</f>
        <v>0</v>
      </c>
      <c r="C114">
        <f>B114*('hospitalityq-nil'!C114="")</f>
        <v>0</v>
      </c>
      <c r="D114">
        <f>B114*('hospitalityq-nil'!D114="")</f>
        <v>0</v>
      </c>
    </row>
    <row r="115" spans="1:4" x14ac:dyDescent="0.25">
      <c r="A115">
        <f t="shared" si="1"/>
        <v>0</v>
      </c>
      <c r="B115" t="b">
        <f>SUMPRODUCT(LEN('hospitalityq-nil'!C115:D115))&gt;0</f>
        <v>0</v>
      </c>
      <c r="C115">
        <f>B115*('hospitalityq-nil'!C115="")</f>
        <v>0</v>
      </c>
      <c r="D115">
        <f>B115*('hospitalityq-nil'!D115="")</f>
        <v>0</v>
      </c>
    </row>
    <row r="116" spans="1:4" x14ac:dyDescent="0.25">
      <c r="A116">
        <f t="shared" si="1"/>
        <v>0</v>
      </c>
      <c r="B116" t="b">
        <f>SUMPRODUCT(LEN('hospitalityq-nil'!C116:D116))&gt;0</f>
        <v>0</v>
      </c>
      <c r="C116">
        <f>B116*('hospitalityq-nil'!C116="")</f>
        <v>0</v>
      </c>
      <c r="D116">
        <f>B116*('hospitalityq-nil'!D116="")</f>
        <v>0</v>
      </c>
    </row>
    <row r="117" spans="1:4" x14ac:dyDescent="0.25">
      <c r="A117">
        <f t="shared" si="1"/>
        <v>0</v>
      </c>
      <c r="B117" t="b">
        <f>SUMPRODUCT(LEN('hospitalityq-nil'!C117:D117))&gt;0</f>
        <v>0</v>
      </c>
      <c r="C117">
        <f>B117*('hospitalityq-nil'!C117="")</f>
        <v>0</v>
      </c>
      <c r="D117">
        <f>B117*('hospitalityq-nil'!D117="")</f>
        <v>0</v>
      </c>
    </row>
    <row r="118" spans="1:4" x14ac:dyDescent="0.25">
      <c r="A118">
        <f t="shared" si="1"/>
        <v>0</v>
      </c>
      <c r="B118" t="b">
        <f>SUMPRODUCT(LEN('hospitalityq-nil'!C118:D118))&gt;0</f>
        <v>0</v>
      </c>
      <c r="C118">
        <f>B118*('hospitalityq-nil'!C118="")</f>
        <v>0</v>
      </c>
      <c r="D118">
        <f>B118*('hospitalityq-nil'!D118="")</f>
        <v>0</v>
      </c>
    </row>
    <row r="119" spans="1:4" x14ac:dyDescent="0.25">
      <c r="A119">
        <f t="shared" si="1"/>
        <v>0</v>
      </c>
      <c r="B119" t="b">
        <f>SUMPRODUCT(LEN('hospitalityq-nil'!C119:D119))&gt;0</f>
        <v>0</v>
      </c>
      <c r="C119">
        <f>B119*('hospitalityq-nil'!C119="")</f>
        <v>0</v>
      </c>
      <c r="D119">
        <f>B119*('hospitalityq-nil'!D119="")</f>
        <v>0</v>
      </c>
    </row>
    <row r="120" spans="1:4" x14ac:dyDescent="0.25">
      <c r="A120">
        <f t="shared" si="1"/>
        <v>0</v>
      </c>
      <c r="B120" t="b">
        <f>SUMPRODUCT(LEN('hospitalityq-nil'!C120:D120))&gt;0</f>
        <v>0</v>
      </c>
      <c r="C120">
        <f>B120*('hospitalityq-nil'!C120="")</f>
        <v>0</v>
      </c>
      <c r="D120">
        <f>B120*('hospitalityq-nil'!D120="")</f>
        <v>0</v>
      </c>
    </row>
    <row r="121" spans="1:4" x14ac:dyDescent="0.25">
      <c r="A121">
        <f t="shared" si="1"/>
        <v>0</v>
      </c>
      <c r="B121" t="b">
        <f>SUMPRODUCT(LEN('hospitalityq-nil'!C121:D121))&gt;0</f>
        <v>0</v>
      </c>
      <c r="C121">
        <f>B121*('hospitalityq-nil'!C121="")</f>
        <v>0</v>
      </c>
      <c r="D121">
        <f>B121*('hospitalityq-nil'!D121="")</f>
        <v>0</v>
      </c>
    </row>
    <row r="122" spans="1:4" x14ac:dyDescent="0.25">
      <c r="A122">
        <f t="shared" si="1"/>
        <v>0</v>
      </c>
      <c r="B122" t="b">
        <f>SUMPRODUCT(LEN('hospitalityq-nil'!C122:D122))&gt;0</f>
        <v>0</v>
      </c>
      <c r="C122">
        <f>B122*('hospitalityq-nil'!C122="")</f>
        <v>0</v>
      </c>
      <c r="D122">
        <f>B122*('hospitalityq-nil'!D122="")</f>
        <v>0</v>
      </c>
    </row>
    <row r="123" spans="1:4" x14ac:dyDescent="0.25">
      <c r="A123">
        <f t="shared" si="1"/>
        <v>0</v>
      </c>
      <c r="B123" t="b">
        <f>SUMPRODUCT(LEN('hospitalityq-nil'!C123:D123))&gt;0</f>
        <v>0</v>
      </c>
      <c r="C123">
        <f>B123*('hospitalityq-nil'!C123="")</f>
        <v>0</v>
      </c>
      <c r="D123">
        <f>B123*('hospitalityq-nil'!D123="")</f>
        <v>0</v>
      </c>
    </row>
    <row r="124" spans="1:4" x14ac:dyDescent="0.25">
      <c r="A124">
        <f t="shared" si="1"/>
        <v>0</v>
      </c>
      <c r="B124" t="b">
        <f>SUMPRODUCT(LEN('hospitalityq-nil'!C124:D124))&gt;0</f>
        <v>0</v>
      </c>
      <c r="C124">
        <f>B124*('hospitalityq-nil'!C124="")</f>
        <v>0</v>
      </c>
      <c r="D124">
        <f>B124*('hospitalityq-nil'!D124="")</f>
        <v>0</v>
      </c>
    </row>
    <row r="125" spans="1:4" x14ac:dyDescent="0.25">
      <c r="A125">
        <f t="shared" si="1"/>
        <v>0</v>
      </c>
      <c r="B125" t="b">
        <f>SUMPRODUCT(LEN('hospitalityq-nil'!C125:D125))&gt;0</f>
        <v>0</v>
      </c>
      <c r="C125">
        <f>B125*('hospitalityq-nil'!C125="")</f>
        <v>0</v>
      </c>
      <c r="D125">
        <f>B125*('hospitalityq-nil'!D125="")</f>
        <v>0</v>
      </c>
    </row>
    <row r="126" spans="1:4" x14ac:dyDescent="0.25">
      <c r="A126">
        <f t="shared" si="1"/>
        <v>0</v>
      </c>
      <c r="B126" t="b">
        <f>SUMPRODUCT(LEN('hospitalityq-nil'!C126:D126))&gt;0</f>
        <v>0</v>
      </c>
      <c r="C126">
        <f>B126*('hospitalityq-nil'!C126="")</f>
        <v>0</v>
      </c>
      <c r="D126">
        <f>B126*('hospitalityq-nil'!D126="")</f>
        <v>0</v>
      </c>
    </row>
    <row r="127" spans="1:4" x14ac:dyDescent="0.25">
      <c r="A127">
        <f t="shared" si="1"/>
        <v>0</v>
      </c>
      <c r="B127" t="b">
        <f>SUMPRODUCT(LEN('hospitalityq-nil'!C127:D127))&gt;0</f>
        <v>0</v>
      </c>
      <c r="C127">
        <f>B127*('hospitalityq-nil'!C127="")</f>
        <v>0</v>
      </c>
      <c r="D127">
        <f>B127*('hospitalityq-nil'!D127="")</f>
        <v>0</v>
      </c>
    </row>
    <row r="128" spans="1:4" x14ac:dyDescent="0.25">
      <c r="A128">
        <f t="shared" si="1"/>
        <v>0</v>
      </c>
      <c r="B128" t="b">
        <f>SUMPRODUCT(LEN('hospitalityq-nil'!C128:D128))&gt;0</f>
        <v>0</v>
      </c>
      <c r="C128">
        <f>B128*('hospitalityq-nil'!C128="")</f>
        <v>0</v>
      </c>
      <c r="D128">
        <f>B128*('hospitalityq-nil'!D128="")</f>
        <v>0</v>
      </c>
    </row>
    <row r="129" spans="1:4" x14ac:dyDescent="0.25">
      <c r="A129">
        <f t="shared" si="1"/>
        <v>0</v>
      </c>
      <c r="B129" t="b">
        <f>SUMPRODUCT(LEN('hospitalityq-nil'!C129:D129))&gt;0</f>
        <v>0</v>
      </c>
      <c r="C129">
        <f>B129*('hospitalityq-nil'!C129="")</f>
        <v>0</v>
      </c>
      <c r="D129">
        <f>B129*('hospitalityq-nil'!D129="")</f>
        <v>0</v>
      </c>
    </row>
    <row r="130" spans="1:4" x14ac:dyDescent="0.25">
      <c r="A130">
        <f t="shared" si="1"/>
        <v>0</v>
      </c>
      <c r="B130" t="b">
        <f>SUMPRODUCT(LEN('hospitalityq-nil'!C130:D130))&gt;0</f>
        <v>0</v>
      </c>
      <c r="C130">
        <f>B130*('hospitalityq-nil'!C130="")</f>
        <v>0</v>
      </c>
      <c r="D130">
        <f>B130*('hospitalityq-nil'!D130="")</f>
        <v>0</v>
      </c>
    </row>
    <row r="131" spans="1:4" x14ac:dyDescent="0.25">
      <c r="A131">
        <f t="shared" si="1"/>
        <v>0</v>
      </c>
      <c r="B131" t="b">
        <f>SUMPRODUCT(LEN('hospitalityq-nil'!C131:D131))&gt;0</f>
        <v>0</v>
      </c>
      <c r="C131">
        <f>B131*('hospitalityq-nil'!C131="")</f>
        <v>0</v>
      </c>
      <c r="D131">
        <f>B131*('hospitalityq-nil'!D131="")</f>
        <v>0</v>
      </c>
    </row>
    <row r="132" spans="1:4" x14ac:dyDescent="0.25">
      <c r="A132">
        <f t="shared" si="1"/>
        <v>0</v>
      </c>
      <c r="B132" t="b">
        <f>SUMPRODUCT(LEN('hospitalityq-nil'!C132:D132))&gt;0</f>
        <v>0</v>
      </c>
      <c r="C132">
        <f>B132*('hospitalityq-nil'!C132="")</f>
        <v>0</v>
      </c>
      <c r="D132">
        <f>B132*('hospitalityq-nil'!D132="")</f>
        <v>0</v>
      </c>
    </row>
    <row r="133" spans="1:4" x14ac:dyDescent="0.25">
      <c r="A133">
        <f t="shared" si="1"/>
        <v>0</v>
      </c>
      <c r="B133" t="b">
        <f>SUMPRODUCT(LEN('hospitalityq-nil'!C133:D133))&gt;0</f>
        <v>0</v>
      </c>
      <c r="C133">
        <f>B133*('hospitalityq-nil'!C133="")</f>
        <v>0</v>
      </c>
      <c r="D133">
        <f>B133*('hospitalityq-nil'!D133="")</f>
        <v>0</v>
      </c>
    </row>
    <row r="134" spans="1:4" x14ac:dyDescent="0.25">
      <c r="A134">
        <f t="shared" ref="A134:A197" si="2">IFERROR(MATCH(TRUE,INDEX(C134:D134&lt;&gt;0,),)+2,0)</f>
        <v>0</v>
      </c>
      <c r="B134" t="b">
        <f>SUMPRODUCT(LEN('hospitalityq-nil'!C134:D134))&gt;0</f>
        <v>0</v>
      </c>
      <c r="C134">
        <f>B134*('hospitalityq-nil'!C134="")</f>
        <v>0</v>
      </c>
      <c r="D134">
        <f>B134*('hospitalityq-nil'!D134="")</f>
        <v>0</v>
      </c>
    </row>
    <row r="135" spans="1:4" x14ac:dyDescent="0.25">
      <c r="A135">
        <f t="shared" si="2"/>
        <v>0</v>
      </c>
      <c r="B135" t="b">
        <f>SUMPRODUCT(LEN('hospitalityq-nil'!C135:D135))&gt;0</f>
        <v>0</v>
      </c>
      <c r="C135">
        <f>B135*('hospitalityq-nil'!C135="")</f>
        <v>0</v>
      </c>
      <c r="D135">
        <f>B135*('hospitalityq-nil'!D135="")</f>
        <v>0</v>
      </c>
    </row>
    <row r="136" spans="1:4" x14ac:dyDescent="0.25">
      <c r="A136">
        <f t="shared" si="2"/>
        <v>0</v>
      </c>
      <c r="B136" t="b">
        <f>SUMPRODUCT(LEN('hospitalityq-nil'!C136:D136))&gt;0</f>
        <v>0</v>
      </c>
      <c r="C136">
        <f>B136*('hospitalityq-nil'!C136="")</f>
        <v>0</v>
      </c>
      <c r="D136">
        <f>B136*('hospitalityq-nil'!D136="")</f>
        <v>0</v>
      </c>
    </row>
    <row r="137" spans="1:4" x14ac:dyDescent="0.25">
      <c r="A137">
        <f t="shared" si="2"/>
        <v>0</v>
      </c>
      <c r="B137" t="b">
        <f>SUMPRODUCT(LEN('hospitalityq-nil'!C137:D137))&gt;0</f>
        <v>0</v>
      </c>
      <c r="C137">
        <f>B137*('hospitalityq-nil'!C137="")</f>
        <v>0</v>
      </c>
      <c r="D137">
        <f>B137*('hospitalityq-nil'!D137="")</f>
        <v>0</v>
      </c>
    </row>
    <row r="138" spans="1:4" x14ac:dyDescent="0.25">
      <c r="A138">
        <f t="shared" si="2"/>
        <v>0</v>
      </c>
      <c r="B138" t="b">
        <f>SUMPRODUCT(LEN('hospitalityq-nil'!C138:D138))&gt;0</f>
        <v>0</v>
      </c>
      <c r="C138">
        <f>B138*('hospitalityq-nil'!C138="")</f>
        <v>0</v>
      </c>
      <c r="D138">
        <f>B138*('hospitalityq-nil'!D138="")</f>
        <v>0</v>
      </c>
    </row>
    <row r="139" spans="1:4" x14ac:dyDescent="0.25">
      <c r="A139">
        <f t="shared" si="2"/>
        <v>0</v>
      </c>
      <c r="B139" t="b">
        <f>SUMPRODUCT(LEN('hospitalityq-nil'!C139:D139))&gt;0</f>
        <v>0</v>
      </c>
      <c r="C139">
        <f>B139*('hospitalityq-nil'!C139="")</f>
        <v>0</v>
      </c>
      <c r="D139">
        <f>B139*('hospitalityq-nil'!D139="")</f>
        <v>0</v>
      </c>
    </row>
    <row r="140" spans="1:4" x14ac:dyDescent="0.25">
      <c r="A140">
        <f t="shared" si="2"/>
        <v>0</v>
      </c>
      <c r="B140" t="b">
        <f>SUMPRODUCT(LEN('hospitalityq-nil'!C140:D140))&gt;0</f>
        <v>0</v>
      </c>
      <c r="C140">
        <f>B140*('hospitalityq-nil'!C140="")</f>
        <v>0</v>
      </c>
      <c r="D140">
        <f>B140*('hospitalityq-nil'!D140="")</f>
        <v>0</v>
      </c>
    </row>
    <row r="141" spans="1:4" x14ac:dyDescent="0.25">
      <c r="A141">
        <f t="shared" si="2"/>
        <v>0</v>
      </c>
      <c r="B141" t="b">
        <f>SUMPRODUCT(LEN('hospitalityq-nil'!C141:D141))&gt;0</f>
        <v>0</v>
      </c>
      <c r="C141">
        <f>B141*('hospitalityq-nil'!C141="")</f>
        <v>0</v>
      </c>
      <c r="D141">
        <f>B141*('hospitalityq-nil'!D141="")</f>
        <v>0</v>
      </c>
    </row>
    <row r="142" spans="1:4" x14ac:dyDescent="0.25">
      <c r="A142">
        <f t="shared" si="2"/>
        <v>0</v>
      </c>
      <c r="B142" t="b">
        <f>SUMPRODUCT(LEN('hospitalityq-nil'!C142:D142))&gt;0</f>
        <v>0</v>
      </c>
      <c r="C142">
        <f>B142*('hospitalityq-nil'!C142="")</f>
        <v>0</v>
      </c>
      <c r="D142">
        <f>B142*('hospitalityq-nil'!D142="")</f>
        <v>0</v>
      </c>
    </row>
    <row r="143" spans="1:4" x14ac:dyDescent="0.25">
      <c r="A143">
        <f t="shared" si="2"/>
        <v>0</v>
      </c>
      <c r="B143" t="b">
        <f>SUMPRODUCT(LEN('hospitalityq-nil'!C143:D143))&gt;0</f>
        <v>0</v>
      </c>
      <c r="C143">
        <f>B143*('hospitalityq-nil'!C143="")</f>
        <v>0</v>
      </c>
      <c r="D143">
        <f>B143*('hospitalityq-nil'!D143="")</f>
        <v>0</v>
      </c>
    </row>
    <row r="144" spans="1:4" x14ac:dyDescent="0.25">
      <c r="A144">
        <f t="shared" si="2"/>
        <v>0</v>
      </c>
      <c r="B144" t="b">
        <f>SUMPRODUCT(LEN('hospitalityq-nil'!C144:D144))&gt;0</f>
        <v>0</v>
      </c>
      <c r="C144">
        <f>B144*('hospitalityq-nil'!C144="")</f>
        <v>0</v>
      </c>
      <c r="D144">
        <f>B144*('hospitalityq-nil'!D144="")</f>
        <v>0</v>
      </c>
    </row>
    <row r="145" spans="1:4" x14ac:dyDescent="0.25">
      <c r="A145">
        <f t="shared" si="2"/>
        <v>0</v>
      </c>
      <c r="B145" t="b">
        <f>SUMPRODUCT(LEN('hospitalityq-nil'!C145:D145))&gt;0</f>
        <v>0</v>
      </c>
      <c r="C145">
        <f>B145*('hospitalityq-nil'!C145="")</f>
        <v>0</v>
      </c>
      <c r="D145">
        <f>B145*('hospitalityq-nil'!D145="")</f>
        <v>0</v>
      </c>
    </row>
    <row r="146" spans="1:4" x14ac:dyDescent="0.25">
      <c r="A146">
        <f t="shared" si="2"/>
        <v>0</v>
      </c>
      <c r="B146" t="b">
        <f>SUMPRODUCT(LEN('hospitalityq-nil'!C146:D146))&gt;0</f>
        <v>0</v>
      </c>
      <c r="C146">
        <f>B146*('hospitalityq-nil'!C146="")</f>
        <v>0</v>
      </c>
      <c r="D146">
        <f>B146*('hospitalityq-nil'!D146="")</f>
        <v>0</v>
      </c>
    </row>
    <row r="147" spans="1:4" x14ac:dyDescent="0.25">
      <c r="A147">
        <f t="shared" si="2"/>
        <v>0</v>
      </c>
      <c r="B147" t="b">
        <f>SUMPRODUCT(LEN('hospitalityq-nil'!C147:D147))&gt;0</f>
        <v>0</v>
      </c>
      <c r="C147">
        <f>B147*('hospitalityq-nil'!C147="")</f>
        <v>0</v>
      </c>
      <c r="D147">
        <f>B147*('hospitalityq-nil'!D147="")</f>
        <v>0</v>
      </c>
    </row>
    <row r="148" spans="1:4" x14ac:dyDescent="0.25">
      <c r="A148">
        <f t="shared" si="2"/>
        <v>0</v>
      </c>
      <c r="B148" t="b">
        <f>SUMPRODUCT(LEN('hospitalityq-nil'!C148:D148))&gt;0</f>
        <v>0</v>
      </c>
      <c r="C148">
        <f>B148*('hospitalityq-nil'!C148="")</f>
        <v>0</v>
      </c>
      <c r="D148">
        <f>B148*('hospitalityq-nil'!D148="")</f>
        <v>0</v>
      </c>
    </row>
    <row r="149" spans="1:4" x14ac:dyDescent="0.25">
      <c r="A149">
        <f t="shared" si="2"/>
        <v>0</v>
      </c>
      <c r="B149" t="b">
        <f>SUMPRODUCT(LEN('hospitalityq-nil'!C149:D149))&gt;0</f>
        <v>0</v>
      </c>
      <c r="C149">
        <f>B149*('hospitalityq-nil'!C149="")</f>
        <v>0</v>
      </c>
      <c r="D149">
        <f>B149*('hospitalityq-nil'!D149="")</f>
        <v>0</v>
      </c>
    </row>
    <row r="150" spans="1:4" x14ac:dyDescent="0.25">
      <c r="A150">
        <f t="shared" si="2"/>
        <v>0</v>
      </c>
      <c r="B150" t="b">
        <f>SUMPRODUCT(LEN('hospitalityq-nil'!C150:D150))&gt;0</f>
        <v>0</v>
      </c>
      <c r="C150">
        <f>B150*('hospitalityq-nil'!C150="")</f>
        <v>0</v>
      </c>
      <c r="D150">
        <f>B150*('hospitalityq-nil'!D150="")</f>
        <v>0</v>
      </c>
    </row>
    <row r="151" spans="1:4" x14ac:dyDescent="0.25">
      <c r="A151">
        <f t="shared" si="2"/>
        <v>0</v>
      </c>
      <c r="B151" t="b">
        <f>SUMPRODUCT(LEN('hospitalityq-nil'!C151:D151))&gt;0</f>
        <v>0</v>
      </c>
      <c r="C151">
        <f>B151*('hospitalityq-nil'!C151="")</f>
        <v>0</v>
      </c>
      <c r="D151">
        <f>B151*('hospitalityq-nil'!D151="")</f>
        <v>0</v>
      </c>
    </row>
    <row r="152" spans="1:4" x14ac:dyDescent="0.25">
      <c r="A152">
        <f t="shared" si="2"/>
        <v>0</v>
      </c>
      <c r="B152" t="b">
        <f>SUMPRODUCT(LEN('hospitalityq-nil'!C152:D152))&gt;0</f>
        <v>0</v>
      </c>
      <c r="C152">
        <f>B152*('hospitalityq-nil'!C152="")</f>
        <v>0</v>
      </c>
      <c r="D152">
        <f>B152*('hospitalityq-nil'!D152="")</f>
        <v>0</v>
      </c>
    </row>
    <row r="153" spans="1:4" x14ac:dyDescent="0.25">
      <c r="A153">
        <f t="shared" si="2"/>
        <v>0</v>
      </c>
      <c r="B153" t="b">
        <f>SUMPRODUCT(LEN('hospitalityq-nil'!C153:D153))&gt;0</f>
        <v>0</v>
      </c>
      <c r="C153">
        <f>B153*('hospitalityq-nil'!C153="")</f>
        <v>0</v>
      </c>
      <c r="D153">
        <f>B153*('hospitalityq-nil'!D153="")</f>
        <v>0</v>
      </c>
    </row>
    <row r="154" spans="1:4" x14ac:dyDescent="0.25">
      <c r="A154">
        <f t="shared" si="2"/>
        <v>0</v>
      </c>
      <c r="B154" t="b">
        <f>SUMPRODUCT(LEN('hospitalityq-nil'!C154:D154))&gt;0</f>
        <v>0</v>
      </c>
      <c r="C154">
        <f>B154*('hospitalityq-nil'!C154="")</f>
        <v>0</v>
      </c>
      <c r="D154">
        <f>B154*('hospitalityq-nil'!D154="")</f>
        <v>0</v>
      </c>
    </row>
    <row r="155" spans="1:4" x14ac:dyDescent="0.25">
      <c r="A155">
        <f t="shared" si="2"/>
        <v>0</v>
      </c>
      <c r="B155" t="b">
        <f>SUMPRODUCT(LEN('hospitalityq-nil'!C155:D155))&gt;0</f>
        <v>0</v>
      </c>
      <c r="C155">
        <f>B155*('hospitalityq-nil'!C155="")</f>
        <v>0</v>
      </c>
      <c r="D155">
        <f>B155*('hospitalityq-nil'!D155="")</f>
        <v>0</v>
      </c>
    </row>
    <row r="156" spans="1:4" x14ac:dyDescent="0.25">
      <c r="A156">
        <f t="shared" si="2"/>
        <v>0</v>
      </c>
      <c r="B156" t="b">
        <f>SUMPRODUCT(LEN('hospitalityq-nil'!C156:D156))&gt;0</f>
        <v>0</v>
      </c>
      <c r="C156">
        <f>B156*('hospitalityq-nil'!C156="")</f>
        <v>0</v>
      </c>
      <c r="D156">
        <f>B156*('hospitalityq-nil'!D156="")</f>
        <v>0</v>
      </c>
    </row>
    <row r="157" spans="1:4" x14ac:dyDescent="0.25">
      <c r="A157">
        <f t="shared" si="2"/>
        <v>0</v>
      </c>
      <c r="B157" t="b">
        <f>SUMPRODUCT(LEN('hospitalityq-nil'!C157:D157))&gt;0</f>
        <v>0</v>
      </c>
      <c r="C157">
        <f>B157*('hospitalityq-nil'!C157="")</f>
        <v>0</v>
      </c>
      <c r="D157">
        <f>B157*('hospitalityq-nil'!D157="")</f>
        <v>0</v>
      </c>
    </row>
    <row r="158" spans="1:4" x14ac:dyDescent="0.25">
      <c r="A158">
        <f t="shared" si="2"/>
        <v>0</v>
      </c>
      <c r="B158" t="b">
        <f>SUMPRODUCT(LEN('hospitalityq-nil'!C158:D158))&gt;0</f>
        <v>0</v>
      </c>
      <c r="C158">
        <f>B158*('hospitalityq-nil'!C158="")</f>
        <v>0</v>
      </c>
      <c r="D158">
        <f>B158*('hospitalityq-nil'!D158="")</f>
        <v>0</v>
      </c>
    </row>
    <row r="159" spans="1:4" x14ac:dyDescent="0.25">
      <c r="A159">
        <f t="shared" si="2"/>
        <v>0</v>
      </c>
      <c r="B159" t="b">
        <f>SUMPRODUCT(LEN('hospitalityq-nil'!C159:D159))&gt;0</f>
        <v>0</v>
      </c>
      <c r="C159">
        <f>B159*('hospitalityq-nil'!C159="")</f>
        <v>0</v>
      </c>
      <c r="D159">
        <f>B159*('hospitalityq-nil'!D159="")</f>
        <v>0</v>
      </c>
    </row>
    <row r="160" spans="1:4" x14ac:dyDescent="0.25">
      <c r="A160">
        <f t="shared" si="2"/>
        <v>0</v>
      </c>
      <c r="B160" t="b">
        <f>SUMPRODUCT(LEN('hospitalityq-nil'!C160:D160))&gt;0</f>
        <v>0</v>
      </c>
      <c r="C160">
        <f>B160*('hospitalityq-nil'!C160="")</f>
        <v>0</v>
      </c>
      <c r="D160">
        <f>B160*('hospitalityq-nil'!D160="")</f>
        <v>0</v>
      </c>
    </row>
    <row r="161" spans="1:4" x14ac:dyDescent="0.25">
      <c r="A161">
        <f t="shared" si="2"/>
        <v>0</v>
      </c>
      <c r="B161" t="b">
        <f>SUMPRODUCT(LEN('hospitalityq-nil'!C161:D161))&gt;0</f>
        <v>0</v>
      </c>
      <c r="C161">
        <f>B161*('hospitalityq-nil'!C161="")</f>
        <v>0</v>
      </c>
      <c r="D161">
        <f>B161*('hospitalityq-nil'!D161="")</f>
        <v>0</v>
      </c>
    </row>
    <row r="162" spans="1:4" x14ac:dyDescent="0.25">
      <c r="A162">
        <f t="shared" si="2"/>
        <v>0</v>
      </c>
      <c r="B162" t="b">
        <f>SUMPRODUCT(LEN('hospitalityq-nil'!C162:D162))&gt;0</f>
        <v>0</v>
      </c>
      <c r="C162">
        <f>B162*('hospitalityq-nil'!C162="")</f>
        <v>0</v>
      </c>
      <c r="D162">
        <f>B162*('hospitalityq-nil'!D162="")</f>
        <v>0</v>
      </c>
    </row>
    <row r="163" spans="1:4" x14ac:dyDescent="0.25">
      <c r="A163">
        <f t="shared" si="2"/>
        <v>0</v>
      </c>
      <c r="B163" t="b">
        <f>SUMPRODUCT(LEN('hospitalityq-nil'!C163:D163))&gt;0</f>
        <v>0</v>
      </c>
      <c r="C163">
        <f>B163*('hospitalityq-nil'!C163="")</f>
        <v>0</v>
      </c>
      <c r="D163">
        <f>B163*('hospitalityq-nil'!D163="")</f>
        <v>0</v>
      </c>
    </row>
    <row r="164" spans="1:4" x14ac:dyDescent="0.25">
      <c r="A164">
        <f t="shared" si="2"/>
        <v>0</v>
      </c>
      <c r="B164" t="b">
        <f>SUMPRODUCT(LEN('hospitalityq-nil'!C164:D164))&gt;0</f>
        <v>0</v>
      </c>
      <c r="C164">
        <f>B164*('hospitalityq-nil'!C164="")</f>
        <v>0</v>
      </c>
      <c r="D164">
        <f>B164*('hospitalityq-nil'!D164="")</f>
        <v>0</v>
      </c>
    </row>
    <row r="165" spans="1:4" x14ac:dyDescent="0.25">
      <c r="A165">
        <f t="shared" si="2"/>
        <v>0</v>
      </c>
      <c r="B165" t="b">
        <f>SUMPRODUCT(LEN('hospitalityq-nil'!C165:D165))&gt;0</f>
        <v>0</v>
      </c>
      <c r="C165">
        <f>B165*('hospitalityq-nil'!C165="")</f>
        <v>0</v>
      </c>
      <c r="D165">
        <f>B165*('hospitalityq-nil'!D165="")</f>
        <v>0</v>
      </c>
    </row>
    <row r="166" spans="1:4" x14ac:dyDescent="0.25">
      <c r="A166">
        <f t="shared" si="2"/>
        <v>0</v>
      </c>
      <c r="B166" t="b">
        <f>SUMPRODUCT(LEN('hospitalityq-nil'!C166:D166))&gt;0</f>
        <v>0</v>
      </c>
      <c r="C166">
        <f>B166*('hospitalityq-nil'!C166="")</f>
        <v>0</v>
      </c>
      <c r="D166">
        <f>B166*('hospitalityq-nil'!D166="")</f>
        <v>0</v>
      </c>
    </row>
    <row r="167" spans="1:4" x14ac:dyDescent="0.25">
      <c r="A167">
        <f t="shared" si="2"/>
        <v>0</v>
      </c>
      <c r="B167" t="b">
        <f>SUMPRODUCT(LEN('hospitalityq-nil'!C167:D167))&gt;0</f>
        <v>0</v>
      </c>
      <c r="C167">
        <f>B167*('hospitalityq-nil'!C167="")</f>
        <v>0</v>
      </c>
      <c r="D167">
        <f>B167*('hospitalityq-nil'!D167="")</f>
        <v>0</v>
      </c>
    </row>
    <row r="168" spans="1:4" x14ac:dyDescent="0.25">
      <c r="A168">
        <f t="shared" si="2"/>
        <v>0</v>
      </c>
      <c r="B168" t="b">
        <f>SUMPRODUCT(LEN('hospitalityq-nil'!C168:D168))&gt;0</f>
        <v>0</v>
      </c>
      <c r="C168">
        <f>B168*('hospitalityq-nil'!C168="")</f>
        <v>0</v>
      </c>
      <c r="D168">
        <f>B168*('hospitalityq-nil'!D168="")</f>
        <v>0</v>
      </c>
    </row>
    <row r="169" spans="1:4" x14ac:dyDescent="0.25">
      <c r="A169">
        <f t="shared" si="2"/>
        <v>0</v>
      </c>
      <c r="B169" t="b">
        <f>SUMPRODUCT(LEN('hospitalityq-nil'!C169:D169))&gt;0</f>
        <v>0</v>
      </c>
      <c r="C169">
        <f>B169*('hospitalityq-nil'!C169="")</f>
        <v>0</v>
      </c>
      <c r="D169">
        <f>B169*('hospitalityq-nil'!D169="")</f>
        <v>0</v>
      </c>
    </row>
    <row r="170" spans="1:4" x14ac:dyDescent="0.25">
      <c r="A170">
        <f t="shared" si="2"/>
        <v>0</v>
      </c>
      <c r="B170" t="b">
        <f>SUMPRODUCT(LEN('hospitalityq-nil'!C170:D170))&gt;0</f>
        <v>0</v>
      </c>
      <c r="C170">
        <f>B170*('hospitalityq-nil'!C170="")</f>
        <v>0</v>
      </c>
      <c r="D170">
        <f>B170*('hospitalityq-nil'!D170="")</f>
        <v>0</v>
      </c>
    </row>
    <row r="171" spans="1:4" x14ac:dyDescent="0.25">
      <c r="A171">
        <f t="shared" si="2"/>
        <v>0</v>
      </c>
      <c r="B171" t="b">
        <f>SUMPRODUCT(LEN('hospitalityq-nil'!C171:D171))&gt;0</f>
        <v>0</v>
      </c>
      <c r="C171">
        <f>B171*('hospitalityq-nil'!C171="")</f>
        <v>0</v>
      </c>
      <c r="D171">
        <f>B171*('hospitalityq-nil'!D171="")</f>
        <v>0</v>
      </c>
    </row>
    <row r="172" spans="1:4" x14ac:dyDescent="0.25">
      <c r="A172">
        <f t="shared" si="2"/>
        <v>0</v>
      </c>
      <c r="B172" t="b">
        <f>SUMPRODUCT(LEN('hospitalityq-nil'!C172:D172))&gt;0</f>
        <v>0</v>
      </c>
      <c r="C172">
        <f>B172*('hospitalityq-nil'!C172="")</f>
        <v>0</v>
      </c>
      <c r="D172">
        <f>B172*('hospitalityq-nil'!D172="")</f>
        <v>0</v>
      </c>
    </row>
    <row r="173" spans="1:4" x14ac:dyDescent="0.25">
      <c r="A173">
        <f t="shared" si="2"/>
        <v>0</v>
      </c>
      <c r="B173" t="b">
        <f>SUMPRODUCT(LEN('hospitalityq-nil'!C173:D173))&gt;0</f>
        <v>0</v>
      </c>
      <c r="C173">
        <f>B173*('hospitalityq-nil'!C173="")</f>
        <v>0</v>
      </c>
      <c r="D173">
        <f>B173*('hospitalityq-nil'!D173="")</f>
        <v>0</v>
      </c>
    </row>
    <row r="174" spans="1:4" x14ac:dyDescent="0.25">
      <c r="A174">
        <f t="shared" si="2"/>
        <v>0</v>
      </c>
      <c r="B174" t="b">
        <f>SUMPRODUCT(LEN('hospitalityq-nil'!C174:D174))&gt;0</f>
        <v>0</v>
      </c>
      <c r="C174">
        <f>B174*('hospitalityq-nil'!C174="")</f>
        <v>0</v>
      </c>
      <c r="D174">
        <f>B174*('hospitalityq-nil'!D174="")</f>
        <v>0</v>
      </c>
    </row>
    <row r="175" spans="1:4" x14ac:dyDescent="0.25">
      <c r="A175">
        <f t="shared" si="2"/>
        <v>0</v>
      </c>
      <c r="B175" t="b">
        <f>SUMPRODUCT(LEN('hospitalityq-nil'!C175:D175))&gt;0</f>
        <v>0</v>
      </c>
      <c r="C175">
        <f>B175*('hospitalityq-nil'!C175="")</f>
        <v>0</v>
      </c>
      <c r="D175">
        <f>B175*('hospitalityq-nil'!D175="")</f>
        <v>0</v>
      </c>
    </row>
    <row r="176" spans="1:4" x14ac:dyDescent="0.25">
      <c r="A176">
        <f t="shared" si="2"/>
        <v>0</v>
      </c>
      <c r="B176" t="b">
        <f>SUMPRODUCT(LEN('hospitalityq-nil'!C176:D176))&gt;0</f>
        <v>0</v>
      </c>
      <c r="C176">
        <f>B176*('hospitalityq-nil'!C176="")</f>
        <v>0</v>
      </c>
      <c r="D176">
        <f>B176*('hospitalityq-nil'!D176="")</f>
        <v>0</v>
      </c>
    </row>
    <row r="177" spans="1:4" x14ac:dyDescent="0.25">
      <c r="A177">
        <f t="shared" si="2"/>
        <v>0</v>
      </c>
      <c r="B177" t="b">
        <f>SUMPRODUCT(LEN('hospitalityq-nil'!C177:D177))&gt;0</f>
        <v>0</v>
      </c>
      <c r="C177">
        <f>B177*('hospitalityq-nil'!C177="")</f>
        <v>0</v>
      </c>
      <c r="D177">
        <f>B177*('hospitalityq-nil'!D177="")</f>
        <v>0</v>
      </c>
    </row>
    <row r="178" spans="1:4" x14ac:dyDescent="0.25">
      <c r="A178">
        <f t="shared" si="2"/>
        <v>0</v>
      </c>
      <c r="B178" t="b">
        <f>SUMPRODUCT(LEN('hospitalityq-nil'!C178:D178))&gt;0</f>
        <v>0</v>
      </c>
      <c r="C178">
        <f>B178*('hospitalityq-nil'!C178="")</f>
        <v>0</v>
      </c>
      <c r="D178">
        <f>B178*('hospitalityq-nil'!D178="")</f>
        <v>0</v>
      </c>
    </row>
    <row r="179" spans="1:4" x14ac:dyDescent="0.25">
      <c r="A179">
        <f t="shared" si="2"/>
        <v>0</v>
      </c>
      <c r="B179" t="b">
        <f>SUMPRODUCT(LEN('hospitalityq-nil'!C179:D179))&gt;0</f>
        <v>0</v>
      </c>
      <c r="C179">
        <f>B179*('hospitalityq-nil'!C179="")</f>
        <v>0</v>
      </c>
      <c r="D179">
        <f>B179*('hospitalityq-nil'!D179="")</f>
        <v>0</v>
      </c>
    </row>
    <row r="180" spans="1:4" x14ac:dyDescent="0.25">
      <c r="A180">
        <f t="shared" si="2"/>
        <v>0</v>
      </c>
      <c r="B180" t="b">
        <f>SUMPRODUCT(LEN('hospitalityq-nil'!C180:D180))&gt;0</f>
        <v>0</v>
      </c>
      <c r="C180">
        <f>B180*('hospitalityq-nil'!C180="")</f>
        <v>0</v>
      </c>
      <c r="D180">
        <f>B180*('hospitalityq-nil'!D180="")</f>
        <v>0</v>
      </c>
    </row>
    <row r="181" spans="1:4" x14ac:dyDescent="0.25">
      <c r="A181">
        <f t="shared" si="2"/>
        <v>0</v>
      </c>
      <c r="B181" t="b">
        <f>SUMPRODUCT(LEN('hospitalityq-nil'!C181:D181))&gt;0</f>
        <v>0</v>
      </c>
      <c r="C181">
        <f>B181*('hospitalityq-nil'!C181="")</f>
        <v>0</v>
      </c>
      <c r="D181">
        <f>B181*('hospitalityq-nil'!D181="")</f>
        <v>0</v>
      </c>
    </row>
    <row r="182" spans="1:4" x14ac:dyDescent="0.25">
      <c r="A182">
        <f t="shared" si="2"/>
        <v>0</v>
      </c>
      <c r="B182" t="b">
        <f>SUMPRODUCT(LEN('hospitalityq-nil'!C182:D182))&gt;0</f>
        <v>0</v>
      </c>
      <c r="C182">
        <f>B182*('hospitalityq-nil'!C182="")</f>
        <v>0</v>
      </c>
      <c r="D182">
        <f>B182*('hospitalityq-nil'!D182="")</f>
        <v>0</v>
      </c>
    </row>
    <row r="183" spans="1:4" x14ac:dyDescent="0.25">
      <c r="A183">
        <f t="shared" si="2"/>
        <v>0</v>
      </c>
      <c r="B183" t="b">
        <f>SUMPRODUCT(LEN('hospitalityq-nil'!C183:D183))&gt;0</f>
        <v>0</v>
      </c>
      <c r="C183">
        <f>B183*('hospitalityq-nil'!C183="")</f>
        <v>0</v>
      </c>
      <c r="D183">
        <f>B183*('hospitalityq-nil'!D183="")</f>
        <v>0</v>
      </c>
    </row>
    <row r="184" spans="1:4" x14ac:dyDescent="0.25">
      <c r="A184">
        <f t="shared" si="2"/>
        <v>0</v>
      </c>
      <c r="B184" t="b">
        <f>SUMPRODUCT(LEN('hospitalityq-nil'!C184:D184))&gt;0</f>
        <v>0</v>
      </c>
      <c r="C184">
        <f>B184*('hospitalityq-nil'!C184="")</f>
        <v>0</v>
      </c>
      <c r="D184">
        <f>B184*('hospitalityq-nil'!D184="")</f>
        <v>0</v>
      </c>
    </row>
    <row r="185" spans="1:4" x14ac:dyDescent="0.25">
      <c r="A185">
        <f t="shared" si="2"/>
        <v>0</v>
      </c>
      <c r="B185" t="b">
        <f>SUMPRODUCT(LEN('hospitalityq-nil'!C185:D185))&gt;0</f>
        <v>0</v>
      </c>
      <c r="C185">
        <f>B185*('hospitalityq-nil'!C185="")</f>
        <v>0</v>
      </c>
      <c r="D185">
        <f>B185*('hospitalityq-nil'!D185="")</f>
        <v>0</v>
      </c>
    </row>
    <row r="186" spans="1:4" x14ac:dyDescent="0.25">
      <c r="A186">
        <f t="shared" si="2"/>
        <v>0</v>
      </c>
      <c r="B186" t="b">
        <f>SUMPRODUCT(LEN('hospitalityq-nil'!C186:D186))&gt;0</f>
        <v>0</v>
      </c>
      <c r="C186">
        <f>B186*('hospitalityq-nil'!C186="")</f>
        <v>0</v>
      </c>
      <c r="D186">
        <f>B186*('hospitalityq-nil'!D186="")</f>
        <v>0</v>
      </c>
    </row>
    <row r="187" spans="1:4" x14ac:dyDescent="0.25">
      <c r="A187">
        <f t="shared" si="2"/>
        <v>0</v>
      </c>
      <c r="B187" t="b">
        <f>SUMPRODUCT(LEN('hospitalityq-nil'!C187:D187))&gt;0</f>
        <v>0</v>
      </c>
      <c r="C187">
        <f>B187*('hospitalityq-nil'!C187="")</f>
        <v>0</v>
      </c>
      <c r="D187">
        <f>B187*('hospitalityq-nil'!D187="")</f>
        <v>0</v>
      </c>
    </row>
    <row r="188" spans="1:4" x14ac:dyDescent="0.25">
      <c r="A188">
        <f t="shared" si="2"/>
        <v>0</v>
      </c>
      <c r="B188" t="b">
        <f>SUMPRODUCT(LEN('hospitalityq-nil'!C188:D188))&gt;0</f>
        <v>0</v>
      </c>
      <c r="C188">
        <f>B188*('hospitalityq-nil'!C188="")</f>
        <v>0</v>
      </c>
      <c r="D188">
        <f>B188*('hospitalityq-nil'!D188="")</f>
        <v>0</v>
      </c>
    </row>
    <row r="189" spans="1:4" x14ac:dyDescent="0.25">
      <c r="A189">
        <f t="shared" si="2"/>
        <v>0</v>
      </c>
      <c r="B189" t="b">
        <f>SUMPRODUCT(LEN('hospitalityq-nil'!C189:D189))&gt;0</f>
        <v>0</v>
      </c>
      <c r="C189">
        <f>B189*('hospitalityq-nil'!C189="")</f>
        <v>0</v>
      </c>
      <c r="D189">
        <f>B189*('hospitalityq-nil'!D189="")</f>
        <v>0</v>
      </c>
    </row>
    <row r="190" spans="1:4" x14ac:dyDescent="0.25">
      <c r="A190">
        <f t="shared" si="2"/>
        <v>0</v>
      </c>
      <c r="B190" t="b">
        <f>SUMPRODUCT(LEN('hospitalityq-nil'!C190:D190))&gt;0</f>
        <v>0</v>
      </c>
      <c r="C190">
        <f>B190*('hospitalityq-nil'!C190="")</f>
        <v>0</v>
      </c>
      <c r="D190">
        <f>B190*('hospitalityq-nil'!D190="")</f>
        <v>0</v>
      </c>
    </row>
    <row r="191" spans="1:4" x14ac:dyDescent="0.25">
      <c r="A191">
        <f t="shared" si="2"/>
        <v>0</v>
      </c>
      <c r="B191" t="b">
        <f>SUMPRODUCT(LEN('hospitalityq-nil'!C191:D191))&gt;0</f>
        <v>0</v>
      </c>
      <c r="C191">
        <f>B191*('hospitalityq-nil'!C191="")</f>
        <v>0</v>
      </c>
      <c r="D191">
        <f>B191*('hospitalityq-nil'!D191="")</f>
        <v>0</v>
      </c>
    </row>
    <row r="192" spans="1:4" x14ac:dyDescent="0.25">
      <c r="A192">
        <f t="shared" si="2"/>
        <v>0</v>
      </c>
      <c r="B192" t="b">
        <f>SUMPRODUCT(LEN('hospitalityq-nil'!C192:D192))&gt;0</f>
        <v>0</v>
      </c>
      <c r="C192">
        <f>B192*('hospitalityq-nil'!C192="")</f>
        <v>0</v>
      </c>
      <c r="D192">
        <f>B192*('hospitalityq-nil'!D192="")</f>
        <v>0</v>
      </c>
    </row>
    <row r="193" spans="1:4" x14ac:dyDescent="0.25">
      <c r="A193">
        <f t="shared" si="2"/>
        <v>0</v>
      </c>
      <c r="B193" t="b">
        <f>SUMPRODUCT(LEN('hospitalityq-nil'!C193:D193))&gt;0</f>
        <v>0</v>
      </c>
      <c r="C193">
        <f>B193*('hospitalityq-nil'!C193="")</f>
        <v>0</v>
      </c>
      <c r="D193">
        <f>B193*('hospitalityq-nil'!D193="")</f>
        <v>0</v>
      </c>
    </row>
    <row r="194" spans="1:4" x14ac:dyDescent="0.25">
      <c r="A194">
        <f t="shared" si="2"/>
        <v>0</v>
      </c>
      <c r="B194" t="b">
        <f>SUMPRODUCT(LEN('hospitalityq-nil'!C194:D194))&gt;0</f>
        <v>0</v>
      </c>
      <c r="C194">
        <f>B194*('hospitalityq-nil'!C194="")</f>
        <v>0</v>
      </c>
      <c r="D194">
        <f>B194*('hospitalityq-nil'!D194="")</f>
        <v>0</v>
      </c>
    </row>
    <row r="195" spans="1:4" x14ac:dyDescent="0.25">
      <c r="A195">
        <f t="shared" si="2"/>
        <v>0</v>
      </c>
      <c r="B195" t="b">
        <f>SUMPRODUCT(LEN('hospitalityq-nil'!C195:D195))&gt;0</f>
        <v>0</v>
      </c>
      <c r="C195">
        <f>B195*('hospitalityq-nil'!C195="")</f>
        <v>0</v>
      </c>
      <c r="D195">
        <f>B195*('hospitalityq-nil'!D195="")</f>
        <v>0</v>
      </c>
    </row>
    <row r="196" spans="1:4" x14ac:dyDescent="0.25">
      <c r="A196">
        <f t="shared" si="2"/>
        <v>0</v>
      </c>
      <c r="B196" t="b">
        <f>SUMPRODUCT(LEN('hospitalityq-nil'!C196:D196))&gt;0</f>
        <v>0</v>
      </c>
      <c r="C196">
        <f>B196*('hospitalityq-nil'!C196="")</f>
        <v>0</v>
      </c>
      <c r="D196">
        <f>B196*('hospitalityq-nil'!D196="")</f>
        <v>0</v>
      </c>
    </row>
    <row r="197" spans="1:4" x14ac:dyDescent="0.25">
      <c r="A197">
        <f t="shared" si="2"/>
        <v>0</v>
      </c>
      <c r="B197" t="b">
        <f>SUMPRODUCT(LEN('hospitalityq-nil'!C197:D197))&gt;0</f>
        <v>0</v>
      </c>
      <c r="C197">
        <f>B197*('hospitalityq-nil'!C197="")</f>
        <v>0</v>
      </c>
      <c r="D197">
        <f>B197*('hospitalityq-nil'!D197="")</f>
        <v>0</v>
      </c>
    </row>
    <row r="198" spans="1:4" x14ac:dyDescent="0.25">
      <c r="A198">
        <f t="shared" ref="A198:A261" si="3">IFERROR(MATCH(TRUE,INDEX(C198:D198&lt;&gt;0,),)+2,0)</f>
        <v>0</v>
      </c>
      <c r="B198" t="b">
        <f>SUMPRODUCT(LEN('hospitalityq-nil'!C198:D198))&gt;0</f>
        <v>0</v>
      </c>
      <c r="C198">
        <f>B198*('hospitalityq-nil'!C198="")</f>
        <v>0</v>
      </c>
      <c r="D198">
        <f>B198*('hospitalityq-nil'!D198="")</f>
        <v>0</v>
      </c>
    </row>
    <row r="199" spans="1:4" x14ac:dyDescent="0.25">
      <c r="A199">
        <f t="shared" si="3"/>
        <v>0</v>
      </c>
      <c r="B199" t="b">
        <f>SUMPRODUCT(LEN('hospitalityq-nil'!C199:D199))&gt;0</f>
        <v>0</v>
      </c>
      <c r="C199">
        <f>B199*('hospitalityq-nil'!C199="")</f>
        <v>0</v>
      </c>
      <c r="D199">
        <f>B199*('hospitalityq-nil'!D199="")</f>
        <v>0</v>
      </c>
    </row>
    <row r="200" spans="1:4" x14ac:dyDescent="0.25">
      <c r="A200">
        <f t="shared" si="3"/>
        <v>0</v>
      </c>
      <c r="B200" t="b">
        <f>SUMPRODUCT(LEN('hospitalityq-nil'!C200:D200))&gt;0</f>
        <v>0</v>
      </c>
      <c r="C200">
        <f>B200*('hospitalityq-nil'!C200="")</f>
        <v>0</v>
      </c>
      <c r="D200">
        <f>B200*('hospitalityq-nil'!D200="")</f>
        <v>0</v>
      </c>
    </row>
    <row r="201" spans="1:4" x14ac:dyDescent="0.25">
      <c r="A201">
        <f t="shared" si="3"/>
        <v>0</v>
      </c>
      <c r="B201" t="b">
        <f>SUMPRODUCT(LEN('hospitalityq-nil'!C201:D201))&gt;0</f>
        <v>0</v>
      </c>
      <c r="C201">
        <f>B201*('hospitalityq-nil'!C201="")</f>
        <v>0</v>
      </c>
      <c r="D201">
        <f>B201*('hospitalityq-nil'!D201="")</f>
        <v>0</v>
      </c>
    </row>
    <row r="202" spans="1:4" x14ac:dyDescent="0.25">
      <c r="A202">
        <f t="shared" si="3"/>
        <v>0</v>
      </c>
      <c r="B202" t="b">
        <f>SUMPRODUCT(LEN('hospitalityq-nil'!C202:D202))&gt;0</f>
        <v>0</v>
      </c>
      <c r="C202">
        <f>B202*('hospitalityq-nil'!C202="")</f>
        <v>0</v>
      </c>
      <c r="D202">
        <f>B202*('hospitalityq-nil'!D202="")</f>
        <v>0</v>
      </c>
    </row>
    <row r="203" spans="1:4" x14ac:dyDescent="0.25">
      <c r="A203">
        <f t="shared" si="3"/>
        <v>0</v>
      </c>
      <c r="B203" t="b">
        <f>SUMPRODUCT(LEN('hospitalityq-nil'!C203:D203))&gt;0</f>
        <v>0</v>
      </c>
      <c r="C203">
        <f>B203*('hospitalityq-nil'!C203="")</f>
        <v>0</v>
      </c>
      <c r="D203">
        <f>B203*('hospitalityq-nil'!D203="")</f>
        <v>0</v>
      </c>
    </row>
    <row r="204" spans="1:4" x14ac:dyDescent="0.25">
      <c r="A204">
        <f t="shared" si="3"/>
        <v>0</v>
      </c>
      <c r="B204" t="b">
        <f>SUMPRODUCT(LEN('hospitalityq-nil'!C204:D204))&gt;0</f>
        <v>0</v>
      </c>
      <c r="C204">
        <f>B204*('hospitalityq-nil'!C204="")</f>
        <v>0</v>
      </c>
      <c r="D204">
        <f>B204*('hospitalityq-nil'!D204="")</f>
        <v>0</v>
      </c>
    </row>
    <row r="205" spans="1:4" x14ac:dyDescent="0.25">
      <c r="A205">
        <f t="shared" si="3"/>
        <v>0</v>
      </c>
      <c r="B205" t="b">
        <f>SUMPRODUCT(LEN('hospitalityq-nil'!C205:D205))&gt;0</f>
        <v>0</v>
      </c>
      <c r="C205">
        <f>B205*('hospitalityq-nil'!C205="")</f>
        <v>0</v>
      </c>
      <c r="D205">
        <f>B205*('hospitalityq-nil'!D205="")</f>
        <v>0</v>
      </c>
    </row>
    <row r="206" spans="1:4" x14ac:dyDescent="0.25">
      <c r="A206">
        <f t="shared" si="3"/>
        <v>0</v>
      </c>
      <c r="B206" t="b">
        <f>SUMPRODUCT(LEN('hospitalityq-nil'!C206:D206))&gt;0</f>
        <v>0</v>
      </c>
      <c r="C206">
        <f>B206*('hospitalityq-nil'!C206="")</f>
        <v>0</v>
      </c>
      <c r="D206">
        <f>B206*('hospitalityq-nil'!D206="")</f>
        <v>0</v>
      </c>
    </row>
    <row r="207" spans="1:4" x14ac:dyDescent="0.25">
      <c r="A207">
        <f t="shared" si="3"/>
        <v>0</v>
      </c>
      <c r="B207" t="b">
        <f>SUMPRODUCT(LEN('hospitalityq-nil'!C207:D207))&gt;0</f>
        <v>0</v>
      </c>
      <c r="C207">
        <f>B207*('hospitalityq-nil'!C207="")</f>
        <v>0</v>
      </c>
      <c r="D207">
        <f>B207*('hospitalityq-nil'!D207="")</f>
        <v>0</v>
      </c>
    </row>
    <row r="208" spans="1:4" x14ac:dyDescent="0.25">
      <c r="A208">
        <f t="shared" si="3"/>
        <v>0</v>
      </c>
      <c r="B208" t="b">
        <f>SUMPRODUCT(LEN('hospitalityq-nil'!C208:D208))&gt;0</f>
        <v>0</v>
      </c>
      <c r="C208">
        <f>B208*('hospitalityq-nil'!C208="")</f>
        <v>0</v>
      </c>
      <c r="D208">
        <f>B208*('hospitalityq-nil'!D208="")</f>
        <v>0</v>
      </c>
    </row>
    <row r="209" spans="1:4" x14ac:dyDescent="0.25">
      <c r="A209">
        <f t="shared" si="3"/>
        <v>0</v>
      </c>
      <c r="B209" t="b">
        <f>SUMPRODUCT(LEN('hospitalityq-nil'!C209:D209))&gt;0</f>
        <v>0</v>
      </c>
      <c r="C209">
        <f>B209*('hospitalityq-nil'!C209="")</f>
        <v>0</v>
      </c>
      <c r="D209">
        <f>B209*('hospitalityq-nil'!D209="")</f>
        <v>0</v>
      </c>
    </row>
    <row r="210" spans="1:4" x14ac:dyDescent="0.25">
      <c r="A210">
        <f t="shared" si="3"/>
        <v>0</v>
      </c>
      <c r="B210" t="b">
        <f>SUMPRODUCT(LEN('hospitalityq-nil'!C210:D210))&gt;0</f>
        <v>0</v>
      </c>
      <c r="C210">
        <f>B210*('hospitalityq-nil'!C210="")</f>
        <v>0</v>
      </c>
      <c r="D210">
        <f>B210*('hospitalityq-nil'!D210="")</f>
        <v>0</v>
      </c>
    </row>
    <row r="211" spans="1:4" x14ac:dyDescent="0.25">
      <c r="A211">
        <f t="shared" si="3"/>
        <v>0</v>
      </c>
      <c r="B211" t="b">
        <f>SUMPRODUCT(LEN('hospitalityq-nil'!C211:D211))&gt;0</f>
        <v>0</v>
      </c>
      <c r="C211">
        <f>B211*('hospitalityq-nil'!C211="")</f>
        <v>0</v>
      </c>
      <c r="D211">
        <f>B211*('hospitalityq-nil'!D211="")</f>
        <v>0</v>
      </c>
    </row>
    <row r="212" spans="1:4" x14ac:dyDescent="0.25">
      <c r="A212">
        <f t="shared" si="3"/>
        <v>0</v>
      </c>
      <c r="B212" t="b">
        <f>SUMPRODUCT(LEN('hospitalityq-nil'!C212:D212))&gt;0</f>
        <v>0</v>
      </c>
      <c r="C212">
        <f>B212*('hospitalityq-nil'!C212="")</f>
        <v>0</v>
      </c>
      <c r="D212">
        <f>B212*('hospitalityq-nil'!D212="")</f>
        <v>0</v>
      </c>
    </row>
    <row r="213" spans="1:4" x14ac:dyDescent="0.25">
      <c r="A213">
        <f t="shared" si="3"/>
        <v>0</v>
      </c>
      <c r="B213" t="b">
        <f>SUMPRODUCT(LEN('hospitalityq-nil'!C213:D213))&gt;0</f>
        <v>0</v>
      </c>
      <c r="C213">
        <f>B213*('hospitalityq-nil'!C213="")</f>
        <v>0</v>
      </c>
      <c r="D213">
        <f>B213*('hospitalityq-nil'!D213="")</f>
        <v>0</v>
      </c>
    </row>
    <row r="214" spans="1:4" x14ac:dyDescent="0.25">
      <c r="A214">
        <f t="shared" si="3"/>
        <v>0</v>
      </c>
      <c r="B214" t="b">
        <f>SUMPRODUCT(LEN('hospitalityq-nil'!C214:D214))&gt;0</f>
        <v>0</v>
      </c>
      <c r="C214">
        <f>B214*('hospitalityq-nil'!C214="")</f>
        <v>0</v>
      </c>
      <c r="D214">
        <f>B214*('hospitalityq-nil'!D214="")</f>
        <v>0</v>
      </c>
    </row>
    <row r="215" spans="1:4" x14ac:dyDescent="0.25">
      <c r="A215">
        <f t="shared" si="3"/>
        <v>0</v>
      </c>
      <c r="B215" t="b">
        <f>SUMPRODUCT(LEN('hospitalityq-nil'!C215:D215))&gt;0</f>
        <v>0</v>
      </c>
      <c r="C215">
        <f>B215*('hospitalityq-nil'!C215="")</f>
        <v>0</v>
      </c>
      <c r="D215">
        <f>B215*('hospitalityq-nil'!D215="")</f>
        <v>0</v>
      </c>
    </row>
    <row r="216" spans="1:4" x14ac:dyDescent="0.25">
      <c r="A216">
        <f t="shared" si="3"/>
        <v>0</v>
      </c>
      <c r="B216" t="b">
        <f>SUMPRODUCT(LEN('hospitalityq-nil'!C216:D216))&gt;0</f>
        <v>0</v>
      </c>
      <c r="C216">
        <f>B216*('hospitalityq-nil'!C216="")</f>
        <v>0</v>
      </c>
      <c r="D216">
        <f>B216*('hospitalityq-nil'!D216="")</f>
        <v>0</v>
      </c>
    </row>
    <row r="217" spans="1:4" x14ac:dyDescent="0.25">
      <c r="A217">
        <f t="shared" si="3"/>
        <v>0</v>
      </c>
      <c r="B217" t="b">
        <f>SUMPRODUCT(LEN('hospitalityq-nil'!C217:D217))&gt;0</f>
        <v>0</v>
      </c>
      <c r="C217">
        <f>B217*('hospitalityq-nil'!C217="")</f>
        <v>0</v>
      </c>
      <c r="D217">
        <f>B217*('hospitalityq-nil'!D217="")</f>
        <v>0</v>
      </c>
    </row>
    <row r="218" spans="1:4" x14ac:dyDescent="0.25">
      <c r="A218">
        <f t="shared" si="3"/>
        <v>0</v>
      </c>
      <c r="B218" t="b">
        <f>SUMPRODUCT(LEN('hospitalityq-nil'!C218:D218))&gt;0</f>
        <v>0</v>
      </c>
      <c r="C218">
        <f>B218*('hospitalityq-nil'!C218="")</f>
        <v>0</v>
      </c>
      <c r="D218">
        <f>B218*('hospitalityq-nil'!D218="")</f>
        <v>0</v>
      </c>
    </row>
    <row r="219" spans="1:4" x14ac:dyDescent="0.25">
      <c r="A219">
        <f t="shared" si="3"/>
        <v>0</v>
      </c>
      <c r="B219" t="b">
        <f>SUMPRODUCT(LEN('hospitalityq-nil'!C219:D219))&gt;0</f>
        <v>0</v>
      </c>
      <c r="C219">
        <f>B219*('hospitalityq-nil'!C219="")</f>
        <v>0</v>
      </c>
      <c r="D219">
        <f>B219*('hospitalityq-nil'!D219="")</f>
        <v>0</v>
      </c>
    </row>
    <row r="220" spans="1:4" x14ac:dyDescent="0.25">
      <c r="A220">
        <f t="shared" si="3"/>
        <v>0</v>
      </c>
      <c r="B220" t="b">
        <f>SUMPRODUCT(LEN('hospitalityq-nil'!C220:D220))&gt;0</f>
        <v>0</v>
      </c>
      <c r="C220">
        <f>B220*('hospitalityq-nil'!C220="")</f>
        <v>0</v>
      </c>
      <c r="D220">
        <f>B220*('hospitalityq-nil'!D220="")</f>
        <v>0</v>
      </c>
    </row>
    <row r="221" spans="1:4" x14ac:dyDescent="0.25">
      <c r="A221">
        <f t="shared" si="3"/>
        <v>0</v>
      </c>
      <c r="B221" t="b">
        <f>SUMPRODUCT(LEN('hospitalityq-nil'!C221:D221))&gt;0</f>
        <v>0</v>
      </c>
      <c r="C221">
        <f>B221*('hospitalityq-nil'!C221="")</f>
        <v>0</v>
      </c>
      <c r="D221">
        <f>B221*('hospitalityq-nil'!D221="")</f>
        <v>0</v>
      </c>
    </row>
    <row r="222" spans="1:4" x14ac:dyDescent="0.25">
      <c r="A222">
        <f t="shared" si="3"/>
        <v>0</v>
      </c>
      <c r="B222" t="b">
        <f>SUMPRODUCT(LEN('hospitalityq-nil'!C222:D222))&gt;0</f>
        <v>0</v>
      </c>
      <c r="C222">
        <f>B222*('hospitalityq-nil'!C222="")</f>
        <v>0</v>
      </c>
      <c r="D222">
        <f>B222*('hospitalityq-nil'!D222="")</f>
        <v>0</v>
      </c>
    </row>
    <row r="223" spans="1:4" x14ac:dyDescent="0.25">
      <c r="A223">
        <f t="shared" si="3"/>
        <v>0</v>
      </c>
      <c r="B223" t="b">
        <f>SUMPRODUCT(LEN('hospitalityq-nil'!C223:D223))&gt;0</f>
        <v>0</v>
      </c>
      <c r="C223">
        <f>B223*('hospitalityq-nil'!C223="")</f>
        <v>0</v>
      </c>
      <c r="D223">
        <f>B223*('hospitalityq-nil'!D223="")</f>
        <v>0</v>
      </c>
    </row>
    <row r="224" spans="1:4" x14ac:dyDescent="0.25">
      <c r="A224">
        <f t="shared" si="3"/>
        <v>0</v>
      </c>
      <c r="B224" t="b">
        <f>SUMPRODUCT(LEN('hospitalityq-nil'!C224:D224))&gt;0</f>
        <v>0</v>
      </c>
      <c r="C224">
        <f>B224*('hospitalityq-nil'!C224="")</f>
        <v>0</v>
      </c>
      <c r="D224">
        <f>B224*('hospitalityq-nil'!D224="")</f>
        <v>0</v>
      </c>
    </row>
    <row r="225" spans="1:4" x14ac:dyDescent="0.25">
      <c r="A225">
        <f t="shared" si="3"/>
        <v>0</v>
      </c>
      <c r="B225" t="b">
        <f>SUMPRODUCT(LEN('hospitalityq-nil'!C225:D225))&gt;0</f>
        <v>0</v>
      </c>
      <c r="C225">
        <f>B225*('hospitalityq-nil'!C225="")</f>
        <v>0</v>
      </c>
      <c r="D225">
        <f>B225*('hospitalityq-nil'!D225="")</f>
        <v>0</v>
      </c>
    </row>
    <row r="226" spans="1:4" x14ac:dyDescent="0.25">
      <c r="A226">
        <f t="shared" si="3"/>
        <v>0</v>
      </c>
      <c r="B226" t="b">
        <f>SUMPRODUCT(LEN('hospitalityq-nil'!C226:D226))&gt;0</f>
        <v>0</v>
      </c>
      <c r="C226">
        <f>B226*('hospitalityq-nil'!C226="")</f>
        <v>0</v>
      </c>
      <c r="D226">
        <f>B226*('hospitalityq-nil'!D226="")</f>
        <v>0</v>
      </c>
    </row>
    <row r="227" spans="1:4" x14ac:dyDescent="0.25">
      <c r="A227">
        <f t="shared" si="3"/>
        <v>0</v>
      </c>
      <c r="B227" t="b">
        <f>SUMPRODUCT(LEN('hospitalityq-nil'!C227:D227))&gt;0</f>
        <v>0</v>
      </c>
      <c r="C227">
        <f>B227*('hospitalityq-nil'!C227="")</f>
        <v>0</v>
      </c>
      <c r="D227">
        <f>B227*('hospitalityq-nil'!D227="")</f>
        <v>0</v>
      </c>
    </row>
    <row r="228" spans="1:4" x14ac:dyDescent="0.25">
      <c r="A228">
        <f t="shared" si="3"/>
        <v>0</v>
      </c>
      <c r="B228" t="b">
        <f>SUMPRODUCT(LEN('hospitalityq-nil'!C228:D228))&gt;0</f>
        <v>0</v>
      </c>
      <c r="C228">
        <f>B228*('hospitalityq-nil'!C228="")</f>
        <v>0</v>
      </c>
      <c r="D228">
        <f>B228*('hospitalityq-nil'!D228="")</f>
        <v>0</v>
      </c>
    </row>
    <row r="229" spans="1:4" x14ac:dyDescent="0.25">
      <c r="A229">
        <f t="shared" si="3"/>
        <v>0</v>
      </c>
      <c r="B229" t="b">
        <f>SUMPRODUCT(LEN('hospitalityq-nil'!C229:D229))&gt;0</f>
        <v>0</v>
      </c>
      <c r="C229">
        <f>B229*('hospitalityq-nil'!C229="")</f>
        <v>0</v>
      </c>
      <c r="D229">
        <f>B229*('hospitalityq-nil'!D229="")</f>
        <v>0</v>
      </c>
    </row>
    <row r="230" spans="1:4" x14ac:dyDescent="0.25">
      <c r="A230">
        <f t="shared" si="3"/>
        <v>0</v>
      </c>
      <c r="B230" t="b">
        <f>SUMPRODUCT(LEN('hospitalityq-nil'!C230:D230))&gt;0</f>
        <v>0</v>
      </c>
      <c r="C230">
        <f>B230*('hospitalityq-nil'!C230="")</f>
        <v>0</v>
      </c>
      <c r="D230">
        <f>B230*('hospitalityq-nil'!D230="")</f>
        <v>0</v>
      </c>
    </row>
    <row r="231" spans="1:4" x14ac:dyDescent="0.25">
      <c r="A231">
        <f t="shared" si="3"/>
        <v>0</v>
      </c>
      <c r="B231" t="b">
        <f>SUMPRODUCT(LEN('hospitalityq-nil'!C231:D231))&gt;0</f>
        <v>0</v>
      </c>
      <c r="C231">
        <f>B231*('hospitalityq-nil'!C231="")</f>
        <v>0</v>
      </c>
      <c r="D231">
        <f>B231*('hospitalityq-nil'!D231="")</f>
        <v>0</v>
      </c>
    </row>
    <row r="232" spans="1:4" x14ac:dyDescent="0.25">
      <c r="A232">
        <f t="shared" si="3"/>
        <v>0</v>
      </c>
      <c r="B232" t="b">
        <f>SUMPRODUCT(LEN('hospitalityq-nil'!C232:D232))&gt;0</f>
        <v>0</v>
      </c>
      <c r="C232">
        <f>B232*('hospitalityq-nil'!C232="")</f>
        <v>0</v>
      </c>
      <c r="D232">
        <f>B232*('hospitalityq-nil'!D232="")</f>
        <v>0</v>
      </c>
    </row>
    <row r="233" spans="1:4" x14ac:dyDescent="0.25">
      <c r="A233">
        <f t="shared" si="3"/>
        <v>0</v>
      </c>
      <c r="B233" t="b">
        <f>SUMPRODUCT(LEN('hospitalityq-nil'!C233:D233))&gt;0</f>
        <v>0</v>
      </c>
      <c r="C233">
        <f>B233*('hospitalityq-nil'!C233="")</f>
        <v>0</v>
      </c>
      <c r="D233">
        <f>B233*('hospitalityq-nil'!D233="")</f>
        <v>0</v>
      </c>
    </row>
    <row r="234" spans="1:4" x14ac:dyDescent="0.25">
      <c r="A234">
        <f t="shared" si="3"/>
        <v>0</v>
      </c>
      <c r="B234" t="b">
        <f>SUMPRODUCT(LEN('hospitalityq-nil'!C234:D234))&gt;0</f>
        <v>0</v>
      </c>
      <c r="C234">
        <f>B234*('hospitalityq-nil'!C234="")</f>
        <v>0</v>
      </c>
      <c r="D234">
        <f>B234*('hospitalityq-nil'!D234="")</f>
        <v>0</v>
      </c>
    </row>
    <row r="235" spans="1:4" x14ac:dyDescent="0.25">
      <c r="A235">
        <f t="shared" si="3"/>
        <v>0</v>
      </c>
      <c r="B235" t="b">
        <f>SUMPRODUCT(LEN('hospitalityq-nil'!C235:D235))&gt;0</f>
        <v>0</v>
      </c>
      <c r="C235">
        <f>B235*('hospitalityq-nil'!C235="")</f>
        <v>0</v>
      </c>
      <c r="D235">
        <f>B235*('hospitalityq-nil'!D235="")</f>
        <v>0</v>
      </c>
    </row>
    <row r="236" spans="1:4" x14ac:dyDescent="0.25">
      <c r="A236">
        <f t="shared" si="3"/>
        <v>0</v>
      </c>
      <c r="B236" t="b">
        <f>SUMPRODUCT(LEN('hospitalityq-nil'!C236:D236))&gt;0</f>
        <v>0</v>
      </c>
      <c r="C236">
        <f>B236*('hospitalityq-nil'!C236="")</f>
        <v>0</v>
      </c>
      <c r="D236">
        <f>B236*('hospitalityq-nil'!D236="")</f>
        <v>0</v>
      </c>
    </row>
    <row r="237" spans="1:4" x14ac:dyDescent="0.25">
      <c r="A237">
        <f t="shared" si="3"/>
        <v>0</v>
      </c>
      <c r="B237" t="b">
        <f>SUMPRODUCT(LEN('hospitalityq-nil'!C237:D237))&gt;0</f>
        <v>0</v>
      </c>
      <c r="C237">
        <f>B237*('hospitalityq-nil'!C237="")</f>
        <v>0</v>
      </c>
      <c r="D237">
        <f>B237*('hospitalityq-nil'!D237="")</f>
        <v>0</v>
      </c>
    </row>
    <row r="238" spans="1:4" x14ac:dyDescent="0.25">
      <c r="A238">
        <f t="shared" si="3"/>
        <v>0</v>
      </c>
      <c r="B238" t="b">
        <f>SUMPRODUCT(LEN('hospitalityq-nil'!C238:D238))&gt;0</f>
        <v>0</v>
      </c>
      <c r="C238">
        <f>B238*('hospitalityq-nil'!C238="")</f>
        <v>0</v>
      </c>
      <c r="D238">
        <f>B238*('hospitalityq-nil'!D238="")</f>
        <v>0</v>
      </c>
    </row>
    <row r="239" spans="1:4" x14ac:dyDescent="0.25">
      <c r="A239">
        <f t="shared" si="3"/>
        <v>0</v>
      </c>
      <c r="B239" t="b">
        <f>SUMPRODUCT(LEN('hospitalityq-nil'!C239:D239))&gt;0</f>
        <v>0</v>
      </c>
      <c r="C239">
        <f>B239*('hospitalityq-nil'!C239="")</f>
        <v>0</v>
      </c>
      <c r="D239">
        <f>B239*('hospitalityq-nil'!D239="")</f>
        <v>0</v>
      </c>
    </row>
    <row r="240" spans="1:4" x14ac:dyDescent="0.25">
      <c r="A240">
        <f t="shared" si="3"/>
        <v>0</v>
      </c>
      <c r="B240" t="b">
        <f>SUMPRODUCT(LEN('hospitalityq-nil'!C240:D240))&gt;0</f>
        <v>0</v>
      </c>
      <c r="C240">
        <f>B240*('hospitalityq-nil'!C240="")</f>
        <v>0</v>
      </c>
      <c r="D240">
        <f>B240*('hospitalityq-nil'!D240="")</f>
        <v>0</v>
      </c>
    </row>
    <row r="241" spans="1:4" x14ac:dyDescent="0.25">
      <c r="A241">
        <f t="shared" si="3"/>
        <v>0</v>
      </c>
      <c r="B241" t="b">
        <f>SUMPRODUCT(LEN('hospitalityq-nil'!C241:D241))&gt;0</f>
        <v>0</v>
      </c>
      <c r="C241">
        <f>B241*('hospitalityq-nil'!C241="")</f>
        <v>0</v>
      </c>
      <c r="D241">
        <f>B241*('hospitalityq-nil'!D241="")</f>
        <v>0</v>
      </c>
    </row>
    <row r="242" spans="1:4" x14ac:dyDescent="0.25">
      <c r="A242">
        <f t="shared" si="3"/>
        <v>0</v>
      </c>
      <c r="B242" t="b">
        <f>SUMPRODUCT(LEN('hospitalityq-nil'!C242:D242))&gt;0</f>
        <v>0</v>
      </c>
      <c r="C242">
        <f>B242*('hospitalityq-nil'!C242="")</f>
        <v>0</v>
      </c>
      <c r="D242">
        <f>B242*('hospitalityq-nil'!D242="")</f>
        <v>0</v>
      </c>
    </row>
    <row r="243" spans="1:4" x14ac:dyDescent="0.25">
      <c r="A243">
        <f t="shared" si="3"/>
        <v>0</v>
      </c>
      <c r="B243" t="b">
        <f>SUMPRODUCT(LEN('hospitalityq-nil'!C243:D243))&gt;0</f>
        <v>0</v>
      </c>
      <c r="C243">
        <f>B243*('hospitalityq-nil'!C243="")</f>
        <v>0</v>
      </c>
      <c r="D243">
        <f>B243*('hospitalityq-nil'!D243="")</f>
        <v>0</v>
      </c>
    </row>
    <row r="244" spans="1:4" x14ac:dyDescent="0.25">
      <c r="A244">
        <f t="shared" si="3"/>
        <v>0</v>
      </c>
      <c r="B244" t="b">
        <f>SUMPRODUCT(LEN('hospitalityq-nil'!C244:D244))&gt;0</f>
        <v>0</v>
      </c>
      <c r="C244">
        <f>B244*('hospitalityq-nil'!C244="")</f>
        <v>0</v>
      </c>
      <c r="D244">
        <f>B244*('hospitalityq-nil'!D244="")</f>
        <v>0</v>
      </c>
    </row>
    <row r="245" spans="1:4" x14ac:dyDescent="0.25">
      <c r="A245">
        <f t="shared" si="3"/>
        <v>0</v>
      </c>
      <c r="B245" t="b">
        <f>SUMPRODUCT(LEN('hospitalityq-nil'!C245:D245))&gt;0</f>
        <v>0</v>
      </c>
      <c r="C245">
        <f>B245*('hospitalityq-nil'!C245="")</f>
        <v>0</v>
      </c>
      <c r="D245">
        <f>B245*('hospitalityq-nil'!D245="")</f>
        <v>0</v>
      </c>
    </row>
    <row r="246" spans="1:4" x14ac:dyDescent="0.25">
      <c r="A246">
        <f t="shared" si="3"/>
        <v>0</v>
      </c>
      <c r="B246" t="b">
        <f>SUMPRODUCT(LEN('hospitalityq-nil'!C246:D246))&gt;0</f>
        <v>0</v>
      </c>
      <c r="C246">
        <f>B246*('hospitalityq-nil'!C246="")</f>
        <v>0</v>
      </c>
      <c r="D246">
        <f>B246*('hospitalityq-nil'!D246="")</f>
        <v>0</v>
      </c>
    </row>
    <row r="247" spans="1:4" x14ac:dyDescent="0.25">
      <c r="A247">
        <f t="shared" si="3"/>
        <v>0</v>
      </c>
      <c r="B247" t="b">
        <f>SUMPRODUCT(LEN('hospitalityq-nil'!C247:D247))&gt;0</f>
        <v>0</v>
      </c>
      <c r="C247">
        <f>B247*('hospitalityq-nil'!C247="")</f>
        <v>0</v>
      </c>
      <c r="D247">
        <f>B247*('hospitalityq-nil'!D247="")</f>
        <v>0</v>
      </c>
    </row>
    <row r="248" spans="1:4" x14ac:dyDescent="0.25">
      <c r="A248">
        <f t="shared" si="3"/>
        <v>0</v>
      </c>
      <c r="B248" t="b">
        <f>SUMPRODUCT(LEN('hospitalityq-nil'!C248:D248))&gt;0</f>
        <v>0</v>
      </c>
      <c r="C248">
        <f>B248*('hospitalityq-nil'!C248="")</f>
        <v>0</v>
      </c>
      <c r="D248">
        <f>B248*('hospitalityq-nil'!D248="")</f>
        <v>0</v>
      </c>
    </row>
    <row r="249" spans="1:4" x14ac:dyDescent="0.25">
      <c r="A249">
        <f t="shared" si="3"/>
        <v>0</v>
      </c>
      <c r="B249" t="b">
        <f>SUMPRODUCT(LEN('hospitalityq-nil'!C249:D249))&gt;0</f>
        <v>0</v>
      </c>
      <c r="C249">
        <f>B249*('hospitalityq-nil'!C249="")</f>
        <v>0</v>
      </c>
      <c r="D249">
        <f>B249*('hospitalityq-nil'!D249="")</f>
        <v>0</v>
      </c>
    </row>
    <row r="250" spans="1:4" x14ac:dyDescent="0.25">
      <c r="A250">
        <f t="shared" si="3"/>
        <v>0</v>
      </c>
      <c r="B250" t="b">
        <f>SUMPRODUCT(LEN('hospitalityq-nil'!C250:D250))&gt;0</f>
        <v>0</v>
      </c>
      <c r="C250">
        <f>B250*('hospitalityq-nil'!C250="")</f>
        <v>0</v>
      </c>
      <c r="D250">
        <f>B250*('hospitalityq-nil'!D250="")</f>
        <v>0</v>
      </c>
    </row>
    <row r="251" spans="1:4" x14ac:dyDescent="0.25">
      <c r="A251">
        <f t="shared" si="3"/>
        <v>0</v>
      </c>
      <c r="B251" t="b">
        <f>SUMPRODUCT(LEN('hospitalityq-nil'!C251:D251))&gt;0</f>
        <v>0</v>
      </c>
      <c r="C251">
        <f>B251*('hospitalityq-nil'!C251="")</f>
        <v>0</v>
      </c>
      <c r="D251">
        <f>B251*('hospitalityq-nil'!D251="")</f>
        <v>0</v>
      </c>
    </row>
    <row r="252" spans="1:4" x14ac:dyDescent="0.25">
      <c r="A252">
        <f t="shared" si="3"/>
        <v>0</v>
      </c>
      <c r="B252" t="b">
        <f>SUMPRODUCT(LEN('hospitalityq-nil'!C252:D252))&gt;0</f>
        <v>0</v>
      </c>
      <c r="C252">
        <f>B252*('hospitalityq-nil'!C252="")</f>
        <v>0</v>
      </c>
      <c r="D252">
        <f>B252*('hospitalityq-nil'!D252="")</f>
        <v>0</v>
      </c>
    </row>
    <row r="253" spans="1:4" x14ac:dyDescent="0.25">
      <c r="A253">
        <f t="shared" si="3"/>
        <v>0</v>
      </c>
      <c r="B253" t="b">
        <f>SUMPRODUCT(LEN('hospitalityq-nil'!C253:D253))&gt;0</f>
        <v>0</v>
      </c>
      <c r="C253">
        <f>B253*('hospitalityq-nil'!C253="")</f>
        <v>0</v>
      </c>
      <c r="D253">
        <f>B253*('hospitalityq-nil'!D253="")</f>
        <v>0</v>
      </c>
    </row>
    <row r="254" spans="1:4" x14ac:dyDescent="0.25">
      <c r="A254">
        <f t="shared" si="3"/>
        <v>0</v>
      </c>
      <c r="B254" t="b">
        <f>SUMPRODUCT(LEN('hospitalityq-nil'!C254:D254))&gt;0</f>
        <v>0</v>
      </c>
      <c r="C254">
        <f>B254*('hospitalityq-nil'!C254="")</f>
        <v>0</v>
      </c>
      <c r="D254">
        <f>B254*('hospitalityq-nil'!D254="")</f>
        <v>0</v>
      </c>
    </row>
    <row r="255" spans="1:4" x14ac:dyDescent="0.25">
      <c r="A255">
        <f t="shared" si="3"/>
        <v>0</v>
      </c>
      <c r="B255" t="b">
        <f>SUMPRODUCT(LEN('hospitalityq-nil'!C255:D255))&gt;0</f>
        <v>0</v>
      </c>
      <c r="C255">
        <f>B255*('hospitalityq-nil'!C255="")</f>
        <v>0</v>
      </c>
      <c r="D255">
        <f>B255*('hospitalityq-nil'!D255="")</f>
        <v>0</v>
      </c>
    </row>
    <row r="256" spans="1:4" x14ac:dyDescent="0.25">
      <c r="A256">
        <f t="shared" si="3"/>
        <v>0</v>
      </c>
      <c r="B256" t="b">
        <f>SUMPRODUCT(LEN('hospitalityq-nil'!C256:D256))&gt;0</f>
        <v>0</v>
      </c>
      <c r="C256">
        <f>B256*('hospitalityq-nil'!C256="")</f>
        <v>0</v>
      </c>
      <c r="D256">
        <f>B256*('hospitalityq-nil'!D256="")</f>
        <v>0</v>
      </c>
    </row>
    <row r="257" spans="1:4" x14ac:dyDescent="0.25">
      <c r="A257">
        <f t="shared" si="3"/>
        <v>0</v>
      </c>
      <c r="B257" t="b">
        <f>SUMPRODUCT(LEN('hospitalityq-nil'!C257:D257))&gt;0</f>
        <v>0</v>
      </c>
      <c r="C257">
        <f>B257*('hospitalityq-nil'!C257="")</f>
        <v>0</v>
      </c>
      <c r="D257">
        <f>B257*('hospitalityq-nil'!D257="")</f>
        <v>0</v>
      </c>
    </row>
    <row r="258" spans="1:4" x14ac:dyDescent="0.25">
      <c r="A258">
        <f t="shared" si="3"/>
        <v>0</v>
      </c>
      <c r="B258" t="b">
        <f>SUMPRODUCT(LEN('hospitalityq-nil'!C258:D258))&gt;0</f>
        <v>0</v>
      </c>
      <c r="C258">
        <f>B258*('hospitalityq-nil'!C258="")</f>
        <v>0</v>
      </c>
      <c r="D258">
        <f>B258*('hospitalityq-nil'!D258="")</f>
        <v>0</v>
      </c>
    </row>
    <row r="259" spans="1:4" x14ac:dyDescent="0.25">
      <c r="A259">
        <f t="shared" si="3"/>
        <v>0</v>
      </c>
      <c r="B259" t="b">
        <f>SUMPRODUCT(LEN('hospitalityq-nil'!C259:D259))&gt;0</f>
        <v>0</v>
      </c>
      <c r="C259">
        <f>B259*('hospitalityq-nil'!C259="")</f>
        <v>0</v>
      </c>
      <c r="D259">
        <f>B259*('hospitalityq-nil'!D259="")</f>
        <v>0</v>
      </c>
    </row>
    <row r="260" spans="1:4" x14ac:dyDescent="0.25">
      <c r="A260">
        <f t="shared" si="3"/>
        <v>0</v>
      </c>
      <c r="B260" t="b">
        <f>SUMPRODUCT(LEN('hospitalityq-nil'!C260:D260))&gt;0</f>
        <v>0</v>
      </c>
      <c r="C260">
        <f>B260*('hospitalityq-nil'!C260="")</f>
        <v>0</v>
      </c>
      <c r="D260">
        <f>B260*('hospitalityq-nil'!D260="")</f>
        <v>0</v>
      </c>
    </row>
    <row r="261" spans="1:4" x14ac:dyDescent="0.25">
      <c r="A261">
        <f t="shared" si="3"/>
        <v>0</v>
      </c>
      <c r="B261" t="b">
        <f>SUMPRODUCT(LEN('hospitalityq-nil'!C261:D261))&gt;0</f>
        <v>0</v>
      </c>
      <c r="C261">
        <f>B261*('hospitalityq-nil'!C261="")</f>
        <v>0</v>
      </c>
      <c r="D261">
        <f>B261*('hospitalityq-nil'!D261="")</f>
        <v>0</v>
      </c>
    </row>
    <row r="262" spans="1:4" x14ac:dyDescent="0.25">
      <c r="A262">
        <f t="shared" ref="A262:A325" si="4">IFERROR(MATCH(TRUE,INDEX(C262:D262&lt;&gt;0,),)+2,0)</f>
        <v>0</v>
      </c>
      <c r="B262" t="b">
        <f>SUMPRODUCT(LEN('hospitalityq-nil'!C262:D262))&gt;0</f>
        <v>0</v>
      </c>
      <c r="C262">
        <f>B262*('hospitalityq-nil'!C262="")</f>
        <v>0</v>
      </c>
      <c r="D262">
        <f>B262*('hospitalityq-nil'!D262="")</f>
        <v>0</v>
      </c>
    </row>
    <row r="263" spans="1:4" x14ac:dyDescent="0.25">
      <c r="A263">
        <f t="shared" si="4"/>
        <v>0</v>
      </c>
      <c r="B263" t="b">
        <f>SUMPRODUCT(LEN('hospitalityq-nil'!C263:D263))&gt;0</f>
        <v>0</v>
      </c>
      <c r="C263">
        <f>B263*('hospitalityq-nil'!C263="")</f>
        <v>0</v>
      </c>
      <c r="D263">
        <f>B263*('hospitalityq-nil'!D263="")</f>
        <v>0</v>
      </c>
    </row>
    <row r="264" spans="1:4" x14ac:dyDescent="0.25">
      <c r="A264">
        <f t="shared" si="4"/>
        <v>0</v>
      </c>
      <c r="B264" t="b">
        <f>SUMPRODUCT(LEN('hospitalityq-nil'!C264:D264))&gt;0</f>
        <v>0</v>
      </c>
      <c r="C264">
        <f>B264*('hospitalityq-nil'!C264="")</f>
        <v>0</v>
      </c>
      <c r="D264">
        <f>B264*('hospitalityq-nil'!D264="")</f>
        <v>0</v>
      </c>
    </row>
    <row r="265" spans="1:4" x14ac:dyDescent="0.25">
      <c r="A265">
        <f t="shared" si="4"/>
        <v>0</v>
      </c>
      <c r="B265" t="b">
        <f>SUMPRODUCT(LEN('hospitalityq-nil'!C265:D265))&gt;0</f>
        <v>0</v>
      </c>
      <c r="C265">
        <f>B265*('hospitalityq-nil'!C265="")</f>
        <v>0</v>
      </c>
      <c r="D265">
        <f>B265*('hospitalityq-nil'!D265="")</f>
        <v>0</v>
      </c>
    </row>
    <row r="266" spans="1:4" x14ac:dyDescent="0.25">
      <c r="A266">
        <f t="shared" si="4"/>
        <v>0</v>
      </c>
      <c r="B266" t="b">
        <f>SUMPRODUCT(LEN('hospitalityq-nil'!C266:D266))&gt;0</f>
        <v>0</v>
      </c>
      <c r="C266">
        <f>B266*('hospitalityq-nil'!C266="")</f>
        <v>0</v>
      </c>
      <c r="D266">
        <f>B266*('hospitalityq-nil'!D266="")</f>
        <v>0</v>
      </c>
    </row>
    <row r="267" spans="1:4" x14ac:dyDescent="0.25">
      <c r="A267">
        <f t="shared" si="4"/>
        <v>0</v>
      </c>
      <c r="B267" t="b">
        <f>SUMPRODUCT(LEN('hospitalityq-nil'!C267:D267))&gt;0</f>
        <v>0</v>
      </c>
      <c r="C267">
        <f>B267*('hospitalityq-nil'!C267="")</f>
        <v>0</v>
      </c>
      <c r="D267">
        <f>B267*('hospitalityq-nil'!D267="")</f>
        <v>0</v>
      </c>
    </row>
    <row r="268" spans="1:4" x14ac:dyDescent="0.25">
      <c r="A268">
        <f t="shared" si="4"/>
        <v>0</v>
      </c>
      <c r="B268" t="b">
        <f>SUMPRODUCT(LEN('hospitalityq-nil'!C268:D268))&gt;0</f>
        <v>0</v>
      </c>
      <c r="C268">
        <f>B268*('hospitalityq-nil'!C268="")</f>
        <v>0</v>
      </c>
      <c r="D268">
        <f>B268*('hospitalityq-nil'!D268="")</f>
        <v>0</v>
      </c>
    </row>
    <row r="269" spans="1:4" x14ac:dyDescent="0.25">
      <c r="A269">
        <f t="shared" si="4"/>
        <v>0</v>
      </c>
      <c r="B269" t="b">
        <f>SUMPRODUCT(LEN('hospitalityq-nil'!C269:D269))&gt;0</f>
        <v>0</v>
      </c>
      <c r="C269">
        <f>B269*('hospitalityq-nil'!C269="")</f>
        <v>0</v>
      </c>
      <c r="D269">
        <f>B269*('hospitalityq-nil'!D269="")</f>
        <v>0</v>
      </c>
    </row>
    <row r="270" spans="1:4" x14ac:dyDescent="0.25">
      <c r="A270">
        <f t="shared" si="4"/>
        <v>0</v>
      </c>
      <c r="B270" t="b">
        <f>SUMPRODUCT(LEN('hospitalityq-nil'!C270:D270))&gt;0</f>
        <v>0</v>
      </c>
      <c r="C270">
        <f>B270*('hospitalityq-nil'!C270="")</f>
        <v>0</v>
      </c>
      <c r="D270">
        <f>B270*('hospitalityq-nil'!D270="")</f>
        <v>0</v>
      </c>
    </row>
    <row r="271" spans="1:4" x14ac:dyDescent="0.25">
      <c r="A271">
        <f t="shared" si="4"/>
        <v>0</v>
      </c>
      <c r="B271" t="b">
        <f>SUMPRODUCT(LEN('hospitalityq-nil'!C271:D271))&gt;0</f>
        <v>0</v>
      </c>
      <c r="C271">
        <f>B271*('hospitalityq-nil'!C271="")</f>
        <v>0</v>
      </c>
      <c r="D271">
        <f>B271*('hospitalityq-nil'!D271="")</f>
        <v>0</v>
      </c>
    </row>
    <row r="272" spans="1:4" x14ac:dyDescent="0.25">
      <c r="A272">
        <f t="shared" si="4"/>
        <v>0</v>
      </c>
      <c r="B272" t="b">
        <f>SUMPRODUCT(LEN('hospitalityq-nil'!C272:D272))&gt;0</f>
        <v>0</v>
      </c>
      <c r="C272">
        <f>B272*('hospitalityq-nil'!C272="")</f>
        <v>0</v>
      </c>
      <c r="D272">
        <f>B272*('hospitalityq-nil'!D272="")</f>
        <v>0</v>
      </c>
    </row>
    <row r="273" spans="1:4" x14ac:dyDescent="0.25">
      <c r="A273">
        <f t="shared" si="4"/>
        <v>0</v>
      </c>
      <c r="B273" t="b">
        <f>SUMPRODUCT(LEN('hospitalityq-nil'!C273:D273))&gt;0</f>
        <v>0</v>
      </c>
      <c r="C273">
        <f>B273*('hospitalityq-nil'!C273="")</f>
        <v>0</v>
      </c>
      <c r="D273">
        <f>B273*('hospitalityq-nil'!D273="")</f>
        <v>0</v>
      </c>
    </row>
    <row r="274" spans="1:4" x14ac:dyDescent="0.25">
      <c r="A274">
        <f t="shared" si="4"/>
        <v>0</v>
      </c>
      <c r="B274" t="b">
        <f>SUMPRODUCT(LEN('hospitalityq-nil'!C274:D274))&gt;0</f>
        <v>0</v>
      </c>
      <c r="C274">
        <f>B274*('hospitalityq-nil'!C274="")</f>
        <v>0</v>
      </c>
      <c r="D274">
        <f>B274*('hospitalityq-nil'!D274="")</f>
        <v>0</v>
      </c>
    </row>
    <row r="275" spans="1:4" x14ac:dyDescent="0.25">
      <c r="A275">
        <f t="shared" si="4"/>
        <v>0</v>
      </c>
      <c r="B275" t="b">
        <f>SUMPRODUCT(LEN('hospitalityq-nil'!C275:D275))&gt;0</f>
        <v>0</v>
      </c>
      <c r="C275">
        <f>B275*('hospitalityq-nil'!C275="")</f>
        <v>0</v>
      </c>
      <c r="D275">
        <f>B275*('hospitalityq-nil'!D275="")</f>
        <v>0</v>
      </c>
    </row>
    <row r="276" spans="1:4" x14ac:dyDescent="0.25">
      <c r="A276">
        <f t="shared" si="4"/>
        <v>0</v>
      </c>
      <c r="B276" t="b">
        <f>SUMPRODUCT(LEN('hospitalityq-nil'!C276:D276))&gt;0</f>
        <v>0</v>
      </c>
      <c r="C276">
        <f>B276*('hospitalityq-nil'!C276="")</f>
        <v>0</v>
      </c>
      <c r="D276">
        <f>B276*('hospitalityq-nil'!D276="")</f>
        <v>0</v>
      </c>
    </row>
    <row r="277" spans="1:4" x14ac:dyDescent="0.25">
      <c r="A277">
        <f t="shared" si="4"/>
        <v>0</v>
      </c>
      <c r="B277" t="b">
        <f>SUMPRODUCT(LEN('hospitalityq-nil'!C277:D277))&gt;0</f>
        <v>0</v>
      </c>
      <c r="C277">
        <f>B277*('hospitalityq-nil'!C277="")</f>
        <v>0</v>
      </c>
      <c r="D277">
        <f>B277*('hospitalityq-nil'!D277="")</f>
        <v>0</v>
      </c>
    </row>
    <row r="278" spans="1:4" x14ac:dyDescent="0.25">
      <c r="A278">
        <f t="shared" si="4"/>
        <v>0</v>
      </c>
      <c r="B278" t="b">
        <f>SUMPRODUCT(LEN('hospitalityq-nil'!C278:D278))&gt;0</f>
        <v>0</v>
      </c>
      <c r="C278">
        <f>B278*('hospitalityq-nil'!C278="")</f>
        <v>0</v>
      </c>
      <c r="D278">
        <f>B278*('hospitalityq-nil'!D278="")</f>
        <v>0</v>
      </c>
    </row>
    <row r="279" spans="1:4" x14ac:dyDescent="0.25">
      <c r="A279">
        <f t="shared" si="4"/>
        <v>0</v>
      </c>
      <c r="B279" t="b">
        <f>SUMPRODUCT(LEN('hospitalityq-nil'!C279:D279))&gt;0</f>
        <v>0</v>
      </c>
      <c r="C279">
        <f>B279*('hospitalityq-nil'!C279="")</f>
        <v>0</v>
      </c>
      <c r="D279">
        <f>B279*('hospitalityq-nil'!D279="")</f>
        <v>0</v>
      </c>
    </row>
    <row r="280" spans="1:4" x14ac:dyDescent="0.25">
      <c r="A280">
        <f t="shared" si="4"/>
        <v>0</v>
      </c>
      <c r="B280" t="b">
        <f>SUMPRODUCT(LEN('hospitalityq-nil'!C280:D280))&gt;0</f>
        <v>0</v>
      </c>
      <c r="C280">
        <f>B280*('hospitalityq-nil'!C280="")</f>
        <v>0</v>
      </c>
      <c r="D280">
        <f>B280*('hospitalityq-nil'!D280="")</f>
        <v>0</v>
      </c>
    </row>
    <row r="281" spans="1:4" x14ac:dyDescent="0.25">
      <c r="A281">
        <f t="shared" si="4"/>
        <v>0</v>
      </c>
      <c r="B281" t="b">
        <f>SUMPRODUCT(LEN('hospitalityq-nil'!C281:D281))&gt;0</f>
        <v>0</v>
      </c>
      <c r="C281">
        <f>B281*('hospitalityq-nil'!C281="")</f>
        <v>0</v>
      </c>
      <c r="D281">
        <f>B281*('hospitalityq-nil'!D281="")</f>
        <v>0</v>
      </c>
    </row>
    <row r="282" spans="1:4" x14ac:dyDescent="0.25">
      <c r="A282">
        <f t="shared" si="4"/>
        <v>0</v>
      </c>
      <c r="B282" t="b">
        <f>SUMPRODUCT(LEN('hospitalityq-nil'!C282:D282))&gt;0</f>
        <v>0</v>
      </c>
      <c r="C282">
        <f>B282*('hospitalityq-nil'!C282="")</f>
        <v>0</v>
      </c>
      <c r="D282">
        <f>B282*('hospitalityq-nil'!D282="")</f>
        <v>0</v>
      </c>
    </row>
    <row r="283" spans="1:4" x14ac:dyDescent="0.25">
      <c r="A283">
        <f t="shared" si="4"/>
        <v>0</v>
      </c>
      <c r="B283" t="b">
        <f>SUMPRODUCT(LEN('hospitalityq-nil'!C283:D283))&gt;0</f>
        <v>0</v>
      </c>
      <c r="C283">
        <f>B283*('hospitalityq-nil'!C283="")</f>
        <v>0</v>
      </c>
      <c r="D283">
        <f>B283*('hospitalityq-nil'!D283="")</f>
        <v>0</v>
      </c>
    </row>
    <row r="284" spans="1:4" x14ac:dyDescent="0.25">
      <c r="A284">
        <f t="shared" si="4"/>
        <v>0</v>
      </c>
      <c r="B284" t="b">
        <f>SUMPRODUCT(LEN('hospitalityq-nil'!C284:D284))&gt;0</f>
        <v>0</v>
      </c>
      <c r="C284">
        <f>B284*('hospitalityq-nil'!C284="")</f>
        <v>0</v>
      </c>
      <c r="D284">
        <f>B284*('hospitalityq-nil'!D284="")</f>
        <v>0</v>
      </c>
    </row>
    <row r="285" spans="1:4" x14ac:dyDescent="0.25">
      <c r="A285">
        <f t="shared" si="4"/>
        <v>0</v>
      </c>
      <c r="B285" t="b">
        <f>SUMPRODUCT(LEN('hospitalityq-nil'!C285:D285))&gt;0</f>
        <v>0</v>
      </c>
      <c r="C285">
        <f>B285*('hospitalityq-nil'!C285="")</f>
        <v>0</v>
      </c>
      <c r="D285">
        <f>B285*('hospitalityq-nil'!D285="")</f>
        <v>0</v>
      </c>
    </row>
    <row r="286" spans="1:4" x14ac:dyDescent="0.25">
      <c r="A286">
        <f t="shared" si="4"/>
        <v>0</v>
      </c>
      <c r="B286" t="b">
        <f>SUMPRODUCT(LEN('hospitalityq-nil'!C286:D286))&gt;0</f>
        <v>0</v>
      </c>
      <c r="C286">
        <f>B286*('hospitalityq-nil'!C286="")</f>
        <v>0</v>
      </c>
      <c r="D286">
        <f>B286*('hospitalityq-nil'!D286="")</f>
        <v>0</v>
      </c>
    </row>
    <row r="287" spans="1:4" x14ac:dyDescent="0.25">
      <c r="A287">
        <f t="shared" si="4"/>
        <v>0</v>
      </c>
      <c r="B287" t="b">
        <f>SUMPRODUCT(LEN('hospitalityq-nil'!C287:D287))&gt;0</f>
        <v>0</v>
      </c>
      <c r="C287">
        <f>B287*('hospitalityq-nil'!C287="")</f>
        <v>0</v>
      </c>
      <c r="D287">
        <f>B287*('hospitalityq-nil'!D287="")</f>
        <v>0</v>
      </c>
    </row>
    <row r="288" spans="1:4" x14ac:dyDescent="0.25">
      <c r="A288">
        <f t="shared" si="4"/>
        <v>0</v>
      </c>
      <c r="B288" t="b">
        <f>SUMPRODUCT(LEN('hospitalityq-nil'!C288:D288))&gt;0</f>
        <v>0</v>
      </c>
      <c r="C288">
        <f>B288*('hospitalityq-nil'!C288="")</f>
        <v>0</v>
      </c>
      <c r="D288">
        <f>B288*('hospitalityq-nil'!D288="")</f>
        <v>0</v>
      </c>
    </row>
    <row r="289" spans="1:4" x14ac:dyDescent="0.25">
      <c r="A289">
        <f t="shared" si="4"/>
        <v>0</v>
      </c>
      <c r="B289" t="b">
        <f>SUMPRODUCT(LEN('hospitalityq-nil'!C289:D289))&gt;0</f>
        <v>0</v>
      </c>
      <c r="C289">
        <f>B289*('hospitalityq-nil'!C289="")</f>
        <v>0</v>
      </c>
      <c r="D289">
        <f>B289*('hospitalityq-nil'!D289="")</f>
        <v>0</v>
      </c>
    </row>
    <row r="290" spans="1:4" x14ac:dyDescent="0.25">
      <c r="A290">
        <f t="shared" si="4"/>
        <v>0</v>
      </c>
      <c r="B290" t="b">
        <f>SUMPRODUCT(LEN('hospitalityq-nil'!C290:D290))&gt;0</f>
        <v>0</v>
      </c>
      <c r="C290">
        <f>B290*('hospitalityq-nil'!C290="")</f>
        <v>0</v>
      </c>
      <c r="D290">
        <f>B290*('hospitalityq-nil'!D290="")</f>
        <v>0</v>
      </c>
    </row>
    <row r="291" spans="1:4" x14ac:dyDescent="0.25">
      <c r="A291">
        <f t="shared" si="4"/>
        <v>0</v>
      </c>
      <c r="B291" t="b">
        <f>SUMPRODUCT(LEN('hospitalityq-nil'!C291:D291))&gt;0</f>
        <v>0</v>
      </c>
      <c r="C291">
        <f>B291*('hospitalityq-nil'!C291="")</f>
        <v>0</v>
      </c>
      <c r="D291">
        <f>B291*('hospitalityq-nil'!D291="")</f>
        <v>0</v>
      </c>
    </row>
    <row r="292" spans="1:4" x14ac:dyDescent="0.25">
      <c r="A292">
        <f t="shared" si="4"/>
        <v>0</v>
      </c>
      <c r="B292" t="b">
        <f>SUMPRODUCT(LEN('hospitalityq-nil'!C292:D292))&gt;0</f>
        <v>0</v>
      </c>
      <c r="C292">
        <f>B292*('hospitalityq-nil'!C292="")</f>
        <v>0</v>
      </c>
      <c r="D292">
        <f>B292*('hospitalityq-nil'!D292="")</f>
        <v>0</v>
      </c>
    </row>
    <row r="293" spans="1:4" x14ac:dyDescent="0.25">
      <c r="A293">
        <f t="shared" si="4"/>
        <v>0</v>
      </c>
      <c r="B293" t="b">
        <f>SUMPRODUCT(LEN('hospitalityq-nil'!C293:D293))&gt;0</f>
        <v>0</v>
      </c>
      <c r="C293">
        <f>B293*('hospitalityq-nil'!C293="")</f>
        <v>0</v>
      </c>
      <c r="D293">
        <f>B293*('hospitalityq-nil'!D293="")</f>
        <v>0</v>
      </c>
    </row>
    <row r="294" spans="1:4" x14ac:dyDescent="0.25">
      <c r="A294">
        <f t="shared" si="4"/>
        <v>0</v>
      </c>
      <c r="B294" t="b">
        <f>SUMPRODUCT(LEN('hospitalityq-nil'!C294:D294))&gt;0</f>
        <v>0</v>
      </c>
      <c r="C294">
        <f>B294*('hospitalityq-nil'!C294="")</f>
        <v>0</v>
      </c>
      <c r="D294">
        <f>B294*('hospitalityq-nil'!D294="")</f>
        <v>0</v>
      </c>
    </row>
    <row r="295" spans="1:4" x14ac:dyDescent="0.25">
      <c r="A295">
        <f t="shared" si="4"/>
        <v>0</v>
      </c>
      <c r="B295" t="b">
        <f>SUMPRODUCT(LEN('hospitalityq-nil'!C295:D295))&gt;0</f>
        <v>0</v>
      </c>
      <c r="C295">
        <f>B295*('hospitalityq-nil'!C295="")</f>
        <v>0</v>
      </c>
      <c r="D295">
        <f>B295*('hospitalityq-nil'!D295="")</f>
        <v>0</v>
      </c>
    </row>
    <row r="296" spans="1:4" x14ac:dyDescent="0.25">
      <c r="A296">
        <f t="shared" si="4"/>
        <v>0</v>
      </c>
      <c r="B296" t="b">
        <f>SUMPRODUCT(LEN('hospitalityq-nil'!C296:D296))&gt;0</f>
        <v>0</v>
      </c>
      <c r="C296">
        <f>B296*('hospitalityq-nil'!C296="")</f>
        <v>0</v>
      </c>
      <c r="D296">
        <f>B296*('hospitalityq-nil'!D296="")</f>
        <v>0</v>
      </c>
    </row>
    <row r="297" spans="1:4" x14ac:dyDescent="0.25">
      <c r="A297">
        <f t="shared" si="4"/>
        <v>0</v>
      </c>
      <c r="B297" t="b">
        <f>SUMPRODUCT(LEN('hospitalityq-nil'!C297:D297))&gt;0</f>
        <v>0</v>
      </c>
      <c r="C297">
        <f>B297*('hospitalityq-nil'!C297="")</f>
        <v>0</v>
      </c>
      <c r="D297">
        <f>B297*('hospitalityq-nil'!D297="")</f>
        <v>0</v>
      </c>
    </row>
    <row r="298" spans="1:4" x14ac:dyDescent="0.25">
      <c r="A298">
        <f t="shared" si="4"/>
        <v>0</v>
      </c>
      <c r="B298" t="b">
        <f>SUMPRODUCT(LEN('hospitalityq-nil'!C298:D298))&gt;0</f>
        <v>0</v>
      </c>
      <c r="C298">
        <f>B298*('hospitalityq-nil'!C298="")</f>
        <v>0</v>
      </c>
      <c r="D298">
        <f>B298*('hospitalityq-nil'!D298="")</f>
        <v>0</v>
      </c>
    </row>
    <row r="299" spans="1:4" x14ac:dyDescent="0.25">
      <c r="A299">
        <f t="shared" si="4"/>
        <v>0</v>
      </c>
      <c r="B299" t="b">
        <f>SUMPRODUCT(LEN('hospitalityq-nil'!C299:D299))&gt;0</f>
        <v>0</v>
      </c>
      <c r="C299">
        <f>B299*('hospitalityq-nil'!C299="")</f>
        <v>0</v>
      </c>
      <c r="D299">
        <f>B299*('hospitalityq-nil'!D299="")</f>
        <v>0</v>
      </c>
    </row>
    <row r="300" spans="1:4" x14ac:dyDescent="0.25">
      <c r="A300">
        <f t="shared" si="4"/>
        <v>0</v>
      </c>
      <c r="B300" t="b">
        <f>SUMPRODUCT(LEN('hospitalityq-nil'!C300:D300))&gt;0</f>
        <v>0</v>
      </c>
      <c r="C300">
        <f>B300*('hospitalityq-nil'!C300="")</f>
        <v>0</v>
      </c>
      <c r="D300">
        <f>B300*('hospitalityq-nil'!D300="")</f>
        <v>0</v>
      </c>
    </row>
    <row r="301" spans="1:4" x14ac:dyDescent="0.25">
      <c r="A301">
        <f t="shared" si="4"/>
        <v>0</v>
      </c>
      <c r="B301" t="b">
        <f>SUMPRODUCT(LEN('hospitalityq-nil'!C301:D301))&gt;0</f>
        <v>0</v>
      </c>
      <c r="C301">
        <f>B301*('hospitalityq-nil'!C301="")</f>
        <v>0</v>
      </c>
      <c r="D301">
        <f>B301*('hospitalityq-nil'!D301="")</f>
        <v>0</v>
      </c>
    </row>
    <row r="302" spans="1:4" x14ac:dyDescent="0.25">
      <c r="A302">
        <f t="shared" si="4"/>
        <v>0</v>
      </c>
      <c r="B302" t="b">
        <f>SUMPRODUCT(LEN('hospitalityq-nil'!C302:D302))&gt;0</f>
        <v>0</v>
      </c>
      <c r="C302">
        <f>B302*('hospitalityq-nil'!C302="")</f>
        <v>0</v>
      </c>
      <c r="D302">
        <f>B302*('hospitalityq-nil'!D302="")</f>
        <v>0</v>
      </c>
    </row>
    <row r="303" spans="1:4" x14ac:dyDescent="0.25">
      <c r="A303">
        <f t="shared" si="4"/>
        <v>0</v>
      </c>
      <c r="B303" t="b">
        <f>SUMPRODUCT(LEN('hospitalityq-nil'!C303:D303))&gt;0</f>
        <v>0</v>
      </c>
      <c r="C303">
        <f>B303*('hospitalityq-nil'!C303="")</f>
        <v>0</v>
      </c>
      <c r="D303">
        <f>B303*('hospitalityq-nil'!D303="")</f>
        <v>0</v>
      </c>
    </row>
    <row r="304" spans="1:4" x14ac:dyDescent="0.25">
      <c r="A304">
        <f t="shared" si="4"/>
        <v>0</v>
      </c>
      <c r="B304" t="b">
        <f>SUMPRODUCT(LEN('hospitalityq-nil'!C304:D304))&gt;0</f>
        <v>0</v>
      </c>
      <c r="C304">
        <f>B304*('hospitalityq-nil'!C304="")</f>
        <v>0</v>
      </c>
      <c r="D304">
        <f>B304*('hospitalityq-nil'!D304="")</f>
        <v>0</v>
      </c>
    </row>
    <row r="305" spans="1:4" x14ac:dyDescent="0.25">
      <c r="A305">
        <f t="shared" si="4"/>
        <v>0</v>
      </c>
      <c r="B305" t="b">
        <f>SUMPRODUCT(LEN('hospitalityq-nil'!C305:D305))&gt;0</f>
        <v>0</v>
      </c>
      <c r="C305">
        <f>B305*('hospitalityq-nil'!C305="")</f>
        <v>0</v>
      </c>
      <c r="D305">
        <f>B305*('hospitalityq-nil'!D305="")</f>
        <v>0</v>
      </c>
    </row>
    <row r="306" spans="1:4" x14ac:dyDescent="0.25">
      <c r="A306">
        <f t="shared" si="4"/>
        <v>0</v>
      </c>
      <c r="B306" t="b">
        <f>SUMPRODUCT(LEN('hospitalityq-nil'!C306:D306))&gt;0</f>
        <v>0</v>
      </c>
      <c r="C306">
        <f>B306*('hospitalityq-nil'!C306="")</f>
        <v>0</v>
      </c>
      <c r="D306">
        <f>B306*('hospitalityq-nil'!D306="")</f>
        <v>0</v>
      </c>
    </row>
    <row r="307" spans="1:4" x14ac:dyDescent="0.25">
      <c r="A307">
        <f t="shared" si="4"/>
        <v>0</v>
      </c>
      <c r="B307" t="b">
        <f>SUMPRODUCT(LEN('hospitalityq-nil'!C307:D307))&gt;0</f>
        <v>0</v>
      </c>
      <c r="C307">
        <f>B307*('hospitalityq-nil'!C307="")</f>
        <v>0</v>
      </c>
      <c r="D307">
        <f>B307*('hospitalityq-nil'!D307="")</f>
        <v>0</v>
      </c>
    </row>
    <row r="308" spans="1:4" x14ac:dyDescent="0.25">
      <c r="A308">
        <f t="shared" si="4"/>
        <v>0</v>
      </c>
      <c r="B308" t="b">
        <f>SUMPRODUCT(LEN('hospitalityq-nil'!C308:D308))&gt;0</f>
        <v>0</v>
      </c>
      <c r="C308">
        <f>B308*('hospitalityq-nil'!C308="")</f>
        <v>0</v>
      </c>
      <c r="D308">
        <f>B308*('hospitalityq-nil'!D308="")</f>
        <v>0</v>
      </c>
    </row>
    <row r="309" spans="1:4" x14ac:dyDescent="0.25">
      <c r="A309">
        <f t="shared" si="4"/>
        <v>0</v>
      </c>
      <c r="B309" t="b">
        <f>SUMPRODUCT(LEN('hospitalityq-nil'!C309:D309))&gt;0</f>
        <v>0</v>
      </c>
      <c r="C309">
        <f>B309*('hospitalityq-nil'!C309="")</f>
        <v>0</v>
      </c>
      <c r="D309">
        <f>B309*('hospitalityq-nil'!D309="")</f>
        <v>0</v>
      </c>
    </row>
    <row r="310" spans="1:4" x14ac:dyDescent="0.25">
      <c r="A310">
        <f t="shared" si="4"/>
        <v>0</v>
      </c>
      <c r="B310" t="b">
        <f>SUMPRODUCT(LEN('hospitalityq-nil'!C310:D310))&gt;0</f>
        <v>0</v>
      </c>
      <c r="C310">
        <f>B310*('hospitalityq-nil'!C310="")</f>
        <v>0</v>
      </c>
      <c r="D310">
        <f>B310*('hospitalityq-nil'!D310="")</f>
        <v>0</v>
      </c>
    </row>
    <row r="311" spans="1:4" x14ac:dyDescent="0.25">
      <c r="A311">
        <f t="shared" si="4"/>
        <v>0</v>
      </c>
      <c r="B311" t="b">
        <f>SUMPRODUCT(LEN('hospitalityq-nil'!C311:D311))&gt;0</f>
        <v>0</v>
      </c>
      <c r="C311">
        <f>B311*('hospitalityq-nil'!C311="")</f>
        <v>0</v>
      </c>
      <c r="D311">
        <f>B311*('hospitalityq-nil'!D311="")</f>
        <v>0</v>
      </c>
    </row>
    <row r="312" spans="1:4" x14ac:dyDescent="0.25">
      <c r="A312">
        <f t="shared" si="4"/>
        <v>0</v>
      </c>
      <c r="B312" t="b">
        <f>SUMPRODUCT(LEN('hospitalityq-nil'!C312:D312))&gt;0</f>
        <v>0</v>
      </c>
      <c r="C312">
        <f>B312*('hospitalityq-nil'!C312="")</f>
        <v>0</v>
      </c>
      <c r="D312">
        <f>B312*('hospitalityq-nil'!D312="")</f>
        <v>0</v>
      </c>
    </row>
    <row r="313" spans="1:4" x14ac:dyDescent="0.25">
      <c r="A313">
        <f t="shared" si="4"/>
        <v>0</v>
      </c>
      <c r="B313" t="b">
        <f>SUMPRODUCT(LEN('hospitalityq-nil'!C313:D313))&gt;0</f>
        <v>0</v>
      </c>
      <c r="C313">
        <f>B313*('hospitalityq-nil'!C313="")</f>
        <v>0</v>
      </c>
      <c r="D313">
        <f>B313*('hospitalityq-nil'!D313="")</f>
        <v>0</v>
      </c>
    </row>
    <row r="314" spans="1:4" x14ac:dyDescent="0.25">
      <c r="A314">
        <f t="shared" si="4"/>
        <v>0</v>
      </c>
      <c r="B314" t="b">
        <f>SUMPRODUCT(LEN('hospitalityq-nil'!C314:D314))&gt;0</f>
        <v>0</v>
      </c>
      <c r="C314">
        <f>B314*('hospitalityq-nil'!C314="")</f>
        <v>0</v>
      </c>
      <c r="D314">
        <f>B314*('hospitalityq-nil'!D314="")</f>
        <v>0</v>
      </c>
    </row>
    <row r="315" spans="1:4" x14ac:dyDescent="0.25">
      <c r="A315">
        <f t="shared" si="4"/>
        <v>0</v>
      </c>
      <c r="B315" t="b">
        <f>SUMPRODUCT(LEN('hospitalityq-nil'!C315:D315))&gt;0</f>
        <v>0</v>
      </c>
      <c r="C315">
        <f>B315*('hospitalityq-nil'!C315="")</f>
        <v>0</v>
      </c>
      <c r="D315">
        <f>B315*('hospitalityq-nil'!D315="")</f>
        <v>0</v>
      </c>
    </row>
    <row r="316" spans="1:4" x14ac:dyDescent="0.25">
      <c r="A316">
        <f t="shared" si="4"/>
        <v>0</v>
      </c>
      <c r="B316" t="b">
        <f>SUMPRODUCT(LEN('hospitalityq-nil'!C316:D316))&gt;0</f>
        <v>0</v>
      </c>
      <c r="C316">
        <f>B316*('hospitalityq-nil'!C316="")</f>
        <v>0</v>
      </c>
      <c r="D316">
        <f>B316*('hospitalityq-nil'!D316="")</f>
        <v>0</v>
      </c>
    </row>
    <row r="317" spans="1:4" x14ac:dyDescent="0.25">
      <c r="A317">
        <f t="shared" si="4"/>
        <v>0</v>
      </c>
      <c r="B317" t="b">
        <f>SUMPRODUCT(LEN('hospitalityq-nil'!C317:D317))&gt;0</f>
        <v>0</v>
      </c>
      <c r="C317">
        <f>B317*('hospitalityq-nil'!C317="")</f>
        <v>0</v>
      </c>
      <c r="D317">
        <f>B317*('hospitalityq-nil'!D317="")</f>
        <v>0</v>
      </c>
    </row>
    <row r="318" spans="1:4" x14ac:dyDescent="0.25">
      <c r="A318">
        <f t="shared" si="4"/>
        <v>0</v>
      </c>
      <c r="B318" t="b">
        <f>SUMPRODUCT(LEN('hospitalityq-nil'!C318:D318))&gt;0</f>
        <v>0</v>
      </c>
      <c r="C318">
        <f>B318*('hospitalityq-nil'!C318="")</f>
        <v>0</v>
      </c>
      <c r="D318">
        <f>B318*('hospitalityq-nil'!D318="")</f>
        <v>0</v>
      </c>
    </row>
    <row r="319" spans="1:4" x14ac:dyDescent="0.25">
      <c r="A319">
        <f t="shared" si="4"/>
        <v>0</v>
      </c>
      <c r="B319" t="b">
        <f>SUMPRODUCT(LEN('hospitalityq-nil'!C319:D319))&gt;0</f>
        <v>0</v>
      </c>
      <c r="C319">
        <f>B319*('hospitalityq-nil'!C319="")</f>
        <v>0</v>
      </c>
      <c r="D319">
        <f>B319*('hospitalityq-nil'!D319="")</f>
        <v>0</v>
      </c>
    </row>
    <row r="320" spans="1:4" x14ac:dyDescent="0.25">
      <c r="A320">
        <f t="shared" si="4"/>
        <v>0</v>
      </c>
      <c r="B320" t="b">
        <f>SUMPRODUCT(LEN('hospitalityq-nil'!C320:D320))&gt;0</f>
        <v>0</v>
      </c>
      <c r="C320">
        <f>B320*('hospitalityq-nil'!C320="")</f>
        <v>0</v>
      </c>
      <c r="D320">
        <f>B320*('hospitalityq-nil'!D320="")</f>
        <v>0</v>
      </c>
    </row>
    <row r="321" spans="1:4" x14ac:dyDescent="0.25">
      <c r="A321">
        <f t="shared" si="4"/>
        <v>0</v>
      </c>
      <c r="B321" t="b">
        <f>SUMPRODUCT(LEN('hospitalityq-nil'!C321:D321))&gt;0</f>
        <v>0</v>
      </c>
      <c r="C321">
        <f>B321*('hospitalityq-nil'!C321="")</f>
        <v>0</v>
      </c>
      <c r="D321">
        <f>B321*('hospitalityq-nil'!D321="")</f>
        <v>0</v>
      </c>
    </row>
    <row r="322" spans="1:4" x14ac:dyDescent="0.25">
      <c r="A322">
        <f t="shared" si="4"/>
        <v>0</v>
      </c>
      <c r="B322" t="b">
        <f>SUMPRODUCT(LEN('hospitalityq-nil'!C322:D322))&gt;0</f>
        <v>0</v>
      </c>
      <c r="C322">
        <f>B322*('hospitalityq-nil'!C322="")</f>
        <v>0</v>
      </c>
      <c r="D322">
        <f>B322*('hospitalityq-nil'!D322="")</f>
        <v>0</v>
      </c>
    </row>
    <row r="323" spans="1:4" x14ac:dyDescent="0.25">
      <c r="A323">
        <f t="shared" si="4"/>
        <v>0</v>
      </c>
      <c r="B323" t="b">
        <f>SUMPRODUCT(LEN('hospitalityq-nil'!C323:D323))&gt;0</f>
        <v>0</v>
      </c>
      <c r="C323">
        <f>B323*('hospitalityq-nil'!C323="")</f>
        <v>0</v>
      </c>
      <c r="D323">
        <f>B323*('hospitalityq-nil'!D323="")</f>
        <v>0</v>
      </c>
    </row>
    <row r="324" spans="1:4" x14ac:dyDescent="0.25">
      <c r="A324">
        <f t="shared" si="4"/>
        <v>0</v>
      </c>
      <c r="B324" t="b">
        <f>SUMPRODUCT(LEN('hospitalityq-nil'!C324:D324))&gt;0</f>
        <v>0</v>
      </c>
      <c r="C324">
        <f>B324*('hospitalityq-nil'!C324="")</f>
        <v>0</v>
      </c>
      <c r="D324">
        <f>B324*('hospitalityq-nil'!D324="")</f>
        <v>0</v>
      </c>
    </row>
    <row r="325" spans="1:4" x14ac:dyDescent="0.25">
      <c r="A325">
        <f t="shared" si="4"/>
        <v>0</v>
      </c>
      <c r="B325" t="b">
        <f>SUMPRODUCT(LEN('hospitalityq-nil'!C325:D325))&gt;0</f>
        <v>0</v>
      </c>
      <c r="C325">
        <f>B325*('hospitalityq-nil'!C325="")</f>
        <v>0</v>
      </c>
      <c r="D325">
        <f>B325*('hospitalityq-nil'!D325="")</f>
        <v>0</v>
      </c>
    </row>
    <row r="326" spans="1:4" x14ac:dyDescent="0.25">
      <c r="A326">
        <f t="shared" ref="A326:A389" si="5">IFERROR(MATCH(TRUE,INDEX(C326:D326&lt;&gt;0,),)+2,0)</f>
        <v>0</v>
      </c>
      <c r="B326" t="b">
        <f>SUMPRODUCT(LEN('hospitalityq-nil'!C326:D326))&gt;0</f>
        <v>0</v>
      </c>
      <c r="C326">
        <f>B326*('hospitalityq-nil'!C326="")</f>
        <v>0</v>
      </c>
      <c r="D326">
        <f>B326*('hospitalityq-nil'!D326="")</f>
        <v>0</v>
      </c>
    </row>
    <row r="327" spans="1:4" x14ac:dyDescent="0.25">
      <c r="A327">
        <f t="shared" si="5"/>
        <v>0</v>
      </c>
      <c r="B327" t="b">
        <f>SUMPRODUCT(LEN('hospitalityq-nil'!C327:D327))&gt;0</f>
        <v>0</v>
      </c>
      <c r="C327">
        <f>B327*('hospitalityq-nil'!C327="")</f>
        <v>0</v>
      </c>
      <c r="D327">
        <f>B327*('hospitalityq-nil'!D327="")</f>
        <v>0</v>
      </c>
    </row>
    <row r="328" spans="1:4" x14ac:dyDescent="0.25">
      <c r="A328">
        <f t="shared" si="5"/>
        <v>0</v>
      </c>
      <c r="B328" t="b">
        <f>SUMPRODUCT(LEN('hospitalityq-nil'!C328:D328))&gt;0</f>
        <v>0</v>
      </c>
      <c r="C328">
        <f>B328*('hospitalityq-nil'!C328="")</f>
        <v>0</v>
      </c>
      <c r="D328">
        <f>B328*('hospitalityq-nil'!D328="")</f>
        <v>0</v>
      </c>
    </row>
    <row r="329" spans="1:4" x14ac:dyDescent="0.25">
      <c r="A329">
        <f t="shared" si="5"/>
        <v>0</v>
      </c>
      <c r="B329" t="b">
        <f>SUMPRODUCT(LEN('hospitalityq-nil'!C329:D329))&gt;0</f>
        <v>0</v>
      </c>
      <c r="C329">
        <f>B329*('hospitalityq-nil'!C329="")</f>
        <v>0</v>
      </c>
      <c r="D329">
        <f>B329*('hospitalityq-nil'!D329="")</f>
        <v>0</v>
      </c>
    </row>
    <row r="330" spans="1:4" x14ac:dyDescent="0.25">
      <c r="A330">
        <f t="shared" si="5"/>
        <v>0</v>
      </c>
      <c r="B330" t="b">
        <f>SUMPRODUCT(LEN('hospitalityq-nil'!C330:D330))&gt;0</f>
        <v>0</v>
      </c>
      <c r="C330">
        <f>B330*('hospitalityq-nil'!C330="")</f>
        <v>0</v>
      </c>
      <c r="D330">
        <f>B330*('hospitalityq-nil'!D330="")</f>
        <v>0</v>
      </c>
    </row>
    <row r="331" spans="1:4" x14ac:dyDescent="0.25">
      <c r="A331">
        <f t="shared" si="5"/>
        <v>0</v>
      </c>
      <c r="B331" t="b">
        <f>SUMPRODUCT(LEN('hospitalityq-nil'!C331:D331))&gt;0</f>
        <v>0</v>
      </c>
      <c r="C331">
        <f>B331*('hospitalityq-nil'!C331="")</f>
        <v>0</v>
      </c>
      <c r="D331">
        <f>B331*('hospitalityq-nil'!D331="")</f>
        <v>0</v>
      </c>
    </row>
    <row r="332" spans="1:4" x14ac:dyDescent="0.25">
      <c r="A332">
        <f t="shared" si="5"/>
        <v>0</v>
      </c>
      <c r="B332" t="b">
        <f>SUMPRODUCT(LEN('hospitalityq-nil'!C332:D332))&gt;0</f>
        <v>0</v>
      </c>
      <c r="C332">
        <f>B332*('hospitalityq-nil'!C332="")</f>
        <v>0</v>
      </c>
      <c r="D332">
        <f>B332*('hospitalityq-nil'!D332="")</f>
        <v>0</v>
      </c>
    </row>
    <row r="333" spans="1:4" x14ac:dyDescent="0.25">
      <c r="A333">
        <f t="shared" si="5"/>
        <v>0</v>
      </c>
      <c r="B333" t="b">
        <f>SUMPRODUCT(LEN('hospitalityq-nil'!C333:D333))&gt;0</f>
        <v>0</v>
      </c>
      <c r="C333">
        <f>B333*('hospitalityq-nil'!C333="")</f>
        <v>0</v>
      </c>
      <c r="D333">
        <f>B333*('hospitalityq-nil'!D333="")</f>
        <v>0</v>
      </c>
    </row>
    <row r="334" spans="1:4" x14ac:dyDescent="0.25">
      <c r="A334">
        <f t="shared" si="5"/>
        <v>0</v>
      </c>
      <c r="B334" t="b">
        <f>SUMPRODUCT(LEN('hospitalityq-nil'!C334:D334))&gt;0</f>
        <v>0</v>
      </c>
      <c r="C334">
        <f>B334*('hospitalityq-nil'!C334="")</f>
        <v>0</v>
      </c>
      <c r="D334">
        <f>B334*('hospitalityq-nil'!D334="")</f>
        <v>0</v>
      </c>
    </row>
    <row r="335" spans="1:4" x14ac:dyDescent="0.25">
      <c r="A335">
        <f t="shared" si="5"/>
        <v>0</v>
      </c>
      <c r="B335" t="b">
        <f>SUMPRODUCT(LEN('hospitalityq-nil'!C335:D335))&gt;0</f>
        <v>0</v>
      </c>
      <c r="C335">
        <f>B335*('hospitalityq-nil'!C335="")</f>
        <v>0</v>
      </c>
      <c r="D335">
        <f>B335*('hospitalityq-nil'!D335="")</f>
        <v>0</v>
      </c>
    </row>
    <row r="336" spans="1:4" x14ac:dyDescent="0.25">
      <c r="A336">
        <f t="shared" si="5"/>
        <v>0</v>
      </c>
      <c r="B336" t="b">
        <f>SUMPRODUCT(LEN('hospitalityq-nil'!C336:D336))&gt;0</f>
        <v>0</v>
      </c>
      <c r="C336">
        <f>B336*('hospitalityq-nil'!C336="")</f>
        <v>0</v>
      </c>
      <c r="D336">
        <f>B336*('hospitalityq-nil'!D336="")</f>
        <v>0</v>
      </c>
    </row>
    <row r="337" spans="1:4" x14ac:dyDescent="0.25">
      <c r="A337">
        <f t="shared" si="5"/>
        <v>0</v>
      </c>
      <c r="B337" t="b">
        <f>SUMPRODUCT(LEN('hospitalityq-nil'!C337:D337))&gt;0</f>
        <v>0</v>
      </c>
      <c r="C337">
        <f>B337*('hospitalityq-nil'!C337="")</f>
        <v>0</v>
      </c>
      <c r="D337">
        <f>B337*('hospitalityq-nil'!D337="")</f>
        <v>0</v>
      </c>
    </row>
    <row r="338" spans="1:4" x14ac:dyDescent="0.25">
      <c r="A338">
        <f t="shared" si="5"/>
        <v>0</v>
      </c>
      <c r="B338" t="b">
        <f>SUMPRODUCT(LEN('hospitalityq-nil'!C338:D338))&gt;0</f>
        <v>0</v>
      </c>
      <c r="C338">
        <f>B338*('hospitalityq-nil'!C338="")</f>
        <v>0</v>
      </c>
      <c r="D338">
        <f>B338*('hospitalityq-nil'!D338="")</f>
        <v>0</v>
      </c>
    </row>
    <row r="339" spans="1:4" x14ac:dyDescent="0.25">
      <c r="A339">
        <f t="shared" si="5"/>
        <v>0</v>
      </c>
      <c r="B339" t="b">
        <f>SUMPRODUCT(LEN('hospitalityq-nil'!C339:D339))&gt;0</f>
        <v>0</v>
      </c>
      <c r="C339">
        <f>B339*('hospitalityq-nil'!C339="")</f>
        <v>0</v>
      </c>
      <c r="D339">
        <f>B339*('hospitalityq-nil'!D339="")</f>
        <v>0</v>
      </c>
    </row>
    <row r="340" spans="1:4" x14ac:dyDescent="0.25">
      <c r="A340">
        <f t="shared" si="5"/>
        <v>0</v>
      </c>
      <c r="B340" t="b">
        <f>SUMPRODUCT(LEN('hospitalityq-nil'!C340:D340))&gt;0</f>
        <v>0</v>
      </c>
      <c r="C340">
        <f>B340*('hospitalityq-nil'!C340="")</f>
        <v>0</v>
      </c>
      <c r="D340">
        <f>B340*('hospitalityq-nil'!D340="")</f>
        <v>0</v>
      </c>
    </row>
    <row r="341" spans="1:4" x14ac:dyDescent="0.25">
      <c r="A341">
        <f t="shared" si="5"/>
        <v>0</v>
      </c>
      <c r="B341" t="b">
        <f>SUMPRODUCT(LEN('hospitalityq-nil'!C341:D341))&gt;0</f>
        <v>0</v>
      </c>
      <c r="C341">
        <f>B341*('hospitalityq-nil'!C341="")</f>
        <v>0</v>
      </c>
      <c r="D341">
        <f>B341*('hospitalityq-nil'!D341="")</f>
        <v>0</v>
      </c>
    </row>
    <row r="342" spans="1:4" x14ac:dyDescent="0.25">
      <c r="A342">
        <f t="shared" si="5"/>
        <v>0</v>
      </c>
      <c r="B342" t="b">
        <f>SUMPRODUCT(LEN('hospitalityq-nil'!C342:D342))&gt;0</f>
        <v>0</v>
      </c>
      <c r="C342">
        <f>B342*('hospitalityq-nil'!C342="")</f>
        <v>0</v>
      </c>
      <c r="D342">
        <f>B342*('hospitalityq-nil'!D342="")</f>
        <v>0</v>
      </c>
    </row>
    <row r="343" spans="1:4" x14ac:dyDescent="0.25">
      <c r="A343">
        <f t="shared" si="5"/>
        <v>0</v>
      </c>
      <c r="B343" t="b">
        <f>SUMPRODUCT(LEN('hospitalityq-nil'!C343:D343))&gt;0</f>
        <v>0</v>
      </c>
      <c r="C343">
        <f>B343*('hospitalityq-nil'!C343="")</f>
        <v>0</v>
      </c>
      <c r="D343">
        <f>B343*('hospitalityq-nil'!D343="")</f>
        <v>0</v>
      </c>
    </row>
    <row r="344" spans="1:4" x14ac:dyDescent="0.25">
      <c r="A344">
        <f t="shared" si="5"/>
        <v>0</v>
      </c>
      <c r="B344" t="b">
        <f>SUMPRODUCT(LEN('hospitalityq-nil'!C344:D344))&gt;0</f>
        <v>0</v>
      </c>
      <c r="C344">
        <f>B344*('hospitalityq-nil'!C344="")</f>
        <v>0</v>
      </c>
      <c r="D344">
        <f>B344*('hospitalityq-nil'!D344="")</f>
        <v>0</v>
      </c>
    </row>
    <row r="345" spans="1:4" x14ac:dyDescent="0.25">
      <c r="A345">
        <f t="shared" si="5"/>
        <v>0</v>
      </c>
      <c r="B345" t="b">
        <f>SUMPRODUCT(LEN('hospitalityq-nil'!C345:D345))&gt;0</f>
        <v>0</v>
      </c>
      <c r="C345">
        <f>B345*('hospitalityq-nil'!C345="")</f>
        <v>0</v>
      </c>
      <c r="D345">
        <f>B345*('hospitalityq-nil'!D345="")</f>
        <v>0</v>
      </c>
    </row>
    <row r="346" spans="1:4" x14ac:dyDescent="0.25">
      <c r="A346">
        <f t="shared" si="5"/>
        <v>0</v>
      </c>
      <c r="B346" t="b">
        <f>SUMPRODUCT(LEN('hospitalityq-nil'!C346:D346))&gt;0</f>
        <v>0</v>
      </c>
      <c r="C346">
        <f>B346*('hospitalityq-nil'!C346="")</f>
        <v>0</v>
      </c>
      <c r="D346">
        <f>B346*('hospitalityq-nil'!D346="")</f>
        <v>0</v>
      </c>
    </row>
    <row r="347" spans="1:4" x14ac:dyDescent="0.25">
      <c r="A347">
        <f t="shared" si="5"/>
        <v>0</v>
      </c>
      <c r="B347" t="b">
        <f>SUMPRODUCT(LEN('hospitalityq-nil'!C347:D347))&gt;0</f>
        <v>0</v>
      </c>
      <c r="C347">
        <f>B347*('hospitalityq-nil'!C347="")</f>
        <v>0</v>
      </c>
      <c r="D347">
        <f>B347*('hospitalityq-nil'!D347="")</f>
        <v>0</v>
      </c>
    </row>
    <row r="348" spans="1:4" x14ac:dyDescent="0.25">
      <c r="A348">
        <f t="shared" si="5"/>
        <v>0</v>
      </c>
      <c r="B348" t="b">
        <f>SUMPRODUCT(LEN('hospitalityq-nil'!C348:D348))&gt;0</f>
        <v>0</v>
      </c>
      <c r="C348">
        <f>B348*('hospitalityq-nil'!C348="")</f>
        <v>0</v>
      </c>
      <c r="D348">
        <f>B348*('hospitalityq-nil'!D348="")</f>
        <v>0</v>
      </c>
    </row>
    <row r="349" spans="1:4" x14ac:dyDescent="0.25">
      <c r="A349">
        <f t="shared" si="5"/>
        <v>0</v>
      </c>
      <c r="B349" t="b">
        <f>SUMPRODUCT(LEN('hospitalityq-nil'!C349:D349))&gt;0</f>
        <v>0</v>
      </c>
      <c r="C349">
        <f>B349*('hospitalityq-nil'!C349="")</f>
        <v>0</v>
      </c>
      <c r="D349">
        <f>B349*('hospitalityq-nil'!D349="")</f>
        <v>0</v>
      </c>
    </row>
    <row r="350" spans="1:4" x14ac:dyDescent="0.25">
      <c r="A350">
        <f t="shared" si="5"/>
        <v>0</v>
      </c>
      <c r="B350" t="b">
        <f>SUMPRODUCT(LEN('hospitalityq-nil'!C350:D350))&gt;0</f>
        <v>0</v>
      </c>
      <c r="C350">
        <f>B350*('hospitalityq-nil'!C350="")</f>
        <v>0</v>
      </c>
      <c r="D350">
        <f>B350*('hospitalityq-nil'!D350="")</f>
        <v>0</v>
      </c>
    </row>
    <row r="351" spans="1:4" x14ac:dyDescent="0.25">
      <c r="A351">
        <f t="shared" si="5"/>
        <v>0</v>
      </c>
      <c r="B351" t="b">
        <f>SUMPRODUCT(LEN('hospitalityq-nil'!C351:D351))&gt;0</f>
        <v>0</v>
      </c>
      <c r="C351">
        <f>B351*('hospitalityq-nil'!C351="")</f>
        <v>0</v>
      </c>
      <c r="D351">
        <f>B351*('hospitalityq-nil'!D351="")</f>
        <v>0</v>
      </c>
    </row>
    <row r="352" spans="1:4" x14ac:dyDescent="0.25">
      <c r="A352">
        <f t="shared" si="5"/>
        <v>0</v>
      </c>
      <c r="B352" t="b">
        <f>SUMPRODUCT(LEN('hospitalityq-nil'!C352:D352))&gt;0</f>
        <v>0</v>
      </c>
      <c r="C352">
        <f>B352*('hospitalityq-nil'!C352="")</f>
        <v>0</v>
      </c>
      <c r="D352">
        <f>B352*('hospitalityq-nil'!D352="")</f>
        <v>0</v>
      </c>
    </row>
    <row r="353" spans="1:4" x14ac:dyDescent="0.25">
      <c r="A353">
        <f t="shared" si="5"/>
        <v>0</v>
      </c>
      <c r="B353" t="b">
        <f>SUMPRODUCT(LEN('hospitalityq-nil'!C353:D353))&gt;0</f>
        <v>0</v>
      </c>
      <c r="C353">
        <f>B353*('hospitalityq-nil'!C353="")</f>
        <v>0</v>
      </c>
      <c r="D353">
        <f>B353*('hospitalityq-nil'!D353="")</f>
        <v>0</v>
      </c>
    </row>
    <row r="354" spans="1:4" x14ac:dyDescent="0.25">
      <c r="A354">
        <f t="shared" si="5"/>
        <v>0</v>
      </c>
      <c r="B354" t="b">
        <f>SUMPRODUCT(LEN('hospitalityq-nil'!C354:D354))&gt;0</f>
        <v>0</v>
      </c>
      <c r="C354">
        <f>B354*('hospitalityq-nil'!C354="")</f>
        <v>0</v>
      </c>
      <c r="D354">
        <f>B354*('hospitalityq-nil'!D354="")</f>
        <v>0</v>
      </c>
    </row>
    <row r="355" spans="1:4" x14ac:dyDescent="0.25">
      <c r="A355">
        <f t="shared" si="5"/>
        <v>0</v>
      </c>
      <c r="B355" t="b">
        <f>SUMPRODUCT(LEN('hospitalityq-nil'!C355:D355))&gt;0</f>
        <v>0</v>
      </c>
      <c r="C355">
        <f>B355*('hospitalityq-nil'!C355="")</f>
        <v>0</v>
      </c>
      <c r="D355">
        <f>B355*('hospitalityq-nil'!D355="")</f>
        <v>0</v>
      </c>
    </row>
    <row r="356" spans="1:4" x14ac:dyDescent="0.25">
      <c r="A356">
        <f t="shared" si="5"/>
        <v>0</v>
      </c>
      <c r="B356" t="b">
        <f>SUMPRODUCT(LEN('hospitalityq-nil'!C356:D356))&gt;0</f>
        <v>0</v>
      </c>
      <c r="C356">
        <f>B356*('hospitalityq-nil'!C356="")</f>
        <v>0</v>
      </c>
      <c r="D356">
        <f>B356*('hospitalityq-nil'!D356="")</f>
        <v>0</v>
      </c>
    </row>
    <row r="357" spans="1:4" x14ac:dyDescent="0.25">
      <c r="A357">
        <f t="shared" si="5"/>
        <v>0</v>
      </c>
      <c r="B357" t="b">
        <f>SUMPRODUCT(LEN('hospitalityq-nil'!C357:D357))&gt;0</f>
        <v>0</v>
      </c>
      <c r="C357">
        <f>B357*('hospitalityq-nil'!C357="")</f>
        <v>0</v>
      </c>
      <c r="D357">
        <f>B357*('hospitalityq-nil'!D357="")</f>
        <v>0</v>
      </c>
    </row>
    <row r="358" spans="1:4" x14ac:dyDescent="0.25">
      <c r="A358">
        <f t="shared" si="5"/>
        <v>0</v>
      </c>
      <c r="B358" t="b">
        <f>SUMPRODUCT(LEN('hospitalityq-nil'!C358:D358))&gt;0</f>
        <v>0</v>
      </c>
      <c r="C358">
        <f>B358*('hospitalityq-nil'!C358="")</f>
        <v>0</v>
      </c>
      <c r="D358">
        <f>B358*('hospitalityq-nil'!D358="")</f>
        <v>0</v>
      </c>
    </row>
    <row r="359" spans="1:4" x14ac:dyDescent="0.25">
      <c r="A359">
        <f t="shared" si="5"/>
        <v>0</v>
      </c>
      <c r="B359" t="b">
        <f>SUMPRODUCT(LEN('hospitalityq-nil'!C359:D359))&gt;0</f>
        <v>0</v>
      </c>
      <c r="C359">
        <f>B359*('hospitalityq-nil'!C359="")</f>
        <v>0</v>
      </c>
      <c r="D359">
        <f>B359*('hospitalityq-nil'!D359="")</f>
        <v>0</v>
      </c>
    </row>
    <row r="360" spans="1:4" x14ac:dyDescent="0.25">
      <c r="A360">
        <f t="shared" si="5"/>
        <v>0</v>
      </c>
      <c r="B360" t="b">
        <f>SUMPRODUCT(LEN('hospitalityq-nil'!C360:D360))&gt;0</f>
        <v>0</v>
      </c>
      <c r="C360">
        <f>B360*('hospitalityq-nil'!C360="")</f>
        <v>0</v>
      </c>
      <c r="D360">
        <f>B360*('hospitalityq-nil'!D360="")</f>
        <v>0</v>
      </c>
    </row>
    <row r="361" spans="1:4" x14ac:dyDescent="0.25">
      <c r="A361">
        <f t="shared" si="5"/>
        <v>0</v>
      </c>
      <c r="B361" t="b">
        <f>SUMPRODUCT(LEN('hospitalityq-nil'!C361:D361))&gt;0</f>
        <v>0</v>
      </c>
      <c r="C361">
        <f>B361*('hospitalityq-nil'!C361="")</f>
        <v>0</v>
      </c>
      <c r="D361">
        <f>B361*('hospitalityq-nil'!D361="")</f>
        <v>0</v>
      </c>
    </row>
    <row r="362" spans="1:4" x14ac:dyDescent="0.25">
      <c r="A362">
        <f t="shared" si="5"/>
        <v>0</v>
      </c>
      <c r="B362" t="b">
        <f>SUMPRODUCT(LEN('hospitalityq-nil'!C362:D362))&gt;0</f>
        <v>0</v>
      </c>
      <c r="C362">
        <f>B362*('hospitalityq-nil'!C362="")</f>
        <v>0</v>
      </c>
      <c r="D362">
        <f>B362*('hospitalityq-nil'!D362="")</f>
        <v>0</v>
      </c>
    </row>
    <row r="363" spans="1:4" x14ac:dyDescent="0.25">
      <c r="A363">
        <f t="shared" si="5"/>
        <v>0</v>
      </c>
      <c r="B363" t="b">
        <f>SUMPRODUCT(LEN('hospitalityq-nil'!C363:D363))&gt;0</f>
        <v>0</v>
      </c>
      <c r="C363">
        <f>B363*('hospitalityq-nil'!C363="")</f>
        <v>0</v>
      </c>
      <c r="D363">
        <f>B363*('hospitalityq-nil'!D363="")</f>
        <v>0</v>
      </c>
    </row>
    <row r="364" spans="1:4" x14ac:dyDescent="0.25">
      <c r="A364">
        <f t="shared" si="5"/>
        <v>0</v>
      </c>
      <c r="B364" t="b">
        <f>SUMPRODUCT(LEN('hospitalityq-nil'!C364:D364))&gt;0</f>
        <v>0</v>
      </c>
      <c r="C364">
        <f>B364*('hospitalityq-nil'!C364="")</f>
        <v>0</v>
      </c>
      <c r="D364">
        <f>B364*('hospitalityq-nil'!D364="")</f>
        <v>0</v>
      </c>
    </row>
    <row r="365" spans="1:4" x14ac:dyDescent="0.25">
      <c r="A365">
        <f t="shared" si="5"/>
        <v>0</v>
      </c>
      <c r="B365" t="b">
        <f>SUMPRODUCT(LEN('hospitalityq-nil'!C365:D365))&gt;0</f>
        <v>0</v>
      </c>
      <c r="C365">
        <f>B365*('hospitalityq-nil'!C365="")</f>
        <v>0</v>
      </c>
      <c r="D365">
        <f>B365*('hospitalityq-nil'!D365="")</f>
        <v>0</v>
      </c>
    </row>
    <row r="366" spans="1:4" x14ac:dyDescent="0.25">
      <c r="A366">
        <f t="shared" si="5"/>
        <v>0</v>
      </c>
      <c r="B366" t="b">
        <f>SUMPRODUCT(LEN('hospitalityq-nil'!C366:D366))&gt;0</f>
        <v>0</v>
      </c>
      <c r="C366">
        <f>B366*('hospitalityq-nil'!C366="")</f>
        <v>0</v>
      </c>
      <c r="D366">
        <f>B366*('hospitalityq-nil'!D366="")</f>
        <v>0</v>
      </c>
    </row>
    <row r="367" spans="1:4" x14ac:dyDescent="0.25">
      <c r="A367">
        <f t="shared" si="5"/>
        <v>0</v>
      </c>
      <c r="B367" t="b">
        <f>SUMPRODUCT(LEN('hospitalityq-nil'!C367:D367))&gt;0</f>
        <v>0</v>
      </c>
      <c r="C367">
        <f>B367*('hospitalityq-nil'!C367="")</f>
        <v>0</v>
      </c>
      <c r="D367">
        <f>B367*('hospitalityq-nil'!D367="")</f>
        <v>0</v>
      </c>
    </row>
    <row r="368" spans="1:4" x14ac:dyDescent="0.25">
      <c r="A368">
        <f t="shared" si="5"/>
        <v>0</v>
      </c>
      <c r="B368" t="b">
        <f>SUMPRODUCT(LEN('hospitalityq-nil'!C368:D368))&gt;0</f>
        <v>0</v>
      </c>
      <c r="C368">
        <f>B368*('hospitalityq-nil'!C368="")</f>
        <v>0</v>
      </c>
      <c r="D368">
        <f>B368*('hospitalityq-nil'!D368="")</f>
        <v>0</v>
      </c>
    </row>
    <row r="369" spans="1:4" x14ac:dyDescent="0.25">
      <c r="A369">
        <f t="shared" si="5"/>
        <v>0</v>
      </c>
      <c r="B369" t="b">
        <f>SUMPRODUCT(LEN('hospitalityq-nil'!C369:D369))&gt;0</f>
        <v>0</v>
      </c>
      <c r="C369">
        <f>B369*('hospitalityq-nil'!C369="")</f>
        <v>0</v>
      </c>
      <c r="D369">
        <f>B369*('hospitalityq-nil'!D369="")</f>
        <v>0</v>
      </c>
    </row>
    <row r="370" spans="1:4" x14ac:dyDescent="0.25">
      <c r="A370">
        <f t="shared" si="5"/>
        <v>0</v>
      </c>
      <c r="B370" t="b">
        <f>SUMPRODUCT(LEN('hospitalityq-nil'!C370:D370))&gt;0</f>
        <v>0</v>
      </c>
      <c r="C370">
        <f>B370*('hospitalityq-nil'!C370="")</f>
        <v>0</v>
      </c>
      <c r="D370">
        <f>B370*('hospitalityq-nil'!D370="")</f>
        <v>0</v>
      </c>
    </row>
    <row r="371" spans="1:4" x14ac:dyDescent="0.25">
      <c r="A371">
        <f t="shared" si="5"/>
        <v>0</v>
      </c>
      <c r="B371" t="b">
        <f>SUMPRODUCT(LEN('hospitalityq-nil'!C371:D371))&gt;0</f>
        <v>0</v>
      </c>
      <c r="C371">
        <f>B371*('hospitalityq-nil'!C371="")</f>
        <v>0</v>
      </c>
      <c r="D371">
        <f>B371*('hospitalityq-nil'!D371="")</f>
        <v>0</v>
      </c>
    </row>
    <row r="372" spans="1:4" x14ac:dyDescent="0.25">
      <c r="A372">
        <f t="shared" si="5"/>
        <v>0</v>
      </c>
      <c r="B372" t="b">
        <f>SUMPRODUCT(LEN('hospitalityq-nil'!C372:D372))&gt;0</f>
        <v>0</v>
      </c>
      <c r="C372">
        <f>B372*('hospitalityq-nil'!C372="")</f>
        <v>0</v>
      </c>
      <c r="D372">
        <f>B372*('hospitalityq-nil'!D372="")</f>
        <v>0</v>
      </c>
    </row>
    <row r="373" spans="1:4" x14ac:dyDescent="0.25">
      <c r="A373">
        <f t="shared" si="5"/>
        <v>0</v>
      </c>
      <c r="B373" t="b">
        <f>SUMPRODUCT(LEN('hospitalityq-nil'!C373:D373))&gt;0</f>
        <v>0</v>
      </c>
      <c r="C373">
        <f>B373*('hospitalityq-nil'!C373="")</f>
        <v>0</v>
      </c>
      <c r="D373">
        <f>B373*('hospitalityq-nil'!D373="")</f>
        <v>0</v>
      </c>
    </row>
    <row r="374" spans="1:4" x14ac:dyDescent="0.25">
      <c r="A374">
        <f t="shared" si="5"/>
        <v>0</v>
      </c>
      <c r="B374" t="b">
        <f>SUMPRODUCT(LEN('hospitalityq-nil'!C374:D374))&gt;0</f>
        <v>0</v>
      </c>
      <c r="C374">
        <f>B374*('hospitalityq-nil'!C374="")</f>
        <v>0</v>
      </c>
      <c r="D374">
        <f>B374*('hospitalityq-nil'!D374="")</f>
        <v>0</v>
      </c>
    </row>
    <row r="375" spans="1:4" x14ac:dyDescent="0.25">
      <c r="A375">
        <f t="shared" si="5"/>
        <v>0</v>
      </c>
      <c r="B375" t="b">
        <f>SUMPRODUCT(LEN('hospitalityq-nil'!C375:D375))&gt;0</f>
        <v>0</v>
      </c>
      <c r="C375">
        <f>B375*('hospitalityq-nil'!C375="")</f>
        <v>0</v>
      </c>
      <c r="D375">
        <f>B375*('hospitalityq-nil'!D375="")</f>
        <v>0</v>
      </c>
    </row>
    <row r="376" spans="1:4" x14ac:dyDescent="0.25">
      <c r="A376">
        <f t="shared" si="5"/>
        <v>0</v>
      </c>
      <c r="B376" t="b">
        <f>SUMPRODUCT(LEN('hospitalityq-nil'!C376:D376))&gt;0</f>
        <v>0</v>
      </c>
      <c r="C376">
        <f>B376*('hospitalityq-nil'!C376="")</f>
        <v>0</v>
      </c>
      <c r="D376">
        <f>B376*('hospitalityq-nil'!D376="")</f>
        <v>0</v>
      </c>
    </row>
    <row r="377" spans="1:4" x14ac:dyDescent="0.25">
      <c r="A377">
        <f t="shared" si="5"/>
        <v>0</v>
      </c>
      <c r="B377" t="b">
        <f>SUMPRODUCT(LEN('hospitalityq-nil'!C377:D377))&gt;0</f>
        <v>0</v>
      </c>
      <c r="C377">
        <f>B377*('hospitalityq-nil'!C377="")</f>
        <v>0</v>
      </c>
      <c r="D377">
        <f>B377*('hospitalityq-nil'!D377="")</f>
        <v>0</v>
      </c>
    </row>
    <row r="378" spans="1:4" x14ac:dyDescent="0.25">
      <c r="A378">
        <f t="shared" si="5"/>
        <v>0</v>
      </c>
      <c r="B378" t="b">
        <f>SUMPRODUCT(LEN('hospitalityq-nil'!C378:D378))&gt;0</f>
        <v>0</v>
      </c>
      <c r="C378">
        <f>B378*('hospitalityq-nil'!C378="")</f>
        <v>0</v>
      </c>
      <c r="D378">
        <f>B378*('hospitalityq-nil'!D378="")</f>
        <v>0</v>
      </c>
    </row>
    <row r="379" spans="1:4" x14ac:dyDescent="0.25">
      <c r="A379">
        <f t="shared" si="5"/>
        <v>0</v>
      </c>
      <c r="B379" t="b">
        <f>SUMPRODUCT(LEN('hospitalityq-nil'!C379:D379))&gt;0</f>
        <v>0</v>
      </c>
      <c r="C379">
        <f>B379*('hospitalityq-nil'!C379="")</f>
        <v>0</v>
      </c>
      <c r="D379">
        <f>B379*('hospitalityq-nil'!D379="")</f>
        <v>0</v>
      </c>
    </row>
    <row r="380" spans="1:4" x14ac:dyDescent="0.25">
      <c r="A380">
        <f t="shared" si="5"/>
        <v>0</v>
      </c>
      <c r="B380" t="b">
        <f>SUMPRODUCT(LEN('hospitalityq-nil'!C380:D380))&gt;0</f>
        <v>0</v>
      </c>
      <c r="C380">
        <f>B380*('hospitalityq-nil'!C380="")</f>
        <v>0</v>
      </c>
      <c r="D380">
        <f>B380*('hospitalityq-nil'!D380="")</f>
        <v>0</v>
      </c>
    </row>
    <row r="381" spans="1:4" x14ac:dyDescent="0.25">
      <c r="A381">
        <f t="shared" si="5"/>
        <v>0</v>
      </c>
      <c r="B381" t="b">
        <f>SUMPRODUCT(LEN('hospitalityq-nil'!C381:D381))&gt;0</f>
        <v>0</v>
      </c>
      <c r="C381">
        <f>B381*('hospitalityq-nil'!C381="")</f>
        <v>0</v>
      </c>
      <c r="D381">
        <f>B381*('hospitalityq-nil'!D381="")</f>
        <v>0</v>
      </c>
    </row>
    <row r="382" spans="1:4" x14ac:dyDescent="0.25">
      <c r="A382">
        <f t="shared" si="5"/>
        <v>0</v>
      </c>
      <c r="B382" t="b">
        <f>SUMPRODUCT(LEN('hospitalityq-nil'!C382:D382))&gt;0</f>
        <v>0</v>
      </c>
      <c r="C382">
        <f>B382*('hospitalityq-nil'!C382="")</f>
        <v>0</v>
      </c>
      <c r="D382">
        <f>B382*('hospitalityq-nil'!D382="")</f>
        <v>0</v>
      </c>
    </row>
    <row r="383" spans="1:4" x14ac:dyDescent="0.25">
      <c r="A383">
        <f t="shared" si="5"/>
        <v>0</v>
      </c>
      <c r="B383" t="b">
        <f>SUMPRODUCT(LEN('hospitalityq-nil'!C383:D383))&gt;0</f>
        <v>0</v>
      </c>
      <c r="C383">
        <f>B383*('hospitalityq-nil'!C383="")</f>
        <v>0</v>
      </c>
      <c r="D383">
        <f>B383*('hospitalityq-nil'!D383="")</f>
        <v>0</v>
      </c>
    </row>
    <row r="384" spans="1:4" x14ac:dyDescent="0.25">
      <c r="A384">
        <f t="shared" si="5"/>
        <v>0</v>
      </c>
      <c r="B384" t="b">
        <f>SUMPRODUCT(LEN('hospitalityq-nil'!C384:D384))&gt;0</f>
        <v>0</v>
      </c>
      <c r="C384">
        <f>B384*('hospitalityq-nil'!C384="")</f>
        <v>0</v>
      </c>
      <c r="D384">
        <f>B384*('hospitalityq-nil'!D384="")</f>
        <v>0</v>
      </c>
    </row>
    <row r="385" spans="1:4" x14ac:dyDescent="0.25">
      <c r="A385">
        <f t="shared" si="5"/>
        <v>0</v>
      </c>
      <c r="B385" t="b">
        <f>SUMPRODUCT(LEN('hospitalityq-nil'!C385:D385))&gt;0</f>
        <v>0</v>
      </c>
      <c r="C385">
        <f>B385*('hospitalityq-nil'!C385="")</f>
        <v>0</v>
      </c>
      <c r="D385">
        <f>B385*('hospitalityq-nil'!D385="")</f>
        <v>0</v>
      </c>
    </row>
    <row r="386" spans="1:4" x14ac:dyDescent="0.25">
      <c r="A386">
        <f t="shared" si="5"/>
        <v>0</v>
      </c>
      <c r="B386" t="b">
        <f>SUMPRODUCT(LEN('hospitalityq-nil'!C386:D386))&gt;0</f>
        <v>0</v>
      </c>
      <c r="C386">
        <f>B386*('hospitalityq-nil'!C386="")</f>
        <v>0</v>
      </c>
      <c r="D386">
        <f>B386*('hospitalityq-nil'!D386="")</f>
        <v>0</v>
      </c>
    </row>
    <row r="387" spans="1:4" x14ac:dyDescent="0.25">
      <c r="A387">
        <f t="shared" si="5"/>
        <v>0</v>
      </c>
      <c r="B387" t="b">
        <f>SUMPRODUCT(LEN('hospitalityq-nil'!C387:D387))&gt;0</f>
        <v>0</v>
      </c>
      <c r="C387">
        <f>B387*('hospitalityq-nil'!C387="")</f>
        <v>0</v>
      </c>
      <c r="D387">
        <f>B387*('hospitalityq-nil'!D387="")</f>
        <v>0</v>
      </c>
    </row>
    <row r="388" spans="1:4" x14ac:dyDescent="0.25">
      <c r="A388">
        <f t="shared" si="5"/>
        <v>0</v>
      </c>
      <c r="B388" t="b">
        <f>SUMPRODUCT(LEN('hospitalityq-nil'!C388:D388))&gt;0</f>
        <v>0</v>
      </c>
      <c r="C388">
        <f>B388*('hospitalityq-nil'!C388="")</f>
        <v>0</v>
      </c>
      <c r="D388">
        <f>B388*('hospitalityq-nil'!D388="")</f>
        <v>0</v>
      </c>
    </row>
    <row r="389" spans="1:4" x14ac:dyDescent="0.25">
      <c r="A389">
        <f t="shared" si="5"/>
        <v>0</v>
      </c>
      <c r="B389" t="b">
        <f>SUMPRODUCT(LEN('hospitalityq-nil'!C389:D389))&gt;0</f>
        <v>0</v>
      </c>
      <c r="C389">
        <f>B389*('hospitalityq-nil'!C389="")</f>
        <v>0</v>
      </c>
      <c r="D389">
        <f>B389*('hospitalityq-nil'!D389="")</f>
        <v>0</v>
      </c>
    </row>
    <row r="390" spans="1:4" x14ac:dyDescent="0.25">
      <c r="A390">
        <f t="shared" ref="A390:A453" si="6">IFERROR(MATCH(TRUE,INDEX(C390:D390&lt;&gt;0,),)+2,0)</f>
        <v>0</v>
      </c>
      <c r="B390" t="b">
        <f>SUMPRODUCT(LEN('hospitalityq-nil'!C390:D390))&gt;0</f>
        <v>0</v>
      </c>
      <c r="C390">
        <f>B390*('hospitalityq-nil'!C390="")</f>
        <v>0</v>
      </c>
      <c r="D390">
        <f>B390*('hospitalityq-nil'!D390="")</f>
        <v>0</v>
      </c>
    </row>
    <row r="391" spans="1:4" x14ac:dyDescent="0.25">
      <c r="A391">
        <f t="shared" si="6"/>
        <v>0</v>
      </c>
      <c r="B391" t="b">
        <f>SUMPRODUCT(LEN('hospitalityq-nil'!C391:D391))&gt;0</f>
        <v>0</v>
      </c>
      <c r="C391">
        <f>B391*('hospitalityq-nil'!C391="")</f>
        <v>0</v>
      </c>
      <c r="D391">
        <f>B391*('hospitalityq-nil'!D391="")</f>
        <v>0</v>
      </c>
    </row>
    <row r="392" spans="1:4" x14ac:dyDescent="0.25">
      <c r="A392">
        <f t="shared" si="6"/>
        <v>0</v>
      </c>
      <c r="B392" t="b">
        <f>SUMPRODUCT(LEN('hospitalityq-nil'!C392:D392))&gt;0</f>
        <v>0</v>
      </c>
      <c r="C392">
        <f>B392*('hospitalityq-nil'!C392="")</f>
        <v>0</v>
      </c>
      <c r="D392">
        <f>B392*('hospitalityq-nil'!D392="")</f>
        <v>0</v>
      </c>
    </row>
    <row r="393" spans="1:4" x14ac:dyDescent="0.25">
      <c r="A393">
        <f t="shared" si="6"/>
        <v>0</v>
      </c>
      <c r="B393" t="b">
        <f>SUMPRODUCT(LEN('hospitalityq-nil'!C393:D393))&gt;0</f>
        <v>0</v>
      </c>
      <c r="C393">
        <f>B393*('hospitalityq-nil'!C393="")</f>
        <v>0</v>
      </c>
      <c r="D393">
        <f>B393*('hospitalityq-nil'!D393="")</f>
        <v>0</v>
      </c>
    </row>
    <row r="394" spans="1:4" x14ac:dyDescent="0.25">
      <c r="A394">
        <f t="shared" si="6"/>
        <v>0</v>
      </c>
      <c r="B394" t="b">
        <f>SUMPRODUCT(LEN('hospitalityq-nil'!C394:D394))&gt;0</f>
        <v>0</v>
      </c>
      <c r="C394">
        <f>B394*('hospitalityq-nil'!C394="")</f>
        <v>0</v>
      </c>
      <c r="D394">
        <f>B394*('hospitalityq-nil'!D394="")</f>
        <v>0</v>
      </c>
    </row>
    <row r="395" spans="1:4" x14ac:dyDescent="0.25">
      <c r="A395">
        <f t="shared" si="6"/>
        <v>0</v>
      </c>
      <c r="B395" t="b">
        <f>SUMPRODUCT(LEN('hospitalityq-nil'!C395:D395))&gt;0</f>
        <v>0</v>
      </c>
      <c r="C395">
        <f>B395*('hospitalityq-nil'!C395="")</f>
        <v>0</v>
      </c>
      <c r="D395">
        <f>B395*('hospitalityq-nil'!D395="")</f>
        <v>0</v>
      </c>
    </row>
    <row r="396" spans="1:4" x14ac:dyDescent="0.25">
      <c r="A396">
        <f t="shared" si="6"/>
        <v>0</v>
      </c>
      <c r="B396" t="b">
        <f>SUMPRODUCT(LEN('hospitalityq-nil'!C396:D396))&gt;0</f>
        <v>0</v>
      </c>
      <c r="C396">
        <f>B396*('hospitalityq-nil'!C396="")</f>
        <v>0</v>
      </c>
      <c r="D396">
        <f>B396*('hospitalityq-nil'!D396="")</f>
        <v>0</v>
      </c>
    </row>
    <row r="397" spans="1:4" x14ac:dyDescent="0.25">
      <c r="A397">
        <f t="shared" si="6"/>
        <v>0</v>
      </c>
      <c r="B397" t="b">
        <f>SUMPRODUCT(LEN('hospitalityq-nil'!C397:D397))&gt;0</f>
        <v>0</v>
      </c>
      <c r="C397">
        <f>B397*('hospitalityq-nil'!C397="")</f>
        <v>0</v>
      </c>
      <c r="D397">
        <f>B397*('hospitalityq-nil'!D397="")</f>
        <v>0</v>
      </c>
    </row>
    <row r="398" spans="1:4" x14ac:dyDescent="0.25">
      <c r="A398">
        <f t="shared" si="6"/>
        <v>0</v>
      </c>
      <c r="B398" t="b">
        <f>SUMPRODUCT(LEN('hospitalityq-nil'!C398:D398))&gt;0</f>
        <v>0</v>
      </c>
      <c r="C398">
        <f>B398*('hospitalityq-nil'!C398="")</f>
        <v>0</v>
      </c>
      <c r="D398">
        <f>B398*('hospitalityq-nil'!D398="")</f>
        <v>0</v>
      </c>
    </row>
    <row r="399" spans="1:4" x14ac:dyDescent="0.25">
      <c r="A399">
        <f t="shared" si="6"/>
        <v>0</v>
      </c>
      <c r="B399" t="b">
        <f>SUMPRODUCT(LEN('hospitalityq-nil'!C399:D399))&gt;0</f>
        <v>0</v>
      </c>
      <c r="C399">
        <f>B399*('hospitalityq-nil'!C399="")</f>
        <v>0</v>
      </c>
      <c r="D399">
        <f>B399*('hospitalityq-nil'!D399="")</f>
        <v>0</v>
      </c>
    </row>
    <row r="400" spans="1:4" x14ac:dyDescent="0.25">
      <c r="A400">
        <f t="shared" si="6"/>
        <v>0</v>
      </c>
      <c r="B400" t="b">
        <f>SUMPRODUCT(LEN('hospitalityq-nil'!C400:D400))&gt;0</f>
        <v>0</v>
      </c>
      <c r="C400">
        <f>B400*('hospitalityq-nil'!C400="")</f>
        <v>0</v>
      </c>
      <c r="D400">
        <f>B400*('hospitalityq-nil'!D400="")</f>
        <v>0</v>
      </c>
    </row>
    <row r="401" spans="1:4" x14ac:dyDescent="0.25">
      <c r="A401">
        <f t="shared" si="6"/>
        <v>0</v>
      </c>
      <c r="B401" t="b">
        <f>SUMPRODUCT(LEN('hospitalityq-nil'!C401:D401))&gt;0</f>
        <v>0</v>
      </c>
      <c r="C401">
        <f>B401*('hospitalityq-nil'!C401="")</f>
        <v>0</v>
      </c>
      <c r="D401">
        <f>B401*('hospitalityq-nil'!D401="")</f>
        <v>0</v>
      </c>
    </row>
    <row r="402" spans="1:4" x14ac:dyDescent="0.25">
      <c r="A402">
        <f t="shared" si="6"/>
        <v>0</v>
      </c>
      <c r="B402" t="b">
        <f>SUMPRODUCT(LEN('hospitalityq-nil'!C402:D402))&gt;0</f>
        <v>0</v>
      </c>
      <c r="C402">
        <f>B402*('hospitalityq-nil'!C402="")</f>
        <v>0</v>
      </c>
      <c r="D402">
        <f>B402*('hospitalityq-nil'!D402="")</f>
        <v>0</v>
      </c>
    </row>
    <row r="403" spans="1:4" x14ac:dyDescent="0.25">
      <c r="A403">
        <f t="shared" si="6"/>
        <v>0</v>
      </c>
      <c r="B403" t="b">
        <f>SUMPRODUCT(LEN('hospitalityq-nil'!C403:D403))&gt;0</f>
        <v>0</v>
      </c>
      <c r="C403">
        <f>B403*('hospitalityq-nil'!C403="")</f>
        <v>0</v>
      </c>
      <c r="D403">
        <f>B403*('hospitalityq-nil'!D403="")</f>
        <v>0</v>
      </c>
    </row>
    <row r="404" spans="1:4" x14ac:dyDescent="0.25">
      <c r="A404">
        <f t="shared" si="6"/>
        <v>0</v>
      </c>
      <c r="B404" t="b">
        <f>SUMPRODUCT(LEN('hospitalityq-nil'!C404:D404))&gt;0</f>
        <v>0</v>
      </c>
      <c r="C404">
        <f>B404*('hospitalityq-nil'!C404="")</f>
        <v>0</v>
      </c>
      <c r="D404">
        <f>B404*('hospitalityq-nil'!D404="")</f>
        <v>0</v>
      </c>
    </row>
    <row r="405" spans="1:4" x14ac:dyDescent="0.25">
      <c r="A405">
        <f t="shared" si="6"/>
        <v>0</v>
      </c>
      <c r="B405" t="b">
        <f>SUMPRODUCT(LEN('hospitalityq-nil'!C405:D405))&gt;0</f>
        <v>0</v>
      </c>
      <c r="C405">
        <f>B405*('hospitalityq-nil'!C405="")</f>
        <v>0</v>
      </c>
      <c r="D405">
        <f>B405*('hospitalityq-nil'!D405="")</f>
        <v>0</v>
      </c>
    </row>
    <row r="406" spans="1:4" x14ac:dyDescent="0.25">
      <c r="A406">
        <f t="shared" si="6"/>
        <v>0</v>
      </c>
      <c r="B406" t="b">
        <f>SUMPRODUCT(LEN('hospitalityq-nil'!C406:D406))&gt;0</f>
        <v>0</v>
      </c>
      <c r="C406">
        <f>B406*('hospitalityq-nil'!C406="")</f>
        <v>0</v>
      </c>
      <c r="D406">
        <f>B406*('hospitalityq-nil'!D406="")</f>
        <v>0</v>
      </c>
    </row>
    <row r="407" spans="1:4" x14ac:dyDescent="0.25">
      <c r="A407">
        <f t="shared" si="6"/>
        <v>0</v>
      </c>
      <c r="B407" t="b">
        <f>SUMPRODUCT(LEN('hospitalityq-nil'!C407:D407))&gt;0</f>
        <v>0</v>
      </c>
      <c r="C407">
        <f>B407*('hospitalityq-nil'!C407="")</f>
        <v>0</v>
      </c>
      <c r="D407">
        <f>B407*('hospitalityq-nil'!D407="")</f>
        <v>0</v>
      </c>
    </row>
    <row r="408" spans="1:4" x14ac:dyDescent="0.25">
      <c r="A408">
        <f t="shared" si="6"/>
        <v>0</v>
      </c>
      <c r="B408" t="b">
        <f>SUMPRODUCT(LEN('hospitalityq-nil'!C408:D408))&gt;0</f>
        <v>0</v>
      </c>
      <c r="C408">
        <f>B408*('hospitalityq-nil'!C408="")</f>
        <v>0</v>
      </c>
      <c r="D408">
        <f>B408*('hospitalityq-nil'!D408="")</f>
        <v>0</v>
      </c>
    </row>
    <row r="409" spans="1:4" x14ac:dyDescent="0.25">
      <c r="A409">
        <f t="shared" si="6"/>
        <v>0</v>
      </c>
      <c r="B409" t="b">
        <f>SUMPRODUCT(LEN('hospitalityq-nil'!C409:D409))&gt;0</f>
        <v>0</v>
      </c>
      <c r="C409">
        <f>B409*('hospitalityq-nil'!C409="")</f>
        <v>0</v>
      </c>
      <c r="D409">
        <f>B409*('hospitalityq-nil'!D409="")</f>
        <v>0</v>
      </c>
    </row>
    <row r="410" spans="1:4" x14ac:dyDescent="0.25">
      <c r="A410">
        <f t="shared" si="6"/>
        <v>0</v>
      </c>
      <c r="B410" t="b">
        <f>SUMPRODUCT(LEN('hospitalityq-nil'!C410:D410))&gt;0</f>
        <v>0</v>
      </c>
      <c r="C410">
        <f>B410*('hospitalityq-nil'!C410="")</f>
        <v>0</v>
      </c>
      <c r="D410">
        <f>B410*('hospitalityq-nil'!D410="")</f>
        <v>0</v>
      </c>
    </row>
    <row r="411" spans="1:4" x14ac:dyDescent="0.25">
      <c r="A411">
        <f t="shared" si="6"/>
        <v>0</v>
      </c>
      <c r="B411" t="b">
        <f>SUMPRODUCT(LEN('hospitalityq-nil'!C411:D411))&gt;0</f>
        <v>0</v>
      </c>
      <c r="C411">
        <f>B411*('hospitalityq-nil'!C411="")</f>
        <v>0</v>
      </c>
      <c r="D411">
        <f>B411*('hospitalityq-nil'!D411="")</f>
        <v>0</v>
      </c>
    </row>
    <row r="412" spans="1:4" x14ac:dyDescent="0.25">
      <c r="A412">
        <f t="shared" si="6"/>
        <v>0</v>
      </c>
      <c r="B412" t="b">
        <f>SUMPRODUCT(LEN('hospitalityq-nil'!C412:D412))&gt;0</f>
        <v>0</v>
      </c>
      <c r="C412">
        <f>B412*('hospitalityq-nil'!C412="")</f>
        <v>0</v>
      </c>
      <c r="D412">
        <f>B412*('hospitalityq-nil'!D412="")</f>
        <v>0</v>
      </c>
    </row>
    <row r="413" spans="1:4" x14ac:dyDescent="0.25">
      <c r="A413">
        <f t="shared" si="6"/>
        <v>0</v>
      </c>
      <c r="B413" t="b">
        <f>SUMPRODUCT(LEN('hospitalityq-nil'!C413:D413))&gt;0</f>
        <v>0</v>
      </c>
      <c r="C413">
        <f>B413*('hospitalityq-nil'!C413="")</f>
        <v>0</v>
      </c>
      <c r="D413">
        <f>B413*('hospitalityq-nil'!D413="")</f>
        <v>0</v>
      </c>
    </row>
    <row r="414" spans="1:4" x14ac:dyDescent="0.25">
      <c r="A414">
        <f t="shared" si="6"/>
        <v>0</v>
      </c>
      <c r="B414" t="b">
        <f>SUMPRODUCT(LEN('hospitalityq-nil'!C414:D414))&gt;0</f>
        <v>0</v>
      </c>
      <c r="C414">
        <f>B414*('hospitalityq-nil'!C414="")</f>
        <v>0</v>
      </c>
      <c r="D414">
        <f>B414*('hospitalityq-nil'!D414="")</f>
        <v>0</v>
      </c>
    </row>
    <row r="415" spans="1:4" x14ac:dyDescent="0.25">
      <c r="A415">
        <f t="shared" si="6"/>
        <v>0</v>
      </c>
      <c r="B415" t="b">
        <f>SUMPRODUCT(LEN('hospitalityq-nil'!C415:D415))&gt;0</f>
        <v>0</v>
      </c>
      <c r="C415">
        <f>B415*('hospitalityq-nil'!C415="")</f>
        <v>0</v>
      </c>
      <c r="D415">
        <f>B415*('hospitalityq-nil'!D415="")</f>
        <v>0</v>
      </c>
    </row>
    <row r="416" spans="1:4" x14ac:dyDescent="0.25">
      <c r="A416">
        <f t="shared" si="6"/>
        <v>0</v>
      </c>
      <c r="B416" t="b">
        <f>SUMPRODUCT(LEN('hospitalityq-nil'!C416:D416))&gt;0</f>
        <v>0</v>
      </c>
      <c r="C416">
        <f>B416*('hospitalityq-nil'!C416="")</f>
        <v>0</v>
      </c>
      <c r="D416">
        <f>B416*('hospitalityq-nil'!D416="")</f>
        <v>0</v>
      </c>
    </row>
    <row r="417" spans="1:4" x14ac:dyDescent="0.25">
      <c r="A417">
        <f t="shared" si="6"/>
        <v>0</v>
      </c>
      <c r="B417" t="b">
        <f>SUMPRODUCT(LEN('hospitalityq-nil'!C417:D417))&gt;0</f>
        <v>0</v>
      </c>
      <c r="C417">
        <f>B417*('hospitalityq-nil'!C417="")</f>
        <v>0</v>
      </c>
      <c r="D417">
        <f>B417*('hospitalityq-nil'!D417="")</f>
        <v>0</v>
      </c>
    </row>
    <row r="418" spans="1:4" x14ac:dyDescent="0.25">
      <c r="A418">
        <f t="shared" si="6"/>
        <v>0</v>
      </c>
      <c r="B418" t="b">
        <f>SUMPRODUCT(LEN('hospitalityq-nil'!C418:D418))&gt;0</f>
        <v>0</v>
      </c>
      <c r="C418">
        <f>B418*('hospitalityq-nil'!C418="")</f>
        <v>0</v>
      </c>
      <c r="D418">
        <f>B418*('hospitalityq-nil'!D418="")</f>
        <v>0</v>
      </c>
    </row>
    <row r="419" spans="1:4" x14ac:dyDescent="0.25">
      <c r="A419">
        <f t="shared" si="6"/>
        <v>0</v>
      </c>
      <c r="B419" t="b">
        <f>SUMPRODUCT(LEN('hospitalityq-nil'!C419:D419))&gt;0</f>
        <v>0</v>
      </c>
      <c r="C419">
        <f>B419*('hospitalityq-nil'!C419="")</f>
        <v>0</v>
      </c>
      <c r="D419">
        <f>B419*('hospitalityq-nil'!D419="")</f>
        <v>0</v>
      </c>
    </row>
    <row r="420" spans="1:4" x14ac:dyDescent="0.25">
      <c r="A420">
        <f t="shared" si="6"/>
        <v>0</v>
      </c>
      <c r="B420" t="b">
        <f>SUMPRODUCT(LEN('hospitalityq-nil'!C420:D420))&gt;0</f>
        <v>0</v>
      </c>
      <c r="C420">
        <f>B420*('hospitalityq-nil'!C420="")</f>
        <v>0</v>
      </c>
      <c r="D420">
        <f>B420*('hospitalityq-nil'!D420="")</f>
        <v>0</v>
      </c>
    </row>
    <row r="421" spans="1:4" x14ac:dyDescent="0.25">
      <c r="A421">
        <f t="shared" si="6"/>
        <v>0</v>
      </c>
      <c r="B421" t="b">
        <f>SUMPRODUCT(LEN('hospitalityq-nil'!C421:D421))&gt;0</f>
        <v>0</v>
      </c>
      <c r="C421">
        <f>B421*('hospitalityq-nil'!C421="")</f>
        <v>0</v>
      </c>
      <c r="D421">
        <f>B421*('hospitalityq-nil'!D421="")</f>
        <v>0</v>
      </c>
    </row>
    <row r="422" spans="1:4" x14ac:dyDescent="0.25">
      <c r="A422">
        <f t="shared" si="6"/>
        <v>0</v>
      </c>
      <c r="B422" t="b">
        <f>SUMPRODUCT(LEN('hospitalityq-nil'!C422:D422))&gt;0</f>
        <v>0</v>
      </c>
      <c r="C422">
        <f>B422*('hospitalityq-nil'!C422="")</f>
        <v>0</v>
      </c>
      <c r="D422">
        <f>B422*('hospitalityq-nil'!D422="")</f>
        <v>0</v>
      </c>
    </row>
    <row r="423" spans="1:4" x14ac:dyDescent="0.25">
      <c r="A423">
        <f t="shared" si="6"/>
        <v>0</v>
      </c>
      <c r="B423" t="b">
        <f>SUMPRODUCT(LEN('hospitalityq-nil'!C423:D423))&gt;0</f>
        <v>0</v>
      </c>
      <c r="C423">
        <f>B423*('hospitalityq-nil'!C423="")</f>
        <v>0</v>
      </c>
      <c r="D423">
        <f>B423*('hospitalityq-nil'!D423="")</f>
        <v>0</v>
      </c>
    </row>
    <row r="424" spans="1:4" x14ac:dyDescent="0.25">
      <c r="A424">
        <f t="shared" si="6"/>
        <v>0</v>
      </c>
      <c r="B424" t="b">
        <f>SUMPRODUCT(LEN('hospitalityq-nil'!C424:D424))&gt;0</f>
        <v>0</v>
      </c>
      <c r="C424">
        <f>B424*('hospitalityq-nil'!C424="")</f>
        <v>0</v>
      </c>
      <c r="D424">
        <f>B424*('hospitalityq-nil'!D424="")</f>
        <v>0</v>
      </c>
    </row>
    <row r="425" spans="1:4" x14ac:dyDescent="0.25">
      <c r="A425">
        <f t="shared" si="6"/>
        <v>0</v>
      </c>
      <c r="B425" t="b">
        <f>SUMPRODUCT(LEN('hospitalityq-nil'!C425:D425))&gt;0</f>
        <v>0</v>
      </c>
      <c r="C425">
        <f>B425*('hospitalityq-nil'!C425="")</f>
        <v>0</v>
      </c>
      <c r="D425">
        <f>B425*('hospitalityq-nil'!D425="")</f>
        <v>0</v>
      </c>
    </row>
    <row r="426" spans="1:4" x14ac:dyDescent="0.25">
      <c r="A426">
        <f t="shared" si="6"/>
        <v>0</v>
      </c>
      <c r="B426" t="b">
        <f>SUMPRODUCT(LEN('hospitalityq-nil'!C426:D426))&gt;0</f>
        <v>0</v>
      </c>
      <c r="C426">
        <f>B426*('hospitalityq-nil'!C426="")</f>
        <v>0</v>
      </c>
      <c r="D426">
        <f>B426*('hospitalityq-nil'!D426="")</f>
        <v>0</v>
      </c>
    </row>
    <row r="427" spans="1:4" x14ac:dyDescent="0.25">
      <c r="A427">
        <f t="shared" si="6"/>
        <v>0</v>
      </c>
      <c r="B427" t="b">
        <f>SUMPRODUCT(LEN('hospitalityq-nil'!C427:D427))&gt;0</f>
        <v>0</v>
      </c>
      <c r="C427">
        <f>B427*('hospitalityq-nil'!C427="")</f>
        <v>0</v>
      </c>
      <c r="D427">
        <f>B427*('hospitalityq-nil'!D427="")</f>
        <v>0</v>
      </c>
    </row>
    <row r="428" spans="1:4" x14ac:dyDescent="0.25">
      <c r="A428">
        <f t="shared" si="6"/>
        <v>0</v>
      </c>
      <c r="B428" t="b">
        <f>SUMPRODUCT(LEN('hospitalityq-nil'!C428:D428))&gt;0</f>
        <v>0</v>
      </c>
      <c r="C428">
        <f>B428*('hospitalityq-nil'!C428="")</f>
        <v>0</v>
      </c>
      <c r="D428">
        <f>B428*('hospitalityq-nil'!D428="")</f>
        <v>0</v>
      </c>
    </row>
    <row r="429" spans="1:4" x14ac:dyDescent="0.25">
      <c r="A429">
        <f t="shared" si="6"/>
        <v>0</v>
      </c>
      <c r="B429" t="b">
        <f>SUMPRODUCT(LEN('hospitalityq-nil'!C429:D429))&gt;0</f>
        <v>0</v>
      </c>
      <c r="C429">
        <f>B429*('hospitalityq-nil'!C429="")</f>
        <v>0</v>
      </c>
      <c r="D429">
        <f>B429*('hospitalityq-nil'!D429="")</f>
        <v>0</v>
      </c>
    </row>
    <row r="430" spans="1:4" x14ac:dyDescent="0.25">
      <c r="A430">
        <f t="shared" si="6"/>
        <v>0</v>
      </c>
      <c r="B430" t="b">
        <f>SUMPRODUCT(LEN('hospitalityq-nil'!C430:D430))&gt;0</f>
        <v>0</v>
      </c>
      <c r="C430">
        <f>B430*('hospitalityq-nil'!C430="")</f>
        <v>0</v>
      </c>
      <c r="D430">
        <f>B430*('hospitalityq-nil'!D430="")</f>
        <v>0</v>
      </c>
    </row>
    <row r="431" spans="1:4" x14ac:dyDescent="0.25">
      <c r="A431">
        <f t="shared" si="6"/>
        <v>0</v>
      </c>
      <c r="B431" t="b">
        <f>SUMPRODUCT(LEN('hospitalityq-nil'!C431:D431))&gt;0</f>
        <v>0</v>
      </c>
      <c r="C431">
        <f>B431*('hospitalityq-nil'!C431="")</f>
        <v>0</v>
      </c>
      <c r="D431">
        <f>B431*('hospitalityq-nil'!D431="")</f>
        <v>0</v>
      </c>
    </row>
    <row r="432" spans="1:4" x14ac:dyDescent="0.25">
      <c r="A432">
        <f t="shared" si="6"/>
        <v>0</v>
      </c>
      <c r="B432" t="b">
        <f>SUMPRODUCT(LEN('hospitalityq-nil'!C432:D432))&gt;0</f>
        <v>0</v>
      </c>
      <c r="C432">
        <f>B432*('hospitalityq-nil'!C432="")</f>
        <v>0</v>
      </c>
      <c r="D432">
        <f>B432*('hospitalityq-nil'!D432="")</f>
        <v>0</v>
      </c>
    </row>
    <row r="433" spans="1:4" x14ac:dyDescent="0.25">
      <c r="A433">
        <f t="shared" si="6"/>
        <v>0</v>
      </c>
      <c r="B433" t="b">
        <f>SUMPRODUCT(LEN('hospitalityq-nil'!C433:D433))&gt;0</f>
        <v>0</v>
      </c>
      <c r="C433">
        <f>B433*('hospitalityq-nil'!C433="")</f>
        <v>0</v>
      </c>
      <c r="D433">
        <f>B433*('hospitalityq-nil'!D433="")</f>
        <v>0</v>
      </c>
    </row>
    <row r="434" spans="1:4" x14ac:dyDescent="0.25">
      <c r="A434">
        <f t="shared" si="6"/>
        <v>0</v>
      </c>
      <c r="B434" t="b">
        <f>SUMPRODUCT(LEN('hospitalityq-nil'!C434:D434))&gt;0</f>
        <v>0</v>
      </c>
      <c r="C434">
        <f>B434*('hospitalityq-nil'!C434="")</f>
        <v>0</v>
      </c>
      <c r="D434">
        <f>B434*('hospitalityq-nil'!D434="")</f>
        <v>0</v>
      </c>
    </row>
    <row r="435" spans="1:4" x14ac:dyDescent="0.25">
      <c r="A435">
        <f t="shared" si="6"/>
        <v>0</v>
      </c>
      <c r="B435" t="b">
        <f>SUMPRODUCT(LEN('hospitalityq-nil'!C435:D435))&gt;0</f>
        <v>0</v>
      </c>
      <c r="C435">
        <f>B435*('hospitalityq-nil'!C435="")</f>
        <v>0</v>
      </c>
      <c r="D435">
        <f>B435*('hospitalityq-nil'!D435="")</f>
        <v>0</v>
      </c>
    </row>
    <row r="436" spans="1:4" x14ac:dyDescent="0.25">
      <c r="A436">
        <f t="shared" si="6"/>
        <v>0</v>
      </c>
      <c r="B436" t="b">
        <f>SUMPRODUCT(LEN('hospitalityq-nil'!C436:D436))&gt;0</f>
        <v>0</v>
      </c>
      <c r="C436">
        <f>B436*('hospitalityq-nil'!C436="")</f>
        <v>0</v>
      </c>
      <c r="D436">
        <f>B436*('hospitalityq-nil'!D436="")</f>
        <v>0</v>
      </c>
    </row>
    <row r="437" spans="1:4" x14ac:dyDescent="0.25">
      <c r="A437">
        <f t="shared" si="6"/>
        <v>0</v>
      </c>
      <c r="B437" t="b">
        <f>SUMPRODUCT(LEN('hospitalityq-nil'!C437:D437))&gt;0</f>
        <v>0</v>
      </c>
      <c r="C437">
        <f>B437*('hospitalityq-nil'!C437="")</f>
        <v>0</v>
      </c>
      <c r="D437">
        <f>B437*('hospitalityq-nil'!D437="")</f>
        <v>0</v>
      </c>
    </row>
    <row r="438" spans="1:4" x14ac:dyDescent="0.25">
      <c r="A438">
        <f t="shared" si="6"/>
        <v>0</v>
      </c>
      <c r="B438" t="b">
        <f>SUMPRODUCT(LEN('hospitalityq-nil'!C438:D438))&gt;0</f>
        <v>0</v>
      </c>
      <c r="C438">
        <f>B438*('hospitalityq-nil'!C438="")</f>
        <v>0</v>
      </c>
      <c r="D438">
        <f>B438*('hospitalityq-nil'!D438="")</f>
        <v>0</v>
      </c>
    </row>
    <row r="439" spans="1:4" x14ac:dyDescent="0.25">
      <c r="A439">
        <f t="shared" si="6"/>
        <v>0</v>
      </c>
      <c r="B439" t="b">
        <f>SUMPRODUCT(LEN('hospitalityq-nil'!C439:D439))&gt;0</f>
        <v>0</v>
      </c>
      <c r="C439">
        <f>B439*('hospitalityq-nil'!C439="")</f>
        <v>0</v>
      </c>
      <c r="D439">
        <f>B439*('hospitalityq-nil'!D439="")</f>
        <v>0</v>
      </c>
    </row>
    <row r="440" spans="1:4" x14ac:dyDescent="0.25">
      <c r="A440">
        <f t="shared" si="6"/>
        <v>0</v>
      </c>
      <c r="B440" t="b">
        <f>SUMPRODUCT(LEN('hospitalityq-nil'!C440:D440))&gt;0</f>
        <v>0</v>
      </c>
      <c r="C440">
        <f>B440*('hospitalityq-nil'!C440="")</f>
        <v>0</v>
      </c>
      <c r="D440">
        <f>B440*('hospitalityq-nil'!D440="")</f>
        <v>0</v>
      </c>
    </row>
    <row r="441" spans="1:4" x14ac:dyDescent="0.25">
      <c r="A441">
        <f t="shared" si="6"/>
        <v>0</v>
      </c>
      <c r="B441" t="b">
        <f>SUMPRODUCT(LEN('hospitalityq-nil'!C441:D441))&gt;0</f>
        <v>0</v>
      </c>
      <c r="C441">
        <f>B441*('hospitalityq-nil'!C441="")</f>
        <v>0</v>
      </c>
      <c r="D441">
        <f>B441*('hospitalityq-nil'!D441="")</f>
        <v>0</v>
      </c>
    </row>
    <row r="442" spans="1:4" x14ac:dyDescent="0.25">
      <c r="A442">
        <f t="shared" si="6"/>
        <v>0</v>
      </c>
      <c r="B442" t="b">
        <f>SUMPRODUCT(LEN('hospitalityq-nil'!C442:D442))&gt;0</f>
        <v>0</v>
      </c>
      <c r="C442">
        <f>B442*('hospitalityq-nil'!C442="")</f>
        <v>0</v>
      </c>
      <c r="D442">
        <f>B442*('hospitalityq-nil'!D442="")</f>
        <v>0</v>
      </c>
    </row>
    <row r="443" spans="1:4" x14ac:dyDescent="0.25">
      <c r="A443">
        <f t="shared" si="6"/>
        <v>0</v>
      </c>
      <c r="B443" t="b">
        <f>SUMPRODUCT(LEN('hospitalityq-nil'!C443:D443))&gt;0</f>
        <v>0</v>
      </c>
      <c r="C443">
        <f>B443*('hospitalityq-nil'!C443="")</f>
        <v>0</v>
      </c>
      <c r="D443">
        <f>B443*('hospitalityq-nil'!D443="")</f>
        <v>0</v>
      </c>
    </row>
    <row r="444" spans="1:4" x14ac:dyDescent="0.25">
      <c r="A444">
        <f t="shared" si="6"/>
        <v>0</v>
      </c>
      <c r="B444" t="b">
        <f>SUMPRODUCT(LEN('hospitalityq-nil'!C444:D444))&gt;0</f>
        <v>0</v>
      </c>
      <c r="C444">
        <f>B444*('hospitalityq-nil'!C444="")</f>
        <v>0</v>
      </c>
      <c r="D444">
        <f>B444*('hospitalityq-nil'!D444="")</f>
        <v>0</v>
      </c>
    </row>
    <row r="445" spans="1:4" x14ac:dyDescent="0.25">
      <c r="A445">
        <f t="shared" si="6"/>
        <v>0</v>
      </c>
      <c r="B445" t="b">
        <f>SUMPRODUCT(LEN('hospitalityq-nil'!C445:D445))&gt;0</f>
        <v>0</v>
      </c>
      <c r="C445">
        <f>B445*('hospitalityq-nil'!C445="")</f>
        <v>0</v>
      </c>
      <c r="D445">
        <f>B445*('hospitalityq-nil'!D445="")</f>
        <v>0</v>
      </c>
    </row>
    <row r="446" spans="1:4" x14ac:dyDescent="0.25">
      <c r="A446">
        <f t="shared" si="6"/>
        <v>0</v>
      </c>
      <c r="B446" t="b">
        <f>SUMPRODUCT(LEN('hospitalityq-nil'!C446:D446))&gt;0</f>
        <v>0</v>
      </c>
      <c r="C446">
        <f>B446*('hospitalityq-nil'!C446="")</f>
        <v>0</v>
      </c>
      <c r="D446">
        <f>B446*('hospitalityq-nil'!D446="")</f>
        <v>0</v>
      </c>
    </row>
    <row r="447" spans="1:4" x14ac:dyDescent="0.25">
      <c r="A447">
        <f t="shared" si="6"/>
        <v>0</v>
      </c>
      <c r="B447" t="b">
        <f>SUMPRODUCT(LEN('hospitalityq-nil'!C447:D447))&gt;0</f>
        <v>0</v>
      </c>
      <c r="C447">
        <f>B447*('hospitalityq-nil'!C447="")</f>
        <v>0</v>
      </c>
      <c r="D447">
        <f>B447*('hospitalityq-nil'!D447="")</f>
        <v>0</v>
      </c>
    </row>
    <row r="448" spans="1:4" x14ac:dyDescent="0.25">
      <c r="A448">
        <f t="shared" si="6"/>
        <v>0</v>
      </c>
      <c r="B448" t="b">
        <f>SUMPRODUCT(LEN('hospitalityq-nil'!C448:D448))&gt;0</f>
        <v>0</v>
      </c>
      <c r="C448">
        <f>B448*('hospitalityq-nil'!C448="")</f>
        <v>0</v>
      </c>
      <c r="D448">
        <f>B448*('hospitalityq-nil'!D448="")</f>
        <v>0</v>
      </c>
    </row>
    <row r="449" spans="1:4" x14ac:dyDescent="0.25">
      <c r="A449">
        <f t="shared" si="6"/>
        <v>0</v>
      </c>
      <c r="B449" t="b">
        <f>SUMPRODUCT(LEN('hospitalityq-nil'!C449:D449))&gt;0</f>
        <v>0</v>
      </c>
      <c r="C449">
        <f>B449*('hospitalityq-nil'!C449="")</f>
        <v>0</v>
      </c>
      <c r="D449">
        <f>B449*('hospitalityq-nil'!D449="")</f>
        <v>0</v>
      </c>
    </row>
    <row r="450" spans="1:4" x14ac:dyDescent="0.25">
      <c r="A450">
        <f t="shared" si="6"/>
        <v>0</v>
      </c>
      <c r="B450" t="b">
        <f>SUMPRODUCT(LEN('hospitalityq-nil'!C450:D450))&gt;0</f>
        <v>0</v>
      </c>
      <c r="C450">
        <f>B450*('hospitalityq-nil'!C450="")</f>
        <v>0</v>
      </c>
      <c r="D450">
        <f>B450*('hospitalityq-nil'!D450="")</f>
        <v>0</v>
      </c>
    </row>
    <row r="451" spans="1:4" x14ac:dyDescent="0.25">
      <c r="A451">
        <f t="shared" si="6"/>
        <v>0</v>
      </c>
      <c r="B451" t="b">
        <f>SUMPRODUCT(LEN('hospitalityq-nil'!C451:D451))&gt;0</f>
        <v>0</v>
      </c>
      <c r="C451">
        <f>B451*('hospitalityq-nil'!C451="")</f>
        <v>0</v>
      </c>
      <c r="D451">
        <f>B451*('hospitalityq-nil'!D451="")</f>
        <v>0</v>
      </c>
    </row>
    <row r="452" spans="1:4" x14ac:dyDescent="0.25">
      <c r="A452">
        <f t="shared" si="6"/>
        <v>0</v>
      </c>
      <c r="B452" t="b">
        <f>SUMPRODUCT(LEN('hospitalityq-nil'!C452:D452))&gt;0</f>
        <v>0</v>
      </c>
      <c r="C452">
        <f>B452*('hospitalityq-nil'!C452="")</f>
        <v>0</v>
      </c>
      <c r="D452">
        <f>B452*('hospitalityq-nil'!D452="")</f>
        <v>0</v>
      </c>
    </row>
    <row r="453" spans="1:4" x14ac:dyDescent="0.25">
      <c r="A453">
        <f t="shared" si="6"/>
        <v>0</v>
      </c>
      <c r="B453" t="b">
        <f>SUMPRODUCT(LEN('hospitalityq-nil'!C453:D453))&gt;0</f>
        <v>0</v>
      </c>
      <c r="C453">
        <f>B453*('hospitalityq-nil'!C453="")</f>
        <v>0</v>
      </c>
      <c r="D453">
        <f>B453*('hospitalityq-nil'!D453="")</f>
        <v>0</v>
      </c>
    </row>
    <row r="454" spans="1:4" x14ac:dyDescent="0.25">
      <c r="A454">
        <f t="shared" ref="A454:A517" si="7">IFERROR(MATCH(TRUE,INDEX(C454:D454&lt;&gt;0,),)+2,0)</f>
        <v>0</v>
      </c>
      <c r="B454" t="b">
        <f>SUMPRODUCT(LEN('hospitalityq-nil'!C454:D454))&gt;0</f>
        <v>0</v>
      </c>
      <c r="C454">
        <f>B454*('hospitalityq-nil'!C454="")</f>
        <v>0</v>
      </c>
      <c r="D454">
        <f>B454*('hospitalityq-nil'!D454="")</f>
        <v>0</v>
      </c>
    </row>
    <row r="455" spans="1:4" x14ac:dyDescent="0.25">
      <c r="A455">
        <f t="shared" si="7"/>
        <v>0</v>
      </c>
      <c r="B455" t="b">
        <f>SUMPRODUCT(LEN('hospitalityq-nil'!C455:D455))&gt;0</f>
        <v>0</v>
      </c>
      <c r="C455">
        <f>B455*('hospitalityq-nil'!C455="")</f>
        <v>0</v>
      </c>
      <c r="D455">
        <f>B455*('hospitalityq-nil'!D455="")</f>
        <v>0</v>
      </c>
    </row>
    <row r="456" spans="1:4" x14ac:dyDescent="0.25">
      <c r="A456">
        <f t="shared" si="7"/>
        <v>0</v>
      </c>
      <c r="B456" t="b">
        <f>SUMPRODUCT(LEN('hospitalityq-nil'!C456:D456))&gt;0</f>
        <v>0</v>
      </c>
      <c r="C456">
        <f>B456*('hospitalityq-nil'!C456="")</f>
        <v>0</v>
      </c>
      <c r="D456">
        <f>B456*('hospitalityq-nil'!D456="")</f>
        <v>0</v>
      </c>
    </row>
    <row r="457" spans="1:4" x14ac:dyDescent="0.25">
      <c r="A457">
        <f t="shared" si="7"/>
        <v>0</v>
      </c>
      <c r="B457" t="b">
        <f>SUMPRODUCT(LEN('hospitalityq-nil'!C457:D457))&gt;0</f>
        <v>0</v>
      </c>
      <c r="C457">
        <f>B457*('hospitalityq-nil'!C457="")</f>
        <v>0</v>
      </c>
      <c r="D457">
        <f>B457*('hospitalityq-nil'!D457="")</f>
        <v>0</v>
      </c>
    </row>
    <row r="458" spans="1:4" x14ac:dyDescent="0.25">
      <c r="A458">
        <f t="shared" si="7"/>
        <v>0</v>
      </c>
      <c r="B458" t="b">
        <f>SUMPRODUCT(LEN('hospitalityq-nil'!C458:D458))&gt;0</f>
        <v>0</v>
      </c>
      <c r="C458">
        <f>B458*('hospitalityq-nil'!C458="")</f>
        <v>0</v>
      </c>
      <c r="D458">
        <f>B458*('hospitalityq-nil'!D458="")</f>
        <v>0</v>
      </c>
    </row>
    <row r="459" spans="1:4" x14ac:dyDescent="0.25">
      <c r="A459">
        <f t="shared" si="7"/>
        <v>0</v>
      </c>
      <c r="B459" t="b">
        <f>SUMPRODUCT(LEN('hospitalityq-nil'!C459:D459))&gt;0</f>
        <v>0</v>
      </c>
      <c r="C459">
        <f>B459*('hospitalityq-nil'!C459="")</f>
        <v>0</v>
      </c>
      <c r="D459">
        <f>B459*('hospitalityq-nil'!D459="")</f>
        <v>0</v>
      </c>
    </row>
    <row r="460" spans="1:4" x14ac:dyDescent="0.25">
      <c r="A460">
        <f t="shared" si="7"/>
        <v>0</v>
      </c>
      <c r="B460" t="b">
        <f>SUMPRODUCT(LEN('hospitalityq-nil'!C460:D460))&gt;0</f>
        <v>0</v>
      </c>
      <c r="C460">
        <f>B460*('hospitalityq-nil'!C460="")</f>
        <v>0</v>
      </c>
      <c r="D460">
        <f>B460*('hospitalityq-nil'!D460="")</f>
        <v>0</v>
      </c>
    </row>
    <row r="461" spans="1:4" x14ac:dyDescent="0.25">
      <c r="A461">
        <f t="shared" si="7"/>
        <v>0</v>
      </c>
      <c r="B461" t="b">
        <f>SUMPRODUCT(LEN('hospitalityq-nil'!C461:D461))&gt;0</f>
        <v>0</v>
      </c>
      <c r="C461">
        <f>B461*('hospitalityq-nil'!C461="")</f>
        <v>0</v>
      </c>
      <c r="D461">
        <f>B461*('hospitalityq-nil'!D461="")</f>
        <v>0</v>
      </c>
    </row>
    <row r="462" spans="1:4" x14ac:dyDescent="0.25">
      <c r="A462">
        <f t="shared" si="7"/>
        <v>0</v>
      </c>
      <c r="B462" t="b">
        <f>SUMPRODUCT(LEN('hospitalityq-nil'!C462:D462))&gt;0</f>
        <v>0</v>
      </c>
      <c r="C462">
        <f>B462*('hospitalityq-nil'!C462="")</f>
        <v>0</v>
      </c>
      <c r="D462">
        <f>B462*('hospitalityq-nil'!D462="")</f>
        <v>0</v>
      </c>
    </row>
    <row r="463" spans="1:4" x14ac:dyDescent="0.25">
      <c r="A463">
        <f t="shared" si="7"/>
        <v>0</v>
      </c>
      <c r="B463" t="b">
        <f>SUMPRODUCT(LEN('hospitalityq-nil'!C463:D463))&gt;0</f>
        <v>0</v>
      </c>
      <c r="C463">
        <f>B463*('hospitalityq-nil'!C463="")</f>
        <v>0</v>
      </c>
      <c r="D463">
        <f>B463*('hospitalityq-nil'!D463="")</f>
        <v>0</v>
      </c>
    </row>
    <row r="464" spans="1:4" x14ac:dyDescent="0.25">
      <c r="A464">
        <f t="shared" si="7"/>
        <v>0</v>
      </c>
      <c r="B464" t="b">
        <f>SUMPRODUCT(LEN('hospitalityq-nil'!C464:D464))&gt;0</f>
        <v>0</v>
      </c>
      <c r="C464">
        <f>B464*('hospitalityq-nil'!C464="")</f>
        <v>0</v>
      </c>
      <c r="D464">
        <f>B464*('hospitalityq-nil'!D464="")</f>
        <v>0</v>
      </c>
    </row>
    <row r="465" spans="1:4" x14ac:dyDescent="0.25">
      <c r="A465">
        <f t="shared" si="7"/>
        <v>0</v>
      </c>
      <c r="B465" t="b">
        <f>SUMPRODUCT(LEN('hospitalityq-nil'!C465:D465))&gt;0</f>
        <v>0</v>
      </c>
      <c r="C465">
        <f>B465*('hospitalityq-nil'!C465="")</f>
        <v>0</v>
      </c>
      <c r="D465">
        <f>B465*('hospitalityq-nil'!D465="")</f>
        <v>0</v>
      </c>
    </row>
    <row r="466" spans="1:4" x14ac:dyDescent="0.25">
      <c r="A466">
        <f t="shared" si="7"/>
        <v>0</v>
      </c>
      <c r="B466" t="b">
        <f>SUMPRODUCT(LEN('hospitalityq-nil'!C466:D466))&gt;0</f>
        <v>0</v>
      </c>
      <c r="C466">
        <f>B466*('hospitalityq-nil'!C466="")</f>
        <v>0</v>
      </c>
      <c r="D466">
        <f>B466*('hospitalityq-nil'!D466="")</f>
        <v>0</v>
      </c>
    </row>
    <row r="467" spans="1:4" x14ac:dyDescent="0.25">
      <c r="A467">
        <f t="shared" si="7"/>
        <v>0</v>
      </c>
      <c r="B467" t="b">
        <f>SUMPRODUCT(LEN('hospitalityq-nil'!C467:D467))&gt;0</f>
        <v>0</v>
      </c>
      <c r="C467">
        <f>B467*('hospitalityq-nil'!C467="")</f>
        <v>0</v>
      </c>
      <c r="D467">
        <f>B467*('hospitalityq-nil'!D467="")</f>
        <v>0</v>
      </c>
    </row>
    <row r="468" spans="1:4" x14ac:dyDescent="0.25">
      <c r="A468">
        <f t="shared" si="7"/>
        <v>0</v>
      </c>
      <c r="B468" t="b">
        <f>SUMPRODUCT(LEN('hospitalityq-nil'!C468:D468))&gt;0</f>
        <v>0</v>
      </c>
      <c r="C468">
        <f>B468*('hospitalityq-nil'!C468="")</f>
        <v>0</v>
      </c>
      <c r="D468">
        <f>B468*('hospitalityq-nil'!D468="")</f>
        <v>0</v>
      </c>
    </row>
    <row r="469" spans="1:4" x14ac:dyDescent="0.25">
      <c r="A469">
        <f t="shared" si="7"/>
        <v>0</v>
      </c>
      <c r="B469" t="b">
        <f>SUMPRODUCT(LEN('hospitalityq-nil'!C469:D469))&gt;0</f>
        <v>0</v>
      </c>
      <c r="C469">
        <f>B469*('hospitalityq-nil'!C469="")</f>
        <v>0</v>
      </c>
      <c r="D469">
        <f>B469*('hospitalityq-nil'!D469="")</f>
        <v>0</v>
      </c>
    </row>
    <row r="470" spans="1:4" x14ac:dyDescent="0.25">
      <c r="A470">
        <f t="shared" si="7"/>
        <v>0</v>
      </c>
      <c r="B470" t="b">
        <f>SUMPRODUCT(LEN('hospitalityq-nil'!C470:D470))&gt;0</f>
        <v>0</v>
      </c>
      <c r="C470">
        <f>B470*('hospitalityq-nil'!C470="")</f>
        <v>0</v>
      </c>
      <c r="D470">
        <f>B470*('hospitalityq-nil'!D470="")</f>
        <v>0</v>
      </c>
    </row>
    <row r="471" spans="1:4" x14ac:dyDescent="0.25">
      <c r="A471">
        <f t="shared" si="7"/>
        <v>0</v>
      </c>
      <c r="B471" t="b">
        <f>SUMPRODUCT(LEN('hospitalityq-nil'!C471:D471))&gt;0</f>
        <v>0</v>
      </c>
      <c r="C471">
        <f>B471*('hospitalityq-nil'!C471="")</f>
        <v>0</v>
      </c>
      <c r="D471">
        <f>B471*('hospitalityq-nil'!D471="")</f>
        <v>0</v>
      </c>
    </row>
    <row r="472" spans="1:4" x14ac:dyDescent="0.25">
      <c r="A472">
        <f t="shared" si="7"/>
        <v>0</v>
      </c>
      <c r="B472" t="b">
        <f>SUMPRODUCT(LEN('hospitalityq-nil'!C472:D472))&gt;0</f>
        <v>0</v>
      </c>
      <c r="C472">
        <f>B472*('hospitalityq-nil'!C472="")</f>
        <v>0</v>
      </c>
      <c r="D472">
        <f>B472*('hospitalityq-nil'!D472="")</f>
        <v>0</v>
      </c>
    </row>
    <row r="473" spans="1:4" x14ac:dyDescent="0.25">
      <c r="A473">
        <f t="shared" si="7"/>
        <v>0</v>
      </c>
      <c r="B473" t="b">
        <f>SUMPRODUCT(LEN('hospitalityq-nil'!C473:D473))&gt;0</f>
        <v>0</v>
      </c>
      <c r="C473">
        <f>B473*('hospitalityq-nil'!C473="")</f>
        <v>0</v>
      </c>
      <c r="D473">
        <f>B473*('hospitalityq-nil'!D473="")</f>
        <v>0</v>
      </c>
    </row>
    <row r="474" spans="1:4" x14ac:dyDescent="0.25">
      <c r="A474">
        <f t="shared" si="7"/>
        <v>0</v>
      </c>
      <c r="B474" t="b">
        <f>SUMPRODUCT(LEN('hospitalityq-nil'!C474:D474))&gt;0</f>
        <v>0</v>
      </c>
      <c r="C474">
        <f>B474*('hospitalityq-nil'!C474="")</f>
        <v>0</v>
      </c>
      <c r="D474">
        <f>B474*('hospitalityq-nil'!D474="")</f>
        <v>0</v>
      </c>
    </row>
    <row r="475" spans="1:4" x14ac:dyDescent="0.25">
      <c r="A475">
        <f t="shared" si="7"/>
        <v>0</v>
      </c>
      <c r="B475" t="b">
        <f>SUMPRODUCT(LEN('hospitalityq-nil'!C475:D475))&gt;0</f>
        <v>0</v>
      </c>
      <c r="C475">
        <f>B475*('hospitalityq-nil'!C475="")</f>
        <v>0</v>
      </c>
      <c r="D475">
        <f>B475*('hospitalityq-nil'!D475="")</f>
        <v>0</v>
      </c>
    </row>
    <row r="476" spans="1:4" x14ac:dyDescent="0.25">
      <c r="A476">
        <f t="shared" si="7"/>
        <v>0</v>
      </c>
      <c r="B476" t="b">
        <f>SUMPRODUCT(LEN('hospitalityq-nil'!C476:D476))&gt;0</f>
        <v>0</v>
      </c>
      <c r="C476">
        <f>B476*('hospitalityq-nil'!C476="")</f>
        <v>0</v>
      </c>
      <c r="D476">
        <f>B476*('hospitalityq-nil'!D476="")</f>
        <v>0</v>
      </c>
    </row>
    <row r="477" spans="1:4" x14ac:dyDescent="0.25">
      <c r="A477">
        <f t="shared" si="7"/>
        <v>0</v>
      </c>
      <c r="B477" t="b">
        <f>SUMPRODUCT(LEN('hospitalityq-nil'!C477:D477))&gt;0</f>
        <v>0</v>
      </c>
      <c r="C477">
        <f>B477*('hospitalityq-nil'!C477="")</f>
        <v>0</v>
      </c>
      <c r="D477">
        <f>B477*('hospitalityq-nil'!D477="")</f>
        <v>0</v>
      </c>
    </row>
    <row r="478" spans="1:4" x14ac:dyDescent="0.25">
      <c r="A478">
        <f t="shared" si="7"/>
        <v>0</v>
      </c>
      <c r="B478" t="b">
        <f>SUMPRODUCT(LEN('hospitalityq-nil'!C478:D478))&gt;0</f>
        <v>0</v>
      </c>
      <c r="C478">
        <f>B478*('hospitalityq-nil'!C478="")</f>
        <v>0</v>
      </c>
      <c r="D478">
        <f>B478*('hospitalityq-nil'!D478="")</f>
        <v>0</v>
      </c>
    </row>
    <row r="479" spans="1:4" x14ac:dyDescent="0.25">
      <c r="A479">
        <f t="shared" si="7"/>
        <v>0</v>
      </c>
      <c r="B479" t="b">
        <f>SUMPRODUCT(LEN('hospitalityq-nil'!C479:D479))&gt;0</f>
        <v>0</v>
      </c>
      <c r="C479">
        <f>B479*('hospitalityq-nil'!C479="")</f>
        <v>0</v>
      </c>
      <c r="D479">
        <f>B479*('hospitalityq-nil'!D479="")</f>
        <v>0</v>
      </c>
    </row>
    <row r="480" spans="1:4" x14ac:dyDescent="0.25">
      <c r="A480">
        <f t="shared" si="7"/>
        <v>0</v>
      </c>
      <c r="B480" t="b">
        <f>SUMPRODUCT(LEN('hospitalityq-nil'!C480:D480))&gt;0</f>
        <v>0</v>
      </c>
      <c r="C480">
        <f>B480*('hospitalityq-nil'!C480="")</f>
        <v>0</v>
      </c>
      <c r="D480">
        <f>B480*('hospitalityq-nil'!D480="")</f>
        <v>0</v>
      </c>
    </row>
    <row r="481" spans="1:4" x14ac:dyDescent="0.25">
      <c r="A481">
        <f t="shared" si="7"/>
        <v>0</v>
      </c>
      <c r="B481" t="b">
        <f>SUMPRODUCT(LEN('hospitalityq-nil'!C481:D481))&gt;0</f>
        <v>0</v>
      </c>
      <c r="C481">
        <f>B481*('hospitalityq-nil'!C481="")</f>
        <v>0</v>
      </c>
      <c r="D481">
        <f>B481*('hospitalityq-nil'!D481="")</f>
        <v>0</v>
      </c>
    </row>
    <row r="482" spans="1:4" x14ac:dyDescent="0.25">
      <c r="A482">
        <f t="shared" si="7"/>
        <v>0</v>
      </c>
      <c r="B482" t="b">
        <f>SUMPRODUCT(LEN('hospitalityq-nil'!C482:D482))&gt;0</f>
        <v>0</v>
      </c>
      <c r="C482">
        <f>B482*('hospitalityq-nil'!C482="")</f>
        <v>0</v>
      </c>
      <c r="D482">
        <f>B482*('hospitalityq-nil'!D482="")</f>
        <v>0</v>
      </c>
    </row>
    <row r="483" spans="1:4" x14ac:dyDescent="0.25">
      <c r="A483">
        <f t="shared" si="7"/>
        <v>0</v>
      </c>
      <c r="B483" t="b">
        <f>SUMPRODUCT(LEN('hospitalityq-nil'!C483:D483))&gt;0</f>
        <v>0</v>
      </c>
      <c r="C483">
        <f>B483*('hospitalityq-nil'!C483="")</f>
        <v>0</v>
      </c>
      <c r="D483">
        <f>B483*('hospitalityq-nil'!D483="")</f>
        <v>0</v>
      </c>
    </row>
    <row r="484" spans="1:4" x14ac:dyDescent="0.25">
      <c r="A484">
        <f t="shared" si="7"/>
        <v>0</v>
      </c>
      <c r="B484" t="b">
        <f>SUMPRODUCT(LEN('hospitalityq-nil'!C484:D484))&gt;0</f>
        <v>0</v>
      </c>
      <c r="C484">
        <f>B484*('hospitalityq-nil'!C484="")</f>
        <v>0</v>
      </c>
      <c r="D484">
        <f>B484*('hospitalityq-nil'!D484="")</f>
        <v>0</v>
      </c>
    </row>
    <row r="485" spans="1:4" x14ac:dyDescent="0.25">
      <c r="A485">
        <f t="shared" si="7"/>
        <v>0</v>
      </c>
      <c r="B485" t="b">
        <f>SUMPRODUCT(LEN('hospitalityq-nil'!C485:D485))&gt;0</f>
        <v>0</v>
      </c>
      <c r="C485">
        <f>B485*('hospitalityq-nil'!C485="")</f>
        <v>0</v>
      </c>
      <c r="D485">
        <f>B485*('hospitalityq-nil'!D485="")</f>
        <v>0</v>
      </c>
    </row>
    <row r="486" spans="1:4" x14ac:dyDescent="0.25">
      <c r="A486">
        <f t="shared" si="7"/>
        <v>0</v>
      </c>
      <c r="B486" t="b">
        <f>SUMPRODUCT(LEN('hospitalityq-nil'!C486:D486))&gt;0</f>
        <v>0</v>
      </c>
      <c r="C486">
        <f>B486*('hospitalityq-nil'!C486="")</f>
        <v>0</v>
      </c>
      <c r="D486">
        <f>B486*('hospitalityq-nil'!D486="")</f>
        <v>0</v>
      </c>
    </row>
    <row r="487" spans="1:4" x14ac:dyDescent="0.25">
      <c r="A487">
        <f t="shared" si="7"/>
        <v>0</v>
      </c>
      <c r="B487" t="b">
        <f>SUMPRODUCT(LEN('hospitalityq-nil'!C487:D487))&gt;0</f>
        <v>0</v>
      </c>
      <c r="C487">
        <f>B487*('hospitalityq-nil'!C487="")</f>
        <v>0</v>
      </c>
      <c r="D487">
        <f>B487*('hospitalityq-nil'!D487="")</f>
        <v>0</v>
      </c>
    </row>
    <row r="488" spans="1:4" x14ac:dyDescent="0.25">
      <c r="A488">
        <f t="shared" si="7"/>
        <v>0</v>
      </c>
      <c r="B488" t="b">
        <f>SUMPRODUCT(LEN('hospitalityq-nil'!C488:D488))&gt;0</f>
        <v>0</v>
      </c>
      <c r="C488">
        <f>B488*('hospitalityq-nil'!C488="")</f>
        <v>0</v>
      </c>
      <c r="D488">
        <f>B488*('hospitalityq-nil'!D488="")</f>
        <v>0</v>
      </c>
    </row>
    <row r="489" spans="1:4" x14ac:dyDescent="0.25">
      <c r="A489">
        <f t="shared" si="7"/>
        <v>0</v>
      </c>
      <c r="B489" t="b">
        <f>SUMPRODUCT(LEN('hospitalityq-nil'!C489:D489))&gt;0</f>
        <v>0</v>
      </c>
      <c r="C489">
        <f>B489*('hospitalityq-nil'!C489="")</f>
        <v>0</v>
      </c>
      <c r="D489">
        <f>B489*('hospitalityq-nil'!D489="")</f>
        <v>0</v>
      </c>
    </row>
    <row r="490" spans="1:4" x14ac:dyDescent="0.25">
      <c r="A490">
        <f t="shared" si="7"/>
        <v>0</v>
      </c>
      <c r="B490" t="b">
        <f>SUMPRODUCT(LEN('hospitalityq-nil'!C490:D490))&gt;0</f>
        <v>0</v>
      </c>
      <c r="C490">
        <f>B490*('hospitalityq-nil'!C490="")</f>
        <v>0</v>
      </c>
      <c r="D490">
        <f>B490*('hospitalityq-nil'!D490="")</f>
        <v>0</v>
      </c>
    </row>
    <row r="491" spans="1:4" x14ac:dyDescent="0.25">
      <c r="A491">
        <f t="shared" si="7"/>
        <v>0</v>
      </c>
      <c r="B491" t="b">
        <f>SUMPRODUCT(LEN('hospitalityq-nil'!C491:D491))&gt;0</f>
        <v>0</v>
      </c>
      <c r="C491">
        <f>B491*('hospitalityq-nil'!C491="")</f>
        <v>0</v>
      </c>
      <c r="D491">
        <f>B491*('hospitalityq-nil'!D491="")</f>
        <v>0</v>
      </c>
    </row>
    <row r="492" spans="1:4" x14ac:dyDescent="0.25">
      <c r="A492">
        <f t="shared" si="7"/>
        <v>0</v>
      </c>
      <c r="B492" t="b">
        <f>SUMPRODUCT(LEN('hospitalityq-nil'!C492:D492))&gt;0</f>
        <v>0</v>
      </c>
      <c r="C492">
        <f>B492*('hospitalityq-nil'!C492="")</f>
        <v>0</v>
      </c>
      <c r="D492">
        <f>B492*('hospitalityq-nil'!D492="")</f>
        <v>0</v>
      </c>
    </row>
    <row r="493" spans="1:4" x14ac:dyDescent="0.25">
      <c r="A493">
        <f t="shared" si="7"/>
        <v>0</v>
      </c>
      <c r="B493" t="b">
        <f>SUMPRODUCT(LEN('hospitalityq-nil'!C493:D493))&gt;0</f>
        <v>0</v>
      </c>
      <c r="C493">
        <f>B493*('hospitalityq-nil'!C493="")</f>
        <v>0</v>
      </c>
      <c r="D493">
        <f>B493*('hospitalityq-nil'!D493="")</f>
        <v>0</v>
      </c>
    </row>
    <row r="494" spans="1:4" x14ac:dyDescent="0.25">
      <c r="A494">
        <f t="shared" si="7"/>
        <v>0</v>
      </c>
      <c r="B494" t="b">
        <f>SUMPRODUCT(LEN('hospitalityq-nil'!C494:D494))&gt;0</f>
        <v>0</v>
      </c>
      <c r="C494">
        <f>B494*('hospitalityq-nil'!C494="")</f>
        <v>0</v>
      </c>
      <c r="D494">
        <f>B494*('hospitalityq-nil'!D494="")</f>
        <v>0</v>
      </c>
    </row>
    <row r="495" spans="1:4" x14ac:dyDescent="0.25">
      <c r="A495">
        <f t="shared" si="7"/>
        <v>0</v>
      </c>
      <c r="B495" t="b">
        <f>SUMPRODUCT(LEN('hospitalityq-nil'!C495:D495))&gt;0</f>
        <v>0</v>
      </c>
      <c r="C495">
        <f>B495*('hospitalityq-nil'!C495="")</f>
        <v>0</v>
      </c>
      <c r="D495">
        <f>B495*('hospitalityq-nil'!D495="")</f>
        <v>0</v>
      </c>
    </row>
    <row r="496" spans="1:4" x14ac:dyDescent="0.25">
      <c r="A496">
        <f t="shared" si="7"/>
        <v>0</v>
      </c>
      <c r="B496" t="b">
        <f>SUMPRODUCT(LEN('hospitalityq-nil'!C496:D496))&gt;0</f>
        <v>0</v>
      </c>
      <c r="C496">
        <f>B496*('hospitalityq-nil'!C496="")</f>
        <v>0</v>
      </c>
      <c r="D496">
        <f>B496*('hospitalityq-nil'!D496="")</f>
        <v>0</v>
      </c>
    </row>
    <row r="497" spans="1:4" x14ac:dyDescent="0.25">
      <c r="A497">
        <f t="shared" si="7"/>
        <v>0</v>
      </c>
      <c r="B497" t="b">
        <f>SUMPRODUCT(LEN('hospitalityq-nil'!C497:D497))&gt;0</f>
        <v>0</v>
      </c>
      <c r="C497">
        <f>B497*('hospitalityq-nil'!C497="")</f>
        <v>0</v>
      </c>
      <c r="D497">
        <f>B497*('hospitalityq-nil'!D497="")</f>
        <v>0</v>
      </c>
    </row>
    <row r="498" spans="1:4" x14ac:dyDescent="0.25">
      <c r="A498">
        <f t="shared" si="7"/>
        <v>0</v>
      </c>
      <c r="B498" t="b">
        <f>SUMPRODUCT(LEN('hospitalityq-nil'!C498:D498))&gt;0</f>
        <v>0</v>
      </c>
      <c r="C498">
        <f>B498*('hospitalityq-nil'!C498="")</f>
        <v>0</v>
      </c>
      <c r="D498">
        <f>B498*('hospitalityq-nil'!D498="")</f>
        <v>0</v>
      </c>
    </row>
    <row r="499" spans="1:4" x14ac:dyDescent="0.25">
      <c r="A499">
        <f t="shared" si="7"/>
        <v>0</v>
      </c>
      <c r="B499" t="b">
        <f>SUMPRODUCT(LEN('hospitalityq-nil'!C499:D499))&gt;0</f>
        <v>0</v>
      </c>
      <c r="C499">
        <f>B499*('hospitalityq-nil'!C499="")</f>
        <v>0</v>
      </c>
      <c r="D499">
        <f>B499*('hospitalityq-nil'!D499="")</f>
        <v>0</v>
      </c>
    </row>
    <row r="500" spans="1:4" x14ac:dyDescent="0.25">
      <c r="A500">
        <f t="shared" si="7"/>
        <v>0</v>
      </c>
      <c r="B500" t="b">
        <f>SUMPRODUCT(LEN('hospitalityq-nil'!C500:D500))&gt;0</f>
        <v>0</v>
      </c>
      <c r="C500">
        <f>B500*('hospitalityq-nil'!C500="")</f>
        <v>0</v>
      </c>
      <c r="D500">
        <f>B500*('hospitalityq-nil'!D500="")</f>
        <v>0</v>
      </c>
    </row>
    <row r="501" spans="1:4" x14ac:dyDescent="0.25">
      <c r="A501">
        <f t="shared" si="7"/>
        <v>0</v>
      </c>
      <c r="B501" t="b">
        <f>SUMPRODUCT(LEN('hospitalityq-nil'!C501:D501))&gt;0</f>
        <v>0</v>
      </c>
      <c r="C501">
        <f>B501*('hospitalityq-nil'!C501="")</f>
        <v>0</v>
      </c>
      <c r="D501">
        <f>B501*('hospitalityq-nil'!D501="")</f>
        <v>0</v>
      </c>
    </row>
    <row r="502" spans="1:4" x14ac:dyDescent="0.25">
      <c r="A502">
        <f t="shared" si="7"/>
        <v>0</v>
      </c>
      <c r="B502" t="b">
        <f>SUMPRODUCT(LEN('hospitalityq-nil'!C502:D502))&gt;0</f>
        <v>0</v>
      </c>
      <c r="C502">
        <f>B502*('hospitalityq-nil'!C502="")</f>
        <v>0</v>
      </c>
      <c r="D502">
        <f>B502*('hospitalityq-nil'!D502="")</f>
        <v>0</v>
      </c>
    </row>
    <row r="503" spans="1:4" x14ac:dyDescent="0.25">
      <c r="A503">
        <f t="shared" si="7"/>
        <v>0</v>
      </c>
      <c r="B503" t="b">
        <f>SUMPRODUCT(LEN('hospitalityq-nil'!C503:D503))&gt;0</f>
        <v>0</v>
      </c>
      <c r="C503">
        <f>B503*('hospitalityq-nil'!C503="")</f>
        <v>0</v>
      </c>
      <c r="D503">
        <f>B503*('hospitalityq-nil'!D503="")</f>
        <v>0</v>
      </c>
    </row>
    <row r="504" spans="1:4" x14ac:dyDescent="0.25">
      <c r="A504">
        <f t="shared" si="7"/>
        <v>0</v>
      </c>
      <c r="B504" t="b">
        <f>SUMPRODUCT(LEN('hospitalityq-nil'!C504:D504))&gt;0</f>
        <v>0</v>
      </c>
      <c r="C504">
        <f>B504*('hospitalityq-nil'!C504="")</f>
        <v>0</v>
      </c>
      <c r="D504">
        <f>B504*('hospitalityq-nil'!D504="")</f>
        <v>0</v>
      </c>
    </row>
    <row r="505" spans="1:4" x14ac:dyDescent="0.25">
      <c r="A505">
        <f t="shared" si="7"/>
        <v>0</v>
      </c>
      <c r="B505" t="b">
        <f>SUMPRODUCT(LEN('hospitalityq-nil'!C505:D505))&gt;0</f>
        <v>0</v>
      </c>
      <c r="C505">
        <f>B505*('hospitalityq-nil'!C505="")</f>
        <v>0</v>
      </c>
      <c r="D505">
        <f>B505*('hospitalityq-nil'!D505="")</f>
        <v>0</v>
      </c>
    </row>
    <row r="506" spans="1:4" x14ac:dyDescent="0.25">
      <c r="A506">
        <f t="shared" si="7"/>
        <v>0</v>
      </c>
      <c r="B506" t="b">
        <f>SUMPRODUCT(LEN('hospitalityq-nil'!C506:D506))&gt;0</f>
        <v>0</v>
      </c>
      <c r="C506">
        <f>B506*('hospitalityq-nil'!C506="")</f>
        <v>0</v>
      </c>
      <c r="D506">
        <f>B506*('hospitalityq-nil'!D506="")</f>
        <v>0</v>
      </c>
    </row>
    <row r="507" spans="1:4" x14ac:dyDescent="0.25">
      <c r="A507">
        <f t="shared" si="7"/>
        <v>0</v>
      </c>
      <c r="B507" t="b">
        <f>SUMPRODUCT(LEN('hospitalityq-nil'!C507:D507))&gt;0</f>
        <v>0</v>
      </c>
      <c r="C507">
        <f>B507*('hospitalityq-nil'!C507="")</f>
        <v>0</v>
      </c>
      <c r="D507">
        <f>B507*('hospitalityq-nil'!D507="")</f>
        <v>0</v>
      </c>
    </row>
    <row r="508" spans="1:4" x14ac:dyDescent="0.25">
      <c r="A508">
        <f t="shared" si="7"/>
        <v>0</v>
      </c>
      <c r="B508" t="b">
        <f>SUMPRODUCT(LEN('hospitalityq-nil'!C508:D508))&gt;0</f>
        <v>0</v>
      </c>
      <c r="C508">
        <f>B508*('hospitalityq-nil'!C508="")</f>
        <v>0</v>
      </c>
      <c r="D508">
        <f>B508*('hospitalityq-nil'!D508="")</f>
        <v>0</v>
      </c>
    </row>
    <row r="509" spans="1:4" x14ac:dyDescent="0.25">
      <c r="A509">
        <f t="shared" si="7"/>
        <v>0</v>
      </c>
      <c r="B509" t="b">
        <f>SUMPRODUCT(LEN('hospitalityq-nil'!C509:D509))&gt;0</f>
        <v>0</v>
      </c>
      <c r="C509">
        <f>B509*('hospitalityq-nil'!C509="")</f>
        <v>0</v>
      </c>
      <c r="D509">
        <f>B509*('hospitalityq-nil'!D509="")</f>
        <v>0</v>
      </c>
    </row>
    <row r="510" spans="1:4" x14ac:dyDescent="0.25">
      <c r="A510">
        <f t="shared" si="7"/>
        <v>0</v>
      </c>
      <c r="B510" t="b">
        <f>SUMPRODUCT(LEN('hospitalityq-nil'!C510:D510))&gt;0</f>
        <v>0</v>
      </c>
      <c r="C510">
        <f>B510*('hospitalityq-nil'!C510="")</f>
        <v>0</v>
      </c>
      <c r="D510">
        <f>B510*('hospitalityq-nil'!D510="")</f>
        <v>0</v>
      </c>
    </row>
    <row r="511" spans="1:4" x14ac:dyDescent="0.25">
      <c r="A511">
        <f t="shared" si="7"/>
        <v>0</v>
      </c>
      <c r="B511" t="b">
        <f>SUMPRODUCT(LEN('hospitalityq-nil'!C511:D511))&gt;0</f>
        <v>0</v>
      </c>
      <c r="C511">
        <f>B511*('hospitalityq-nil'!C511="")</f>
        <v>0</v>
      </c>
      <c r="D511">
        <f>B511*('hospitalityq-nil'!D511="")</f>
        <v>0</v>
      </c>
    </row>
    <row r="512" spans="1:4" x14ac:dyDescent="0.25">
      <c r="A512">
        <f t="shared" si="7"/>
        <v>0</v>
      </c>
      <c r="B512" t="b">
        <f>SUMPRODUCT(LEN('hospitalityq-nil'!C512:D512))&gt;0</f>
        <v>0</v>
      </c>
      <c r="C512">
        <f>B512*('hospitalityq-nil'!C512="")</f>
        <v>0</v>
      </c>
      <c r="D512">
        <f>B512*('hospitalityq-nil'!D512="")</f>
        <v>0</v>
      </c>
    </row>
    <row r="513" spans="1:4" x14ac:dyDescent="0.25">
      <c r="A513">
        <f t="shared" si="7"/>
        <v>0</v>
      </c>
      <c r="B513" t="b">
        <f>SUMPRODUCT(LEN('hospitalityq-nil'!C513:D513))&gt;0</f>
        <v>0</v>
      </c>
      <c r="C513">
        <f>B513*('hospitalityq-nil'!C513="")</f>
        <v>0</v>
      </c>
      <c r="D513">
        <f>B513*('hospitalityq-nil'!D513="")</f>
        <v>0</v>
      </c>
    </row>
    <row r="514" spans="1:4" x14ac:dyDescent="0.25">
      <c r="A514">
        <f t="shared" si="7"/>
        <v>0</v>
      </c>
      <c r="B514" t="b">
        <f>SUMPRODUCT(LEN('hospitalityq-nil'!C514:D514))&gt;0</f>
        <v>0</v>
      </c>
      <c r="C514">
        <f>B514*('hospitalityq-nil'!C514="")</f>
        <v>0</v>
      </c>
      <c r="D514">
        <f>B514*('hospitalityq-nil'!D514="")</f>
        <v>0</v>
      </c>
    </row>
    <row r="515" spans="1:4" x14ac:dyDescent="0.25">
      <c r="A515">
        <f t="shared" si="7"/>
        <v>0</v>
      </c>
      <c r="B515" t="b">
        <f>SUMPRODUCT(LEN('hospitalityq-nil'!C515:D515))&gt;0</f>
        <v>0</v>
      </c>
      <c r="C515">
        <f>B515*('hospitalityq-nil'!C515="")</f>
        <v>0</v>
      </c>
      <c r="D515">
        <f>B515*('hospitalityq-nil'!D515="")</f>
        <v>0</v>
      </c>
    </row>
    <row r="516" spans="1:4" x14ac:dyDescent="0.25">
      <c r="A516">
        <f t="shared" si="7"/>
        <v>0</v>
      </c>
      <c r="B516" t="b">
        <f>SUMPRODUCT(LEN('hospitalityq-nil'!C516:D516))&gt;0</f>
        <v>0</v>
      </c>
      <c r="C516">
        <f>B516*('hospitalityq-nil'!C516="")</f>
        <v>0</v>
      </c>
      <c r="D516">
        <f>B516*('hospitalityq-nil'!D516="")</f>
        <v>0</v>
      </c>
    </row>
    <row r="517" spans="1:4" x14ac:dyDescent="0.25">
      <c r="A517">
        <f t="shared" si="7"/>
        <v>0</v>
      </c>
      <c r="B517" t="b">
        <f>SUMPRODUCT(LEN('hospitalityq-nil'!C517:D517))&gt;0</f>
        <v>0</v>
      </c>
      <c r="C517">
        <f>B517*('hospitalityq-nil'!C517="")</f>
        <v>0</v>
      </c>
      <c r="D517">
        <f>B517*('hospitalityq-nil'!D517="")</f>
        <v>0</v>
      </c>
    </row>
    <row r="518" spans="1:4" x14ac:dyDescent="0.25">
      <c r="A518">
        <f t="shared" ref="A518:A581" si="8">IFERROR(MATCH(TRUE,INDEX(C518:D518&lt;&gt;0,),)+2,0)</f>
        <v>0</v>
      </c>
      <c r="B518" t="b">
        <f>SUMPRODUCT(LEN('hospitalityq-nil'!C518:D518))&gt;0</f>
        <v>0</v>
      </c>
      <c r="C518">
        <f>B518*('hospitalityq-nil'!C518="")</f>
        <v>0</v>
      </c>
      <c r="D518">
        <f>B518*('hospitalityq-nil'!D518="")</f>
        <v>0</v>
      </c>
    </row>
    <row r="519" spans="1:4" x14ac:dyDescent="0.25">
      <c r="A519">
        <f t="shared" si="8"/>
        <v>0</v>
      </c>
      <c r="B519" t="b">
        <f>SUMPRODUCT(LEN('hospitalityq-nil'!C519:D519))&gt;0</f>
        <v>0</v>
      </c>
      <c r="C519">
        <f>B519*('hospitalityq-nil'!C519="")</f>
        <v>0</v>
      </c>
      <c r="D519">
        <f>B519*('hospitalityq-nil'!D519="")</f>
        <v>0</v>
      </c>
    </row>
    <row r="520" spans="1:4" x14ac:dyDescent="0.25">
      <c r="A520">
        <f t="shared" si="8"/>
        <v>0</v>
      </c>
      <c r="B520" t="b">
        <f>SUMPRODUCT(LEN('hospitalityq-nil'!C520:D520))&gt;0</f>
        <v>0</v>
      </c>
      <c r="C520">
        <f>B520*('hospitalityq-nil'!C520="")</f>
        <v>0</v>
      </c>
      <c r="D520">
        <f>B520*('hospitalityq-nil'!D520="")</f>
        <v>0</v>
      </c>
    </row>
    <row r="521" spans="1:4" x14ac:dyDescent="0.25">
      <c r="A521">
        <f t="shared" si="8"/>
        <v>0</v>
      </c>
      <c r="B521" t="b">
        <f>SUMPRODUCT(LEN('hospitalityq-nil'!C521:D521))&gt;0</f>
        <v>0</v>
      </c>
      <c r="C521">
        <f>B521*('hospitalityq-nil'!C521="")</f>
        <v>0</v>
      </c>
      <c r="D521">
        <f>B521*('hospitalityq-nil'!D521="")</f>
        <v>0</v>
      </c>
    </row>
    <row r="522" spans="1:4" x14ac:dyDescent="0.25">
      <c r="A522">
        <f t="shared" si="8"/>
        <v>0</v>
      </c>
      <c r="B522" t="b">
        <f>SUMPRODUCT(LEN('hospitalityq-nil'!C522:D522))&gt;0</f>
        <v>0</v>
      </c>
      <c r="C522">
        <f>B522*('hospitalityq-nil'!C522="")</f>
        <v>0</v>
      </c>
      <c r="D522">
        <f>B522*('hospitalityq-nil'!D522="")</f>
        <v>0</v>
      </c>
    </row>
    <row r="523" spans="1:4" x14ac:dyDescent="0.25">
      <c r="A523">
        <f t="shared" si="8"/>
        <v>0</v>
      </c>
      <c r="B523" t="b">
        <f>SUMPRODUCT(LEN('hospitalityq-nil'!C523:D523))&gt;0</f>
        <v>0</v>
      </c>
      <c r="C523">
        <f>B523*('hospitalityq-nil'!C523="")</f>
        <v>0</v>
      </c>
      <c r="D523">
        <f>B523*('hospitalityq-nil'!D523="")</f>
        <v>0</v>
      </c>
    </row>
    <row r="524" spans="1:4" x14ac:dyDescent="0.25">
      <c r="A524">
        <f t="shared" si="8"/>
        <v>0</v>
      </c>
      <c r="B524" t="b">
        <f>SUMPRODUCT(LEN('hospitalityq-nil'!C524:D524))&gt;0</f>
        <v>0</v>
      </c>
      <c r="C524">
        <f>B524*('hospitalityq-nil'!C524="")</f>
        <v>0</v>
      </c>
      <c r="D524">
        <f>B524*('hospitalityq-nil'!D524="")</f>
        <v>0</v>
      </c>
    </row>
    <row r="525" spans="1:4" x14ac:dyDescent="0.25">
      <c r="A525">
        <f t="shared" si="8"/>
        <v>0</v>
      </c>
      <c r="B525" t="b">
        <f>SUMPRODUCT(LEN('hospitalityq-nil'!C525:D525))&gt;0</f>
        <v>0</v>
      </c>
      <c r="C525">
        <f>B525*('hospitalityq-nil'!C525="")</f>
        <v>0</v>
      </c>
      <c r="D525">
        <f>B525*('hospitalityq-nil'!D525="")</f>
        <v>0</v>
      </c>
    </row>
    <row r="526" spans="1:4" x14ac:dyDescent="0.25">
      <c r="A526">
        <f t="shared" si="8"/>
        <v>0</v>
      </c>
      <c r="B526" t="b">
        <f>SUMPRODUCT(LEN('hospitalityq-nil'!C526:D526))&gt;0</f>
        <v>0</v>
      </c>
      <c r="C526">
        <f>B526*('hospitalityq-nil'!C526="")</f>
        <v>0</v>
      </c>
      <c r="D526">
        <f>B526*('hospitalityq-nil'!D526="")</f>
        <v>0</v>
      </c>
    </row>
    <row r="527" spans="1:4" x14ac:dyDescent="0.25">
      <c r="A527">
        <f t="shared" si="8"/>
        <v>0</v>
      </c>
      <c r="B527" t="b">
        <f>SUMPRODUCT(LEN('hospitalityq-nil'!C527:D527))&gt;0</f>
        <v>0</v>
      </c>
      <c r="C527">
        <f>B527*('hospitalityq-nil'!C527="")</f>
        <v>0</v>
      </c>
      <c r="D527">
        <f>B527*('hospitalityq-nil'!D527="")</f>
        <v>0</v>
      </c>
    </row>
    <row r="528" spans="1:4" x14ac:dyDescent="0.25">
      <c r="A528">
        <f t="shared" si="8"/>
        <v>0</v>
      </c>
      <c r="B528" t="b">
        <f>SUMPRODUCT(LEN('hospitalityq-nil'!C528:D528))&gt;0</f>
        <v>0</v>
      </c>
      <c r="C528">
        <f>B528*('hospitalityq-nil'!C528="")</f>
        <v>0</v>
      </c>
      <c r="D528">
        <f>B528*('hospitalityq-nil'!D528="")</f>
        <v>0</v>
      </c>
    </row>
    <row r="529" spans="1:4" x14ac:dyDescent="0.25">
      <c r="A529">
        <f t="shared" si="8"/>
        <v>0</v>
      </c>
      <c r="B529" t="b">
        <f>SUMPRODUCT(LEN('hospitalityq-nil'!C529:D529))&gt;0</f>
        <v>0</v>
      </c>
      <c r="C529">
        <f>B529*('hospitalityq-nil'!C529="")</f>
        <v>0</v>
      </c>
      <c r="D529">
        <f>B529*('hospitalityq-nil'!D529="")</f>
        <v>0</v>
      </c>
    </row>
    <row r="530" spans="1:4" x14ac:dyDescent="0.25">
      <c r="A530">
        <f t="shared" si="8"/>
        <v>0</v>
      </c>
      <c r="B530" t="b">
        <f>SUMPRODUCT(LEN('hospitalityq-nil'!C530:D530))&gt;0</f>
        <v>0</v>
      </c>
      <c r="C530">
        <f>B530*('hospitalityq-nil'!C530="")</f>
        <v>0</v>
      </c>
      <c r="D530">
        <f>B530*('hospitalityq-nil'!D530="")</f>
        <v>0</v>
      </c>
    </row>
    <row r="531" spans="1:4" x14ac:dyDescent="0.25">
      <c r="A531">
        <f t="shared" si="8"/>
        <v>0</v>
      </c>
      <c r="B531" t="b">
        <f>SUMPRODUCT(LEN('hospitalityq-nil'!C531:D531))&gt;0</f>
        <v>0</v>
      </c>
      <c r="C531">
        <f>B531*('hospitalityq-nil'!C531="")</f>
        <v>0</v>
      </c>
      <c r="D531">
        <f>B531*('hospitalityq-nil'!D531="")</f>
        <v>0</v>
      </c>
    </row>
    <row r="532" spans="1:4" x14ac:dyDescent="0.25">
      <c r="A532">
        <f t="shared" si="8"/>
        <v>0</v>
      </c>
      <c r="B532" t="b">
        <f>SUMPRODUCT(LEN('hospitalityq-nil'!C532:D532))&gt;0</f>
        <v>0</v>
      </c>
      <c r="C532">
        <f>B532*('hospitalityq-nil'!C532="")</f>
        <v>0</v>
      </c>
      <c r="D532">
        <f>B532*('hospitalityq-nil'!D532="")</f>
        <v>0</v>
      </c>
    </row>
    <row r="533" spans="1:4" x14ac:dyDescent="0.25">
      <c r="A533">
        <f t="shared" si="8"/>
        <v>0</v>
      </c>
      <c r="B533" t="b">
        <f>SUMPRODUCT(LEN('hospitalityq-nil'!C533:D533))&gt;0</f>
        <v>0</v>
      </c>
      <c r="C533">
        <f>B533*('hospitalityq-nil'!C533="")</f>
        <v>0</v>
      </c>
      <c r="D533">
        <f>B533*('hospitalityq-nil'!D533="")</f>
        <v>0</v>
      </c>
    </row>
    <row r="534" spans="1:4" x14ac:dyDescent="0.25">
      <c r="A534">
        <f t="shared" si="8"/>
        <v>0</v>
      </c>
      <c r="B534" t="b">
        <f>SUMPRODUCT(LEN('hospitalityq-nil'!C534:D534))&gt;0</f>
        <v>0</v>
      </c>
      <c r="C534">
        <f>B534*('hospitalityq-nil'!C534="")</f>
        <v>0</v>
      </c>
      <c r="D534">
        <f>B534*('hospitalityq-nil'!D534="")</f>
        <v>0</v>
      </c>
    </row>
    <row r="535" spans="1:4" x14ac:dyDescent="0.25">
      <c r="A535">
        <f t="shared" si="8"/>
        <v>0</v>
      </c>
      <c r="B535" t="b">
        <f>SUMPRODUCT(LEN('hospitalityq-nil'!C535:D535))&gt;0</f>
        <v>0</v>
      </c>
      <c r="C535">
        <f>B535*('hospitalityq-nil'!C535="")</f>
        <v>0</v>
      </c>
      <c r="D535">
        <f>B535*('hospitalityq-nil'!D535="")</f>
        <v>0</v>
      </c>
    </row>
    <row r="536" spans="1:4" x14ac:dyDescent="0.25">
      <c r="A536">
        <f t="shared" si="8"/>
        <v>0</v>
      </c>
      <c r="B536" t="b">
        <f>SUMPRODUCT(LEN('hospitalityq-nil'!C536:D536))&gt;0</f>
        <v>0</v>
      </c>
      <c r="C536">
        <f>B536*('hospitalityq-nil'!C536="")</f>
        <v>0</v>
      </c>
      <c r="D536">
        <f>B536*('hospitalityq-nil'!D536="")</f>
        <v>0</v>
      </c>
    </row>
    <row r="537" spans="1:4" x14ac:dyDescent="0.25">
      <c r="A537">
        <f t="shared" si="8"/>
        <v>0</v>
      </c>
      <c r="B537" t="b">
        <f>SUMPRODUCT(LEN('hospitalityq-nil'!C537:D537))&gt;0</f>
        <v>0</v>
      </c>
      <c r="C537">
        <f>B537*('hospitalityq-nil'!C537="")</f>
        <v>0</v>
      </c>
      <c r="D537">
        <f>B537*('hospitalityq-nil'!D537="")</f>
        <v>0</v>
      </c>
    </row>
    <row r="538" spans="1:4" x14ac:dyDescent="0.25">
      <c r="A538">
        <f t="shared" si="8"/>
        <v>0</v>
      </c>
      <c r="B538" t="b">
        <f>SUMPRODUCT(LEN('hospitalityq-nil'!C538:D538))&gt;0</f>
        <v>0</v>
      </c>
      <c r="C538">
        <f>B538*('hospitalityq-nil'!C538="")</f>
        <v>0</v>
      </c>
      <c r="D538">
        <f>B538*('hospitalityq-nil'!D538="")</f>
        <v>0</v>
      </c>
    </row>
    <row r="539" spans="1:4" x14ac:dyDescent="0.25">
      <c r="A539">
        <f t="shared" si="8"/>
        <v>0</v>
      </c>
      <c r="B539" t="b">
        <f>SUMPRODUCT(LEN('hospitalityq-nil'!C539:D539))&gt;0</f>
        <v>0</v>
      </c>
      <c r="C539">
        <f>B539*('hospitalityq-nil'!C539="")</f>
        <v>0</v>
      </c>
      <c r="D539">
        <f>B539*('hospitalityq-nil'!D539="")</f>
        <v>0</v>
      </c>
    </row>
    <row r="540" spans="1:4" x14ac:dyDescent="0.25">
      <c r="A540">
        <f t="shared" si="8"/>
        <v>0</v>
      </c>
      <c r="B540" t="b">
        <f>SUMPRODUCT(LEN('hospitalityq-nil'!C540:D540))&gt;0</f>
        <v>0</v>
      </c>
      <c r="C540">
        <f>B540*('hospitalityq-nil'!C540="")</f>
        <v>0</v>
      </c>
      <c r="D540">
        <f>B540*('hospitalityq-nil'!D540="")</f>
        <v>0</v>
      </c>
    </row>
    <row r="541" spans="1:4" x14ac:dyDescent="0.25">
      <c r="A541">
        <f t="shared" si="8"/>
        <v>0</v>
      </c>
      <c r="B541" t="b">
        <f>SUMPRODUCT(LEN('hospitalityq-nil'!C541:D541))&gt;0</f>
        <v>0</v>
      </c>
      <c r="C541">
        <f>B541*('hospitalityq-nil'!C541="")</f>
        <v>0</v>
      </c>
      <c r="D541">
        <f>B541*('hospitalityq-nil'!D541="")</f>
        <v>0</v>
      </c>
    </row>
    <row r="542" spans="1:4" x14ac:dyDescent="0.25">
      <c r="A542">
        <f t="shared" si="8"/>
        <v>0</v>
      </c>
      <c r="B542" t="b">
        <f>SUMPRODUCT(LEN('hospitalityq-nil'!C542:D542))&gt;0</f>
        <v>0</v>
      </c>
      <c r="C542">
        <f>B542*('hospitalityq-nil'!C542="")</f>
        <v>0</v>
      </c>
      <c r="D542">
        <f>B542*('hospitalityq-nil'!D542="")</f>
        <v>0</v>
      </c>
    </row>
    <row r="543" spans="1:4" x14ac:dyDescent="0.25">
      <c r="A543">
        <f t="shared" si="8"/>
        <v>0</v>
      </c>
      <c r="B543" t="b">
        <f>SUMPRODUCT(LEN('hospitalityq-nil'!C543:D543))&gt;0</f>
        <v>0</v>
      </c>
      <c r="C543">
        <f>B543*('hospitalityq-nil'!C543="")</f>
        <v>0</v>
      </c>
      <c r="D543">
        <f>B543*('hospitalityq-nil'!D543="")</f>
        <v>0</v>
      </c>
    </row>
    <row r="544" spans="1:4" x14ac:dyDescent="0.25">
      <c r="A544">
        <f t="shared" si="8"/>
        <v>0</v>
      </c>
      <c r="B544" t="b">
        <f>SUMPRODUCT(LEN('hospitalityq-nil'!C544:D544))&gt;0</f>
        <v>0</v>
      </c>
      <c r="C544">
        <f>B544*('hospitalityq-nil'!C544="")</f>
        <v>0</v>
      </c>
      <c r="D544">
        <f>B544*('hospitalityq-nil'!D544="")</f>
        <v>0</v>
      </c>
    </row>
    <row r="545" spans="1:4" x14ac:dyDescent="0.25">
      <c r="A545">
        <f t="shared" si="8"/>
        <v>0</v>
      </c>
      <c r="B545" t="b">
        <f>SUMPRODUCT(LEN('hospitalityq-nil'!C545:D545))&gt;0</f>
        <v>0</v>
      </c>
      <c r="C545">
        <f>B545*('hospitalityq-nil'!C545="")</f>
        <v>0</v>
      </c>
      <c r="D545">
        <f>B545*('hospitalityq-nil'!D545="")</f>
        <v>0</v>
      </c>
    </row>
    <row r="546" spans="1:4" x14ac:dyDescent="0.25">
      <c r="A546">
        <f t="shared" si="8"/>
        <v>0</v>
      </c>
      <c r="B546" t="b">
        <f>SUMPRODUCT(LEN('hospitalityq-nil'!C546:D546))&gt;0</f>
        <v>0</v>
      </c>
      <c r="C546">
        <f>B546*('hospitalityq-nil'!C546="")</f>
        <v>0</v>
      </c>
      <c r="D546">
        <f>B546*('hospitalityq-nil'!D546="")</f>
        <v>0</v>
      </c>
    </row>
    <row r="547" spans="1:4" x14ac:dyDescent="0.25">
      <c r="A547">
        <f t="shared" si="8"/>
        <v>0</v>
      </c>
      <c r="B547" t="b">
        <f>SUMPRODUCT(LEN('hospitalityq-nil'!C547:D547))&gt;0</f>
        <v>0</v>
      </c>
      <c r="C547">
        <f>B547*('hospitalityq-nil'!C547="")</f>
        <v>0</v>
      </c>
      <c r="D547">
        <f>B547*('hospitalityq-nil'!D547="")</f>
        <v>0</v>
      </c>
    </row>
    <row r="548" spans="1:4" x14ac:dyDescent="0.25">
      <c r="A548">
        <f t="shared" si="8"/>
        <v>0</v>
      </c>
      <c r="B548" t="b">
        <f>SUMPRODUCT(LEN('hospitalityq-nil'!C548:D548))&gt;0</f>
        <v>0</v>
      </c>
      <c r="C548">
        <f>B548*('hospitalityq-nil'!C548="")</f>
        <v>0</v>
      </c>
      <c r="D548">
        <f>B548*('hospitalityq-nil'!D548="")</f>
        <v>0</v>
      </c>
    </row>
    <row r="549" spans="1:4" x14ac:dyDescent="0.25">
      <c r="A549">
        <f t="shared" si="8"/>
        <v>0</v>
      </c>
      <c r="B549" t="b">
        <f>SUMPRODUCT(LEN('hospitalityq-nil'!C549:D549))&gt;0</f>
        <v>0</v>
      </c>
      <c r="C549">
        <f>B549*('hospitalityq-nil'!C549="")</f>
        <v>0</v>
      </c>
      <c r="D549">
        <f>B549*('hospitalityq-nil'!D549="")</f>
        <v>0</v>
      </c>
    </row>
    <row r="550" spans="1:4" x14ac:dyDescent="0.25">
      <c r="A550">
        <f t="shared" si="8"/>
        <v>0</v>
      </c>
      <c r="B550" t="b">
        <f>SUMPRODUCT(LEN('hospitalityq-nil'!C550:D550))&gt;0</f>
        <v>0</v>
      </c>
      <c r="C550">
        <f>B550*('hospitalityq-nil'!C550="")</f>
        <v>0</v>
      </c>
      <c r="D550">
        <f>B550*('hospitalityq-nil'!D550="")</f>
        <v>0</v>
      </c>
    </row>
    <row r="551" spans="1:4" x14ac:dyDescent="0.25">
      <c r="A551">
        <f t="shared" si="8"/>
        <v>0</v>
      </c>
      <c r="B551" t="b">
        <f>SUMPRODUCT(LEN('hospitalityq-nil'!C551:D551))&gt;0</f>
        <v>0</v>
      </c>
      <c r="C551">
        <f>B551*('hospitalityq-nil'!C551="")</f>
        <v>0</v>
      </c>
      <c r="D551">
        <f>B551*('hospitalityq-nil'!D551="")</f>
        <v>0</v>
      </c>
    </row>
    <row r="552" spans="1:4" x14ac:dyDescent="0.25">
      <c r="A552">
        <f t="shared" si="8"/>
        <v>0</v>
      </c>
      <c r="B552" t="b">
        <f>SUMPRODUCT(LEN('hospitalityq-nil'!C552:D552))&gt;0</f>
        <v>0</v>
      </c>
      <c r="C552">
        <f>B552*('hospitalityq-nil'!C552="")</f>
        <v>0</v>
      </c>
      <c r="D552">
        <f>B552*('hospitalityq-nil'!D552="")</f>
        <v>0</v>
      </c>
    </row>
    <row r="553" spans="1:4" x14ac:dyDescent="0.25">
      <c r="A553">
        <f t="shared" si="8"/>
        <v>0</v>
      </c>
      <c r="B553" t="b">
        <f>SUMPRODUCT(LEN('hospitalityq-nil'!C553:D553))&gt;0</f>
        <v>0</v>
      </c>
      <c r="C553">
        <f>B553*('hospitalityq-nil'!C553="")</f>
        <v>0</v>
      </c>
      <c r="D553">
        <f>B553*('hospitalityq-nil'!D553="")</f>
        <v>0</v>
      </c>
    </row>
    <row r="554" spans="1:4" x14ac:dyDescent="0.25">
      <c r="A554">
        <f t="shared" si="8"/>
        <v>0</v>
      </c>
      <c r="B554" t="b">
        <f>SUMPRODUCT(LEN('hospitalityq-nil'!C554:D554))&gt;0</f>
        <v>0</v>
      </c>
      <c r="C554">
        <f>B554*('hospitalityq-nil'!C554="")</f>
        <v>0</v>
      </c>
      <c r="D554">
        <f>B554*('hospitalityq-nil'!D554="")</f>
        <v>0</v>
      </c>
    </row>
    <row r="555" spans="1:4" x14ac:dyDescent="0.25">
      <c r="A555">
        <f t="shared" si="8"/>
        <v>0</v>
      </c>
      <c r="B555" t="b">
        <f>SUMPRODUCT(LEN('hospitalityq-nil'!C555:D555))&gt;0</f>
        <v>0</v>
      </c>
      <c r="C555">
        <f>B555*('hospitalityq-nil'!C555="")</f>
        <v>0</v>
      </c>
      <c r="D555">
        <f>B555*('hospitalityq-nil'!D555="")</f>
        <v>0</v>
      </c>
    </row>
    <row r="556" spans="1:4" x14ac:dyDescent="0.25">
      <c r="A556">
        <f t="shared" si="8"/>
        <v>0</v>
      </c>
      <c r="B556" t="b">
        <f>SUMPRODUCT(LEN('hospitalityq-nil'!C556:D556))&gt;0</f>
        <v>0</v>
      </c>
      <c r="C556">
        <f>B556*('hospitalityq-nil'!C556="")</f>
        <v>0</v>
      </c>
      <c r="D556">
        <f>B556*('hospitalityq-nil'!D556="")</f>
        <v>0</v>
      </c>
    </row>
    <row r="557" spans="1:4" x14ac:dyDescent="0.25">
      <c r="A557">
        <f t="shared" si="8"/>
        <v>0</v>
      </c>
      <c r="B557" t="b">
        <f>SUMPRODUCT(LEN('hospitalityq-nil'!C557:D557))&gt;0</f>
        <v>0</v>
      </c>
      <c r="C557">
        <f>B557*('hospitalityq-nil'!C557="")</f>
        <v>0</v>
      </c>
      <c r="D557">
        <f>B557*('hospitalityq-nil'!D557="")</f>
        <v>0</v>
      </c>
    </row>
    <row r="558" spans="1:4" x14ac:dyDescent="0.25">
      <c r="A558">
        <f t="shared" si="8"/>
        <v>0</v>
      </c>
      <c r="B558" t="b">
        <f>SUMPRODUCT(LEN('hospitalityq-nil'!C558:D558))&gt;0</f>
        <v>0</v>
      </c>
      <c r="C558">
        <f>B558*('hospitalityq-nil'!C558="")</f>
        <v>0</v>
      </c>
      <c r="D558">
        <f>B558*('hospitalityq-nil'!D558="")</f>
        <v>0</v>
      </c>
    </row>
    <row r="559" spans="1:4" x14ac:dyDescent="0.25">
      <c r="A559">
        <f t="shared" si="8"/>
        <v>0</v>
      </c>
      <c r="B559" t="b">
        <f>SUMPRODUCT(LEN('hospitalityq-nil'!C559:D559))&gt;0</f>
        <v>0</v>
      </c>
      <c r="C559">
        <f>B559*('hospitalityq-nil'!C559="")</f>
        <v>0</v>
      </c>
      <c r="D559">
        <f>B559*('hospitalityq-nil'!D559="")</f>
        <v>0</v>
      </c>
    </row>
    <row r="560" spans="1:4" x14ac:dyDescent="0.25">
      <c r="A560">
        <f t="shared" si="8"/>
        <v>0</v>
      </c>
      <c r="B560" t="b">
        <f>SUMPRODUCT(LEN('hospitalityq-nil'!C560:D560))&gt;0</f>
        <v>0</v>
      </c>
      <c r="C560">
        <f>B560*('hospitalityq-nil'!C560="")</f>
        <v>0</v>
      </c>
      <c r="D560">
        <f>B560*('hospitalityq-nil'!D560="")</f>
        <v>0</v>
      </c>
    </row>
    <row r="561" spans="1:4" x14ac:dyDescent="0.25">
      <c r="A561">
        <f t="shared" si="8"/>
        <v>0</v>
      </c>
      <c r="B561" t="b">
        <f>SUMPRODUCT(LEN('hospitalityq-nil'!C561:D561))&gt;0</f>
        <v>0</v>
      </c>
      <c r="C561">
        <f>B561*('hospitalityq-nil'!C561="")</f>
        <v>0</v>
      </c>
      <c r="D561">
        <f>B561*('hospitalityq-nil'!D561="")</f>
        <v>0</v>
      </c>
    </row>
    <row r="562" spans="1:4" x14ac:dyDescent="0.25">
      <c r="A562">
        <f t="shared" si="8"/>
        <v>0</v>
      </c>
      <c r="B562" t="b">
        <f>SUMPRODUCT(LEN('hospitalityq-nil'!C562:D562))&gt;0</f>
        <v>0</v>
      </c>
      <c r="C562">
        <f>B562*('hospitalityq-nil'!C562="")</f>
        <v>0</v>
      </c>
      <c r="D562">
        <f>B562*('hospitalityq-nil'!D562="")</f>
        <v>0</v>
      </c>
    </row>
    <row r="563" spans="1:4" x14ac:dyDescent="0.25">
      <c r="A563">
        <f t="shared" si="8"/>
        <v>0</v>
      </c>
      <c r="B563" t="b">
        <f>SUMPRODUCT(LEN('hospitalityq-nil'!C563:D563))&gt;0</f>
        <v>0</v>
      </c>
      <c r="C563">
        <f>B563*('hospitalityq-nil'!C563="")</f>
        <v>0</v>
      </c>
      <c r="D563">
        <f>B563*('hospitalityq-nil'!D563="")</f>
        <v>0</v>
      </c>
    </row>
    <row r="564" spans="1:4" x14ac:dyDescent="0.25">
      <c r="A564">
        <f t="shared" si="8"/>
        <v>0</v>
      </c>
      <c r="B564" t="b">
        <f>SUMPRODUCT(LEN('hospitalityq-nil'!C564:D564))&gt;0</f>
        <v>0</v>
      </c>
      <c r="C564">
        <f>B564*('hospitalityq-nil'!C564="")</f>
        <v>0</v>
      </c>
      <c r="D564">
        <f>B564*('hospitalityq-nil'!D564="")</f>
        <v>0</v>
      </c>
    </row>
    <row r="565" spans="1:4" x14ac:dyDescent="0.25">
      <c r="A565">
        <f t="shared" si="8"/>
        <v>0</v>
      </c>
      <c r="B565" t="b">
        <f>SUMPRODUCT(LEN('hospitalityq-nil'!C565:D565))&gt;0</f>
        <v>0</v>
      </c>
      <c r="C565">
        <f>B565*('hospitalityq-nil'!C565="")</f>
        <v>0</v>
      </c>
      <c r="D565">
        <f>B565*('hospitalityq-nil'!D565="")</f>
        <v>0</v>
      </c>
    </row>
    <row r="566" spans="1:4" x14ac:dyDescent="0.25">
      <c r="A566">
        <f t="shared" si="8"/>
        <v>0</v>
      </c>
      <c r="B566" t="b">
        <f>SUMPRODUCT(LEN('hospitalityq-nil'!C566:D566))&gt;0</f>
        <v>0</v>
      </c>
      <c r="C566">
        <f>B566*('hospitalityq-nil'!C566="")</f>
        <v>0</v>
      </c>
      <c r="D566">
        <f>B566*('hospitalityq-nil'!D566="")</f>
        <v>0</v>
      </c>
    </row>
    <row r="567" spans="1:4" x14ac:dyDescent="0.25">
      <c r="A567">
        <f t="shared" si="8"/>
        <v>0</v>
      </c>
      <c r="B567" t="b">
        <f>SUMPRODUCT(LEN('hospitalityq-nil'!C567:D567))&gt;0</f>
        <v>0</v>
      </c>
      <c r="C567">
        <f>B567*('hospitalityq-nil'!C567="")</f>
        <v>0</v>
      </c>
      <c r="D567">
        <f>B567*('hospitalityq-nil'!D567="")</f>
        <v>0</v>
      </c>
    </row>
    <row r="568" spans="1:4" x14ac:dyDescent="0.25">
      <c r="A568">
        <f t="shared" si="8"/>
        <v>0</v>
      </c>
      <c r="B568" t="b">
        <f>SUMPRODUCT(LEN('hospitalityq-nil'!C568:D568))&gt;0</f>
        <v>0</v>
      </c>
      <c r="C568">
        <f>B568*('hospitalityq-nil'!C568="")</f>
        <v>0</v>
      </c>
      <c r="D568">
        <f>B568*('hospitalityq-nil'!D568="")</f>
        <v>0</v>
      </c>
    </row>
    <row r="569" spans="1:4" x14ac:dyDescent="0.25">
      <c r="A569">
        <f t="shared" si="8"/>
        <v>0</v>
      </c>
      <c r="B569" t="b">
        <f>SUMPRODUCT(LEN('hospitalityq-nil'!C569:D569))&gt;0</f>
        <v>0</v>
      </c>
      <c r="C569">
        <f>B569*('hospitalityq-nil'!C569="")</f>
        <v>0</v>
      </c>
      <c r="D569">
        <f>B569*('hospitalityq-nil'!D569="")</f>
        <v>0</v>
      </c>
    </row>
    <row r="570" spans="1:4" x14ac:dyDescent="0.25">
      <c r="A570">
        <f t="shared" si="8"/>
        <v>0</v>
      </c>
      <c r="B570" t="b">
        <f>SUMPRODUCT(LEN('hospitalityq-nil'!C570:D570))&gt;0</f>
        <v>0</v>
      </c>
      <c r="C570">
        <f>B570*('hospitalityq-nil'!C570="")</f>
        <v>0</v>
      </c>
      <c r="D570">
        <f>B570*('hospitalityq-nil'!D570="")</f>
        <v>0</v>
      </c>
    </row>
    <row r="571" spans="1:4" x14ac:dyDescent="0.25">
      <c r="A571">
        <f t="shared" si="8"/>
        <v>0</v>
      </c>
      <c r="B571" t="b">
        <f>SUMPRODUCT(LEN('hospitalityq-nil'!C571:D571))&gt;0</f>
        <v>0</v>
      </c>
      <c r="C571">
        <f>B571*('hospitalityq-nil'!C571="")</f>
        <v>0</v>
      </c>
      <c r="D571">
        <f>B571*('hospitalityq-nil'!D571="")</f>
        <v>0</v>
      </c>
    </row>
    <row r="572" spans="1:4" x14ac:dyDescent="0.25">
      <c r="A572">
        <f t="shared" si="8"/>
        <v>0</v>
      </c>
      <c r="B572" t="b">
        <f>SUMPRODUCT(LEN('hospitalityq-nil'!C572:D572))&gt;0</f>
        <v>0</v>
      </c>
      <c r="C572">
        <f>B572*('hospitalityq-nil'!C572="")</f>
        <v>0</v>
      </c>
      <c r="D572">
        <f>B572*('hospitalityq-nil'!D572="")</f>
        <v>0</v>
      </c>
    </row>
    <row r="573" spans="1:4" x14ac:dyDescent="0.25">
      <c r="A573">
        <f t="shared" si="8"/>
        <v>0</v>
      </c>
      <c r="B573" t="b">
        <f>SUMPRODUCT(LEN('hospitalityq-nil'!C573:D573))&gt;0</f>
        <v>0</v>
      </c>
      <c r="C573">
        <f>B573*('hospitalityq-nil'!C573="")</f>
        <v>0</v>
      </c>
      <c r="D573">
        <f>B573*('hospitalityq-nil'!D573="")</f>
        <v>0</v>
      </c>
    </row>
    <row r="574" spans="1:4" x14ac:dyDescent="0.25">
      <c r="A574">
        <f t="shared" si="8"/>
        <v>0</v>
      </c>
      <c r="B574" t="b">
        <f>SUMPRODUCT(LEN('hospitalityq-nil'!C574:D574))&gt;0</f>
        <v>0</v>
      </c>
      <c r="C574">
        <f>B574*('hospitalityq-nil'!C574="")</f>
        <v>0</v>
      </c>
      <c r="D574">
        <f>B574*('hospitalityq-nil'!D574="")</f>
        <v>0</v>
      </c>
    </row>
    <row r="575" spans="1:4" x14ac:dyDescent="0.25">
      <c r="A575">
        <f t="shared" si="8"/>
        <v>0</v>
      </c>
      <c r="B575" t="b">
        <f>SUMPRODUCT(LEN('hospitalityq-nil'!C575:D575))&gt;0</f>
        <v>0</v>
      </c>
      <c r="C575">
        <f>B575*('hospitalityq-nil'!C575="")</f>
        <v>0</v>
      </c>
      <c r="D575">
        <f>B575*('hospitalityq-nil'!D575="")</f>
        <v>0</v>
      </c>
    </row>
    <row r="576" spans="1:4" x14ac:dyDescent="0.25">
      <c r="A576">
        <f t="shared" si="8"/>
        <v>0</v>
      </c>
      <c r="B576" t="b">
        <f>SUMPRODUCT(LEN('hospitalityq-nil'!C576:D576))&gt;0</f>
        <v>0</v>
      </c>
      <c r="C576">
        <f>B576*('hospitalityq-nil'!C576="")</f>
        <v>0</v>
      </c>
      <c r="D576">
        <f>B576*('hospitalityq-nil'!D576="")</f>
        <v>0</v>
      </c>
    </row>
    <row r="577" spans="1:4" x14ac:dyDescent="0.25">
      <c r="A577">
        <f t="shared" si="8"/>
        <v>0</v>
      </c>
      <c r="B577" t="b">
        <f>SUMPRODUCT(LEN('hospitalityq-nil'!C577:D577))&gt;0</f>
        <v>0</v>
      </c>
      <c r="C577">
        <f>B577*('hospitalityq-nil'!C577="")</f>
        <v>0</v>
      </c>
      <c r="D577">
        <f>B577*('hospitalityq-nil'!D577="")</f>
        <v>0</v>
      </c>
    </row>
    <row r="578" spans="1:4" x14ac:dyDescent="0.25">
      <c r="A578">
        <f t="shared" si="8"/>
        <v>0</v>
      </c>
      <c r="B578" t="b">
        <f>SUMPRODUCT(LEN('hospitalityq-nil'!C578:D578))&gt;0</f>
        <v>0</v>
      </c>
      <c r="C578">
        <f>B578*('hospitalityq-nil'!C578="")</f>
        <v>0</v>
      </c>
      <c r="D578">
        <f>B578*('hospitalityq-nil'!D578="")</f>
        <v>0</v>
      </c>
    </row>
    <row r="579" spans="1:4" x14ac:dyDescent="0.25">
      <c r="A579">
        <f t="shared" si="8"/>
        <v>0</v>
      </c>
      <c r="B579" t="b">
        <f>SUMPRODUCT(LEN('hospitalityq-nil'!C579:D579))&gt;0</f>
        <v>0</v>
      </c>
      <c r="C579">
        <f>B579*('hospitalityq-nil'!C579="")</f>
        <v>0</v>
      </c>
      <c r="D579">
        <f>B579*('hospitalityq-nil'!D579="")</f>
        <v>0</v>
      </c>
    </row>
    <row r="580" spans="1:4" x14ac:dyDescent="0.25">
      <c r="A580">
        <f t="shared" si="8"/>
        <v>0</v>
      </c>
      <c r="B580" t="b">
        <f>SUMPRODUCT(LEN('hospitalityq-nil'!C580:D580))&gt;0</f>
        <v>0</v>
      </c>
      <c r="C580">
        <f>B580*('hospitalityq-nil'!C580="")</f>
        <v>0</v>
      </c>
      <c r="D580">
        <f>B580*('hospitalityq-nil'!D580="")</f>
        <v>0</v>
      </c>
    </row>
    <row r="581" spans="1:4" x14ac:dyDescent="0.25">
      <c r="A581">
        <f t="shared" si="8"/>
        <v>0</v>
      </c>
      <c r="B581" t="b">
        <f>SUMPRODUCT(LEN('hospitalityq-nil'!C581:D581))&gt;0</f>
        <v>0</v>
      </c>
      <c r="C581">
        <f>B581*('hospitalityq-nil'!C581="")</f>
        <v>0</v>
      </c>
      <c r="D581">
        <f>B581*('hospitalityq-nil'!D581="")</f>
        <v>0</v>
      </c>
    </row>
    <row r="582" spans="1:4" x14ac:dyDescent="0.25">
      <c r="A582">
        <f t="shared" ref="A582:A645" si="9">IFERROR(MATCH(TRUE,INDEX(C582:D582&lt;&gt;0,),)+2,0)</f>
        <v>0</v>
      </c>
      <c r="B582" t="b">
        <f>SUMPRODUCT(LEN('hospitalityq-nil'!C582:D582))&gt;0</f>
        <v>0</v>
      </c>
      <c r="C582">
        <f>B582*('hospitalityq-nil'!C582="")</f>
        <v>0</v>
      </c>
      <c r="D582">
        <f>B582*('hospitalityq-nil'!D582="")</f>
        <v>0</v>
      </c>
    </row>
    <row r="583" spans="1:4" x14ac:dyDescent="0.25">
      <c r="A583">
        <f t="shared" si="9"/>
        <v>0</v>
      </c>
      <c r="B583" t="b">
        <f>SUMPRODUCT(LEN('hospitalityq-nil'!C583:D583))&gt;0</f>
        <v>0</v>
      </c>
      <c r="C583">
        <f>B583*('hospitalityq-nil'!C583="")</f>
        <v>0</v>
      </c>
      <c r="D583">
        <f>B583*('hospitalityq-nil'!D583="")</f>
        <v>0</v>
      </c>
    </row>
    <row r="584" spans="1:4" x14ac:dyDescent="0.25">
      <c r="A584">
        <f t="shared" si="9"/>
        <v>0</v>
      </c>
      <c r="B584" t="b">
        <f>SUMPRODUCT(LEN('hospitalityq-nil'!C584:D584))&gt;0</f>
        <v>0</v>
      </c>
      <c r="C584">
        <f>B584*('hospitalityq-nil'!C584="")</f>
        <v>0</v>
      </c>
      <c r="D584">
        <f>B584*('hospitalityq-nil'!D584="")</f>
        <v>0</v>
      </c>
    </row>
    <row r="585" spans="1:4" x14ac:dyDescent="0.25">
      <c r="A585">
        <f t="shared" si="9"/>
        <v>0</v>
      </c>
      <c r="B585" t="b">
        <f>SUMPRODUCT(LEN('hospitalityq-nil'!C585:D585))&gt;0</f>
        <v>0</v>
      </c>
      <c r="C585">
        <f>B585*('hospitalityq-nil'!C585="")</f>
        <v>0</v>
      </c>
      <c r="D585">
        <f>B585*('hospitalityq-nil'!D585="")</f>
        <v>0</v>
      </c>
    </row>
    <row r="586" spans="1:4" x14ac:dyDescent="0.25">
      <c r="A586">
        <f t="shared" si="9"/>
        <v>0</v>
      </c>
      <c r="B586" t="b">
        <f>SUMPRODUCT(LEN('hospitalityq-nil'!C586:D586))&gt;0</f>
        <v>0</v>
      </c>
      <c r="C586">
        <f>B586*('hospitalityq-nil'!C586="")</f>
        <v>0</v>
      </c>
      <c r="D586">
        <f>B586*('hospitalityq-nil'!D586="")</f>
        <v>0</v>
      </c>
    </row>
    <row r="587" spans="1:4" x14ac:dyDescent="0.25">
      <c r="A587">
        <f t="shared" si="9"/>
        <v>0</v>
      </c>
      <c r="B587" t="b">
        <f>SUMPRODUCT(LEN('hospitalityq-nil'!C587:D587))&gt;0</f>
        <v>0</v>
      </c>
      <c r="C587">
        <f>B587*('hospitalityq-nil'!C587="")</f>
        <v>0</v>
      </c>
      <c r="D587">
        <f>B587*('hospitalityq-nil'!D587="")</f>
        <v>0</v>
      </c>
    </row>
    <row r="588" spans="1:4" x14ac:dyDescent="0.25">
      <c r="A588">
        <f t="shared" si="9"/>
        <v>0</v>
      </c>
      <c r="B588" t="b">
        <f>SUMPRODUCT(LEN('hospitalityq-nil'!C588:D588))&gt;0</f>
        <v>0</v>
      </c>
      <c r="C588">
        <f>B588*('hospitalityq-nil'!C588="")</f>
        <v>0</v>
      </c>
      <c r="D588">
        <f>B588*('hospitalityq-nil'!D588="")</f>
        <v>0</v>
      </c>
    </row>
    <row r="589" spans="1:4" x14ac:dyDescent="0.25">
      <c r="A589">
        <f t="shared" si="9"/>
        <v>0</v>
      </c>
      <c r="B589" t="b">
        <f>SUMPRODUCT(LEN('hospitalityq-nil'!C589:D589))&gt;0</f>
        <v>0</v>
      </c>
      <c r="C589">
        <f>B589*('hospitalityq-nil'!C589="")</f>
        <v>0</v>
      </c>
      <c r="D589">
        <f>B589*('hospitalityq-nil'!D589="")</f>
        <v>0</v>
      </c>
    </row>
    <row r="590" spans="1:4" x14ac:dyDescent="0.25">
      <c r="A590">
        <f t="shared" si="9"/>
        <v>0</v>
      </c>
      <c r="B590" t="b">
        <f>SUMPRODUCT(LEN('hospitalityq-nil'!C590:D590))&gt;0</f>
        <v>0</v>
      </c>
      <c r="C590">
        <f>B590*('hospitalityq-nil'!C590="")</f>
        <v>0</v>
      </c>
      <c r="D590">
        <f>B590*('hospitalityq-nil'!D590="")</f>
        <v>0</v>
      </c>
    </row>
    <row r="591" spans="1:4" x14ac:dyDescent="0.25">
      <c r="A591">
        <f t="shared" si="9"/>
        <v>0</v>
      </c>
      <c r="B591" t="b">
        <f>SUMPRODUCT(LEN('hospitalityq-nil'!C591:D591))&gt;0</f>
        <v>0</v>
      </c>
      <c r="C591">
        <f>B591*('hospitalityq-nil'!C591="")</f>
        <v>0</v>
      </c>
      <c r="D591">
        <f>B591*('hospitalityq-nil'!D591="")</f>
        <v>0</v>
      </c>
    </row>
    <row r="592" spans="1:4" x14ac:dyDescent="0.25">
      <c r="A592">
        <f t="shared" si="9"/>
        <v>0</v>
      </c>
      <c r="B592" t="b">
        <f>SUMPRODUCT(LEN('hospitalityq-nil'!C592:D592))&gt;0</f>
        <v>0</v>
      </c>
      <c r="C592">
        <f>B592*('hospitalityq-nil'!C592="")</f>
        <v>0</v>
      </c>
      <c r="D592">
        <f>B592*('hospitalityq-nil'!D592="")</f>
        <v>0</v>
      </c>
    </row>
    <row r="593" spans="1:4" x14ac:dyDescent="0.25">
      <c r="A593">
        <f t="shared" si="9"/>
        <v>0</v>
      </c>
      <c r="B593" t="b">
        <f>SUMPRODUCT(LEN('hospitalityq-nil'!C593:D593))&gt;0</f>
        <v>0</v>
      </c>
      <c r="C593">
        <f>B593*('hospitalityq-nil'!C593="")</f>
        <v>0</v>
      </c>
      <c r="D593">
        <f>B593*('hospitalityq-nil'!D593="")</f>
        <v>0</v>
      </c>
    </row>
    <row r="594" spans="1:4" x14ac:dyDescent="0.25">
      <c r="A594">
        <f t="shared" si="9"/>
        <v>0</v>
      </c>
      <c r="B594" t="b">
        <f>SUMPRODUCT(LEN('hospitalityq-nil'!C594:D594))&gt;0</f>
        <v>0</v>
      </c>
      <c r="C594">
        <f>B594*('hospitalityq-nil'!C594="")</f>
        <v>0</v>
      </c>
      <c r="D594">
        <f>B594*('hospitalityq-nil'!D594="")</f>
        <v>0</v>
      </c>
    </row>
    <row r="595" spans="1:4" x14ac:dyDescent="0.25">
      <c r="A595">
        <f t="shared" si="9"/>
        <v>0</v>
      </c>
      <c r="B595" t="b">
        <f>SUMPRODUCT(LEN('hospitalityq-nil'!C595:D595))&gt;0</f>
        <v>0</v>
      </c>
      <c r="C595">
        <f>B595*('hospitalityq-nil'!C595="")</f>
        <v>0</v>
      </c>
      <c r="D595">
        <f>B595*('hospitalityq-nil'!D595="")</f>
        <v>0</v>
      </c>
    </row>
    <row r="596" spans="1:4" x14ac:dyDescent="0.25">
      <c r="A596">
        <f t="shared" si="9"/>
        <v>0</v>
      </c>
      <c r="B596" t="b">
        <f>SUMPRODUCT(LEN('hospitalityq-nil'!C596:D596))&gt;0</f>
        <v>0</v>
      </c>
      <c r="C596">
        <f>B596*('hospitalityq-nil'!C596="")</f>
        <v>0</v>
      </c>
      <c r="D596">
        <f>B596*('hospitalityq-nil'!D596="")</f>
        <v>0</v>
      </c>
    </row>
    <row r="597" spans="1:4" x14ac:dyDescent="0.25">
      <c r="A597">
        <f t="shared" si="9"/>
        <v>0</v>
      </c>
      <c r="B597" t="b">
        <f>SUMPRODUCT(LEN('hospitalityq-nil'!C597:D597))&gt;0</f>
        <v>0</v>
      </c>
      <c r="C597">
        <f>B597*('hospitalityq-nil'!C597="")</f>
        <v>0</v>
      </c>
      <c r="D597">
        <f>B597*('hospitalityq-nil'!D597="")</f>
        <v>0</v>
      </c>
    </row>
    <row r="598" spans="1:4" x14ac:dyDescent="0.25">
      <c r="A598">
        <f t="shared" si="9"/>
        <v>0</v>
      </c>
      <c r="B598" t="b">
        <f>SUMPRODUCT(LEN('hospitalityq-nil'!C598:D598))&gt;0</f>
        <v>0</v>
      </c>
      <c r="C598">
        <f>B598*('hospitalityq-nil'!C598="")</f>
        <v>0</v>
      </c>
      <c r="D598">
        <f>B598*('hospitalityq-nil'!D598="")</f>
        <v>0</v>
      </c>
    </row>
    <row r="599" spans="1:4" x14ac:dyDescent="0.25">
      <c r="A599">
        <f t="shared" si="9"/>
        <v>0</v>
      </c>
      <c r="B599" t="b">
        <f>SUMPRODUCT(LEN('hospitalityq-nil'!C599:D599))&gt;0</f>
        <v>0</v>
      </c>
      <c r="C599">
        <f>B599*('hospitalityq-nil'!C599="")</f>
        <v>0</v>
      </c>
      <c r="D599">
        <f>B599*('hospitalityq-nil'!D599="")</f>
        <v>0</v>
      </c>
    </row>
    <row r="600" spans="1:4" x14ac:dyDescent="0.25">
      <c r="A600">
        <f t="shared" si="9"/>
        <v>0</v>
      </c>
      <c r="B600" t="b">
        <f>SUMPRODUCT(LEN('hospitalityq-nil'!C600:D600))&gt;0</f>
        <v>0</v>
      </c>
      <c r="C600">
        <f>B600*('hospitalityq-nil'!C600="")</f>
        <v>0</v>
      </c>
      <c r="D600">
        <f>B600*('hospitalityq-nil'!D600="")</f>
        <v>0</v>
      </c>
    </row>
    <row r="601" spans="1:4" x14ac:dyDescent="0.25">
      <c r="A601">
        <f t="shared" si="9"/>
        <v>0</v>
      </c>
      <c r="B601" t="b">
        <f>SUMPRODUCT(LEN('hospitalityq-nil'!C601:D601))&gt;0</f>
        <v>0</v>
      </c>
      <c r="C601">
        <f>B601*('hospitalityq-nil'!C601="")</f>
        <v>0</v>
      </c>
      <c r="D601">
        <f>B601*('hospitalityq-nil'!D601="")</f>
        <v>0</v>
      </c>
    </row>
    <row r="602" spans="1:4" x14ac:dyDescent="0.25">
      <c r="A602">
        <f t="shared" si="9"/>
        <v>0</v>
      </c>
      <c r="B602" t="b">
        <f>SUMPRODUCT(LEN('hospitalityq-nil'!C602:D602))&gt;0</f>
        <v>0</v>
      </c>
      <c r="C602">
        <f>B602*('hospitalityq-nil'!C602="")</f>
        <v>0</v>
      </c>
      <c r="D602">
        <f>B602*('hospitalityq-nil'!D602="")</f>
        <v>0</v>
      </c>
    </row>
    <row r="603" spans="1:4" x14ac:dyDescent="0.25">
      <c r="A603">
        <f t="shared" si="9"/>
        <v>0</v>
      </c>
      <c r="B603" t="b">
        <f>SUMPRODUCT(LEN('hospitalityq-nil'!C603:D603))&gt;0</f>
        <v>0</v>
      </c>
      <c r="C603">
        <f>B603*('hospitalityq-nil'!C603="")</f>
        <v>0</v>
      </c>
      <c r="D603">
        <f>B603*('hospitalityq-nil'!D603="")</f>
        <v>0</v>
      </c>
    </row>
    <row r="604" spans="1:4" x14ac:dyDescent="0.25">
      <c r="A604">
        <f t="shared" si="9"/>
        <v>0</v>
      </c>
      <c r="B604" t="b">
        <f>SUMPRODUCT(LEN('hospitalityq-nil'!C604:D604))&gt;0</f>
        <v>0</v>
      </c>
      <c r="C604">
        <f>B604*('hospitalityq-nil'!C604="")</f>
        <v>0</v>
      </c>
      <c r="D604">
        <f>B604*('hospitalityq-nil'!D604="")</f>
        <v>0</v>
      </c>
    </row>
    <row r="605" spans="1:4" x14ac:dyDescent="0.25">
      <c r="A605">
        <f t="shared" si="9"/>
        <v>0</v>
      </c>
      <c r="B605" t="b">
        <f>SUMPRODUCT(LEN('hospitalityq-nil'!C605:D605))&gt;0</f>
        <v>0</v>
      </c>
      <c r="C605">
        <f>B605*('hospitalityq-nil'!C605="")</f>
        <v>0</v>
      </c>
      <c r="D605">
        <f>B605*('hospitalityq-nil'!D605="")</f>
        <v>0</v>
      </c>
    </row>
    <row r="606" spans="1:4" x14ac:dyDescent="0.25">
      <c r="A606">
        <f t="shared" si="9"/>
        <v>0</v>
      </c>
      <c r="B606" t="b">
        <f>SUMPRODUCT(LEN('hospitalityq-nil'!C606:D606))&gt;0</f>
        <v>0</v>
      </c>
      <c r="C606">
        <f>B606*('hospitalityq-nil'!C606="")</f>
        <v>0</v>
      </c>
      <c r="D606">
        <f>B606*('hospitalityq-nil'!D606="")</f>
        <v>0</v>
      </c>
    </row>
    <row r="607" spans="1:4" x14ac:dyDescent="0.25">
      <c r="A607">
        <f t="shared" si="9"/>
        <v>0</v>
      </c>
      <c r="B607" t="b">
        <f>SUMPRODUCT(LEN('hospitalityq-nil'!C607:D607))&gt;0</f>
        <v>0</v>
      </c>
      <c r="C607">
        <f>B607*('hospitalityq-nil'!C607="")</f>
        <v>0</v>
      </c>
      <c r="D607">
        <f>B607*('hospitalityq-nil'!D607="")</f>
        <v>0</v>
      </c>
    </row>
    <row r="608" spans="1:4" x14ac:dyDescent="0.25">
      <c r="A608">
        <f t="shared" si="9"/>
        <v>0</v>
      </c>
      <c r="B608" t="b">
        <f>SUMPRODUCT(LEN('hospitalityq-nil'!C608:D608))&gt;0</f>
        <v>0</v>
      </c>
      <c r="C608">
        <f>B608*('hospitalityq-nil'!C608="")</f>
        <v>0</v>
      </c>
      <c r="D608">
        <f>B608*('hospitalityq-nil'!D608="")</f>
        <v>0</v>
      </c>
    </row>
    <row r="609" spans="1:4" x14ac:dyDescent="0.25">
      <c r="A609">
        <f t="shared" si="9"/>
        <v>0</v>
      </c>
      <c r="B609" t="b">
        <f>SUMPRODUCT(LEN('hospitalityq-nil'!C609:D609))&gt;0</f>
        <v>0</v>
      </c>
      <c r="C609">
        <f>B609*('hospitalityq-nil'!C609="")</f>
        <v>0</v>
      </c>
      <c r="D609">
        <f>B609*('hospitalityq-nil'!D609="")</f>
        <v>0</v>
      </c>
    </row>
    <row r="610" spans="1:4" x14ac:dyDescent="0.25">
      <c r="A610">
        <f t="shared" si="9"/>
        <v>0</v>
      </c>
      <c r="B610" t="b">
        <f>SUMPRODUCT(LEN('hospitalityq-nil'!C610:D610))&gt;0</f>
        <v>0</v>
      </c>
      <c r="C610">
        <f>B610*('hospitalityq-nil'!C610="")</f>
        <v>0</v>
      </c>
      <c r="D610">
        <f>B610*('hospitalityq-nil'!D610="")</f>
        <v>0</v>
      </c>
    </row>
    <row r="611" spans="1:4" x14ac:dyDescent="0.25">
      <c r="A611">
        <f t="shared" si="9"/>
        <v>0</v>
      </c>
      <c r="B611" t="b">
        <f>SUMPRODUCT(LEN('hospitalityq-nil'!C611:D611))&gt;0</f>
        <v>0</v>
      </c>
      <c r="C611">
        <f>B611*('hospitalityq-nil'!C611="")</f>
        <v>0</v>
      </c>
      <c r="D611">
        <f>B611*('hospitalityq-nil'!D611="")</f>
        <v>0</v>
      </c>
    </row>
    <row r="612" spans="1:4" x14ac:dyDescent="0.25">
      <c r="A612">
        <f t="shared" si="9"/>
        <v>0</v>
      </c>
      <c r="B612" t="b">
        <f>SUMPRODUCT(LEN('hospitalityq-nil'!C612:D612))&gt;0</f>
        <v>0</v>
      </c>
      <c r="C612">
        <f>B612*('hospitalityq-nil'!C612="")</f>
        <v>0</v>
      </c>
      <c r="D612">
        <f>B612*('hospitalityq-nil'!D612="")</f>
        <v>0</v>
      </c>
    </row>
    <row r="613" spans="1:4" x14ac:dyDescent="0.25">
      <c r="A613">
        <f t="shared" si="9"/>
        <v>0</v>
      </c>
      <c r="B613" t="b">
        <f>SUMPRODUCT(LEN('hospitalityq-nil'!C613:D613))&gt;0</f>
        <v>0</v>
      </c>
      <c r="C613">
        <f>B613*('hospitalityq-nil'!C613="")</f>
        <v>0</v>
      </c>
      <c r="D613">
        <f>B613*('hospitalityq-nil'!D613="")</f>
        <v>0</v>
      </c>
    </row>
    <row r="614" spans="1:4" x14ac:dyDescent="0.25">
      <c r="A614">
        <f t="shared" si="9"/>
        <v>0</v>
      </c>
      <c r="B614" t="b">
        <f>SUMPRODUCT(LEN('hospitalityq-nil'!C614:D614))&gt;0</f>
        <v>0</v>
      </c>
      <c r="C614">
        <f>B614*('hospitalityq-nil'!C614="")</f>
        <v>0</v>
      </c>
      <c r="D614">
        <f>B614*('hospitalityq-nil'!D614="")</f>
        <v>0</v>
      </c>
    </row>
    <row r="615" spans="1:4" x14ac:dyDescent="0.25">
      <c r="A615">
        <f t="shared" si="9"/>
        <v>0</v>
      </c>
      <c r="B615" t="b">
        <f>SUMPRODUCT(LEN('hospitalityq-nil'!C615:D615))&gt;0</f>
        <v>0</v>
      </c>
      <c r="C615">
        <f>B615*('hospitalityq-nil'!C615="")</f>
        <v>0</v>
      </c>
      <c r="D615">
        <f>B615*('hospitalityq-nil'!D615="")</f>
        <v>0</v>
      </c>
    </row>
    <row r="616" spans="1:4" x14ac:dyDescent="0.25">
      <c r="A616">
        <f t="shared" si="9"/>
        <v>0</v>
      </c>
      <c r="B616" t="b">
        <f>SUMPRODUCT(LEN('hospitalityq-nil'!C616:D616))&gt;0</f>
        <v>0</v>
      </c>
      <c r="C616">
        <f>B616*('hospitalityq-nil'!C616="")</f>
        <v>0</v>
      </c>
      <c r="D616">
        <f>B616*('hospitalityq-nil'!D616="")</f>
        <v>0</v>
      </c>
    </row>
    <row r="617" spans="1:4" x14ac:dyDescent="0.25">
      <c r="A617">
        <f t="shared" si="9"/>
        <v>0</v>
      </c>
      <c r="B617" t="b">
        <f>SUMPRODUCT(LEN('hospitalityq-nil'!C617:D617))&gt;0</f>
        <v>0</v>
      </c>
      <c r="C617">
        <f>B617*('hospitalityq-nil'!C617="")</f>
        <v>0</v>
      </c>
      <c r="D617">
        <f>B617*('hospitalityq-nil'!D617="")</f>
        <v>0</v>
      </c>
    </row>
    <row r="618" spans="1:4" x14ac:dyDescent="0.25">
      <c r="A618">
        <f t="shared" si="9"/>
        <v>0</v>
      </c>
      <c r="B618" t="b">
        <f>SUMPRODUCT(LEN('hospitalityq-nil'!C618:D618))&gt;0</f>
        <v>0</v>
      </c>
      <c r="C618">
        <f>B618*('hospitalityq-nil'!C618="")</f>
        <v>0</v>
      </c>
      <c r="D618">
        <f>B618*('hospitalityq-nil'!D618="")</f>
        <v>0</v>
      </c>
    </row>
    <row r="619" spans="1:4" x14ac:dyDescent="0.25">
      <c r="A619">
        <f t="shared" si="9"/>
        <v>0</v>
      </c>
      <c r="B619" t="b">
        <f>SUMPRODUCT(LEN('hospitalityq-nil'!C619:D619))&gt;0</f>
        <v>0</v>
      </c>
      <c r="C619">
        <f>B619*('hospitalityq-nil'!C619="")</f>
        <v>0</v>
      </c>
      <c r="D619">
        <f>B619*('hospitalityq-nil'!D619="")</f>
        <v>0</v>
      </c>
    </row>
    <row r="620" spans="1:4" x14ac:dyDescent="0.25">
      <c r="A620">
        <f t="shared" si="9"/>
        <v>0</v>
      </c>
      <c r="B620" t="b">
        <f>SUMPRODUCT(LEN('hospitalityq-nil'!C620:D620))&gt;0</f>
        <v>0</v>
      </c>
      <c r="C620">
        <f>B620*('hospitalityq-nil'!C620="")</f>
        <v>0</v>
      </c>
      <c r="D620">
        <f>B620*('hospitalityq-nil'!D620="")</f>
        <v>0</v>
      </c>
    </row>
    <row r="621" spans="1:4" x14ac:dyDescent="0.25">
      <c r="A621">
        <f t="shared" si="9"/>
        <v>0</v>
      </c>
      <c r="B621" t="b">
        <f>SUMPRODUCT(LEN('hospitalityq-nil'!C621:D621))&gt;0</f>
        <v>0</v>
      </c>
      <c r="C621">
        <f>B621*('hospitalityq-nil'!C621="")</f>
        <v>0</v>
      </c>
      <c r="D621">
        <f>B621*('hospitalityq-nil'!D621="")</f>
        <v>0</v>
      </c>
    </row>
    <row r="622" spans="1:4" x14ac:dyDescent="0.25">
      <c r="A622">
        <f t="shared" si="9"/>
        <v>0</v>
      </c>
      <c r="B622" t="b">
        <f>SUMPRODUCT(LEN('hospitalityq-nil'!C622:D622))&gt;0</f>
        <v>0</v>
      </c>
      <c r="C622">
        <f>B622*('hospitalityq-nil'!C622="")</f>
        <v>0</v>
      </c>
      <c r="D622">
        <f>B622*('hospitalityq-nil'!D622="")</f>
        <v>0</v>
      </c>
    </row>
    <row r="623" spans="1:4" x14ac:dyDescent="0.25">
      <c r="A623">
        <f t="shared" si="9"/>
        <v>0</v>
      </c>
      <c r="B623" t="b">
        <f>SUMPRODUCT(LEN('hospitalityq-nil'!C623:D623))&gt;0</f>
        <v>0</v>
      </c>
      <c r="C623">
        <f>B623*('hospitalityq-nil'!C623="")</f>
        <v>0</v>
      </c>
      <c r="D623">
        <f>B623*('hospitalityq-nil'!D623="")</f>
        <v>0</v>
      </c>
    </row>
    <row r="624" spans="1:4" x14ac:dyDescent="0.25">
      <c r="A624">
        <f t="shared" si="9"/>
        <v>0</v>
      </c>
      <c r="B624" t="b">
        <f>SUMPRODUCT(LEN('hospitalityq-nil'!C624:D624))&gt;0</f>
        <v>0</v>
      </c>
      <c r="C624">
        <f>B624*('hospitalityq-nil'!C624="")</f>
        <v>0</v>
      </c>
      <c r="D624">
        <f>B624*('hospitalityq-nil'!D624="")</f>
        <v>0</v>
      </c>
    </row>
    <row r="625" spans="1:4" x14ac:dyDescent="0.25">
      <c r="A625">
        <f t="shared" si="9"/>
        <v>0</v>
      </c>
      <c r="B625" t="b">
        <f>SUMPRODUCT(LEN('hospitalityq-nil'!C625:D625))&gt;0</f>
        <v>0</v>
      </c>
      <c r="C625">
        <f>B625*('hospitalityq-nil'!C625="")</f>
        <v>0</v>
      </c>
      <c r="D625">
        <f>B625*('hospitalityq-nil'!D625="")</f>
        <v>0</v>
      </c>
    </row>
    <row r="626" spans="1:4" x14ac:dyDescent="0.25">
      <c r="A626">
        <f t="shared" si="9"/>
        <v>0</v>
      </c>
      <c r="B626" t="b">
        <f>SUMPRODUCT(LEN('hospitalityq-nil'!C626:D626))&gt;0</f>
        <v>0</v>
      </c>
      <c r="C626">
        <f>B626*('hospitalityq-nil'!C626="")</f>
        <v>0</v>
      </c>
      <c r="D626">
        <f>B626*('hospitalityq-nil'!D626="")</f>
        <v>0</v>
      </c>
    </row>
    <row r="627" spans="1:4" x14ac:dyDescent="0.25">
      <c r="A627">
        <f t="shared" si="9"/>
        <v>0</v>
      </c>
      <c r="B627" t="b">
        <f>SUMPRODUCT(LEN('hospitalityq-nil'!C627:D627))&gt;0</f>
        <v>0</v>
      </c>
      <c r="C627">
        <f>B627*('hospitalityq-nil'!C627="")</f>
        <v>0</v>
      </c>
      <c r="D627">
        <f>B627*('hospitalityq-nil'!D627="")</f>
        <v>0</v>
      </c>
    </row>
    <row r="628" spans="1:4" x14ac:dyDescent="0.25">
      <c r="A628">
        <f t="shared" si="9"/>
        <v>0</v>
      </c>
      <c r="B628" t="b">
        <f>SUMPRODUCT(LEN('hospitalityq-nil'!C628:D628))&gt;0</f>
        <v>0</v>
      </c>
      <c r="C628">
        <f>B628*('hospitalityq-nil'!C628="")</f>
        <v>0</v>
      </c>
      <c r="D628">
        <f>B628*('hospitalityq-nil'!D628="")</f>
        <v>0</v>
      </c>
    </row>
    <row r="629" spans="1:4" x14ac:dyDescent="0.25">
      <c r="A629">
        <f t="shared" si="9"/>
        <v>0</v>
      </c>
      <c r="B629" t="b">
        <f>SUMPRODUCT(LEN('hospitalityq-nil'!C629:D629))&gt;0</f>
        <v>0</v>
      </c>
      <c r="C629">
        <f>B629*('hospitalityq-nil'!C629="")</f>
        <v>0</v>
      </c>
      <c r="D629">
        <f>B629*('hospitalityq-nil'!D629="")</f>
        <v>0</v>
      </c>
    </row>
    <row r="630" spans="1:4" x14ac:dyDescent="0.25">
      <c r="A630">
        <f t="shared" si="9"/>
        <v>0</v>
      </c>
      <c r="B630" t="b">
        <f>SUMPRODUCT(LEN('hospitalityq-nil'!C630:D630))&gt;0</f>
        <v>0</v>
      </c>
      <c r="C630">
        <f>B630*('hospitalityq-nil'!C630="")</f>
        <v>0</v>
      </c>
      <c r="D630">
        <f>B630*('hospitalityq-nil'!D630="")</f>
        <v>0</v>
      </c>
    </row>
    <row r="631" spans="1:4" x14ac:dyDescent="0.25">
      <c r="A631">
        <f t="shared" si="9"/>
        <v>0</v>
      </c>
      <c r="B631" t="b">
        <f>SUMPRODUCT(LEN('hospitalityq-nil'!C631:D631))&gt;0</f>
        <v>0</v>
      </c>
      <c r="C631">
        <f>B631*('hospitalityq-nil'!C631="")</f>
        <v>0</v>
      </c>
      <c r="D631">
        <f>B631*('hospitalityq-nil'!D631="")</f>
        <v>0</v>
      </c>
    </row>
    <row r="632" spans="1:4" x14ac:dyDescent="0.25">
      <c r="A632">
        <f t="shared" si="9"/>
        <v>0</v>
      </c>
      <c r="B632" t="b">
        <f>SUMPRODUCT(LEN('hospitalityq-nil'!C632:D632))&gt;0</f>
        <v>0</v>
      </c>
      <c r="C632">
        <f>B632*('hospitalityq-nil'!C632="")</f>
        <v>0</v>
      </c>
      <c r="D632">
        <f>B632*('hospitalityq-nil'!D632="")</f>
        <v>0</v>
      </c>
    </row>
    <row r="633" spans="1:4" x14ac:dyDescent="0.25">
      <c r="A633">
        <f t="shared" si="9"/>
        <v>0</v>
      </c>
      <c r="B633" t="b">
        <f>SUMPRODUCT(LEN('hospitalityq-nil'!C633:D633))&gt;0</f>
        <v>0</v>
      </c>
      <c r="C633">
        <f>B633*('hospitalityq-nil'!C633="")</f>
        <v>0</v>
      </c>
      <c r="D633">
        <f>B633*('hospitalityq-nil'!D633="")</f>
        <v>0</v>
      </c>
    </row>
    <row r="634" spans="1:4" x14ac:dyDescent="0.25">
      <c r="A634">
        <f t="shared" si="9"/>
        <v>0</v>
      </c>
      <c r="B634" t="b">
        <f>SUMPRODUCT(LEN('hospitalityq-nil'!C634:D634))&gt;0</f>
        <v>0</v>
      </c>
      <c r="C634">
        <f>B634*('hospitalityq-nil'!C634="")</f>
        <v>0</v>
      </c>
      <c r="D634">
        <f>B634*('hospitalityq-nil'!D634="")</f>
        <v>0</v>
      </c>
    </row>
    <row r="635" spans="1:4" x14ac:dyDescent="0.25">
      <c r="A635">
        <f t="shared" si="9"/>
        <v>0</v>
      </c>
      <c r="B635" t="b">
        <f>SUMPRODUCT(LEN('hospitalityq-nil'!C635:D635))&gt;0</f>
        <v>0</v>
      </c>
      <c r="C635">
        <f>B635*('hospitalityq-nil'!C635="")</f>
        <v>0</v>
      </c>
      <c r="D635">
        <f>B635*('hospitalityq-nil'!D635="")</f>
        <v>0</v>
      </c>
    </row>
    <row r="636" spans="1:4" x14ac:dyDescent="0.25">
      <c r="A636">
        <f t="shared" si="9"/>
        <v>0</v>
      </c>
      <c r="B636" t="b">
        <f>SUMPRODUCT(LEN('hospitalityq-nil'!C636:D636))&gt;0</f>
        <v>0</v>
      </c>
      <c r="C636">
        <f>B636*('hospitalityq-nil'!C636="")</f>
        <v>0</v>
      </c>
      <c r="D636">
        <f>B636*('hospitalityq-nil'!D636="")</f>
        <v>0</v>
      </c>
    </row>
    <row r="637" spans="1:4" x14ac:dyDescent="0.25">
      <c r="A637">
        <f t="shared" si="9"/>
        <v>0</v>
      </c>
      <c r="B637" t="b">
        <f>SUMPRODUCT(LEN('hospitalityq-nil'!C637:D637))&gt;0</f>
        <v>0</v>
      </c>
      <c r="C637">
        <f>B637*('hospitalityq-nil'!C637="")</f>
        <v>0</v>
      </c>
      <c r="D637">
        <f>B637*('hospitalityq-nil'!D637="")</f>
        <v>0</v>
      </c>
    </row>
    <row r="638" spans="1:4" x14ac:dyDescent="0.25">
      <c r="A638">
        <f t="shared" si="9"/>
        <v>0</v>
      </c>
      <c r="B638" t="b">
        <f>SUMPRODUCT(LEN('hospitalityq-nil'!C638:D638))&gt;0</f>
        <v>0</v>
      </c>
      <c r="C638">
        <f>B638*('hospitalityq-nil'!C638="")</f>
        <v>0</v>
      </c>
      <c r="D638">
        <f>B638*('hospitalityq-nil'!D638="")</f>
        <v>0</v>
      </c>
    </row>
    <row r="639" spans="1:4" x14ac:dyDescent="0.25">
      <c r="A639">
        <f t="shared" si="9"/>
        <v>0</v>
      </c>
      <c r="B639" t="b">
        <f>SUMPRODUCT(LEN('hospitalityq-nil'!C639:D639))&gt;0</f>
        <v>0</v>
      </c>
      <c r="C639">
        <f>B639*('hospitalityq-nil'!C639="")</f>
        <v>0</v>
      </c>
      <c r="D639">
        <f>B639*('hospitalityq-nil'!D639="")</f>
        <v>0</v>
      </c>
    </row>
    <row r="640" spans="1:4" x14ac:dyDescent="0.25">
      <c r="A640">
        <f t="shared" si="9"/>
        <v>0</v>
      </c>
      <c r="B640" t="b">
        <f>SUMPRODUCT(LEN('hospitalityq-nil'!C640:D640))&gt;0</f>
        <v>0</v>
      </c>
      <c r="C640">
        <f>B640*('hospitalityq-nil'!C640="")</f>
        <v>0</v>
      </c>
      <c r="D640">
        <f>B640*('hospitalityq-nil'!D640="")</f>
        <v>0</v>
      </c>
    </row>
    <row r="641" spans="1:4" x14ac:dyDescent="0.25">
      <c r="A641">
        <f t="shared" si="9"/>
        <v>0</v>
      </c>
      <c r="B641" t="b">
        <f>SUMPRODUCT(LEN('hospitalityq-nil'!C641:D641))&gt;0</f>
        <v>0</v>
      </c>
      <c r="C641">
        <f>B641*('hospitalityq-nil'!C641="")</f>
        <v>0</v>
      </c>
      <c r="D641">
        <f>B641*('hospitalityq-nil'!D641="")</f>
        <v>0</v>
      </c>
    </row>
    <row r="642" spans="1:4" x14ac:dyDescent="0.25">
      <c r="A642">
        <f t="shared" si="9"/>
        <v>0</v>
      </c>
      <c r="B642" t="b">
        <f>SUMPRODUCT(LEN('hospitalityq-nil'!C642:D642))&gt;0</f>
        <v>0</v>
      </c>
      <c r="C642">
        <f>B642*('hospitalityq-nil'!C642="")</f>
        <v>0</v>
      </c>
      <c r="D642">
        <f>B642*('hospitalityq-nil'!D642="")</f>
        <v>0</v>
      </c>
    </row>
    <row r="643" spans="1:4" x14ac:dyDescent="0.25">
      <c r="A643">
        <f t="shared" si="9"/>
        <v>0</v>
      </c>
      <c r="B643" t="b">
        <f>SUMPRODUCT(LEN('hospitalityq-nil'!C643:D643))&gt;0</f>
        <v>0</v>
      </c>
      <c r="C643">
        <f>B643*('hospitalityq-nil'!C643="")</f>
        <v>0</v>
      </c>
      <c r="D643">
        <f>B643*('hospitalityq-nil'!D643="")</f>
        <v>0</v>
      </c>
    </row>
    <row r="644" spans="1:4" x14ac:dyDescent="0.25">
      <c r="A644">
        <f t="shared" si="9"/>
        <v>0</v>
      </c>
      <c r="B644" t="b">
        <f>SUMPRODUCT(LEN('hospitalityq-nil'!C644:D644))&gt;0</f>
        <v>0</v>
      </c>
      <c r="C644">
        <f>B644*('hospitalityq-nil'!C644="")</f>
        <v>0</v>
      </c>
      <c r="D644">
        <f>B644*('hospitalityq-nil'!D644="")</f>
        <v>0</v>
      </c>
    </row>
    <row r="645" spans="1:4" x14ac:dyDescent="0.25">
      <c r="A645">
        <f t="shared" si="9"/>
        <v>0</v>
      </c>
      <c r="B645" t="b">
        <f>SUMPRODUCT(LEN('hospitalityq-nil'!C645:D645))&gt;0</f>
        <v>0</v>
      </c>
      <c r="C645">
        <f>B645*('hospitalityq-nil'!C645="")</f>
        <v>0</v>
      </c>
      <c r="D645">
        <f>B645*('hospitalityq-nil'!D645="")</f>
        <v>0</v>
      </c>
    </row>
    <row r="646" spans="1:4" x14ac:dyDescent="0.25">
      <c r="A646">
        <f t="shared" ref="A646:A709" si="10">IFERROR(MATCH(TRUE,INDEX(C646:D646&lt;&gt;0,),)+2,0)</f>
        <v>0</v>
      </c>
      <c r="B646" t="b">
        <f>SUMPRODUCT(LEN('hospitalityq-nil'!C646:D646))&gt;0</f>
        <v>0</v>
      </c>
      <c r="C646">
        <f>B646*('hospitalityq-nil'!C646="")</f>
        <v>0</v>
      </c>
      <c r="D646">
        <f>B646*('hospitalityq-nil'!D646="")</f>
        <v>0</v>
      </c>
    </row>
    <row r="647" spans="1:4" x14ac:dyDescent="0.25">
      <c r="A647">
        <f t="shared" si="10"/>
        <v>0</v>
      </c>
      <c r="B647" t="b">
        <f>SUMPRODUCT(LEN('hospitalityq-nil'!C647:D647))&gt;0</f>
        <v>0</v>
      </c>
      <c r="C647">
        <f>B647*('hospitalityq-nil'!C647="")</f>
        <v>0</v>
      </c>
      <c r="D647">
        <f>B647*('hospitalityq-nil'!D647="")</f>
        <v>0</v>
      </c>
    </row>
    <row r="648" spans="1:4" x14ac:dyDescent="0.25">
      <c r="A648">
        <f t="shared" si="10"/>
        <v>0</v>
      </c>
      <c r="B648" t="b">
        <f>SUMPRODUCT(LEN('hospitalityq-nil'!C648:D648))&gt;0</f>
        <v>0</v>
      </c>
      <c r="C648">
        <f>B648*('hospitalityq-nil'!C648="")</f>
        <v>0</v>
      </c>
      <c r="D648">
        <f>B648*('hospitalityq-nil'!D648="")</f>
        <v>0</v>
      </c>
    </row>
    <row r="649" spans="1:4" x14ac:dyDescent="0.25">
      <c r="A649">
        <f t="shared" si="10"/>
        <v>0</v>
      </c>
      <c r="B649" t="b">
        <f>SUMPRODUCT(LEN('hospitalityq-nil'!C649:D649))&gt;0</f>
        <v>0</v>
      </c>
      <c r="C649">
        <f>B649*('hospitalityq-nil'!C649="")</f>
        <v>0</v>
      </c>
      <c r="D649">
        <f>B649*('hospitalityq-nil'!D649="")</f>
        <v>0</v>
      </c>
    </row>
    <row r="650" spans="1:4" x14ac:dyDescent="0.25">
      <c r="A650">
        <f t="shared" si="10"/>
        <v>0</v>
      </c>
      <c r="B650" t="b">
        <f>SUMPRODUCT(LEN('hospitalityq-nil'!C650:D650))&gt;0</f>
        <v>0</v>
      </c>
      <c r="C650">
        <f>B650*('hospitalityq-nil'!C650="")</f>
        <v>0</v>
      </c>
      <c r="D650">
        <f>B650*('hospitalityq-nil'!D650="")</f>
        <v>0</v>
      </c>
    </row>
    <row r="651" spans="1:4" x14ac:dyDescent="0.25">
      <c r="A651">
        <f t="shared" si="10"/>
        <v>0</v>
      </c>
      <c r="B651" t="b">
        <f>SUMPRODUCT(LEN('hospitalityq-nil'!C651:D651))&gt;0</f>
        <v>0</v>
      </c>
      <c r="C651">
        <f>B651*('hospitalityq-nil'!C651="")</f>
        <v>0</v>
      </c>
      <c r="D651">
        <f>B651*('hospitalityq-nil'!D651="")</f>
        <v>0</v>
      </c>
    </row>
    <row r="652" spans="1:4" x14ac:dyDescent="0.25">
      <c r="A652">
        <f t="shared" si="10"/>
        <v>0</v>
      </c>
      <c r="B652" t="b">
        <f>SUMPRODUCT(LEN('hospitalityq-nil'!C652:D652))&gt;0</f>
        <v>0</v>
      </c>
      <c r="C652">
        <f>B652*('hospitalityq-nil'!C652="")</f>
        <v>0</v>
      </c>
      <c r="D652">
        <f>B652*('hospitalityq-nil'!D652="")</f>
        <v>0</v>
      </c>
    </row>
    <row r="653" spans="1:4" x14ac:dyDescent="0.25">
      <c r="A653">
        <f t="shared" si="10"/>
        <v>0</v>
      </c>
      <c r="B653" t="b">
        <f>SUMPRODUCT(LEN('hospitalityq-nil'!C653:D653))&gt;0</f>
        <v>0</v>
      </c>
      <c r="C653">
        <f>B653*('hospitalityq-nil'!C653="")</f>
        <v>0</v>
      </c>
      <c r="D653">
        <f>B653*('hospitalityq-nil'!D653="")</f>
        <v>0</v>
      </c>
    </row>
    <row r="654" spans="1:4" x14ac:dyDescent="0.25">
      <c r="A654">
        <f t="shared" si="10"/>
        <v>0</v>
      </c>
      <c r="B654" t="b">
        <f>SUMPRODUCT(LEN('hospitalityq-nil'!C654:D654))&gt;0</f>
        <v>0</v>
      </c>
      <c r="C654">
        <f>B654*('hospitalityq-nil'!C654="")</f>
        <v>0</v>
      </c>
      <c r="D654">
        <f>B654*('hospitalityq-nil'!D654="")</f>
        <v>0</v>
      </c>
    </row>
    <row r="655" spans="1:4" x14ac:dyDescent="0.25">
      <c r="A655">
        <f t="shared" si="10"/>
        <v>0</v>
      </c>
      <c r="B655" t="b">
        <f>SUMPRODUCT(LEN('hospitalityq-nil'!C655:D655))&gt;0</f>
        <v>0</v>
      </c>
      <c r="C655">
        <f>B655*('hospitalityq-nil'!C655="")</f>
        <v>0</v>
      </c>
      <c r="D655">
        <f>B655*('hospitalityq-nil'!D655="")</f>
        <v>0</v>
      </c>
    </row>
    <row r="656" spans="1:4" x14ac:dyDescent="0.25">
      <c r="A656">
        <f t="shared" si="10"/>
        <v>0</v>
      </c>
      <c r="B656" t="b">
        <f>SUMPRODUCT(LEN('hospitalityq-nil'!C656:D656))&gt;0</f>
        <v>0</v>
      </c>
      <c r="C656">
        <f>B656*('hospitalityq-nil'!C656="")</f>
        <v>0</v>
      </c>
      <c r="D656">
        <f>B656*('hospitalityq-nil'!D656="")</f>
        <v>0</v>
      </c>
    </row>
    <row r="657" spans="1:4" x14ac:dyDescent="0.25">
      <c r="A657">
        <f t="shared" si="10"/>
        <v>0</v>
      </c>
      <c r="B657" t="b">
        <f>SUMPRODUCT(LEN('hospitalityq-nil'!C657:D657))&gt;0</f>
        <v>0</v>
      </c>
      <c r="C657">
        <f>B657*('hospitalityq-nil'!C657="")</f>
        <v>0</v>
      </c>
      <c r="D657">
        <f>B657*('hospitalityq-nil'!D657="")</f>
        <v>0</v>
      </c>
    </row>
    <row r="658" spans="1:4" x14ac:dyDescent="0.25">
      <c r="A658">
        <f t="shared" si="10"/>
        <v>0</v>
      </c>
      <c r="B658" t="b">
        <f>SUMPRODUCT(LEN('hospitalityq-nil'!C658:D658))&gt;0</f>
        <v>0</v>
      </c>
      <c r="C658">
        <f>B658*('hospitalityq-nil'!C658="")</f>
        <v>0</v>
      </c>
      <c r="D658">
        <f>B658*('hospitalityq-nil'!D658="")</f>
        <v>0</v>
      </c>
    </row>
    <row r="659" spans="1:4" x14ac:dyDescent="0.25">
      <c r="A659">
        <f t="shared" si="10"/>
        <v>0</v>
      </c>
      <c r="B659" t="b">
        <f>SUMPRODUCT(LEN('hospitalityq-nil'!C659:D659))&gt;0</f>
        <v>0</v>
      </c>
      <c r="C659">
        <f>B659*('hospitalityq-nil'!C659="")</f>
        <v>0</v>
      </c>
      <c r="D659">
        <f>B659*('hospitalityq-nil'!D659="")</f>
        <v>0</v>
      </c>
    </row>
    <row r="660" spans="1:4" x14ac:dyDescent="0.25">
      <c r="A660">
        <f t="shared" si="10"/>
        <v>0</v>
      </c>
      <c r="B660" t="b">
        <f>SUMPRODUCT(LEN('hospitalityq-nil'!C660:D660))&gt;0</f>
        <v>0</v>
      </c>
      <c r="C660">
        <f>B660*('hospitalityq-nil'!C660="")</f>
        <v>0</v>
      </c>
      <c r="D660">
        <f>B660*('hospitalityq-nil'!D660="")</f>
        <v>0</v>
      </c>
    </row>
    <row r="661" spans="1:4" x14ac:dyDescent="0.25">
      <c r="A661">
        <f t="shared" si="10"/>
        <v>0</v>
      </c>
      <c r="B661" t="b">
        <f>SUMPRODUCT(LEN('hospitalityq-nil'!C661:D661))&gt;0</f>
        <v>0</v>
      </c>
      <c r="C661">
        <f>B661*('hospitalityq-nil'!C661="")</f>
        <v>0</v>
      </c>
      <c r="D661">
        <f>B661*('hospitalityq-nil'!D661="")</f>
        <v>0</v>
      </c>
    </row>
    <row r="662" spans="1:4" x14ac:dyDescent="0.25">
      <c r="A662">
        <f t="shared" si="10"/>
        <v>0</v>
      </c>
      <c r="B662" t="b">
        <f>SUMPRODUCT(LEN('hospitalityq-nil'!C662:D662))&gt;0</f>
        <v>0</v>
      </c>
      <c r="C662">
        <f>B662*('hospitalityq-nil'!C662="")</f>
        <v>0</v>
      </c>
      <c r="D662">
        <f>B662*('hospitalityq-nil'!D662="")</f>
        <v>0</v>
      </c>
    </row>
    <row r="663" spans="1:4" x14ac:dyDescent="0.25">
      <c r="A663">
        <f t="shared" si="10"/>
        <v>0</v>
      </c>
      <c r="B663" t="b">
        <f>SUMPRODUCT(LEN('hospitalityq-nil'!C663:D663))&gt;0</f>
        <v>0</v>
      </c>
      <c r="C663">
        <f>B663*('hospitalityq-nil'!C663="")</f>
        <v>0</v>
      </c>
      <c r="D663">
        <f>B663*('hospitalityq-nil'!D663="")</f>
        <v>0</v>
      </c>
    </row>
    <row r="664" spans="1:4" x14ac:dyDescent="0.25">
      <c r="A664">
        <f t="shared" si="10"/>
        <v>0</v>
      </c>
      <c r="B664" t="b">
        <f>SUMPRODUCT(LEN('hospitalityq-nil'!C664:D664))&gt;0</f>
        <v>0</v>
      </c>
      <c r="C664">
        <f>B664*('hospitalityq-nil'!C664="")</f>
        <v>0</v>
      </c>
      <c r="D664">
        <f>B664*('hospitalityq-nil'!D664="")</f>
        <v>0</v>
      </c>
    </row>
    <row r="665" spans="1:4" x14ac:dyDescent="0.25">
      <c r="A665">
        <f t="shared" si="10"/>
        <v>0</v>
      </c>
      <c r="B665" t="b">
        <f>SUMPRODUCT(LEN('hospitalityq-nil'!C665:D665))&gt;0</f>
        <v>0</v>
      </c>
      <c r="C665">
        <f>B665*('hospitalityq-nil'!C665="")</f>
        <v>0</v>
      </c>
      <c r="D665">
        <f>B665*('hospitalityq-nil'!D665="")</f>
        <v>0</v>
      </c>
    </row>
    <row r="666" spans="1:4" x14ac:dyDescent="0.25">
      <c r="A666">
        <f t="shared" si="10"/>
        <v>0</v>
      </c>
      <c r="B666" t="b">
        <f>SUMPRODUCT(LEN('hospitalityq-nil'!C666:D666))&gt;0</f>
        <v>0</v>
      </c>
      <c r="C666">
        <f>B666*('hospitalityq-nil'!C666="")</f>
        <v>0</v>
      </c>
      <c r="D666">
        <f>B666*('hospitalityq-nil'!D666="")</f>
        <v>0</v>
      </c>
    </row>
    <row r="667" spans="1:4" x14ac:dyDescent="0.25">
      <c r="A667">
        <f t="shared" si="10"/>
        <v>0</v>
      </c>
      <c r="B667" t="b">
        <f>SUMPRODUCT(LEN('hospitalityq-nil'!C667:D667))&gt;0</f>
        <v>0</v>
      </c>
      <c r="C667">
        <f>B667*('hospitalityq-nil'!C667="")</f>
        <v>0</v>
      </c>
      <c r="D667">
        <f>B667*('hospitalityq-nil'!D667="")</f>
        <v>0</v>
      </c>
    </row>
    <row r="668" spans="1:4" x14ac:dyDescent="0.25">
      <c r="A668">
        <f t="shared" si="10"/>
        <v>0</v>
      </c>
      <c r="B668" t="b">
        <f>SUMPRODUCT(LEN('hospitalityq-nil'!C668:D668))&gt;0</f>
        <v>0</v>
      </c>
      <c r="C668">
        <f>B668*('hospitalityq-nil'!C668="")</f>
        <v>0</v>
      </c>
      <c r="D668">
        <f>B668*('hospitalityq-nil'!D668="")</f>
        <v>0</v>
      </c>
    </row>
    <row r="669" spans="1:4" x14ac:dyDescent="0.25">
      <c r="A669">
        <f t="shared" si="10"/>
        <v>0</v>
      </c>
      <c r="B669" t="b">
        <f>SUMPRODUCT(LEN('hospitalityq-nil'!C669:D669))&gt;0</f>
        <v>0</v>
      </c>
      <c r="C669">
        <f>B669*('hospitalityq-nil'!C669="")</f>
        <v>0</v>
      </c>
      <c r="D669">
        <f>B669*('hospitalityq-nil'!D669="")</f>
        <v>0</v>
      </c>
    </row>
    <row r="670" spans="1:4" x14ac:dyDescent="0.25">
      <c r="A670">
        <f t="shared" si="10"/>
        <v>0</v>
      </c>
      <c r="B670" t="b">
        <f>SUMPRODUCT(LEN('hospitalityq-nil'!C670:D670))&gt;0</f>
        <v>0</v>
      </c>
      <c r="C670">
        <f>B670*('hospitalityq-nil'!C670="")</f>
        <v>0</v>
      </c>
      <c r="D670">
        <f>B670*('hospitalityq-nil'!D670="")</f>
        <v>0</v>
      </c>
    </row>
    <row r="671" spans="1:4" x14ac:dyDescent="0.25">
      <c r="A671">
        <f t="shared" si="10"/>
        <v>0</v>
      </c>
      <c r="B671" t="b">
        <f>SUMPRODUCT(LEN('hospitalityq-nil'!C671:D671))&gt;0</f>
        <v>0</v>
      </c>
      <c r="C671">
        <f>B671*('hospitalityq-nil'!C671="")</f>
        <v>0</v>
      </c>
      <c r="D671">
        <f>B671*('hospitalityq-nil'!D671="")</f>
        <v>0</v>
      </c>
    </row>
    <row r="672" spans="1:4" x14ac:dyDescent="0.25">
      <c r="A672">
        <f t="shared" si="10"/>
        <v>0</v>
      </c>
      <c r="B672" t="b">
        <f>SUMPRODUCT(LEN('hospitalityq-nil'!C672:D672))&gt;0</f>
        <v>0</v>
      </c>
      <c r="C672">
        <f>B672*('hospitalityq-nil'!C672="")</f>
        <v>0</v>
      </c>
      <c r="D672">
        <f>B672*('hospitalityq-nil'!D672="")</f>
        <v>0</v>
      </c>
    </row>
    <row r="673" spans="1:4" x14ac:dyDescent="0.25">
      <c r="A673">
        <f t="shared" si="10"/>
        <v>0</v>
      </c>
      <c r="B673" t="b">
        <f>SUMPRODUCT(LEN('hospitalityq-nil'!C673:D673))&gt;0</f>
        <v>0</v>
      </c>
      <c r="C673">
        <f>B673*('hospitalityq-nil'!C673="")</f>
        <v>0</v>
      </c>
      <c r="D673">
        <f>B673*('hospitalityq-nil'!D673="")</f>
        <v>0</v>
      </c>
    </row>
    <row r="674" spans="1:4" x14ac:dyDescent="0.25">
      <c r="A674">
        <f t="shared" si="10"/>
        <v>0</v>
      </c>
      <c r="B674" t="b">
        <f>SUMPRODUCT(LEN('hospitalityq-nil'!C674:D674))&gt;0</f>
        <v>0</v>
      </c>
      <c r="C674">
        <f>B674*('hospitalityq-nil'!C674="")</f>
        <v>0</v>
      </c>
      <c r="D674">
        <f>B674*('hospitalityq-nil'!D674="")</f>
        <v>0</v>
      </c>
    </row>
    <row r="675" spans="1:4" x14ac:dyDescent="0.25">
      <c r="A675">
        <f t="shared" si="10"/>
        <v>0</v>
      </c>
      <c r="B675" t="b">
        <f>SUMPRODUCT(LEN('hospitalityq-nil'!C675:D675))&gt;0</f>
        <v>0</v>
      </c>
      <c r="C675">
        <f>B675*('hospitalityq-nil'!C675="")</f>
        <v>0</v>
      </c>
      <c r="D675">
        <f>B675*('hospitalityq-nil'!D675="")</f>
        <v>0</v>
      </c>
    </row>
    <row r="676" spans="1:4" x14ac:dyDescent="0.25">
      <c r="A676">
        <f t="shared" si="10"/>
        <v>0</v>
      </c>
      <c r="B676" t="b">
        <f>SUMPRODUCT(LEN('hospitalityq-nil'!C676:D676))&gt;0</f>
        <v>0</v>
      </c>
      <c r="C676">
        <f>B676*('hospitalityq-nil'!C676="")</f>
        <v>0</v>
      </c>
      <c r="D676">
        <f>B676*('hospitalityq-nil'!D676="")</f>
        <v>0</v>
      </c>
    </row>
    <row r="677" spans="1:4" x14ac:dyDescent="0.25">
      <c r="A677">
        <f t="shared" si="10"/>
        <v>0</v>
      </c>
      <c r="B677" t="b">
        <f>SUMPRODUCT(LEN('hospitalityq-nil'!C677:D677))&gt;0</f>
        <v>0</v>
      </c>
      <c r="C677">
        <f>B677*('hospitalityq-nil'!C677="")</f>
        <v>0</v>
      </c>
      <c r="D677">
        <f>B677*('hospitalityq-nil'!D677="")</f>
        <v>0</v>
      </c>
    </row>
    <row r="678" spans="1:4" x14ac:dyDescent="0.25">
      <c r="A678">
        <f t="shared" si="10"/>
        <v>0</v>
      </c>
      <c r="B678" t="b">
        <f>SUMPRODUCT(LEN('hospitalityq-nil'!C678:D678))&gt;0</f>
        <v>0</v>
      </c>
      <c r="C678">
        <f>B678*('hospitalityq-nil'!C678="")</f>
        <v>0</v>
      </c>
      <c r="D678">
        <f>B678*('hospitalityq-nil'!D678="")</f>
        <v>0</v>
      </c>
    </row>
    <row r="679" spans="1:4" x14ac:dyDescent="0.25">
      <c r="A679">
        <f t="shared" si="10"/>
        <v>0</v>
      </c>
      <c r="B679" t="b">
        <f>SUMPRODUCT(LEN('hospitalityq-nil'!C679:D679))&gt;0</f>
        <v>0</v>
      </c>
      <c r="C679">
        <f>B679*('hospitalityq-nil'!C679="")</f>
        <v>0</v>
      </c>
      <c r="D679">
        <f>B679*('hospitalityq-nil'!D679="")</f>
        <v>0</v>
      </c>
    </row>
    <row r="680" spans="1:4" x14ac:dyDescent="0.25">
      <c r="A680">
        <f t="shared" si="10"/>
        <v>0</v>
      </c>
      <c r="B680" t="b">
        <f>SUMPRODUCT(LEN('hospitalityq-nil'!C680:D680))&gt;0</f>
        <v>0</v>
      </c>
      <c r="C680">
        <f>B680*('hospitalityq-nil'!C680="")</f>
        <v>0</v>
      </c>
      <c r="D680">
        <f>B680*('hospitalityq-nil'!D680="")</f>
        <v>0</v>
      </c>
    </row>
    <row r="681" spans="1:4" x14ac:dyDescent="0.25">
      <c r="A681">
        <f t="shared" si="10"/>
        <v>0</v>
      </c>
      <c r="B681" t="b">
        <f>SUMPRODUCT(LEN('hospitalityq-nil'!C681:D681))&gt;0</f>
        <v>0</v>
      </c>
      <c r="C681">
        <f>B681*('hospitalityq-nil'!C681="")</f>
        <v>0</v>
      </c>
      <c r="D681">
        <f>B681*('hospitalityq-nil'!D681="")</f>
        <v>0</v>
      </c>
    </row>
    <row r="682" spans="1:4" x14ac:dyDescent="0.25">
      <c r="A682">
        <f t="shared" si="10"/>
        <v>0</v>
      </c>
      <c r="B682" t="b">
        <f>SUMPRODUCT(LEN('hospitalityq-nil'!C682:D682))&gt;0</f>
        <v>0</v>
      </c>
      <c r="C682">
        <f>B682*('hospitalityq-nil'!C682="")</f>
        <v>0</v>
      </c>
      <c r="D682">
        <f>B682*('hospitalityq-nil'!D682="")</f>
        <v>0</v>
      </c>
    </row>
    <row r="683" spans="1:4" x14ac:dyDescent="0.25">
      <c r="A683">
        <f t="shared" si="10"/>
        <v>0</v>
      </c>
      <c r="B683" t="b">
        <f>SUMPRODUCT(LEN('hospitalityq-nil'!C683:D683))&gt;0</f>
        <v>0</v>
      </c>
      <c r="C683">
        <f>B683*('hospitalityq-nil'!C683="")</f>
        <v>0</v>
      </c>
      <c r="D683">
        <f>B683*('hospitalityq-nil'!D683="")</f>
        <v>0</v>
      </c>
    </row>
    <row r="684" spans="1:4" x14ac:dyDescent="0.25">
      <c r="A684">
        <f t="shared" si="10"/>
        <v>0</v>
      </c>
      <c r="B684" t="b">
        <f>SUMPRODUCT(LEN('hospitalityq-nil'!C684:D684))&gt;0</f>
        <v>0</v>
      </c>
      <c r="C684">
        <f>B684*('hospitalityq-nil'!C684="")</f>
        <v>0</v>
      </c>
      <c r="D684">
        <f>B684*('hospitalityq-nil'!D684="")</f>
        <v>0</v>
      </c>
    </row>
    <row r="685" spans="1:4" x14ac:dyDescent="0.25">
      <c r="A685">
        <f t="shared" si="10"/>
        <v>0</v>
      </c>
      <c r="B685" t="b">
        <f>SUMPRODUCT(LEN('hospitalityq-nil'!C685:D685))&gt;0</f>
        <v>0</v>
      </c>
      <c r="C685">
        <f>B685*('hospitalityq-nil'!C685="")</f>
        <v>0</v>
      </c>
      <c r="D685">
        <f>B685*('hospitalityq-nil'!D685="")</f>
        <v>0</v>
      </c>
    </row>
    <row r="686" spans="1:4" x14ac:dyDescent="0.25">
      <c r="A686">
        <f t="shared" si="10"/>
        <v>0</v>
      </c>
      <c r="B686" t="b">
        <f>SUMPRODUCT(LEN('hospitalityq-nil'!C686:D686))&gt;0</f>
        <v>0</v>
      </c>
      <c r="C686">
        <f>B686*('hospitalityq-nil'!C686="")</f>
        <v>0</v>
      </c>
      <c r="D686">
        <f>B686*('hospitalityq-nil'!D686="")</f>
        <v>0</v>
      </c>
    </row>
    <row r="687" spans="1:4" x14ac:dyDescent="0.25">
      <c r="A687">
        <f t="shared" si="10"/>
        <v>0</v>
      </c>
      <c r="B687" t="b">
        <f>SUMPRODUCT(LEN('hospitalityq-nil'!C687:D687))&gt;0</f>
        <v>0</v>
      </c>
      <c r="C687">
        <f>B687*('hospitalityq-nil'!C687="")</f>
        <v>0</v>
      </c>
      <c r="D687">
        <f>B687*('hospitalityq-nil'!D687="")</f>
        <v>0</v>
      </c>
    </row>
    <row r="688" spans="1:4" x14ac:dyDescent="0.25">
      <c r="A688">
        <f t="shared" si="10"/>
        <v>0</v>
      </c>
      <c r="B688" t="b">
        <f>SUMPRODUCT(LEN('hospitalityq-nil'!C688:D688))&gt;0</f>
        <v>0</v>
      </c>
      <c r="C688">
        <f>B688*('hospitalityq-nil'!C688="")</f>
        <v>0</v>
      </c>
      <c r="D688">
        <f>B688*('hospitalityq-nil'!D688="")</f>
        <v>0</v>
      </c>
    </row>
    <row r="689" spans="1:4" x14ac:dyDescent="0.25">
      <c r="A689">
        <f t="shared" si="10"/>
        <v>0</v>
      </c>
      <c r="B689" t="b">
        <f>SUMPRODUCT(LEN('hospitalityq-nil'!C689:D689))&gt;0</f>
        <v>0</v>
      </c>
      <c r="C689">
        <f>B689*('hospitalityq-nil'!C689="")</f>
        <v>0</v>
      </c>
      <c r="D689">
        <f>B689*('hospitalityq-nil'!D689="")</f>
        <v>0</v>
      </c>
    </row>
    <row r="690" spans="1:4" x14ac:dyDescent="0.25">
      <c r="A690">
        <f t="shared" si="10"/>
        <v>0</v>
      </c>
      <c r="B690" t="b">
        <f>SUMPRODUCT(LEN('hospitalityq-nil'!C690:D690))&gt;0</f>
        <v>0</v>
      </c>
      <c r="C690">
        <f>B690*('hospitalityq-nil'!C690="")</f>
        <v>0</v>
      </c>
      <c r="D690">
        <f>B690*('hospitalityq-nil'!D690="")</f>
        <v>0</v>
      </c>
    </row>
    <row r="691" spans="1:4" x14ac:dyDescent="0.25">
      <c r="A691">
        <f t="shared" si="10"/>
        <v>0</v>
      </c>
      <c r="B691" t="b">
        <f>SUMPRODUCT(LEN('hospitalityq-nil'!C691:D691))&gt;0</f>
        <v>0</v>
      </c>
      <c r="C691">
        <f>B691*('hospitalityq-nil'!C691="")</f>
        <v>0</v>
      </c>
      <c r="D691">
        <f>B691*('hospitalityq-nil'!D691="")</f>
        <v>0</v>
      </c>
    </row>
    <row r="692" spans="1:4" x14ac:dyDescent="0.25">
      <c r="A692">
        <f t="shared" si="10"/>
        <v>0</v>
      </c>
      <c r="B692" t="b">
        <f>SUMPRODUCT(LEN('hospitalityq-nil'!C692:D692))&gt;0</f>
        <v>0</v>
      </c>
      <c r="C692">
        <f>B692*('hospitalityq-nil'!C692="")</f>
        <v>0</v>
      </c>
      <c r="D692">
        <f>B692*('hospitalityq-nil'!D692="")</f>
        <v>0</v>
      </c>
    </row>
    <row r="693" spans="1:4" x14ac:dyDescent="0.25">
      <c r="A693">
        <f t="shared" si="10"/>
        <v>0</v>
      </c>
      <c r="B693" t="b">
        <f>SUMPRODUCT(LEN('hospitalityq-nil'!C693:D693))&gt;0</f>
        <v>0</v>
      </c>
      <c r="C693">
        <f>B693*('hospitalityq-nil'!C693="")</f>
        <v>0</v>
      </c>
      <c r="D693">
        <f>B693*('hospitalityq-nil'!D693="")</f>
        <v>0</v>
      </c>
    </row>
    <row r="694" spans="1:4" x14ac:dyDescent="0.25">
      <c r="A694">
        <f t="shared" si="10"/>
        <v>0</v>
      </c>
      <c r="B694" t="b">
        <f>SUMPRODUCT(LEN('hospitalityq-nil'!C694:D694))&gt;0</f>
        <v>0</v>
      </c>
      <c r="C694">
        <f>B694*('hospitalityq-nil'!C694="")</f>
        <v>0</v>
      </c>
      <c r="D694">
        <f>B694*('hospitalityq-nil'!D694="")</f>
        <v>0</v>
      </c>
    </row>
    <row r="695" spans="1:4" x14ac:dyDescent="0.25">
      <c r="A695">
        <f t="shared" si="10"/>
        <v>0</v>
      </c>
      <c r="B695" t="b">
        <f>SUMPRODUCT(LEN('hospitalityq-nil'!C695:D695))&gt;0</f>
        <v>0</v>
      </c>
      <c r="C695">
        <f>B695*('hospitalityq-nil'!C695="")</f>
        <v>0</v>
      </c>
      <c r="D695">
        <f>B695*('hospitalityq-nil'!D695="")</f>
        <v>0</v>
      </c>
    </row>
    <row r="696" spans="1:4" x14ac:dyDescent="0.25">
      <c r="A696">
        <f t="shared" si="10"/>
        <v>0</v>
      </c>
      <c r="B696" t="b">
        <f>SUMPRODUCT(LEN('hospitalityq-nil'!C696:D696))&gt;0</f>
        <v>0</v>
      </c>
      <c r="C696">
        <f>B696*('hospitalityq-nil'!C696="")</f>
        <v>0</v>
      </c>
      <c r="D696">
        <f>B696*('hospitalityq-nil'!D696="")</f>
        <v>0</v>
      </c>
    </row>
    <row r="697" spans="1:4" x14ac:dyDescent="0.25">
      <c r="A697">
        <f t="shared" si="10"/>
        <v>0</v>
      </c>
      <c r="B697" t="b">
        <f>SUMPRODUCT(LEN('hospitalityq-nil'!C697:D697))&gt;0</f>
        <v>0</v>
      </c>
      <c r="C697">
        <f>B697*('hospitalityq-nil'!C697="")</f>
        <v>0</v>
      </c>
      <c r="D697">
        <f>B697*('hospitalityq-nil'!D697="")</f>
        <v>0</v>
      </c>
    </row>
    <row r="698" spans="1:4" x14ac:dyDescent="0.25">
      <c r="A698">
        <f t="shared" si="10"/>
        <v>0</v>
      </c>
      <c r="B698" t="b">
        <f>SUMPRODUCT(LEN('hospitalityq-nil'!C698:D698))&gt;0</f>
        <v>0</v>
      </c>
      <c r="C698">
        <f>B698*('hospitalityq-nil'!C698="")</f>
        <v>0</v>
      </c>
      <c r="D698">
        <f>B698*('hospitalityq-nil'!D698="")</f>
        <v>0</v>
      </c>
    </row>
    <row r="699" spans="1:4" x14ac:dyDescent="0.25">
      <c r="A699">
        <f t="shared" si="10"/>
        <v>0</v>
      </c>
      <c r="B699" t="b">
        <f>SUMPRODUCT(LEN('hospitalityq-nil'!C699:D699))&gt;0</f>
        <v>0</v>
      </c>
      <c r="C699">
        <f>B699*('hospitalityq-nil'!C699="")</f>
        <v>0</v>
      </c>
      <c r="D699">
        <f>B699*('hospitalityq-nil'!D699="")</f>
        <v>0</v>
      </c>
    </row>
    <row r="700" spans="1:4" x14ac:dyDescent="0.25">
      <c r="A700">
        <f t="shared" si="10"/>
        <v>0</v>
      </c>
      <c r="B700" t="b">
        <f>SUMPRODUCT(LEN('hospitalityq-nil'!C700:D700))&gt;0</f>
        <v>0</v>
      </c>
      <c r="C700">
        <f>B700*('hospitalityq-nil'!C700="")</f>
        <v>0</v>
      </c>
      <c r="D700">
        <f>B700*('hospitalityq-nil'!D700="")</f>
        <v>0</v>
      </c>
    </row>
    <row r="701" spans="1:4" x14ac:dyDescent="0.25">
      <c r="A701">
        <f t="shared" si="10"/>
        <v>0</v>
      </c>
      <c r="B701" t="b">
        <f>SUMPRODUCT(LEN('hospitalityq-nil'!C701:D701))&gt;0</f>
        <v>0</v>
      </c>
      <c r="C701">
        <f>B701*('hospitalityq-nil'!C701="")</f>
        <v>0</v>
      </c>
      <c r="D701">
        <f>B701*('hospitalityq-nil'!D701="")</f>
        <v>0</v>
      </c>
    </row>
    <row r="702" spans="1:4" x14ac:dyDescent="0.25">
      <c r="A702">
        <f t="shared" si="10"/>
        <v>0</v>
      </c>
      <c r="B702" t="b">
        <f>SUMPRODUCT(LEN('hospitalityq-nil'!C702:D702))&gt;0</f>
        <v>0</v>
      </c>
      <c r="C702">
        <f>B702*('hospitalityq-nil'!C702="")</f>
        <v>0</v>
      </c>
      <c r="D702">
        <f>B702*('hospitalityq-nil'!D702="")</f>
        <v>0</v>
      </c>
    </row>
    <row r="703" spans="1:4" x14ac:dyDescent="0.25">
      <c r="A703">
        <f t="shared" si="10"/>
        <v>0</v>
      </c>
      <c r="B703" t="b">
        <f>SUMPRODUCT(LEN('hospitalityq-nil'!C703:D703))&gt;0</f>
        <v>0</v>
      </c>
      <c r="C703">
        <f>B703*('hospitalityq-nil'!C703="")</f>
        <v>0</v>
      </c>
      <c r="D703">
        <f>B703*('hospitalityq-nil'!D703="")</f>
        <v>0</v>
      </c>
    </row>
    <row r="704" spans="1:4" x14ac:dyDescent="0.25">
      <c r="A704">
        <f t="shared" si="10"/>
        <v>0</v>
      </c>
      <c r="B704" t="b">
        <f>SUMPRODUCT(LEN('hospitalityq-nil'!C704:D704))&gt;0</f>
        <v>0</v>
      </c>
      <c r="C704">
        <f>B704*('hospitalityq-nil'!C704="")</f>
        <v>0</v>
      </c>
      <c r="D704">
        <f>B704*('hospitalityq-nil'!D704="")</f>
        <v>0</v>
      </c>
    </row>
    <row r="705" spans="1:4" x14ac:dyDescent="0.25">
      <c r="A705">
        <f t="shared" si="10"/>
        <v>0</v>
      </c>
      <c r="B705" t="b">
        <f>SUMPRODUCT(LEN('hospitalityq-nil'!C705:D705))&gt;0</f>
        <v>0</v>
      </c>
      <c r="C705">
        <f>B705*('hospitalityq-nil'!C705="")</f>
        <v>0</v>
      </c>
      <c r="D705">
        <f>B705*('hospitalityq-nil'!D705="")</f>
        <v>0</v>
      </c>
    </row>
    <row r="706" spans="1:4" x14ac:dyDescent="0.25">
      <c r="A706">
        <f t="shared" si="10"/>
        <v>0</v>
      </c>
      <c r="B706" t="b">
        <f>SUMPRODUCT(LEN('hospitalityq-nil'!C706:D706))&gt;0</f>
        <v>0</v>
      </c>
      <c r="C706">
        <f>B706*('hospitalityq-nil'!C706="")</f>
        <v>0</v>
      </c>
      <c r="D706">
        <f>B706*('hospitalityq-nil'!D706="")</f>
        <v>0</v>
      </c>
    </row>
    <row r="707" spans="1:4" x14ac:dyDescent="0.25">
      <c r="A707">
        <f t="shared" si="10"/>
        <v>0</v>
      </c>
      <c r="B707" t="b">
        <f>SUMPRODUCT(LEN('hospitalityq-nil'!C707:D707))&gt;0</f>
        <v>0</v>
      </c>
      <c r="C707">
        <f>B707*('hospitalityq-nil'!C707="")</f>
        <v>0</v>
      </c>
      <c r="D707">
        <f>B707*('hospitalityq-nil'!D707="")</f>
        <v>0</v>
      </c>
    </row>
    <row r="708" spans="1:4" x14ac:dyDescent="0.25">
      <c r="A708">
        <f t="shared" si="10"/>
        <v>0</v>
      </c>
      <c r="B708" t="b">
        <f>SUMPRODUCT(LEN('hospitalityq-nil'!C708:D708))&gt;0</f>
        <v>0</v>
      </c>
      <c r="C708">
        <f>B708*('hospitalityq-nil'!C708="")</f>
        <v>0</v>
      </c>
      <c r="D708">
        <f>B708*('hospitalityq-nil'!D708="")</f>
        <v>0</v>
      </c>
    </row>
    <row r="709" spans="1:4" x14ac:dyDescent="0.25">
      <c r="A709">
        <f t="shared" si="10"/>
        <v>0</v>
      </c>
      <c r="B709" t="b">
        <f>SUMPRODUCT(LEN('hospitalityq-nil'!C709:D709))&gt;0</f>
        <v>0</v>
      </c>
      <c r="C709">
        <f>B709*('hospitalityq-nil'!C709="")</f>
        <v>0</v>
      </c>
      <c r="D709">
        <f>B709*('hospitalityq-nil'!D709="")</f>
        <v>0</v>
      </c>
    </row>
    <row r="710" spans="1:4" x14ac:dyDescent="0.25">
      <c r="A710">
        <f t="shared" ref="A710:A773" si="11">IFERROR(MATCH(TRUE,INDEX(C710:D710&lt;&gt;0,),)+2,0)</f>
        <v>0</v>
      </c>
      <c r="B710" t="b">
        <f>SUMPRODUCT(LEN('hospitalityq-nil'!C710:D710))&gt;0</f>
        <v>0</v>
      </c>
      <c r="C710">
        <f>B710*('hospitalityq-nil'!C710="")</f>
        <v>0</v>
      </c>
      <c r="D710">
        <f>B710*('hospitalityq-nil'!D710="")</f>
        <v>0</v>
      </c>
    </row>
    <row r="711" spans="1:4" x14ac:dyDescent="0.25">
      <c r="A711">
        <f t="shared" si="11"/>
        <v>0</v>
      </c>
      <c r="B711" t="b">
        <f>SUMPRODUCT(LEN('hospitalityq-nil'!C711:D711))&gt;0</f>
        <v>0</v>
      </c>
      <c r="C711">
        <f>B711*('hospitalityq-nil'!C711="")</f>
        <v>0</v>
      </c>
      <c r="D711">
        <f>B711*('hospitalityq-nil'!D711="")</f>
        <v>0</v>
      </c>
    </row>
    <row r="712" spans="1:4" x14ac:dyDescent="0.25">
      <c r="A712">
        <f t="shared" si="11"/>
        <v>0</v>
      </c>
      <c r="B712" t="b">
        <f>SUMPRODUCT(LEN('hospitalityq-nil'!C712:D712))&gt;0</f>
        <v>0</v>
      </c>
      <c r="C712">
        <f>B712*('hospitalityq-nil'!C712="")</f>
        <v>0</v>
      </c>
      <c r="D712">
        <f>B712*('hospitalityq-nil'!D712="")</f>
        <v>0</v>
      </c>
    </row>
    <row r="713" spans="1:4" x14ac:dyDescent="0.25">
      <c r="A713">
        <f t="shared" si="11"/>
        <v>0</v>
      </c>
      <c r="B713" t="b">
        <f>SUMPRODUCT(LEN('hospitalityq-nil'!C713:D713))&gt;0</f>
        <v>0</v>
      </c>
      <c r="C713">
        <f>B713*('hospitalityq-nil'!C713="")</f>
        <v>0</v>
      </c>
      <c r="D713">
        <f>B713*('hospitalityq-nil'!D713="")</f>
        <v>0</v>
      </c>
    </row>
    <row r="714" spans="1:4" x14ac:dyDescent="0.25">
      <c r="A714">
        <f t="shared" si="11"/>
        <v>0</v>
      </c>
      <c r="B714" t="b">
        <f>SUMPRODUCT(LEN('hospitalityq-nil'!C714:D714))&gt;0</f>
        <v>0</v>
      </c>
      <c r="C714">
        <f>B714*('hospitalityq-nil'!C714="")</f>
        <v>0</v>
      </c>
      <c r="D714">
        <f>B714*('hospitalityq-nil'!D714="")</f>
        <v>0</v>
      </c>
    </row>
    <row r="715" spans="1:4" x14ac:dyDescent="0.25">
      <c r="A715">
        <f t="shared" si="11"/>
        <v>0</v>
      </c>
      <c r="B715" t="b">
        <f>SUMPRODUCT(LEN('hospitalityq-nil'!C715:D715))&gt;0</f>
        <v>0</v>
      </c>
      <c r="C715">
        <f>B715*('hospitalityq-nil'!C715="")</f>
        <v>0</v>
      </c>
      <c r="D715">
        <f>B715*('hospitalityq-nil'!D715="")</f>
        <v>0</v>
      </c>
    </row>
    <row r="716" spans="1:4" x14ac:dyDescent="0.25">
      <c r="A716">
        <f t="shared" si="11"/>
        <v>0</v>
      </c>
      <c r="B716" t="b">
        <f>SUMPRODUCT(LEN('hospitalityq-nil'!C716:D716))&gt;0</f>
        <v>0</v>
      </c>
      <c r="C716">
        <f>B716*('hospitalityq-nil'!C716="")</f>
        <v>0</v>
      </c>
      <c r="D716">
        <f>B716*('hospitalityq-nil'!D716="")</f>
        <v>0</v>
      </c>
    </row>
    <row r="717" spans="1:4" x14ac:dyDescent="0.25">
      <c r="A717">
        <f t="shared" si="11"/>
        <v>0</v>
      </c>
      <c r="B717" t="b">
        <f>SUMPRODUCT(LEN('hospitalityq-nil'!C717:D717))&gt;0</f>
        <v>0</v>
      </c>
      <c r="C717">
        <f>B717*('hospitalityq-nil'!C717="")</f>
        <v>0</v>
      </c>
      <c r="D717">
        <f>B717*('hospitalityq-nil'!D717="")</f>
        <v>0</v>
      </c>
    </row>
    <row r="718" spans="1:4" x14ac:dyDescent="0.25">
      <c r="A718">
        <f t="shared" si="11"/>
        <v>0</v>
      </c>
      <c r="B718" t="b">
        <f>SUMPRODUCT(LEN('hospitalityq-nil'!C718:D718))&gt;0</f>
        <v>0</v>
      </c>
      <c r="C718">
        <f>B718*('hospitalityq-nil'!C718="")</f>
        <v>0</v>
      </c>
      <c r="D718">
        <f>B718*('hospitalityq-nil'!D718="")</f>
        <v>0</v>
      </c>
    </row>
    <row r="719" spans="1:4" x14ac:dyDescent="0.25">
      <c r="A719">
        <f t="shared" si="11"/>
        <v>0</v>
      </c>
      <c r="B719" t="b">
        <f>SUMPRODUCT(LEN('hospitalityq-nil'!C719:D719))&gt;0</f>
        <v>0</v>
      </c>
      <c r="C719">
        <f>B719*('hospitalityq-nil'!C719="")</f>
        <v>0</v>
      </c>
      <c r="D719">
        <f>B719*('hospitalityq-nil'!D719="")</f>
        <v>0</v>
      </c>
    </row>
    <row r="720" spans="1:4" x14ac:dyDescent="0.25">
      <c r="A720">
        <f t="shared" si="11"/>
        <v>0</v>
      </c>
      <c r="B720" t="b">
        <f>SUMPRODUCT(LEN('hospitalityq-nil'!C720:D720))&gt;0</f>
        <v>0</v>
      </c>
      <c r="C720">
        <f>B720*('hospitalityq-nil'!C720="")</f>
        <v>0</v>
      </c>
      <c r="D720">
        <f>B720*('hospitalityq-nil'!D720="")</f>
        <v>0</v>
      </c>
    </row>
    <row r="721" spans="1:4" x14ac:dyDescent="0.25">
      <c r="A721">
        <f t="shared" si="11"/>
        <v>0</v>
      </c>
      <c r="B721" t="b">
        <f>SUMPRODUCT(LEN('hospitalityq-nil'!C721:D721))&gt;0</f>
        <v>0</v>
      </c>
      <c r="C721">
        <f>B721*('hospitalityq-nil'!C721="")</f>
        <v>0</v>
      </c>
      <c r="D721">
        <f>B721*('hospitalityq-nil'!D721="")</f>
        <v>0</v>
      </c>
    </row>
    <row r="722" spans="1:4" x14ac:dyDescent="0.25">
      <c r="A722">
        <f t="shared" si="11"/>
        <v>0</v>
      </c>
      <c r="B722" t="b">
        <f>SUMPRODUCT(LEN('hospitalityq-nil'!C722:D722))&gt;0</f>
        <v>0</v>
      </c>
      <c r="C722">
        <f>B722*('hospitalityq-nil'!C722="")</f>
        <v>0</v>
      </c>
      <c r="D722">
        <f>B722*('hospitalityq-nil'!D722="")</f>
        <v>0</v>
      </c>
    </row>
    <row r="723" spans="1:4" x14ac:dyDescent="0.25">
      <c r="A723">
        <f t="shared" si="11"/>
        <v>0</v>
      </c>
      <c r="B723" t="b">
        <f>SUMPRODUCT(LEN('hospitalityq-nil'!C723:D723))&gt;0</f>
        <v>0</v>
      </c>
      <c r="C723">
        <f>B723*('hospitalityq-nil'!C723="")</f>
        <v>0</v>
      </c>
      <c r="D723">
        <f>B723*('hospitalityq-nil'!D723="")</f>
        <v>0</v>
      </c>
    </row>
    <row r="724" spans="1:4" x14ac:dyDescent="0.25">
      <c r="A724">
        <f t="shared" si="11"/>
        <v>0</v>
      </c>
      <c r="B724" t="b">
        <f>SUMPRODUCT(LEN('hospitalityq-nil'!C724:D724))&gt;0</f>
        <v>0</v>
      </c>
      <c r="C724">
        <f>B724*('hospitalityq-nil'!C724="")</f>
        <v>0</v>
      </c>
      <c r="D724">
        <f>B724*('hospitalityq-nil'!D724="")</f>
        <v>0</v>
      </c>
    </row>
    <row r="725" spans="1:4" x14ac:dyDescent="0.25">
      <c r="A725">
        <f t="shared" si="11"/>
        <v>0</v>
      </c>
      <c r="B725" t="b">
        <f>SUMPRODUCT(LEN('hospitalityq-nil'!C725:D725))&gt;0</f>
        <v>0</v>
      </c>
      <c r="C725">
        <f>B725*('hospitalityq-nil'!C725="")</f>
        <v>0</v>
      </c>
      <c r="D725">
        <f>B725*('hospitalityq-nil'!D725="")</f>
        <v>0</v>
      </c>
    </row>
    <row r="726" spans="1:4" x14ac:dyDescent="0.25">
      <c r="A726">
        <f t="shared" si="11"/>
        <v>0</v>
      </c>
      <c r="B726" t="b">
        <f>SUMPRODUCT(LEN('hospitalityq-nil'!C726:D726))&gt;0</f>
        <v>0</v>
      </c>
      <c r="C726">
        <f>B726*('hospitalityq-nil'!C726="")</f>
        <v>0</v>
      </c>
      <c r="D726">
        <f>B726*('hospitalityq-nil'!D726="")</f>
        <v>0</v>
      </c>
    </row>
    <row r="727" spans="1:4" x14ac:dyDescent="0.25">
      <c r="A727">
        <f t="shared" si="11"/>
        <v>0</v>
      </c>
      <c r="B727" t="b">
        <f>SUMPRODUCT(LEN('hospitalityq-nil'!C727:D727))&gt;0</f>
        <v>0</v>
      </c>
      <c r="C727">
        <f>B727*('hospitalityq-nil'!C727="")</f>
        <v>0</v>
      </c>
      <c r="D727">
        <f>B727*('hospitalityq-nil'!D727="")</f>
        <v>0</v>
      </c>
    </row>
    <row r="728" spans="1:4" x14ac:dyDescent="0.25">
      <c r="A728">
        <f t="shared" si="11"/>
        <v>0</v>
      </c>
      <c r="B728" t="b">
        <f>SUMPRODUCT(LEN('hospitalityq-nil'!C728:D728))&gt;0</f>
        <v>0</v>
      </c>
      <c r="C728">
        <f>B728*('hospitalityq-nil'!C728="")</f>
        <v>0</v>
      </c>
      <c r="D728">
        <f>B728*('hospitalityq-nil'!D728="")</f>
        <v>0</v>
      </c>
    </row>
    <row r="729" spans="1:4" x14ac:dyDescent="0.25">
      <c r="A729">
        <f t="shared" si="11"/>
        <v>0</v>
      </c>
      <c r="B729" t="b">
        <f>SUMPRODUCT(LEN('hospitalityq-nil'!C729:D729))&gt;0</f>
        <v>0</v>
      </c>
      <c r="C729">
        <f>B729*('hospitalityq-nil'!C729="")</f>
        <v>0</v>
      </c>
      <c r="D729">
        <f>B729*('hospitalityq-nil'!D729="")</f>
        <v>0</v>
      </c>
    </row>
    <row r="730" spans="1:4" x14ac:dyDescent="0.25">
      <c r="A730">
        <f t="shared" si="11"/>
        <v>0</v>
      </c>
      <c r="B730" t="b">
        <f>SUMPRODUCT(LEN('hospitalityq-nil'!C730:D730))&gt;0</f>
        <v>0</v>
      </c>
      <c r="C730">
        <f>B730*('hospitalityq-nil'!C730="")</f>
        <v>0</v>
      </c>
      <c r="D730">
        <f>B730*('hospitalityq-nil'!D730="")</f>
        <v>0</v>
      </c>
    </row>
    <row r="731" spans="1:4" x14ac:dyDescent="0.25">
      <c r="A731">
        <f t="shared" si="11"/>
        <v>0</v>
      </c>
      <c r="B731" t="b">
        <f>SUMPRODUCT(LEN('hospitalityq-nil'!C731:D731))&gt;0</f>
        <v>0</v>
      </c>
      <c r="C731">
        <f>B731*('hospitalityq-nil'!C731="")</f>
        <v>0</v>
      </c>
      <c r="D731">
        <f>B731*('hospitalityq-nil'!D731="")</f>
        <v>0</v>
      </c>
    </row>
    <row r="732" spans="1:4" x14ac:dyDescent="0.25">
      <c r="A732">
        <f t="shared" si="11"/>
        <v>0</v>
      </c>
      <c r="B732" t="b">
        <f>SUMPRODUCT(LEN('hospitalityq-nil'!C732:D732))&gt;0</f>
        <v>0</v>
      </c>
      <c r="C732">
        <f>B732*('hospitalityq-nil'!C732="")</f>
        <v>0</v>
      </c>
      <c r="D732">
        <f>B732*('hospitalityq-nil'!D732="")</f>
        <v>0</v>
      </c>
    </row>
    <row r="733" spans="1:4" x14ac:dyDescent="0.25">
      <c r="A733">
        <f t="shared" si="11"/>
        <v>0</v>
      </c>
      <c r="B733" t="b">
        <f>SUMPRODUCT(LEN('hospitalityq-nil'!C733:D733))&gt;0</f>
        <v>0</v>
      </c>
      <c r="C733">
        <f>B733*('hospitalityq-nil'!C733="")</f>
        <v>0</v>
      </c>
      <c r="D733">
        <f>B733*('hospitalityq-nil'!D733="")</f>
        <v>0</v>
      </c>
    </row>
    <row r="734" spans="1:4" x14ac:dyDescent="0.25">
      <c r="A734">
        <f t="shared" si="11"/>
        <v>0</v>
      </c>
      <c r="B734" t="b">
        <f>SUMPRODUCT(LEN('hospitalityq-nil'!C734:D734))&gt;0</f>
        <v>0</v>
      </c>
      <c r="C734">
        <f>B734*('hospitalityq-nil'!C734="")</f>
        <v>0</v>
      </c>
      <c r="D734">
        <f>B734*('hospitalityq-nil'!D734="")</f>
        <v>0</v>
      </c>
    </row>
    <row r="735" spans="1:4" x14ac:dyDescent="0.25">
      <c r="A735">
        <f t="shared" si="11"/>
        <v>0</v>
      </c>
      <c r="B735" t="b">
        <f>SUMPRODUCT(LEN('hospitalityq-nil'!C735:D735))&gt;0</f>
        <v>0</v>
      </c>
      <c r="C735">
        <f>B735*('hospitalityq-nil'!C735="")</f>
        <v>0</v>
      </c>
      <c r="D735">
        <f>B735*('hospitalityq-nil'!D735="")</f>
        <v>0</v>
      </c>
    </row>
    <row r="736" spans="1:4" x14ac:dyDescent="0.25">
      <c r="A736">
        <f t="shared" si="11"/>
        <v>0</v>
      </c>
      <c r="B736" t="b">
        <f>SUMPRODUCT(LEN('hospitalityq-nil'!C736:D736))&gt;0</f>
        <v>0</v>
      </c>
      <c r="C736">
        <f>B736*('hospitalityq-nil'!C736="")</f>
        <v>0</v>
      </c>
      <c r="D736">
        <f>B736*('hospitalityq-nil'!D736="")</f>
        <v>0</v>
      </c>
    </row>
    <row r="737" spans="1:4" x14ac:dyDescent="0.25">
      <c r="A737">
        <f t="shared" si="11"/>
        <v>0</v>
      </c>
      <c r="B737" t="b">
        <f>SUMPRODUCT(LEN('hospitalityq-nil'!C737:D737))&gt;0</f>
        <v>0</v>
      </c>
      <c r="C737">
        <f>B737*('hospitalityq-nil'!C737="")</f>
        <v>0</v>
      </c>
      <c r="D737">
        <f>B737*('hospitalityq-nil'!D737="")</f>
        <v>0</v>
      </c>
    </row>
    <row r="738" spans="1:4" x14ac:dyDescent="0.25">
      <c r="A738">
        <f t="shared" si="11"/>
        <v>0</v>
      </c>
      <c r="B738" t="b">
        <f>SUMPRODUCT(LEN('hospitalityq-nil'!C738:D738))&gt;0</f>
        <v>0</v>
      </c>
      <c r="C738">
        <f>B738*('hospitalityq-nil'!C738="")</f>
        <v>0</v>
      </c>
      <c r="D738">
        <f>B738*('hospitalityq-nil'!D738="")</f>
        <v>0</v>
      </c>
    </row>
    <row r="739" spans="1:4" x14ac:dyDescent="0.25">
      <c r="A739">
        <f t="shared" si="11"/>
        <v>0</v>
      </c>
      <c r="B739" t="b">
        <f>SUMPRODUCT(LEN('hospitalityq-nil'!C739:D739))&gt;0</f>
        <v>0</v>
      </c>
      <c r="C739">
        <f>B739*('hospitalityq-nil'!C739="")</f>
        <v>0</v>
      </c>
      <c r="D739">
        <f>B739*('hospitalityq-nil'!D739="")</f>
        <v>0</v>
      </c>
    </row>
    <row r="740" spans="1:4" x14ac:dyDescent="0.25">
      <c r="A740">
        <f t="shared" si="11"/>
        <v>0</v>
      </c>
      <c r="B740" t="b">
        <f>SUMPRODUCT(LEN('hospitalityq-nil'!C740:D740))&gt;0</f>
        <v>0</v>
      </c>
      <c r="C740">
        <f>B740*('hospitalityq-nil'!C740="")</f>
        <v>0</v>
      </c>
      <c r="D740">
        <f>B740*('hospitalityq-nil'!D740="")</f>
        <v>0</v>
      </c>
    </row>
    <row r="741" spans="1:4" x14ac:dyDescent="0.25">
      <c r="A741">
        <f t="shared" si="11"/>
        <v>0</v>
      </c>
      <c r="B741" t="b">
        <f>SUMPRODUCT(LEN('hospitalityq-nil'!C741:D741))&gt;0</f>
        <v>0</v>
      </c>
      <c r="C741">
        <f>B741*('hospitalityq-nil'!C741="")</f>
        <v>0</v>
      </c>
      <c r="D741">
        <f>B741*('hospitalityq-nil'!D741="")</f>
        <v>0</v>
      </c>
    </row>
    <row r="742" spans="1:4" x14ac:dyDescent="0.25">
      <c r="A742">
        <f t="shared" si="11"/>
        <v>0</v>
      </c>
      <c r="B742" t="b">
        <f>SUMPRODUCT(LEN('hospitalityq-nil'!C742:D742))&gt;0</f>
        <v>0</v>
      </c>
      <c r="C742">
        <f>B742*('hospitalityq-nil'!C742="")</f>
        <v>0</v>
      </c>
      <c r="D742">
        <f>B742*('hospitalityq-nil'!D742="")</f>
        <v>0</v>
      </c>
    </row>
    <row r="743" spans="1:4" x14ac:dyDescent="0.25">
      <c r="A743">
        <f t="shared" si="11"/>
        <v>0</v>
      </c>
      <c r="B743" t="b">
        <f>SUMPRODUCT(LEN('hospitalityq-nil'!C743:D743))&gt;0</f>
        <v>0</v>
      </c>
      <c r="C743">
        <f>B743*('hospitalityq-nil'!C743="")</f>
        <v>0</v>
      </c>
      <c r="D743">
        <f>B743*('hospitalityq-nil'!D743="")</f>
        <v>0</v>
      </c>
    </row>
    <row r="744" spans="1:4" x14ac:dyDescent="0.25">
      <c r="A744">
        <f t="shared" si="11"/>
        <v>0</v>
      </c>
      <c r="B744" t="b">
        <f>SUMPRODUCT(LEN('hospitalityq-nil'!C744:D744))&gt;0</f>
        <v>0</v>
      </c>
      <c r="C744">
        <f>B744*('hospitalityq-nil'!C744="")</f>
        <v>0</v>
      </c>
      <c r="D744">
        <f>B744*('hospitalityq-nil'!D744="")</f>
        <v>0</v>
      </c>
    </row>
    <row r="745" spans="1:4" x14ac:dyDescent="0.25">
      <c r="A745">
        <f t="shared" si="11"/>
        <v>0</v>
      </c>
      <c r="B745" t="b">
        <f>SUMPRODUCT(LEN('hospitalityq-nil'!C745:D745))&gt;0</f>
        <v>0</v>
      </c>
      <c r="C745">
        <f>B745*('hospitalityq-nil'!C745="")</f>
        <v>0</v>
      </c>
      <c r="D745">
        <f>B745*('hospitalityq-nil'!D745="")</f>
        <v>0</v>
      </c>
    </row>
    <row r="746" spans="1:4" x14ac:dyDescent="0.25">
      <c r="A746">
        <f t="shared" si="11"/>
        <v>0</v>
      </c>
      <c r="B746" t="b">
        <f>SUMPRODUCT(LEN('hospitalityq-nil'!C746:D746))&gt;0</f>
        <v>0</v>
      </c>
      <c r="C746">
        <f>B746*('hospitalityq-nil'!C746="")</f>
        <v>0</v>
      </c>
      <c r="D746">
        <f>B746*('hospitalityq-nil'!D746="")</f>
        <v>0</v>
      </c>
    </row>
    <row r="747" spans="1:4" x14ac:dyDescent="0.25">
      <c r="A747">
        <f t="shared" si="11"/>
        <v>0</v>
      </c>
      <c r="B747" t="b">
        <f>SUMPRODUCT(LEN('hospitalityq-nil'!C747:D747))&gt;0</f>
        <v>0</v>
      </c>
      <c r="C747">
        <f>B747*('hospitalityq-nil'!C747="")</f>
        <v>0</v>
      </c>
      <c r="D747">
        <f>B747*('hospitalityq-nil'!D747="")</f>
        <v>0</v>
      </c>
    </row>
    <row r="748" spans="1:4" x14ac:dyDescent="0.25">
      <c r="A748">
        <f t="shared" si="11"/>
        <v>0</v>
      </c>
      <c r="B748" t="b">
        <f>SUMPRODUCT(LEN('hospitalityq-nil'!C748:D748))&gt;0</f>
        <v>0</v>
      </c>
      <c r="C748">
        <f>B748*('hospitalityq-nil'!C748="")</f>
        <v>0</v>
      </c>
      <c r="D748">
        <f>B748*('hospitalityq-nil'!D748="")</f>
        <v>0</v>
      </c>
    </row>
    <row r="749" spans="1:4" x14ac:dyDescent="0.25">
      <c r="A749">
        <f t="shared" si="11"/>
        <v>0</v>
      </c>
      <c r="B749" t="b">
        <f>SUMPRODUCT(LEN('hospitalityq-nil'!C749:D749))&gt;0</f>
        <v>0</v>
      </c>
      <c r="C749">
        <f>B749*('hospitalityq-nil'!C749="")</f>
        <v>0</v>
      </c>
      <c r="D749">
        <f>B749*('hospitalityq-nil'!D749="")</f>
        <v>0</v>
      </c>
    </row>
    <row r="750" spans="1:4" x14ac:dyDescent="0.25">
      <c r="A750">
        <f t="shared" si="11"/>
        <v>0</v>
      </c>
      <c r="B750" t="b">
        <f>SUMPRODUCT(LEN('hospitalityq-nil'!C750:D750))&gt;0</f>
        <v>0</v>
      </c>
      <c r="C750">
        <f>B750*('hospitalityq-nil'!C750="")</f>
        <v>0</v>
      </c>
      <c r="D750">
        <f>B750*('hospitalityq-nil'!D750="")</f>
        <v>0</v>
      </c>
    </row>
    <row r="751" spans="1:4" x14ac:dyDescent="0.25">
      <c r="A751">
        <f t="shared" si="11"/>
        <v>0</v>
      </c>
      <c r="B751" t="b">
        <f>SUMPRODUCT(LEN('hospitalityq-nil'!C751:D751))&gt;0</f>
        <v>0</v>
      </c>
      <c r="C751">
        <f>B751*('hospitalityq-nil'!C751="")</f>
        <v>0</v>
      </c>
      <c r="D751">
        <f>B751*('hospitalityq-nil'!D751="")</f>
        <v>0</v>
      </c>
    </row>
    <row r="752" spans="1:4" x14ac:dyDescent="0.25">
      <c r="A752">
        <f t="shared" si="11"/>
        <v>0</v>
      </c>
      <c r="B752" t="b">
        <f>SUMPRODUCT(LEN('hospitalityq-nil'!C752:D752))&gt;0</f>
        <v>0</v>
      </c>
      <c r="C752">
        <f>B752*('hospitalityq-nil'!C752="")</f>
        <v>0</v>
      </c>
      <c r="D752">
        <f>B752*('hospitalityq-nil'!D752="")</f>
        <v>0</v>
      </c>
    </row>
    <row r="753" spans="1:4" x14ac:dyDescent="0.25">
      <c r="A753">
        <f t="shared" si="11"/>
        <v>0</v>
      </c>
      <c r="B753" t="b">
        <f>SUMPRODUCT(LEN('hospitalityq-nil'!C753:D753))&gt;0</f>
        <v>0</v>
      </c>
      <c r="C753">
        <f>B753*('hospitalityq-nil'!C753="")</f>
        <v>0</v>
      </c>
      <c r="D753">
        <f>B753*('hospitalityq-nil'!D753="")</f>
        <v>0</v>
      </c>
    </row>
    <row r="754" spans="1:4" x14ac:dyDescent="0.25">
      <c r="A754">
        <f t="shared" si="11"/>
        <v>0</v>
      </c>
      <c r="B754" t="b">
        <f>SUMPRODUCT(LEN('hospitalityq-nil'!C754:D754))&gt;0</f>
        <v>0</v>
      </c>
      <c r="C754">
        <f>B754*('hospitalityq-nil'!C754="")</f>
        <v>0</v>
      </c>
      <c r="D754">
        <f>B754*('hospitalityq-nil'!D754="")</f>
        <v>0</v>
      </c>
    </row>
    <row r="755" spans="1:4" x14ac:dyDescent="0.25">
      <c r="A755">
        <f t="shared" si="11"/>
        <v>0</v>
      </c>
      <c r="B755" t="b">
        <f>SUMPRODUCT(LEN('hospitalityq-nil'!C755:D755))&gt;0</f>
        <v>0</v>
      </c>
      <c r="C755">
        <f>B755*('hospitalityq-nil'!C755="")</f>
        <v>0</v>
      </c>
      <c r="D755">
        <f>B755*('hospitalityq-nil'!D755="")</f>
        <v>0</v>
      </c>
    </row>
    <row r="756" spans="1:4" x14ac:dyDescent="0.25">
      <c r="A756">
        <f t="shared" si="11"/>
        <v>0</v>
      </c>
      <c r="B756" t="b">
        <f>SUMPRODUCT(LEN('hospitalityq-nil'!C756:D756))&gt;0</f>
        <v>0</v>
      </c>
      <c r="C756">
        <f>B756*('hospitalityq-nil'!C756="")</f>
        <v>0</v>
      </c>
      <c r="D756">
        <f>B756*('hospitalityq-nil'!D756="")</f>
        <v>0</v>
      </c>
    </row>
    <row r="757" spans="1:4" x14ac:dyDescent="0.25">
      <c r="A757">
        <f t="shared" si="11"/>
        <v>0</v>
      </c>
      <c r="B757" t="b">
        <f>SUMPRODUCT(LEN('hospitalityq-nil'!C757:D757))&gt;0</f>
        <v>0</v>
      </c>
      <c r="C757">
        <f>B757*('hospitalityq-nil'!C757="")</f>
        <v>0</v>
      </c>
      <c r="D757">
        <f>B757*('hospitalityq-nil'!D757="")</f>
        <v>0</v>
      </c>
    </row>
    <row r="758" spans="1:4" x14ac:dyDescent="0.25">
      <c r="A758">
        <f t="shared" si="11"/>
        <v>0</v>
      </c>
      <c r="B758" t="b">
        <f>SUMPRODUCT(LEN('hospitalityq-nil'!C758:D758))&gt;0</f>
        <v>0</v>
      </c>
      <c r="C758">
        <f>B758*('hospitalityq-nil'!C758="")</f>
        <v>0</v>
      </c>
      <c r="D758">
        <f>B758*('hospitalityq-nil'!D758="")</f>
        <v>0</v>
      </c>
    </row>
    <row r="759" spans="1:4" x14ac:dyDescent="0.25">
      <c r="A759">
        <f t="shared" si="11"/>
        <v>0</v>
      </c>
      <c r="B759" t="b">
        <f>SUMPRODUCT(LEN('hospitalityq-nil'!C759:D759))&gt;0</f>
        <v>0</v>
      </c>
      <c r="C759">
        <f>B759*('hospitalityq-nil'!C759="")</f>
        <v>0</v>
      </c>
      <c r="D759">
        <f>B759*('hospitalityq-nil'!D759="")</f>
        <v>0</v>
      </c>
    </row>
    <row r="760" spans="1:4" x14ac:dyDescent="0.25">
      <c r="A760">
        <f t="shared" si="11"/>
        <v>0</v>
      </c>
      <c r="B760" t="b">
        <f>SUMPRODUCT(LEN('hospitalityq-nil'!C760:D760))&gt;0</f>
        <v>0</v>
      </c>
      <c r="C760">
        <f>B760*('hospitalityq-nil'!C760="")</f>
        <v>0</v>
      </c>
      <c r="D760">
        <f>B760*('hospitalityq-nil'!D760="")</f>
        <v>0</v>
      </c>
    </row>
    <row r="761" spans="1:4" x14ac:dyDescent="0.25">
      <c r="A761">
        <f t="shared" si="11"/>
        <v>0</v>
      </c>
      <c r="B761" t="b">
        <f>SUMPRODUCT(LEN('hospitalityq-nil'!C761:D761))&gt;0</f>
        <v>0</v>
      </c>
      <c r="C761">
        <f>B761*('hospitalityq-nil'!C761="")</f>
        <v>0</v>
      </c>
      <c r="D761">
        <f>B761*('hospitalityq-nil'!D761="")</f>
        <v>0</v>
      </c>
    </row>
    <row r="762" spans="1:4" x14ac:dyDescent="0.25">
      <c r="A762">
        <f t="shared" si="11"/>
        <v>0</v>
      </c>
      <c r="B762" t="b">
        <f>SUMPRODUCT(LEN('hospitalityq-nil'!C762:D762))&gt;0</f>
        <v>0</v>
      </c>
      <c r="C762">
        <f>B762*('hospitalityq-nil'!C762="")</f>
        <v>0</v>
      </c>
      <c r="D762">
        <f>B762*('hospitalityq-nil'!D762="")</f>
        <v>0</v>
      </c>
    </row>
    <row r="763" spans="1:4" x14ac:dyDescent="0.25">
      <c r="A763">
        <f t="shared" si="11"/>
        <v>0</v>
      </c>
      <c r="B763" t="b">
        <f>SUMPRODUCT(LEN('hospitalityq-nil'!C763:D763))&gt;0</f>
        <v>0</v>
      </c>
      <c r="C763">
        <f>B763*('hospitalityq-nil'!C763="")</f>
        <v>0</v>
      </c>
      <c r="D763">
        <f>B763*('hospitalityq-nil'!D763="")</f>
        <v>0</v>
      </c>
    </row>
    <row r="764" spans="1:4" x14ac:dyDescent="0.25">
      <c r="A764">
        <f t="shared" si="11"/>
        <v>0</v>
      </c>
      <c r="B764" t="b">
        <f>SUMPRODUCT(LEN('hospitalityq-nil'!C764:D764))&gt;0</f>
        <v>0</v>
      </c>
      <c r="C764">
        <f>B764*('hospitalityq-nil'!C764="")</f>
        <v>0</v>
      </c>
      <c r="D764">
        <f>B764*('hospitalityq-nil'!D764="")</f>
        <v>0</v>
      </c>
    </row>
    <row r="765" spans="1:4" x14ac:dyDescent="0.25">
      <c r="A765">
        <f t="shared" si="11"/>
        <v>0</v>
      </c>
      <c r="B765" t="b">
        <f>SUMPRODUCT(LEN('hospitalityq-nil'!C765:D765))&gt;0</f>
        <v>0</v>
      </c>
      <c r="C765">
        <f>B765*('hospitalityq-nil'!C765="")</f>
        <v>0</v>
      </c>
      <c r="D765">
        <f>B765*('hospitalityq-nil'!D765="")</f>
        <v>0</v>
      </c>
    </row>
    <row r="766" spans="1:4" x14ac:dyDescent="0.25">
      <c r="A766">
        <f t="shared" si="11"/>
        <v>0</v>
      </c>
      <c r="B766" t="b">
        <f>SUMPRODUCT(LEN('hospitalityq-nil'!C766:D766))&gt;0</f>
        <v>0</v>
      </c>
      <c r="C766">
        <f>B766*('hospitalityq-nil'!C766="")</f>
        <v>0</v>
      </c>
      <c r="D766">
        <f>B766*('hospitalityq-nil'!D766="")</f>
        <v>0</v>
      </c>
    </row>
    <row r="767" spans="1:4" x14ac:dyDescent="0.25">
      <c r="A767">
        <f t="shared" si="11"/>
        <v>0</v>
      </c>
      <c r="B767" t="b">
        <f>SUMPRODUCT(LEN('hospitalityq-nil'!C767:D767))&gt;0</f>
        <v>0</v>
      </c>
      <c r="C767">
        <f>B767*('hospitalityq-nil'!C767="")</f>
        <v>0</v>
      </c>
      <c r="D767">
        <f>B767*('hospitalityq-nil'!D767="")</f>
        <v>0</v>
      </c>
    </row>
    <row r="768" spans="1:4" x14ac:dyDescent="0.25">
      <c r="A768">
        <f t="shared" si="11"/>
        <v>0</v>
      </c>
      <c r="B768" t="b">
        <f>SUMPRODUCT(LEN('hospitalityq-nil'!C768:D768))&gt;0</f>
        <v>0</v>
      </c>
      <c r="C768">
        <f>B768*('hospitalityq-nil'!C768="")</f>
        <v>0</v>
      </c>
      <c r="D768">
        <f>B768*('hospitalityq-nil'!D768="")</f>
        <v>0</v>
      </c>
    </row>
    <row r="769" spans="1:4" x14ac:dyDescent="0.25">
      <c r="A769">
        <f t="shared" si="11"/>
        <v>0</v>
      </c>
      <c r="B769" t="b">
        <f>SUMPRODUCT(LEN('hospitalityq-nil'!C769:D769))&gt;0</f>
        <v>0</v>
      </c>
      <c r="C769">
        <f>B769*('hospitalityq-nil'!C769="")</f>
        <v>0</v>
      </c>
      <c r="D769">
        <f>B769*('hospitalityq-nil'!D769="")</f>
        <v>0</v>
      </c>
    </row>
    <row r="770" spans="1:4" x14ac:dyDescent="0.25">
      <c r="A770">
        <f t="shared" si="11"/>
        <v>0</v>
      </c>
      <c r="B770" t="b">
        <f>SUMPRODUCT(LEN('hospitalityq-nil'!C770:D770))&gt;0</f>
        <v>0</v>
      </c>
      <c r="C770">
        <f>B770*('hospitalityq-nil'!C770="")</f>
        <v>0</v>
      </c>
      <c r="D770">
        <f>B770*('hospitalityq-nil'!D770="")</f>
        <v>0</v>
      </c>
    </row>
    <row r="771" spans="1:4" x14ac:dyDescent="0.25">
      <c r="A771">
        <f t="shared" si="11"/>
        <v>0</v>
      </c>
      <c r="B771" t="b">
        <f>SUMPRODUCT(LEN('hospitalityq-nil'!C771:D771))&gt;0</f>
        <v>0</v>
      </c>
      <c r="C771">
        <f>B771*('hospitalityq-nil'!C771="")</f>
        <v>0</v>
      </c>
      <c r="D771">
        <f>B771*('hospitalityq-nil'!D771="")</f>
        <v>0</v>
      </c>
    </row>
    <row r="772" spans="1:4" x14ac:dyDescent="0.25">
      <c r="A772">
        <f t="shared" si="11"/>
        <v>0</v>
      </c>
      <c r="B772" t="b">
        <f>SUMPRODUCT(LEN('hospitalityq-nil'!C772:D772))&gt;0</f>
        <v>0</v>
      </c>
      <c r="C772">
        <f>B772*('hospitalityq-nil'!C772="")</f>
        <v>0</v>
      </c>
      <c r="D772">
        <f>B772*('hospitalityq-nil'!D772="")</f>
        <v>0</v>
      </c>
    </row>
    <row r="773" spans="1:4" x14ac:dyDescent="0.25">
      <c r="A773">
        <f t="shared" si="11"/>
        <v>0</v>
      </c>
      <c r="B773" t="b">
        <f>SUMPRODUCT(LEN('hospitalityq-nil'!C773:D773))&gt;0</f>
        <v>0</v>
      </c>
      <c r="C773">
        <f>B773*('hospitalityq-nil'!C773="")</f>
        <v>0</v>
      </c>
      <c r="D773">
        <f>B773*('hospitalityq-nil'!D773="")</f>
        <v>0</v>
      </c>
    </row>
    <row r="774" spans="1:4" x14ac:dyDescent="0.25">
      <c r="A774">
        <f t="shared" ref="A774:A837" si="12">IFERROR(MATCH(TRUE,INDEX(C774:D774&lt;&gt;0,),)+2,0)</f>
        <v>0</v>
      </c>
      <c r="B774" t="b">
        <f>SUMPRODUCT(LEN('hospitalityq-nil'!C774:D774))&gt;0</f>
        <v>0</v>
      </c>
      <c r="C774">
        <f>B774*('hospitalityq-nil'!C774="")</f>
        <v>0</v>
      </c>
      <c r="D774">
        <f>B774*('hospitalityq-nil'!D774="")</f>
        <v>0</v>
      </c>
    </row>
    <row r="775" spans="1:4" x14ac:dyDescent="0.25">
      <c r="A775">
        <f t="shared" si="12"/>
        <v>0</v>
      </c>
      <c r="B775" t="b">
        <f>SUMPRODUCT(LEN('hospitalityq-nil'!C775:D775))&gt;0</f>
        <v>0</v>
      </c>
      <c r="C775">
        <f>B775*('hospitalityq-nil'!C775="")</f>
        <v>0</v>
      </c>
      <c r="D775">
        <f>B775*('hospitalityq-nil'!D775="")</f>
        <v>0</v>
      </c>
    </row>
    <row r="776" spans="1:4" x14ac:dyDescent="0.25">
      <c r="A776">
        <f t="shared" si="12"/>
        <v>0</v>
      </c>
      <c r="B776" t="b">
        <f>SUMPRODUCT(LEN('hospitalityq-nil'!C776:D776))&gt;0</f>
        <v>0</v>
      </c>
      <c r="C776">
        <f>B776*('hospitalityq-nil'!C776="")</f>
        <v>0</v>
      </c>
      <c r="D776">
        <f>B776*('hospitalityq-nil'!D776="")</f>
        <v>0</v>
      </c>
    </row>
    <row r="777" spans="1:4" x14ac:dyDescent="0.25">
      <c r="A777">
        <f t="shared" si="12"/>
        <v>0</v>
      </c>
      <c r="B777" t="b">
        <f>SUMPRODUCT(LEN('hospitalityq-nil'!C777:D777))&gt;0</f>
        <v>0</v>
      </c>
      <c r="C777">
        <f>B777*('hospitalityq-nil'!C777="")</f>
        <v>0</v>
      </c>
      <c r="D777">
        <f>B777*('hospitalityq-nil'!D777="")</f>
        <v>0</v>
      </c>
    </row>
    <row r="778" spans="1:4" x14ac:dyDescent="0.25">
      <c r="A778">
        <f t="shared" si="12"/>
        <v>0</v>
      </c>
      <c r="B778" t="b">
        <f>SUMPRODUCT(LEN('hospitalityq-nil'!C778:D778))&gt;0</f>
        <v>0</v>
      </c>
      <c r="C778">
        <f>B778*('hospitalityq-nil'!C778="")</f>
        <v>0</v>
      </c>
      <c r="D778">
        <f>B778*('hospitalityq-nil'!D778="")</f>
        <v>0</v>
      </c>
    </row>
    <row r="779" spans="1:4" x14ac:dyDescent="0.25">
      <c r="A779">
        <f t="shared" si="12"/>
        <v>0</v>
      </c>
      <c r="B779" t="b">
        <f>SUMPRODUCT(LEN('hospitalityq-nil'!C779:D779))&gt;0</f>
        <v>0</v>
      </c>
      <c r="C779">
        <f>B779*('hospitalityq-nil'!C779="")</f>
        <v>0</v>
      </c>
      <c r="D779">
        <f>B779*('hospitalityq-nil'!D779="")</f>
        <v>0</v>
      </c>
    </row>
    <row r="780" spans="1:4" x14ac:dyDescent="0.25">
      <c r="A780">
        <f t="shared" si="12"/>
        <v>0</v>
      </c>
      <c r="B780" t="b">
        <f>SUMPRODUCT(LEN('hospitalityq-nil'!C780:D780))&gt;0</f>
        <v>0</v>
      </c>
      <c r="C780">
        <f>B780*('hospitalityq-nil'!C780="")</f>
        <v>0</v>
      </c>
      <c r="D780">
        <f>B780*('hospitalityq-nil'!D780="")</f>
        <v>0</v>
      </c>
    </row>
    <row r="781" spans="1:4" x14ac:dyDescent="0.25">
      <c r="A781">
        <f t="shared" si="12"/>
        <v>0</v>
      </c>
      <c r="B781" t="b">
        <f>SUMPRODUCT(LEN('hospitalityq-nil'!C781:D781))&gt;0</f>
        <v>0</v>
      </c>
      <c r="C781">
        <f>B781*('hospitalityq-nil'!C781="")</f>
        <v>0</v>
      </c>
      <c r="D781">
        <f>B781*('hospitalityq-nil'!D781="")</f>
        <v>0</v>
      </c>
    </row>
    <row r="782" spans="1:4" x14ac:dyDescent="0.25">
      <c r="A782">
        <f t="shared" si="12"/>
        <v>0</v>
      </c>
      <c r="B782" t="b">
        <f>SUMPRODUCT(LEN('hospitalityq-nil'!C782:D782))&gt;0</f>
        <v>0</v>
      </c>
      <c r="C782">
        <f>B782*('hospitalityq-nil'!C782="")</f>
        <v>0</v>
      </c>
      <c r="D782">
        <f>B782*('hospitalityq-nil'!D782="")</f>
        <v>0</v>
      </c>
    </row>
    <row r="783" spans="1:4" x14ac:dyDescent="0.25">
      <c r="A783">
        <f t="shared" si="12"/>
        <v>0</v>
      </c>
      <c r="B783" t="b">
        <f>SUMPRODUCT(LEN('hospitalityq-nil'!C783:D783))&gt;0</f>
        <v>0</v>
      </c>
      <c r="C783">
        <f>B783*('hospitalityq-nil'!C783="")</f>
        <v>0</v>
      </c>
      <c r="D783">
        <f>B783*('hospitalityq-nil'!D783="")</f>
        <v>0</v>
      </c>
    </row>
    <row r="784" spans="1:4" x14ac:dyDescent="0.25">
      <c r="A784">
        <f t="shared" si="12"/>
        <v>0</v>
      </c>
      <c r="B784" t="b">
        <f>SUMPRODUCT(LEN('hospitalityq-nil'!C784:D784))&gt;0</f>
        <v>0</v>
      </c>
      <c r="C784">
        <f>B784*('hospitalityq-nil'!C784="")</f>
        <v>0</v>
      </c>
      <c r="D784">
        <f>B784*('hospitalityq-nil'!D784="")</f>
        <v>0</v>
      </c>
    </row>
    <row r="785" spans="1:4" x14ac:dyDescent="0.25">
      <c r="A785">
        <f t="shared" si="12"/>
        <v>0</v>
      </c>
      <c r="B785" t="b">
        <f>SUMPRODUCT(LEN('hospitalityq-nil'!C785:D785))&gt;0</f>
        <v>0</v>
      </c>
      <c r="C785">
        <f>B785*('hospitalityq-nil'!C785="")</f>
        <v>0</v>
      </c>
      <c r="D785">
        <f>B785*('hospitalityq-nil'!D785="")</f>
        <v>0</v>
      </c>
    </row>
    <row r="786" spans="1:4" x14ac:dyDescent="0.25">
      <c r="A786">
        <f t="shared" si="12"/>
        <v>0</v>
      </c>
      <c r="B786" t="b">
        <f>SUMPRODUCT(LEN('hospitalityq-nil'!C786:D786))&gt;0</f>
        <v>0</v>
      </c>
      <c r="C786">
        <f>B786*('hospitalityq-nil'!C786="")</f>
        <v>0</v>
      </c>
      <c r="D786">
        <f>B786*('hospitalityq-nil'!D786="")</f>
        <v>0</v>
      </c>
    </row>
    <row r="787" spans="1:4" x14ac:dyDescent="0.25">
      <c r="A787">
        <f t="shared" si="12"/>
        <v>0</v>
      </c>
      <c r="B787" t="b">
        <f>SUMPRODUCT(LEN('hospitalityq-nil'!C787:D787))&gt;0</f>
        <v>0</v>
      </c>
      <c r="C787">
        <f>B787*('hospitalityq-nil'!C787="")</f>
        <v>0</v>
      </c>
      <c r="D787">
        <f>B787*('hospitalityq-nil'!D787="")</f>
        <v>0</v>
      </c>
    </row>
    <row r="788" spans="1:4" x14ac:dyDescent="0.25">
      <c r="A788">
        <f t="shared" si="12"/>
        <v>0</v>
      </c>
      <c r="B788" t="b">
        <f>SUMPRODUCT(LEN('hospitalityq-nil'!C788:D788))&gt;0</f>
        <v>0</v>
      </c>
      <c r="C788">
        <f>B788*('hospitalityq-nil'!C788="")</f>
        <v>0</v>
      </c>
      <c r="D788">
        <f>B788*('hospitalityq-nil'!D788="")</f>
        <v>0</v>
      </c>
    </row>
    <row r="789" spans="1:4" x14ac:dyDescent="0.25">
      <c r="A789">
        <f t="shared" si="12"/>
        <v>0</v>
      </c>
      <c r="B789" t="b">
        <f>SUMPRODUCT(LEN('hospitalityq-nil'!C789:D789))&gt;0</f>
        <v>0</v>
      </c>
      <c r="C789">
        <f>B789*('hospitalityq-nil'!C789="")</f>
        <v>0</v>
      </c>
      <c r="D789">
        <f>B789*('hospitalityq-nil'!D789="")</f>
        <v>0</v>
      </c>
    </row>
    <row r="790" spans="1:4" x14ac:dyDescent="0.25">
      <c r="A790">
        <f t="shared" si="12"/>
        <v>0</v>
      </c>
      <c r="B790" t="b">
        <f>SUMPRODUCT(LEN('hospitalityq-nil'!C790:D790))&gt;0</f>
        <v>0</v>
      </c>
      <c r="C790">
        <f>B790*('hospitalityq-nil'!C790="")</f>
        <v>0</v>
      </c>
      <c r="D790">
        <f>B790*('hospitalityq-nil'!D790="")</f>
        <v>0</v>
      </c>
    </row>
    <row r="791" spans="1:4" x14ac:dyDescent="0.25">
      <c r="A791">
        <f t="shared" si="12"/>
        <v>0</v>
      </c>
      <c r="B791" t="b">
        <f>SUMPRODUCT(LEN('hospitalityq-nil'!C791:D791))&gt;0</f>
        <v>0</v>
      </c>
      <c r="C791">
        <f>B791*('hospitalityq-nil'!C791="")</f>
        <v>0</v>
      </c>
      <c r="D791">
        <f>B791*('hospitalityq-nil'!D791="")</f>
        <v>0</v>
      </c>
    </row>
    <row r="792" spans="1:4" x14ac:dyDescent="0.25">
      <c r="A792">
        <f t="shared" si="12"/>
        <v>0</v>
      </c>
      <c r="B792" t="b">
        <f>SUMPRODUCT(LEN('hospitalityq-nil'!C792:D792))&gt;0</f>
        <v>0</v>
      </c>
      <c r="C792">
        <f>B792*('hospitalityq-nil'!C792="")</f>
        <v>0</v>
      </c>
      <c r="D792">
        <f>B792*('hospitalityq-nil'!D792="")</f>
        <v>0</v>
      </c>
    </row>
    <row r="793" spans="1:4" x14ac:dyDescent="0.25">
      <c r="A793">
        <f t="shared" si="12"/>
        <v>0</v>
      </c>
      <c r="B793" t="b">
        <f>SUMPRODUCT(LEN('hospitalityq-nil'!C793:D793))&gt;0</f>
        <v>0</v>
      </c>
      <c r="C793">
        <f>B793*('hospitalityq-nil'!C793="")</f>
        <v>0</v>
      </c>
      <c r="D793">
        <f>B793*('hospitalityq-nil'!D793="")</f>
        <v>0</v>
      </c>
    </row>
    <row r="794" spans="1:4" x14ac:dyDescent="0.25">
      <c r="A794">
        <f t="shared" si="12"/>
        <v>0</v>
      </c>
      <c r="B794" t="b">
        <f>SUMPRODUCT(LEN('hospitalityq-nil'!C794:D794))&gt;0</f>
        <v>0</v>
      </c>
      <c r="C794">
        <f>B794*('hospitalityq-nil'!C794="")</f>
        <v>0</v>
      </c>
      <c r="D794">
        <f>B794*('hospitalityq-nil'!D794="")</f>
        <v>0</v>
      </c>
    </row>
    <row r="795" spans="1:4" x14ac:dyDescent="0.25">
      <c r="A795">
        <f t="shared" si="12"/>
        <v>0</v>
      </c>
      <c r="B795" t="b">
        <f>SUMPRODUCT(LEN('hospitalityq-nil'!C795:D795))&gt;0</f>
        <v>0</v>
      </c>
      <c r="C795">
        <f>B795*('hospitalityq-nil'!C795="")</f>
        <v>0</v>
      </c>
      <c r="D795">
        <f>B795*('hospitalityq-nil'!D795="")</f>
        <v>0</v>
      </c>
    </row>
    <row r="796" spans="1:4" x14ac:dyDescent="0.25">
      <c r="A796">
        <f t="shared" si="12"/>
        <v>0</v>
      </c>
      <c r="B796" t="b">
        <f>SUMPRODUCT(LEN('hospitalityq-nil'!C796:D796))&gt;0</f>
        <v>0</v>
      </c>
      <c r="C796">
        <f>B796*('hospitalityq-nil'!C796="")</f>
        <v>0</v>
      </c>
      <c r="D796">
        <f>B796*('hospitalityq-nil'!D796="")</f>
        <v>0</v>
      </c>
    </row>
    <row r="797" spans="1:4" x14ac:dyDescent="0.25">
      <c r="A797">
        <f t="shared" si="12"/>
        <v>0</v>
      </c>
      <c r="B797" t="b">
        <f>SUMPRODUCT(LEN('hospitalityq-nil'!C797:D797))&gt;0</f>
        <v>0</v>
      </c>
      <c r="C797">
        <f>B797*('hospitalityq-nil'!C797="")</f>
        <v>0</v>
      </c>
      <c r="D797">
        <f>B797*('hospitalityq-nil'!D797="")</f>
        <v>0</v>
      </c>
    </row>
    <row r="798" spans="1:4" x14ac:dyDescent="0.25">
      <c r="A798">
        <f t="shared" si="12"/>
        <v>0</v>
      </c>
      <c r="B798" t="b">
        <f>SUMPRODUCT(LEN('hospitalityq-nil'!C798:D798))&gt;0</f>
        <v>0</v>
      </c>
      <c r="C798">
        <f>B798*('hospitalityq-nil'!C798="")</f>
        <v>0</v>
      </c>
      <c r="D798">
        <f>B798*('hospitalityq-nil'!D798="")</f>
        <v>0</v>
      </c>
    </row>
    <row r="799" spans="1:4" x14ac:dyDescent="0.25">
      <c r="A799">
        <f t="shared" si="12"/>
        <v>0</v>
      </c>
      <c r="B799" t="b">
        <f>SUMPRODUCT(LEN('hospitalityq-nil'!C799:D799))&gt;0</f>
        <v>0</v>
      </c>
      <c r="C799">
        <f>B799*('hospitalityq-nil'!C799="")</f>
        <v>0</v>
      </c>
      <c r="D799">
        <f>B799*('hospitalityq-nil'!D799="")</f>
        <v>0</v>
      </c>
    </row>
    <row r="800" spans="1:4" x14ac:dyDescent="0.25">
      <c r="A800">
        <f t="shared" si="12"/>
        <v>0</v>
      </c>
      <c r="B800" t="b">
        <f>SUMPRODUCT(LEN('hospitalityq-nil'!C800:D800))&gt;0</f>
        <v>0</v>
      </c>
      <c r="C800">
        <f>B800*('hospitalityq-nil'!C800="")</f>
        <v>0</v>
      </c>
      <c r="D800">
        <f>B800*('hospitalityq-nil'!D800="")</f>
        <v>0</v>
      </c>
    </row>
    <row r="801" spans="1:4" x14ac:dyDescent="0.25">
      <c r="A801">
        <f t="shared" si="12"/>
        <v>0</v>
      </c>
      <c r="B801" t="b">
        <f>SUMPRODUCT(LEN('hospitalityq-nil'!C801:D801))&gt;0</f>
        <v>0</v>
      </c>
      <c r="C801">
        <f>B801*('hospitalityq-nil'!C801="")</f>
        <v>0</v>
      </c>
      <c r="D801">
        <f>B801*('hospitalityq-nil'!D801="")</f>
        <v>0</v>
      </c>
    </row>
    <row r="802" spans="1:4" x14ac:dyDescent="0.25">
      <c r="A802">
        <f t="shared" si="12"/>
        <v>0</v>
      </c>
      <c r="B802" t="b">
        <f>SUMPRODUCT(LEN('hospitalityq-nil'!C802:D802))&gt;0</f>
        <v>0</v>
      </c>
      <c r="C802">
        <f>B802*('hospitalityq-nil'!C802="")</f>
        <v>0</v>
      </c>
      <c r="D802">
        <f>B802*('hospitalityq-nil'!D802="")</f>
        <v>0</v>
      </c>
    </row>
    <row r="803" spans="1:4" x14ac:dyDescent="0.25">
      <c r="A803">
        <f t="shared" si="12"/>
        <v>0</v>
      </c>
      <c r="B803" t="b">
        <f>SUMPRODUCT(LEN('hospitalityq-nil'!C803:D803))&gt;0</f>
        <v>0</v>
      </c>
      <c r="C803">
        <f>B803*('hospitalityq-nil'!C803="")</f>
        <v>0</v>
      </c>
      <c r="D803">
        <f>B803*('hospitalityq-nil'!D803="")</f>
        <v>0</v>
      </c>
    </row>
    <row r="804" spans="1:4" x14ac:dyDescent="0.25">
      <c r="A804">
        <f t="shared" si="12"/>
        <v>0</v>
      </c>
      <c r="B804" t="b">
        <f>SUMPRODUCT(LEN('hospitalityq-nil'!C804:D804))&gt;0</f>
        <v>0</v>
      </c>
      <c r="C804">
        <f>B804*('hospitalityq-nil'!C804="")</f>
        <v>0</v>
      </c>
      <c r="D804">
        <f>B804*('hospitalityq-nil'!D804="")</f>
        <v>0</v>
      </c>
    </row>
    <row r="805" spans="1:4" x14ac:dyDescent="0.25">
      <c r="A805">
        <f t="shared" si="12"/>
        <v>0</v>
      </c>
      <c r="B805" t="b">
        <f>SUMPRODUCT(LEN('hospitalityq-nil'!C805:D805))&gt;0</f>
        <v>0</v>
      </c>
      <c r="C805">
        <f>B805*('hospitalityq-nil'!C805="")</f>
        <v>0</v>
      </c>
      <c r="D805">
        <f>B805*('hospitalityq-nil'!D805="")</f>
        <v>0</v>
      </c>
    </row>
    <row r="806" spans="1:4" x14ac:dyDescent="0.25">
      <c r="A806">
        <f t="shared" si="12"/>
        <v>0</v>
      </c>
      <c r="B806" t="b">
        <f>SUMPRODUCT(LEN('hospitalityq-nil'!C806:D806))&gt;0</f>
        <v>0</v>
      </c>
      <c r="C806">
        <f>B806*('hospitalityq-nil'!C806="")</f>
        <v>0</v>
      </c>
      <c r="D806">
        <f>B806*('hospitalityq-nil'!D806="")</f>
        <v>0</v>
      </c>
    </row>
    <row r="807" spans="1:4" x14ac:dyDescent="0.25">
      <c r="A807">
        <f t="shared" si="12"/>
        <v>0</v>
      </c>
      <c r="B807" t="b">
        <f>SUMPRODUCT(LEN('hospitalityq-nil'!C807:D807))&gt;0</f>
        <v>0</v>
      </c>
      <c r="C807">
        <f>B807*('hospitalityq-nil'!C807="")</f>
        <v>0</v>
      </c>
      <c r="D807">
        <f>B807*('hospitalityq-nil'!D807="")</f>
        <v>0</v>
      </c>
    </row>
    <row r="808" spans="1:4" x14ac:dyDescent="0.25">
      <c r="A808">
        <f t="shared" si="12"/>
        <v>0</v>
      </c>
      <c r="B808" t="b">
        <f>SUMPRODUCT(LEN('hospitalityq-nil'!C808:D808))&gt;0</f>
        <v>0</v>
      </c>
      <c r="C808">
        <f>B808*('hospitalityq-nil'!C808="")</f>
        <v>0</v>
      </c>
      <c r="D808">
        <f>B808*('hospitalityq-nil'!D808="")</f>
        <v>0</v>
      </c>
    </row>
    <row r="809" spans="1:4" x14ac:dyDescent="0.25">
      <c r="A809">
        <f t="shared" si="12"/>
        <v>0</v>
      </c>
      <c r="B809" t="b">
        <f>SUMPRODUCT(LEN('hospitalityq-nil'!C809:D809))&gt;0</f>
        <v>0</v>
      </c>
      <c r="C809">
        <f>B809*('hospitalityq-nil'!C809="")</f>
        <v>0</v>
      </c>
      <c r="D809">
        <f>B809*('hospitalityq-nil'!D809="")</f>
        <v>0</v>
      </c>
    </row>
    <row r="810" spans="1:4" x14ac:dyDescent="0.25">
      <c r="A810">
        <f t="shared" si="12"/>
        <v>0</v>
      </c>
      <c r="B810" t="b">
        <f>SUMPRODUCT(LEN('hospitalityq-nil'!C810:D810))&gt;0</f>
        <v>0</v>
      </c>
      <c r="C810">
        <f>B810*('hospitalityq-nil'!C810="")</f>
        <v>0</v>
      </c>
      <c r="D810">
        <f>B810*('hospitalityq-nil'!D810="")</f>
        <v>0</v>
      </c>
    </row>
    <row r="811" spans="1:4" x14ac:dyDescent="0.25">
      <c r="A811">
        <f t="shared" si="12"/>
        <v>0</v>
      </c>
      <c r="B811" t="b">
        <f>SUMPRODUCT(LEN('hospitalityq-nil'!C811:D811))&gt;0</f>
        <v>0</v>
      </c>
      <c r="C811">
        <f>B811*('hospitalityq-nil'!C811="")</f>
        <v>0</v>
      </c>
      <c r="D811">
        <f>B811*('hospitalityq-nil'!D811="")</f>
        <v>0</v>
      </c>
    </row>
    <row r="812" spans="1:4" x14ac:dyDescent="0.25">
      <c r="A812">
        <f t="shared" si="12"/>
        <v>0</v>
      </c>
      <c r="B812" t="b">
        <f>SUMPRODUCT(LEN('hospitalityq-nil'!C812:D812))&gt;0</f>
        <v>0</v>
      </c>
      <c r="C812">
        <f>B812*('hospitalityq-nil'!C812="")</f>
        <v>0</v>
      </c>
      <c r="D812">
        <f>B812*('hospitalityq-nil'!D812="")</f>
        <v>0</v>
      </c>
    </row>
    <row r="813" spans="1:4" x14ac:dyDescent="0.25">
      <c r="A813">
        <f t="shared" si="12"/>
        <v>0</v>
      </c>
      <c r="B813" t="b">
        <f>SUMPRODUCT(LEN('hospitalityq-nil'!C813:D813))&gt;0</f>
        <v>0</v>
      </c>
      <c r="C813">
        <f>B813*('hospitalityq-nil'!C813="")</f>
        <v>0</v>
      </c>
      <c r="D813">
        <f>B813*('hospitalityq-nil'!D813="")</f>
        <v>0</v>
      </c>
    </row>
    <row r="814" spans="1:4" x14ac:dyDescent="0.25">
      <c r="A814">
        <f t="shared" si="12"/>
        <v>0</v>
      </c>
      <c r="B814" t="b">
        <f>SUMPRODUCT(LEN('hospitalityq-nil'!C814:D814))&gt;0</f>
        <v>0</v>
      </c>
      <c r="C814">
        <f>B814*('hospitalityq-nil'!C814="")</f>
        <v>0</v>
      </c>
      <c r="D814">
        <f>B814*('hospitalityq-nil'!D814="")</f>
        <v>0</v>
      </c>
    </row>
    <row r="815" spans="1:4" x14ac:dyDescent="0.25">
      <c r="A815">
        <f t="shared" si="12"/>
        <v>0</v>
      </c>
      <c r="B815" t="b">
        <f>SUMPRODUCT(LEN('hospitalityq-nil'!C815:D815))&gt;0</f>
        <v>0</v>
      </c>
      <c r="C815">
        <f>B815*('hospitalityq-nil'!C815="")</f>
        <v>0</v>
      </c>
      <c r="D815">
        <f>B815*('hospitalityq-nil'!D815="")</f>
        <v>0</v>
      </c>
    </row>
    <row r="816" spans="1:4" x14ac:dyDescent="0.25">
      <c r="A816">
        <f t="shared" si="12"/>
        <v>0</v>
      </c>
      <c r="B816" t="b">
        <f>SUMPRODUCT(LEN('hospitalityq-nil'!C816:D816))&gt;0</f>
        <v>0</v>
      </c>
      <c r="C816">
        <f>B816*('hospitalityq-nil'!C816="")</f>
        <v>0</v>
      </c>
      <c r="D816">
        <f>B816*('hospitalityq-nil'!D816="")</f>
        <v>0</v>
      </c>
    </row>
    <row r="817" spans="1:4" x14ac:dyDescent="0.25">
      <c r="A817">
        <f t="shared" si="12"/>
        <v>0</v>
      </c>
      <c r="B817" t="b">
        <f>SUMPRODUCT(LEN('hospitalityq-nil'!C817:D817))&gt;0</f>
        <v>0</v>
      </c>
      <c r="C817">
        <f>B817*('hospitalityq-nil'!C817="")</f>
        <v>0</v>
      </c>
      <c r="D817">
        <f>B817*('hospitalityq-nil'!D817="")</f>
        <v>0</v>
      </c>
    </row>
    <row r="818" spans="1:4" x14ac:dyDescent="0.25">
      <c r="A818">
        <f t="shared" si="12"/>
        <v>0</v>
      </c>
      <c r="B818" t="b">
        <f>SUMPRODUCT(LEN('hospitalityq-nil'!C818:D818))&gt;0</f>
        <v>0</v>
      </c>
      <c r="C818">
        <f>B818*('hospitalityq-nil'!C818="")</f>
        <v>0</v>
      </c>
      <c r="D818">
        <f>B818*('hospitalityq-nil'!D818="")</f>
        <v>0</v>
      </c>
    </row>
    <row r="819" spans="1:4" x14ac:dyDescent="0.25">
      <c r="A819">
        <f t="shared" si="12"/>
        <v>0</v>
      </c>
      <c r="B819" t="b">
        <f>SUMPRODUCT(LEN('hospitalityq-nil'!C819:D819))&gt;0</f>
        <v>0</v>
      </c>
      <c r="C819">
        <f>B819*('hospitalityq-nil'!C819="")</f>
        <v>0</v>
      </c>
      <c r="D819">
        <f>B819*('hospitalityq-nil'!D819="")</f>
        <v>0</v>
      </c>
    </row>
    <row r="820" spans="1:4" x14ac:dyDescent="0.25">
      <c r="A820">
        <f t="shared" si="12"/>
        <v>0</v>
      </c>
      <c r="B820" t="b">
        <f>SUMPRODUCT(LEN('hospitalityq-nil'!C820:D820))&gt;0</f>
        <v>0</v>
      </c>
      <c r="C820">
        <f>B820*('hospitalityq-nil'!C820="")</f>
        <v>0</v>
      </c>
      <c r="D820">
        <f>B820*('hospitalityq-nil'!D820="")</f>
        <v>0</v>
      </c>
    </row>
    <row r="821" spans="1:4" x14ac:dyDescent="0.25">
      <c r="A821">
        <f t="shared" si="12"/>
        <v>0</v>
      </c>
      <c r="B821" t="b">
        <f>SUMPRODUCT(LEN('hospitalityq-nil'!C821:D821))&gt;0</f>
        <v>0</v>
      </c>
      <c r="C821">
        <f>B821*('hospitalityq-nil'!C821="")</f>
        <v>0</v>
      </c>
      <c r="D821">
        <f>B821*('hospitalityq-nil'!D821="")</f>
        <v>0</v>
      </c>
    </row>
    <row r="822" spans="1:4" x14ac:dyDescent="0.25">
      <c r="A822">
        <f t="shared" si="12"/>
        <v>0</v>
      </c>
      <c r="B822" t="b">
        <f>SUMPRODUCT(LEN('hospitalityq-nil'!C822:D822))&gt;0</f>
        <v>0</v>
      </c>
      <c r="C822">
        <f>B822*('hospitalityq-nil'!C822="")</f>
        <v>0</v>
      </c>
      <c r="D822">
        <f>B822*('hospitalityq-nil'!D822="")</f>
        <v>0</v>
      </c>
    </row>
    <row r="823" spans="1:4" x14ac:dyDescent="0.25">
      <c r="A823">
        <f t="shared" si="12"/>
        <v>0</v>
      </c>
      <c r="B823" t="b">
        <f>SUMPRODUCT(LEN('hospitalityq-nil'!C823:D823))&gt;0</f>
        <v>0</v>
      </c>
      <c r="C823">
        <f>B823*('hospitalityq-nil'!C823="")</f>
        <v>0</v>
      </c>
      <c r="D823">
        <f>B823*('hospitalityq-nil'!D823="")</f>
        <v>0</v>
      </c>
    </row>
    <row r="824" spans="1:4" x14ac:dyDescent="0.25">
      <c r="A824">
        <f t="shared" si="12"/>
        <v>0</v>
      </c>
      <c r="B824" t="b">
        <f>SUMPRODUCT(LEN('hospitalityq-nil'!C824:D824))&gt;0</f>
        <v>0</v>
      </c>
      <c r="C824">
        <f>B824*('hospitalityq-nil'!C824="")</f>
        <v>0</v>
      </c>
      <c r="D824">
        <f>B824*('hospitalityq-nil'!D824="")</f>
        <v>0</v>
      </c>
    </row>
    <row r="825" spans="1:4" x14ac:dyDescent="0.25">
      <c r="A825">
        <f t="shared" si="12"/>
        <v>0</v>
      </c>
      <c r="B825" t="b">
        <f>SUMPRODUCT(LEN('hospitalityq-nil'!C825:D825))&gt;0</f>
        <v>0</v>
      </c>
      <c r="C825">
        <f>B825*('hospitalityq-nil'!C825="")</f>
        <v>0</v>
      </c>
      <c r="D825">
        <f>B825*('hospitalityq-nil'!D825="")</f>
        <v>0</v>
      </c>
    </row>
    <row r="826" spans="1:4" x14ac:dyDescent="0.25">
      <c r="A826">
        <f t="shared" si="12"/>
        <v>0</v>
      </c>
      <c r="B826" t="b">
        <f>SUMPRODUCT(LEN('hospitalityq-nil'!C826:D826))&gt;0</f>
        <v>0</v>
      </c>
      <c r="C826">
        <f>B826*('hospitalityq-nil'!C826="")</f>
        <v>0</v>
      </c>
      <c r="D826">
        <f>B826*('hospitalityq-nil'!D826="")</f>
        <v>0</v>
      </c>
    </row>
    <row r="827" spans="1:4" x14ac:dyDescent="0.25">
      <c r="A827">
        <f t="shared" si="12"/>
        <v>0</v>
      </c>
      <c r="B827" t="b">
        <f>SUMPRODUCT(LEN('hospitalityq-nil'!C827:D827))&gt;0</f>
        <v>0</v>
      </c>
      <c r="C827">
        <f>B827*('hospitalityq-nil'!C827="")</f>
        <v>0</v>
      </c>
      <c r="D827">
        <f>B827*('hospitalityq-nil'!D827="")</f>
        <v>0</v>
      </c>
    </row>
    <row r="828" spans="1:4" x14ac:dyDescent="0.25">
      <c r="A828">
        <f t="shared" si="12"/>
        <v>0</v>
      </c>
      <c r="B828" t="b">
        <f>SUMPRODUCT(LEN('hospitalityq-nil'!C828:D828))&gt;0</f>
        <v>0</v>
      </c>
      <c r="C828">
        <f>B828*('hospitalityq-nil'!C828="")</f>
        <v>0</v>
      </c>
      <c r="D828">
        <f>B828*('hospitalityq-nil'!D828="")</f>
        <v>0</v>
      </c>
    </row>
    <row r="829" spans="1:4" x14ac:dyDescent="0.25">
      <c r="A829">
        <f t="shared" si="12"/>
        <v>0</v>
      </c>
      <c r="B829" t="b">
        <f>SUMPRODUCT(LEN('hospitalityq-nil'!C829:D829))&gt;0</f>
        <v>0</v>
      </c>
      <c r="C829">
        <f>B829*('hospitalityq-nil'!C829="")</f>
        <v>0</v>
      </c>
      <c r="D829">
        <f>B829*('hospitalityq-nil'!D829="")</f>
        <v>0</v>
      </c>
    </row>
    <row r="830" spans="1:4" x14ac:dyDescent="0.25">
      <c r="A830">
        <f t="shared" si="12"/>
        <v>0</v>
      </c>
      <c r="B830" t="b">
        <f>SUMPRODUCT(LEN('hospitalityq-nil'!C830:D830))&gt;0</f>
        <v>0</v>
      </c>
      <c r="C830">
        <f>B830*('hospitalityq-nil'!C830="")</f>
        <v>0</v>
      </c>
      <c r="D830">
        <f>B830*('hospitalityq-nil'!D830="")</f>
        <v>0</v>
      </c>
    </row>
    <row r="831" spans="1:4" x14ac:dyDescent="0.25">
      <c r="A831">
        <f t="shared" si="12"/>
        <v>0</v>
      </c>
      <c r="B831" t="b">
        <f>SUMPRODUCT(LEN('hospitalityq-nil'!C831:D831))&gt;0</f>
        <v>0</v>
      </c>
      <c r="C831">
        <f>B831*('hospitalityq-nil'!C831="")</f>
        <v>0</v>
      </c>
      <c r="D831">
        <f>B831*('hospitalityq-nil'!D831="")</f>
        <v>0</v>
      </c>
    </row>
    <row r="832" spans="1:4" x14ac:dyDescent="0.25">
      <c r="A832">
        <f t="shared" si="12"/>
        <v>0</v>
      </c>
      <c r="B832" t="b">
        <f>SUMPRODUCT(LEN('hospitalityq-nil'!C832:D832))&gt;0</f>
        <v>0</v>
      </c>
      <c r="C832">
        <f>B832*('hospitalityq-nil'!C832="")</f>
        <v>0</v>
      </c>
      <c r="D832">
        <f>B832*('hospitalityq-nil'!D832="")</f>
        <v>0</v>
      </c>
    </row>
    <row r="833" spans="1:4" x14ac:dyDescent="0.25">
      <c r="A833">
        <f t="shared" si="12"/>
        <v>0</v>
      </c>
      <c r="B833" t="b">
        <f>SUMPRODUCT(LEN('hospitalityq-nil'!C833:D833))&gt;0</f>
        <v>0</v>
      </c>
      <c r="C833">
        <f>B833*('hospitalityq-nil'!C833="")</f>
        <v>0</v>
      </c>
      <c r="D833">
        <f>B833*('hospitalityq-nil'!D833="")</f>
        <v>0</v>
      </c>
    </row>
    <row r="834" spans="1:4" x14ac:dyDescent="0.25">
      <c r="A834">
        <f t="shared" si="12"/>
        <v>0</v>
      </c>
      <c r="B834" t="b">
        <f>SUMPRODUCT(LEN('hospitalityq-nil'!C834:D834))&gt;0</f>
        <v>0</v>
      </c>
      <c r="C834">
        <f>B834*('hospitalityq-nil'!C834="")</f>
        <v>0</v>
      </c>
      <c r="D834">
        <f>B834*('hospitalityq-nil'!D834="")</f>
        <v>0</v>
      </c>
    </row>
    <row r="835" spans="1:4" x14ac:dyDescent="0.25">
      <c r="A835">
        <f t="shared" si="12"/>
        <v>0</v>
      </c>
      <c r="B835" t="b">
        <f>SUMPRODUCT(LEN('hospitalityq-nil'!C835:D835))&gt;0</f>
        <v>0</v>
      </c>
      <c r="C835">
        <f>B835*('hospitalityq-nil'!C835="")</f>
        <v>0</v>
      </c>
      <c r="D835">
        <f>B835*('hospitalityq-nil'!D835="")</f>
        <v>0</v>
      </c>
    </row>
    <row r="836" spans="1:4" x14ac:dyDescent="0.25">
      <c r="A836">
        <f t="shared" si="12"/>
        <v>0</v>
      </c>
      <c r="B836" t="b">
        <f>SUMPRODUCT(LEN('hospitalityq-nil'!C836:D836))&gt;0</f>
        <v>0</v>
      </c>
      <c r="C836">
        <f>B836*('hospitalityq-nil'!C836="")</f>
        <v>0</v>
      </c>
      <c r="D836">
        <f>B836*('hospitalityq-nil'!D836="")</f>
        <v>0</v>
      </c>
    </row>
    <row r="837" spans="1:4" x14ac:dyDescent="0.25">
      <c r="A837">
        <f t="shared" si="12"/>
        <v>0</v>
      </c>
      <c r="B837" t="b">
        <f>SUMPRODUCT(LEN('hospitalityq-nil'!C837:D837))&gt;0</f>
        <v>0</v>
      </c>
      <c r="C837">
        <f>B837*('hospitalityq-nil'!C837="")</f>
        <v>0</v>
      </c>
      <c r="D837">
        <f>B837*('hospitalityq-nil'!D837="")</f>
        <v>0</v>
      </c>
    </row>
    <row r="838" spans="1:4" x14ac:dyDescent="0.25">
      <c r="A838">
        <f t="shared" ref="A838:A901" si="13">IFERROR(MATCH(TRUE,INDEX(C838:D838&lt;&gt;0,),)+2,0)</f>
        <v>0</v>
      </c>
      <c r="B838" t="b">
        <f>SUMPRODUCT(LEN('hospitalityq-nil'!C838:D838))&gt;0</f>
        <v>0</v>
      </c>
      <c r="C838">
        <f>B838*('hospitalityq-nil'!C838="")</f>
        <v>0</v>
      </c>
      <c r="D838">
        <f>B838*('hospitalityq-nil'!D838="")</f>
        <v>0</v>
      </c>
    </row>
    <row r="839" spans="1:4" x14ac:dyDescent="0.25">
      <c r="A839">
        <f t="shared" si="13"/>
        <v>0</v>
      </c>
      <c r="B839" t="b">
        <f>SUMPRODUCT(LEN('hospitalityq-nil'!C839:D839))&gt;0</f>
        <v>0</v>
      </c>
      <c r="C839">
        <f>B839*('hospitalityq-nil'!C839="")</f>
        <v>0</v>
      </c>
      <c r="D839">
        <f>B839*('hospitalityq-nil'!D839="")</f>
        <v>0</v>
      </c>
    </row>
    <row r="840" spans="1:4" x14ac:dyDescent="0.25">
      <c r="A840">
        <f t="shared" si="13"/>
        <v>0</v>
      </c>
      <c r="B840" t="b">
        <f>SUMPRODUCT(LEN('hospitalityq-nil'!C840:D840))&gt;0</f>
        <v>0</v>
      </c>
      <c r="C840">
        <f>B840*('hospitalityq-nil'!C840="")</f>
        <v>0</v>
      </c>
      <c r="D840">
        <f>B840*('hospitalityq-nil'!D840="")</f>
        <v>0</v>
      </c>
    </row>
    <row r="841" spans="1:4" x14ac:dyDescent="0.25">
      <c r="A841">
        <f t="shared" si="13"/>
        <v>0</v>
      </c>
      <c r="B841" t="b">
        <f>SUMPRODUCT(LEN('hospitalityq-nil'!C841:D841))&gt;0</f>
        <v>0</v>
      </c>
      <c r="C841">
        <f>B841*('hospitalityq-nil'!C841="")</f>
        <v>0</v>
      </c>
      <c r="D841">
        <f>B841*('hospitalityq-nil'!D841="")</f>
        <v>0</v>
      </c>
    </row>
    <row r="842" spans="1:4" x14ac:dyDescent="0.25">
      <c r="A842">
        <f t="shared" si="13"/>
        <v>0</v>
      </c>
      <c r="B842" t="b">
        <f>SUMPRODUCT(LEN('hospitalityq-nil'!C842:D842))&gt;0</f>
        <v>0</v>
      </c>
      <c r="C842">
        <f>B842*('hospitalityq-nil'!C842="")</f>
        <v>0</v>
      </c>
      <c r="D842">
        <f>B842*('hospitalityq-nil'!D842="")</f>
        <v>0</v>
      </c>
    </row>
    <row r="843" spans="1:4" x14ac:dyDescent="0.25">
      <c r="A843">
        <f t="shared" si="13"/>
        <v>0</v>
      </c>
      <c r="B843" t="b">
        <f>SUMPRODUCT(LEN('hospitalityq-nil'!C843:D843))&gt;0</f>
        <v>0</v>
      </c>
      <c r="C843">
        <f>B843*('hospitalityq-nil'!C843="")</f>
        <v>0</v>
      </c>
      <c r="D843">
        <f>B843*('hospitalityq-nil'!D843="")</f>
        <v>0</v>
      </c>
    </row>
    <row r="844" spans="1:4" x14ac:dyDescent="0.25">
      <c r="A844">
        <f t="shared" si="13"/>
        <v>0</v>
      </c>
      <c r="B844" t="b">
        <f>SUMPRODUCT(LEN('hospitalityq-nil'!C844:D844))&gt;0</f>
        <v>0</v>
      </c>
      <c r="C844">
        <f>B844*('hospitalityq-nil'!C844="")</f>
        <v>0</v>
      </c>
      <c r="D844">
        <f>B844*('hospitalityq-nil'!D844="")</f>
        <v>0</v>
      </c>
    </row>
    <row r="845" spans="1:4" x14ac:dyDescent="0.25">
      <c r="A845">
        <f t="shared" si="13"/>
        <v>0</v>
      </c>
      <c r="B845" t="b">
        <f>SUMPRODUCT(LEN('hospitalityq-nil'!C845:D845))&gt;0</f>
        <v>0</v>
      </c>
      <c r="C845">
        <f>B845*('hospitalityq-nil'!C845="")</f>
        <v>0</v>
      </c>
      <c r="D845">
        <f>B845*('hospitalityq-nil'!D845="")</f>
        <v>0</v>
      </c>
    </row>
    <row r="846" spans="1:4" x14ac:dyDescent="0.25">
      <c r="A846">
        <f t="shared" si="13"/>
        <v>0</v>
      </c>
      <c r="B846" t="b">
        <f>SUMPRODUCT(LEN('hospitalityq-nil'!C846:D846))&gt;0</f>
        <v>0</v>
      </c>
      <c r="C846">
        <f>B846*('hospitalityq-nil'!C846="")</f>
        <v>0</v>
      </c>
      <c r="D846">
        <f>B846*('hospitalityq-nil'!D846="")</f>
        <v>0</v>
      </c>
    </row>
    <row r="847" spans="1:4" x14ac:dyDescent="0.25">
      <c r="A847">
        <f t="shared" si="13"/>
        <v>0</v>
      </c>
      <c r="B847" t="b">
        <f>SUMPRODUCT(LEN('hospitalityq-nil'!C847:D847))&gt;0</f>
        <v>0</v>
      </c>
      <c r="C847">
        <f>B847*('hospitalityq-nil'!C847="")</f>
        <v>0</v>
      </c>
      <c r="D847">
        <f>B847*('hospitalityq-nil'!D847="")</f>
        <v>0</v>
      </c>
    </row>
    <row r="848" spans="1:4" x14ac:dyDescent="0.25">
      <c r="A848">
        <f t="shared" si="13"/>
        <v>0</v>
      </c>
      <c r="B848" t="b">
        <f>SUMPRODUCT(LEN('hospitalityq-nil'!C848:D848))&gt;0</f>
        <v>0</v>
      </c>
      <c r="C848">
        <f>B848*('hospitalityq-nil'!C848="")</f>
        <v>0</v>
      </c>
      <c r="D848">
        <f>B848*('hospitalityq-nil'!D848="")</f>
        <v>0</v>
      </c>
    </row>
    <row r="849" spans="1:4" x14ac:dyDescent="0.25">
      <c r="A849">
        <f t="shared" si="13"/>
        <v>0</v>
      </c>
      <c r="B849" t="b">
        <f>SUMPRODUCT(LEN('hospitalityq-nil'!C849:D849))&gt;0</f>
        <v>0</v>
      </c>
      <c r="C849">
        <f>B849*('hospitalityq-nil'!C849="")</f>
        <v>0</v>
      </c>
      <c r="D849">
        <f>B849*('hospitalityq-nil'!D849="")</f>
        <v>0</v>
      </c>
    </row>
    <row r="850" spans="1:4" x14ac:dyDescent="0.25">
      <c r="A850">
        <f t="shared" si="13"/>
        <v>0</v>
      </c>
      <c r="B850" t="b">
        <f>SUMPRODUCT(LEN('hospitalityq-nil'!C850:D850))&gt;0</f>
        <v>0</v>
      </c>
      <c r="C850">
        <f>B850*('hospitalityq-nil'!C850="")</f>
        <v>0</v>
      </c>
      <c r="D850">
        <f>B850*('hospitalityq-nil'!D850="")</f>
        <v>0</v>
      </c>
    </row>
    <row r="851" spans="1:4" x14ac:dyDescent="0.25">
      <c r="A851">
        <f t="shared" si="13"/>
        <v>0</v>
      </c>
      <c r="B851" t="b">
        <f>SUMPRODUCT(LEN('hospitalityq-nil'!C851:D851))&gt;0</f>
        <v>0</v>
      </c>
      <c r="C851">
        <f>B851*('hospitalityq-nil'!C851="")</f>
        <v>0</v>
      </c>
      <c r="D851">
        <f>B851*('hospitalityq-nil'!D851="")</f>
        <v>0</v>
      </c>
    </row>
    <row r="852" spans="1:4" x14ac:dyDescent="0.25">
      <c r="A852">
        <f t="shared" si="13"/>
        <v>0</v>
      </c>
      <c r="B852" t="b">
        <f>SUMPRODUCT(LEN('hospitalityq-nil'!C852:D852))&gt;0</f>
        <v>0</v>
      </c>
      <c r="C852">
        <f>B852*('hospitalityq-nil'!C852="")</f>
        <v>0</v>
      </c>
      <c r="D852">
        <f>B852*('hospitalityq-nil'!D852="")</f>
        <v>0</v>
      </c>
    </row>
    <row r="853" spans="1:4" x14ac:dyDescent="0.25">
      <c r="A853">
        <f t="shared" si="13"/>
        <v>0</v>
      </c>
      <c r="B853" t="b">
        <f>SUMPRODUCT(LEN('hospitalityq-nil'!C853:D853))&gt;0</f>
        <v>0</v>
      </c>
      <c r="C853">
        <f>B853*('hospitalityq-nil'!C853="")</f>
        <v>0</v>
      </c>
      <c r="D853">
        <f>B853*('hospitalityq-nil'!D853="")</f>
        <v>0</v>
      </c>
    </row>
    <row r="854" spans="1:4" x14ac:dyDescent="0.25">
      <c r="A854">
        <f t="shared" si="13"/>
        <v>0</v>
      </c>
      <c r="B854" t="b">
        <f>SUMPRODUCT(LEN('hospitalityq-nil'!C854:D854))&gt;0</f>
        <v>0</v>
      </c>
      <c r="C854">
        <f>B854*('hospitalityq-nil'!C854="")</f>
        <v>0</v>
      </c>
      <c r="D854">
        <f>B854*('hospitalityq-nil'!D854="")</f>
        <v>0</v>
      </c>
    </row>
    <row r="855" spans="1:4" x14ac:dyDescent="0.25">
      <c r="A855">
        <f t="shared" si="13"/>
        <v>0</v>
      </c>
      <c r="B855" t="b">
        <f>SUMPRODUCT(LEN('hospitalityq-nil'!C855:D855))&gt;0</f>
        <v>0</v>
      </c>
      <c r="C855">
        <f>B855*('hospitalityq-nil'!C855="")</f>
        <v>0</v>
      </c>
      <c r="D855">
        <f>B855*('hospitalityq-nil'!D855="")</f>
        <v>0</v>
      </c>
    </row>
    <row r="856" spans="1:4" x14ac:dyDescent="0.25">
      <c r="A856">
        <f t="shared" si="13"/>
        <v>0</v>
      </c>
      <c r="B856" t="b">
        <f>SUMPRODUCT(LEN('hospitalityq-nil'!C856:D856))&gt;0</f>
        <v>0</v>
      </c>
      <c r="C856">
        <f>B856*('hospitalityq-nil'!C856="")</f>
        <v>0</v>
      </c>
      <c r="D856">
        <f>B856*('hospitalityq-nil'!D856="")</f>
        <v>0</v>
      </c>
    </row>
    <row r="857" spans="1:4" x14ac:dyDescent="0.25">
      <c r="A857">
        <f t="shared" si="13"/>
        <v>0</v>
      </c>
      <c r="B857" t="b">
        <f>SUMPRODUCT(LEN('hospitalityq-nil'!C857:D857))&gt;0</f>
        <v>0</v>
      </c>
      <c r="C857">
        <f>B857*('hospitalityq-nil'!C857="")</f>
        <v>0</v>
      </c>
      <c r="D857">
        <f>B857*('hospitalityq-nil'!D857="")</f>
        <v>0</v>
      </c>
    </row>
    <row r="858" spans="1:4" x14ac:dyDescent="0.25">
      <c r="A858">
        <f t="shared" si="13"/>
        <v>0</v>
      </c>
      <c r="B858" t="b">
        <f>SUMPRODUCT(LEN('hospitalityq-nil'!C858:D858))&gt;0</f>
        <v>0</v>
      </c>
      <c r="C858">
        <f>B858*('hospitalityq-nil'!C858="")</f>
        <v>0</v>
      </c>
      <c r="D858">
        <f>B858*('hospitalityq-nil'!D858="")</f>
        <v>0</v>
      </c>
    </row>
    <row r="859" spans="1:4" x14ac:dyDescent="0.25">
      <c r="A859">
        <f t="shared" si="13"/>
        <v>0</v>
      </c>
      <c r="B859" t="b">
        <f>SUMPRODUCT(LEN('hospitalityq-nil'!C859:D859))&gt;0</f>
        <v>0</v>
      </c>
      <c r="C859">
        <f>B859*('hospitalityq-nil'!C859="")</f>
        <v>0</v>
      </c>
      <c r="D859">
        <f>B859*('hospitalityq-nil'!D859="")</f>
        <v>0</v>
      </c>
    </row>
    <row r="860" spans="1:4" x14ac:dyDescent="0.25">
      <c r="A860">
        <f t="shared" si="13"/>
        <v>0</v>
      </c>
      <c r="B860" t="b">
        <f>SUMPRODUCT(LEN('hospitalityq-nil'!C860:D860))&gt;0</f>
        <v>0</v>
      </c>
      <c r="C860">
        <f>B860*('hospitalityq-nil'!C860="")</f>
        <v>0</v>
      </c>
      <c r="D860">
        <f>B860*('hospitalityq-nil'!D860="")</f>
        <v>0</v>
      </c>
    </row>
    <row r="861" spans="1:4" x14ac:dyDescent="0.25">
      <c r="A861">
        <f t="shared" si="13"/>
        <v>0</v>
      </c>
      <c r="B861" t="b">
        <f>SUMPRODUCT(LEN('hospitalityq-nil'!C861:D861))&gt;0</f>
        <v>0</v>
      </c>
      <c r="C861">
        <f>B861*('hospitalityq-nil'!C861="")</f>
        <v>0</v>
      </c>
      <c r="D861">
        <f>B861*('hospitalityq-nil'!D861="")</f>
        <v>0</v>
      </c>
    </row>
    <row r="862" spans="1:4" x14ac:dyDescent="0.25">
      <c r="A862">
        <f t="shared" si="13"/>
        <v>0</v>
      </c>
      <c r="B862" t="b">
        <f>SUMPRODUCT(LEN('hospitalityq-nil'!C862:D862))&gt;0</f>
        <v>0</v>
      </c>
      <c r="C862">
        <f>B862*('hospitalityq-nil'!C862="")</f>
        <v>0</v>
      </c>
      <c r="D862">
        <f>B862*('hospitalityq-nil'!D862="")</f>
        <v>0</v>
      </c>
    </row>
    <row r="863" spans="1:4" x14ac:dyDescent="0.25">
      <c r="A863">
        <f t="shared" si="13"/>
        <v>0</v>
      </c>
      <c r="B863" t="b">
        <f>SUMPRODUCT(LEN('hospitalityq-nil'!C863:D863))&gt;0</f>
        <v>0</v>
      </c>
      <c r="C863">
        <f>B863*('hospitalityq-nil'!C863="")</f>
        <v>0</v>
      </c>
      <c r="D863">
        <f>B863*('hospitalityq-nil'!D863="")</f>
        <v>0</v>
      </c>
    </row>
    <row r="864" spans="1:4" x14ac:dyDescent="0.25">
      <c r="A864">
        <f t="shared" si="13"/>
        <v>0</v>
      </c>
      <c r="B864" t="b">
        <f>SUMPRODUCT(LEN('hospitalityq-nil'!C864:D864))&gt;0</f>
        <v>0</v>
      </c>
      <c r="C864">
        <f>B864*('hospitalityq-nil'!C864="")</f>
        <v>0</v>
      </c>
      <c r="D864">
        <f>B864*('hospitalityq-nil'!D864="")</f>
        <v>0</v>
      </c>
    </row>
    <row r="865" spans="1:4" x14ac:dyDescent="0.25">
      <c r="A865">
        <f t="shared" si="13"/>
        <v>0</v>
      </c>
      <c r="B865" t="b">
        <f>SUMPRODUCT(LEN('hospitalityq-nil'!C865:D865))&gt;0</f>
        <v>0</v>
      </c>
      <c r="C865">
        <f>B865*('hospitalityq-nil'!C865="")</f>
        <v>0</v>
      </c>
      <c r="D865">
        <f>B865*('hospitalityq-nil'!D865="")</f>
        <v>0</v>
      </c>
    </row>
    <row r="866" spans="1:4" x14ac:dyDescent="0.25">
      <c r="A866">
        <f t="shared" si="13"/>
        <v>0</v>
      </c>
      <c r="B866" t="b">
        <f>SUMPRODUCT(LEN('hospitalityq-nil'!C866:D866))&gt;0</f>
        <v>0</v>
      </c>
      <c r="C866">
        <f>B866*('hospitalityq-nil'!C866="")</f>
        <v>0</v>
      </c>
      <c r="D866">
        <f>B866*('hospitalityq-nil'!D866="")</f>
        <v>0</v>
      </c>
    </row>
    <row r="867" spans="1:4" x14ac:dyDescent="0.25">
      <c r="A867">
        <f t="shared" si="13"/>
        <v>0</v>
      </c>
      <c r="B867" t="b">
        <f>SUMPRODUCT(LEN('hospitalityq-nil'!C867:D867))&gt;0</f>
        <v>0</v>
      </c>
      <c r="C867">
        <f>B867*('hospitalityq-nil'!C867="")</f>
        <v>0</v>
      </c>
      <c r="D867">
        <f>B867*('hospitalityq-nil'!D867="")</f>
        <v>0</v>
      </c>
    </row>
    <row r="868" spans="1:4" x14ac:dyDescent="0.25">
      <c r="A868">
        <f t="shared" si="13"/>
        <v>0</v>
      </c>
      <c r="B868" t="b">
        <f>SUMPRODUCT(LEN('hospitalityq-nil'!C868:D868))&gt;0</f>
        <v>0</v>
      </c>
      <c r="C868">
        <f>B868*('hospitalityq-nil'!C868="")</f>
        <v>0</v>
      </c>
      <c r="D868">
        <f>B868*('hospitalityq-nil'!D868="")</f>
        <v>0</v>
      </c>
    </row>
    <row r="869" spans="1:4" x14ac:dyDescent="0.25">
      <c r="A869">
        <f t="shared" si="13"/>
        <v>0</v>
      </c>
      <c r="B869" t="b">
        <f>SUMPRODUCT(LEN('hospitalityq-nil'!C869:D869))&gt;0</f>
        <v>0</v>
      </c>
      <c r="C869">
        <f>B869*('hospitalityq-nil'!C869="")</f>
        <v>0</v>
      </c>
      <c r="D869">
        <f>B869*('hospitalityq-nil'!D869="")</f>
        <v>0</v>
      </c>
    </row>
    <row r="870" spans="1:4" x14ac:dyDescent="0.25">
      <c r="A870">
        <f t="shared" si="13"/>
        <v>0</v>
      </c>
      <c r="B870" t="b">
        <f>SUMPRODUCT(LEN('hospitalityq-nil'!C870:D870))&gt;0</f>
        <v>0</v>
      </c>
      <c r="C870">
        <f>B870*('hospitalityq-nil'!C870="")</f>
        <v>0</v>
      </c>
      <c r="D870">
        <f>B870*('hospitalityq-nil'!D870="")</f>
        <v>0</v>
      </c>
    </row>
    <row r="871" spans="1:4" x14ac:dyDescent="0.25">
      <c r="A871">
        <f t="shared" si="13"/>
        <v>0</v>
      </c>
      <c r="B871" t="b">
        <f>SUMPRODUCT(LEN('hospitalityq-nil'!C871:D871))&gt;0</f>
        <v>0</v>
      </c>
      <c r="C871">
        <f>B871*('hospitalityq-nil'!C871="")</f>
        <v>0</v>
      </c>
      <c r="D871">
        <f>B871*('hospitalityq-nil'!D871="")</f>
        <v>0</v>
      </c>
    </row>
    <row r="872" spans="1:4" x14ac:dyDescent="0.25">
      <c r="A872">
        <f t="shared" si="13"/>
        <v>0</v>
      </c>
      <c r="B872" t="b">
        <f>SUMPRODUCT(LEN('hospitalityq-nil'!C872:D872))&gt;0</f>
        <v>0</v>
      </c>
      <c r="C872">
        <f>B872*('hospitalityq-nil'!C872="")</f>
        <v>0</v>
      </c>
      <c r="D872">
        <f>B872*('hospitalityq-nil'!D872="")</f>
        <v>0</v>
      </c>
    </row>
    <row r="873" spans="1:4" x14ac:dyDescent="0.25">
      <c r="A873">
        <f t="shared" si="13"/>
        <v>0</v>
      </c>
      <c r="B873" t="b">
        <f>SUMPRODUCT(LEN('hospitalityq-nil'!C873:D873))&gt;0</f>
        <v>0</v>
      </c>
      <c r="C873">
        <f>B873*('hospitalityq-nil'!C873="")</f>
        <v>0</v>
      </c>
      <c r="D873">
        <f>B873*('hospitalityq-nil'!D873="")</f>
        <v>0</v>
      </c>
    </row>
    <row r="874" spans="1:4" x14ac:dyDescent="0.25">
      <c r="A874">
        <f t="shared" si="13"/>
        <v>0</v>
      </c>
      <c r="B874" t="b">
        <f>SUMPRODUCT(LEN('hospitalityq-nil'!C874:D874))&gt;0</f>
        <v>0</v>
      </c>
      <c r="C874">
        <f>B874*('hospitalityq-nil'!C874="")</f>
        <v>0</v>
      </c>
      <c r="D874">
        <f>B874*('hospitalityq-nil'!D874="")</f>
        <v>0</v>
      </c>
    </row>
    <row r="875" spans="1:4" x14ac:dyDescent="0.25">
      <c r="A875">
        <f t="shared" si="13"/>
        <v>0</v>
      </c>
      <c r="B875" t="b">
        <f>SUMPRODUCT(LEN('hospitalityq-nil'!C875:D875))&gt;0</f>
        <v>0</v>
      </c>
      <c r="C875">
        <f>B875*('hospitalityq-nil'!C875="")</f>
        <v>0</v>
      </c>
      <c r="D875">
        <f>B875*('hospitalityq-nil'!D875="")</f>
        <v>0</v>
      </c>
    </row>
    <row r="876" spans="1:4" x14ac:dyDescent="0.25">
      <c r="A876">
        <f t="shared" si="13"/>
        <v>0</v>
      </c>
      <c r="B876" t="b">
        <f>SUMPRODUCT(LEN('hospitalityq-nil'!C876:D876))&gt;0</f>
        <v>0</v>
      </c>
      <c r="C876">
        <f>B876*('hospitalityq-nil'!C876="")</f>
        <v>0</v>
      </c>
      <c r="D876">
        <f>B876*('hospitalityq-nil'!D876="")</f>
        <v>0</v>
      </c>
    </row>
    <row r="877" spans="1:4" x14ac:dyDescent="0.25">
      <c r="A877">
        <f t="shared" si="13"/>
        <v>0</v>
      </c>
      <c r="B877" t="b">
        <f>SUMPRODUCT(LEN('hospitalityq-nil'!C877:D877))&gt;0</f>
        <v>0</v>
      </c>
      <c r="C877">
        <f>B877*('hospitalityq-nil'!C877="")</f>
        <v>0</v>
      </c>
      <c r="D877">
        <f>B877*('hospitalityq-nil'!D877="")</f>
        <v>0</v>
      </c>
    </row>
    <row r="878" spans="1:4" x14ac:dyDescent="0.25">
      <c r="A878">
        <f t="shared" si="13"/>
        <v>0</v>
      </c>
      <c r="B878" t="b">
        <f>SUMPRODUCT(LEN('hospitalityq-nil'!C878:D878))&gt;0</f>
        <v>0</v>
      </c>
      <c r="C878">
        <f>B878*('hospitalityq-nil'!C878="")</f>
        <v>0</v>
      </c>
      <c r="D878">
        <f>B878*('hospitalityq-nil'!D878="")</f>
        <v>0</v>
      </c>
    </row>
    <row r="879" spans="1:4" x14ac:dyDescent="0.25">
      <c r="A879">
        <f t="shared" si="13"/>
        <v>0</v>
      </c>
      <c r="B879" t="b">
        <f>SUMPRODUCT(LEN('hospitalityq-nil'!C879:D879))&gt;0</f>
        <v>0</v>
      </c>
      <c r="C879">
        <f>B879*('hospitalityq-nil'!C879="")</f>
        <v>0</v>
      </c>
      <c r="D879">
        <f>B879*('hospitalityq-nil'!D879="")</f>
        <v>0</v>
      </c>
    </row>
    <row r="880" spans="1:4" x14ac:dyDescent="0.25">
      <c r="A880">
        <f t="shared" si="13"/>
        <v>0</v>
      </c>
      <c r="B880" t="b">
        <f>SUMPRODUCT(LEN('hospitalityq-nil'!C880:D880))&gt;0</f>
        <v>0</v>
      </c>
      <c r="C880">
        <f>B880*('hospitalityq-nil'!C880="")</f>
        <v>0</v>
      </c>
      <c r="D880">
        <f>B880*('hospitalityq-nil'!D880="")</f>
        <v>0</v>
      </c>
    </row>
    <row r="881" spans="1:4" x14ac:dyDescent="0.25">
      <c r="A881">
        <f t="shared" si="13"/>
        <v>0</v>
      </c>
      <c r="B881" t="b">
        <f>SUMPRODUCT(LEN('hospitalityq-nil'!C881:D881))&gt;0</f>
        <v>0</v>
      </c>
      <c r="C881">
        <f>B881*('hospitalityq-nil'!C881="")</f>
        <v>0</v>
      </c>
      <c r="D881">
        <f>B881*('hospitalityq-nil'!D881="")</f>
        <v>0</v>
      </c>
    </row>
    <row r="882" spans="1:4" x14ac:dyDescent="0.25">
      <c r="A882">
        <f t="shared" si="13"/>
        <v>0</v>
      </c>
      <c r="B882" t="b">
        <f>SUMPRODUCT(LEN('hospitalityq-nil'!C882:D882))&gt;0</f>
        <v>0</v>
      </c>
      <c r="C882">
        <f>B882*('hospitalityq-nil'!C882="")</f>
        <v>0</v>
      </c>
      <c r="D882">
        <f>B882*('hospitalityq-nil'!D882="")</f>
        <v>0</v>
      </c>
    </row>
    <row r="883" spans="1:4" x14ac:dyDescent="0.25">
      <c r="A883">
        <f t="shared" si="13"/>
        <v>0</v>
      </c>
      <c r="B883" t="b">
        <f>SUMPRODUCT(LEN('hospitalityq-nil'!C883:D883))&gt;0</f>
        <v>0</v>
      </c>
      <c r="C883">
        <f>B883*('hospitalityq-nil'!C883="")</f>
        <v>0</v>
      </c>
      <c r="D883">
        <f>B883*('hospitalityq-nil'!D883="")</f>
        <v>0</v>
      </c>
    </row>
    <row r="884" spans="1:4" x14ac:dyDescent="0.25">
      <c r="A884">
        <f t="shared" si="13"/>
        <v>0</v>
      </c>
      <c r="B884" t="b">
        <f>SUMPRODUCT(LEN('hospitalityq-nil'!C884:D884))&gt;0</f>
        <v>0</v>
      </c>
      <c r="C884">
        <f>B884*('hospitalityq-nil'!C884="")</f>
        <v>0</v>
      </c>
      <c r="D884">
        <f>B884*('hospitalityq-nil'!D884="")</f>
        <v>0</v>
      </c>
    </row>
    <row r="885" spans="1:4" x14ac:dyDescent="0.25">
      <c r="A885">
        <f t="shared" si="13"/>
        <v>0</v>
      </c>
      <c r="B885" t="b">
        <f>SUMPRODUCT(LEN('hospitalityq-nil'!C885:D885))&gt;0</f>
        <v>0</v>
      </c>
      <c r="C885">
        <f>B885*('hospitalityq-nil'!C885="")</f>
        <v>0</v>
      </c>
      <c r="D885">
        <f>B885*('hospitalityq-nil'!D885="")</f>
        <v>0</v>
      </c>
    </row>
    <row r="886" spans="1:4" x14ac:dyDescent="0.25">
      <c r="A886">
        <f t="shared" si="13"/>
        <v>0</v>
      </c>
      <c r="B886" t="b">
        <f>SUMPRODUCT(LEN('hospitalityq-nil'!C886:D886))&gt;0</f>
        <v>0</v>
      </c>
      <c r="C886">
        <f>B886*('hospitalityq-nil'!C886="")</f>
        <v>0</v>
      </c>
      <c r="D886">
        <f>B886*('hospitalityq-nil'!D886="")</f>
        <v>0</v>
      </c>
    </row>
    <row r="887" spans="1:4" x14ac:dyDescent="0.25">
      <c r="A887">
        <f t="shared" si="13"/>
        <v>0</v>
      </c>
      <c r="B887" t="b">
        <f>SUMPRODUCT(LEN('hospitalityq-nil'!C887:D887))&gt;0</f>
        <v>0</v>
      </c>
      <c r="C887">
        <f>B887*('hospitalityq-nil'!C887="")</f>
        <v>0</v>
      </c>
      <c r="D887">
        <f>B887*('hospitalityq-nil'!D887="")</f>
        <v>0</v>
      </c>
    </row>
    <row r="888" spans="1:4" x14ac:dyDescent="0.25">
      <c r="A888">
        <f t="shared" si="13"/>
        <v>0</v>
      </c>
      <c r="B888" t="b">
        <f>SUMPRODUCT(LEN('hospitalityq-nil'!C888:D888))&gt;0</f>
        <v>0</v>
      </c>
      <c r="C888">
        <f>B888*('hospitalityq-nil'!C888="")</f>
        <v>0</v>
      </c>
      <c r="D888">
        <f>B888*('hospitalityq-nil'!D888="")</f>
        <v>0</v>
      </c>
    </row>
    <row r="889" spans="1:4" x14ac:dyDescent="0.25">
      <c r="A889">
        <f t="shared" si="13"/>
        <v>0</v>
      </c>
      <c r="B889" t="b">
        <f>SUMPRODUCT(LEN('hospitalityq-nil'!C889:D889))&gt;0</f>
        <v>0</v>
      </c>
      <c r="C889">
        <f>B889*('hospitalityq-nil'!C889="")</f>
        <v>0</v>
      </c>
      <c r="D889">
        <f>B889*('hospitalityq-nil'!D889="")</f>
        <v>0</v>
      </c>
    </row>
    <row r="890" spans="1:4" x14ac:dyDescent="0.25">
      <c r="A890">
        <f t="shared" si="13"/>
        <v>0</v>
      </c>
      <c r="B890" t="b">
        <f>SUMPRODUCT(LEN('hospitalityq-nil'!C890:D890))&gt;0</f>
        <v>0</v>
      </c>
      <c r="C890">
        <f>B890*('hospitalityq-nil'!C890="")</f>
        <v>0</v>
      </c>
      <c r="D890">
        <f>B890*('hospitalityq-nil'!D890="")</f>
        <v>0</v>
      </c>
    </row>
    <row r="891" spans="1:4" x14ac:dyDescent="0.25">
      <c r="A891">
        <f t="shared" si="13"/>
        <v>0</v>
      </c>
      <c r="B891" t="b">
        <f>SUMPRODUCT(LEN('hospitalityq-nil'!C891:D891))&gt;0</f>
        <v>0</v>
      </c>
      <c r="C891">
        <f>B891*('hospitalityq-nil'!C891="")</f>
        <v>0</v>
      </c>
      <c r="D891">
        <f>B891*('hospitalityq-nil'!D891="")</f>
        <v>0</v>
      </c>
    </row>
    <row r="892" spans="1:4" x14ac:dyDescent="0.25">
      <c r="A892">
        <f t="shared" si="13"/>
        <v>0</v>
      </c>
      <c r="B892" t="b">
        <f>SUMPRODUCT(LEN('hospitalityq-nil'!C892:D892))&gt;0</f>
        <v>0</v>
      </c>
      <c r="C892">
        <f>B892*('hospitalityq-nil'!C892="")</f>
        <v>0</v>
      </c>
      <c r="D892">
        <f>B892*('hospitalityq-nil'!D892="")</f>
        <v>0</v>
      </c>
    </row>
    <row r="893" spans="1:4" x14ac:dyDescent="0.25">
      <c r="A893">
        <f t="shared" si="13"/>
        <v>0</v>
      </c>
      <c r="B893" t="b">
        <f>SUMPRODUCT(LEN('hospitalityq-nil'!C893:D893))&gt;0</f>
        <v>0</v>
      </c>
      <c r="C893">
        <f>B893*('hospitalityq-nil'!C893="")</f>
        <v>0</v>
      </c>
      <c r="D893">
        <f>B893*('hospitalityq-nil'!D893="")</f>
        <v>0</v>
      </c>
    </row>
    <row r="894" spans="1:4" x14ac:dyDescent="0.25">
      <c r="A894">
        <f t="shared" si="13"/>
        <v>0</v>
      </c>
      <c r="B894" t="b">
        <f>SUMPRODUCT(LEN('hospitalityq-nil'!C894:D894))&gt;0</f>
        <v>0</v>
      </c>
      <c r="C894">
        <f>B894*('hospitalityq-nil'!C894="")</f>
        <v>0</v>
      </c>
      <c r="D894">
        <f>B894*('hospitalityq-nil'!D894="")</f>
        <v>0</v>
      </c>
    </row>
    <row r="895" spans="1:4" x14ac:dyDescent="0.25">
      <c r="A895">
        <f t="shared" si="13"/>
        <v>0</v>
      </c>
      <c r="B895" t="b">
        <f>SUMPRODUCT(LEN('hospitalityq-nil'!C895:D895))&gt;0</f>
        <v>0</v>
      </c>
      <c r="C895">
        <f>B895*('hospitalityq-nil'!C895="")</f>
        <v>0</v>
      </c>
      <c r="D895">
        <f>B895*('hospitalityq-nil'!D895="")</f>
        <v>0</v>
      </c>
    </row>
    <row r="896" spans="1:4" x14ac:dyDescent="0.25">
      <c r="A896">
        <f t="shared" si="13"/>
        <v>0</v>
      </c>
      <c r="B896" t="b">
        <f>SUMPRODUCT(LEN('hospitalityq-nil'!C896:D896))&gt;0</f>
        <v>0</v>
      </c>
      <c r="C896">
        <f>B896*('hospitalityq-nil'!C896="")</f>
        <v>0</v>
      </c>
      <c r="D896">
        <f>B896*('hospitalityq-nil'!D896="")</f>
        <v>0</v>
      </c>
    </row>
    <row r="897" spans="1:4" x14ac:dyDescent="0.25">
      <c r="A897">
        <f t="shared" si="13"/>
        <v>0</v>
      </c>
      <c r="B897" t="b">
        <f>SUMPRODUCT(LEN('hospitalityq-nil'!C897:D897))&gt;0</f>
        <v>0</v>
      </c>
      <c r="C897">
        <f>B897*('hospitalityq-nil'!C897="")</f>
        <v>0</v>
      </c>
      <c r="D897">
        <f>B897*('hospitalityq-nil'!D897="")</f>
        <v>0</v>
      </c>
    </row>
    <row r="898" spans="1:4" x14ac:dyDescent="0.25">
      <c r="A898">
        <f t="shared" si="13"/>
        <v>0</v>
      </c>
      <c r="B898" t="b">
        <f>SUMPRODUCT(LEN('hospitalityq-nil'!C898:D898))&gt;0</f>
        <v>0</v>
      </c>
      <c r="C898">
        <f>B898*('hospitalityq-nil'!C898="")</f>
        <v>0</v>
      </c>
      <c r="D898">
        <f>B898*('hospitalityq-nil'!D898="")</f>
        <v>0</v>
      </c>
    </row>
    <row r="899" spans="1:4" x14ac:dyDescent="0.25">
      <c r="A899">
        <f t="shared" si="13"/>
        <v>0</v>
      </c>
      <c r="B899" t="b">
        <f>SUMPRODUCT(LEN('hospitalityq-nil'!C899:D899))&gt;0</f>
        <v>0</v>
      </c>
      <c r="C899">
        <f>B899*('hospitalityq-nil'!C899="")</f>
        <v>0</v>
      </c>
      <c r="D899">
        <f>B899*('hospitalityq-nil'!D899="")</f>
        <v>0</v>
      </c>
    </row>
    <row r="900" spans="1:4" x14ac:dyDescent="0.25">
      <c r="A900">
        <f t="shared" si="13"/>
        <v>0</v>
      </c>
      <c r="B900" t="b">
        <f>SUMPRODUCT(LEN('hospitalityq-nil'!C900:D900))&gt;0</f>
        <v>0</v>
      </c>
      <c r="C900">
        <f>B900*('hospitalityq-nil'!C900="")</f>
        <v>0</v>
      </c>
      <c r="D900">
        <f>B900*('hospitalityq-nil'!D900="")</f>
        <v>0</v>
      </c>
    </row>
    <row r="901" spans="1:4" x14ac:dyDescent="0.25">
      <c r="A901">
        <f t="shared" si="13"/>
        <v>0</v>
      </c>
      <c r="B901" t="b">
        <f>SUMPRODUCT(LEN('hospitalityq-nil'!C901:D901))&gt;0</f>
        <v>0</v>
      </c>
      <c r="C901">
        <f>B901*('hospitalityq-nil'!C901="")</f>
        <v>0</v>
      </c>
      <c r="D901">
        <f>B901*('hospitalityq-nil'!D901="")</f>
        <v>0</v>
      </c>
    </row>
    <row r="902" spans="1:4" x14ac:dyDescent="0.25">
      <c r="A902">
        <f t="shared" ref="A902:A965" si="14">IFERROR(MATCH(TRUE,INDEX(C902:D902&lt;&gt;0,),)+2,0)</f>
        <v>0</v>
      </c>
      <c r="B902" t="b">
        <f>SUMPRODUCT(LEN('hospitalityq-nil'!C902:D902))&gt;0</f>
        <v>0</v>
      </c>
      <c r="C902">
        <f>B902*('hospitalityq-nil'!C902="")</f>
        <v>0</v>
      </c>
      <c r="D902">
        <f>B902*('hospitalityq-nil'!D902="")</f>
        <v>0</v>
      </c>
    </row>
    <row r="903" spans="1:4" x14ac:dyDescent="0.25">
      <c r="A903">
        <f t="shared" si="14"/>
        <v>0</v>
      </c>
      <c r="B903" t="b">
        <f>SUMPRODUCT(LEN('hospitalityq-nil'!C903:D903))&gt;0</f>
        <v>0</v>
      </c>
      <c r="C903">
        <f>B903*('hospitalityq-nil'!C903="")</f>
        <v>0</v>
      </c>
      <c r="D903">
        <f>B903*('hospitalityq-nil'!D903="")</f>
        <v>0</v>
      </c>
    </row>
    <row r="904" spans="1:4" x14ac:dyDescent="0.25">
      <c r="A904">
        <f t="shared" si="14"/>
        <v>0</v>
      </c>
      <c r="B904" t="b">
        <f>SUMPRODUCT(LEN('hospitalityq-nil'!C904:D904))&gt;0</f>
        <v>0</v>
      </c>
      <c r="C904">
        <f>B904*('hospitalityq-nil'!C904="")</f>
        <v>0</v>
      </c>
      <c r="D904">
        <f>B904*('hospitalityq-nil'!D904="")</f>
        <v>0</v>
      </c>
    </row>
    <row r="905" spans="1:4" x14ac:dyDescent="0.25">
      <c r="A905">
        <f t="shared" si="14"/>
        <v>0</v>
      </c>
      <c r="B905" t="b">
        <f>SUMPRODUCT(LEN('hospitalityq-nil'!C905:D905))&gt;0</f>
        <v>0</v>
      </c>
      <c r="C905">
        <f>B905*('hospitalityq-nil'!C905="")</f>
        <v>0</v>
      </c>
      <c r="D905">
        <f>B905*('hospitalityq-nil'!D905="")</f>
        <v>0</v>
      </c>
    </row>
    <row r="906" spans="1:4" x14ac:dyDescent="0.25">
      <c r="A906">
        <f t="shared" si="14"/>
        <v>0</v>
      </c>
      <c r="B906" t="b">
        <f>SUMPRODUCT(LEN('hospitalityq-nil'!C906:D906))&gt;0</f>
        <v>0</v>
      </c>
      <c r="C906">
        <f>B906*('hospitalityq-nil'!C906="")</f>
        <v>0</v>
      </c>
      <c r="D906">
        <f>B906*('hospitalityq-nil'!D906="")</f>
        <v>0</v>
      </c>
    </row>
    <row r="907" spans="1:4" x14ac:dyDescent="0.25">
      <c r="A907">
        <f t="shared" si="14"/>
        <v>0</v>
      </c>
      <c r="B907" t="b">
        <f>SUMPRODUCT(LEN('hospitalityq-nil'!C907:D907))&gt;0</f>
        <v>0</v>
      </c>
      <c r="C907">
        <f>B907*('hospitalityq-nil'!C907="")</f>
        <v>0</v>
      </c>
      <c r="D907">
        <f>B907*('hospitalityq-nil'!D907="")</f>
        <v>0</v>
      </c>
    </row>
    <row r="908" spans="1:4" x14ac:dyDescent="0.25">
      <c r="A908">
        <f t="shared" si="14"/>
        <v>0</v>
      </c>
      <c r="B908" t="b">
        <f>SUMPRODUCT(LEN('hospitalityq-nil'!C908:D908))&gt;0</f>
        <v>0</v>
      </c>
      <c r="C908">
        <f>B908*('hospitalityq-nil'!C908="")</f>
        <v>0</v>
      </c>
      <c r="D908">
        <f>B908*('hospitalityq-nil'!D908="")</f>
        <v>0</v>
      </c>
    </row>
    <row r="909" spans="1:4" x14ac:dyDescent="0.25">
      <c r="A909">
        <f t="shared" si="14"/>
        <v>0</v>
      </c>
      <c r="B909" t="b">
        <f>SUMPRODUCT(LEN('hospitalityq-nil'!C909:D909))&gt;0</f>
        <v>0</v>
      </c>
      <c r="C909">
        <f>B909*('hospitalityq-nil'!C909="")</f>
        <v>0</v>
      </c>
      <c r="D909">
        <f>B909*('hospitalityq-nil'!D909="")</f>
        <v>0</v>
      </c>
    </row>
    <row r="910" spans="1:4" x14ac:dyDescent="0.25">
      <c r="A910">
        <f t="shared" si="14"/>
        <v>0</v>
      </c>
      <c r="B910" t="b">
        <f>SUMPRODUCT(LEN('hospitalityq-nil'!C910:D910))&gt;0</f>
        <v>0</v>
      </c>
      <c r="C910">
        <f>B910*('hospitalityq-nil'!C910="")</f>
        <v>0</v>
      </c>
      <c r="D910">
        <f>B910*('hospitalityq-nil'!D910="")</f>
        <v>0</v>
      </c>
    </row>
    <row r="911" spans="1:4" x14ac:dyDescent="0.25">
      <c r="A911">
        <f t="shared" si="14"/>
        <v>0</v>
      </c>
      <c r="B911" t="b">
        <f>SUMPRODUCT(LEN('hospitalityq-nil'!C911:D911))&gt;0</f>
        <v>0</v>
      </c>
      <c r="C911">
        <f>B911*('hospitalityq-nil'!C911="")</f>
        <v>0</v>
      </c>
      <c r="D911">
        <f>B911*('hospitalityq-nil'!D911="")</f>
        <v>0</v>
      </c>
    </row>
    <row r="912" spans="1:4" x14ac:dyDescent="0.25">
      <c r="A912">
        <f t="shared" si="14"/>
        <v>0</v>
      </c>
      <c r="B912" t="b">
        <f>SUMPRODUCT(LEN('hospitalityq-nil'!C912:D912))&gt;0</f>
        <v>0</v>
      </c>
      <c r="C912">
        <f>B912*('hospitalityq-nil'!C912="")</f>
        <v>0</v>
      </c>
      <c r="D912">
        <f>B912*('hospitalityq-nil'!D912="")</f>
        <v>0</v>
      </c>
    </row>
    <row r="913" spans="1:4" x14ac:dyDescent="0.25">
      <c r="A913">
        <f t="shared" si="14"/>
        <v>0</v>
      </c>
      <c r="B913" t="b">
        <f>SUMPRODUCT(LEN('hospitalityq-nil'!C913:D913))&gt;0</f>
        <v>0</v>
      </c>
      <c r="C913">
        <f>B913*('hospitalityq-nil'!C913="")</f>
        <v>0</v>
      </c>
      <c r="D913">
        <f>B913*('hospitalityq-nil'!D913="")</f>
        <v>0</v>
      </c>
    </row>
    <row r="914" spans="1:4" x14ac:dyDescent="0.25">
      <c r="A914">
        <f t="shared" si="14"/>
        <v>0</v>
      </c>
      <c r="B914" t="b">
        <f>SUMPRODUCT(LEN('hospitalityq-nil'!C914:D914))&gt;0</f>
        <v>0</v>
      </c>
      <c r="C914">
        <f>B914*('hospitalityq-nil'!C914="")</f>
        <v>0</v>
      </c>
      <c r="D914">
        <f>B914*('hospitalityq-nil'!D914="")</f>
        <v>0</v>
      </c>
    </row>
    <row r="915" spans="1:4" x14ac:dyDescent="0.25">
      <c r="A915">
        <f t="shared" si="14"/>
        <v>0</v>
      </c>
      <c r="B915" t="b">
        <f>SUMPRODUCT(LEN('hospitalityq-nil'!C915:D915))&gt;0</f>
        <v>0</v>
      </c>
      <c r="C915">
        <f>B915*('hospitalityq-nil'!C915="")</f>
        <v>0</v>
      </c>
      <c r="D915">
        <f>B915*('hospitalityq-nil'!D915="")</f>
        <v>0</v>
      </c>
    </row>
    <row r="916" spans="1:4" x14ac:dyDescent="0.25">
      <c r="A916">
        <f t="shared" si="14"/>
        <v>0</v>
      </c>
      <c r="B916" t="b">
        <f>SUMPRODUCT(LEN('hospitalityq-nil'!C916:D916))&gt;0</f>
        <v>0</v>
      </c>
      <c r="C916">
        <f>B916*('hospitalityq-nil'!C916="")</f>
        <v>0</v>
      </c>
      <c r="D916">
        <f>B916*('hospitalityq-nil'!D916="")</f>
        <v>0</v>
      </c>
    </row>
    <row r="917" spans="1:4" x14ac:dyDescent="0.25">
      <c r="A917">
        <f t="shared" si="14"/>
        <v>0</v>
      </c>
      <c r="B917" t="b">
        <f>SUMPRODUCT(LEN('hospitalityq-nil'!C917:D917))&gt;0</f>
        <v>0</v>
      </c>
      <c r="C917">
        <f>B917*('hospitalityq-nil'!C917="")</f>
        <v>0</v>
      </c>
      <c r="D917">
        <f>B917*('hospitalityq-nil'!D917="")</f>
        <v>0</v>
      </c>
    </row>
    <row r="918" spans="1:4" x14ac:dyDescent="0.25">
      <c r="A918">
        <f t="shared" si="14"/>
        <v>0</v>
      </c>
      <c r="B918" t="b">
        <f>SUMPRODUCT(LEN('hospitalityq-nil'!C918:D918))&gt;0</f>
        <v>0</v>
      </c>
      <c r="C918">
        <f>B918*('hospitalityq-nil'!C918="")</f>
        <v>0</v>
      </c>
      <c r="D918">
        <f>B918*('hospitalityq-nil'!D918="")</f>
        <v>0</v>
      </c>
    </row>
    <row r="919" spans="1:4" x14ac:dyDescent="0.25">
      <c r="A919">
        <f t="shared" si="14"/>
        <v>0</v>
      </c>
      <c r="B919" t="b">
        <f>SUMPRODUCT(LEN('hospitalityq-nil'!C919:D919))&gt;0</f>
        <v>0</v>
      </c>
      <c r="C919">
        <f>B919*('hospitalityq-nil'!C919="")</f>
        <v>0</v>
      </c>
      <c r="D919">
        <f>B919*('hospitalityq-nil'!D919="")</f>
        <v>0</v>
      </c>
    </row>
    <row r="920" spans="1:4" x14ac:dyDescent="0.25">
      <c r="A920">
        <f t="shared" si="14"/>
        <v>0</v>
      </c>
      <c r="B920" t="b">
        <f>SUMPRODUCT(LEN('hospitalityq-nil'!C920:D920))&gt;0</f>
        <v>0</v>
      </c>
      <c r="C920">
        <f>B920*('hospitalityq-nil'!C920="")</f>
        <v>0</v>
      </c>
      <c r="D920">
        <f>B920*('hospitalityq-nil'!D920="")</f>
        <v>0</v>
      </c>
    </row>
    <row r="921" spans="1:4" x14ac:dyDescent="0.25">
      <c r="A921">
        <f t="shared" si="14"/>
        <v>0</v>
      </c>
      <c r="B921" t="b">
        <f>SUMPRODUCT(LEN('hospitalityq-nil'!C921:D921))&gt;0</f>
        <v>0</v>
      </c>
      <c r="C921">
        <f>B921*('hospitalityq-nil'!C921="")</f>
        <v>0</v>
      </c>
      <c r="D921">
        <f>B921*('hospitalityq-nil'!D921="")</f>
        <v>0</v>
      </c>
    </row>
    <row r="922" spans="1:4" x14ac:dyDescent="0.25">
      <c r="A922">
        <f t="shared" si="14"/>
        <v>0</v>
      </c>
      <c r="B922" t="b">
        <f>SUMPRODUCT(LEN('hospitalityq-nil'!C922:D922))&gt;0</f>
        <v>0</v>
      </c>
      <c r="C922">
        <f>B922*('hospitalityq-nil'!C922="")</f>
        <v>0</v>
      </c>
      <c r="D922">
        <f>B922*('hospitalityq-nil'!D922="")</f>
        <v>0</v>
      </c>
    </row>
    <row r="923" spans="1:4" x14ac:dyDescent="0.25">
      <c r="A923">
        <f t="shared" si="14"/>
        <v>0</v>
      </c>
      <c r="B923" t="b">
        <f>SUMPRODUCT(LEN('hospitalityq-nil'!C923:D923))&gt;0</f>
        <v>0</v>
      </c>
      <c r="C923">
        <f>B923*('hospitalityq-nil'!C923="")</f>
        <v>0</v>
      </c>
      <c r="D923">
        <f>B923*('hospitalityq-nil'!D923="")</f>
        <v>0</v>
      </c>
    </row>
    <row r="924" spans="1:4" x14ac:dyDescent="0.25">
      <c r="A924">
        <f t="shared" si="14"/>
        <v>0</v>
      </c>
      <c r="B924" t="b">
        <f>SUMPRODUCT(LEN('hospitalityq-nil'!C924:D924))&gt;0</f>
        <v>0</v>
      </c>
      <c r="C924">
        <f>B924*('hospitalityq-nil'!C924="")</f>
        <v>0</v>
      </c>
      <c r="D924">
        <f>B924*('hospitalityq-nil'!D924="")</f>
        <v>0</v>
      </c>
    </row>
    <row r="925" spans="1:4" x14ac:dyDescent="0.25">
      <c r="A925">
        <f t="shared" si="14"/>
        <v>0</v>
      </c>
      <c r="B925" t="b">
        <f>SUMPRODUCT(LEN('hospitalityq-nil'!C925:D925))&gt;0</f>
        <v>0</v>
      </c>
      <c r="C925">
        <f>B925*('hospitalityq-nil'!C925="")</f>
        <v>0</v>
      </c>
      <c r="D925">
        <f>B925*('hospitalityq-nil'!D925="")</f>
        <v>0</v>
      </c>
    </row>
    <row r="926" spans="1:4" x14ac:dyDescent="0.25">
      <c r="A926">
        <f t="shared" si="14"/>
        <v>0</v>
      </c>
      <c r="B926" t="b">
        <f>SUMPRODUCT(LEN('hospitalityq-nil'!C926:D926))&gt;0</f>
        <v>0</v>
      </c>
      <c r="C926">
        <f>B926*('hospitalityq-nil'!C926="")</f>
        <v>0</v>
      </c>
      <c r="D926">
        <f>B926*('hospitalityq-nil'!D926="")</f>
        <v>0</v>
      </c>
    </row>
    <row r="927" spans="1:4" x14ac:dyDescent="0.25">
      <c r="A927">
        <f t="shared" si="14"/>
        <v>0</v>
      </c>
      <c r="B927" t="b">
        <f>SUMPRODUCT(LEN('hospitalityq-nil'!C927:D927))&gt;0</f>
        <v>0</v>
      </c>
      <c r="C927">
        <f>B927*('hospitalityq-nil'!C927="")</f>
        <v>0</v>
      </c>
      <c r="D927">
        <f>B927*('hospitalityq-nil'!D927="")</f>
        <v>0</v>
      </c>
    </row>
    <row r="928" spans="1:4" x14ac:dyDescent="0.25">
      <c r="A928">
        <f t="shared" si="14"/>
        <v>0</v>
      </c>
      <c r="B928" t="b">
        <f>SUMPRODUCT(LEN('hospitalityq-nil'!C928:D928))&gt;0</f>
        <v>0</v>
      </c>
      <c r="C928">
        <f>B928*('hospitalityq-nil'!C928="")</f>
        <v>0</v>
      </c>
      <c r="D928">
        <f>B928*('hospitalityq-nil'!D928="")</f>
        <v>0</v>
      </c>
    </row>
    <row r="929" spans="1:4" x14ac:dyDescent="0.25">
      <c r="A929">
        <f t="shared" si="14"/>
        <v>0</v>
      </c>
      <c r="B929" t="b">
        <f>SUMPRODUCT(LEN('hospitalityq-nil'!C929:D929))&gt;0</f>
        <v>0</v>
      </c>
      <c r="C929">
        <f>B929*('hospitalityq-nil'!C929="")</f>
        <v>0</v>
      </c>
      <c r="D929">
        <f>B929*('hospitalityq-nil'!D929="")</f>
        <v>0</v>
      </c>
    </row>
    <row r="930" spans="1:4" x14ac:dyDescent="0.25">
      <c r="A930">
        <f t="shared" si="14"/>
        <v>0</v>
      </c>
      <c r="B930" t="b">
        <f>SUMPRODUCT(LEN('hospitalityq-nil'!C930:D930))&gt;0</f>
        <v>0</v>
      </c>
      <c r="C930">
        <f>B930*('hospitalityq-nil'!C930="")</f>
        <v>0</v>
      </c>
      <c r="D930">
        <f>B930*('hospitalityq-nil'!D930="")</f>
        <v>0</v>
      </c>
    </row>
    <row r="931" spans="1:4" x14ac:dyDescent="0.25">
      <c r="A931">
        <f t="shared" si="14"/>
        <v>0</v>
      </c>
      <c r="B931" t="b">
        <f>SUMPRODUCT(LEN('hospitalityq-nil'!C931:D931))&gt;0</f>
        <v>0</v>
      </c>
      <c r="C931">
        <f>B931*('hospitalityq-nil'!C931="")</f>
        <v>0</v>
      </c>
      <c r="D931">
        <f>B931*('hospitalityq-nil'!D931="")</f>
        <v>0</v>
      </c>
    </row>
    <row r="932" spans="1:4" x14ac:dyDescent="0.25">
      <c r="A932">
        <f t="shared" si="14"/>
        <v>0</v>
      </c>
      <c r="B932" t="b">
        <f>SUMPRODUCT(LEN('hospitalityq-nil'!C932:D932))&gt;0</f>
        <v>0</v>
      </c>
      <c r="C932">
        <f>B932*('hospitalityq-nil'!C932="")</f>
        <v>0</v>
      </c>
      <c r="D932">
        <f>B932*('hospitalityq-nil'!D932="")</f>
        <v>0</v>
      </c>
    </row>
    <row r="933" spans="1:4" x14ac:dyDescent="0.25">
      <c r="A933">
        <f t="shared" si="14"/>
        <v>0</v>
      </c>
      <c r="B933" t="b">
        <f>SUMPRODUCT(LEN('hospitalityq-nil'!C933:D933))&gt;0</f>
        <v>0</v>
      </c>
      <c r="C933">
        <f>B933*('hospitalityq-nil'!C933="")</f>
        <v>0</v>
      </c>
      <c r="D933">
        <f>B933*('hospitalityq-nil'!D933="")</f>
        <v>0</v>
      </c>
    </row>
    <row r="934" spans="1:4" x14ac:dyDescent="0.25">
      <c r="A934">
        <f t="shared" si="14"/>
        <v>0</v>
      </c>
      <c r="B934" t="b">
        <f>SUMPRODUCT(LEN('hospitalityq-nil'!C934:D934))&gt;0</f>
        <v>0</v>
      </c>
      <c r="C934">
        <f>B934*('hospitalityq-nil'!C934="")</f>
        <v>0</v>
      </c>
      <c r="D934">
        <f>B934*('hospitalityq-nil'!D934="")</f>
        <v>0</v>
      </c>
    </row>
    <row r="935" spans="1:4" x14ac:dyDescent="0.25">
      <c r="A935">
        <f t="shared" si="14"/>
        <v>0</v>
      </c>
      <c r="B935" t="b">
        <f>SUMPRODUCT(LEN('hospitalityq-nil'!C935:D935))&gt;0</f>
        <v>0</v>
      </c>
      <c r="C935">
        <f>B935*('hospitalityq-nil'!C935="")</f>
        <v>0</v>
      </c>
      <c r="D935">
        <f>B935*('hospitalityq-nil'!D935="")</f>
        <v>0</v>
      </c>
    </row>
    <row r="936" spans="1:4" x14ac:dyDescent="0.25">
      <c r="A936">
        <f t="shared" si="14"/>
        <v>0</v>
      </c>
      <c r="B936" t="b">
        <f>SUMPRODUCT(LEN('hospitalityq-nil'!C936:D936))&gt;0</f>
        <v>0</v>
      </c>
      <c r="C936">
        <f>B936*('hospitalityq-nil'!C936="")</f>
        <v>0</v>
      </c>
      <c r="D936">
        <f>B936*('hospitalityq-nil'!D936="")</f>
        <v>0</v>
      </c>
    </row>
    <row r="937" spans="1:4" x14ac:dyDescent="0.25">
      <c r="A937">
        <f t="shared" si="14"/>
        <v>0</v>
      </c>
      <c r="B937" t="b">
        <f>SUMPRODUCT(LEN('hospitalityq-nil'!C937:D937))&gt;0</f>
        <v>0</v>
      </c>
      <c r="C937">
        <f>B937*('hospitalityq-nil'!C937="")</f>
        <v>0</v>
      </c>
      <c r="D937">
        <f>B937*('hospitalityq-nil'!D937="")</f>
        <v>0</v>
      </c>
    </row>
    <row r="938" spans="1:4" x14ac:dyDescent="0.25">
      <c r="A938">
        <f t="shared" si="14"/>
        <v>0</v>
      </c>
      <c r="B938" t="b">
        <f>SUMPRODUCT(LEN('hospitalityq-nil'!C938:D938))&gt;0</f>
        <v>0</v>
      </c>
      <c r="C938">
        <f>B938*('hospitalityq-nil'!C938="")</f>
        <v>0</v>
      </c>
      <c r="D938">
        <f>B938*('hospitalityq-nil'!D938="")</f>
        <v>0</v>
      </c>
    </row>
    <row r="939" spans="1:4" x14ac:dyDescent="0.25">
      <c r="A939">
        <f t="shared" si="14"/>
        <v>0</v>
      </c>
      <c r="B939" t="b">
        <f>SUMPRODUCT(LEN('hospitalityq-nil'!C939:D939))&gt;0</f>
        <v>0</v>
      </c>
      <c r="C939">
        <f>B939*('hospitalityq-nil'!C939="")</f>
        <v>0</v>
      </c>
      <c r="D939">
        <f>B939*('hospitalityq-nil'!D939="")</f>
        <v>0</v>
      </c>
    </row>
    <row r="940" spans="1:4" x14ac:dyDescent="0.25">
      <c r="A940">
        <f t="shared" si="14"/>
        <v>0</v>
      </c>
      <c r="B940" t="b">
        <f>SUMPRODUCT(LEN('hospitalityq-nil'!C940:D940))&gt;0</f>
        <v>0</v>
      </c>
      <c r="C940">
        <f>B940*('hospitalityq-nil'!C940="")</f>
        <v>0</v>
      </c>
      <c r="D940">
        <f>B940*('hospitalityq-nil'!D940="")</f>
        <v>0</v>
      </c>
    </row>
    <row r="941" spans="1:4" x14ac:dyDescent="0.25">
      <c r="A941">
        <f t="shared" si="14"/>
        <v>0</v>
      </c>
      <c r="B941" t="b">
        <f>SUMPRODUCT(LEN('hospitalityq-nil'!C941:D941))&gt;0</f>
        <v>0</v>
      </c>
      <c r="C941">
        <f>B941*('hospitalityq-nil'!C941="")</f>
        <v>0</v>
      </c>
      <c r="D941">
        <f>B941*('hospitalityq-nil'!D941="")</f>
        <v>0</v>
      </c>
    </row>
    <row r="942" spans="1:4" x14ac:dyDescent="0.25">
      <c r="A942">
        <f t="shared" si="14"/>
        <v>0</v>
      </c>
      <c r="B942" t="b">
        <f>SUMPRODUCT(LEN('hospitalityq-nil'!C942:D942))&gt;0</f>
        <v>0</v>
      </c>
      <c r="C942">
        <f>B942*('hospitalityq-nil'!C942="")</f>
        <v>0</v>
      </c>
      <c r="D942">
        <f>B942*('hospitalityq-nil'!D942="")</f>
        <v>0</v>
      </c>
    </row>
    <row r="943" spans="1:4" x14ac:dyDescent="0.25">
      <c r="A943">
        <f t="shared" si="14"/>
        <v>0</v>
      </c>
      <c r="B943" t="b">
        <f>SUMPRODUCT(LEN('hospitalityq-nil'!C943:D943))&gt;0</f>
        <v>0</v>
      </c>
      <c r="C943">
        <f>B943*('hospitalityq-nil'!C943="")</f>
        <v>0</v>
      </c>
      <c r="D943">
        <f>B943*('hospitalityq-nil'!D943="")</f>
        <v>0</v>
      </c>
    </row>
    <row r="944" spans="1:4" x14ac:dyDescent="0.25">
      <c r="A944">
        <f t="shared" si="14"/>
        <v>0</v>
      </c>
      <c r="B944" t="b">
        <f>SUMPRODUCT(LEN('hospitalityq-nil'!C944:D944))&gt;0</f>
        <v>0</v>
      </c>
      <c r="C944">
        <f>B944*('hospitalityq-nil'!C944="")</f>
        <v>0</v>
      </c>
      <c r="D944">
        <f>B944*('hospitalityq-nil'!D944="")</f>
        <v>0</v>
      </c>
    </row>
    <row r="945" spans="1:4" x14ac:dyDescent="0.25">
      <c r="A945">
        <f t="shared" si="14"/>
        <v>0</v>
      </c>
      <c r="B945" t="b">
        <f>SUMPRODUCT(LEN('hospitalityq-nil'!C945:D945))&gt;0</f>
        <v>0</v>
      </c>
      <c r="C945">
        <f>B945*('hospitalityq-nil'!C945="")</f>
        <v>0</v>
      </c>
      <c r="D945">
        <f>B945*('hospitalityq-nil'!D945="")</f>
        <v>0</v>
      </c>
    </row>
    <row r="946" spans="1:4" x14ac:dyDescent="0.25">
      <c r="A946">
        <f t="shared" si="14"/>
        <v>0</v>
      </c>
      <c r="B946" t="b">
        <f>SUMPRODUCT(LEN('hospitalityq-nil'!C946:D946))&gt;0</f>
        <v>0</v>
      </c>
      <c r="C946">
        <f>B946*('hospitalityq-nil'!C946="")</f>
        <v>0</v>
      </c>
      <c r="D946">
        <f>B946*('hospitalityq-nil'!D946="")</f>
        <v>0</v>
      </c>
    </row>
    <row r="947" spans="1:4" x14ac:dyDescent="0.25">
      <c r="A947">
        <f t="shared" si="14"/>
        <v>0</v>
      </c>
      <c r="B947" t="b">
        <f>SUMPRODUCT(LEN('hospitalityq-nil'!C947:D947))&gt;0</f>
        <v>0</v>
      </c>
      <c r="C947">
        <f>B947*('hospitalityq-nil'!C947="")</f>
        <v>0</v>
      </c>
      <c r="D947">
        <f>B947*('hospitalityq-nil'!D947="")</f>
        <v>0</v>
      </c>
    </row>
    <row r="948" spans="1:4" x14ac:dyDescent="0.25">
      <c r="A948">
        <f t="shared" si="14"/>
        <v>0</v>
      </c>
      <c r="B948" t="b">
        <f>SUMPRODUCT(LEN('hospitalityq-nil'!C948:D948))&gt;0</f>
        <v>0</v>
      </c>
      <c r="C948">
        <f>B948*('hospitalityq-nil'!C948="")</f>
        <v>0</v>
      </c>
      <c r="D948">
        <f>B948*('hospitalityq-nil'!D948="")</f>
        <v>0</v>
      </c>
    </row>
    <row r="949" spans="1:4" x14ac:dyDescent="0.25">
      <c r="A949">
        <f t="shared" si="14"/>
        <v>0</v>
      </c>
      <c r="B949" t="b">
        <f>SUMPRODUCT(LEN('hospitalityq-nil'!C949:D949))&gt;0</f>
        <v>0</v>
      </c>
      <c r="C949">
        <f>B949*('hospitalityq-nil'!C949="")</f>
        <v>0</v>
      </c>
      <c r="D949">
        <f>B949*('hospitalityq-nil'!D949="")</f>
        <v>0</v>
      </c>
    </row>
    <row r="950" spans="1:4" x14ac:dyDescent="0.25">
      <c r="A950">
        <f t="shared" si="14"/>
        <v>0</v>
      </c>
      <c r="B950" t="b">
        <f>SUMPRODUCT(LEN('hospitalityq-nil'!C950:D950))&gt;0</f>
        <v>0</v>
      </c>
      <c r="C950">
        <f>B950*('hospitalityq-nil'!C950="")</f>
        <v>0</v>
      </c>
      <c r="D950">
        <f>B950*('hospitalityq-nil'!D950="")</f>
        <v>0</v>
      </c>
    </row>
    <row r="951" spans="1:4" x14ac:dyDescent="0.25">
      <c r="A951">
        <f t="shared" si="14"/>
        <v>0</v>
      </c>
      <c r="B951" t="b">
        <f>SUMPRODUCT(LEN('hospitalityq-nil'!C951:D951))&gt;0</f>
        <v>0</v>
      </c>
      <c r="C951">
        <f>B951*('hospitalityq-nil'!C951="")</f>
        <v>0</v>
      </c>
      <c r="D951">
        <f>B951*('hospitalityq-nil'!D951="")</f>
        <v>0</v>
      </c>
    </row>
    <row r="952" spans="1:4" x14ac:dyDescent="0.25">
      <c r="A952">
        <f t="shared" si="14"/>
        <v>0</v>
      </c>
      <c r="B952" t="b">
        <f>SUMPRODUCT(LEN('hospitalityq-nil'!C952:D952))&gt;0</f>
        <v>0</v>
      </c>
      <c r="C952">
        <f>B952*('hospitalityq-nil'!C952="")</f>
        <v>0</v>
      </c>
      <c r="D952">
        <f>B952*('hospitalityq-nil'!D952="")</f>
        <v>0</v>
      </c>
    </row>
    <row r="953" spans="1:4" x14ac:dyDescent="0.25">
      <c r="A953">
        <f t="shared" si="14"/>
        <v>0</v>
      </c>
      <c r="B953" t="b">
        <f>SUMPRODUCT(LEN('hospitalityq-nil'!C953:D953))&gt;0</f>
        <v>0</v>
      </c>
      <c r="C953">
        <f>B953*('hospitalityq-nil'!C953="")</f>
        <v>0</v>
      </c>
      <c r="D953">
        <f>B953*('hospitalityq-nil'!D953="")</f>
        <v>0</v>
      </c>
    </row>
    <row r="954" spans="1:4" x14ac:dyDescent="0.25">
      <c r="A954">
        <f t="shared" si="14"/>
        <v>0</v>
      </c>
      <c r="B954" t="b">
        <f>SUMPRODUCT(LEN('hospitalityq-nil'!C954:D954))&gt;0</f>
        <v>0</v>
      </c>
      <c r="C954">
        <f>B954*('hospitalityq-nil'!C954="")</f>
        <v>0</v>
      </c>
      <c r="D954">
        <f>B954*('hospitalityq-nil'!D954="")</f>
        <v>0</v>
      </c>
    </row>
    <row r="955" spans="1:4" x14ac:dyDescent="0.25">
      <c r="A955">
        <f t="shared" si="14"/>
        <v>0</v>
      </c>
      <c r="B955" t="b">
        <f>SUMPRODUCT(LEN('hospitalityq-nil'!C955:D955))&gt;0</f>
        <v>0</v>
      </c>
      <c r="C955">
        <f>B955*('hospitalityq-nil'!C955="")</f>
        <v>0</v>
      </c>
      <c r="D955">
        <f>B955*('hospitalityq-nil'!D955="")</f>
        <v>0</v>
      </c>
    </row>
    <row r="956" spans="1:4" x14ac:dyDescent="0.25">
      <c r="A956">
        <f t="shared" si="14"/>
        <v>0</v>
      </c>
      <c r="B956" t="b">
        <f>SUMPRODUCT(LEN('hospitalityq-nil'!C956:D956))&gt;0</f>
        <v>0</v>
      </c>
      <c r="C956">
        <f>B956*('hospitalityq-nil'!C956="")</f>
        <v>0</v>
      </c>
      <c r="D956">
        <f>B956*('hospitalityq-nil'!D956="")</f>
        <v>0</v>
      </c>
    </row>
    <row r="957" spans="1:4" x14ac:dyDescent="0.25">
      <c r="A957">
        <f t="shared" si="14"/>
        <v>0</v>
      </c>
      <c r="B957" t="b">
        <f>SUMPRODUCT(LEN('hospitalityq-nil'!C957:D957))&gt;0</f>
        <v>0</v>
      </c>
      <c r="C957">
        <f>B957*('hospitalityq-nil'!C957="")</f>
        <v>0</v>
      </c>
      <c r="D957">
        <f>B957*('hospitalityq-nil'!D957="")</f>
        <v>0</v>
      </c>
    </row>
    <row r="958" spans="1:4" x14ac:dyDescent="0.25">
      <c r="A958">
        <f t="shared" si="14"/>
        <v>0</v>
      </c>
      <c r="B958" t="b">
        <f>SUMPRODUCT(LEN('hospitalityq-nil'!C958:D958))&gt;0</f>
        <v>0</v>
      </c>
      <c r="C958">
        <f>B958*('hospitalityq-nil'!C958="")</f>
        <v>0</v>
      </c>
      <c r="D958">
        <f>B958*('hospitalityq-nil'!D958="")</f>
        <v>0</v>
      </c>
    </row>
    <row r="959" spans="1:4" x14ac:dyDescent="0.25">
      <c r="A959">
        <f t="shared" si="14"/>
        <v>0</v>
      </c>
      <c r="B959" t="b">
        <f>SUMPRODUCT(LEN('hospitalityq-nil'!C959:D959))&gt;0</f>
        <v>0</v>
      </c>
      <c r="C959">
        <f>B959*('hospitalityq-nil'!C959="")</f>
        <v>0</v>
      </c>
      <c r="D959">
        <f>B959*('hospitalityq-nil'!D959="")</f>
        <v>0</v>
      </c>
    </row>
    <row r="960" spans="1:4" x14ac:dyDescent="0.25">
      <c r="A960">
        <f t="shared" si="14"/>
        <v>0</v>
      </c>
      <c r="B960" t="b">
        <f>SUMPRODUCT(LEN('hospitalityq-nil'!C960:D960))&gt;0</f>
        <v>0</v>
      </c>
      <c r="C960">
        <f>B960*('hospitalityq-nil'!C960="")</f>
        <v>0</v>
      </c>
      <c r="D960">
        <f>B960*('hospitalityq-nil'!D960="")</f>
        <v>0</v>
      </c>
    </row>
    <row r="961" spans="1:4" x14ac:dyDescent="0.25">
      <c r="A961">
        <f t="shared" si="14"/>
        <v>0</v>
      </c>
      <c r="B961" t="b">
        <f>SUMPRODUCT(LEN('hospitalityq-nil'!C961:D961))&gt;0</f>
        <v>0</v>
      </c>
      <c r="C961">
        <f>B961*('hospitalityq-nil'!C961="")</f>
        <v>0</v>
      </c>
      <c r="D961">
        <f>B961*('hospitalityq-nil'!D961="")</f>
        <v>0</v>
      </c>
    </row>
    <row r="962" spans="1:4" x14ac:dyDescent="0.25">
      <c r="A962">
        <f t="shared" si="14"/>
        <v>0</v>
      </c>
      <c r="B962" t="b">
        <f>SUMPRODUCT(LEN('hospitalityq-nil'!C962:D962))&gt;0</f>
        <v>0</v>
      </c>
      <c r="C962">
        <f>B962*('hospitalityq-nil'!C962="")</f>
        <v>0</v>
      </c>
      <c r="D962">
        <f>B962*('hospitalityq-nil'!D962="")</f>
        <v>0</v>
      </c>
    </row>
    <row r="963" spans="1:4" x14ac:dyDescent="0.25">
      <c r="A963">
        <f t="shared" si="14"/>
        <v>0</v>
      </c>
      <c r="B963" t="b">
        <f>SUMPRODUCT(LEN('hospitalityq-nil'!C963:D963))&gt;0</f>
        <v>0</v>
      </c>
      <c r="C963">
        <f>B963*('hospitalityq-nil'!C963="")</f>
        <v>0</v>
      </c>
      <c r="D963">
        <f>B963*('hospitalityq-nil'!D963="")</f>
        <v>0</v>
      </c>
    </row>
    <row r="964" spans="1:4" x14ac:dyDescent="0.25">
      <c r="A964">
        <f t="shared" si="14"/>
        <v>0</v>
      </c>
      <c r="B964" t="b">
        <f>SUMPRODUCT(LEN('hospitalityq-nil'!C964:D964))&gt;0</f>
        <v>0</v>
      </c>
      <c r="C964">
        <f>B964*('hospitalityq-nil'!C964="")</f>
        <v>0</v>
      </c>
      <c r="D964">
        <f>B964*('hospitalityq-nil'!D964="")</f>
        <v>0</v>
      </c>
    </row>
    <row r="965" spans="1:4" x14ac:dyDescent="0.25">
      <c r="A965">
        <f t="shared" si="14"/>
        <v>0</v>
      </c>
      <c r="B965" t="b">
        <f>SUMPRODUCT(LEN('hospitalityq-nil'!C965:D965))&gt;0</f>
        <v>0</v>
      </c>
      <c r="C965">
        <f>B965*('hospitalityq-nil'!C965="")</f>
        <v>0</v>
      </c>
      <c r="D965">
        <f>B965*('hospitalityq-nil'!D965="")</f>
        <v>0</v>
      </c>
    </row>
    <row r="966" spans="1:4" x14ac:dyDescent="0.25">
      <c r="A966">
        <f t="shared" ref="A966:A1029" si="15">IFERROR(MATCH(TRUE,INDEX(C966:D966&lt;&gt;0,),)+2,0)</f>
        <v>0</v>
      </c>
      <c r="B966" t="b">
        <f>SUMPRODUCT(LEN('hospitalityq-nil'!C966:D966))&gt;0</f>
        <v>0</v>
      </c>
      <c r="C966">
        <f>B966*('hospitalityq-nil'!C966="")</f>
        <v>0</v>
      </c>
      <c r="D966">
        <f>B966*('hospitalityq-nil'!D966="")</f>
        <v>0</v>
      </c>
    </row>
    <row r="967" spans="1:4" x14ac:dyDescent="0.25">
      <c r="A967">
        <f t="shared" si="15"/>
        <v>0</v>
      </c>
      <c r="B967" t="b">
        <f>SUMPRODUCT(LEN('hospitalityq-nil'!C967:D967))&gt;0</f>
        <v>0</v>
      </c>
      <c r="C967">
        <f>B967*('hospitalityq-nil'!C967="")</f>
        <v>0</v>
      </c>
      <c r="D967">
        <f>B967*('hospitalityq-nil'!D967="")</f>
        <v>0</v>
      </c>
    </row>
    <row r="968" spans="1:4" x14ac:dyDescent="0.25">
      <c r="A968">
        <f t="shared" si="15"/>
        <v>0</v>
      </c>
      <c r="B968" t="b">
        <f>SUMPRODUCT(LEN('hospitalityq-nil'!C968:D968))&gt;0</f>
        <v>0</v>
      </c>
      <c r="C968">
        <f>B968*('hospitalityq-nil'!C968="")</f>
        <v>0</v>
      </c>
      <c r="D968">
        <f>B968*('hospitalityq-nil'!D968="")</f>
        <v>0</v>
      </c>
    </row>
    <row r="969" spans="1:4" x14ac:dyDescent="0.25">
      <c r="A969">
        <f t="shared" si="15"/>
        <v>0</v>
      </c>
      <c r="B969" t="b">
        <f>SUMPRODUCT(LEN('hospitalityq-nil'!C969:D969))&gt;0</f>
        <v>0</v>
      </c>
      <c r="C969">
        <f>B969*('hospitalityq-nil'!C969="")</f>
        <v>0</v>
      </c>
      <c r="D969">
        <f>B969*('hospitalityq-nil'!D969="")</f>
        <v>0</v>
      </c>
    </row>
    <row r="970" spans="1:4" x14ac:dyDescent="0.25">
      <c r="A970">
        <f t="shared" si="15"/>
        <v>0</v>
      </c>
      <c r="B970" t="b">
        <f>SUMPRODUCT(LEN('hospitalityq-nil'!C970:D970))&gt;0</f>
        <v>0</v>
      </c>
      <c r="C970">
        <f>B970*('hospitalityq-nil'!C970="")</f>
        <v>0</v>
      </c>
      <c r="D970">
        <f>B970*('hospitalityq-nil'!D970="")</f>
        <v>0</v>
      </c>
    </row>
    <row r="971" spans="1:4" x14ac:dyDescent="0.25">
      <c r="A971">
        <f t="shared" si="15"/>
        <v>0</v>
      </c>
      <c r="B971" t="b">
        <f>SUMPRODUCT(LEN('hospitalityq-nil'!C971:D971))&gt;0</f>
        <v>0</v>
      </c>
      <c r="C971">
        <f>B971*('hospitalityq-nil'!C971="")</f>
        <v>0</v>
      </c>
      <c r="D971">
        <f>B971*('hospitalityq-nil'!D971="")</f>
        <v>0</v>
      </c>
    </row>
    <row r="972" spans="1:4" x14ac:dyDescent="0.25">
      <c r="A972">
        <f t="shared" si="15"/>
        <v>0</v>
      </c>
      <c r="B972" t="b">
        <f>SUMPRODUCT(LEN('hospitalityq-nil'!C972:D972))&gt;0</f>
        <v>0</v>
      </c>
      <c r="C972">
        <f>B972*('hospitalityq-nil'!C972="")</f>
        <v>0</v>
      </c>
      <c r="D972">
        <f>B972*('hospitalityq-nil'!D972="")</f>
        <v>0</v>
      </c>
    </row>
    <row r="973" spans="1:4" x14ac:dyDescent="0.25">
      <c r="A973">
        <f t="shared" si="15"/>
        <v>0</v>
      </c>
      <c r="B973" t="b">
        <f>SUMPRODUCT(LEN('hospitalityq-nil'!C973:D973))&gt;0</f>
        <v>0</v>
      </c>
      <c r="C973">
        <f>B973*('hospitalityq-nil'!C973="")</f>
        <v>0</v>
      </c>
      <c r="D973">
        <f>B973*('hospitalityq-nil'!D973="")</f>
        <v>0</v>
      </c>
    </row>
    <row r="974" spans="1:4" x14ac:dyDescent="0.25">
      <c r="A974">
        <f t="shared" si="15"/>
        <v>0</v>
      </c>
      <c r="B974" t="b">
        <f>SUMPRODUCT(LEN('hospitalityq-nil'!C974:D974))&gt;0</f>
        <v>0</v>
      </c>
      <c r="C974">
        <f>B974*('hospitalityq-nil'!C974="")</f>
        <v>0</v>
      </c>
      <c r="D974">
        <f>B974*('hospitalityq-nil'!D974="")</f>
        <v>0</v>
      </c>
    </row>
    <row r="975" spans="1:4" x14ac:dyDescent="0.25">
      <c r="A975">
        <f t="shared" si="15"/>
        <v>0</v>
      </c>
      <c r="B975" t="b">
        <f>SUMPRODUCT(LEN('hospitalityq-nil'!C975:D975))&gt;0</f>
        <v>0</v>
      </c>
      <c r="C975">
        <f>B975*('hospitalityq-nil'!C975="")</f>
        <v>0</v>
      </c>
      <c r="D975">
        <f>B975*('hospitalityq-nil'!D975="")</f>
        <v>0</v>
      </c>
    </row>
    <row r="976" spans="1:4" x14ac:dyDescent="0.25">
      <c r="A976">
        <f t="shared" si="15"/>
        <v>0</v>
      </c>
      <c r="B976" t="b">
        <f>SUMPRODUCT(LEN('hospitalityq-nil'!C976:D976))&gt;0</f>
        <v>0</v>
      </c>
      <c r="C976">
        <f>B976*('hospitalityq-nil'!C976="")</f>
        <v>0</v>
      </c>
      <c r="D976">
        <f>B976*('hospitalityq-nil'!D976="")</f>
        <v>0</v>
      </c>
    </row>
    <row r="977" spans="1:4" x14ac:dyDescent="0.25">
      <c r="A977">
        <f t="shared" si="15"/>
        <v>0</v>
      </c>
      <c r="B977" t="b">
        <f>SUMPRODUCT(LEN('hospitalityq-nil'!C977:D977))&gt;0</f>
        <v>0</v>
      </c>
      <c r="C977">
        <f>B977*('hospitalityq-nil'!C977="")</f>
        <v>0</v>
      </c>
      <c r="D977">
        <f>B977*('hospitalityq-nil'!D977="")</f>
        <v>0</v>
      </c>
    </row>
    <row r="978" spans="1:4" x14ac:dyDescent="0.25">
      <c r="A978">
        <f t="shared" si="15"/>
        <v>0</v>
      </c>
      <c r="B978" t="b">
        <f>SUMPRODUCT(LEN('hospitalityq-nil'!C978:D978))&gt;0</f>
        <v>0</v>
      </c>
      <c r="C978">
        <f>B978*('hospitalityq-nil'!C978="")</f>
        <v>0</v>
      </c>
      <c r="D978">
        <f>B978*('hospitalityq-nil'!D978="")</f>
        <v>0</v>
      </c>
    </row>
    <row r="979" spans="1:4" x14ac:dyDescent="0.25">
      <c r="A979">
        <f t="shared" si="15"/>
        <v>0</v>
      </c>
      <c r="B979" t="b">
        <f>SUMPRODUCT(LEN('hospitalityq-nil'!C979:D979))&gt;0</f>
        <v>0</v>
      </c>
      <c r="C979">
        <f>B979*('hospitalityq-nil'!C979="")</f>
        <v>0</v>
      </c>
      <c r="D979">
        <f>B979*('hospitalityq-nil'!D979="")</f>
        <v>0</v>
      </c>
    </row>
    <row r="980" spans="1:4" x14ac:dyDescent="0.25">
      <c r="A980">
        <f t="shared" si="15"/>
        <v>0</v>
      </c>
      <c r="B980" t="b">
        <f>SUMPRODUCT(LEN('hospitalityq-nil'!C980:D980))&gt;0</f>
        <v>0</v>
      </c>
      <c r="C980">
        <f>B980*('hospitalityq-nil'!C980="")</f>
        <v>0</v>
      </c>
      <c r="D980">
        <f>B980*('hospitalityq-nil'!D980="")</f>
        <v>0</v>
      </c>
    </row>
    <row r="981" spans="1:4" x14ac:dyDescent="0.25">
      <c r="A981">
        <f t="shared" si="15"/>
        <v>0</v>
      </c>
      <c r="B981" t="b">
        <f>SUMPRODUCT(LEN('hospitalityq-nil'!C981:D981))&gt;0</f>
        <v>0</v>
      </c>
      <c r="C981">
        <f>B981*('hospitalityq-nil'!C981="")</f>
        <v>0</v>
      </c>
      <c r="D981">
        <f>B981*('hospitalityq-nil'!D981="")</f>
        <v>0</v>
      </c>
    </row>
    <row r="982" spans="1:4" x14ac:dyDescent="0.25">
      <c r="A982">
        <f t="shared" si="15"/>
        <v>0</v>
      </c>
      <c r="B982" t="b">
        <f>SUMPRODUCT(LEN('hospitalityq-nil'!C982:D982))&gt;0</f>
        <v>0</v>
      </c>
      <c r="C982">
        <f>B982*('hospitalityq-nil'!C982="")</f>
        <v>0</v>
      </c>
      <c r="D982">
        <f>B982*('hospitalityq-nil'!D982="")</f>
        <v>0</v>
      </c>
    </row>
    <row r="983" spans="1:4" x14ac:dyDescent="0.25">
      <c r="A983">
        <f t="shared" si="15"/>
        <v>0</v>
      </c>
      <c r="B983" t="b">
        <f>SUMPRODUCT(LEN('hospitalityq-nil'!C983:D983))&gt;0</f>
        <v>0</v>
      </c>
      <c r="C983">
        <f>B983*('hospitalityq-nil'!C983="")</f>
        <v>0</v>
      </c>
      <c r="D983">
        <f>B983*('hospitalityq-nil'!D983="")</f>
        <v>0</v>
      </c>
    </row>
    <row r="984" spans="1:4" x14ac:dyDescent="0.25">
      <c r="A984">
        <f t="shared" si="15"/>
        <v>0</v>
      </c>
      <c r="B984" t="b">
        <f>SUMPRODUCT(LEN('hospitalityq-nil'!C984:D984))&gt;0</f>
        <v>0</v>
      </c>
      <c r="C984">
        <f>B984*('hospitalityq-nil'!C984="")</f>
        <v>0</v>
      </c>
      <c r="D984">
        <f>B984*('hospitalityq-nil'!D984="")</f>
        <v>0</v>
      </c>
    </row>
    <row r="985" spans="1:4" x14ac:dyDescent="0.25">
      <c r="A985">
        <f t="shared" si="15"/>
        <v>0</v>
      </c>
      <c r="B985" t="b">
        <f>SUMPRODUCT(LEN('hospitalityq-nil'!C985:D985))&gt;0</f>
        <v>0</v>
      </c>
      <c r="C985">
        <f>B985*('hospitalityq-nil'!C985="")</f>
        <v>0</v>
      </c>
      <c r="D985">
        <f>B985*('hospitalityq-nil'!D985="")</f>
        <v>0</v>
      </c>
    </row>
    <row r="986" spans="1:4" x14ac:dyDescent="0.25">
      <c r="A986">
        <f t="shared" si="15"/>
        <v>0</v>
      </c>
      <c r="B986" t="b">
        <f>SUMPRODUCT(LEN('hospitalityq-nil'!C986:D986))&gt;0</f>
        <v>0</v>
      </c>
      <c r="C986">
        <f>B986*('hospitalityq-nil'!C986="")</f>
        <v>0</v>
      </c>
      <c r="D986">
        <f>B986*('hospitalityq-nil'!D986="")</f>
        <v>0</v>
      </c>
    </row>
    <row r="987" spans="1:4" x14ac:dyDescent="0.25">
      <c r="A987">
        <f t="shared" si="15"/>
        <v>0</v>
      </c>
      <c r="B987" t="b">
        <f>SUMPRODUCT(LEN('hospitalityq-nil'!C987:D987))&gt;0</f>
        <v>0</v>
      </c>
      <c r="C987">
        <f>B987*('hospitalityq-nil'!C987="")</f>
        <v>0</v>
      </c>
      <c r="D987">
        <f>B987*('hospitalityq-nil'!D987="")</f>
        <v>0</v>
      </c>
    </row>
    <row r="988" spans="1:4" x14ac:dyDescent="0.25">
      <c r="A988">
        <f t="shared" si="15"/>
        <v>0</v>
      </c>
      <c r="B988" t="b">
        <f>SUMPRODUCT(LEN('hospitalityq-nil'!C988:D988))&gt;0</f>
        <v>0</v>
      </c>
      <c r="C988">
        <f>B988*('hospitalityq-nil'!C988="")</f>
        <v>0</v>
      </c>
      <c r="D988">
        <f>B988*('hospitalityq-nil'!D988="")</f>
        <v>0</v>
      </c>
    </row>
    <row r="989" spans="1:4" x14ac:dyDescent="0.25">
      <c r="A989">
        <f t="shared" si="15"/>
        <v>0</v>
      </c>
      <c r="B989" t="b">
        <f>SUMPRODUCT(LEN('hospitalityq-nil'!C989:D989))&gt;0</f>
        <v>0</v>
      </c>
      <c r="C989">
        <f>B989*('hospitalityq-nil'!C989="")</f>
        <v>0</v>
      </c>
      <c r="D989">
        <f>B989*('hospitalityq-nil'!D989="")</f>
        <v>0</v>
      </c>
    </row>
    <row r="990" spans="1:4" x14ac:dyDescent="0.25">
      <c r="A990">
        <f t="shared" si="15"/>
        <v>0</v>
      </c>
      <c r="B990" t="b">
        <f>SUMPRODUCT(LEN('hospitalityq-nil'!C990:D990))&gt;0</f>
        <v>0</v>
      </c>
      <c r="C990">
        <f>B990*('hospitalityq-nil'!C990="")</f>
        <v>0</v>
      </c>
      <c r="D990">
        <f>B990*('hospitalityq-nil'!D990="")</f>
        <v>0</v>
      </c>
    </row>
    <row r="991" spans="1:4" x14ac:dyDescent="0.25">
      <c r="A991">
        <f t="shared" si="15"/>
        <v>0</v>
      </c>
      <c r="B991" t="b">
        <f>SUMPRODUCT(LEN('hospitalityq-nil'!C991:D991))&gt;0</f>
        <v>0</v>
      </c>
      <c r="C991">
        <f>B991*('hospitalityq-nil'!C991="")</f>
        <v>0</v>
      </c>
      <c r="D991">
        <f>B991*('hospitalityq-nil'!D991="")</f>
        <v>0</v>
      </c>
    </row>
    <row r="992" spans="1:4" x14ac:dyDescent="0.25">
      <c r="A992">
        <f t="shared" si="15"/>
        <v>0</v>
      </c>
      <c r="B992" t="b">
        <f>SUMPRODUCT(LEN('hospitalityq-nil'!C992:D992))&gt;0</f>
        <v>0</v>
      </c>
      <c r="C992">
        <f>B992*('hospitalityq-nil'!C992="")</f>
        <v>0</v>
      </c>
      <c r="D992">
        <f>B992*('hospitalityq-nil'!D992="")</f>
        <v>0</v>
      </c>
    </row>
    <row r="993" spans="1:4" x14ac:dyDescent="0.25">
      <c r="A993">
        <f t="shared" si="15"/>
        <v>0</v>
      </c>
      <c r="B993" t="b">
        <f>SUMPRODUCT(LEN('hospitalityq-nil'!C993:D993))&gt;0</f>
        <v>0</v>
      </c>
      <c r="C993">
        <f>B993*('hospitalityq-nil'!C993="")</f>
        <v>0</v>
      </c>
      <c r="D993">
        <f>B993*('hospitalityq-nil'!D993="")</f>
        <v>0</v>
      </c>
    </row>
    <row r="994" spans="1:4" x14ac:dyDescent="0.25">
      <c r="A994">
        <f t="shared" si="15"/>
        <v>0</v>
      </c>
      <c r="B994" t="b">
        <f>SUMPRODUCT(LEN('hospitalityq-nil'!C994:D994))&gt;0</f>
        <v>0</v>
      </c>
      <c r="C994">
        <f>B994*('hospitalityq-nil'!C994="")</f>
        <v>0</v>
      </c>
      <c r="D994">
        <f>B994*('hospitalityq-nil'!D994="")</f>
        <v>0</v>
      </c>
    </row>
    <row r="995" spans="1:4" x14ac:dyDescent="0.25">
      <c r="A995">
        <f t="shared" si="15"/>
        <v>0</v>
      </c>
      <c r="B995" t="b">
        <f>SUMPRODUCT(LEN('hospitalityq-nil'!C995:D995))&gt;0</f>
        <v>0</v>
      </c>
      <c r="C995">
        <f>B995*('hospitalityq-nil'!C995="")</f>
        <v>0</v>
      </c>
      <c r="D995">
        <f>B995*('hospitalityq-nil'!D995="")</f>
        <v>0</v>
      </c>
    </row>
    <row r="996" spans="1:4" x14ac:dyDescent="0.25">
      <c r="A996">
        <f t="shared" si="15"/>
        <v>0</v>
      </c>
      <c r="B996" t="b">
        <f>SUMPRODUCT(LEN('hospitalityq-nil'!C996:D996))&gt;0</f>
        <v>0</v>
      </c>
      <c r="C996">
        <f>B996*('hospitalityq-nil'!C996="")</f>
        <v>0</v>
      </c>
      <c r="D996">
        <f>B996*('hospitalityq-nil'!D996="")</f>
        <v>0</v>
      </c>
    </row>
    <row r="997" spans="1:4" x14ac:dyDescent="0.25">
      <c r="A997">
        <f t="shared" si="15"/>
        <v>0</v>
      </c>
      <c r="B997" t="b">
        <f>SUMPRODUCT(LEN('hospitalityq-nil'!C997:D997))&gt;0</f>
        <v>0</v>
      </c>
      <c r="C997">
        <f>B997*('hospitalityq-nil'!C997="")</f>
        <v>0</v>
      </c>
      <c r="D997">
        <f>B997*('hospitalityq-nil'!D997="")</f>
        <v>0</v>
      </c>
    </row>
    <row r="998" spans="1:4" x14ac:dyDescent="0.25">
      <c r="A998">
        <f t="shared" si="15"/>
        <v>0</v>
      </c>
      <c r="B998" t="b">
        <f>SUMPRODUCT(LEN('hospitalityq-nil'!C998:D998))&gt;0</f>
        <v>0</v>
      </c>
      <c r="C998">
        <f>B998*('hospitalityq-nil'!C998="")</f>
        <v>0</v>
      </c>
      <c r="D998">
        <f>B998*('hospitalityq-nil'!D998="")</f>
        <v>0</v>
      </c>
    </row>
    <row r="999" spans="1:4" x14ac:dyDescent="0.25">
      <c r="A999">
        <f t="shared" si="15"/>
        <v>0</v>
      </c>
      <c r="B999" t="b">
        <f>SUMPRODUCT(LEN('hospitalityq-nil'!C999:D999))&gt;0</f>
        <v>0</v>
      </c>
      <c r="C999">
        <f>B999*('hospitalityq-nil'!C999="")</f>
        <v>0</v>
      </c>
      <c r="D999">
        <f>B999*('hospitalityq-nil'!D999="")</f>
        <v>0</v>
      </c>
    </row>
    <row r="1000" spans="1:4" x14ac:dyDescent="0.25">
      <c r="A1000">
        <f t="shared" si="15"/>
        <v>0</v>
      </c>
      <c r="B1000" t="b">
        <f>SUMPRODUCT(LEN('hospitalityq-nil'!C1000:D1000))&gt;0</f>
        <v>0</v>
      </c>
      <c r="C1000">
        <f>B1000*('hospitalityq-nil'!C1000="")</f>
        <v>0</v>
      </c>
      <c r="D1000">
        <f>B1000*('hospitalityq-nil'!D1000="")</f>
        <v>0</v>
      </c>
    </row>
    <row r="1001" spans="1:4" x14ac:dyDescent="0.25">
      <c r="A1001">
        <f t="shared" si="15"/>
        <v>0</v>
      </c>
      <c r="B1001" t="b">
        <f>SUMPRODUCT(LEN('hospitalityq-nil'!C1001:D1001))&gt;0</f>
        <v>0</v>
      </c>
      <c r="C1001">
        <f>B1001*('hospitalityq-nil'!C1001="")</f>
        <v>0</v>
      </c>
      <c r="D1001">
        <f>B1001*('hospitalityq-nil'!D1001="")</f>
        <v>0</v>
      </c>
    </row>
    <row r="1002" spans="1:4" x14ac:dyDescent="0.25">
      <c r="A1002">
        <f t="shared" si="15"/>
        <v>0</v>
      </c>
      <c r="B1002" t="b">
        <f>SUMPRODUCT(LEN('hospitalityq-nil'!C1002:D1002))&gt;0</f>
        <v>0</v>
      </c>
      <c r="C1002">
        <f>B1002*('hospitalityq-nil'!C1002="")</f>
        <v>0</v>
      </c>
      <c r="D1002">
        <f>B1002*('hospitalityq-nil'!D1002="")</f>
        <v>0</v>
      </c>
    </row>
    <row r="1003" spans="1:4" x14ac:dyDescent="0.25">
      <c r="A1003">
        <f t="shared" si="15"/>
        <v>0</v>
      </c>
      <c r="B1003" t="b">
        <f>SUMPRODUCT(LEN('hospitalityq-nil'!C1003:D1003))&gt;0</f>
        <v>0</v>
      </c>
      <c r="C1003">
        <f>B1003*('hospitalityq-nil'!C1003="")</f>
        <v>0</v>
      </c>
      <c r="D1003">
        <f>B1003*('hospitalityq-nil'!D1003="")</f>
        <v>0</v>
      </c>
    </row>
    <row r="1004" spans="1:4" x14ac:dyDescent="0.25">
      <c r="A1004">
        <f t="shared" si="15"/>
        <v>0</v>
      </c>
      <c r="B1004" t="b">
        <f>SUMPRODUCT(LEN('hospitalityq-nil'!C1004:D1004))&gt;0</f>
        <v>0</v>
      </c>
      <c r="C1004">
        <f>B1004*('hospitalityq-nil'!C1004="")</f>
        <v>0</v>
      </c>
      <c r="D1004">
        <f>B1004*('hospitalityq-nil'!D1004="")</f>
        <v>0</v>
      </c>
    </row>
    <row r="1005" spans="1:4" x14ac:dyDescent="0.25">
      <c r="A1005">
        <f t="shared" si="15"/>
        <v>0</v>
      </c>
      <c r="B1005" t="b">
        <f>SUMPRODUCT(LEN('hospitalityq-nil'!C1005:D1005))&gt;0</f>
        <v>0</v>
      </c>
      <c r="C1005">
        <f>B1005*('hospitalityq-nil'!C1005="")</f>
        <v>0</v>
      </c>
      <c r="D1005">
        <f>B1005*('hospitalityq-nil'!D1005="")</f>
        <v>0</v>
      </c>
    </row>
    <row r="1006" spans="1:4" x14ac:dyDescent="0.25">
      <c r="A1006">
        <f t="shared" si="15"/>
        <v>0</v>
      </c>
      <c r="B1006" t="b">
        <f>SUMPRODUCT(LEN('hospitalityq-nil'!C1006:D1006))&gt;0</f>
        <v>0</v>
      </c>
      <c r="C1006">
        <f>B1006*('hospitalityq-nil'!C1006="")</f>
        <v>0</v>
      </c>
      <c r="D1006">
        <f>B1006*('hospitalityq-nil'!D1006="")</f>
        <v>0</v>
      </c>
    </row>
    <row r="1007" spans="1:4" x14ac:dyDescent="0.25">
      <c r="A1007">
        <f t="shared" si="15"/>
        <v>0</v>
      </c>
      <c r="B1007" t="b">
        <f>SUMPRODUCT(LEN('hospitalityq-nil'!C1007:D1007))&gt;0</f>
        <v>0</v>
      </c>
      <c r="C1007">
        <f>B1007*('hospitalityq-nil'!C1007="")</f>
        <v>0</v>
      </c>
      <c r="D1007">
        <f>B1007*('hospitalityq-nil'!D1007="")</f>
        <v>0</v>
      </c>
    </row>
    <row r="1008" spans="1:4" x14ac:dyDescent="0.25">
      <c r="A1008">
        <f t="shared" si="15"/>
        <v>0</v>
      </c>
      <c r="B1008" t="b">
        <f>SUMPRODUCT(LEN('hospitalityq-nil'!C1008:D1008))&gt;0</f>
        <v>0</v>
      </c>
      <c r="C1008">
        <f>B1008*('hospitalityq-nil'!C1008="")</f>
        <v>0</v>
      </c>
      <c r="D1008">
        <f>B1008*('hospitalityq-nil'!D1008="")</f>
        <v>0</v>
      </c>
    </row>
    <row r="1009" spans="1:4" x14ac:dyDescent="0.25">
      <c r="A1009">
        <f t="shared" si="15"/>
        <v>0</v>
      </c>
      <c r="B1009" t="b">
        <f>SUMPRODUCT(LEN('hospitalityq-nil'!C1009:D1009))&gt;0</f>
        <v>0</v>
      </c>
      <c r="C1009">
        <f>B1009*('hospitalityq-nil'!C1009="")</f>
        <v>0</v>
      </c>
      <c r="D1009">
        <f>B1009*('hospitalityq-nil'!D1009="")</f>
        <v>0</v>
      </c>
    </row>
    <row r="1010" spans="1:4" x14ac:dyDescent="0.25">
      <c r="A1010">
        <f t="shared" si="15"/>
        <v>0</v>
      </c>
      <c r="B1010" t="b">
        <f>SUMPRODUCT(LEN('hospitalityq-nil'!C1010:D1010))&gt;0</f>
        <v>0</v>
      </c>
      <c r="C1010">
        <f>B1010*('hospitalityq-nil'!C1010="")</f>
        <v>0</v>
      </c>
      <c r="D1010">
        <f>B1010*('hospitalityq-nil'!D1010="")</f>
        <v>0</v>
      </c>
    </row>
    <row r="1011" spans="1:4" x14ac:dyDescent="0.25">
      <c r="A1011">
        <f t="shared" si="15"/>
        <v>0</v>
      </c>
      <c r="B1011" t="b">
        <f>SUMPRODUCT(LEN('hospitalityq-nil'!C1011:D1011))&gt;0</f>
        <v>0</v>
      </c>
      <c r="C1011">
        <f>B1011*('hospitalityq-nil'!C1011="")</f>
        <v>0</v>
      </c>
      <c r="D1011">
        <f>B1011*('hospitalityq-nil'!D1011="")</f>
        <v>0</v>
      </c>
    </row>
    <row r="1012" spans="1:4" x14ac:dyDescent="0.25">
      <c r="A1012">
        <f t="shared" si="15"/>
        <v>0</v>
      </c>
      <c r="B1012" t="b">
        <f>SUMPRODUCT(LEN('hospitalityq-nil'!C1012:D1012))&gt;0</f>
        <v>0</v>
      </c>
      <c r="C1012">
        <f>B1012*('hospitalityq-nil'!C1012="")</f>
        <v>0</v>
      </c>
      <c r="D1012">
        <f>B1012*('hospitalityq-nil'!D1012="")</f>
        <v>0</v>
      </c>
    </row>
    <row r="1013" spans="1:4" x14ac:dyDescent="0.25">
      <c r="A1013">
        <f t="shared" si="15"/>
        <v>0</v>
      </c>
      <c r="B1013" t="b">
        <f>SUMPRODUCT(LEN('hospitalityq-nil'!C1013:D1013))&gt;0</f>
        <v>0</v>
      </c>
      <c r="C1013">
        <f>B1013*('hospitalityq-nil'!C1013="")</f>
        <v>0</v>
      </c>
      <c r="D1013">
        <f>B1013*('hospitalityq-nil'!D1013="")</f>
        <v>0</v>
      </c>
    </row>
    <row r="1014" spans="1:4" x14ac:dyDescent="0.25">
      <c r="A1014">
        <f t="shared" si="15"/>
        <v>0</v>
      </c>
      <c r="B1014" t="b">
        <f>SUMPRODUCT(LEN('hospitalityq-nil'!C1014:D1014))&gt;0</f>
        <v>0</v>
      </c>
      <c r="C1014">
        <f>B1014*('hospitalityq-nil'!C1014="")</f>
        <v>0</v>
      </c>
      <c r="D1014">
        <f>B1014*('hospitalityq-nil'!D1014="")</f>
        <v>0</v>
      </c>
    </row>
    <row r="1015" spans="1:4" x14ac:dyDescent="0.25">
      <c r="A1015">
        <f t="shared" si="15"/>
        <v>0</v>
      </c>
      <c r="B1015" t="b">
        <f>SUMPRODUCT(LEN('hospitalityq-nil'!C1015:D1015))&gt;0</f>
        <v>0</v>
      </c>
      <c r="C1015">
        <f>B1015*('hospitalityq-nil'!C1015="")</f>
        <v>0</v>
      </c>
      <c r="D1015">
        <f>B1015*('hospitalityq-nil'!D1015="")</f>
        <v>0</v>
      </c>
    </row>
    <row r="1016" spans="1:4" x14ac:dyDescent="0.25">
      <c r="A1016">
        <f t="shared" si="15"/>
        <v>0</v>
      </c>
      <c r="B1016" t="b">
        <f>SUMPRODUCT(LEN('hospitalityq-nil'!C1016:D1016))&gt;0</f>
        <v>0</v>
      </c>
      <c r="C1016">
        <f>B1016*('hospitalityq-nil'!C1016="")</f>
        <v>0</v>
      </c>
      <c r="D1016">
        <f>B1016*('hospitalityq-nil'!D1016="")</f>
        <v>0</v>
      </c>
    </row>
    <row r="1017" spans="1:4" x14ac:dyDescent="0.25">
      <c r="A1017">
        <f t="shared" si="15"/>
        <v>0</v>
      </c>
      <c r="B1017" t="b">
        <f>SUMPRODUCT(LEN('hospitalityq-nil'!C1017:D1017))&gt;0</f>
        <v>0</v>
      </c>
      <c r="C1017">
        <f>B1017*('hospitalityq-nil'!C1017="")</f>
        <v>0</v>
      </c>
      <c r="D1017">
        <f>B1017*('hospitalityq-nil'!D1017="")</f>
        <v>0</v>
      </c>
    </row>
    <row r="1018" spans="1:4" x14ac:dyDescent="0.25">
      <c r="A1018">
        <f t="shared" si="15"/>
        <v>0</v>
      </c>
      <c r="B1018" t="b">
        <f>SUMPRODUCT(LEN('hospitalityq-nil'!C1018:D1018))&gt;0</f>
        <v>0</v>
      </c>
      <c r="C1018">
        <f>B1018*('hospitalityq-nil'!C1018="")</f>
        <v>0</v>
      </c>
      <c r="D1018">
        <f>B1018*('hospitalityq-nil'!D1018="")</f>
        <v>0</v>
      </c>
    </row>
    <row r="1019" spans="1:4" x14ac:dyDescent="0.25">
      <c r="A1019">
        <f t="shared" si="15"/>
        <v>0</v>
      </c>
      <c r="B1019" t="b">
        <f>SUMPRODUCT(LEN('hospitalityq-nil'!C1019:D1019))&gt;0</f>
        <v>0</v>
      </c>
      <c r="C1019">
        <f>B1019*('hospitalityq-nil'!C1019="")</f>
        <v>0</v>
      </c>
      <c r="D1019">
        <f>B1019*('hospitalityq-nil'!D1019="")</f>
        <v>0</v>
      </c>
    </row>
    <row r="1020" spans="1:4" x14ac:dyDescent="0.25">
      <c r="A1020">
        <f t="shared" si="15"/>
        <v>0</v>
      </c>
      <c r="B1020" t="b">
        <f>SUMPRODUCT(LEN('hospitalityq-nil'!C1020:D1020))&gt;0</f>
        <v>0</v>
      </c>
      <c r="C1020">
        <f>B1020*('hospitalityq-nil'!C1020="")</f>
        <v>0</v>
      </c>
      <c r="D1020">
        <f>B1020*('hospitalityq-nil'!D1020="")</f>
        <v>0</v>
      </c>
    </row>
    <row r="1021" spans="1:4" x14ac:dyDescent="0.25">
      <c r="A1021">
        <f t="shared" si="15"/>
        <v>0</v>
      </c>
      <c r="B1021" t="b">
        <f>SUMPRODUCT(LEN('hospitalityq-nil'!C1021:D1021))&gt;0</f>
        <v>0</v>
      </c>
      <c r="C1021">
        <f>B1021*('hospitalityq-nil'!C1021="")</f>
        <v>0</v>
      </c>
      <c r="D1021">
        <f>B1021*('hospitalityq-nil'!D1021="")</f>
        <v>0</v>
      </c>
    </row>
    <row r="1022" spans="1:4" x14ac:dyDescent="0.25">
      <c r="A1022">
        <f t="shared" si="15"/>
        <v>0</v>
      </c>
      <c r="B1022" t="b">
        <f>SUMPRODUCT(LEN('hospitalityq-nil'!C1022:D1022))&gt;0</f>
        <v>0</v>
      </c>
      <c r="C1022">
        <f>B1022*('hospitalityq-nil'!C1022="")</f>
        <v>0</v>
      </c>
      <c r="D1022">
        <f>B1022*('hospitalityq-nil'!D1022="")</f>
        <v>0</v>
      </c>
    </row>
    <row r="1023" spans="1:4" x14ac:dyDescent="0.25">
      <c r="A1023">
        <f t="shared" si="15"/>
        <v>0</v>
      </c>
      <c r="B1023" t="b">
        <f>SUMPRODUCT(LEN('hospitalityq-nil'!C1023:D1023))&gt;0</f>
        <v>0</v>
      </c>
      <c r="C1023">
        <f>B1023*('hospitalityq-nil'!C1023="")</f>
        <v>0</v>
      </c>
      <c r="D1023">
        <f>B1023*('hospitalityq-nil'!D1023="")</f>
        <v>0</v>
      </c>
    </row>
    <row r="1024" spans="1:4" x14ac:dyDescent="0.25">
      <c r="A1024">
        <f t="shared" si="15"/>
        <v>0</v>
      </c>
      <c r="B1024" t="b">
        <f>SUMPRODUCT(LEN('hospitalityq-nil'!C1024:D1024))&gt;0</f>
        <v>0</v>
      </c>
      <c r="C1024">
        <f>B1024*('hospitalityq-nil'!C1024="")</f>
        <v>0</v>
      </c>
      <c r="D1024">
        <f>B1024*('hospitalityq-nil'!D1024="")</f>
        <v>0</v>
      </c>
    </row>
    <row r="1025" spans="1:4" x14ac:dyDescent="0.25">
      <c r="A1025">
        <f t="shared" si="15"/>
        <v>0</v>
      </c>
      <c r="B1025" t="b">
        <f>SUMPRODUCT(LEN('hospitalityq-nil'!C1025:D1025))&gt;0</f>
        <v>0</v>
      </c>
      <c r="C1025">
        <f>B1025*('hospitalityq-nil'!C1025="")</f>
        <v>0</v>
      </c>
      <c r="D1025">
        <f>B1025*('hospitalityq-nil'!D1025="")</f>
        <v>0</v>
      </c>
    </row>
    <row r="1026" spans="1:4" x14ac:dyDescent="0.25">
      <c r="A1026">
        <f t="shared" si="15"/>
        <v>0</v>
      </c>
      <c r="B1026" t="b">
        <f>SUMPRODUCT(LEN('hospitalityq-nil'!C1026:D1026))&gt;0</f>
        <v>0</v>
      </c>
      <c r="C1026">
        <f>B1026*('hospitalityq-nil'!C1026="")</f>
        <v>0</v>
      </c>
      <c r="D1026">
        <f>B1026*('hospitalityq-nil'!D1026="")</f>
        <v>0</v>
      </c>
    </row>
    <row r="1027" spans="1:4" x14ac:dyDescent="0.25">
      <c r="A1027">
        <f t="shared" si="15"/>
        <v>0</v>
      </c>
      <c r="B1027" t="b">
        <f>SUMPRODUCT(LEN('hospitalityq-nil'!C1027:D1027))&gt;0</f>
        <v>0</v>
      </c>
      <c r="C1027">
        <f>B1027*('hospitalityq-nil'!C1027="")</f>
        <v>0</v>
      </c>
      <c r="D1027">
        <f>B1027*('hospitalityq-nil'!D1027="")</f>
        <v>0</v>
      </c>
    </row>
    <row r="1028" spans="1:4" x14ac:dyDescent="0.25">
      <c r="A1028">
        <f t="shared" si="15"/>
        <v>0</v>
      </c>
      <c r="B1028" t="b">
        <f>SUMPRODUCT(LEN('hospitalityq-nil'!C1028:D1028))&gt;0</f>
        <v>0</v>
      </c>
      <c r="C1028">
        <f>B1028*('hospitalityq-nil'!C1028="")</f>
        <v>0</v>
      </c>
      <c r="D1028">
        <f>B1028*('hospitalityq-nil'!D1028="")</f>
        <v>0</v>
      </c>
    </row>
    <row r="1029" spans="1:4" x14ac:dyDescent="0.25">
      <c r="A1029">
        <f t="shared" si="15"/>
        <v>0</v>
      </c>
      <c r="B1029" t="b">
        <f>SUMPRODUCT(LEN('hospitalityq-nil'!C1029:D1029))&gt;0</f>
        <v>0</v>
      </c>
      <c r="C1029">
        <f>B1029*('hospitalityq-nil'!C1029="")</f>
        <v>0</v>
      </c>
      <c r="D1029">
        <f>B1029*('hospitalityq-nil'!D1029="")</f>
        <v>0</v>
      </c>
    </row>
    <row r="1030" spans="1:4" x14ac:dyDescent="0.25">
      <c r="A1030">
        <f t="shared" ref="A1030:A1093" si="16">IFERROR(MATCH(TRUE,INDEX(C1030:D1030&lt;&gt;0,),)+2,0)</f>
        <v>0</v>
      </c>
      <c r="B1030" t="b">
        <f>SUMPRODUCT(LEN('hospitalityq-nil'!C1030:D1030))&gt;0</f>
        <v>0</v>
      </c>
      <c r="C1030">
        <f>B1030*('hospitalityq-nil'!C1030="")</f>
        <v>0</v>
      </c>
      <c r="D1030">
        <f>B1030*('hospitalityq-nil'!D1030="")</f>
        <v>0</v>
      </c>
    </row>
    <row r="1031" spans="1:4" x14ac:dyDescent="0.25">
      <c r="A1031">
        <f t="shared" si="16"/>
        <v>0</v>
      </c>
      <c r="B1031" t="b">
        <f>SUMPRODUCT(LEN('hospitalityq-nil'!C1031:D1031))&gt;0</f>
        <v>0</v>
      </c>
      <c r="C1031">
        <f>B1031*('hospitalityq-nil'!C1031="")</f>
        <v>0</v>
      </c>
      <c r="D1031">
        <f>B1031*('hospitalityq-nil'!D1031="")</f>
        <v>0</v>
      </c>
    </row>
    <row r="1032" spans="1:4" x14ac:dyDescent="0.25">
      <c r="A1032">
        <f t="shared" si="16"/>
        <v>0</v>
      </c>
      <c r="B1032" t="b">
        <f>SUMPRODUCT(LEN('hospitalityq-nil'!C1032:D1032))&gt;0</f>
        <v>0</v>
      </c>
      <c r="C1032">
        <f>B1032*('hospitalityq-nil'!C1032="")</f>
        <v>0</v>
      </c>
      <c r="D1032">
        <f>B1032*('hospitalityq-nil'!D1032="")</f>
        <v>0</v>
      </c>
    </row>
    <row r="1033" spans="1:4" x14ac:dyDescent="0.25">
      <c r="A1033">
        <f t="shared" si="16"/>
        <v>0</v>
      </c>
      <c r="B1033" t="b">
        <f>SUMPRODUCT(LEN('hospitalityq-nil'!C1033:D1033))&gt;0</f>
        <v>0</v>
      </c>
      <c r="C1033">
        <f>B1033*('hospitalityq-nil'!C1033="")</f>
        <v>0</v>
      </c>
      <c r="D1033">
        <f>B1033*('hospitalityq-nil'!D1033="")</f>
        <v>0</v>
      </c>
    </row>
    <row r="1034" spans="1:4" x14ac:dyDescent="0.25">
      <c r="A1034">
        <f t="shared" si="16"/>
        <v>0</v>
      </c>
      <c r="B1034" t="b">
        <f>SUMPRODUCT(LEN('hospitalityq-nil'!C1034:D1034))&gt;0</f>
        <v>0</v>
      </c>
      <c r="C1034">
        <f>B1034*('hospitalityq-nil'!C1034="")</f>
        <v>0</v>
      </c>
      <c r="D1034">
        <f>B1034*('hospitalityq-nil'!D1034="")</f>
        <v>0</v>
      </c>
    </row>
    <row r="1035" spans="1:4" x14ac:dyDescent="0.25">
      <c r="A1035">
        <f t="shared" si="16"/>
        <v>0</v>
      </c>
      <c r="B1035" t="b">
        <f>SUMPRODUCT(LEN('hospitalityq-nil'!C1035:D1035))&gt;0</f>
        <v>0</v>
      </c>
      <c r="C1035">
        <f>B1035*('hospitalityq-nil'!C1035="")</f>
        <v>0</v>
      </c>
      <c r="D1035">
        <f>B1035*('hospitalityq-nil'!D1035="")</f>
        <v>0</v>
      </c>
    </row>
    <row r="1036" spans="1:4" x14ac:dyDescent="0.25">
      <c r="A1036">
        <f t="shared" si="16"/>
        <v>0</v>
      </c>
      <c r="B1036" t="b">
        <f>SUMPRODUCT(LEN('hospitalityq-nil'!C1036:D1036))&gt;0</f>
        <v>0</v>
      </c>
      <c r="C1036">
        <f>B1036*('hospitalityq-nil'!C1036="")</f>
        <v>0</v>
      </c>
      <c r="D1036">
        <f>B1036*('hospitalityq-nil'!D1036="")</f>
        <v>0</v>
      </c>
    </row>
    <row r="1037" spans="1:4" x14ac:dyDescent="0.25">
      <c r="A1037">
        <f t="shared" si="16"/>
        <v>0</v>
      </c>
      <c r="B1037" t="b">
        <f>SUMPRODUCT(LEN('hospitalityq-nil'!C1037:D1037))&gt;0</f>
        <v>0</v>
      </c>
      <c r="C1037">
        <f>B1037*('hospitalityq-nil'!C1037="")</f>
        <v>0</v>
      </c>
      <c r="D1037">
        <f>B1037*('hospitalityq-nil'!D1037="")</f>
        <v>0</v>
      </c>
    </row>
    <row r="1038" spans="1:4" x14ac:dyDescent="0.25">
      <c r="A1038">
        <f t="shared" si="16"/>
        <v>0</v>
      </c>
      <c r="B1038" t="b">
        <f>SUMPRODUCT(LEN('hospitalityq-nil'!C1038:D1038))&gt;0</f>
        <v>0</v>
      </c>
      <c r="C1038">
        <f>B1038*('hospitalityq-nil'!C1038="")</f>
        <v>0</v>
      </c>
      <c r="D1038">
        <f>B1038*('hospitalityq-nil'!D1038="")</f>
        <v>0</v>
      </c>
    </row>
    <row r="1039" spans="1:4" x14ac:dyDescent="0.25">
      <c r="A1039">
        <f t="shared" si="16"/>
        <v>0</v>
      </c>
      <c r="B1039" t="b">
        <f>SUMPRODUCT(LEN('hospitalityq-nil'!C1039:D1039))&gt;0</f>
        <v>0</v>
      </c>
      <c r="C1039">
        <f>B1039*('hospitalityq-nil'!C1039="")</f>
        <v>0</v>
      </c>
      <c r="D1039">
        <f>B1039*('hospitalityq-nil'!D1039="")</f>
        <v>0</v>
      </c>
    </row>
    <row r="1040" spans="1:4" x14ac:dyDescent="0.25">
      <c r="A1040">
        <f t="shared" si="16"/>
        <v>0</v>
      </c>
      <c r="B1040" t="b">
        <f>SUMPRODUCT(LEN('hospitalityq-nil'!C1040:D1040))&gt;0</f>
        <v>0</v>
      </c>
      <c r="C1040">
        <f>B1040*('hospitalityq-nil'!C1040="")</f>
        <v>0</v>
      </c>
      <c r="D1040">
        <f>B1040*('hospitalityq-nil'!D1040="")</f>
        <v>0</v>
      </c>
    </row>
    <row r="1041" spans="1:4" x14ac:dyDescent="0.25">
      <c r="A1041">
        <f t="shared" si="16"/>
        <v>0</v>
      </c>
      <c r="B1041" t="b">
        <f>SUMPRODUCT(LEN('hospitalityq-nil'!C1041:D1041))&gt;0</f>
        <v>0</v>
      </c>
      <c r="C1041">
        <f>B1041*('hospitalityq-nil'!C1041="")</f>
        <v>0</v>
      </c>
      <c r="D1041">
        <f>B1041*('hospitalityq-nil'!D1041="")</f>
        <v>0</v>
      </c>
    </row>
    <row r="1042" spans="1:4" x14ac:dyDescent="0.25">
      <c r="A1042">
        <f t="shared" si="16"/>
        <v>0</v>
      </c>
      <c r="B1042" t="b">
        <f>SUMPRODUCT(LEN('hospitalityq-nil'!C1042:D1042))&gt;0</f>
        <v>0</v>
      </c>
      <c r="C1042">
        <f>B1042*('hospitalityq-nil'!C1042="")</f>
        <v>0</v>
      </c>
      <c r="D1042">
        <f>B1042*('hospitalityq-nil'!D1042="")</f>
        <v>0</v>
      </c>
    </row>
    <row r="1043" spans="1:4" x14ac:dyDescent="0.25">
      <c r="A1043">
        <f t="shared" si="16"/>
        <v>0</v>
      </c>
      <c r="B1043" t="b">
        <f>SUMPRODUCT(LEN('hospitalityq-nil'!C1043:D1043))&gt;0</f>
        <v>0</v>
      </c>
      <c r="C1043">
        <f>B1043*('hospitalityq-nil'!C1043="")</f>
        <v>0</v>
      </c>
      <c r="D1043">
        <f>B1043*('hospitalityq-nil'!D1043="")</f>
        <v>0</v>
      </c>
    </row>
    <row r="1044" spans="1:4" x14ac:dyDescent="0.25">
      <c r="A1044">
        <f t="shared" si="16"/>
        <v>0</v>
      </c>
      <c r="B1044" t="b">
        <f>SUMPRODUCT(LEN('hospitalityq-nil'!C1044:D1044))&gt;0</f>
        <v>0</v>
      </c>
      <c r="C1044">
        <f>B1044*('hospitalityq-nil'!C1044="")</f>
        <v>0</v>
      </c>
      <c r="D1044">
        <f>B1044*('hospitalityq-nil'!D1044="")</f>
        <v>0</v>
      </c>
    </row>
    <row r="1045" spans="1:4" x14ac:dyDescent="0.25">
      <c r="A1045">
        <f t="shared" si="16"/>
        <v>0</v>
      </c>
      <c r="B1045" t="b">
        <f>SUMPRODUCT(LEN('hospitalityq-nil'!C1045:D1045))&gt;0</f>
        <v>0</v>
      </c>
      <c r="C1045">
        <f>B1045*('hospitalityq-nil'!C1045="")</f>
        <v>0</v>
      </c>
      <c r="D1045">
        <f>B1045*('hospitalityq-nil'!D1045="")</f>
        <v>0</v>
      </c>
    </row>
    <row r="1046" spans="1:4" x14ac:dyDescent="0.25">
      <c r="A1046">
        <f t="shared" si="16"/>
        <v>0</v>
      </c>
      <c r="B1046" t="b">
        <f>SUMPRODUCT(LEN('hospitalityq-nil'!C1046:D1046))&gt;0</f>
        <v>0</v>
      </c>
      <c r="C1046">
        <f>B1046*('hospitalityq-nil'!C1046="")</f>
        <v>0</v>
      </c>
      <c r="D1046">
        <f>B1046*('hospitalityq-nil'!D1046="")</f>
        <v>0</v>
      </c>
    </row>
    <row r="1047" spans="1:4" x14ac:dyDescent="0.25">
      <c r="A1047">
        <f t="shared" si="16"/>
        <v>0</v>
      </c>
      <c r="B1047" t="b">
        <f>SUMPRODUCT(LEN('hospitalityq-nil'!C1047:D1047))&gt;0</f>
        <v>0</v>
      </c>
      <c r="C1047">
        <f>B1047*('hospitalityq-nil'!C1047="")</f>
        <v>0</v>
      </c>
      <c r="D1047">
        <f>B1047*('hospitalityq-nil'!D1047="")</f>
        <v>0</v>
      </c>
    </row>
    <row r="1048" spans="1:4" x14ac:dyDescent="0.25">
      <c r="A1048">
        <f t="shared" si="16"/>
        <v>0</v>
      </c>
      <c r="B1048" t="b">
        <f>SUMPRODUCT(LEN('hospitalityq-nil'!C1048:D1048))&gt;0</f>
        <v>0</v>
      </c>
      <c r="C1048">
        <f>B1048*('hospitalityq-nil'!C1048="")</f>
        <v>0</v>
      </c>
      <c r="D1048">
        <f>B1048*('hospitalityq-nil'!D1048="")</f>
        <v>0</v>
      </c>
    </row>
    <row r="1049" spans="1:4" x14ac:dyDescent="0.25">
      <c r="A1049">
        <f t="shared" si="16"/>
        <v>0</v>
      </c>
      <c r="B1049" t="b">
        <f>SUMPRODUCT(LEN('hospitalityq-nil'!C1049:D1049))&gt;0</f>
        <v>0</v>
      </c>
      <c r="C1049">
        <f>B1049*('hospitalityq-nil'!C1049="")</f>
        <v>0</v>
      </c>
      <c r="D1049">
        <f>B1049*('hospitalityq-nil'!D1049="")</f>
        <v>0</v>
      </c>
    </row>
    <row r="1050" spans="1:4" x14ac:dyDescent="0.25">
      <c r="A1050">
        <f t="shared" si="16"/>
        <v>0</v>
      </c>
      <c r="B1050" t="b">
        <f>SUMPRODUCT(LEN('hospitalityq-nil'!C1050:D1050))&gt;0</f>
        <v>0</v>
      </c>
      <c r="C1050">
        <f>B1050*('hospitalityq-nil'!C1050="")</f>
        <v>0</v>
      </c>
      <c r="D1050">
        <f>B1050*('hospitalityq-nil'!D1050="")</f>
        <v>0</v>
      </c>
    </row>
    <row r="1051" spans="1:4" x14ac:dyDescent="0.25">
      <c r="A1051">
        <f t="shared" si="16"/>
        <v>0</v>
      </c>
      <c r="B1051" t="b">
        <f>SUMPRODUCT(LEN('hospitalityq-nil'!C1051:D1051))&gt;0</f>
        <v>0</v>
      </c>
      <c r="C1051">
        <f>B1051*('hospitalityq-nil'!C1051="")</f>
        <v>0</v>
      </c>
      <c r="D1051">
        <f>B1051*('hospitalityq-nil'!D1051="")</f>
        <v>0</v>
      </c>
    </row>
    <row r="1052" spans="1:4" x14ac:dyDescent="0.25">
      <c r="A1052">
        <f t="shared" si="16"/>
        <v>0</v>
      </c>
      <c r="B1052" t="b">
        <f>SUMPRODUCT(LEN('hospitalityq-nil'!C1052:D1052))&gt;0</f>
        <v>0</v>
      </c>
      <c r="C1052">
        <f>B1052*('hospitalityq-nil'!C1052="")</f>
        <v>0</v>
      </c>
      <c r="D1052">
        <f>B1052*('hospitalityq-nil'!D1052="")</f>
        <v>0</v>
      </c>
    </row>
    <row r="1053" spans="1:4" x14ac:dyDescent="0.25">
      <c r="A1053">
        <f t="shared" si="16"/>
        <v>0</v>
      </c>
      <c r="B1053" t="b">
        <f>SUMPRODUCT(LEN('hospitalityq-nil'!C1053:D1053))&gt;0</f>
        <v>0</v>
      </c>
      <c r="C1053">
        <f>B1053*('hospitalityq-nil'!C1053="")</f>
        <v>0</v>
      </c>
      <c r="D1053">
        <f>B1053*('hospitalityq-nil'!D1053="")</f>
        <v>0</v>
      </c>
    </row>
    <row r="1054" spans="1:4" x14ac:dyDescent="0.25">
      <c r="A1054">
        <f t="shared" si="16"/>
        <v>0</v>
      </c>
      <c r="B1054" t="b">
        <f>SUMPRODUCT(LEN('hospitalityq-nil'!C1054:D1054))&gt;0</f>
        <v>0</v>
      </c>
      <c r="C1054">
        <f>B1054*('hospitalityq-nil'!C1054="")</f>
        <v>0</v>
      </c>
      <c r="D1054">
        <f>B1054*('hospitalityq-nil'!D1054="")</f>
        <v>0</v>
      </c>
    </row>
    <row r="1055" spans="1:4" x14ac:dyDescent="0.25">
      <c r="A1055">
        <f t="shared" si="16"/>
        <v>0</v>
      </c>
      <c r="B1055" t="b">
        <f>SUMPRODUCT(LEN('hospitalityq-nil'!C1055:D1055))&gt;0</f>
        <v>0</v>
      </c>
      <c r="C1055">
        <f>B1055*('hospitalityq-nil'!C1055="")</f>
        <v>0</v>
      </c>
      <c r="D1055">
        <f>B1055*('hospitalityq-nil'!D1055="")</f>
        <v>0</v>
      </c>
    </row>
    <row r="1056" spans="1:4" x14ac:dyDescent="0.25">
      <c r="A1056">
        <f t="shared" si="16"/>
        <v>0</v>
      </c>
      <c r="B1056" t="b">
        <f>SUMPRODUCT(LEN('hospitalityq-nil'!C1056:D1056))&gt;0</f>
        <v>0</v>
      </c>
      <c r="C1056">
        <f>B1056*('hospitalityq-nil'!C1056="")</f>
        <v>0</v>
      </c>
      <c r="D1056">
        <f>B1056*('hospitalityq-nil'!D1056="")</f>
        <v>0</v>
      </c>
    </row>
    <row r="1057" spans="1:4" x14ac:dyDescent="0.25">
      <c r="A1057">
        <f t="shared" si="16"/>
        <v>0</v>
      </c>
      <c r="B1057" t="b">
        <f>SUMPRODUCT(LEN('hospitalityq-nil'!C1057:D1057))&gt;0</f>
        <v>0</v>
      </c>
      <c r="C1057">
        <f>B1057*('hospitalityq-nil'!C1057="")</f>
        <v>0</v>
      </c>
      <c r="D1057">
        <f>B1057*('hospitalityq-nil'!D1057="")</f>
        <v>0</v>
      </c>
    </row>
    <row r="1058" spans="1:4" x14ac:dyDescent="0.25">
      <c r="A1058">
        <f t="shared" si="16"/>
        <v>0</v>
      </c>
      <c r="B1058" t="b">
        <f>SUMPRODUCT(LEN('hospitalityq-nil'!C1058:D1058))&gt;0</f>
        <v>0</v>
      </c>
      <c r="C1058">
        <f>B1058*('hospitalityq-nil'!C1058="")</f>
        <v>0</v>
      </c>
      <c r="D1058">
        <f>B1058*('hospitalityq-nil'!D1058="")</f>
        <v>0</v>
      </c>
    </row>
    <row r="1059" spans="1:4" x14ac:dyDescent="0.25">
      <c r="A1059">
        <f t="shared" si="16"/>
        <v>0</v>
      </c>
      <c r="B1059" t="b">
        <f>SUMPRODUCT(LEN('hospitalityq-nil'!C1059:D1059))&gt;0</f>
        <v>0</v>
      </c>
      <c r="C1059">
        <f>B1059*('hospitalityq-nil'!C1059="")</f>
        <v>0</v>
      </c>
      <c r="D1059">
        <f>B1059*('hospitalityq-nil'!D1059="")</f>
        <v>0</v>
      </c>
    </row>
    <row r="1060" spans="1:4" x14ac:dyDescent="0.25">
      <c r="A1060">
        <f t="shared" si="16"/>
        <v>0</v>
      </c>
      <c r="B1060" t="b">
        <f>SUMPRODUCT(LEN('hospitalityq-nil'!C1060:D1060))&gt;0</f>
        <v>0</v>
      </c>
      <c r="C1060">
        <f>B1060*('hospitalityq-nil'!C1060="")</f>
        <v>0</v>
      </c>
      <c r="D1060">
        <f>B1060*('hospitalityq-nil'!D1060="")</f>
        <v>0</v>
      </c>
    </row>
    <row r="1061" spans="1:4" x14ac:dyDescent="0.25">
      <c r="A1061">
        <f t="shared" si="16"/>
        <v>0</v>
      </c>
      <c r="B1061" t="b">
        <f>SUMPRODUCT(LEN('hospitalityq-nil'!C1061:D1061))&gt;0</f>
        <v>0</v>
      </c>
      <c r="C1061">
        <f>B1061*('hospitalityq-nil'!C1061="")</f>
        <v>0</v>
      </c>
      <c r="D1061">
        <f>B1061*('hospitalityq-nil'!D1061="")</f>
        <v>0</v>
      </c>
    </row>
    <row r="1062" spans="1:4" x14ac:dyDescent="0.25">
      <c r="A1062">
        <f t="shared" si="16"/>
        <v>0</v>
      </c>
      <c r="B1062" t="b">
        <f>SUMPRODUCT(LEN('hospitalityq-nil'!C1062:D1062))&gt;0</f>
        <v>0</v>
      </c>
      <c r="C1062">
        <f>B1062*('hospitalityq-nil'!C1062="")</f>
        <v>0</v>
      </c>
      <c r="D1062">
        <f>B1062*('hospitalityq-nil'!D1062="")</f>
        <v>0</v>
      </c>
    </row>
    <row r="1063" spans="1:4" x14ac:dyDescent="0.25">
      <c r="A1063">
        <f t="shared" si="16"/>
        <v>0</v>
      </c>
      <c r="B1063" t="b">
        <f>SUMPRODUCT(LEN('hospitalityq-nil'!C1063:D1063))&gt;0</f>
        <v>0</v>
      </c>
      <c r="C1063">
        <f>B1063*('hospitalityq-nil'!C1063="")</f>
        <v>0</v>
      </c>
      <c r="D1063">
        <f>B1063*('hospitalityq-nil'!D1063="")</f>
        <v>0</v>
      </c>
    </row>
    <row r="1064" spans="1:4" x14ac:dyDescent="0.25">
      <c r="A1064">
        <f t="shared" si="16"/>
        <v>0</v>
      </c>
      <c r="B1064" t="b">
        <f>SUMPRODUCT(LEN('hospitalityq-nil'!C1064:D1064))&gt;0</f>
        <v>0</v>
      </c>
      <c r="C1064">
        <f>B1064*('hospitalityq-nil'!C1064="")</f>
        <v>0</v>
      </c>
      <c r="D1064">
        <f>B1064*('hospitalityq-nil'!D1064="")</f>
        <v>0</v>
      </c>
    </row>
    <row r="1065" spans="1:4" x14ac:dyDescent="0.25">
      <c r="A1065">
        <f t="shared" si="16"/>
        <v>0</v>
      </c>
      <c r="B1065" t="b">
        <f>SUMPRODUCT(LEN('hospitalityq-nil'!C1065:D1065))&gt;0</f>
        <v>0</v>
      </c>
      <c r="C1065">
        <f>B1065*('hospitalityq-nil'!C1065="")</f>
        <v>0</v>
      </c>
      <c r="D1065">
        <f>B1065*('hospitalityq-nil'!D1065="")</f>
        <v>0</v>
      </c>
    </row>
    <row r="1066" spans="1:4" x14ac:dyDescent="0.25">
      <c r="A1066">
        <f t="shared" si="16"/>
        <v>0</v>
      </c>
      <c r="B1066" t="b">
        <f>SUMPRODUCT(LEN('hospitalityq-nil'!C1066:D1066))&gt;0</f>
        <v>0</v>
      </c>
      <c r="C1066">
        <f>B1066*('hospitalityq-nil'!C1066="")</f>
        <v>0</v>
      </c>
      <c r="D1066">
        <f>B1066*('hospitalityq-nil'!D1066="")</f>
        <v>0</v>
      </c>
    </row>
    <row r="1067" spans="1:4" x14ac:dyDescent="0.25">
      <c r="A1067">
        <f t="shared" si="16"/>
        <v>0</v>
      </c>
      <c r="B1067" t="b">
        <f>SUMPRODUCT(LEN('hospitalityq-nil'!C1067:D1067))&gt;0</f>
        <v>0</v>
      </c>
      <c r="C1067">
        <f>B1067*('hospitalityq-nil'!C1067="")</f>
        <v>0</v>
      </c>
      <c r="D1067">
        <f>B1067*('hospitalityq-nil'!D1067="")</f>
        <v>0</v>
      </c>
    </row>
    <row r="1068" spans="1:4" x14ac:dyDescent="0.25">
      <c r="A1068">
        <f t="shared" si="16"/>
        <v>0</v>
      </c>
      <c r="B1068" t="b">
        <f>SUMPRODUCT(LEN('hospitalityq-nil'!C1068:D1068))&gt;0</f>
        <v>0</v>
      </c>
      <c r="C1068">
        <f>B1068*('hospitalityq-nil'!C1068="")</f>
        <v>0</v>
      </c>
      <c r="D1068">
        <f>B1068*('hospitalityq-nil'!D1068="")</f>
        <v>0</v>
      </c>
    </row>
    <row r="1069" spans="1:4" x14ac:dyDescent="0.25">
      <c r="A1069">
        <f t="shared" si="16"/>
        <v>0</v>
      </c>
      <c r="B1069" t="b">
        <f>SUMPRODUCT(LEN('hospitalityq-nil'!C1069:D1069))&gt;0</f>
        <v>0</v>
      </c>
      <c r="C1069">
        <f>B1069*('hospitalityq-nil'!C1069="")</f>
        <v>0</v>
      </c>
      <c r="D1069">
        <f>B1069*('hospitalityq-nil'!D1069="")</f>
        <v>0</v>
      </c>
    </row>
    <row r="1070" spans="1:4" x14ac:dyDescent="0.25">
      <c r="A1070">
        <f t="shared" si="16"/>
        <v>0</v>
      </c>
      <c r="B1070" t="b">
        <f>SUMPRODUCT(LEN('hospitalityq-nil'!C1070:D1070))&gt;0</f>
        <v>0</v>
      </c>
      <c r="C1070">
        <f>B1070*('hospitalityq-nil'!C1070="")</f>
        <v>0</v>
      </c>
      <c r="D1070">
        <f>B1070*('hospitalityq-nil'!D1070="")</f>
        <v>0</v>
      </c>
    </row>
    <row r="1071" spans="1:4" x14ac:dyDescent="0.25">
      <c r="A1071">
        <f t="shared" si="16"/>
        <v>0</v>
      </c>
      <c r="B1071" t="b">
        <f>SUMPRODUCT(LEN('hospitalityq-nil'!C1071:D1071))&gt;0</f>
        <v>0</v>
      </c>
      <c r="C1071">
        <f>B1071*('hospitalityq-nil'!C1071="")</f>
        <v>0</v>
      </c>
      <c r="D1071">
        <f>B1071*('hospitalityq-nil'!D1071="")</f>
        <v>0</v>
      </c>
    </row>
    <row r="1072" spans="1:4" x14ac:dyDescent="0.25">
      <c r="A1072">
        <f t="shared" si="16"/>
        <v>0</v>
      </c>
      <c r="B1072" t="b">
        <f>SUMPRODUCT(LEN('hospitalityq-nil'!C1072:D1072))&gt;0</f>
        <v>0</v>
      </c>
      <c r="C1072">
        <f>B1072*('hospitalityq-nil'!C1072="")</f>
        <v>0</v>
      </c>
      <c r="D1072">
        <f>B1072*('hospitalityq-nil'!D1072="")</f>
        <v>0</v>
      </c>
    </row>
    <row r="1073" spans="1:4" x14ac:dyDescent="0.25">
      <c r="A1073">
        <f t="shared" si="16"/>
        <v>0</v>
      </c>
      <c r="B1073" t="b">
        <f>SUMPRODUCT(LEN('hospitalityq-nil'!C1073:D1073))&gt;0</f>
        <v>0</v>
      </c>
      <c r="C1073">
        <f>B1073*('hospitalityq-nil'!C1073="")</f>
        <v>0</v>
      </c>
      <c r="D1073">
        <f>B1073*('hospitalityq-nil'!D1073="")</f>
        <v>0</v>
      </c>
    </row>
    <row r="1074" spans="1:4" x14ac:dyDescent="0.25">
      <c r="A1074">
        <f t="shared" si="16"/>
        <v>0</v>
      </c>
      <c r="B1074" t="b">
        <f>SUMPRODUCT(LEN('hospitalityq-nil'!C1074:D1074))&gt;0</f>
        <v>0</v>
      </c>
      <c r="C1074">
        <f>B1074*('hospitalityq-nil'!C1074="")</f>
        <v>0</v>
      </c>
      <c r="D1074">
        <f>B1074*('hospitalityq-nil'!D1074="")</f>
        <v>0</v>
      </c>
    </row>
    <row r="1075" spans="1:4" x14ac:dyDescent="0.25">
      <c r="A1075">
        <f t="shared" si="16"/>
        <v>0</v>
      </c>
      <c r="B1075" t="b">
        <f>SUMPRODUCT(LEN('hospitalityq-nil'!C1075:D1075))&gt;0</f>
        <v>0</v>
      </c>
      <c r="C1075">
        <f>B1075*('hospitalityq-nil'!C1075="")</f>
        <v>0</v>
      </c>
      <c r="D1075">
        <f>B1075*('hospitalityq-nil'!D1075="")</f>
        <v>0</v>
      </c>
    </row>
    <row r="1076" spans="1:4" x14ac:dyDescent="0.25">
      <c r="A1076">
        <f t="shared" si="16"/>
        <v>0</v>
      </c>
      <c r="B1076" t="b">
        <f>SUMPRODUCT(LEN('hospitalityq-nil'!C1076:D1076))&gt;0</f>
        <v>0</v>
      </c>
      <c r="C1076">
        <f>B1076*('hospitalityq-nil'!C1076="")</f>
        <v>0</v>
      </c>
      <c r="D1076">
        <f>B1076*('hospitalityq-nil'!D1076="")</f>
        <v>0</v>
      </c>
    </row>
    <row r="1077" spans="1:4" x14ac:dyDescent="0.25">
      <c r="A1077">
        <f t="shared" si="16"/>
        <v>0</v>
      </c>
      <c r="B1077" t="b">
        <f>SUMPRODUCT(LEN('hospitalityq-nil'!C1077:D1077))&gt;0</f>
        <v>0</v>
      </c>
      <c r="C1077">
        <f>B1077*('hospitalityq-nil'!C1077="")</f>
        <v>0</v>
      </c>
      <c r="D1077">
        <f>B1077*('hospitalityq-nil'!D1077="")</f>
        <v>0</v>
      </c>
    </row>
    <row r="1078" spans="1:4" x14ac:dyDescent="0.25">
      <c r="A1078">
        <f t="shared" si="16"/>
        <v>0</v>
      </c>
      <c r="B1078" t="b">
        <f>SUMPRODUCT(LEN('hospitalityq-nil'!C1078:D1078))&gt;0</f>
        <v>0</v>
      </c>
      <c r="C1078">
        <f>B1078*('hospitalityq-nil'!C1078="")</f>
        <v>0</v>
      </c>
      <c r="D1078">
        <f>B1078*('hospitalityq-nil'!D1078="")</f>
        <v>0</v>
      </c>
    </row>
    <row r="1079" spans="1:4" x14ac:dyDescent="0.25">
      <c r="A1079">
        <f t="shared" si="16"/>
        <v>0</v>
      </c>
      <c r="B1079" t="b">
        <f>SUMPRODUCT(LEN('hospitalityq-nil'!C1079:D1079))&gt;0</f>
        <v>0</v>
      </c>
      <c r="C1079">
        <f>B1079*('hospitalityq-nil'!C1079="")</f>
        <v>0</v>
      </c>
      <c r="D1079">
        <f>B1079*('hospitalityq-nil'!D1079="")</f>
        <v>0</v>
      </c>
    </row>
    <row r="1080" spans="1:4" x14ac:dyDescent="0.25">
      <c r="A1080">
        <f t="shared" si="16"/>
        <v>0</v>
      </c>
      <c r="B1080" t="b">
        <f>SUMPRODUCT(LEN('hospitalityq-nil'!C1080:D1080))&gt;0</f>
        <v>0</v>
      </c>
      <c r="C1080">
        <f>B1080*('hospitalityq-nil'!C1080="")</f>
        <v>0</v>
      </c>
      <c r="D1080">
        <f>B1080*('hospitalityq-nil'!D1080="")</f>
        <v>0</v>
      </c>
    </row>
    <row r="1081" spans="1:4" x14ac:dyDescent="0.25">
      <c r="A1081">
        <f t="shared" si="16"/>
        <v>0</v>
      </c>
      <c r="B1081" t="b">
        <f>SUMPRODUCT(LEN('hospitalityq-nil'!C1081:D1081))&gt;0</f>
        <v>0</v>
      </c>
      <c r="C1081">
        <f>B1081*('hospitalityq-nil'!C1081="")</f>
        <v>0</v>
      </c>
      <c r="D1081">
        <f>B1081*('hospitalityq-nil'!D1081="")</f>
        <v>0</v>
      </c>
    </row>
    <row r="1082" spans="1:4" x14ac:dyDescent="0.25">
      <c r="A1082">
        <f t="shared" si="16"/>
        <v>0</v>
      </c>
      <c r="B1082" t="b">
        <f>SUMPRODUCT(LEN('hospitalityq-nil'!C1082:D1082))&gt;0</f>
        <v>0</v>
      </c>
      <c r="C1082">
        <f>B1082*('hospitalityq-nil'!C1082="")</f>
        <v>0</v>
      </c>
      <c r="D1082">
        <f>B1082*('hospitalityq-nil'!D1082="")</f>
        <v>0</v>
      </c>
    </row>
    <row r="1083" spans="1:4" x14ac:dyDescent="0.25">
      <c r="A1083">
        <f t="shared" si="16"/>
        <v>0</v>
      </c>
      <c r="B1083" t="b">
        <f>SUMPRODUCT(LEN('hospitalityq-nil'!C1083:D1083))&gt;0</f>
        <v>0</v>
      </c>
      <c r="C1083">
        <f>B1083*('hospitalityq-nil'!C1083="")</f>
        <v>0</v>
      </c>
      <c r="D1083">
        <f>B1083*('hospitalityq-nil'!D1083="")</f>
        <v>0</v>
      </c>
    </row>
    <row r="1084" spans="1:4" x14ac:dyDescent="0.25">
      <c r="A1084">
        <f t="shared" si="16"/>
        <v>0</v>
      </c>
      <c r="B1084" t="b">
        <f>SUMPRODUCT(LEN('hospitalityq-nil'!C1084:D1084))&gt;0</f>
        <v>0</v>
      </c>
      <c r="C1084">
        <f>B1084*('hospitalityq-nil'!C1084="")</f>
        <v>0</v>
      </c>
      <c r="D1084">
        <f>B1084*('hospitalityq-nil'!D1084="")</f>
        <v>0</v>
      </c>
    </row>
    <row r="1085" spans="1:4" x14ac:dyDescent="0.25">
      <c r="A1085">
        <f t="shared" si="16"/>
        <v>0</v>
      </c>
      <c r="B1085" t="b">
        <f>SUMPRODUCT(LEN('hospitalityq-nil'!C1085:D1085))&gt;0</f>
        <v>0</v>
      </c>
      <c r="C1085">
        <f>B1085*('hospitalityq-nil'!C1085="")</f>
        <v>0</v>
      </c>
      <c r="D1085">
        <f>B1085*('hospitalityq-nil'!D1085="")</f>
        <v>0</v>
      </c>
    </row>
    <row r="1086" spans="1:4" x14ac:dyDescent="0.25">
      <c r="A1086">
        <f t="shared" si="16"/>
        <v>0</v>
      </c>
      <c r="B1086" t="b">
        <f>SUMPRODUCT(LEN('hospitalityq-nil'!C1086:D1086))&gt;0</f>
        <v>0</v>
      </c>
      <c r="C1086">
        <f>B1086*('hospitalityq-nil'!C1086="")</f>
        <v>0</v>
      </c>
      <c r="D1086">
        <f>B1086*('hospitalityq-nil'!D1086="")</f>
        <v>0</v>
      </c>
    </row>
    <row r="1087" spans="1:4" x14ac:dyDescent="0.25">
      <c r="A1087">
        <f t="shared" si="16"/>
        <v>0</v>
      </c>
      <c r="B1087" t="b">
        <f>SUMPRODUCT(LEN('hospitalityq-nil'!C1087:D1087))&gt;0</f>
        <v>0</v>
      </c>
      <c r="C1087">
        <f>B1087*('hospitalityq-nil'!C1087="")</f>
        <v>0</v>
      </c>
      <c r="D1087">
        <f>B1087*('hospitalityq-nil'!D1087="")</f>
        <v>0</v>
      </c>
    </row>
    <row r="1088" spans="1:4" x14ac:dyDescent="0.25">
      <c r="A1088">
        <f t="shared" si="16"/>
        <v>0</v>
      </c>
      <c r="B1088" t="b">
        <f>SUMPRODUCT(LEN('hospitalityq-nil'!C1088:D1088))&gt;0</f>
        <v>0</v>
      </c>
      <c r="C1088">
        <f>B1088*('hospitalityq-nil'!C1088="")</f>
        <v>0</v>
      </c>
      <c r="D1088">
        <f>B1088*('hospitalityq-nil'!D1088="")</f>
        <v>0</v>
      </c>
    </row>
    <row r="1089" spans="1:4" x14ac:dyDescent="0.25">
      <c r="A1089">
        <f t="shared" si="16"/>
        <v>0</v>
      </c>
      <c r="B1089" t="b">
        <f>SUMPRODUCT(LEN('hospitalityq-nil'!C1089:D1089))&gt;0</f>
        <v>0</v>
      </c>
      <c r="C1089">
        <f>B1089*('hospitalityq-nil'!C1089="")</f>
        <v>0</v>
      </c>
      <c r="D1089">
        <f>B1089*('hospitalityq-nil'!D1089="")</f>
        <v>0</v>
      </c>
    </row>
    <row r="1090" spans="1:4" x14ac:dyDescent="0.25">
      <c r="A1090">
        <f t="shared" si="16"/>
        <v>0</v>
      </c>
      <c r="B1090" t="b">
        <f>SUMPRODUCT(LEN('hospitalityq-nil'!C1090:D1090))&gt;0</f>
        <v>0</v>
      </c>
      <c r="C1090">
        <f>B1090*('hospitalityq-nil'!C1090="")</f>
        <v>0</v>
      </c>
      <c r="D1090">
        <f>B1090*('hospitalityq-nil'!D1090="")</f>
        <v>0</v>
      </c>
    </row>
    <row r="1091" spans="1:4" x14ac:dyDescent="0.25">
      <c r="A1091">
        <f t="shared" si="16"/>
        <v>0</v>
      </c>
      <c r="B1091" t="b">
        <f>SUMPRODUCT(LEN('hospitalityq-nil'!C1091:D1091))&gt;0</f>
        <v>0</v>
      </c>
      <c r="C1091">
        <f>B1091*('hospitalityq-nil'!C1091="")</f>
        <v>0</v>
      </c>
      <c r="D1091">
        <f>B1091*('hospitalityq-nil'!D1091="")</f>
        <v>0</v>
      </c>
    </row>
    <row r="1092" spans="1:4" x14ac:dyDescent="0.25">
      <c r="A1092">
        <f t="shared" si="16"/>
        <v>0</v>
      </c>
      <c r="B1092" t="b">
        <f>SUMPRODUCT(LEN('hospitalityq-nil'!C1092:D1092))&gt;0</f>
        <v>0</v>
      </c>
      <c r="C1092">
        <f>B1092*('hospitalityq-nil'!C1092="")</f>
        <v>0</v>
      </c>
      <c r="D1092">
        <f>B1092*('hospitalityq-nil'!D1092="")</f>
        <v>0</v>
      </c>
    </row>
    <row r="1093" spans="1:4" x14ac:dyDescent="0.25">
      <c r="A1093">
        <f t="shared" si="16"/>
        <v>0</v>
      </c>
      <c r="B1093" t="b">
        <f>SUMPRODUCT(LEN('hospitalityq-nil'!C1093:D1093))&gt;0</f>
        <v>0</v>
      </c>
      <c r="C1093">
        <f>B1093*('hospitalityq-nil'!C1093="")</f>
        <v>0</v>
      </c>
      <c r="D1093">
        <f>B1093*('hospitalityq-nil'!D1093="")</f>
        <v>0</v>
      </c>
    </row>
    <row r="1094" spans="1:4" x14ac:dyDescent="0.25">
      <c r="A1094">
        <f t="shared" ref="A1094:A1157" si="17">IFERROR(MATCH(TRUE,INDEX(C1094:D1094&lt;&gt;0,),)+2,0)</f>
        <v>0</v>
      </c>
      <c r="B1094" t="b">
        <f>SUMPRODUCT(LEN('hospitalityq-nil'!C1094:D1094))&gt;0</f>
        <v>0</v>
      </c>
      <c r="C1094">
        <f>B1094*('hospitalityq-nil'!C1094="")</f>
        <v>0</v>
      </c>
      <c r="D1094">
        <f>B1094*('hospitalityq-nil'!D1094="")</f>
        <v>0</v>
      </c>
    </row>
    <row r="1095" spans="1:4" x14ac:dyDescent="0.25">
      <c r="A1095">
        <f t="shared" si="17"/>
        <v>0</v>
      </c>
      <c r="B1095" t="b">
        <f>SUMPRODUCT(LEN('hospitalityq-nil'!C1095:D1095))&gt;0</f>
        <v>0</v>
      </c>
      <c r="C1095">
        <f>B1095*('hospitalityq-nil'!C1095="")</f>
        <v>0</v>
      </c>
      <c r="D1095">
        <f>B1095*('hospitalityq-nil'!D1095="")</f>
        <v>0</v>
      </c>
    </row>
    <row r="1096" spans="1:4" x14ac:dyDescent="0.25">
      <c r="A1096">
        <f t="shared" si="17"/>
        <v>0</v>
      </c>
      <c r="B1096" t="b">
        <f>SUMPRODUCT(LEN('hospitalityq-nil'!C1096:D1096))&gt;0</f>
        <v>0</v>
      </c>
      <c r="C1096">
        <f>B1096*('hospitalityq-nil'!C1096="")</f>
        <v>0</v>
      </c>
      <c r="D1096">
        <f>B1096*('hospitalityq-nil'!D1096="")</f>
        <v>0</v>
      </c>
    </row>
    <row r="1097" spans="1:4" x14ac:dyDescent="0.25">
      <c r="A1097">
        <f t="shared" si="17"/>
        <v>0</v>
      </c>
      <c r="B1097" t="b">
        <f>SUMPRODUCT(LEN('hospitalityq-nil'!C1097:D1097))&gt;0</f>
        <v>0</v>
      </c>
      <c r="C1097">
        <f>B1097*('hospitalityq-nil'!C1097="")</f>
        <v>0</v>
      </c>
      <c r="D1097">
        <f>B1097*('hospitalityq-nil'!D1097="")</f>
        <v>0</v>
      </c>
    </row>
    <row r="1098" spans="1:4" x14ac:dyDescent="0.25">
      <c r="A1098">
        <f t="shared" si="17"/>
        <v>0</v>
      </c>
      <c r="B1098" t="b">
        <f>SUMPRODUCT(LEN('hospitalityq-nil'!C1098:D1098))&gt;0</f>
        <v>0</v>
      </c>
      <c r="C1098">
        <f>B1098*('hospitalityq-nil'!C1098="")</f>
        <v>0</v>
      </c>
      <c r="D1098">
        <f>B1098*('hospitalityq-nil'!D1098="")</f>
        <v>0</v>
      </c>
    </row>
    <row r="1099" spans="1:4" x14ac:dyDescent="0.25">
      <c r="A1099">
        <f t="shared" si="17"/>
        <v>0</v>
      </c>
      <c r="B1099" t="b">
        <f>SUMPRODUCT(LEN('hospitalityq-nil'!C1099:D1099))&gt;0</f>
        <v>0</v>
      </c>
      <c r="C1099">
        <f>B1099*('hospitalityq-nil'!C1099="")</f>
        <v>0</v>
      </c>
      <c r="D1099">
        <f>B1099*('hospitalityq-nil'!D1099="")</f>
        <v>0</v>
      </c>
    </row>
    <row r="1100" spans="1:4" x14ac:dyDescent="0.25">
      <c r="A1100">
        <f t="shared" si="17"/>
        <v>0</v>
      </c>
      <c r="B1100" t="b">
        <f>SUMPRODUCT(LEN('hospitalityq-nil'!C1100:D1100))&gt;0</f>
        <v>0</v>
      </c>
      <c r="C1100">
        <f>B1100*('hospitalityq-nil'!C1100="")</f>
        <v>0</v>
      </c>
      <c r="D1100">
        <f>B1100*('hospitalityq-nil'!D1100="")</f>
        <v>0</v>
      </c>
    </row>
    <row r="1101" spans="1:4" x14ac:dyDescent="0.25">
      <c r="A1101">
        <f t="shared" si="17"/>
        <v>0</v>
      </c>
      <c r="B1101" t="b">
        <f>SUMPRODUCT(LEN('hospitalityq-nil'!C1101:D1101))&gt;0</f>
        <v>0</v>
      </c>
      <c r="C1101">
        <f>B1101*('hospitalityq-nil'!C1101="")</f>
        <v>0</v>
      </c>
      <c r="D1101">
        <f>B1101*('hospitalityq-nil'!D1101="")</f>
        <v>0</v>
      </c>
    </row>
    <row r="1102" spans="1:4" x14ac:dyDescent="0.25">
      <c r="A1102">
        <f t="shared" si="17"/>
        <v>0</v>
      </c>
      <c r="B1102" t="b">
        <f>SUMPRODUCT(LEN('hospitalityq-nil'!C1102:D1102))&gt;0</f>
        <v>0</v>
      </c>
      <c r="C1102">
        <f>B1102*('hospitalityq-nil'!C1102="")</f>
        <v>0</v>
      </c>
      <c r="D1102">
        <f>B1102*('hospitalityq-nil'!D1102="")</f>
        <v>0</v>
      </c>
    </row>
    <row r="1103" spans="1:4" x14ac:dyDescent="0.25">
      <c r="A1103">
        <f t="shared" si="17"/>
        <v>0</v>
      </c>
      <c r="B1103" t="b">
        <f>SUMPRODUCT(LEN('hospitalityq-nil'!C1103:D1103))&gt;0</f>
        <v>0</v>
      </c>
      <c r="C1103">
        <f>B1103*('hospitalityq-nil'!C1103="")</f>
        <v>0</v>
      </c>
      <c r="D1103">
        <f>B1103*('hospitalityq-nil'!D1103="")</f>
        <v>0</v>
      </c>
    </row>
    <row r="1104" spans="1:4" x14ac:dyDescent="0.25">
      <c r="A1104">
        <f t="shared" si="17"/>
        <v>0</v>
      </c>
      <c r="B1104" t="b">
        <f>SUMPRODUCT(LEN('hospitalityq-nil'!C1104:D1104))&gt;0</f>
        <v>0</v>
      </c>
      <c r="C1104">
        <f>B1104*('hospitalityq-nil'!C1104="")</f>
        <v>0</v>
      </c>
      <c r="D1104">
        <f>B1104*('hospitalityq-nil'!D1104="")</f>
        <v>0</v>
      </c>
    </row>
    <row r="1105" spans="1:4" x14ac:dyDescent="0.25">
      <c r="A1105">
        <f t="shared" si="17"/>
        <v>0</v>
      </c>
      <c r="B1105" t="b">
        <f>SUMPRODUCT(LEN('hospitalityq-nil'!C1105:D1105))&gt;0</f>
        <v>0</v>
      </c>
      <c r="C1105">
        <f>B1105*('hospitalityq-nil'!C1105="")</f>
        <v>0</v>
      </c>
      <c r="D1105">
        <f>B1105*('hospitalityq-nil'!D1105="")</f>
        <v>0</v>
      </c>
    </row>
    <row r="1106" spans="1:4" x14ac:dyDescent="0.25">
      <c r="A1106">
        <f t="shared" si="17"/>
        <v>0</v>
      </c>
      <c r="B1106" t="b">
        <f>SUMPRODUCT(LEN('hospitalityq-nil'!C1106:D1106))&gt;0</f>
        <v>0</v>
      </c>
      <c r="C1106">
        <f>B1106*('hospitalityq-nil'!C1106="")</f>
        <v>0</v>
      </c>
      <c r="D1106">
        <f>B1106*('hospitalityq-nil'!D1106="")</f>
        <v>0</v>
      </c>
    </row>
    <row r="1107" spans="1:4" x14ac:dyDescent="0.25">
      <c r="A1107">
        <f t="shared" si="17"/>
        <v>0</v>
      </c>
      <c r="B1107" t="b">
        <f>SUMPRODUCT(LEN('hospitalityq-nil'!C1107:D1107))&gt;0</f>
        <v>0</v>
      </c>
      <c r="C1107">
        <f>B1107*('hospitalityq-nil'!C1107="")</f>
        <v>0</v>
      </c>
      <c r="D1107">
        <f>B1107*('hospitalityq-nil'!D1107="")</f>
        <v>0</v>
      </c>
    </row>
    <row r="1108" spans="1:4" x14ac:dyDescent="0.25">
      <c r="A1108">
        <f t="shared" si="17"/>
        <v>0</v>
      </c>
      <c r="B1108" t="b">
        <f>SUMPRODUCT(LEN('hospitalityq-nil'!C1108:D1108))&gt;0</f>
        <v>0</v>
      </c>
      <c r="C1108">
        <f>B1108*('hospitalityq-nil'!C1108="")</f>
        <v>0</v>
      </c>
      <c r="D1108">
        <f>B1108*('hospitalityq-nil'!D1108="")</f>
        <v>0</v>
      </c>
    </row>
    <row r="1109" spans="1:4" x14ac:dyDescent="0.25">
      <c r="A1109">
        <f t="shared" si="17"/>
        <v>0</v>
      </c>
      <c r="B1109" t="b">
        <f>SUMPRODUCT(LEN('hospitalityq-nil'!C1109:D1109))&gt;0</f>
        <v>0</v>
      </c>
      <c r="C1109">
        <f>B1109*('hospitalityq-nil'!C1109="")</f>
        <v>0</v>
      </c>
      <c r="D1109">
        <f>B1109*('hospitalityq-nil'!D1109="")</f>
        <v>0</v>
      </c>
    </row>
    <row r="1110" spans="1:4" x14ac:dyDescent="0.25">
      <c r="A1110">
        <f t="shared" si="17"/>
        <v>0</v>
      </c>
      <c r="B1110" t="b">
        <f>SUMPRODUCT(LEN('hospitalityq-nil'!C1110:D1110))&gt;0</f>
        <v>0</v>
      </c>
      <c r="C1110">
        <f>B1110*('hospitalityq-nil'!C1110="")</f>
        <v>0</v>
      </c>
      <c r="D1110">
        <f>B1110*('hospitalityq-nil'!D1110="")</f>
        <v>0</v>
      </c>
    </row>
    <row r="1111" spans="1:4" x14ac:dyDescent="0.25">
      <c r="A1111">
        <f t="shared" si="17"/>
        <v>0</v>
      </c>
      <c r="B1111" t="b">
        <f>SUMPRODUCT(LEN('hospitalityq-nil'!C1111:D1111))&gt;0</f>
        <v>0</v>
      </c>
      <c r="C1111">
        <f>B1111*('hospitalityq-nil'!C1111="")</f>
        <v>0</v>
      </c>
      <c r="D1111">
        <f>B1111*('hospitalityq-nil'!D1111="")</f>
        <v>0</v>
      </c>
    </row>
    <row r="1112" spans="1:4" x14ac:dyDescent="0.25">
      <c r="A1112">
        <f t="shared" si="17"/>
        <v>0</v>
      </c>
      <c r="B1112" t="b">
        <f>SUMPRODUCT(LEN('hospitalityq-nil'!C1112:D1112))&gt;0</f>
        <v>0</v>
      </c>
      <c r="C1112">
        <f>B1112*('hospitalityq-nil'!C1112="")</f>
        <v>0</v>
      </c>
      <c r="D1112">
        <f>B1112*('hospitalityq-nil'!D1112="")</f>
        <v>0</v>
      </c>
    </row>
    <row r="1113" spans="1:4" x14ac:dyDescent="0.25">
      <c r="A1113">
        <f t="shared" si="17"/>
        <v>0</v>
      </c>
      <c r="B1113" t="b">
        <f>SUMPRODUCT(LEN('hospitalityq-nil'!C1113:D1113))&gt;0</f>
        <v>0</v>
      </c>
      <c r="C1113">
        <f>B1113*('hospitalityq-nil'!C1113="")</f>
        <v>0</v>
      </c>
      <c r="D1113">
        <f>B1113*('hospitalityq-nil'!D1113="")</f>
        <v>0</v>
      </c>
    </row>
    <row r="1114" spans="1:4" x14ac:dyDescent="0.25">
      <c r="A1114">
        <f t="shared" si="17"/>
        <v>0</v>
      </c>
      <c r="B1114" t="b">
        <f>SUMPRODUCT(LEN('hospitalityq-nil'!C1114:D1114))&gt;0</f>
        <v>0</v>
      </c>
      <c r="C1114">
        <f>B1114*('hospitalityq-nil'!C1114="")</f>
        <v>0</v>
      </c>
      <c r="D1114">
        <f>B1114*('hospitalityq-nil'!D1114="")</f>
        <v>0</v>
      </c>
    </row>
    <row r="1115" spans="1:4" x14ac:dyDescent="0.25">
      <c r="A1115">
        <f t="shared" si="17"/>
        <v>0</v>
      </c>
      <c r="B1115" t="b">
        <f>SUMPRODUCT(LEN('hospitalityq-nil'!C1115:D1115))&gt;0</f>
        <v>0</v>
      </c>
      <c r="C1115">
        <f>B1115*('hospitalityq-nil'!C1115="")</f>
        <v>0</v>
      </c>
      <c r="D1115">
        <f>B1115*('hospitalityq-nil'!D1115="")</f>
        <v>0</v>
      </c>
    </row>
    <row r="1116" spans="1:4" x14ac:dyDescent="0.25">
      <c r="A1116">
        <f t="shared" si="17"/>
        <v>0</v>
      </c>
      <c r="B1116" t="b">
        <f>SUMPRODUCT(LEN('hospitalityq-nil'!C1116:D1116))&gt;0</f>
        <v>0</v>
      </c>
      <c r="C1116">
        <f>B1116*('hospitalityq-nil'!C1116="")</f>
        <v>0</v>
      </c>
      <c r="D1116">
        <f>B1116*('hospitalityq-nil'!D1116="")</f>
        <v>0</v>
      </c>
    </row>
    <row r="1117" spans="1:4" x14ac:dyDescent="0.25">
      <c r="A1117">
        <f t="shared" si="17"/>
        <v>0</v>
      </c>
      <c r="B1117" t="b">
        <f>SUMPRODUCT(LEN('hospitalityq-nil'!C1117:D1117))&gt;0</f>
        <v>0</v>
      </c>
      <c r="C1117">
        <f>B1117*('hospitalityq-nil'!C1117="")</f>
        <v>0</v>
      </c>
      <c r="D1117">
        <f>B1117*('hospitalityq-nil'!D1117="")</f>
        <v>0</v>
      </c>
    </row>
    <row r="1118" spans="1:4" x14ac:dyDescent="0.25">
      <c r="A1118">
        <f t="shared" si="17"/>
        <v>0</v>
      </c>
      <c r="B1118" t="b">
        <f>SUMPRODUCT(LEN('hospitalityq-nil'!C1118:D1118))&gt;0</f>
        <v>0</v>
      </c>
      <c r="C1118">
        <f>B1118*('hospitalityq-nil'!C1118="")</f>
        <v>0</v>
      </c>
      <c r="D1118">
        <f>B1118*('hospitalityq-nil'!D1118="")</f>
        <v>0</v>
      </c>
    </row>
    <row r="1119" spans="1:4" x14ac:dyDescent="0.25">
      <c r="A1119">
        <f t="shared" si="17"/>
        <v>0</v>
      </c>
      <c r="B1119" t="b">
        <f>SUMPRODUCT(LEN('hospitalityq-nil'!C1119:D1119))&gt;0</f>
        <v>0</v>
      </c>
      <c r="C1119">
        <f>B1119*('hospitalityq-nil'!C1119="")</f>
        <v>0</v>
      </c>
      <c r="D1119">
        <f>B1119*('hospitalityq-nil'!D1119="")</f>
        <v>0</v>
      </c>
    </row>
    <row r="1120" spans="1:4" x14ac:dyDescent="0.25">
      <c r="A1120">
        <f t="shared" si="17"/>
        <v>0</v>
      </c>
      <c r="B1120" t="b">
        <f>SUMPRODUCT(LEN('hospitalityq-nil'!C1120:D1120))&gt;0</f>
        <v>0</v>
      </c>
      <c r="C1120">
        <f>B1120*('hospitalityq-nil'!C1120="")</f>
        <v>0</v>
      </c>
      <c r="D1120">
        <f>B1120*('hospitalityq-nil'!D1120="")</f>
        <v>0</v>
      </c>
    </row>
    <row r="1121" spans="1:4" x14ac:dyDescent="0.25">
      <c r="A1121">
        <f t="shared" si="17"/>
        <v>0</v>
      </c>
      <c r="B1121" t="b">
        <f>SUMPRODUCT(LEN('hospitalityq-nil'!C1121:D1121))&gt;0</f>
        <v>0</v>
      </c>
      <c r="C1121">
        <f>B1121*('hospitalityq-nil'!C1121="")</f>
        <v>0</v>
      </c>
      <c r="D1121">
        <f>B1121*('hospitalityq-nil'!D1121="")</f>
        <v>0</v>
      </c>
    </row>
    <row r="1122" spans="1:4" x14ac:dyDescent="0.25">
      <c r="A1122">
        <f t="shared" si="17"/>
        <v>0</v>
      </c>
      <c r="B1122" t="b">
        <f>SUMPRODUCT(LEN('hospitalityq-nil'!C1122:D1122))&gt;0</f>
        <v>0</v>
      </c>
      <c r="C1122">
        <f>B1122*('hospitalityq-nil'!C1122="")</f>
        <v>0</v>
      </c>
      <c r="D1122">
        <f>B1122*('hospitalityq-nil'!D1122="")</f>
        <v>0</v>
      </c>
    </row>
    <row r="1123" spans="1:4" x14ac:dyDescent="0.25">
      <c r="A1123">
        <f t="shared" si="17"/>
        <v>0</v>
      </c>
      <c r="B1123" t="b">
        <f>SUMPRODUCT(LEN('hospitalityq-nil'!C1123:D1123))&gt;0</f>
        <v>0</v>
      </c>
      <c r="C1123">
        <f>B1123*('hospitalityq-nil'!C1123="")</f>
        <v>0</v>
      </c>
      <c r="D1123">
        <f>B1123*('hospitalityq-nil'!D1123="")</f>
        <v>0</v>
      </c>
    </row>
    <row r="1124" spans="1:4" x14ac:dyDescent="0.25">
      <c r="A1124">
        <f t="shared" si="17"/>
        <v>0</v>
      </c>
      <c r="B1124" t="b">
        <f>SUMPRODUCT(LEN('hospitalityq-nil'!C1124:D1124))&gt;0</f>
        <v>0</v>
      </c>
      <c r="C1124">
        <f>B1124*('hospitalityq-nil'!C1124="")</f>
        <v>0</v>
      </c>
      <c r="D1124">
        <f>B1124*('hospitalityq-nil'!D1124="")</f>
        <v>0</v>
      </c>
    </row>
    <row r="1125" spans="1:4" x14ac:dyDescent="0.25">
      <c r="A1125">
        <f t="shared" si="17"/>
        <v>0</v>
      </c>
      <c r="B1125" t="b">
        <f>SUMPRODUCT(LEN('hospitalityq-nil'!C1125:D1125))&gt;0</f>
        <v>0</v>
      </c>
      <c r="C1125">
        <f>B1125*('hospitalityq-nil'!C1125="")</f>
        <v>0</v>
      </c>
      <c r="D1125">
        <f>B1125*('hospitalityq-nil'!D1125="")</f>
        <v>0</v>
      </c>
    </row>
    <row r="1126" spans="1:4" x14ac:dyDescent="0.25">
      <c r="A1126">
        <f t="shared" si="17"/>
        <v>0</v>
      </c>
      <c r="B1126" t="b">
        <f>SUMPRODUCT(LEN('hospitalityq-nil'!C1126:D1126))&gt;0</f>
        <v>0</v>
      </c>
      <c r="C1126">
        <f>B1126*('hospitalityq-nil'!C1126="")</f>
        <v>0</v>
      </c>
      <c r="D1126">
        <f>B1126*('hospitalityq-nil'!D1126="")</f>
        <v>0</v>
      </c>
    </row>
    <row r="1127" spans="1:4" x14ac:dyDescent="0.25">
      <c r="A1127">
        <f t="shared" si="17"/>
        <v>0</v>
      </c>
      <c r="B1127" t="b">
        <f>SUMPRODUCT(LEN('hospitalityq-nil'!C1127:D1127))&gt;0</f>
        <v>0</v>
      </c>
      <c r="C1127">
        <f>B1127*('hospitalityq-nil'!C1127="")</f>
        <v>0</v>
      </c>
      <c r="D1127">
        <f>B1127*('hospitalityq-nil'!D1127="")</f>
        <v>0</v>
      </c>
    </row>
    <row r="1128" spans="1:4" x14ac:dyDescent="0.25">
      <c r="A1128">
        <f t="shared" si="17"/>
        <v>0</v>
      </c>
      <c r="B1128" t="b">
        <f>SUMPRODUCT(LEN('hospitalityq-nil'!C1128:D1128))&gt;0</f>
        <v>0</v>
      </c>
      <c r="C1128">
        <f>B1128*('hospitalityq-nil'!C1128="")</f>
        <v>0</v>
      </c>
      <c r="D1128">
        <f>B1128*('hospitalityq-nil'!D1128="")</f>
        <v>0</v>
      </c>
    </row>
    <row r="1129" spans="1:4" x14ac:dyDescent="0.25">
      <c r="A1129">
        <f t="shared" si="17"/>
        <v>0</v>
      </c>
      <c r="B1129" t="b">
        <f>SUMPRODUCT(LEN('hospitalityq-nil'!C1129:D1129))&gt;0</f>
        <v>0</v>
      </c>
      <c r="C1129">
        <f>B1129*('hospitalityq-nil'!C1129="")</f>
        <v>0</v>
      </c>
      <c r="D1129">
        <f>B1129*('hospitalityq-nil'!D1129="")</f>
        <v>0</v>
      </c>
    </row>
    <row r="1130" spans="1:4" x14ac:dyDescent="0.25">
      <c r="A1130">
        <f t="shared" si="17"/>
        <v>0</v>
      </c>
      <c r="B1130" t="b">
        <f>SUMPRODUCT(LEN('hospitalityq-nil'!C1130:D1130))&gt;0</f>
        <v>0</v>
      </c>
      <c r="C1130">
        <f>B1130*('hospitalityq-nil'!C1130="")</f>
        <v>0</v>
      </c>
      <c r="D1130">
        <f>B1130*('hospitalityq-nil'!D1130="")</f>
        <v>0</v>
      </c>
    </row>
    <row r="1131" spans="1:4" x14ac:dyDescent="0.25">
      <c r="A1131">
        <f t="shared" si="17"/>
        <v>0</v>
      </c>
      <c r="B1131" t="b">
        <f>SUMPRODUCT(LEN('hospitalityq-nil'!C1131:D1131))&gt;0</f>
        <v>0</v>
      </c>
      <c r="C1131">
        <f>B1131*('hospitalityq-nil'!C1131="")</f>
        <v>0</v>
      </c>
      <c r="D1131">
        <f>B1131*('hospitalityq-nil'!D1131="")</f>
        <v>0</v>
      </c>
    </row>
    <row r="1132" spans="1:4" x14ac:dyDescent="0.25">
      <c r="A1132">
        <f t="shared" si="17"/>
        <v>0</v>
      </c>
      <c r="B1132" t="b">
        <f>SUMPRODUCT(LEN('hospitalityq-nil'!C1132:D1132))&gt;0</f>
        <v>0</v>
      </c>
      <c r="C1132">
        <f>B1132*('hospitalityq-nil'!C1132="")</f>
        <v>0</v>
      </c>
      <c r="D1132">
        <f>B1132*('hospitalityq-nil'!D1132="")</f>
        <v>0</v>
      </c>
    </row>
    <row r="1133" spans="1:4" x14ac:dyDescent="0.25">
      <c r="A1133">
        <f t="shared" si="17"/>
        <v>0</v>
      </c>
      <c r="B1133" t="b">
        <f>SUMPRODUCT(LEN('hospitalityq-nil'!C1133:D1133))&gt;0</f>
        <v>0</v>
      </c>
      <c r="C1133">
        <f>B1133*('hospitalityq-nil'!C1133="")</f>
        <v>0</v>
      </c>
      <c r="D1133">
        <f>B1133*('hospitalityq-nil'!D1133="")</f>
        <v>0</v>
      </c>
    </row>
    <row r="1134" spans="1:4" x14ac:dyDescent="0.25">
      <c r="A1134">
        <f t="shared" si="17"/>
        <v>0</v>
      </c>
      <c r="B1134" t="b">
        <f>SUMPRODUCT(LEN('hospitalityq-nil'!C1134:D1134))&gt;0</f>
        <v>0</v>
      </c>
      <c r="C1134">
        <f>B1134*('hospitalityq-nil'!C1134="")</f>
        <v>0</v>
      </c>
      <c r="D1134">
        <f>B1134*('hospitalityq-nil'!D1134="")</f>
        <v>0</v>
      </c>
    </row>
    <row r="1135" spans="1:4" x14ac:dyDescent="0.25">
      <c r="A1135">
        <f t="shared" si="17"/>
        <v>0</v>
      </c>
      <c r="B1135" t="b">
        <f>SUMPRODUCT(LEN('hospitalityq-nil'!C1135:D1135))&gt;0</f>
        <v>0</v>
      </c>
      <c r="C1135">
        <f>B1135*('hospitalityq-nil'!C1135="")</f>
        <v>0</v>
      </c>
      <c r="D1135">
        <f>B1135*('hospitalityq-nil'!D1135="")</f>
        <v>0</v>
      </c>
    </row>
    <row r="1136" spans="1:4" x14ac:dyDescent="0.25">
      <c r="A1136">
        <f t="shared" si="17"/>
        <v>0</v>
      </c>
      <c r="B1136" t="b">
        <f>SUMPRODUCT(LEN('hospitalityq-nil'!C1136:D1136))&gt;0</f>
        <v>0</v>
      </c>
      <c r="C1136">
        <f>B1136*('hospitalityq-nil'!C1136="")</f>
        <v>0</v>
      </c>
      <c r="D1136">
        <f>B1136*('hospitalityq-nil'!D1136="")</f>
        <v>0</v>
      </c>
    </row>
    <row r="1137" spans="1:4" x14ac:dyDescent="0.25">
      <c r="A1137">
        <f t="shared" si="17"/>
        <v>0</v>
      </c>
      <c r="B1137" t="b">
        <f>SUMPRODUCT(LEN('hospitalityq-nil'!C1137:D1137))&gt;0</f>
        <v>0</v>
      </c>
      <c r="C1137">
        <f>B1137*('hospitalityq-nil'!C1137="")</f>
        <v>0</v>
      </c>
      <c r="D1137">
        <f>B1137*('hospitalityq-nil'!D1137="")</f>
        <v>0</v>
      </c>
    </row>
    <row r="1138" spans="1:4" x14ac:dyDescent="0.25">
      <c r="A1138">
        <f t="shared" si="17"/>
        <v>0</v>
      </c>
      <c r="B1138" t="b">
        <f>SUMPRODUCT(LEN('hospitalityq-nil'!C1138:D1138))&gt;0</f>
        <v>0</v>
      </c>
      <c r="C1138">
        <f>B1138*('hospitalityq-nil'!C1138="")</f>
        <v>0</v>
      </c>
      <c r="D1138">
        <f>B1138*('hospitalityq-nil'!D1138="")</f>
        <v>0</v>
      </c>
    </row>
    <row r="1139" spans="1:4" x14ac:dyDescent="0.25">
      <c r="A1139">
        <f t="shared" si="17"/>
        <v>0</v>
      </c>
      <c r="B1139" t="b">
        <f>SUMPRODUCT(LEN('hospitalityq-nil'!C1139:D1139))&gt;0</f>
        <v>0</v>
      </c>
      <c r="C1139">
        <f>B1139*('hospitalityq-nil'!C1139="")</f>
        <v>0</v>
      </c>
      <c r="D1139">
        <f>B1139*('hospitalityq-nil'!D1139="")</f>
        <v>0</v>
      </c>
    </row>
    <row r="1140" spans="1:4" x14ac:dyDescent="0.25">
      <c r="A1140">
        <f t="shared" si="17"/>
        <v>0</v>
      </c>
      <c r="B1140" t="b">
        <f>SUMPRODUCT(LEN('hospitalityq-nil'!C1140:D1140))&gt;0</f>
        <v>0</v>
      </c>
      <c r="C1140">
        <f>B1140*('hospitalityq-nil'!C1140="")</f>
        <v>0</v>
      </c>
      <c r="D1140">
        <f>B1140*('hospitalityq-nil'!D1140="")</f>
        <v>0</v>
      </c>
    </row>
    <row r="1141" spans="1:4" x14ac:dyDescent="0.25">
      <c r="A1141">
        <f t="shared" si="17"/>
        <v>0</v>
      </c>
      <c r="B1141" t="b">
        <f>SUMPRODUCT(LEN('hospitalityq-nil'!C1141:D1141))&gt;0</f>
        <v>0</v>
      </c>
      <c r="C1141">
        <f>B1141*('hospitalityq-nil'!C1141="")</f>
        <v>0</v>
      </c>
      <c r="D1141">
        <f>B1141*('hospitalityq-nil'!D1141="")</f>
        <v>0</v>
      </c>
    </row>
    <row r="1142" spans="1:4" x14ac:dyDescent="0.25">
      <c r="A1142">
        <f t="shared" si="17"/>
        <v>0</v>
      </c>
      <c r="B1142" t="b">
        <f>SUMPRODUCT(LEN('hospitalityq-nil'!C1142:D1142))&gt;0</f>
        <v>0</v>
      </c>
      <c r="C1142">
        <f>B1142*('hospitalityq-nil'!C1142="")</f>
        <v>0</v>
      </c>
      <c r="D1142">
        <f>B1142*('hospitalityq-nil'!D1142="")</f>
        <v>0</v>
      </c>
    </row>
    <row r="1143" spans="1:4" x14ac:dyDescent="0.25">
      <c r="A1143">
        <f t="shared" si="17"/>
        <v>0</v>
      </c>
      <c r="B1143" t="b">
        <f>SUMPRODUCT(LEN('hospitalityq-nil'!C1143:D1143))&gt;0</f>
        <v>0</v>
      </c>
      <c r="C1143">
        <f>B1143*('hospitalityq-nil'!C1143="")</f>
        <v>0</v>
      </c>
      <c r="D1143">
        <f>B1143*('hospitalityq-nil'!D1143="")</f>
        <v>0</v>
      </c>
    </row>
    <row r="1144" spans="1:4" x14ac:dyDescent="0.25">
      <c r="A1144">
        <f t="shared" si="17"/>
        <v>0</v>
      </c>
      <c r="B1144" t="b">
        <f>SUMPRODUCT(LEN('hospitalityq-nil'!C1144:D1144))&gt;0</f>
        <v>0</v>
      </c>
      <c r="C1144">
        <f>B1144*('hospitalityq-nil'!C1144="")</f>
        <v>0</v>
      </c>
      <c r="D1144">
        <f>B1144*('hospitalityq-nil'!D1144="")</f>
        <v>0</v>
      </c>
    </row>
    <row r="1145" spans="1:4" x14ac:dyDescent="0.25">
      <c r="A1145">
        <f t="shared" si="17"/>
        <v>0</v>
      </c>
      <c r="B1145" t="b">
        <f>SUMPRODUCT(LEN('hospitalityq-nil'!C1145:D1145))&gt;0</f>
        <v>0</v>
      </c>
      <c r="C1145">
        <f>B1145*('hospitalityq-nil'!C1145="")</f>
        <v>0</v>
      </c>
      <c r="D1145">
        <f>B1145*('hospitalityq-nil'!D1145="")</f>
        <v>0</v>
      </c>
    </row>
    <row r="1146" spans="1:4" x14ac:dyDescent="0.25">
      <c r="A1146">
        <f t="shared" si="17"/>
        <v>0</v>
      </c>
      <c r="B1146" t="b">
        <f>SUMPRODUCT(LEN('hospitalityq-nil'!C1146:D1146))&gt;0</f>
        <v>0</v>
      </c>
      <c r="C1146">
        <f>B1146*('hospitalityq-nil'!C1146="")</f>
        <v>0</v>
      </c>
      <c r="D1146">
        <f>B1146*('hospitalityq-nil'!D1146="")</f>
        <v>0</v>
      </c>
    </row>
    <row r="1147" spans="1:4" x14ac:dyDescent="0.25">
      <c r="A1147">
        <f t="shared" si="17"/>
        <v>0</v>
      </c>
      <c r="B1147" t="b">
        <f>SUMPRODUCT(LEN('hospitalityq-nil'!C1147:D1147))&gt;0</f>
        <v>0</v>
      </c>
      <c r="C1147">
        <f>B1147*('hospitalityq-nil'!C1147="")</f>
        <v>0</v>
      </c>
      <c r="D1147">
        <f>B1147*('hospitalityq-nil'!D1147="")</f>
        <v>0</v>
      </c>
    </row>
    <row r="1148" spans="1:4" x14ac:dyDescent="0.25">
      <c r="A1148">
        <f t="shared" si="17"/>
        <v>0</v>
      </c>
      <c r="B1148" t="b">
        <f>SUMPRODUCT(LEN('hospitalityq-nil'!C1148:D1148))&gt;0</f>
        <v>0</v>
      </c>
      <c r="C1148">
        <f>B1148*('hospitalityq-nil'!C1148="")</f>
        <v>0</v>
      </c>
      <c r="D1148">
        <f>B1148*('hospitalityq-nil'!D1148="")</f>
        <v>0</v>
      </c>
    </row>
    <row r="1149" spans="1:4" x14ac:dyDescent="0.25">
      <c r="A1149">
        <f t="shared" si="17"/>
        <v>0</v>
      </c>
      <c r="B1149" t="b">
        <f>SUMPRODUCT(LEN('hospitalityq-nil'!C1149:D1149))&gt;0</f>
        <v>0</v>
      </c>
      <c r="C1149">
        <f>B1149*('hospitalityq-nil'!C1149="")</f>
        <v>0</v>
      </c>
      <c r="D1149">
        <f>B1149*('hospitalityq-nil'!D1149="")</f>
        <v>0</v>
      </c>
    </row>
    <row r="1150" spans="1:4" x14ac:dyDescent="0.25">
      <c r="A1150">
        <f t="shared" si="17"/>
        <v>0</v>
      </c>
      <c r="B1150" t="b">
        <f>SUMPRODUCT(LEN('hospitalityq-nil'!C1150:D1150))&gt;0</f>
        <v>0</v>
      </c>
      <c r="C1150">
        <f>B1150*('hospitalityq-nil'!C1150="")</f>
        <v>0</v>
      </c>
      <c r="D1150">
        <f>B1150*('hospitalityq-nil'!D1150="")</f>
        <v>0</v>
      </c>
    </row>
    <row r="1151" spans="1:4" x14ac:dyDescent="0.25">
      <c r="A1151">
        <f t="shared" si="17"/>
        <v>0</v>
      </c>
      <c r="B1151" t="b">
        <f>SUMPRODUCT(LEN('hospitalityq-nil'!C1151:D1151))&gt;0</f>
        <v>0</v>
      </c>
      <c r="C1151">
        <f>B1151*('hospitalityq-nil'!C1151="")</f>
        <v>0</v>
      </c>
      <c r="D1151">
        <f>B1151*('hospitalityq-nil'!D1151="")</f>
        <v>0</v>
      </c>
    </row>
    <row r="1152" spans="1:4" x14ac:dyDescent="0.25">
      <c r="A1152">
        <f t="shared" si="17"/>
        <v>0</v>
      </c>
      <c r="B1152" t="b">
        <f>SUMPRODUCT(LEN('hospitalityq-nil'!C1152:D1152))&gt;0</f>
        <v>0</v>
      </c>
      <c r="C1152">
        <f>B1152*('hospitalityq-nil'!C1152="")</f>
        <v>0</v>
      </c>
      <c r="D1152">
        <f>B1152*('hospitalityq-nil'!D1152="")</f>
        <v>0</v>
      </c>
    </row>
    <row r="1153" spans="1:4" x14ac:dyDescent="0.25">
      <c r="A1153">
        <f t="shared" si="17"/>
        <v>0</v>
      </c>
      <c r="B1153" t="b">
        <f>SUMPRODUCT(LEN('hospitalityq-nil'!C1153:D1153))&gt;0</f>
        <v>0</v>
      </c>
      <c r="C1153">
        <f>B1153*('hospitalityq-nil'!C1153="")</f>
        <v>0</v>
      </c>
      <c r="D1153">
        <f>B1153*('hospitalityq-nil'!D1153="")</f>
        <v>0</v>
      </c>
    </row>
    <row r="1154" spans="1:4" x14ac:dyDescent="0.25">
      <c r="A1154">
        <f t="shared" si="17"/>
        <v>0</v>
      </c>
      <c r="B1154" t="b">
        <f>SUMPRODUCT(LEN('hospitalityq-nil'!C1154:D1154))&gt;0</f>
        <v>0</v>
      </c>
      <c r="C1154">
        <f>B1154*('hospitalityq-nil'!C1154="")</f>
        <v>0</v>
      </c>
      <c r="D1154">
        <f>B1154*('hospitalityq-nil'!D1154="")</f>
        <v>0</v>
      </c>
    </row>
    <row r="1155" spans="1:4" x14ac:dyDescent="0.25">
      <c r="A1155">
        <f t="shared" si="17"/>
        <v>0</v>
      </c>
      <c r="B1155" t="b">
        <f>SUMPRODUCT(LEN('hospitalityq-nil'!C1155:D1155))&gt;0</f>
        <v>0</v>
      </c>
      <c r="C1155">
        <f>B1155*('hospitalityq-nil'!C1155="")</f>
        <v>0</v>
      </c>
      <c r="D1155">
        <f>B1155*('hospitalityq-nil'!D1155="")</f>
        <v>0</v>
      </c>
    </row>
    <row r="1156" spans="1:4" x14ac:dyDescent="0.25">
      <c r="A1156">
        <f t="shared" si="17"/>
        <v>0</v>
      </c>
      <c r="B1156" t="b">
        <f>SUMPRODUCT(LEN('hospitalityq-nil'!C1156:D1156))&gt;0</f>
        <v>0</v>
      </c>
      <c r="C1156">
        <f>B1156*('hospitalityq-nil'!C1156="")</f>
        <v>0</v>
      </c>
      <c r="D1156">
        <f>B1156*('hospitalityq-nil'!D1156="")</f>
        <v>0</v>
      </c>
    </row>
    <row r="1157" spans="1:4" x14ac:dyDescent="0.25">
      <c r="A1157">
        <f t="shared" si="17"/>
        <v>0</v>
      </c>
      <c r="B1157" t="b">
        <f>SUMPRODUCT(LEN('hospitalityq-nil'!C1157:D1157))&gt;0</f>
        <v>0</v>
      </c>
      <c r="C1157">
        <f>B1157*('hospitalityq-nil'!C1157="")</f>
        <v>0</v>
      </c>
      <c r="D1157">
        <f>B1157*('hospitalityq-nil'!D1157="")</f>
        <v>0</v>
      </c>
    </row>
    <row r="1158" spans="1:4" x14ac:dyDescent="0.25">
      <c r="A1158">
        <f t="shared" ref="A1158:A1221" si="18">IFERROR(MATCH(TRUE,INDEX(C1158:D1158&lt;&gt;0,),)+2,0)</f>
        <v>0</v>
      </c>
      <c r="B1158" t="b">
        <f>SUMPRODUCT(LEN('hospitalityq-nil'!C1158:D1158))&gt;0</f>
        <v>0</v>
      </c>
      <c r="C1158">
        <f>B1158*('hospitalityq-nil'!C1158="")</f>
        <v>0</v>
      </c>
      <c r="D1158">
        <f>B1158*('hospitalityq-nil'!D1158="")</f>
        <v>0</v>
      </c>
    </row>
    <row r="1159" spans="1:4" x14ac:dyDescent="0.25">
      <c r="A1159">
        <f t="shared" si="18"/>
        <v>0</v>
      </c>
      <c r="B1159" t="b">
        <f>SUMPRODUCT(LEN('hospitalityq-nil'!C1159:D1159))&gt;0</f>
        <v>0</v>
      </c>
      <c r="C1159">
        <f>B1159*('hospitalityq-nil'!C1159="")</f>
        <v>0</v>
      </c>
      <c r="D1159">
        <f>B1159*('hospitalityq-nil'!D1159="")</f>
        <v>0</v>
      </c>
    </row>
    <row r="1160" spans="1:4" x14ac:dyDescent="0.25">
      <c r="A1160">
        <f t="shared" si="18"/>
        <v>0</v>
      </c>
      <c r="B1160" t="b">
        <f>SUMPRODUCT(LEN('hospitalityq-nil'!C1160:D1160))&gt;0</f>
        <v>0</v>
      </c>
      <c r="C1160">
        <f>B1160*('hospitalityq-nil'!C1160="")</f>
        <v>0</v>
      </c>
      <c r="D1160">
        <f>B1160*('hospitalityq-nil'!D1160="")</f>
        <v>0</v>
      </c>
    </row>
    <row r="1161" spans="1:4" x14ac:dyDescent="0.25">
      <c r="A1161">
        <f t="shared" si="18"/>
        <v>0</v>
      </c>
      <c r="B1161" t="b">
        <f>SUMPRODUCT(LEN('hospitalityq-nil'!C1161:D1161))&gt;0</f>
        <v>0</v>
      </c>
      <c r="C1161">
        <f>B1161*('hospitalityq-nil'!C1161="")</f>
        <v>0</v>
      </c>
      <c r="D1161">
        <f>B1161*('hospitalityq-nil'!D1161="")</f>
        <v>0</v>
      </c>
    </row>
    <row r="1162" spans="1:4" x14ac:dyDescent="0.25">
      <c r="A1162">
        <f t="shared" si="18"/>
        <v>0</v>
      </c>
      <c r="B1162" t="b">
        <f>SUMPRODUCT(LEN('hospitalityq-nil'!C1162:D1162))&gt;0</f>
        <v>0</v>
      </c>
      <c r="C1162">
        <f>B1162*('hospitalityq-nil'!C1162="")</f>
        <v>0</v>
      </c>
      <c r="D1162">
        <f>B1162*('hospitalityq-nil'!D1162="")</f>
        <v>0</v>
      </c>
    </row>
    <row r="1163" spans="1:4" x14ac:dyDescent="0.25">
      <c r="A1163">
        <f t="shared" si="18"/>
        <v>0</v>
      </c>
      <c r="B1163" t="b">
        <f>SUMPRODUCT(LEN('hospitalityq-nil'!C1163:D1163))&gt;0</f>
        <v>0</v>
      </c>
      <c r="C1163">
        <f>B1163*('hospitalityq-nil'!C1163="")</f>
        <v>0</v>
      </c>
      <c r="D1163">
        <f>B1163*('hospitalityq-nil'!D1163="")</f>
        <v>0</v>
      </c>
    </row>
    <row r="1164" spans="1:4" x14ac:dyDescent="0.25">
      <c r="A1164">
        <f t="shared" si="18"/>
        <v>0</v>
      </c>
      <c r="B1164" t="b">
        <f>SUMPRODUCT(LEN('hospitalityq-nil'!C1164:D1164))&gt;0</f>
        <v>0</v>
      </c>
      <c r="C1164">
        <f>B1164*('hospitalityq-nil'!C1164="")</f>
        <v>0</v>
      </c>
      <c r="D1164">
        <f>B1164*('hospitalityq-nil'!D1164="")</f>
        <v>0</v>
      </c>
    </row>
    <row r="1165" spans="1:4" x14ac:dyDescent="0.25">
      <c r="A1165">
        <f t="shared" si="18"/>
        <v>0</v>
      </c>
      <c r="B1165" t="b">
        <f>SUMPRODUCT(LEN('hospitalityq-nil'!C1165:D1165))&gt;0</f>
        <v>0</v>
      </c>
      <c r="C1165">
        <f>B1165*('hospitalityq-nil'!C1165="")</f>
        <v>0</v>
      </c>
      <c r="D1165">
        <f>B1165*('hospitalityq-nil'!D1165="")</f>
        <v>0</v>
      </c>
    </row>
    <row r="1166" spans="1:4" x14ac:dyDescent="0.25">
      <c r="A1166">
        <f t="shared" si="18"/>
        <v>0</v>
      </c>
      <c r="B1166" t="b">
        <f>SUMPRODUCT(LEN('hospitalityq-nil'!C1166:D1166))&gt;0</f>
        <v>0</v>
      </c>
      <c r="C1166">
        <f>B1166*('hospitalityq-nil'!C1166="")</f>
        <v>0</v>
      </c>
      <c r="D1166">
        <f>B1166*('hospitalityq-nil'!D1166="")</f>
        <v>0</v>
      </c>
    </row>
    <row r="1167" spans="1:4" x14ac:dyDescent="0.25">
      <c r="A1167">
        <f t="shared" si="18"/>
        <v>0</v>
      </c>
      <c r="B1167" t="b">
        <f>SUMPRODUCT(LEN('hospitalityq-nil'!C1167:D1167))&gt;0</f>
        <v>0</v>
      </c>
      <c r="C1167">
        <f>B1167*('hospitalityq-nil'!C1167="")</f>
        <v>0</v>
      </c>
      <c r="D1167">
        <f>B1167*('hospitalityq-nil'!D1167="")</f>
        <v>0</v>
      </c>
    </row>
    <row r="1168" spans="1:4" x14ac:dyDescent="0.25">
      <c r="A1168">
        <f t="shared" si="18"/>
        <v>0</v>
      </c>
      <c r="B1168" t="b">
        <f>SUMPRODUCT(LEN('hospitalityq-nil'!C1168:D1168))&gt;0</f>
        <v>0</v>
      </c>
      <c r="C1168">
        <f>B1168*('hospitalityq-nil'!C1168="")</f>
        <v>0</v>
      </c>
      <c r="D1168">
        <f>B1168*('hospitalityq-nil'!D1168="")</f>
        <v>0</v>
      </c>
    </row>
    <row r="1169" spans="1:4" x14ac:dyDescent="0.25">
      <c r="A1169">
        <f t="shared" si="18"/>
        <v>0</v>
      </c>
      <c r="B1169" t="b">
        <f>SUMPRODUCT(LEN('hospitalityq-nil'!C1169:D1169))&gt;0</f>
        <v>0</v>
      </c>
      <c r="C1169">
        <f>B1169*('hospitalityq-nil'!C1169="")</f>
        <v>0</v>
      </c>
      <c r="D1169">
        <f>B1169*('hospitalityq-nil'!D1169="")</f>
        <v>0</v>
      </c>
    </row>
    <row r="1170" spans="1:4" x14ac:dyDescent="0.25">
      <c r="A1170">
        <f t="shared" si="18"/>
        <v>0</v>
      </c>
      <c r="B1170" t="b">
        <f>SUMPRODUCT(LEN('hospitalityq-nil'!C1170:D1170))&gt;0</f>
        <v>0</v>
      </c>
      <c r="C1170">
        <f>B1170*('hospitalityq-nil'!C1170="")</f>
        <v>0</v>
      </c>
      <c r="D1170">
        <f>B1170*('hospitalityq-nil'!D1170="")</f>
        <v>0</v>
      </c>
    </row>
    <row r="1171" spans="1:4" x14ac:dyDescent="0.25">
      <c r="A1171">
        <f t="shared" si="18"/>
        <v>0</v>
      </c>
      <c r="B1171" t="b">
        <f>SUMPRODUCT(LEN('hospitalityq-nil'!C1171:D1171))&gt;0</f>
        <v>0</v>
      </c>
      <c r="C1171">
        <f>B1171*('hospitalityq-nil'!C1171="")</f>
        <v>0</v>
      </c>
      <c r="D1171">
        <f>B1171*('hospitalityq-nil'!D1171="")</f>
        <v>0</v>
      </c>
    </row>
    <row r="1172" spans="1:4" x14ac:dyDescent="0.25">
      <c r="A1172">
        <f t="shared" si="18"/>
        <v>0</v>
      </c>
      <c r="B1172" t="b">
        <f>SUMPRODUCT(LEN('hospitalityq-nil'!C1172:D1172))&gt;0</f>
        <v>0</v>
      </c>
      <c r="C1172">
        <f>B1172*('hospitalityq-nil'!C1172="")</f>
        <v>0</v>
      </c>
      <c r="D1172">
        <f>B1172*('hospitalityq-nil'!D1172="")</f>
        <v>0</v>
      </c>
    </row>
    <row r="1173" spans="1:4" x14ac:dyDescent="0.25">
      <c r="A1173">
        <f t="shared" si="18"/>
        <v>0</v>
      </c>
      <c r="B1173" t="b">
        <f>SUMPRODUCT(LEN('hospitalityq-nil'!C1173:D1173))&gt;0</f>
        <v>0</v>
      </c>
      <c r="C1173">
        <f>B1173*('hospitalityq-nil'!C1173="")</f>
        <v>0</v>
      </c>
      <c r="D1173">
        <f>B1173*('hospitalityq-nil'!D1173="")</f>
        <v>0</v>
      </c>
    </row>
    <row r="1174" spans="1:4" x14ac:dyDescent="0.25">
      <c r="A1174">
        <f t="shared" si="18"/>
        <v>0</v>
      </c>
      <c r="B1174" t="b">
        <f>SUMPRODUCT(LEN('hospitalityq-nil'!C1174:D1174))&gt;0</f>
        <v>0</v>
      </c>
      <c r="C1174">
        <f>B1174*('hospitalityq-nil'!C1174="")</f>
        <v>0</v>
      </c>
      <c r="D1174">
        <f>B1174*('hospitalityq-nil'!D1174="")</f>
        <v>0</v>
      </c>
    </row>
    <row r="1175" spans="1:4" x14ac:dyDescent="0.25">
      <c r="A1175">
        <f t="shared" si="18"/>
        <v>0</v>
      </c>
      <c r="B1175" t="b">
        <f>SUMPRODUCT(LEN('hospitalityq-nil'!C1175:D1175))&gt;0</f>
        <v>0</v>
      </c>
      <c r="C1175">
        <f>B1175*('hospitalityq-nil'!C1175="")</f>
        <v>0</v>
      </c>
      <c r="D1175">
        <f>B1175*('hospitalityq-nil'!D1175="")</f>
        <v>0</v>
      </c>
    </row>
    <row r="1176" spans="1:4" x14ac:dyDescent="0.25">
      <c r="A1176">
        <f t="shared" si="18"/>
        <v>0</v>
      </c>
      <c r="B1176" t="b">
        <f>SUMPRODUCT(LEN('hospitalityq-nil'!C1176:D1176))&gt;0</f>
        <v>0</v>
      </c>
      <c r="C1176">
        <f>B1176*('hospitalityq-nil'!C1176="")</f>
        <v>0</v>
      </c>
      <c r="D1176">
        <f>B1176*('hospitalityq-nil'!D1176="")</f>
        <v>0</v>
      </c>
    </row>
    <row r="1177" spans="1:4" x14ac:dyDescent="0.25">
      <c r="A1177">
        <f t="shared" si="18"/>
        <v>0</v>
      </c>
      <c r="B1177" t="b">
        <f>SUMPRODUCT(LEN('hospitalityq-nil'!C1177:D1177))&gt;0</f>
        <v>0</v>
      </c>
      <c r="C1177">
        <f>B1177*('hospitalityq-nil'!C1177="")</f>
        <v>0</v>
      </c>
      <c r="D1177">
        <f>B1177*('hospitalityq-nil'!D1177="")</f>
        <v>0</v>
      </c>
    </row>
    <row r="1178" spans="1:4" x14ac:dyDescent="0.25">
      <c r="A1178">
        <f t="shared" si="18"/>
        <v>0</v>
      </c>
      <c r="B1178" t="b">
        <f>SUMPRODUCT(LEN('hospitalityq-nil'!C1178:D1178))&gt;0</f>
        <v>0</v>
      </c>
      <c r="C1178">
        <f>B1178*('hospitalityq-nil'!C1178="")</f>
        <v>0</v>
      </c>
      <c r="D1178">
        <f>B1178*('hospitalityq-nil'!D1178="")</f>
        <v>0</v>
      </c>
    </row>
    <row r="1179" spans="1:4" x14ac:dyDescent="0.25">
      <c r="A1179">
        <f t="shared" si="18"/>
        <v>0</v>
      </c>
      <c r="B1179" t="b">
        <f>SUMPRODUCT(LEN('hospitalityq-nil'!C1179:D1179))&gt;0</f>
        <v>0</v>
      </c>
      <c r="C1179">
        <f>B1179*('hospitalityq-nil'!C1179="")</f>
        <v>0</v>
      </c>
      <c r="D1179">
        <f>B1179*('hospitalityq-nil'!D1179="")</f>
        <v>0</v>
      </c>
    </row>
    <row r="1180" spans="1:4" x14ac:dyDescent="0.25">
      <c r="A1180">
        <f t="shared" si="18"/>
        <v>0</v>
      </c>
      <c r="B1180" t="b">
        <f>SUMPRODUCT(LEN('hospitalityq-nil'!C1180:D1180))&gt;0</f>
        <v>0</v>
      </c>
      <c r="C1180">
        <f>B1180*('hospitalityq-nil'!C1180="")</f>
        <v>0</v>
      </c>
      <c r="D1180">
        <f>B1180*('hospitalityq-nil'!D1180="")</f>
        <v>0</v>
      </c>
    </row>
    <row r="1181" spans="1:4" x14ac:dyDescent="0.25">
      <c r="A1181">
        <f t="shared" si="18"/>
        <v>0</v>
      </c>
      <c r="B1181" t="b">
        <f>SUMPRODUCT(LEN('hospitalityq-nil'!C1181:D1181))&gt;0</f>
        <v>0</v>
      </c>
      <c r="C1181">
        <f>B1181*('hospitalityq-nil'!C1181="")</f>
        <v>0</v>
      </c>
      <c r="D1181">
        <f>B1181*('hospitalityq-nil'!D1181="")</f>
        <v>0</v>
      </c>
    </row>
    <row r="1182" spans="1:4" x14ac:dyDescent="0.25">
      <c r="A1182">
        <f t="shared" si="18"/>
        <v>0</v>
      </c>
      <c r="B1182" t="b">
        <f>SUMPRODUCT(LEN('hospitalityq-nil'!C1182:D1182))&gt;0</f>
        <v>0</v>
      </c>
      <c r="C1182">
        <f>B1182*('hospitalityq-nil'!C1182="")</f>
        <v>0</v>
      </c>
      <c r="D1182">
        <f>B1182*('hospitalityq-nil'!D1182="")</f>
        <v>0</v>
      </c>
    </row>
    <row r="1183" spans="1:4" x14ac:dyDescent="0.25">
      <c r="A1183">
        <f t="shared" si="18"/>
        <v>0</v>
      </c>
      <c r="B1183" t="b">
        <f>SUMPRODUCT(LEN('hospitalityq-nil'!C1183:D1183))&gt;0</f>
        <v>0</v>
      </c>
      <c r="C1183">
        <f>B1183*('hospitalityq-nil'!C1183="")</f>
        <v>0</v>
      </c>
      <c r="D1183">
        <f>B1183*('hospitalityq-nil'!D1183="")</f>
        <v>0</v>
      </c>
    </row>
    <row r="1184" spans="1:4" x14ac:dyDescent="0.25">
      <c r="A1184">
        <f t="shared" si="18"/>
        <v>0</v>
      </c>
      <c r="B1184" t="b">
        <f>SUMPRODUCT(LEN('hospitalityq-nil'!C1184:D1184))&gt;0</f>
        <v>0</v>
      </c>
      <c r="C1184">
        <f>B1184*('hospitalityq-nil'!C1184="")</f>
        <v>0</v>
      </c>
      <c r="D1184">
        <f>B1184*('hospitalityq-nil'!D1184="")</f>
        <v>0</v>
      </c>
    </row>
    <row r="1185" spans="1:4" x14ac:dyDescent="0.25">
      <c r="A1185">
        <f t="shared" si="18"/>
        <v>0</v>
      </c>
      <c r="B1185" t="b">
        <f>SUMPRODUCT(LEN('hospitalityq-nil'!C1185:D1185))&gt;0</f>
        <v>0</v>
      </c>
      <c r="C1185">
        <f>B1185*('hospitalityq-nil'!C1185="")</f>
        <v>0</v>
      </c>
      <c r="D1185">
        <f>B1185*('hospitalityq-nil'!D1185="")</f>
        <v>0</v>
      </c>
    </row>
    <row r="1186" spans="1:4" x14ac:dyDescent="0.25">
      <c r="A1186">
        <f t="shared" si="18"/>
        <v>0</v>
      </c>
      <c r="B1186" t="b">
        <f>SUMPRODUCT(LEN('hospitalityq-nil'!C1186:D1186))&gt;0</f>
        <v>0</v>
      </c>
      <c r="C1186">
        <f>B1186*('hospitalityq-nil'!C1186="")</f>
        <v>0</v>
      </c>
      <c r="D1186">
        <f>B1186*('hospitalityq-nil'!D1186="")</f>
        <v>0</v>
      </c>
    </row>
    <row r="1187" spans="1:4" x14ac:dyDescent="0.25">
      <c r="A1187">
        <f t="shared" si="18"/>
        <v>0</v>
      </c>
      <c r="B1187" t="b">
        <f>SUMPRODUCT(LEN('hospitalityq-nil'!C1187:D1187))&gt;0</f>
        <v>0</v>
      </c>
      <c r="C1187">
        <f>B1187*('hospitalityq-nil'!C1187="")</f>
        <v>0</v>
      </c>
      <c r="D1187">
        <f>B1187*('hospitalityq-nil'!D1187="")</f>
        <v>0</v>
      </c>
    </row>
    <row r="1188" spans="1:4" x14ac:dyDescent="0.25">
      <c r="A1188">
        <f t="shared" si="18"/>
        <v>0</v>
      </c>
      <c r="B1188" t="b">
        <f>SUMPRODUCT(LEN('hospitalityq-nil'!C1188:D1188))&gt;0</f>
        <v>0</v>
      </c>
      <c r="C1188">
        <f>B1188*('hospitalityq-nil'!C1188="")</f>
        <v>0</v>
      </c>
      <c r="D1188">
        <f>B1188*('hospitalityq-nil'!D1188="")</f>
        <v>0</v>
      </c>
    </row>
    <row r="1189" spans="1:4" x14ac:dyDescent="0.25">
      <c r="A1189">
        <f t="shared" si="18"/>
        <v>0</v>
      </c>
      <c r="B1189" t="b">
        <f>SUMPRODUCT(LEN('hospitalityq-nil'!C1189:D1189))&gt;0</f>
        <v>0</v>
      </c>
      <c r="C1189">
        <f>B1189*('hospitalityq-nil'!C1189="")</f>
        <v>0</v>
      </c>
      <c r="D1189">
        <f>B1189*('hospitalityq-nil'!D1189="")</f>
        <v>0</v>
      </c>
    </row>
    <row r="1190" spans="1:4" x14ac:dyDescent="0.25">
      <c r="A1190">
        <f t="shared" si="18"/>
        <v>0</v>
      </c>
      <c r="B1190" t="b">
        <f>SUMPRODUCT(LEN('hospitalityq-nil'!C1190:D1190))&gt;0</f>
        <v>0</v>
      </c>
      <c r="C1190">
        <f>B1190*('hospitalityq-nil'!C1190="")</f>
        <v>0</v>
      </c>
      <c r="D1190">
        <f>B1190*('hospitalityq-nil'!D1190="")</f>
        <v>0</v>
      </c>
    </row>
    <row r="1191" spans="1:4" x14ac:dyDescent="0.25">
      <c r="A1191">
        <f t="shared" si="18"/>
        <v>0</v>
      </c>
      <c r="B1191" t="b">
        <f>SUMPRODUCT(LEN('hospitalityq-nil'!C1191:D1191))&gt;0</f>
        <v>0</v>
      </c>
      <c r="C1191">
        <f>B1191*('hospitalityq-nil'!C1191="")</f>
        <v>0</v>
      </c>
      <c r="D1191">
        <f>B1191*('hospitalityq-nil'!D1191="")</f>
        <v>0</v>
      </c>
    </row>
    <row r="1192" spans="1:4" x14ac:dyDescent="0.25">
      <c r="A1192">
        <f t="shared" si="18"/>
        <v>0</v>
      </c>
      <c r="B1192" t="b">
        <f>SUMPRODUCT(LEN('hospitalityq-nil'!C1192:D1192))&gt;0</f>
        <v>0</v>
      </c>
      <c r="C1192">
        <f>B1192*('hospitalityq-nil'!C1192="")</f>
        <v>0</v>
      </c>
      <c r="D1192">
        <f>B1192*('hospitalityq-nil'!D1192="")</f>
        <v>0</v>
      </c>
    </row>
    <row r="1193" spans="1:4" x14ac:dyDescent="0.25">
      <c r="A1193">
        <f t="shared" si="18"/>
        <v>0</v>
      </c>
      <c r="B1193" t="b">
        <f>SUMPRODUCT(LEN('hospitalityq-nil'!C1193:D1193))&gt;0</f>
        <v>0</v>
      </c>
      <c r="C1193">
        <f>B1193*('hospitalityq-nil'!C1193="")</f>
        <v>0</v>
      </c>
      <c r="D1193">
        <f>B1193*('hospitalityq-nil'!D1193="")</f>
        <v>0</v>
      </c>
    </row>
    <row r="1194" spans="1:4" x14ac:dyDescent="0.25">
      <c r="A1194">
        <f t="shared" si="18"/>
        <v>0</v>
      </c>
      <c r="B1194" t="b">
        <f>SUMPRODUCT(LEN('hospitalityq-nil'!C1194:D1194))&gt;0</f>
        <v>0</v>
      </c>
      <c r="C1194">
        <f>B1194*('hospitalityq-nil'!C1194="")</f>
        <v>0</v>
      </c>
      <c r="D1194">
        <f>B1194*('hospitalityq-nil'!D1194="")</f>
        <v>0</v>
      </c>
    </row>
    <row r="1195" spans="1:4" x14ac:dyDescent="0.25">
      <c r="A1195">
        <f t="shared" si="18"/>
        <v>0</v>
      </c>
      <c r="B1195" t="b">
        <f>SUMPRODUCT(LEN('hospitalityq-nil'!C1195:D1195))&gt;0</f>
        <v>0</v>
      </c>
      <c r="C1195">
        <f>B1195*('hospitalityq-nil'!C1195="")</f>
        <v>0</v>
      </c>
      <c r="D1195">
        <f>B1195*('hospitalityq-nil'!D1195="")</f>
        <v>0</v>
      </c>
    </row>
    <row r="1196" spans="1:4" x14ac:dyDescent="0.25">
      <c r="A1196">
        <f t="shared" si="18"/>
        <v>0</v>
      </c>
      <c r="B1196" t="b">
        <f>SUMPRODUCT(LEN('hospitalityq-nil'!C1196:D1196))&gt;0</f>
        <v>0</v>
      </c>
      <c r="C1196">
        <f>B1196*('hospitalityq-nil'!C1196="")</f>
        <v>0</v>
      </c>
      <c r="D1196">
        <f>B1196*('hospitalityq-nil'!D1196="")</f>
        <v>0</v>
      </c>
    </row>
    <row r="1197" spans="1:4" x14ac:dyDescent="0.25">
      <c r="A1197">
        <f t="shared" si="18"/>
        <v>0</v>
      </c>
      <c r="B1197" t="b">
        <f>SUMPRODUCT(LEN('hospitalityq-nil'!C1197:D1197))&gt;0</f>
        <v>0</v>
      </c>
      <c r="C1197">
        <f>B1197*('hospitalityq-nil'!C1197="")</f>
        <v>0</v>
      </c>
      <c r="D1197">
        <f>B1197*('hospitalityq-nil'!D1197="")</f>
        <v>0</v>
      </c>
    </row>
    <row r="1198" spans="1:4" x14ac:dyDescent="0.25">
      <c r="A1198">
        <f t="shared" si="18"/>
        <v>0</v>
      </c>
      <c r="B1198" t="b">
        <f>SUMPRODUCT(LEN('hospitalityq-nil'!C1198:D1198))&gt;0</f>
        <v>0</v>
      </c>
      <c r="C1198">
        <f>B1198*('hospitalityq-nil'!C1198="")</f>
        <v>0</v>
      </c>
      <c r="D1198">
        <f>B1198*('hospitalityq-nil'!D1198="")</f>
        <v>0</v>
      </c>
    </row>
    <row r="1199" spans="1:4" x14ac:dyDescent="0.25">
      <c r="A1199">
        <f t="shared" si="18"/>
        <v>0</v>
      </c>
      <c r="B1199" t="b">
        <f>SUMPRODUCT(LEN('hospitalityq-nil'!C1199:D1199))&gt;0</f>
        <v>0</v>
      </c>
      <c r="C1199">
        <f>B1199*('hospitalityq-nil'!C1199="")</f>
        <v>0</v>
      </c>
      <c r="D1199">
        <f>B1199*('hospitalityq-nil'!D1199="")</f>
        <v>0</v>
      </c>
    </row>
    <row r="1200" spans="1:4" x14ac:dyDescent="0.25">
      <c r="A1200">
        <f t="shared" si="18"/>
        <v>0</v>
      </c>
      <c r="B1200" t="b">
        <f>SUMPRODUCT(LEN('hospitalityq-nil'!C1200:D1200))&gt;0</f>
        <v>0</v>
      </c>
      <c r="C1200">
        <f>B1200*('hospitalityq-nil'!C1200="")</f>
        <v>0</v>
      </c>
      <c r="D1200">
        <f>B1200*('hospitalityq-nil'!D1200="")</f>
        <v>0</v>
      </c>
    </row>
    <row r="1201" spans="1:4" x14ac:dyDescent="0.25">
      <c r="A1201">
        <f t="shared" si="18"/>
        <v>0</v>
      </c>
      <c r="B1201" t="b">
        <f>SUMPRODUCT(LEN('hospitalityq-nil'!C1201:D1201))&gt;0</f>
        <v>0</v>
      </c>
      <c r="C1201">
        <f>B1201*('hospitalityq-nil'!C1201="")</f>
        <v>0</v>
      </c>
      <c r="D1201">
        <f>B1201*('hospitalityq-nil'!D1201="")</f>
        <v>0</v>
      </c>
    </row>
    <row r="1202" spans="1:4" x14ac:dyDescent="0.25">
      <c r="A1202">
        <f t="shared" si="18"/>
        <v>0</v>
      </c>
      <c r="B1202" t="b">
        <f>SUMPRODUCT(LEN('hospitalityq-nil'!C1202:D1202))&gt;0</f>
        <v>0</v>
      </c>
      <c r="C1202">
        <f>B1202*('hospitalityq-nil'!C1202="")</f>
        <v>0</v>
      </c>
      <c r="D1202">
        <f>B1202*('hospitalityq-nil'!D1202="")</f>
        <v>0</v>
      </c>
    </row>
    <row r="1203" spans="1:4" x14ac:dyDescent="0.25">
      <c r="A1203">
        <f t="shared" si="18"/>
        <v>0</v>
      </c>
      <c r="B1203" t="b">
        <f>SUMPRODUCT(LEN('hospitalityq-nil'!C1203:D1203))&gt;0</f>
        <v>0</v>
      </c>
      <c r="C1203">
        <f>B1203*('hospitalityq-nil'!C1203="")</f>
        <v>0</v>
      </c>
      <c r="D1203">
        <f>B1203*('hospitalityq-nil'!D1203="")</f>
        <v>0</v>
      </c>
    </row>
    <row r="1204" spans="1:4" x14ac:dyDescent="0.25">
      <c r="A1204">
        <f t="shared" si="18"/>
        <v>0</v>
      </c>
      <c r="B1204" t="b">
        <f>SUMPRODUCT(LEN('hospitalityq-nil'!C1204:D1204))&gt;0</f>
        <v>0</v>
      </c>
      <c r="C1204">
        <f>B1204*('hospitalityq-nil'!C1204="")</f>
        <v>0</v>
      </c>
      <c r="D1204">
        <f>B1204*('hospitalityq-nil'!D1204="")</f>
        <v>0</v>
      </c>
    </row>
    <row r="1205" spans="1:4" x14ac:dyDescent="0.25">
      <c r="A1205">
        <f t="shared" si="18"/>
        <v>0</v>
      </c>
      <c r="B1205" t="b">
        <f>SUMPRODUCT(LEN('hospitalityq-nil'!C1205:D1205))&gt;0</f>
        <v>0</v>
      </c>
      <c r="C1205">
        <f>B1205*('hospitalityq-nil'!C1205="")</f>
        <v>0</v>
      </c>
      <c r="D1205">
        <f>B1205*('hospitalityq-nil'!D1205="")</f>
        <v>0</v>
      </c>
    </row>
    <row r="1206" spans="1:4" x14ac:dyDescent="0.25">
      <c r="A1206">
        <f t="shared" si="18"/>
        <v>0</v>
      </c>
      <c r="B1206" t="b">
        <f>SUMPRODUCT(LEN('hospitalityq-nil'!C1206:D1206))&gt;0</f>
        <v>0</v>
      </c>
      <c r="C1206">
        <f>B1206*('hospitalityq-nil'!C1206="")</f>
        <v>0</v>
      </c>
      <c r="D1206">
        <f>B1206*('hospitalityq-nil'!D1206="")</f>
        <v>0</v>
      </c>
    </row>
    <row r="1207" spans="1:4" x14ac:dyDescent="0.25">
      <c r="A1207">
        <f t="shared" si="18"/>
        <v>0</v>
      </c>
      <c r="B1207" t="b">
        <f>SUMPRODUCT(LEN('hospitalityq-nil'!C1207:D1207))&gt;0</f>
        <v>0</v>
      </c>
      <c r="C1207">
        <f>B1207*('hospitalityq-nil'!C1207="")</f>
        <v>0</v>
      </c>
      <c r="D1207">
        <f>B1207*('hospitalityq-nil'!D1207="")</f>
        <v>0</v>
      </c>
    </row>
    <row r="1208" spans="1:4" x14ac:dyDescent="0.25">
      <c r="A1208">
        <f t="shared" si="18"/>
        <v>0</v>
      </c>
      <c r="B1208" t="b">
        <f>SUMPRODUCT(LEN('hospitalityq-nil'!C1208:D1208))&gt;0</f>
        <v>0</v>
      </c>
      <c r="C1208">
        <f>B1208*('hospitalityq-nil'!C1208="")</f>
        <v>0</v>
      </c>
      <c r="D1208">
        <f>B1208*('hospitalityq-nil'!D1208="")</f>
        <v>0</v>
      </c>
    </row>
    <row r="1209" spans="1:4" x14ac:dyDescent="0.25">
      <c r="A1209">
        <f t="shared" si="18"/>
        <v>0</v>
      </c>
      <c r="B1209" t="b">
        <f>SUMPRODUCT(LEN('hospitalityq-nil'!C1209:D1209))&gt;0</f>
        <v>0</v>
      </c>
      <c r="C1209">
        <f>B1209*('hospitalityq-nil'!C1209="")</f>
        <v>0</v>
      </c>
      <c r="D1209">
        <f>B1209*('hospitalityq-nil'!D1209="")</f>
        <v>0</v>
      </c>
    </row>
    <row r="1210" spans="1:4" x14ac:dyDescent="0.25">
      <c r="A1210">
        <f t="shared" si="18"/>
        <v>0</v>
      </c>
      <c r="B1210" t="b">
        <f>SUMPRODUCT(LEN('hospitalityq-nil'!C1210:D1210))&gt;0</f>
        <v>0</v>
      </c>
      <c r="C1210">
        <f>B1210*('hospitalityq-nil'!C1210="")</f>
        <v>0</v>
      </c>
      <c r="D1210">
        <f>B1210*('hospitalityq-nil'!D1210="")</f>
        <v>0</v>
      </c>
    </row>
    <row r="1211" spans="1:4" x14ac:dyDescent="0.25">
      <c r="A1211">
        <f t="shared" si="18"/>
        <v>0</v>
      </c>
      <c r="B1211" t="b">
        <f>SUMPRODUCT(LEN('hospitalityq-nil'!C1211:D1211))&gt;0</f>
        <v>0</v>
      </c>
      <c r="C1211">
        <f>B1211*('hospitalityq-nil'!C1211="")</f>
        <v>0</v>
      </c>
      <c r="D1211">
        <f>B1211*('hospitalityq-nil'!D1211="")</f>
        <v>0</v>
      </c>
    </row>
    <row r="1212" spans="1:4" x14ac:dyDescent="0.25">
      <c r="A1212">
        <f t="shared" si="18"/>
        <v>0</v>
      </c>
      <c r="B1212" t="b">
        <f>SUMPRODUCT(LEN('hospitalityq-nil'!C1212:D1212))&gt;0</f>
        <v>0</v>
      </c>
      <c r="C1212">
        <f>B1212*('hospitalityq-nil'!C1212="")</f>
        <v>0</v>
      </c>
      <c r="D1212">
        <f>B1212*('hospitalityq-nil'!D1212="")</f>
        <v>0</v>
      </c>
    </row>
    <row r="1213" spans="1:4" x14ac:dyDescent="0.25">
      <c r="A1213">
        <f t="shared" si="18"/>
        <v>0</v>
      </c>
      <c r="B1213" t="b">
        <f>SUMPRODUCT(LEN('hospitalityq-nil'!C1213:D1213))&gt;0</f>
        <v>0</v>
      </c>
      <c r="C1213">
        <f>B1213*('hospitalityq-nil'!C1213="")</f>
        <v>0</v>
      </c>
      <c r="D1213">
        <f>B1213*('hospitalityq-nil'!D1213="")</f>
        <v>0</v>
      </c>
    </row>
    <row r="1214" spans="1:4" x14ac:dyDescent="0.25">
      <c r="A1214">
        <f t="shared" si="18"/>
        <v>0</v>
      </c>
      <c r="B1214" t="b">
        <f>SUMPRODUCT(LEN('hospitalityq-nil'!C1214:D1214))&gt;0</f>
        <v>0</v>
      </c>
      <c r="C1214">
        <f>B1214*('hospitalityq-nil'!C1214="")</f>
        <v>0</v>
      </c>
      <c r="D1214">
        <f>B1214*('hospitalityq-nil'!D1214="")</f>
        <v>0</v>
      </c>
    </row>
    <row r="1215" spans="1:4" x14ac:dyDescent="0.25">
      <c r="A1215">
        <f t="shared" si="18"/>
        <v>0</v>
      </c>
      <c r="B1215" t="b">
        <f>SUMPRODUCT(LEN('hospitalityq-nil'!C1215:D1215))&gt;0</f>
        <v>0</v>
      </c>
      <c r="C1215">
        <f>B1215*('hospitalityq-nil'!C1215="")</f>
        <v>0</v>
      </c>
      <c r="D1215">
        <f>B1215*('hospitalityq-nil'!D1215="")</f>
        <v>0</v>
      </c>
    </row>
    <row r="1216" spans="1:4" x14ac:dyDescent="0.25">
      <c r="A1216">
        <f t="shared" si="18"/>
        <v>0</v>
      </c>
      <c r="B1216" t="b">
        <f>SUMPRODUCT(LEN('hospitalityq-nil'!C1216:D1216))&gt;0</f>
        <v>0</v>
      </c>
      <c r="C1216">
        <f>B1216*('hospitalityq-nil'!C1216="")</f>
        <v>0</v>
      </c>
      <c r="D1216">
        <f>B1216*('hospitalityq-nil'!D1216="")</f>
        <v>0</v>
      </c>
    </row>
    <row r="1217" spans="1:4" x14ac:dyDescent="0.25">
      <c r="A1217">
        <f t="shared" si="18"/>
        <v>0</v>
      </c>
      <c r="B1217" t="b">
        <f>SUMPRODUCT(LEN('hospitalityq-nil'!C1217:D1217))&gt;0</f>
        <v>0</v>
      </c>
      <c r="C1217">
        <f>B1217*('hospitalityq-nil'!C1217="")</f>
        <v>0</v>
      </c>
      <c r="D1217">
        <f>B1217*('hospitalityq-nil'!D1217="")</f>
        <v>0</v>
      </c>
    </row>
    <row r="1218" spans="1:4" x14ac:dyDescent="0.25">
      <c r="A1218">
        <f t="shared" si="18"/>
        <v>0</v>
      </c>
      <c r="B1218" t="b">
        <f>SUMPRODUCT(LEN('hospitalityq-nil'!C1218:D1218))&gt;0</f>
        <v>0</v>
      </c>
      <c r="C1218">
        <f>B1218*('hospitalityq-nil'!C1218="")</f>
        <v>0</v>
      </c>
      <c r="D1218">
        <f>B1218*('hospitalityq-nil'!D1218="")</f>
        <v>0</v>
      </c>
    </row>
    <row r="1219" spans="1:4" x14ac:dyDescent="0.25">
      <c r="A1219">
        <f t="shared" si="18"/>
        <v>0</v>
      </c>
      <c r="B1219" t="b">
        <f>SUMPRODUCT(LEN('hospitalityq-nil'!C1219:D1219))&gt;0</f>
        <v>0</v>
      </c>
      <c r="C1219">
        <f>B1219*('hospitalityq-nil'!C1219="")</f>
        <v>0</v>
      </c>
      <c r="D1219">
        <f>B1219*('hospitalityq-nil'!D1219="")</f>
        <v>0</v>
      </c>
    </row>
    <row r="1220" spans="1:4" x14ac:dyDescent="0.25">
      <c r="A1220">
        <f t="shared" si="18"/>
        <v>0</v>
      </c>
      <c r="B1220" t="b">
        <f>SUMPRODUCT(LEN('hospitalityq-nil'!C1220:D1220))&gt;0</f>
        <v>0</v>
      </c>
      <c r="C1220">
        <f>B1220*('hospitalityq-nil'!C1220="")</f>
        <v>0</v>
      </c>
      <c r="D1220">
        <f>B1220*('hospitalityq-nil'!D1220="")</f>
        <v>0</v>
      </c>
    </row>
    <row r="1221" spans="1:4" x14ac:dyDescent="0.25">
      <c r="A1221">
        <f t="shared" si="18"/>
        <v>0</v>
      </c>
      <c r="B1221" t="b">
        <f>SUMPRODUCT(LEN('hospitalityq-nil'!C1221:D1221))&gt;0</f>
        <v>0</v>
      </c>
      <c r="C1221">
        <f>B1221*('hospitalityq-nil'!C1221="")</f>
        <v>0</v>
      </c>
      <c r="D1221">
        <f>B1221*('hospitalityq-nil'!D1221="")</f>
        <v>0</v>
      </c>
    </row>
    <row r="1222" spans="1:4" x14ac:dyDescent="0.25">
      <c r="A1222">
        <f t="shared" ref="A1222:A1285" si="19">IFERROR(MATCH(TRUE,INDEX(C1222:D1222&lt;&gt;0,),)+2,0)</f>
        <v>0</v>
      </c>
      <c r="B1222" t="b">
        <f>SUMPRODUCT(LEN('hospitalityq-nil'!C1222:D1222))&gt;0</f>
        <v>0</v>
      </c>
      <c r="C1222">
        <f>B1222*('hospitalityq-nil'!C1222="")</f>
        <v>0</v>
      </c>
      <c r="D1222">
        <f>B1222*('hospitalityq-nil'!D1222="")</f>
        <v>0</v>
      </c>
    </row>
    <row r="1223" spans="1:4" x14ac:dyDescent="0.25">
      <c r="A1223">
        <f t="shared" si="19"/>
        <v>0</v>
      </c>
      <c r="B1223" t="b">
        <f>SUMPRODUCT(LEN('hospitalityq-nil'!C1223:D1223))&gt;0</f>
        <v>0</v>
      </c>
      <c r="C1223">
        <f>B1223*('hospitalityq-nil'!C1223="")</f>
        <v>0</v>
      </c>
      <c r="D1223">
        <f>B1223*('hospitalityq-nil'!D1223="")</f>
        <v>0</v>
      </c>
    </row>
    <row r="1224" spans="1:4" x14ac:dyDescent="0.25">
      <c r="A1224">
        <f t="shared" si="19"/>
        <v>0</v>
      </c>
      <c r="B1224" t="b">
        <f>SUMPRODUCT(LEN('hospitalityq-nil'!C1224:D1224))&gt;0</f>
        <v>0</v>
      </c>
      <c r="C1224">
        <f>B1224*('hospitalityq-nil'!C1224="")</f>
        <v>0</v>
      </c>
      <c r="D1224">
        <f>B1224*('hospitalityq-nil'!D1224="")</f>
        <v>0</v>
      </c>
    </row>
    <row r="1225" spans="1:4" x14ac:dyDescent="0.25">
      <c r="A1225">
        <f t="shared" si="19"/>
        <v>0</v>
      </c>
      <c r="B1225" t="b">
        <f>SUMPRODUCT(LEN('hospitalityq-nil'!C1225:D1225))&gt;0</f>
        <v>0</v>
      </c>
      <c r="C1225">
        <f>B1225*('hospitalityq-nil'!C1225="")</f>
        <v>0</v>
      </c>
      <c r="D1225">
        <f>B1225*('hospitalityq-nil'!D1225="")</f>
        <v>0</v>
      </c>
    </row>
    <row r="1226" spans="1:4" x14ac:dyDescent="0.25">
      <c r="A1226">
        <f t="shared" si="19"/>
        <v>0</v>
      </c>
      <c r="B1226" t="b">
        <f>SUMPRODUCT(LEN('hospitalityq-nil'!C1226:D1226))&gt;0</f>
        <v>0</v>
      </c>
      <c r="C1226">
        <f>B1226*('hospitalityq-nil'!C1226="")</f>
        <v>0</v>
      </c>
      <c r="D1226">
        <f>B1226*('hospitalityq-nil'!D1226="")</f>
        <v>0</v>
      </c>
    </row>
    <row r="1227" spans="1:4" x14ac:dyDescent="0.25">
      <c r="A1227">
        <f t="shared" si="19"/>
        <v>0</v>
      </c>
      <c r="B1227" t="b">
        <f>SUMPRODUCT(LEN('hospitalityq-nil'!C1227:D1227))&gt;0</f>
        <v>0</v>
      </c>
      <c r="C1227">
        <f>B1227*('hospitalityq-nil'!C1227="")</f>
        <v>0</v>
      </c>
      <c r="D1227">
        <f>B1227*('hospitalityq-nil'!D1227="")</f>
        <v>0</v>
      </c>
    </row>
    <row r="1228" spans="1:4" x14ac:dyDescent="0.25">
      <c r="A1228">
        <f t="shared" si="19"/>
        <v>0</v>
      </c>
      <c r="B1228" t="b">
        <f>SUMPRODUCT(LEN('hospitalityq-nil'!C1228:D1228))&gt;0</f>
        <v>0</v>
      </c>
      <c r="C1228">
        <f>B1228*('hospitalityq-nil'!C1228="")</f>
        <v>0</v>
      </c>
      <c r="D1228">
        <f>B1228*('hospitalityq-nil'!D1228="")</f>
        <v>0</v>
      </c>
    </row>
    <row r="1229" spans="1:4" x14ac:dyDescent="0.25">
      <c r="A1229">
        <f t="shared" si="19"/>
        <v>0</v>
      </c>
      <c r="B1229" t="b">
        <f>SUMPRODUCT(LEN('hospitalityq-nil'!C1229:D1229))&gt;0</f>
        <v>0</v>
      </c>
      <c r="C1229">
        <f>B1229*('hospitalityq-nil'!C1229="")</f>
        <v>0</v>
      </c>
      <c r="D1229">
        <f>B1229*('hospitalityq-nil'!D1229="")</f>
        <v>0</v>
      </c>
    </row>
    <row r="1230" spans="1:4" x14ac:dyDescent="0.25">
      <c r="A1230">
        <f t="shared" si="19"/>
        <v>0</v>
      </c>
      <c r="B1230" t="b">
        <f>SUMPRODUCT(LEN('hospitalityq-nil'!C1230:D1230))&gt;0</f>
        <v>0</v>
      </c>
      <c r="C1230">
        <f>B1230*('hospitalityq-nil'!C1230="")</f>
        <v>0</v>
      </c>
      <c r="D1230">
        <f>B1230*('hospitalityq-nil'!D1230="")</f>
        <v>0</v>
      </c>
    </row>
    <row r="1231" spans="1:4" x14ac:dyDescent="0.25">
      <c r="A1231">
        <f t="shared" si="19"/>
        <v>0</v>
      </c>
      <c r="B1231" t="b">
        <f>SUMPRODUCT(LEN('hospitalityq-nil'!C1231:D1231))&gt;0</f>
        <v>0</v>
      </c>
      <c r="C1231">
        <f>B1231*('hospitalityq-nil'!C1231="")</f>
        <v>0</v>
      </c>
      <c r="D1231">
        <f>B1231*('hospitalityq-nil'!D1231="")</f>
        <v>0</v>
      </c>
    </row>
    <row r="1232" spans="1:4" x14ac:dyDescent="0.25">
      <c r="A1232">
        <f t="shared" si="19"/>
        <v>0</v>
      </c>
      <c r="B1232" t="b">
        <f>SUMPRODUCT(LEN('hospitalityq-nil'!C1232:D1232))&gt;0</f>
        <v>0</v>
      </c>
      <c r="C1232">
        <f>B1232*('hospitalityq-nil'!C1232="")</f>
        <v>0</v>
      </c>
      <c r="D1232">
        <f>B1232*('hospitalityq-nil'!D1232="")</f>
        <v>0</v>
      </c>
    </row>
    <row r="1233" spans="1:4" x14ac:dyDescent="0.25">
      <c r="A1233">
        <f t="shared" si="19"/>
        <v>0</v>
      </c>
      <c r="B1233" t="b">
        <f>SUMPRODUCT(LEN('hospitalityq-nil'!C1233:D1233))&gt;0</f>
        <v>0</v>
      </c>
      <c r="C1233">
        <f>B1233*('hospitalityq-nil'!C1233="")</f>
        <v>0</v>
      </c>
      <c r="D1233">
        <f>B1233*('hospitalityq-nil'!D1233="")</f>
        <v>0</v>
      </c>
    </row>
    <row r="1234" spans="1:4" x14ac:dyDescent="0.25">
      <c r="A1234">
        <f t="shared" si="19"/>
        <v>0</v>
      </c>
      <c r="B1234" t="b">
        <f>SUMPRODUCT(LEN('hospitalityq-nil'!C1234:D1234))&gt;0</f>
        <v>0</v>
      </c>
      <c r="C1234">
        <f>B1234*('hospitalityq-nil'!C1234="")</f>
        <v>0</v>
      </c>
      <c r="D1234">
        <f>B1234*('hospitalityq-nil'!D1234="")</f>
        <v>0</v>
      </c>
    </row>
    <row r="1235" spans="1:4" x14ac:dyDescent="0.25">
      <c r="A1235">
        <f t="shared" si="19"/>
        <v>0</v>
      </c>
      <c r="B1235" t="b">
        <f>SUMPRODUCT(LEN('hospitalityq-nil'!C1235:D1235))&gt;0</f>
        <v>0</v>
      </c>
      <c r="C1235">
        <f>B1235*('hospitalityq-nil'!C1235="")</f>
        <v>0</v>
      </c>
      <c r="D1235">
        <f>B1235*('hospitalityq-nil'!D1235="")</f>
        <v>0</v>
      </c>
    </row>
    <row r="1236" spans="1:4" x14ac:dyDescent="0.25">
      <c r="A1236">
        <f t="shared" si="19"/>
        <v>0</v>
      </c>
      <c r="B1236" t="b">
        <f>SUMPRODUCT(LEN('hospitalityq-nil'!C1236:D1236))&gt;0</f>
        <v>0</v>
      </c>
      <c r="C1236">
        <f>B1236*('hospitalityq-nil'!C1236="")</f>
        <v>0</v>
      </c>
      <c r="D1236">
        <f>B1236*('hospitalityq-nil'!D1236="")</f>
        <v>0</v>
      </c>
    </row>
    <row r="1237" spans="1:4" x14ac:dyDescent="0.25">
      <c r="A1237">
        <f t="shared" si="19"/>
        <v>0</v>
      </c>
      <c r="B1237" t="b">
        <f>SUMPRODUCT(LEN('hospitalityq-nil'!C1237:D1237))&gt;0</f>
        <v>0</v>
      </c>
      <c r="C1237">
        <f>B1237*('hospitalityq-nil'!C1237="")</f>
        <v>0</v>
      </c>
      <c r="D1237">
        <f>B1237*('hospitalityq-nil'!D1237="")</f>
        <v>0</v>
      </c>
    </row>
    <row r="1238" spans="1:4" x14ac:dyDescent="0.25">
      <c r="A1238">
        <f t="shared" si="19"/>
        <v>0</v>
      </c>
      <c r="B1238" t="b">
        <f>SUMPRODUCT(LEN('hospitalityq-nil'!C1238:D1238))&gt;0</f>
        <v>0</v>
      </c>
      <c r="C1238">
        <f>B1238*('hospitalityq-nil'!C1238="")</f>
        <v>0</v>
      </c>
      <c r="D1238">
        <f>B1238*('hospitalityq-nil'!D1238="")</f>
        <v>0</v>
      </c>
    </row>
    <row r="1239" spans="1:4" x14ac:dyDescent="0.25">
      <c r="A1239">
        <f t="shared" si="19"/>
        <v>0</v>
      </c>
      <c r="B1239" t="b">
        <f>SUMPRODUCT(LEN('hospitalityq-nil'!C1239:D1239))&gt;0</f>
        <v>0</v>
      </c>
      <c r="C1239">
        <f>B1239*('hospitalityq-nil'!C1239="")</f>
        <v>0</v>
      </c>
      <c r="D1239">
        <f>B1239*('hospitalityq-nil'!D1239="")</f>
        <v>0</v>
      </c>
    </row>
    <row r="1240" spans="1:4" x14ac:dyDescent="0.25">
      <c r="A1240">
        <f t="shared" si="19"/>
        <v>0</v>
      </c>
      <c r="B1240" t="b">
        <f>SUMPRODUCT(LEN('hospitalityq-nil'!C1240:D1240))&gt;0</f>
        <v>0</v>
      </c>
      <c r="C1240">
        <f>B1240*('hospitalityq-nil'!C1240="")</f>
        <v>0</v>
      </c>
      <c r="D1240">
        <f>B1240*('hospitalityq-nil'!D1240="")</f>
        <v>0</v>
      </c>
    </row>
    <row r="1241" spans="1:4" x14ac:dyDescent="0.25">
      <c r="A1241">
        <f t="shared" si="19"/>
        <v>0</v>
      </c>
      <c r="B1241" t="b">
        <f>SUMPRODUCT(LEN('hospitalityq-nil'!C1241:D1241))&gt;0</f>
        <v>0</v>
      </c>
      <c r="C1241">
        <f>B1241*('hospitalityq-nil'!C1241="")</f>
        <v>0</v>
      </c>
      <c r="D1241">
        <f>B1241*('hospitalityq-nil'!D1241="")</f>
        <v>0</v>
      </c>
    </row>
    <row r="1242" spans="1:4" x14ac:dyDescent="0.25">
      <c r="A1242">
        <f t="shared" si="19"/>
        <v>0</v>
      </c>
      <c r="B1242" t="b">
        <f>SUMPRODUCT(LEN('hospitalityq-nil'!C1242:D1242))&gt;0</f>
        <v>0</v>
      </c>
      <c r="C1242">
        <f>B1242*('hospitalityq-nil'!C1242="")</f>
        <v>0</v>
      </c>
      <c r="D1242">
        <f>B1242*('hospitalityq-nil'!D1242="")</f>
        <v>0</v>
      </c>
    </row>
    <row r="1243" spans="1:4" x14ac:dyDescent="0.25">
      <c r="A1243">
        <f t="shared" si="19"/>
        <v>0</v>
      </c>
      <c r="B1243" t="b">
        <f>SUMPRODUCT(LEN('hospitalityq-nil'!C1243:D1243))&gt;0</f>
        <v>0</v>
      </c>
      <c r="C1243">
        <f>B1243*('hospitalityq-nil'!C1243="")</f>
        <v>0</v>
      </c>
      <c r="D1243">
        <f>B1243*('hospitalityq-nil'!D1243="")</f>
        <v>0</v>
      </c>
    </row>
    <row r="1244" spans="1:4" x14ac:dyDescent="0.25">
      <c r="A1244">
        <f t="shared" si="19"/>
        <v>0</v>
      </c>
      <c r="B1244" t="b">
        <f>SUMPRODUCT(LEN('hospitalityq-nil'!C1244:D1244))&gt;0</f>
        <v>0</v>
      </c>
      <c r="C1244">
        <f>B1244*('hospitalityq-nil'!C1244="")</f>
        <v>0</v>
      </c>
      <c r="D1244">
        <f>B1244*('hospitalityq-nil'!D1244="")</f>
        <v>0</v>
      </c>
    </row>
    <row r="1245" spans="1:4" x14ac:dyDescent="0.25">
      <c r="A1245">
        <f t="shared" si="19"/>
        <v>0</v>
      </c>
      <c r="B1245" t="b">
        <f>SUMPRODUCT(LEN('hospitalityq-nil'!C1245:D1245))&gt;0</f>
        <v>0</v>
      </c>
      <c r="C1245">
        <f>B1245*('hospitalityq-nil'!C1245="")</f>
        <v>0</v>
      </c>
      <c r="D1245">
        <f>B1245*('hospitalityq-nil'!D1245="")</f>
        <v>0</v>
      </c>
    </row>
    <row r="1246" spans="1:4" x14ac:dyDescent="0.25">
      <c r="A1246">
        <f t="shared" si="19"/>
        <v>0</v>
      </c>
      <c r="B1246" t="b">
        <f>SUMPRODUCT(LEN('hospitalityq-nil'!C1246:D1246))&gt;0</f>
        <v>0</v>
      </c>
      <c r="C1246">
        <f>B1246*('hospitalityq-nil'!C1246="")</f>
        <v>0</v>
      </c>
      <c r="D1246">
        <f>B1246*('hospitalityq-nil'!D1246="")</f>
        <v>0</v>
      </c>
    </row>
    <row r="1247" spans="1:4" x14ac:dyDescent="0.25">
      <c r="A1247">
        <f t="shared" si="19"/>
        <v>0</v>
      </c>
      <c r="B1247" t="b">
        <f>SUMPRODUCT(LEN('hospitalityq-nil'!C1247:D1247))&gt;0</f>
        <v>0</v>
      </c>
      <c r="C1247">
        <f>B1247*('hospitalityq-nil'!C1247="")</f>
        <v>0</v>
      </c>
      <c r="D1247">
        <f>B1247*('hospitalityq-nil'!D1247="")</f>
        <v>0</v>
      </c>
    </row>
    <row r="1248" spans="1:4" x14ac:dyDescent="0.25">
      <c r="A1248">
        <f t="shared" si="19"/>
        <v>0</v>
      </c>
      <c r="B1248" t="b">
        <f>SUMPRODUCT(LEN('hospitalityq-nil'!C1248:D1248))&gt;0</f>
        <v>0</v>
      </c>
      <c r="C1248">
        <f>B1248*('hospitalityq-nil'!C1248="")</f>
        <v>0</v>
      </c>
      <c r="D1248">
        <f>B1248*('hospitalityq-nil'!D1248="")</f>
        <v>0</v>
      </c>
    </row>
    <row r="1249" spans="1:4" x14ac:dyDescent="0.25">
      <c r="A1249">
        <f t="shared" si="19"/>
        <v>0</v>
      </c>
      <c r="B1249" t="b">
        <f>SUMPRODUCT(LEN('hospitalityq-nil'!C1249:D1249))&gt;0</f>
        <v>0</v>
      </c>
      <c r="C1249">
        <f>B1249*('hospitalityq-nil'!C1249="")</f>
        <v>0</v>
      </c>
      <c r="D1249">
        <f>B1249*('hospitalityq-nil'!D1249="")</f>
        <v>0</v>
      </c>
    </row>
    <row r="1250" spans="1:4" x14ac:dyDescent="0.25">
      <c r="A1250">
        <f t="shared" si="19"/>
        <v>0</v>
      </c>
      <c r="B1250" t="b">
        <f>SUMPRODUCT(LEN('hospitalityq-nil'!C1250:D1250))&gt;0</f>
        <v>0</v>
      </c>
      <c r="C1250">
        <f>B1250*('hospitalityq-nil'!C1250="")</f>
        <v>0</v>
      </c>
      <c r="D1250">
        <f>B1250*('hospitalityq-nil'!D1250="")</f>
        <v>0</v>
      </c>
    </row>
    <row r="1251" spans="1:4" x14ac:dyDescent="0.25">
      <c r="A1251">
        <f t="shared" si="19"/>
        <v>0</v>
      </c>
      <c r="B1251" t="b">
        <f>SUMPRODUCT(LEN('hospitalityq-nil'!C1251:D1251))&gt;0</f>
        <v>0</v>
      </c>
      <c r="C1251">
        <f>B1251*('hospitalityq-nil'!C1251="")</f>
        <v>0</v>
      </c>
      <c r="D1251">
        <f>B1251*('hospitalityq-nil'!D1251="")</f>
        <v>0</v>
      </c>
    </row>
    <row r="1252" spans="1:4" x14ac:dyDescent="0.25">
      <c r="A1252">
        <f t="shared" si="19"/>
        <v>0</v>
      </c>
      <c r="B1252" t="b">
        <f>SUMPRODUCT(LEN('hospitalityq-nil'!C1252:D1252))&gt;0</f>
        <v>0</v>
      </c>
      <c r="C1252">
        <f>B1252*('hospitalityq-nil'!C1252="")</f>
        <v>0</v>
      </c>
      <c r="D1252">
        <f>B1252*('hospitalityq-nil'!D1252="")</f>
        <v>0</v>
      </c>
    </row>
    <row r="1253" spans="1:4" x14ac:dyDescent="0.25">
      <c r="A1253">
        <f t="shared" si="19"/>
        <v>0</v>
      </c>
      <c r="B1253" t="b">
        <f>SUMPRODUCT(LEN('hospitalityq-nil'!C1253:D1253))&gt;0</f>
        <v>0</v>
      </c>
      <c r="C1253">
        <f>B1253*('hospitalityq-nil'!C1253="")</f>
        <v>0</v>
      </c>
      <c r="D1253">
        <f>B1253*('hospitalityq-nil'!D1253="")</f>
        <v>0</v>
      </c>
    </row>
    <row r="1254" spans="1:4" x14ac:dyDescent="0.25">
      <c r="A1254">
        <f t="shared" si="19"/>
        <v>0</v>
      </c>
      <c r="B1254" t="b">
        <f>SUMPRODUCT(LEN('hospitalityq-nil'!C1254:D1254))&gt;0</f>
        <v>0</v>
      </c>
      <c r="C1254">
        <f>B1254*('hospitalityq-nil'!C1254="")</f>
        <v>0</v>
      </c>
      <c r="D1254">
        <f>B1254*('hospitalityq-nil'!D1254="")</f>
        <v>0</v>
      </c>
    </row>
    <row r="1255" spans="1:4" x14ac:dyDescent="0.25">
      <c r="A1255">
        <f t="shared" si="19"/>
        <v>0</v>
      </c>
      <c r="B1255" t="b">
        <f>SUMPRODUCT(LEN('hospitalityq-nil'!C1255:D1255))&gt;0</f>
        <v>0</v>
      </c>
      <c r="C1255">
        <f>B1255*('hospitalityq-nil'!C1255="")</f>
        <v>0</v>
      </c>
      <c r="D1255">
        <f>B1255*('hospitalityq-nil'!D1255="")</f>
        <v>0</v>
      </c>
    </row>
    <row r="1256" spans="1:4" x14ac:dyDescent="0.25">
      <c r="A1256">
        <f t="shared" si="19"/>
        <v>0</v>
      </c>
      <c r="B1256" t="b">
        <f>SUMPRODUCT(LEN('hospitalityq-nil'!C1256:D1256))&gt;0</f>
        <v>0</v>
      </c>
      <c r="C1256">
        <f>B1256*('hospitalityq-nil'!C1256="")</f>
        <v>0</v>
      </c>
      <c r="D1256">
        <f>B1256*('hospitalityq-nil'!D1256="")</f>
        <v>0</v>
      </c>
    </row>
    <row r="1257" spans="1:4" x14ac:dyDescent="0.25">
      <c r="A1257">
        <f t="shared" si="19"/>
        <v>0</v>
      </c>
      <c r="B1257" t="b">
        <f>SUMPRODUCT(LEN('hospitalityq-nil'!C1257:D1257))&gt;0</f>
        <v>0</v>
      </c>
      <c r="C1257">
        <f>B1257*('hospitalityq-nil'!C1257="")</f>
        <v>0</v>
      </c>
      <c r="D1257">
        <f>B1257*('hospitalityq-nil'!D1257="")</f>
        <v>0</v>
      </c>
    </row>
    <row r="1258" spans="1:4" x14ac:dyDescent="0.25">
      <c r="A1258">
        <f t="shared" si="19"/>
        <v>0</v>
      </c>
      <c r="B1258" t="b">
        <f>SUMPRODUCT(LEN('hospitalityq-nil'!C1258:D1258))&gt;0</f>
        <v>0</v>
      </c>
      <c r="C1258">
        <f>B1258*('hospitalityq-nil'!C1258="")</f>
        <v>0</v>
      </c>
      <c r="D1258">
        <f>B1258*('hospitalityq-nil'!D1258="")</f>
        <v>0</v>
      </c>
    </row>
    <row r="1259" spans="1:4" x14ac:dyDescent="0.25">
      <c r="A1259">
        <f t="shared" si="19"/>
        <v>0</v>
      </c>
      <c r="B1259" t="b">
        <f>SUMPRODUCT(LEN('hospitalityq-nil'!C1259:D1259))&gt;0</f>
        <v>0</v>
      </c>
      <c r="C1259">
        <f>B1259*('hospitalityq-nil'!C1259="")</f>
        <v>0</v>
      </c>
      <c r="D1259">
        <f>B1259*('hospitalityq-nil'!D1259="")</f>
        <v>0</v>
      </c>
    </row>
    <row r="1260" spans="1:4" x14ac:dyDescent="0.25">
      <c r="A1260">
        <f t="shared" si="19"/>
        <v>0</v>
      </c>
      <c r="B1260" t="b">
        <f>SUMPRODUCT(LEN('hospitalityq-nil'!C1260:D1260))&gt;0</f>
        <v>0</v>
      </c>
      <c r="C1260">
        <f>B1260*('hospitalityq-nil'!C1260="")</f>
        <v>0</v>
      </c>
      <c r="D1260">
        <f>B1260*('hospitalityq-nil'!D1260="")</f>
        <v>0</v>
      </c>
    </row>
    <row r="1261" spans="1:4" x14ac:dyDescent="0.25">
      <c r="A1261">
        <f t="shared" si="19"/>
        <v>0</v>
      </c>
      <c r="B1261" t="b">
        <f>SUMPRODUCT(LEN('hospitalityq-nil'!C1261:D1261))&gt;0</f>
        <v>0</v>
      </c>
      <c r="C1261">
        <f>B1261*('hospitalityq-nil'!C1261="")</f>
        <v>0</v>
      </c>
      <c r="D1261">
        <f>B1261*('hospitalityq-nil'!D1261="")</f>
        <v>0</v>
      </c>
    </row>
    <row r="1262" spans="1:4" x14ac:dyDescent="0.25">
      <c r="A1262">
        <f t="shared" si="19"/>
        <v>0</v>
      </c>
      <c r="B1262" t="b">
        <f>SUMPRODUCT(LEN('hospitalityq-nil'!C1262:D1262))&gt;0</f>
        <v>0</v>
      </c>
      <c r="C1262">
        <f>B1262*('hospitalityq-nil'!C1262="")</f>
        <v>0</v>
      </c>
      <c r="D1262">
        <f>B1262*('hospitalityq-nil'!D1262="")</f>
        <v>0</v>
      </c>
    </row>
    <row r="1263" spans="1:4" x14ac:dyDescent="0.25">
      <c r="A1263">
        <f t="shared" si="19"/>
        <v>0</v>
      </c>
      <c r="B1263" t="b">
        <f>SUMPRODUCT(LEN('hospitalityq-nil'!C1263:D1263))&gt;0</f>
        <v>0</v>
      </c>
      <c r="C1263">
        <f>B1263*('hospitalityq-nil'!C1263="")</f>
        <v>0</v>
      </c>
      <c r="D1263">
        <f>B1263*('hospitalityq-nil'!D1263="")</f>
        <v>0</v>
      </c>
    </row>
    <row r="1264" spans="1:4" x14ac:dyDescent="0.25">
      <c r="A1264">
        <f t="shared" si="19"/>
        <v>0</v>
      </c>
      <c r="B1264" t="b">
        <f>SUMPRODUCT(LEN('hospitalityq-nil'!C1264:D1264))&gt;0</f>
        <v>0</v>
      </c>
      <c r="C1264">
        <f>B1264*('hospitalityq-nil'!C1264="")</f>
        <v>0</v>
      </c>
      <c r="D1264">
        <f>B1264*('hospitalityq-nil'!D1264="")</f>
        <v>0</v>
      </c>
    </row>
    <row r="1265" spans="1:4" x14ac:dyDescent="0.25">
      <c r="A1265">
        <f t="shared" si="19"/>
        <v>0</v>
      </c>
      <c r="B1265" t="b">
        <f>SUMPRODUCT(LEN('hospitalityq-nil'!C1265:D1265))&gt;0</f>
        <v>0</v>
      </c>
      <c r="C1265">
        <f>B1265*('hospitalityq-nil'!C1265="")</f>
        <v>0</v>
      </c>
      <c r="D1265">
        <f>B1265*('hospitalityq-nil'!D1265="")</f>
        <v>0</v>
      </c>
    </row>
    <row r="1266" spans="1:4" x14ac:dyDescent="0.25">
      <c r="A1266">
        <f t="shared" si="19"/>
        <v>0</v>
      </c>
      <c r="B1266" t="b">
        <f>SUMPRODUCT(LEN('hospitalityq-nil'!C1266:D1266))&gt;0</f>
        <v>0</v>
      </c>
      <c r="C1266">
        <f>B1266*('hospitalityq-nil'!C1266="")</f>
        <v>0</v>
      </c>
      <c r="D1266">
        <f>B1266*('hospitalityq-nil'!D1266="")</f>
        <v>0</v>
      </c>
    </row>
    <row r="1267" spans="1:4" x14ac:dyDescent="0.25">
      <c r="A1267">
        <f t="shared" si="19"/>
        <v>0</v>
      </c>
      <c r="B1267" t="b">
        <f>SUMPRODUCT(LEN('hospitalityq-nil'!C1267:D1267))&gt;0</f>
        <v>0</v>
      </c>
      <c r="C1267">
        <f>B1267*('hospitalityq-nil'!C1267="")</f>
        <v>0</v>
      </c>
      <c r="D1267">
        <f>B1267*('hospitalityq-nil'!D1267="")</f>
        <v>0</v>
      </c>
    </row>
    <row r="1268" spans="1:4" x14ac:dyDescent="0.25">
      <c r="A1268">
        <f t="shared" si="19"/>
        <v>0</v>
      </c>
      <c r="B1268" t="b">
        <f>SUMPRODUCT(LEN('hospitalityq-nil'!C1268:D1268))&gt;0</f>
        <v>0</v>
      </c>
      <c r="C1268">
        <f>B1268*('hospitalityq-nil'!C1268="")</f>
        <v>0</v>
      </c>
      <c r="D1268">
        <f>B1268*('hospitalityq-nil'!D1268="")</f>
        <v>0</v>
      </c>
    </row>
    <row r="1269" spans="1:4" x14ac:dyDescent="0.25">
      <c r="A1269">
        <f t="shared" si="19"/>
        <v>0</v>
      </c>
      <c r="B1269" t="b">
        <f>SUMPRODUCT(LEN('hospitalityq-nil'!C1269:D1269))&gt;0</f>
        <v>0</v>
      </c>
      <c r="C1269">
        <f>B1269*('hospitalityq-nil'!C1269="")</f>
        <v>0</v>
      </c>
      <c r="D1269">
        <f>B1269*('hospitalityq-nil'!D1269="")</f>
        <v>0</v>
      </c>
    </row>
    <row r="1270" spans="1:4" x14ac:dyDescent="0.25">
      <c r="A1270">
        <f t="shared" si="19"/>
        <v>0</v>
      </c>
      <c r="B1270" t="b">
        <f>SUMPRODUCT(LEN('hospitalityq-nil'!C1270:D1270))&gt;0</f>
        <v>0</v>
      </c>
      <c r="C1270">
        <f>B1270*('hospitalityq-nil'!C1270="")</f>
        <v>0</v>
      </c>
      <c r="D1270">
        <f>B1270*('hospitalityq-nil'!D1270="")</f>
        <v>0</v>
      </c>
    </row>
    <row r="1271" spans="1:4" x14ac:dyDescent="0.25">
      <c r="A1271">
        <f t="shared" si="19"/>
        <v>0</v>
      </c>
      <c r="B1271" t="b">
        <f>SUMPRODUCT(LEN('hospitalityq-nil'!C1271:D1271))&gt;0</f>
        <v>0</v>
      </c>
      <c r="C1271">
        <f>B1271*('hospitalityq-nil'!C1271="")</f>
        <v>0</v>
      </c>
      <c r="D1271">
        <f>B1271*('hospitalityq-nil'!D1271="")</f>
        <v>0</v>
      </c>
    </row>
    <row r="1272" spans="1:4" x14ac:dyDescent="0.25">
      <c r="A1272">
        <f t="shared" si="19"/>
        <v>0</v>
      </c>
      <c r="B1272" t="b">
        <f>SUMPRODUCT(LEN('hospitalityq-nil'!C1272:D1272))&gt;0</f>
        <v>0</v>
      </c>
      <c r="C1272">
        <f>B1272*('hospitalityq-nil'!C1272="")</f>
        <v>0</v>
      </c>
      <c r="D1272">
        <f>B1272*('hospitalityq-nil'!D1272="")</f>
        <v>0</v>
      </c>
    </row>
    <row r="1273" spans="1:4" x14ac:dyDescent="0.25">
      <c r="A1273">
        <f t="shared" si="19"/>
        <v>0</v>
      </c>
      <c r="B1273" t="b">
        <f>SUMPRODUCT(LEN('hospitalityq-nil'!C1273:D1273))&gt;0</f>
        <v>0</v>
      </c>
      <c r="C1273">
        <f>B1273*('hospitalityq-nil'!C1273="")</f>
        <v>0</v>
      </c>
      <c r="D1273">
        <f>B1273*('hospitalityq-nil'!D1273="")</f>
        <v>0</v>
      </c>
    </row>
    <row r="1274" spans="1:4" x14ac:dyDescent="0.25">
      <c r="A1274">
        <f t="shared" si="19"/>
        <v>0</v>
      </c>
      <c r="B1274" t="b">
        <f>SUMPRODUCT(LEN('hospitalityq-nil'!C1274:D1274))&gt;0</f>
        <v>0</v>
      </c>
      <c r="C1274">
        <f>B1274*('hospitalityq-nil'!C1274="")</f>
        <v>0</v>
      </c>
      <c r="D1274">
        <f>B1274*('hospitalityq-nil'!D1274="")</f>
        <v>0</v>
      </c>
    </row>
    <row r="1275" spans="1:4" x14ac:dyDescent="0.25">
      <c r="A1275">
        <f t="shared" si="19"/>
        <v>0</v>
      </c>
      <c r="B1275" t="b">
        <f>SUMPRODUCT(LEN('hospitalityq-nil'!C1275:D1275))&gt;0</f>
        <v>0</v>
      </c>
      <c r="C1275">
        <f>B1275*('hospitalityq-nil'!C1275="")</f>
        <v>0</v>
      </c>
      <c r="D1275">
        <f>B1275*('hospitalityq-nil'!D1275="")</f>
        <v>0</v>
      </c>
    </row>
    <row r="1276" spans="1:4" x14ac:dyDescent="0.25">
      <c r="A1276">
        <f t="shared" si="19"/>
        <v>0</v>
      </c>
      <c r="B1276" t="b">
        <f>SUMPRODUCT(LEN('hospitalityq-nil'!C1276:D1276))&gt;0</f>
        <v>0</v>
      </c>
      <c r="C1276">
        <f>B1276*('hospitalityq-nil'!C1276="")</f>
        <v>0</v>
      </c>
      <c r="D1276">
        <f>B1276*('hospitalityq-nil'!D1276="")</f>
        <v>0</v>
      </c>
    </row>
    <row r="1277" spans="1:4" x14ac:dyDescent="0.25">
      <c r="A1277">
        <f t="shared" si="19"/>
        <v>0</v>
      </c>
      <c r="B1277" t="b">
        <f>SUMPRODUCT(LEN('hospitalityq-nil'!C1277:D1277))&gt;0</f>
        <v>0</v>
      </c>
      <c r="C1277">
        <f>B1277*('hospitalityq-nil'!C1277="")</f>
        <v>0</v>
      </c>
      <c r="D1277">
        <f>B1277*('hospitalityq-nil'!D1277="")</f>
        <v>0</v>
      </c>
    </row>
    <row r="1278" spans="1:4" x14ac:dyDescent="0.25">
      <c r="A1278">
        <f t="shared" si="19"/>
        <v>0</v>
      </c>
      <c r="B1278" t="b">
        <f>SUMPRODUCT(LEN('hospitalityq-nil'!C1278:D1278))&gt;0</f>
        <v>0</v>
      </c>
      <c r="C1278">
        <f>B1278*('hospitalityq-nil'!C1278="")</f>
        <v>0</v>
      </c>
      <c r="D1278">
        <f>B1278*('hospitalityq-nil'!D1278="")</f>
        <v>0</v>
      </c>
    </row>
    <row r="1279" spans="1:4" x14ac:dyDescent="0.25">
      <c r="A1279">
        <f t="shared" si="19"/>
        <v>0</v>
      </c>
      <c r="B1279" t="b">
        <f>SUMPRODUCT(LEN('hospitalityq-nil'!C1279:D1279))&gt;0</f>
        <v>0</v>
      </c>
      <c r="C1279">
        <f>B1279*('hospitalityq-nil'!C1279="")</f>
        <v>0</v>
      </c>
      <c r="D1279">
        <f>B1279*('hospitalityq-nil'!D1279="")</f>
        <v>0</v>
      </c>
    </row>
    <row r="1280" spans="1:4" x14ac:dyDescent="0.25">
      <c r="A1280">
        <f t="shared" si="19"/>
        <v>0</v>
      </c>
      <c r="B1280" t="b">
        <f>SUMPRODUCT(LEN('hospitalityq-nil'!C1280:D1280))&gt;0</f>
        <v>0</v>
      </c>
      <c r="C1280">
        <f>B1280*('hospitalityq-nil'!C1280="")</f>
        <v>0</v>
      </c>
      <c r="D1280">
        <f>B1280*('hospitalityq-nil'!D1280="")</f>
        <v>0</v>
      </c>
    </row>
    <row r="1281" spans="1:4" x14ac:dyDescent="0.25">
      <c r="A1281">
        <f t="shared" si="19"/>
        <v>0</v>
      </c>
      <c r="B1281" t="b">
        <f>SUMPRODUCT(LEN('hospitalityq-nil'!C1281:D1281))&gt;0</f>
        <v>0</v>
      </c>
      <c r="C1281">
        <f>B1281*('hospitalityq-nil'!C1281="")</f>
        <v>0</v>
      </c>
      <c r="D1281">
        <f>B1281*('hospitalityq-nil'!D1281="")</f>
        <v>0</v>
      </c>
    </row>
    <row r="1282" spans="1:4" x14ac:dyDescent="0.25">
      <c r="A1282">
        <f t="shared" si="19"/>
        <v>0</v>
      </c>
      <c r="B1282" t="b">
        <f>SUMPRODUCT(LEN('hospitalityq-nil'!C1282:D1282))&gt;0</f>
        <v>0</v>
      </c>
      <c r="C1282">
        <f>B1282*('hospitalityq-nil'!C1282="")</f>
        <v>0</v>
      </c>
      <c r="D1282">
        <f>B1282*('hospitalityq-nil'!D1282="")</f>
        <v>0</v>
      </c>
    </row>
    <row r="1283" spans="1:4" x14ac:dyDescent="0.25">
      <c r="A1283">
        <f t="shared" si="19"/>
        <v>0</v>
      </c>
      <c r="B1283" t="b">
        <f>SUMPRODUCT(LEN('hospitalityq-nil'!C1283:D1283))&gt;0</f>
        <v>0</v>
      </c>
      <c r="C1283">
        <f>B1283*('hospitalityq-nil'!C1283="")</f>
        <v>0</v>
      </c>
      <c r="D1283">
        <f>B1283*('hospitalityq-nil'!D1283="")</f>
        <v>0</v>
      </c>
    </row>
    <row r="1284" spans="1:4" x14ac:dyDescent="0.25">
      <c r="A1284">
        <f t="shared" si="19"/>
        <v>0</v>
      </c>
      <c r="B1284" t="b">
        <f>SUMPRODUCT(LEN('hospitalityq-nil'!C1284:D1284))&gt;0</f>
        <v>0</v>
      </c>
      <c r="C1284">
        <f>B1284*('hospitalityq-nil'!C1284="")</f>
        <v>0</v>
      </c>
      <c r="D1284">
        <f>B1284*('hospitalityq-nil'!D1284="")</f>
        <v>0</v>
      </c>
    </row>
    <row r="1285" spans="1:4" x14ac:dyDescent="0.25">
      <c r="A1285">
        <f t="shared" si="19"/>
        <v>0</v>
      </c>
      <c r="B1285" t="b">
        <f>SUMPRODUCT(LEN('hospitalityq-nil'!C1285:D1285))&gt;0</f>
        <v>0</v>
      </c>
      <c r="C1285">
        <f>B1285*('hospitalityq-nil'!C1285="")</f>
        <v>0</v>
      </c>
      <c r="D1285">
        <f>B1285*('hospitalityq-nil'!D1285="")</f>
        <v>0</v>
      </c>
    </row>
    <row r="1286" spans="1:4" x14ac:dyDescent="0.25">
      <c r="A1286">
        <f t="shared" ref="A1286:A1349" si="20">IFERROR(MATCH(TRUE,INDEX(C1286:D1286&lt;&gt;0,),)+2,0)</f>
        <v>0</v>
      </c>
      <c r="B1286" t="b">
        <f>SUMPRODUCT(LEN('hospitalityq-nil'!C1286:D1286))&gt;0</f>
        <v>0</v>
      </c>
      <c r="C1286">
        <f>B1286*('hospitalityq-nil'!C1286="")</f>
        <v>0</v>
      </c>
      <c r="D1286">
        <f>B1286*('hospitalityq-nil'!D1286="")</f>
        <v>0</v>
      </c>
    </row>
    <row r="1287" spans="1:4" x14ac:dyDescent="0.25">
      <c r="A1287">
        <f t="shared" si="20"/>
        <v>0</v>
      </c>
      <c r="B1287" t="b">
        <f>SUMPRODUCT(LEN('hospitalityq-nil'!C1287:D1287))&gt;0</f>
        <v>0</v>
      </c>
      <c r="C1287">
        <f>B1287*('hospitalityq-nil'!C1287="")</f>
        <v>0</v>
      </c>
      <c r="D1287">
        <f>B1287*('hospitalityq-nil'!D1287="")</f>
        <v>0</v>
      </c>
    </row>
    <row r="1288" spans="1:4" x14ac:dyDescent="0.25">
      <c r="A1288">
        <f t="shared" si="20"/>
        <v>0</v>
      </c>
      <c r="B1288" t="b">
        <f>SUMPRODUCT(LEN('hospitalityq-nil'!C1288:D1288))&gt;0</f>
        <v>0</v>
      </c>
      <c r="C1288">
        <f>B1288*('hospitalityq-nil'!C1288="")</f>
        <v>0</v>
      </c>
      <c r="D1288">
        <f>B1288*('hospitalityq-nil'!D1288="")</f>
        <v>0</v>
      </c>
    </row>
    <row r="1289" spans="1:4" x14ac:dyDescent="0.25">
      <c r="A1289">
        <f t="shared" si="20"/>
        <v>0</v>
      </c>
      <c r="B1289" t="b">
        <f>SUMPRODUCT(LEN('hospitalityq-nil'!C1289:D1289))&gt;0</f>
        <v>0</v>
      </c>
      <c r="C1289">
        <f>B1289*('hospitalityq-nil'!C1289="")</f>
        <v>0</v>
      </c>
      <c r="D1289">
        <f>B1289*('hospitalityq-nil'!D1289="")</f>
        <v>0</v>
      </c>
    </row>
    <row r="1290" spans="1:4" x14ac:dyDescent="0.25">
      <c r="A1290">
        <f t="shared" si="20"/>
        <v>0</v>
      </c>
      <c r="B1290" t="b">
        <f>SUMPRODUCT(LEN('hospitalityq-nil'!C1290:D1290))&gt;0</f>
        <v>0</v>
      </c>
      <c r="C1290">
        <f>B1290*('hospitalityq-nil'!C1290="")</f>
        <v>0</v>
      </c>
      <c r="D1290">
        <f>B1290*('hospitalityq-nil'!D1290="")</f>
        <v>0</v>
      </c>
    </row>
    <row r="1291" spans="1:4" x14ac:dyDescent="0.25">
      <c r="A1291">
        <f t="shared" si="20"/>
        <v>0</v>
      </c>
      <c r="B1291" t="b">
        <f>SUMPRODUCT(LEN('hospitalityq-nil'!C1291:D1291))&gt;0</f>
        <v>0</v>
      </c>
      <c r="C1291">
        <f>B1291*('hospitalityq-nil'!C1291="")</f>
        <v>0</v>
      </c>
      <c r="D1291">
        <f>B1291*('hospitalityq-nil'!D1291="")</f>
        <v>0</v>
      </c>
    </row>
    <row r="1292" spans="1:4" x14ac:dyDescent="0.25">
      <c r="A1292">
        <f t="shared" si="20"/>
        <v>0</v>
      </c>
      <c r="B1292" t="b">
        <f>SUMPRODUCT(LEN('hospitalityq-nil'!C1292:D1292))&gt;0</f>
        <v>0</v>
      </c>
      <c r="C1292">
        <f>B1292*('hospitalityq-nil'!C1292="")</f>
        <v>0</v>
      </c>
      <c r="D1292">
        <f>B1292*('hospitalityq-nil'!D1292="")</f>
        <v>0</v>
      </c>
    </row>
    <row r="1293" spans="1:4" x14ac:dyDescent="0.25">
      <c r="A1293">
        <f t="shared" si="20"/>
        <v>0</v>
      </c>
      <c r="B1293" t="b">
        <f>SUMPRODUCT(LEN('hospitalityq-nil'!C1293:D1293))&gt;0</f>
        <v>0</v>
      </c>
      <c r="C1293">
        <f>B1293*('hospitalityq-nil'!C1293="")</f>
        <v>0</v>
      </c>
      <c r="D1293">
        <f>B1293*('hospitalityq-nil'!D1293="")</f>
        <v>0</v>
      </c>
    </row>
    <row r="1294" spans="1:4" x14ac:dyDescent="0.25">
      <c r="A1294">
        <f t="shared" si="20"/>
        <v>0</v>
      </c>
      <c r="B1294" t="b">
        <f>SUMPRODUCT(LEN('hospitalityq-nil'!C1294:D1294))&gt;0</f>
        <v>0</v>
      </c>
      <c r="C1294">
        <f>B1294*('hospitalityq-nil'!C1294="")</f>
        <v>0</v>
      </c>
      <c r="D1294">
        <f>B1294*('hospitalityq-nil'!D1294="")</f>
        <v>0</v>
      </c>
    </row>
    <row r="1295" spans="1:4" x14ac:dyDescent="0.25">
      <c r="A1295">
        <f t="shared" si="20"/>
        <v>0</v>
      </c>
      <c r="B1295" t="b">
        <f>SUMPRODUCT(LEN('hospitalityq-nil'!C1295:D1295))&gt;0</f>
        <v>0</v>
      </c>
      <c r="C1295">
        <f>B1295*('hospitalityq-nil'!C1295="")</f>
        <v>0</v>
      </c>
      <c r="D1295">
        <f>B1295*('hospitalityq-nil'!D1295="")</f>
        <v>0</v>
      </c>
    </row>
    <row r="1296" spans="1:4" x14ac:dyDescent="0.25">
      <c r="A1296">
        <f t="shared" si="20"/>
        <v>0</v>
      </c>
      <c r="B1296" t="b">
        <f>SUMPRODUCT(LEN('hospitalityq-nil'!C1296:D1296))&gt;0</f>
        <v>0</v>
      </c>
      <c r="C1296">
        <f>B1296*('hospitalityq-nil'!C1296="")</f>
        <v>0</v>
      </c>
      <c r="D1296">
        <f>B1296*('hospitalityq-nil'!D1296="")</f>
        <v>0</v>
      </c>
    </row>
    <row r="1297" spans="1:4" x14ac:dyDescent="0.25">
      <c r="A1297">
        <f t="shared" si="20"/>
        <v>0</v>
      </c>
      <c r="B1297" t="b">
        <f>SUMPRODUCT(LEN('hospitalityq-nil'!C1297:D1297))&gt;0</f>
        <v>0</v>
      </c>
      <c r="C1297">
        <f>B1297*('hospitalityq-nil'!C1297="")</f>
        <v>0</v>
      </c>
      <c r="D1297">
        <f>B1297*('hospitalityq-nil'!D1297="")</f>
        <v>0</v>
      </c>
    </row>
    <row r="1298" spans="1:4" x14ac:dyDescent="0.25">
      <c r="A1298">
        <f t="shared" si="20"/>
        <v>0</v>
      </c>
      <c r="B1298" t="b">
        <f>SUMPRODUCT(LEN('hospitalityq-nil'!C1298:D1298))&gt;0</f>
        <v>0</v>
      </c>
      <c r="C1298">
        <f>B1298*('hospitalityq-nil'!C1298="")</f>
        <v>0</v>
      </c>
      <c r="D1298">
        <f>B1298*('hospitalityq-nil'!D1298="")</f>
        <v>0</v>
      </c>
    </row>
    <row r="1299" spans="1:4" x14ac:dyDescent="0.25">
      <c r="A1299">
        <f t="shared" si="20"/>
        <v>0</v>
      </c>
      <c r="B1299" t="b">
        <f>SUMPRODUCT(LEN('hospitalityq-nil'!C1299:D1299))&gt;0</f>
        <v>0</v>
      </c>
      <c r="C1299">
        <f>B1299*('hospitalityq-nil'!C1299="")</f>
        <v>0</v>
      </c>
      <c r="D1299">
        <f>B1299*('hospitalityq-nil'!D1299="")</f>
        <v>0</v>
      </c>
    </row>
    <row r="1300" spans="1:4" x14ac:dyDescent="0.25">
      <c r="A1300">
        <f t="shared" si="20"/>
        <v>0</v>
      </c>
      <c r="B1300" t="b">
        <f>SUMPRODUCT(LEN('hospitalityq-nil'!C1300:D1300))&gt;0</f>
        <v>0</v>
      </c>
      <c r="C1300">
        <f>B1300*('hospitalityq-nil'!C1300="")</f>
        <v>0</v>
      </c>
      <c r="D1300">
        <f>B1300*('hospitalityq-nil'!D1300="")</f>
        <v>0</v>
      </c>
    </row>
    <row r="1301" spans="1:4" x14ac:dyDescent="0.25">
      <c r="A1301">
        <f t="shared" si="20"/>
        <v>0</v>
      </c>
      <c r="B1301" t="b">
        <f>SUMPRODUCT(LEN('hospitalityq-nil'!C1301:D1301))&gt;0</f>
        <v>0</v>
      </c>
      <c r="C1301">
        <f>B1301*('hospitalityq-nil'!C1301="")</f>
        <v>0</v>
      </c>
      <c r="D1301">
        <f>B1301*('hospitalityq-nil'!D1301="")</f>
        <v>0</v>
      </c>
    </row>
    <row r="1302" spans="1:4" x14ac:dyDescent="0.25">
      <c r="A1302">
        <f t="shared" si="20"/>
        <v>0</v>
      </c>
      <c r="B1302" t="b">
        <f>SUMPRODUCT(LEN('hospitalityq-nil'!C1302:D1302))&gt;0</f>
        <v>0</v>
      </c>
      <c r="C1302">
        <f>B1302*('hospitalityq-nil'!C1302="")</f>
        <v>0</v>
      </c>
      <c r="D1302">
        <f>B1302*('hospitalityq-nil'!D1302="")</f>
        <v>0</v>
      </c>
    </row>
    <row r="1303" spans="1:4" x14ac:dyDescent="0.25">
      <c r="A1303">
        <f t="shared" si="20"/>
        <v>0</v>
      </c>
      <c r="B1303" t="b">
        <f>SUMPRODUCT(LEN('hospitalityq-nil'!C1303:D1303))&gt;0</f>
        <v>0</v>
      </c>
      <c r="C1303">
        <f>B1303*('hospitalityq-nil'!C1303="")</f>
        <v>0</v>
      </c>
      <c r="D1303">
        <f>B1303*('hospitalityq-nil'!D1303="")</f>
        <v>0</v>
      </c>
    </row>
    <row r="1304" spans="1:4" x14ac:dyDescent="0.25">
      <c r="A1304">
        <f t="shared" si="20"/>
        <v>0</v>
      </c>
      <c r="B1304" t="b">
        <f>SUMPRODUCT(LEN('hospitalityq-nil'!C1304:D1304))&gt;0</f>
        <v>0</v>
      </c>
      <c r="C1304">
        <f>B1304*('hospitalityq-nil'!C1304="")</f>
        <v>0</v>
      </c>
      <c r="D1304">
        <f>B1304*('hospitalityq-nil'!D1304="")</f>
        <v>0</v>
      </c>
    </row>
    <row r="1305" spans="1:4" x14ac:dyDescent="0.25">
      <c r="A1305">
        <f t="shared" si="20"/>
        <v>0</v>
      </c>
      <c r="B1305" t="b">
        <f>SUMPRODUCT(LEN('hospitalityq-nil'!C1305:D1305))&gt;0</f>
        <v>0</v>
      </c>
      <c r="C1305">
        <f>B1305*('hospitalityq-nil'!C1305="")</f>
        <v>0</v>
      </c>
      <c r="D1305">
        <f>B1305*('hospitalityq-nil'!D1305="")</f>
        <v>0</v>
      </c>
    </row>
    <row r="1306" spans="1:4" x14ac:dyDescent="0.25">
      <c r="A1306">
        <f t="shared" si="20"/>
        <v>0</v>
      </c>
      <c r="B1306" t="b">
        <f>SUMPRODUCT(LEN('hospitalityq-nil'!C1306:D1306))&gt;0</f>
        <v>0</v>
      </c>
      <c r="C1306">
        <f>B1306*('hospitalityq-nil'!C1306="")</f>
        <v>0</v>
      </c>
      <c r="D1306">
        <f>B1306*('hospitalityq-nil'!D1306="")</f>
        <v>0</v>
      </c>
    </row>
    <row r="1307" spans="1:4" x14ac:dyDescent="0.25">
      <c r="A1307">
        <f t="shared" si="20"/>
        <v>0</v>
      </c>
      <c r="B1307" t="b">
        <f>SUMPRODUCT(LEN('hospitalityq-nil'!C1307:D1307))&gt;0</f>
        <v>0</v>
      </c>
      <c r="C1307">
        <f>B1307*('hospitalityq-nil'!C1307="")</f>
        <v>0</v>
      </c>
      <c r="D1307">
        <f>B1307*('hospitalityq-nil'!D1307="")</f>
        <v>0</v>
      </c>
    </row>
    <row r="1308" spans="1:4" x14ac:dyDescent="0.25">
      <c r="A1308">
        <f t="shared" si="20"/>
        <v>0</v>
      </c>
      <c r="B1308" t="b">
        <f>SUMPRODUCT(LEN('hospitalityq-nil'!C1308:D1308))&gt;0</f>
        <v>0</v>
      </c>
      <c r="C1308">
        <f>B1308*('hospitalityq-nil'!C1308="")</f>
        <v>0</v>
      </c>
      <c r="D1308">
        <f>B1308*('hospitalityq-nil'!D1308="")</f>
        <v>0</v>
      </c>
    </row>
    <row r="1309" spans="1:4" x14ac:dyDescent="0.25">
      <c r="A1309">
        <f t="shared" si="20"/>
        <v>0</v>
      </c>
      <c r="B1309" t="b">
        <f>SUMPRODUCT(LEN('hospitalityq-nil'!C1309:D1309))&gt;0</f>
        <v>0</v>
      </c>
      <c r="C1309">
        <f>B1309*('hospitalityq-nil'!C1309="")</f>
        <v>0</v>
      </c>
      <c r="D1309">
        <f>B1309*('hospitalityq-nil'!D1309="")</f>
        <v>0</v>
      </c>
    </row>
    <row r="1310" spans="1:4" x14ac:dyDescent="0.25">
      <c r="A1310">
        <f t="shared" si="20"/>
        <v>0</v>
      </c>
      <c r="B1310" t="b">
        <f>SUMPRODUCT(LEN('hospitalityq-nil'!C1310:D1310))&gt;0</f>
        <v>0</v>
      </c>
      <c r="C1310">
        <f>B1310*('hospitalityq-nil'!C1310="")</f>
        <v>0</v>
      </c>
      <c r="D1310">
        <f>B1310*('hospitalityq-nil'!D1310="")</f>
        <v>0</v>
      </c>
    </row>
    <row r="1311" spans="1:4" x14ac:dyDescent="0.25">
      <c r="A1311">
        <f t="shared" si="20"/>
        <v>0</v>
      </c>
      <c r="B1311" t="b">
        <f>SUMPRODUCT(LEN('hospitalityq-nil'!C1311:D1311))&gt;0</f>
        <v>0</v>
      </c>
      <c r="C1311">
        <f>B1311*('hospitalityq-nil'!C1311="")</f>
        <v>0</v>
      </c>
      <c r="D1311">
        <f>B1311*('hospitalityq-nil'!D1311="")</f>
        <v>0</v>
      </c>
    </row>
    <row r="1312" spans="1:4" x14ac:dyDescent="0.25">
      <c r="A1312">
        <f t="shared" si="20"/>
        <v>0</v>
      </c>
      <c r="B1312" t="b">
        <f>SUMPRODUCT(LEN('hospitalityq-nil'!C1312:D1312))&gt;0</f>
        <v>0</v>
      </c>
      <c r="C1312">
        <f>B1312*('hospitalityq-nil'!C1312="")</f>
        <v>0</v>
      </c>
      <c r="D1312">
        <f>B1312*('hospitalityq-nil'!D1312="")</f>
        <v>0</v>
      </c>
    </row>
    <row r="1313" spans="1:4" x14ac:dyDescent="0.25">
      <c r="A1313">
        <f t="shared" si="20"/>
        <v>0</v>
      </c>
      <c r="B1313" t="b">
        <f>SUMPRODUCT(LEN('hospitalityq-nil'!C1313:D1313))&gt;0</f>
        <v>0</v>
      </c>
      <c r="C1313">
        <f>B1313*('hospitalityq-nil'!C1313="")</f>
        <v>0</v>
      </c>
      <c r="D1313">
        <f>B1313*('hospitalityq-nil'!D1313="")</f>
        <v>0</v>
      </c>
    </row>
    <row r="1314" spans="1:4" x14ac:dyDescent="0.25">
      <c r="A1314">
        <f t="shared" si="20"/>
        <v>0</v>
      </c>
      <c r="B1314" t="b">
        <f>SUMPRODUCT(LEN('hospitalityq-nil'!C1314:D1314))&gt;0</f>
        <v>0</v>
      </c>
      <c r="C1314">
        <f>B1314*('hospitalityq-nil'!C1314="")</f>
        <v>0</v>
      </c>
      <c r="D1314">
        <f>B1314*('hospitalityq-nil'!D1314="")</f>
        <v>0</v>
      </c>
    </row>
    <row r="1315" spans="1:4" x14ac:dyDescent="0.25">
      <c r="A1315">
        <f t="shared" si="20"/>
        <v>0</v>
      </c>
      <c r="B1315" t="b">
        <f>SUMPRODUCT(LEN('hospitalityq-nil'!C1315:D1315))&gt;0</f>
        <v>0</v>
      </c>
      <c r="C1315">
        <f>B1315*('hospitalityq-nil'!C1315="")</f>
        <v>0</v>
      </c>
      <c r="D1315">
        <f>B1315*('hospitalityq-nil'!D1315="")</f>
        <v>0</v>
      </c>
    </row>
    <row r="1316" spans="1:4" x14ac:dyDescent="0.25">
      <c r="A1316">
        <f t="shared" si="20"/>
        <v>0</v>
      </c>
      <c r="B1316" t="b">
        <f>SUMPRODUCT(LEN('hospitalityq-nil'!C1316:D1316))&gt;0</f>
        <v>0</v>
      </c>
      <c r="C1316">
        <f>B1316*('hospitalityq-nil'!C1316="")</f>
        <v>0</v>
      </c>
      <c r="D1316">
        <f>B1316*('hospitalityq-nil'!D1316="")</f>
        <v>0</v>
      </c>
    </row>
    <row r="1317" spans="1:4" x14ac:dyDescent="0.25">
      <c r="A1317">
        <f t="shared" si="20"/>
        <v>0</v>
      </c>
      <c r="B1317" t="b">
        <f>SUMPRODUCT(LEN('hospitalityq-nil'!C1317:D1317))&gt;0</f>
        <v>0</v>
      </c>
      <c r="C1317">
        <f>B1317*('hospitalityq-nil'!C1317="")</f>
        <v>0</v>
      </c>
      <c r="D1317">
        <f>B1317*('hospitalityq-nil'!D1317="")</f>
        <v>0</v>
      </c>
    </row>
    <row r="1318" spans="1:4" x14ac:dyDescent="0.25">
      <c r="A1318">
        <f t="shared" si="20"/>
        <v>0</v>
      </c>
      <c r="B1318" t="b">
        <f>SUMPRODUCT(LEN('hospitalityq-nil'!C1318:D1318))&gt;0</f>
        <v>0</v>
      </c>
      <c r="C1318">
        <f>B1318*('hospitalityq-nil'!C1318="")</f>
        <v>0</v>
      </c>
      <c r="D1318">
        <f>B1318*('hospitalityq-nil'!D1318="")</f>
        <v>0</v>
      </c>
    </row>
    <row r="1319" spans="1:4" x14ac:dyDescent="0.25">
      <c r="A1319">
        <f t="shared" si="20"/>
        <v>0</v>
      </c>
      <c r="B1319" t="b">
        <f>SUMPRODUCT(LEN('hospitalityq-nil'!C1319:D1319))&gt;0</f>
        <v>0</v>
      </c>
      <c r="C1319">
        <f>B1319*('hospitalityq-nil'!C1319="")</f>
        <v>0</v>
      </c>
      <c r="D1319">
        <f>B1319*('hospitalityq-nil'!D1319="")</f>
        <v>0</v>
      </c>
    </row>
    <row r="1320" spans="1:4" x14ac:dyDescent="0.25">
      <c r="A1320">
        <f t="shared" si="20"/>
        <v>0</v>
      </c>
      <c r="B1320" t="b">
        <f>SUMPRODUCT(LEN('hospitalityq-nil'!C1320:D1320))&gt;0</f>
        <v>0</v>
      </c>
      <c r="C1320">
        <f>B1320*('hospitalityq-nil'!C1320="")</f>
        <v>0</v>
      </c>
      <c r="D1320">
        <f>B1320*('hospitalityq-nil'!D1320="")</f>
        <v>0</v>
      </c>
    </row>
    <row r="1321" spans="1:4" x14ac:dyDescent="0.25">
      <c r="A1321">
        <f t="shared" si="20"/>
        <v>0</v>
      </c>
      <c r="B1321" t="b">
        <f>SUMPRODUCT(LEN('hospitalityq-nil'!C1321:D1321))&gt;0</f>
        <v>0</v>
      </c>
      <c r="C1321">
        <f>B1321*('hospitalityq-nil'!C1321="")</f>
        <v>0</v>
      </c>
      <c r="D1321">
        <f>B1321*('hospitalityq-nil'!D1321="")</f>
        <v>0</v>
      </c>
    </row>
    <row r="1322" spans="1:4" x14ac:dyDescent="0.25">
      <c r="A1322">
        <f t="shared" si="20"/>
        <v>0</v>
      </c>
      <c r="B1322" t="b">
        <f>SUMPRODUCT(LEN('hospitalityq-nil'!C1322:D1322))&gt;0</f>
        <v>0</v>
      </c>
      <c r="C1322">
        <f>B1322*('hospitalityq-nil'!C1322="")</f>
        <v>0</v>
      </c>
      <c r="D1322">
        <f>B1322*('hospitalityq-nil'!D1322="")</f>
        <v>0</v>
      </c>
    </row>
    <row r="1323" spans="1:4" x14ac:dyDescent="0.25">
      <c r="A1323">
        <f t="shared" si="20"/>
        <v>0</v>
      </c>
      <c r="B1323" t="b">
        <f>SUMPRODUCT(LEN('hospitalityq-nil'!C1323:D1323))&gt;0</f>
        <v>0</v>
      </c>
      <c r="C1323">
        <f>B1323*('hospitalityq-nil'!C1323="")</f>
        <v>0</v>
      </c>
      <c r="D1323">
        <f>B1323*('hospitalityq-nil'!D1323="")</f>
        <v>0</v>
      </c>
    </row>
    <row r="1324" spans="1:4" x14ac:dyDescent="0.25">
      <c r="A1324">
        <f t="shared" si="20"/>
        <v>0</v>
      </c>
      <c r="B1324" t="b">
        <f>SUMPRODUCT(LEN('hospitalityq-nil'!C1324:D1324))&gt;0</f>
        <v>0</v>
      </c>
      <c r="C1324">
        <f>B1324*('hospitalityq-nil'!C1324="")</f>
        <v>0</v>
      </c>
      <c r="D1324">
        <f>B1324*('hospitalityq-nil'!D1324="")</f>
        <v>0</v>
      </c>
    </row>
    <row r="1325" spans="1:4" x14ac:dyDescent="0.25">
      <c r="A1325">
        <f t="shared" si="20"/>
        <v>0</v>
      </c>
      <c r="B1325" t="b">
        <f>SUMPRODUCT(LEN('hospitalityq-nil'!C1325:D1325))&gt;0</f>
        <v>0</v>
      </c>
      <c r="C1325">
        <f>B1325*('hospitalityq-nil'!C1325="")</f>
        <v>0</v>
      </c>
      <c r="D1325">
        <f>B1325*('hospitalityq-nil'!D1325="")</f>
        <v>0</v>
      </c>
    </row>
    <row r="1326" spans="1:4" x14ac:dyDescent="0.25">
      <c r="A1326">
        <f t="shared" si="20"/>
        <v>0</v>
      </c>
      <c r="B1326" t="b">
        <f>SUMPRODUCT(LEN('hospitalityq-nil'!C1326:D1326))&gt;0</f>
        <v>0</v>
      </c>
      <c r="C1326">
        <f>B1326*('hospitalityq-nil'!C1326="")</f>
        <v>0</v>
      </c>
      <c r="D1326">
        <f>B1326*('hospitalityq-nil'!D1326="")</f>
        <v>0</v>
      </c>
    </row>
    <row r="1327" spans="1:4" x14ac:dyDescent="0.25">
      <c r="A1327">
        <f t="shared" si="20"/>
        <v>0</v>
      </c>
      <c r="B1327" t="b">
        <f>SUMPRODUCT(LEN('hospitalityq-nil'!C1327:D1327))&gt;0</f>
        <v>0</v>
      </c>
      <c r="C1327">
        <f>B1327*('hospitalityq-nil'!C1327="")</f>
        <v>0</v>
      </c>
      <c r="D1327">
        <f>B1327*('hospitalityq-nil'!D1327="")</f>
        <v>0</v>
      </c>
    </row>
    <row r="1328" spans="1:4" x14ac:dyDescent="0.25">
      <c r="A1328">
        <f t="shared" si="20"/>
        <v>0</v>
      </c>
      <c r="B1328" t="b">
        <f>SUMPRODUCT(LEN('hospitalityq-nil'!C1328:D1328))&gt;0</f>
        <v>0</v>
      </c>
      <c r="C1328">
        <f>B1328*('hospitalityq-nil'!C1328="")</f>
        <v>0</v>
      </c>
      <c r="D1328">
        <f>B1328*('hospitalityq-nil'!D1328="")</f>
        <v>0</v>
      </c>
    </row>
    <row r="1329" spans="1:4" x14ac:dyDescent="0.25">
      <c r="A1329">
        <f t="shared" si="20"/>
        <v>0</v>
      </c>
      <c r="B1329" t="b">
        <f>SUMPRODUCT(LEN('hospitalityq-nil'!C1329:D1329))&gt;0</f>
        <v>0</v>
      </c>
      <c r="C1329">
        <f>B1329*('hospitalityq-nil'!C1329="")</f>
        <v>0</v>
      </c>
      <c r="D1329">
        <f>B1329*('hospitalityq-nil'!D1329="")</f>
        <v>0</v>
      </c>
    </row>
    <row r="1330" spans="1:4" x14ac:dyDescent="0.25">
      <c r="A1330">
        <f t="shared" si="20"/>
        <v>0</v>
      </c>
      <c r="B1330" t="b">
        <f>SUMPRODUCT(LEN('hospitalityq-nil'!C1330:D1330))&gt;0</f>
        <v>0</v>
      </c>
      <c r="C1330">
        <f>B1330*('hospitalityq-nil'!C1330="")</f>
        <v>0</v>
      </c>
      <c r="D1330">
        <f>B1330*('hospitalityq-nil'!D1330="")</f>
        <v>0</v>
      </c>
    </row>
    <row r="1331" spans="1:4" x14ac:dyDescent="0.25">
      <c r="A1331">
        <f t="shared" si="20"/>
        <v>0</v>
      </c>
      <c r="B1331" t="b">
        <f>SUMPRODUCT(LEN('hospitalityq-nil'!C1331:D1331))&gt;0</f>
        <v>0</v>
      </c>
      <c r="C1331">
        <f>B1331*('hospitalityq-nil'!C1331="")</f>
        <v>0</v>
      </c>
      <c r="D1331">
        <f>B1331*('hospitalityq-nil'!D1331="")</f>
        <v>0</v>
      </c>
    </row>
    <row r="1332" spans="1:4" x14ac:dyDescent="0.25">
      <c r="A1332">
        <f t="shared" si="20"/>
        <v>0</v>
      </c>
      <c r="B1332" t="b">
        <f>SUMPRODUCT(LEN('hospitalityq-nil'!C1332:D1332))&gt;0</f>
        <v>0</v>
      </c>
      <c r="C1332">
        <f>B1332*('hospitalityq-nil'!C1332="")</f>
        <v>0</v>
      </c>
      <c r="D1332">
        <f>B1332*('hospitalityq-nil'!D1332="")</f>
        <v>0</v>
      </c>
    </row>
    <row r="1333" spans="1:4" x14ac:dyDescent="0.25">
      <c r="A1333">
        <f t="shared" si="20"/>
        <v>0</v>
      </c>
      <c r="B1333" t="b">
        <f>SUMPRODUCT(LEN('hospitalityq-nil'!C1333:D1333))&gt;0</f>
        <v>0</v>
      </c>
      <c r="C1333">
        <f>B1333*('hospitalityq-nil'!C1333="")</f>
        <v>0</v>
      </c>
      <c r="D1333">
        <f>B1333*('hospitalityq-nil'!D1333="")</f>
        <v>0</v>
      </c>
    </row>
    <row r="1334" spans="1:4" x14ac:dyDescent="0.25">
      <c r="A1334">
        <f t="shared" si="20"/>
        <v>0</v>
      </c>
      <c r="B1334" t="b">
        <f>SUMPRODUCT(LEN('hospitalityq-nil'!C1334:D1334))&gt;0</f>
        <v>0</v>
      </c>
      <c r="C1334">
        <f>B1334*('hospitalityq-nil'!C1334="")</f>
        <v>0</v>
      </c>
      <c r="D1334">
        <f>B1334*('hospitalityq-nil'!D1334="")</f>
        <v>0</v>
      </c>
    </row>
    <row r="1335" spans="1:4" x14ac:dyDescent="0.25">
      <c r="A1335">
        <f t="shared" si="20"/>
        <v>0</v>
      </c>
      <c r="B1335" t="b">
        <f>SUMPRODUCT(LEN('hospitalityq-nil'!C1335:D1335))&gt;0</f>
        <v>0</v>
      </c>
      <c r="C1335">
        <f>B1335*('hospitalityq-nil'!C1335="")</f>
        <v>0</v>
      </c>
      <c r="D1335">
        <f>B1335*('hospitalityq-nil'!D1335="")</f>
        <v>0</v>
      </c>
    </row>
    <row r="1336" spans="1:4" x14ac:dyDescent="0.25">
      <c r="A1336">
        <f t="shared" si="20"/>
        <v>0</v>
      </c>
      <c r="B1336" t="b">
        <f>SUMPRODUCT(LEN('hospitalityq-nil'!C1336:D1336))&gt;0</f>
        <v>0</v>
      </c>
      <c r="C1336">
        <f>B1336*('hospitalityq-nil'!C1336="")</f>
        <v>0</v>
      </c>
      <c r="D1336">
        <f>B1336*('hospitalityq-nil'!D1336="")</f>
        <v>0</v>
      </c>
    </row>
    <row r="1337" spans="1:4" x14ac:dyDescent="0.25">
      <c r="A1337">
        <f t="shared" si="20"/>
        <v>0</v>
      </c>
      <c r="B1337" t="b">
        <f>SUMPRODUCT(LEN('hospitalityq-nil'!C1337:D1337))&gt;0</f>
        <v>0</v>
      </c>
      <c r="C1337">
        <f>B1337*('hospitalityq-nil'!C1337="")</f>
        <v>0</v>
      </c>
      <c r="D1337">
        <f>B1337*('hospitalityq-nil'!D1337="")</f>
        <v>0</v>
      </c>
    </row>
    <row r="1338" spans="1:4" x14ac:dyDescent="0.25">
      <c r="A1338">
        <f t="shared" si="20"/>
        <v>0</v>
      </c>
      <c r="B1338" t="b">
        <f>SUMPRODUCT(LEN('hospitalityq-nil'!C1338:D1338))&gt;0</f>
        <v>0</v>
      </c>
      <c r="C1338">
        <f>B1338*('hospitalityq-nil'!C1338="")</f>
        <v>0</v>
      </c>
      <c r="D1338">
        <f>B1338*('hospitalityq-nil'!D1338="")</f>
        <v>0</v>
      </c>
    </row>
    <row r="1339" spans="1:4" x14ac:dyDescent="0.25">
      <c r="A1339">
        <f t="shared" si="20"/>
        <v>0</v>
      </c>
      <c r="B1339" t="b">
        <f>SUMPRODUCT(LEN('hospitalityq-nil'!C1339:D1339))&gt;0</f>
        <v>0</v>
      </c>
      <c r="C1339">
        <f>B1339*('hospitalityq-nil'!C1339="")</f>
        <v>0</v>
      </c>
      <c r="D1339">
        <f>B1339*('hospitalityq-nil'!D1339="")</f>
        <v>0</v>
      </c>
    </row>
    <row r="1340" spans="1:4" x14ac:dyDescent="0.25">
      <c r="A1340">
        <f t="shared" si="20"/>
        <v>0</v>
      </c>
      <c r="B1340" t="b">
        <f>SUMPRODUCT(LEN('hospitalityq-nil'!C1340:D1340))&gt;0</f>
        <v>0</v>
      </c>
      <c r="C1340">
        <f>B1340*('hospitalityq-nil'!C1340="")</f>
        <v>0</v>
      </c>
      <c r="D1340">
        <f>B1340*('hospitalityq-nil'!D1340="")</f>
        <v>0</v>
      </c>
    </row>
    <row r="1341" spans="1:4" x14ac:dyDescent="0.25">
      <c r="A1341">
        <f t="shared" si="20"/>
        <v>0</v>
      </c>
      <c r="B1341" t="b">
        <f>SUMPRODUCT(LEN('hospitalityq-nil'!C1341:D1341))&gt;0</f>
        <v>0</v>
      </c>
      <c r="C1341">
        <f>B1341*('hospitalityq-nil'!C1341="")</f>
        <v>0</v>
      </c>
      <c r="D1341">
        <f>B1341*('hospitalityq-nil'!D1341="")</f>
        <v>0</v>
      </c>
    </row>
    <row r="1342" spans="1:4" x14ac:dyDescent="0.25">
      <c r="A1342">
        <f t="shared" si="20"/>
        <v>0</v>
      </c>
      <c r="B1342" t="b">
        <f>SUMPRODUCT(LEN('hospitalityq-nil'!C1342:D1342))&gt;0</f>
        <v>0</v>
      </c>
      <c r="C1342">
        <f>B1342*('hospitalityq-nil'!C1342="")</f>
        <v>0</v>
      </c>
      <c r="D1342">
        <f>B1342*('hospitalityq-nil'!D1342="")</f>
        <v>0</v>
      </c>
    </row>
    <row r="1343" spans="1:4" x14ac:dyDescent="0.25">
      <c r="A1343">
        <f t="shared" si="20"/>
        <v>0</v>
      </c>
      <c r="B1343" t="b">
        <f>SUMPRODUCT(LEN('hospitalityq-nil'!C1343:D1343))&gt;0</f>
        <v>0</v>
      </c>
      <c r="C1343">
        <f>B1343*('hospitalityq-nil'!C1343="")</f>
        <v>0</v>
      </c>
      <c r="D1343">
        <f>B1343*('hospitalityq-nil'!D1343="")</f>
        <v>0</v>
      </c>
    </row>
    <row r="1344" spans="1:4" x14ac:dyDescent="0.25">
      <c r="A1344">
        <f t="shared" si="20"/>
        <v>0</v>
      </c>
      <c r="B1344" t="b">
        <f>SUMPRODUCT(LEN('hospitalityq-nil'!C1344:D1344))&gt;0</f>
        <v>0</v>
      </c>
      <c r="C1344">
        <f>B1344*('hospitalityq-nil'!C1344="")</f>
        <v>0</v>
      </c>
      <c r="D1344">
        <f>B1344*('hospitalityq-nil'!D1344="")</f>
        <v>0</v>
      </c>
    </row>
    <row r="1345" spans="1:4" x14ac:dyDescent="0.25">
      <c r="A1345">
        <f t="shared" si="20"/>
        <v>0</v>
      </c>
      <c r="B1345" t="b">
        <f>SUMPRODUCT(LEN('hospitalityq-nil'!C1345:D1345))&gt;0</f>
        <v>0</v>
      </c>
      <c r="C1345">
        <f>B1345*('hospitalityq-nil'!C1345="")</f>
        <v>0</v>
      </c>
      <c r="D1345">
        <f>B1345*('hospitalityq-nil'!D1345="")</f>
        <v>0</v>
      </c>
    </row>
    <row r="1346" spans="1:4" x14ac:dyDescent="0.25">
      <c r="A1346">
        <f t="shared" si="20"/>
        <v>0</v>
      </c>
      <c r="B1346" t="b">
        <f>SUMPRODUCT(LEN('hospitalityq-nil'!C1346:D1346))&gt;0</f>
        <v>0</v>
      </c>
      <c r="C1346">
        <f>B1346*('hospitalityq-nil'!C1346="")</f>
        <v>0</v>
      </c>
      <c r="D1346">
        <f>B1346*('hospitalityq-nil'!D1346="")</f>
        <v>0</v>
      </c>
    </row>
    <row r="1347" spans="1:4" x14ac:dyDescent="0.25">
      <c r="A1347">
        <f t="shared" si="20"/>
        <v>0</v>
      </c>
      <c r="B1347" t="b">
        <f>SUMPRODUCT(LEN('hospitalityq-nil'!C1347:D1347))&gt;0</f>
        <v>0</v>
      </c>
      <c r="C1347">
        <f>B1347*('hospitalityq-nil'!C1347="")</f>
        <v>0</v>
      </c>
      <c r="D1347">
        <f>B1347*('hospitalityq-nil'!D1347="")</f>
        <v>0</v>
      </c>
    </row>
    <row r="1348" spans="1:4" x14ac:dyDescent="0.25">
      <c r="A1348">
        <f t="shared" si="20"/>
        <v>0</v>
      </c>
      <c r="B1348" t="b">
        <f>SUMPRODUCT(LEN('hospitalityq-nil'!C1348:D1348))&gt;0</f>
        <v>0</v>
      </c>
      <c r="C1348">
        <f>B1348*('hospitalityq-nil'!C1348="")</f>
        <v>0</v>
      </c>
      <c r="D1348">
        <f>B1348*('hospitalityq-nil'!D1348="")</f>
        <v>0</v>
      </c>
    </row>
    <row r="1349" spans="1:4" x14ac:dyDescent="0.25">
      <c r="A1349">
        <f t="shared" si="20"/>
        <v>0</v>
      </c>
      <c r="B1349" t="b">
        <f>SUMPRODUCT(LEN('hospitalityq-nil'!C1349:D1349))&gt;0</f>
        <v>0</v>
      </c>
      <c r="C1349">
        <f>B1349*('hospitalityq-nil'!C1349="")</f>
        <v>0</v>
      </c>
      <c r="D1349">
        <f>B1349*('hospitalityq-nil'!D1349="")</f>
        <v>0</v>
      </c>
    </row>
    <row r="1350" spans="1:4" x14ac:dyDescent="0.25">
      <c r="A1350">
        <f t="shared" ref="A1350:A1413" si="21">IFERROR(MATCH(TRUE,INDEX(C1350:D1350&lt;&gt;0,),)+2,0)</f>
        <v>0</v>
      </c>
      <c r="B1350" t="b">
        <f>SUMPRODUCT(LEN('hospitalityq-nil'!C1350:D1350))&gt;0</f>
        <v>0</v>
      </c>
      <c r="C1350">
        <f>B1350*('hospitalityq-nil'!C1350="")</f>
        <v>0</v>
      </c>
      <c r="D1350">
        <f>B1350*('hospitalityq-nil'!D1350="")</f>
        <v>0</v>
      </c>
    </row>
    <row r="1351" spans="1:4" x14ac:dyDescent="0.25">
      <c r="A1351">
        <f t="shared" si="21"/>
        <v>0</v>
      </c>
      <c r="B1351" t="b">
        <f>SUMPRODUCT(LEN('hospitalityq-nil'!C1351:D1351))&gt;0</f>
        <v>0</v>
      </c>
      <c r="C1351">
        <f>B1351*('hospitalityq-nil'!C1351="")</f>
        <v>0</v>
      </c>
      <c r="D1351">
        <f>B1351*('hospitalityq-nil'!D1351="")</f>
        <v>0</v>
      </c>
    </row>
    <row r="1352" spans="1:4" x14ac:dyDescent="0.25">
      <c r="A1352">
        <f t="shared" si="21"/>
        <v>0</v>
      </c>
      <c r="B1352" t="b">
        <f>SUMPRODUCT(LEN('hospitalityq-nil'!C1352:D1352))&gt;0</f>
        <v>0</v>
      </c>
      <c r="C1352">
        <f>B1352*('hospitalityq-nil'!C1352="")</f>
        <v>0</v>
      </c>
      <c r="D1352">
        <f>B1352*('hospitalityq-nil'!D1352="")</f>
        <v>0</v>
      </c>
    </row>
    <row r="1353" spans="1:4" x14ac:dyDescent="0.25">
      <c r="A1353">
        <f t="shared" si="21"/>
        <v>0</v>
      </c>
      <c r="B1353" t="b">
        <f>SUMPRODUCT(LEN('hospitalityq-nil'!C1353:D1353))&gt;0</f>
        <v>0</v>
      </c>
      <c r="C1353">
        <f>B1353*('hospitalityq-nil'!C1353="")</f>
        <v>0</v>
      </c>
      <c r="D1353">
        <f>B1353*('hospitalityq-nil'!D1353="")</f>
        <v>0</v>
      </c>
    </row>
    <row r="1354" spans="1:4" x14ac:dyDescent="0.25">
      <c r="A1354">
        <f t="shared" si="21"/>
        <v>0</v>
      </c>
      <c r="B1354" t="b">
        <f>SUMPRODUCT(LEN('hospitalityq-nil'!C1354:D1354))&gt;0</f>
        <v>0</v>
      </c>
      <c r="C1354">
        <f>B1354*('hospitalityq-nil'!C1354="")</f>
        <v>0</v>
      </c>
      <c r="D1354">
        <f>B1354*('hospitalityq-nil'!D1354="")</f>
        <v>0</v>
      </c>
    </row>
    <row r="1355" spans="1:4" x14ac:dyDescent="0.25">
      <c r="A1355">
        <f t="shared" si="21"/>
        <v>0</v>
      </c>
      <c r="B1355" t="b">
        <f>SUMPRODUCT(LEN('hospitalityq-nil'!C1355:D1355))&gt;0</f>
        <v>0</v>
      </c>
      <c r="C1355">
        <f>B1355*('hospitalityq-nil'!C1355="")</f>
        <v>0</v>
      </c>
      <c r="D1355">
        <f>B1355*('hospitalityq-nil'!D1355="")</f>
        <v>0</v>
      </c>
    </row>
    <row r="1356" spans="1:4" x14ac:dyDescent="0.25">
      <c r="A1356">
        <f t="shared" si="21"/>
        <v>0</v>
      </c>
      <c r="B1356" t="b">
        <f>SUMPRODUCT(LEN('hospitalityq-nil'!C1356:D1356))&gt;0</f>
        <v>0</v>
      </c>
      <c r="C1356">
        <f>B1356*('hospitalityq-nil'!C1356="")</f>
        <v>0</v>
      </c>
      <c r="D1356">
        <f>B1356*('hospitalityq-nil'!D1356="")</f>
        <v>0</v>
      </c>
    </row>
    <row r="1357" spans="1:4" x14ac:dyDescent="0.25">
      <c r="A1357">
        <f t="shared" si="21"/>
        <v>0</v>
      </c>
      <c r="B1357" t="b">
        <f>SUMPRODUCT(LEN('hospitalityq-nil'!C1357:D1357))&gt;0</f>
        <v>0</v>
      </c>
      <c r="C1357">
        <f>B1357*('hospitalityq-nil'!C1357="")</f>
        <v>0</v>
      </c>
      <c r="D1357">
        <f>B1357*('hospitalityq-nil'!D1357="")</f>
        <v>0</v>
      </c>
    </row>
    <row r="1358" spans="1:4" x14ac:dyDescent="0.25">
      <c r="A1358">
        <f t="shared" si="21"/>
        <v>0</v>
      </c>
      <c r="B1358" t="b">
        <f>SUMPRODUCT(LEN('hospitalityq-nil'!C1358:D1358))&gt;0</f>
        <v>0</v>
      </c>
      <c r="C1358">
        <f>B1358*('hospitalityq-nil'!C1358="")</f>
        <v>0</v>
      </c>
      <c r="D1358">
        <f>B1358*('hospitalityq-nil'!D1358="")</f>
        <v>0</v>
      </c>
    </row>
    <row r="1359" spans="1:4" x14ac:dyDescent="0.25">
      <c r="A1359">
        <f t="shared" si="21"/>
        <v>0</v>
      </c>
      <c r="B1359" t="b">
        <f>SUMPRODUCT(LEN('hospitalityq-nil'!C1359:D1359))&gt;0</f>
        <v>0</v>
      </c>
      <c r="C1359">
        <f>B1359*('hospitalityq-nil'!C1359="")</f>
        <v>0</v>
      </c>
      <c r="D1359">
        <f>B1359*('hospitalityq-nil'!D1359="")</f>
        <v>0</v>
      </c>
    </row>
    <row r="1360" spans="1:4" x14ac:dyDescent="0.25">
      <c r="A1360">
        <f t="shared" si="21"/>
        <v>0</v>
      </c>
      <c r="B1360" t="b">
        <f>SUMPRODUCT(LEN('hospitalityq-nil'!C1360:D1360))&gt;0</f>
        <v>0</v>
      </c>
      <c r="C1360">
        <f>B1360*('hospitalityq-nil'!C1360="")</f>
        <v>0</v>
      </c>
      <c r="D1360">
        <f>B1360*('hospitalityq-nil'!D1360="")</f>
        <v>0</v>
      </c>
    </row>
    <row r="1361" spans="1:4" x14ac:dyDescent="0.25">
      <c r="A1361">
        <f t="shared" si="21"/>
        <v>0</v>
      </c>
      <c r="B1361" t="b">
        <f>SUMPRODUCT(LEN('hospitalityq-nil'!C1361:D1361))&gt;0</f>
        <v>0</v>
      </c>
      <c r="C1361">
        <f>B1361*('hospitalityq-nil'!C1361="")</f>
        <v>0</v>
      </c>
      <c r="D1361">
        <f>B1361*('hospitalityq-nil'!D1361="")</f>
        <v>0</v>
      </c>
    </row>
    <row r="1362" spans="1:4" x14ac:dyDescent="0.25">
      <c r="A1362">
        <f t="shared" si="21"/>
        <v>0</v>
      </c>
      <c r="B1362" t="b">
        <f>SUMPRODUCT(LEN('hospitalityq-nil'!C1362:D1362))&gt;0</f>
        <v>0</v>
      </c>
      <c r="C1362">
        <f>B1362*('hospitalityq-nil'!C1362="")</f>
        <v>0</v>
      </c>
      <c r="D1362">
        <f>B1362*('hospitalityq-nil'!D1362="")</f>
        <v>0</v>
      </c>
    </row>
    <row r="1363" spans="1:4" x14ac:dyDescent="0.25">
      <c r="A1363">
        <f t="shared" si="21"/>
        <v>0</v>
      </c>
      <c r="B1363" t="b">
        <f>SUMPRODUCT(LEN('hospitalityq-nil'!C1363:D1363))&gt;0</f>
        <v>0</v>
      </c>
      <c r="C1363">
        <f>B1363*('hospitalityq-nil'!C1363="")</f>
        <v>0</v>
      </c>
      <c r="D1363">
        <f>B1363*('hospitalityq-nil'!D1363="")</f>
        <v>0</v>
      </c>
    </row>
    <row r="1364" spans="1:4" x14ac:dyDescent="0.25">
      <c r="A1364">
        <f t="shared" si="21"/>
        <v>0</v>
      </c>
      <c r="B1364" t="b">
        <f>SUMPRODUCT(LEN('hospitalityq-nil'!C1364:D1364))&gt;0</f>
        <v>0</v>
      </c>
      <c r="C1364">
        <f>B1364*('hospitalityq-nil'!C1364="")</f>
        <v>0</v>
      </c>
      <c r="D1364">
        <f>B1364*('hospitalityq-nil'!D1364="")</f>
        <v>0</v>
      </c>
    </row>
    <row r="1365" spans="1:4" x14ac:dyDescent="0.25">
      <c r="A1365">
        <f t="shared" si="21"/>
        <v>0</v>
      </c>
      <c r="B1365" t="b">
        <f>SUMPRODUCT(LEN('hospitalityq-nil'!C1365:D1365))&gt;0</f>
        <v>0</v>
      </c>
      <c r="C1365">
        <f>B1365*('hospitalityq-nil'!C1365="")</f>
        <v>0</v>
      </c>
      <c r="D1365">
        <f>B1365*('hospitalityq-nil'!D1365="")</f>
        <v>0</v>
      </c>
    </row>
    <row r="1366" spans="1:4" x14ac:dyDescent="0.25">
      <c r="A1366">
        <f t="shared" si="21"/>
        <v>0</v>
      </c>
      <c r="B1366" t="b">
        <f>SUMPRODUCT(LEN('hospitalityq-nil'!C1366:D1366))&gt;0</f>
        <v>0</v>
      </c>
      <c r="C1366">
        <f>B1366*('hospitalityq-nil'!C1366="")</f>
        <v>0</v>
      </c>
      <c r="D1366">
        <f>B1366*('hospitalityq-nil'!D1366="")</f>
        <v>0</v>
      </c>
    </row>
    <row r="1367" spans="1:4" x14ac:dyDescent="0.25">
      <c r="A1367">
        <f t="shared" si="21"/>
        <v>0</v>
      </c>
      <c r="B1367" t="b">
        <f>SUMPRODUCT(LEN('hospitalityq-nil'!C1367:D1367))&gt;0</f>
        <v>0</v>
      </c>
      <c r="C1367">
        <f>B1367*('hospitalityq-nil'!C1367="")</f>
        <v>0</v>
      </c>
      <c r="D1367">
        <f>B1367*('hospitalityq-nil'!D1367="")</f>
        <v>0</v>
      </c>
    </row>
    <row r="1368" spans="1:4" x14ac:dyDescent="0.25">
      <c r="A1368">
        <f t="shared" si="21"/>
        <v>0</v>
      </c>
      <c r="B1368" t="b">
        <f>SUMPRODUCT(LEN('hospitalityq-nil'!C1368:D1368))&gt;0</f>
        <v>0</v>
      </c>
      <c r="C1368">
        <f>B1368*('hospitalityq-nil'!C1368="")</f>
        <v>0</v>
      </c>
      <c r="D1368">
        <f>B1368*('hospitalityq-nil'!D1368="")</f>
        <v>0</v>
      </c>
    </row>
    <row r="1369" spans="1:4" x14ac:dyDescent="0.25">
      <c r="A1369">
        <f t="shared" si="21"/>
        <v>0</v>
      </c>
      <c r="B1369" t="b">
        <f>SUMPRODUCT(LEN('hospitalityq-nil'!C1369:D1369))&gt;0</f>
        <v>0</v>
      </c>
      <c r="C1369">
        <f>B1369*('hospitalityq-nil'!C1369="")</f>
        <v>0</v>
      </c>
      <c r="D1369">
        <f>B1369*('hospitalityq-nil'!D1369="")</f>
        <v>0</v>
      </c>
    </row>
    <row r="1370" spans="1:4" x14ac:dyDescent="0.25">
      <c r="A1370">
        <f t="shared" si="21"/>
        <v>0</v>
      </c>
      <c r="B1370" t="b">
        <f>SUMPRODUCT(LEN('hospitalityq-nil'!C1370:D1370))&gt;0</f>
        <v>0</v>
      </c>
      <c r="C1370">
        <f>B1370*('hospitalityq-nil'!C1370="")</f>
        <v>0</v>
      </c>
      <c r="D1370">
        <f>B1370*('hospitalityq-nil'!D1370="")</f>
        <v>0</v>
      </c>
    </row>
    <row r="1371" spans="1:4" x14ac:dyDescent="0.25">
      <c r="A1371">
        <f t="shared" si="21"/>
        <v>0</v>
      </c>
      <c r="B1371" t="b">
        <f>SUMPRODUCT(LEN('hospitalityq-nil'!C1371:D1371))&gt;0</f>
        <v>0</v>
      </c>
      <c r="C1371">
        <f>B1371*('hospitalityq-nil'!C1371="")</f>
        <v>0</v>
      </c>
      <c r="D1371">
        <f>B1371*('hospitalityq-nil'!D1371="")</f>
        <v>0</v>
      </c>
    </row>
    <row r="1372" spans="1:4" x14ac:dyDescent="0.25">
      <c r="A1372">
        <f t="shared" si="21"/>
        <v>0</v>
      </c>
      <c r="B1372" t="b">
        <f>SUMPRODUCT(LEN('hospitalityq-nil'!C1372:D1372))&gt;0</f>
        <v>0</v>
      </c>
      <c r="C1372">
        <f>B1372*('hospitalityq-nil'!C1372="")</f>
        <v>0</v>
      </c>
      <c r="D1372">
        <f>B1372*('hospitalityq-nil'!D1372="")</f>
        <v>0</v>
      </c>
    </row>
    <row r="1373" spans="1:4" x14ac:dyDescent="0.25">
      <c r="A1373">
        <f t="shared" si="21"/>
        <v>0</v>
      </c>
      <c r="B1373" t="b">
        <f>SUMPRODUCT(LEN('hospitalityq-nil'!C1373:D1373))&gt;0</f>
        <v>0</v>
      </c>
      <c r="C1373">
        <f>B1373*('hospitalityq-nil'!C1373="")</f>
        <v>0</v>
      </c>
      <c r="D1373">
        <f>B1373*('hospitalityq-nil'!D1373="")</f>
        <v>0</v>
      </c>
    </row>
    <row r="1374" spans="1:4" x14ac:dyDescent="0.25">
      <c r="A1374">
        <f t="shared" si="21"/>
        <v>0</v>
      </c>
      <c r="B1374" t="b">
        <f>SUMPRODUCT(LEN('hospitalityq-nil'!C1374:D1374))&gt;0</f>
        <v>0</v>
      </c>
      <c r="C1374">
        <f>B1374*('hospitalityq-nil'!C1374="")</f>
        <v>0</v>
      </c>
      <c r="D1374">
        <f>B1374*('hospitalityq-nil'!D1374="")</f>
        <v>0</v>
      </c>
    </row>
    <row r="1375" spans="1:4" x14ac:dyDescent="0.25">
      <c r="A1375">
        <f t="shared" si="21"/>
        <v>0</v>
      </c>
      <c r="B1375" t="b">
        <f>SUMPRODUCT(LEN('hospitalityq-nil'!C1375:D1375))&gt;0</f>
        <v>0</v>
      </c>
      <c r="C1375">
        <f>B1375*('hospitalityq-nil'!C1375="")</f>
        <v>0</v>
      </c>
      <c r="D1375">
        <f>B1375*('hospitalityq-nil'!D1375="")</f>
        <v>0</v>
      </c>
    </row>
    <row r="1376" spans="1:4" x14ac:dyDescent="0.25">
      <c r="A1376">
        <f t="shared" si="21"/>
        <v>0</v>
      </c>
      <c r="B1376" t="b">
        <f>SUMPRODUCT(LEN('hospitalityq-nil'!C1376:D1376))&gt;0</f>
        <v>0</v>
      </c>
      <c r="C1376">
        <f>B1376*('hospitalityq-nil'!C1376="")</f>
        <v>0</v>
      </c>
      <c r="D1376">
        <f>B1376*('hospitalityq-nil'!D1376="")</f>
        <v>0</v>
      </c>
    </row>
    <row r="1377" spans="1:4" x14ac:dyDescent="0.25">
      <c r="A1377">
        <f t="shared" si="21"/>
        <v>0</v>
      </c>
      <c r="B1377" t="b">
        <f>SUMPRODUCT(LEN('hospitalityq-nil'!C1377:D1377))&gt;0</f>
        <v>0</v>
      </c>
      <c r="C1377">
        <f>B1377*('hospitalityq-nil'!C1377="")</f>
        <v>0</v>
      </c>
      <c r="D1377">
        <f>B1377*('hospitalityq-nil'!D1377="")</f>
        <v>0</v>
      </c>
    </row>
    <row r="1378" spans="1:4" x14ac:dyDescent="0.25">
      <c r="A1378">
        <f t="shared" si="21"/>
        <v>0</v>
      </c>
      <c r="B1378" t="b">
        <f>SUMPRODUCT(LEN('hospitalityq-nil'!C1378:D1378))&gt;0</f>
        <v>0</v>
      </c>
      <c r="C1378">
        <f>B1378*('hospitalityq-nil'!C1378="")</f>
        <v>0</v>
      </c>
      <c r="D1378">
        <f>B1378*('hospitalityq-nil'!D1378="")</f>
        <v>0</v>
      </c>
    </row>
    <row r="1379" spans="1:4" x14ac:dyDescent="0.25">
      <c r="A1379">
        <f t="shared" si="21"/>
        <v>0</v>
      </c>
      <c r="B1379" t="b">
        <f>SUMPRODUCT(LEN('hospitalityq-nil'!C1379:D1379))&gt;0</f>
        <v>0</v>
      </c>
      <c r="C1379">
        <f>B1379*('hospitalityq-nil'!C1379="")</f>
        <v>0</v>
      </c>
      <c r="D1379">
        <f>B1379*('hospitalityq-nil'!D1379="")</f>
        <v>0</v>
      </c>
    </row>
    <row r="1380" spans="1:4" x14ac:dyDescent="0.25">
      <c r="A1380">
        <f t="shared" si="21"/>
        <v>0</v>
      </c>
      <c r="B1380" t="b">
        <f>SUMPRODUCT(LEN('hospitalityq-nil'!C1380:D1380))&gt;0</f>
        <v>0</v>
      </c>
      <c r="C1380">
        <f>B1380*('hospitalityq-nil'!C1380="")</f>
        <v>0</v>
      </c>
      <c r="D1380">
        <f>B1380*('hospitalityq-nil'!D1380="")</f>
        <v>0</v>
      </c>
    </row>
    <row r="1381" spans="1:4" x14ac:dyDescent="0.25">
      <c r="A1381">
        <f t="shared" si="21"/>
        <v>0</v>
      </c>
      <c r="B1381" t="b">
        <f>SUMPRODUCT(LEN('hospitalityq-nil'!C1381:D1381))&gt;0</f>
        <v>0</v>
      </c>
      <c r="C1381">
        <f>B1381*('hospitalityq-nil'!C1381="")</f>
        <v>0</v>
      </c>
      <c r="D1381">
        <f>B1381*('hospitalityq-nil'!D1381="")</f>
        <v>0</v>
      </c>
    </row>
    <row r="1382" spans="1:4" x14ac:dyDescent="0.25">
      <c r="A1382">
        <f t="shared" si="21"/>
        <v>0</v>
      </c>
      <c r="B1382" t="b">
        <f>SUMPRODUCT(LEN('hospitalityq-nil'!C1382:D1382))&gt;0</f>
        <v>0</v>
      </c>
      <c r="C1382">
        <f>B1382*('hospitalityq-nil'!C1382="")</f>
        <v>0</v>
      </c>
      <c r="D1382">
        <f>B1382*('hospitalityq-nil'!D1382="")</f>
        <v>0</v>
      </c>
    </row>
    <row r="1383" spans="1:4" x14ac:dyDescent="0.25">
      <c r="A1383">
        <f t="shared" si="21"/>
        <v>0</v>
      </c>
      <c r="B1383" t="b">
        <f>SUMPRODUCT(LEN('hospitalityq-nil'!C1383:D1383))&gt;0</f>
        <v>0</v>
      </c>
      <c r="C1383">
        <f>B1383*('hospitalityq-nil'!C1383="")</f>
        <v>0</v>
      </c>
      <c r="D1383">
        <f>B1383*('hospitalityq-nil'!D1383="")</f>
        <v>0</v>
      </c>
    </row>
    <row r="1384" spans="1:4" x14ac:dyDescent="0.25">
      <c r="A1384">
        <f t="shared" si="21"/>
        <v>0</v>
      </c>
      <c r="B1384" t="b">
        <f>SUMPRODUCT(LEN('hospitalityq-nil'!C1384:D1384))&gt;0</f>
        <v>0</v>
      </c>
      <c r="C1384">
        <f>B1384*('hospitalityq-nil'!C1384="")</f>
        <v>0</v>
      </c>
      <c r="D1384">
        <f>B1384*('hospitalityq-nil'!D1384="")</f>
        <v>0</v>
      </c>
    </row>
    <row r="1385" spans="1:4" x14ac:dyDescent="0.25">
      <c r="A1385">
        <f t="shared" si="21"/>
        <v>0</v>
      </c>
      <c r="B1385" t="b">
        <f>SUMPRODUCT(LEN('hospitalityq-nil'!C1385:D1385))&gt;0</f>
        <v>0</v>
      </c>
      <c r="C1385">
        <f>B1385*('hospitalityq-nil'!C1385="")</f>
        <v>0</v>
      </c>
      <c r="D1385">
        <f>B1385*('hospitalityq-nil'!D1385="")</f>
        <v>0</v>
      </c>
    </row>
    <row r="1386" spans="1:4" x14ac:dyDescent="0.25">
      <c r="A1386">
        <f t="shared" si="21"/>
        <v>0</v>
      </c>
      <c r="B1386" t="b">
        <f>SUMPRODUCT(LEN('hospitalityq-nil'!C1386:D1386))&gt;0</f>
        <v>0</v>
      </c>
      <c r="C1386">
        <f>B1386*('hospitalityq-nil'!C1386="")</f>
        <v>0</v>
      </c>
      <c r="D1386">
        <f>B1386*('hospitalityq-nil'!D1386="")</f>
        <v>0</v>
      </c>
    </row>
    <row r="1387" spans="1:4" x14ac:dyDescent="0.25">
      <c r="A1387">
        <f t="shared" si="21"/>
        <v>0</v>
      </c>
      <c r="B1387" t="b">
        <f>SUMPRODUCT(LEN('hospitalityq-nil'!C1387:D1387))&gt;0</f>
        <v>0</v>
      </c>
      <c r="C1387">
        <f>B1387*('hospitalityq-nil'!C1387="")</f>
        <v>0</v>
      </c>
      <c r="D1387">
        <f>B1387*('hospitalityq-nil'!D1387="")</f>
        <v>0</v>
      </c>
    </row>
    <row r="1388" spans="1:4" x14ac:dyDescent="0.25">
      <c r="A1388">
        <f t="shared" si="21"/>
        <v>0</v>
      </c>
      <c r="B1388" t="b">
        <f>SUMPRODUCT(LEN('hospitalityq-nil'!C1388:D1388))&gt;0</f>
        <v>0</v>
      </c>
      <c r="C1388">
        <f>B1388*('hospitalityq-nil'!C1388="")</f>
        <v>0</v>
      </c>
      <c r="D1388">
        <f>B1388*('hospitalityq-nil'!D1388="")</f>
        <v>0</v>
      </c>
    </row>
    <row r="1389" spans="1:4" x14ac:dyDescent="0.25">
      <c r="A1389">
        <f t="shared" si="21"/>
        <v>0</v>
      </c>
      <c r="B1389" t="b">
        <f>SUMPRODUCT(LEN('hospitalityq-nil'!C1389:D1389))&gt;0</f>
        <v>0</v>
      </c>
      <c r="C1389">
        <f>B1389*('hospitalityq-nil'!C1389="")</f>
        <v>0</v>
      </c>
      <c r="D1389">
        <f>B1389*('hospitalityq-nil'!D1389="")</f>
        <v>0</v>
      </c>
    </row>
    <row r="1390" spans="1:4" x14ac:dyDescent="0.25">
      <c r="A1390">
        <f t="shared" si="21"/>
        <v>0</v>
      </c>
      <c r="B1390" t="b">
        <f>SUMPRODUCT(LEN('hospitalityq-nil'!C1390:D1390))&gt;0</f>
        <v>0</v>
      </c>
      <c r="C1390">
        <f>B1390*('hospitalityq-nil'!C1390="")</f>
        <v>0</v>
      </c>
      <c r="D1390">
        <f>B1390*('hospitalityq-nil'!D1390="")</f>
        <v>0</v>
      </c>
    </row>
    <row r="1391" spans="1:4" x14ac:dyDescent="0.25">
      <c r="A1391">
        <f t="shared" si="21"/>
        <v>0</v>
      </c>
      <c r="B1391" t="b">
        <f>SUMPRODUCT(LEN('hospitalityq-nil'!C1391:D1391))&gt;0</f>
        <v>0</v>
      </c>
      <c r="C1391">
        <f>B1391*('hospitalityq-nil'!C1391="")</f>
        <v>0</v>
      </c>
      <c r="D1391">
        <f>B1391*('hospitalityq-nil'!D1391="")</f>
        <v>0</v>
      </c>
    </row>
    <row r="1392" spans="1:4" x14ac:dyDescent="0.25">
      <c r="A1392">
        <f t="shared" si="21"/>
        <v>0</v>
      </c>
      <c r="B1392" t="b">
        <f>SUMPRODUCT(LEN('hospitalityq-nil'!C1392:D1392))&gt;0</f>
        <v>0</v>
      </c>
      <c r="C1392">
        <f>B1392*('hospitalityq-nil'!C1392="")</f>
        <v>0</v>
      </c>
      <c r="D1392">
        <f>B1392*('hospitalityq-nil'!D1392="")</f>
        <v>0</v>
      </c>
    </row>
    <row r="1393" spans="1:4" x14ac:dyDescent="0.25">
      <c r="A1393">
        <f t="shared" si="21"/>
        <v>0</v>
      </c>
      <c r="B1393" t="b">
        <f>SUMPRODUCT(LEN('hospitalityq-nil'!C1393:D1393))&gt;0</f>
        <v>0</v>
      </c>
      <c r="C1393">
        <f>B1393*('hospitalityq-nil'!C1393="")</f>
        <v>0</v>
      </c>
      <c r="D1393">
        <f>B1393*('hospitalityq-nil'!D1393="")</f>
        <v>0</v>
      </c>
    </row>
    <row r="1394" spans="1:4" x14ac:dyDescent="0.25">
      <c r="A1394">
        <f t="shared" si="21"/>
        <v>0</v>
      </c>
      <c r="B1394" t="b">
        <f>SUMPRODUCT(LEN('hospitalityq-nil'!C1394:D1394))&gt;0</f>
        <v>0</v>
      </c>
      <c r="C1394">
        <f>B1394*('hospitalityq-nil'!C1394="")</f>
        <v>0</v>
      </c>
      <c r="D1394">
        <f>B1394*('hospitalityq-nil'!D1394="")</f>
        <v>0</v>
      </c>
    </row>
    <row r="1395" spans="1:4" x14ac:dyDescent="0.25">
      <c r="A1395">
        <f t="shared" si="21"/>
        <v>0</v>
      </c>
      <c r="B1395" t="b">
        <f>SUMPRODUCT(LEN('hospitalityq-nil'!C1395:D1395))&gt;0</f>
        <v>0</v>
      </c>
      <c r="C1395">
        <f>B1395*('hospitalityq-nil'!C1395="")</f>
        <v>0</v>
      </c>
      <c r="D1395">
        <f>B1395*('hospitalityq-nil'!D1395="")</f>
        <v>0</v>
      </c>
    </row>
    <row r="1396" spans="1:4" x14ac:dyDescent="0.25">
      <c r="A1396">
        <f t="shared" si="21"/>
        <v>0</v>
      </c>
      <c r="B1396" t="b">
        <f>SUMPRODUCT(LEN('hospitalityq-nil'!C1396:D1396))&gt;0</f>
        <v>0</v>
      </c>
      <c r="C1396">
        <f>B1396*('hospitalityq-nil'!C1396="")</f>
        <v>0</v>
      </c>
      <c r="D1396">
        <f>B1396*('hospitalityq-nil'!D1396="")</f>
        <v>0</v>
      </c>
    </row>
    <row r="1397" spans="1:4" x14ac:dyDescent="0.25">
      <c r="A1397">
        <f t="shared" si="21"/>
        <v>0</v>
      </c>
      <c r="B1397" t="b">
        <f>SUMPRODUCT(LEN('hospitalityq-nil'!C1397:D1397))&gt;0</f>
        <v>0</v>
      </c>
      <c r="C1397">
        <f>B1397*('hospitalityq-nil'!C1397="")</f>
        <v>0</v>
      </c>
      <c r="D1397">
        <f>B1397*('hospitalityq-nil'!D1397="")</f>
        <v>0</v>
      </c>
    </row>
    <row r="1398" spans="1:4" x14ac:dyDescent="0.25">
      <c r="A1398">
        <f t="shared" si="21"/>
        <v>0</v>
      </c>
      <c r="B1398" t="b">
        <f>SUMPRODUCT(LEN('hospitalityq-nil'!C1398:D1398))&gt;0</f>
        <v>0</v>
      </c>
      <c r="C1398">
        <f>B1398*('hospitalityq-nil'!C1398="")</f>
        <v>0</v>
      </c>
      <c r="D1398">
        <f>B1398*('hospitalityq-nil'!D1398="")</f>
        <v>0</v>
      </c>
    </row>
    <row r="1399" spans="1:4" x14ac:dyDescent="0.25">
      <c r="A1399">
        <f t="shared" si="21"/>
        <v>0</v>
      </c>
      <c r="B1399" t="b">
        <f>SUMPRODUCT(LEN('hospitalityq-nil'!C1399:D1399))&gt;0</f>
        <v>0</v>
      </c>
      <c r="C1399">
        <f>B1399*('hospitalityq-nil'!C1399="")</f>
        <v>0</v>
      </c>
      <c r="D1399">
        <f>B1399*('hospitalityq-nil'!D1399="")</f>
        <v>0</v>
      </c>
    </row>
    <row r="1400" spans="1:4" x14ac:dyDescent="0.25">
      <c r="A1400">
        <f t="shared" si="21"/>
        <v>0</v>
      </c>
      <c r="B1400" t="b">
        <f>SUMPRODUCT(LEN('hospitalityq-nil'!C1400:D1400))&gt;0</f>
        <v>0</v>
      </c>
      <c r="C1400">
        <f>B1400*('hospitalityq-nil'!C1400="")</f>
        <v>0</v>
      </c>
      <c r="D1400">
        <f>B1400*('hospitalityq-nil'!D1400="")</f>
        <v>0</v>
      </c>
    </row>
    <row r="1401" spans="1:4" x14ac:dyDescent="0.25">
      <c r="A1401">
        <f t="shared" si="21"/>
        <v>0</v>
      </c>
      <c r="B1401" t="b">
        <f>SUMPRODUCT(LEN('hospitalityq-nil'!C1401:D1401))&gt;0</f>
        <v>0</v>
      </c>
      <c r="C1401">
        <f>B1401*('hospitalityq-nil'!C1401="")</f>
        <v>0</v>
      </c>
      <c r="D1401">
        <f>B1401*('hospitalityq-nil'!D1401="")</f>
        <v>0</v>
      </c>
    </row>
    <row r="1402" spans="1:4" x14ac:dyDescent="0.25">
      <c r="A1402">
        <f t="shared" si="21"/>
        <v>0</v>
      </c>
      <c r="B1402" t="b">
        <f>SUMPRODUCT(LEN('hospitalityq-nil'!C1402:D1402))&gt;0</f>
        <v>0</v>
      </c>
      <c r="C1402">
        <f>B1402*('hospitalityq-nil'!C1402="")</f>
        <v>0</v>
      </c>
      <c r="D1402">
        <f>B1402*('hospitalityq-nil'!D1402="")</f>
        <v>0</v>
      </c>
    </row>
    <row r="1403" spans="1:4" x14ac:dyDescent="0.25">
      <c r="A1403">
        <f t="shared" si="21"/>
        <v>0</v>
      </c>
      <c r="B1403" t="b">
        <f>SUMPRODUCT(LEN('hospitalityq-nil'!C1403:D1403))&gt;0</f>
        <v>0</v>
      </c>
      <c r="C1403">
        <f>B1403*('hospitalityq-nil'!C1403="")</f>
        <v>0</v>
      </c>
      <c r="D1403">
        <f>B1403*('hospitalityq-nil'!D1403="")</f>
        <v>0</v>
      </c>
    </row>
    <row r="1404" spans="1:4" x14ac:dyDescent="0.25">
      <c r="A1404">
        <f t="shared" si="21"/>
        <v>0</v>
      </c>
      <c r="B1404" t="b">
        <f>SUMPRODUCT(LEN('hospitalityq-nil'!C1404:D1404))&gt;0</f>
        <v>0</v>
      </c>
      <c r="C1404">
        <f>B1404*('hospitalityq-nil'!C1404="")</f>
        <v>0</v>
      </c>
      <c r="D1404">
        <f>B1404*('hospitalityq-nil'!D1404="")</f>
        <v>0</v>
      </c>
    </row>
    <row r="1405" spans="1:4" x14ac:dyDescent="0.25">
      <c r="A1405">
        <f t="shared" si="21"/>
        <v>0</v>
      </c>
      <c r="B1405" t="b">
        <f>SUMPRODUCT(LEN('hospitalityq-nil'!C1405:D1405))&gt;0</f>
        <v>0</v>
      </c>
      <c r="C1405">
        <f>B1405*('hospitalityq-nil'!C1405="")</f>
        <v>0</v>
      </c>
      <c r="D1405">
        <f>B1405*('hospitalityq-nil'!D1405="")</f>
        <v>0</v>
      </c>
    </row>
    <row r="1406" spans="1:4" x14ac:dyDescent="0.25">
      <c r="A1406">
        <f t="shared" si="21"/>
        <v>0</v>
      </c>
      <c r="B1406" t="b">
        <f>SUMPRODUCT(LEN('hospitalityq-nil'!C1406:D1406))&gt;0</f>
        <v>0</v>
      </c>
      <c r="C1406">
        <f>B1406*('hospitalityq-nil'!C1406="")</f>
        <v>0</v>
      </c>
      <c r="D1406">
        <f>B1406*('hospitalityq-nil'!D1406="")</f>
        <v>0</v>
      </c>
    </row>
    <row r="1407" spans="1:4" x14ac:dyDescent="0.25">
      <c r="A1407">
        <f t="shared" si="21"/>
        <v>0</v>
      </c>
      <c r="B1407" t="b">
        <f>SUMPRODUCT(LEN('hospitalityq-nil'!C1407:D1407))&gt;0</f>
        <v>0</v>
      </c>
      <c r="C1407">
        <f>B1407*('hospitalityq-nil'!C1407="")</f>
        <v>0</v>
      </c>
      <c r="D1407">
        <f>B1407*('hospitalityq-nil'!D1407="")</f>
        <v>0</v>
      </c>
    </row>
    <row r="1408" spans="1:4" x14ac:dyDescent="0.25">
      <c r="A1408">
        <f t="shared" si="21"/>
        <v>0</v>
      </c>
      <c r="B1408" t="b">
        <f>SUMPRODUCT(LEN('hospitalityq-nil'!C1408:D1408))&gt;0</f>
        <v>0</v>
      </c>
      <c r="C1408">
        <f>B1408*('hospitalityq-nil'!C1408="")</f>
        <v>0</v>
      </c>
      <c r="D1408">
        <f>B1408*('hospitalityq-nil'!D1408="")</f>
        <v>0</v>
      </c>
    </row>
    <row r="1409" spans="1:4" x14ac:dyDescent="0.25">
      <c r="A1409">
        <f t="shared" si="21"/>
        <v>0</v>
      </c>
      <c r="B1409" t="b">
        <f>SUMPRODUCT(LEN('hospitalityq-nil'!C1409:D1409))&gt;0</f>
        <v>0</v>
      </c>
      <c r="C1409">
        <f>B1409*('hospitalityq-nil'!C1409="")</f>
        <v>0</v>
      </c>
      <c r="D1409">
        <f>B1409*('hospitalityq-nil'!D1409="")</f>
        <v>0</v>
      </c>
    </row>
    <row r="1410" spans="1:4" x14ac:dyDescent="0.25">
      <c r="A1410">
        <f t="shared" si="21"/>
        <v>0</v>
      </c>
      <c r="B1410" t="b">
        <f>SUMPRODUCT(LEN('hospitalityq-nil'!C1410:D1410))&gt;0</f>
        <v>0</v>
      </c>
      <c r="C1410">
        <f>B1410*('hospitalityq-nil'!C1410="")</f>
        <v>0</v>
      </c>
      <c r="D1410">
        <f>B1410*('hospitalityq-nil'!D1410="")</f>
        <v>0</v>
      </c>
    </row>
    <row r="1411" spans="1:4" x14ac:dyDescent="0.25">
      <c r="A1411">
        <f t="shared" si="21"/>
        <v>0</v>
      </c>
      <c r="B1411" t="b">
        <f>SUMPRODUCT(LEN('hospitalityq-nil'!C1411:D1411))&gt;0</f>
        <v>0</v>
      </c>
      <c r="C1411">
        <f>B1411*('hospitalityq-nil'!C1411="")</f>
        <v>0</v>
      </c>
      <c r="D1411">
        <f>B1411*('hospitalityq-nil'!D1411="")</f>
        <v>0</v>
      </c>
    </row>
    <row r="1412" spans="1:4" x14ac:dyDescent="0.25">
      <c r="A1412">
        <f t="shared" si="21"/>
        <v>0</v>
      </c>
      <c r="B1412" t="b">
        <f>SUMPRODUCT(LEN('hospitalityq-nil'!C1412:D1412))&gt;0</f>
        <v>0</v>
      </c>
      <c r="C1412">
        <f>B1412*('hospitalityq-nil'!C1412="")</f>
        <v>0</v>
      </c>
      <c r="D1412">
        <f>B1412*('hospitalityq-nil'!D1412="")</f>
        <v>0</v>
      </c>
    </row>
    <row r="1413" spans="1:4" x14ac:dyDescent="0.25">
      <c r="A1413">
        <f t="shared" si="21"/>
        <v>0</v>
      </c>
      <c r="B1413" t="b">
        <f>SUMPRODUCT(LEN('hospitalityq-nil'!C1413:D1413))&gt;0</f>
        <v>0</v>
      </c>
      <c r="C1413">
        <f>B1413*('hospitalityq-nil'!C1413="")</f>
        <v>0</v>
      </c>
      <c r="D1413">
        <f>B1413*('hospitalityq-nil'!D1413="")</f>
        <v>0</v>
      </c>
    </row>
    <row r="1414" spans="1:4" x14ac:dyDescent="0.25">
      <c r="A1414">
        <f t="shared" ref="A1414:A1477" si="22">IFERROR(MATCH(TRUE,INDEX(C1414:D1414&lt;&gt;0,),)+2,0)</f>
        <v>0</v>
      </c>
      <c r="B1414" t="b">
        <f>SUMPRODUCT(LEN('hospitalityq-nil'!C1414:D1414))&gt;0</f>
        <v>0</v>
      </c>
      <c r="C1414">
        <f>B1414*('hospitalityq-nil'!C1414="")</f>
        <v>0</v>
      </c>
      <c r="D1414">
        <f>B1414*('hospitalityq-nil'!D1414="")</f>
        <v>0</v>
      </c>
    </row>
    <row r="1415" spans="1:4" x14ac:dyDescent="0.25">
      <c r="A1415">
        <f t="shared" si="22"/>
        <v>0</v>
      </c>
      <c r="B1415" t="b">
        <f>SUMPRODUCT(LEN('hospitalityq-nil'!C1415:D1415))&gt;0</f>
        <v>0</v>
      </c>
      <c r="C1415">
        <f>B1415*('hospitalityq-nil'!C1415="")</f>
        <v>0</v>
      </c>
      <c r="D1415">
        <f>B1415*('hospitalityq-nil'!D1415="")</f>
        <v>0</v>
      </c>
    </row>
    <row r="1416" spans="1:4" x14ac:dyDescent="0.25">
      <c r="A1416">
        <f t="shared" si="22"/>
        <v>0</v>
      </c>
      <c r="B1416" t="b">
        <f>SUMPRODUCT(LEN('hospitalityq-nil'!C1416:D1416))&gt;0</f>
        <v>0</v>
      </c>
      <c r="C1416">
        <f>B1416*('hospitalityq-nil'!C1416="")</f>
        <v>0</v>
      </c>
      <c r="D1416">
        <f>B1416*('hospitalityq-nil'!D1416="")</f>
        <v>0</v>
      </c>
    </row>
    <row r="1417" spans="1:4" x14ac:dyDescent="0.25">
      <c r="A1417">
        <f t="shared" si="22"/>
        <v>0</v>
      </c>
      <c r="B1417" t="b">
        <f>SUMPRODUCT(LEN('hospitalityq-nil'!C1417:D1417))&gt;0</f>
        <v>0</v>
      </c>
      <c r="C1417">
        <f>B1417*('hospitalityq-nil'!C1417="")</f>
        <v>0</v>
      </c>
      <c r="D1417">
        <f>B1417*('hospitalityq-nil'!D1417="")</f>
        <v>0</v>
      </c>
    </row>
    <row r="1418" spans="1:4" x14ac:dyDescent="0.25">
      <c r="A1418">
        <f t="shared" si="22"/>
        <v>0</v>
      </c>
      <c r="B1418" t="b">
        <f>SUMPRODUCT(LEN('hospitalityq-nil'!C1418:D1418))&gt;0</f>
        <v>0</v>
      </c>
      <c r="C1418">
        <f>B1418*('hospitalityq-nil'!C1418="")</f>
        <v>0</v>
      </c>
      <c r="D1418">
        <f>B1418*('hospitalityq-nil'!D1418="")</f>
        <v>0</v>
      </c>
    </row>
    <row r="1419" spans="1:4" x14ac:dyDescent="0.25">
      <c r="A1419">
        <f t="shared" si="22"/>
        <v>0</v>
      </c>
      <c r="B1419" t="b">
        <f>SUMPRODUCT(LEN('hospitalityq-nil'!C1419:D1419))&gt;0</f>
        <v>0</v>
      </c>
      <c r="C1419">
        <f>B1419*('hospitalityq-nil'!C1419="")</f>
        <v>0</v>
      </c>
      <c r="D1419">
        <f>B1419*('hospitalityq-nil'!D1419="")</f>
        <v>0</v>
      </c>
    </row>
    <row r="1420" spans="1:4" x14ac:dyDescent="0.25">
      <c r="A1420">
        <f t="shared" si="22"/>
        <v>0</v>
      </c>
      <c r="B1420" t="b">
        <f>SUMPRODUCT(LEN('hospitalityq-nil'!C1420:D1420))&gt;0</f>
        <v>0</v>
      </c>
      <c r="C1420">
        <f>B1420*('hospitalityq-nil'!C1420="")</f>
        <v>0</v>
      </c>
      <c r="D1420">
        <f>B1420*('hospitalityq-nil'!D1420="")</f>
        <v>0</v>
      </c>
    </row>
    <row r="1421" spans="1:4" x14ac:dyDescent="0.25">
      <c r="A1421">
        <f t="shared" si="22"/>
        <v>0</v>
      </c>
      <c r="B1421" t="b">
        <f>SUMPRODUCT(LEN('hospitalityq-nil'!C1421:D1421))&gt;0</f>
        <v>0</v>
      </c>
      <c r="C1421">
        <f>B1421*('hospitalityq-nil'!C1421="")</f>
        <v>0</v>
      </c>
      <c r="D1421">
        <f>B1421*('hospitalityq-nil'!D1421="")</f>
        <v>0</v>
      </c>
    </row>
    <row r="1422" spans="1:4" x14ac:dyDescent="0.25">
      <c r="A1422">
        <f t="shared" si="22"/>
        <v>0</v>
      </c>
      <c r="B1422" t="b">
        <f>SUMPRODUCT(LEN('hospitalityq-nil'!C1422:D1422))&gt;0</f>
        <v>0</v>
      </c>
      <c r="C1422">
        <f>B1422*('hospitalityq-nil'!C1422="")</f>
        <v>0</v>
      </c>
      <c r="D1422">
        <f>B1422*('hospitalityq-nil'!D1422="")</f>
        <v>0</v>
      </c>
    </row>
    <row r="1423" spans="1:4" x14ac:dyDescent="0.25">
      <c r="A1423">
        <f t="shared" si="22"/>
        <v>0</v>
      </c>
      <c r="B1423" t="b">
        <f>SUMPRODUCT(LEN('hospitalityq-nil'!C1423:D1423))&gt;0</f>
        <v>0</v>
      </c>
      <c r="C1423">
        <f>B1423*('hospitalityq-nil'!C1423="")</f>
        <v>0</v>
      </c>
      <c r="D1423">
        <f>B1423*('hospitalityq-nil'!D1423="")</f>
        <v>0</v>
      </c>
    </row>
    <row r="1424" spans="1:4" x14ac:dyDescent="0.25">
      <c r="A1424">
        <f t="shared" si="22"/>
        <v>0</v>
      </c>
      <c r="B1424" t="b">
        <f>SUMPRODUCT(LEN('hospitalityq-nil'!C1424:D1424))&gt;0</f>
        <v>0</v>
      </c>
      <c r="C1424">
        <f>B1424*('hospitalityq-nil'!C1424="")</f>
        <v>0</v>
      </c>
      <c r="D1424">
        <f>B1424*('hospitalityq-nil'!D1424="")</f>
        <v>0</v>
      </c>
    </row>
    <row r="1425" spans="1:4" x14ac:dyDescent="0.25">
      <c r="A1425">
        <f t="shared" si="22"/>
        <v>0</v>
      </c>
      <c r="B1425" t="b">
        <f>SUMPRODUCT(LEN('hospitalityq-nil'!C1425:D1425))&gt;0</f>
        <v>0</v>
      </c>
      <c r="C1425">
        <f>B1425*('hospitalityq-nil'!C1425="")</f>
        <v>0</v>
      </c>
      <c r="D1425">
        <f>B1425*('hospitalityq-nil'!D1425="")</f>
        <v>0</v>
      </c>
    </row>
    <row r="1426" spans="1:4" x14ac:dyDescent="0.25">
      <c r="A1426">
        <f t="shared" si="22"/>
        <v>0</v>
      </c>
      <c r="B1426" t="b">
        <f>SUMPRODUCT(LEN('hospitalityq-nil'!C1426:D1426))&gt;0</f>
        <v>0</v>
      </c>
      <c r="C1426">
        <f>B1426*('hospitalityq-nil'!C1426="")</f>
        <v>0</v>
      </c>
      <c r="D1426">
        <f>B1426*('hospitalityq-nil'!D1426="")</f>
        <v>0</v>
      </c>
    </row>
    <row r="1427" spans="1:4" x14ac:dyDescent="0.25">
      <c r="A1427">
        <f t="shared" si="22"/>
        <v>0</v>
      </c>
      <c r="B1427" t="b">
        <f>SUMPRODUCT(LEN('hospitalityq-nil'!C1427:D1427))&gt;0</f>
        <v>0</v>
      </c>
      <c r="C1427">
        <f>B1427*('hospitalityq-nil'!C1427="")</f>
        <v>0</v>
      </c>
      <c r="D1427">
        <f>B1427*('hospitalityq-nil'!D1427="")</f>
        <v>0</v>
      </c>
    </row>
    <row r="1428" spans="1:4" x14ac:dyDescent="0.25">
      <c r="A1428">
        <f t="shared" si="22"/>
        <v>0</v>
      </c>
      <c r="B1428" t="b">
        <f>SUMPRODUCT(LEN('hospitalityq-nil'!C1428:D1428))&gt;0</f>
        <v>0</v>
      </c>
      <c r="C1428">
        <f>B1428*('hospitalityq-nil'!C1428="")</f>
        <v>0</v>
      </c>
      <c r="D1428">
        <f>B1428*('hospitalityq-nil'!D1428="")</f>
        <v>0</v>
      </c>
    </row>
    <row r="1429" spans="1:4" x14ac:dyDescent="0.25">
      <c r="A1429">
        <f t="shared" si="22"/>
        <v>0</v>
      </c>
      <c r="B1429" t="b">
        <f>SUMPRODUCT(LEN('hospitalityq-nil'!C1429:D1429))&gt;0</f>
        <v>0</v>
      </c>
      <c r="C1429">
        <f>B1429*('hospitalityq-nil'!C1429="")</f>
        <v>0</v>
      </c>
      <c r="D1429">
        <f>B1429*('hospitalityq-nil'!D1429="")</f>
        <v>0</v>
      </c>
    </row>
    <row r="1430" spans="1:4" x14ac:dyDescent="0.25">
      <c r="A1430">
        <f t="shared" si="22"/>
        <v>0</v>
      </c>
      <c r="B1430" t="b">
        <f>SUMPRODUCT(LEN('hospitalityq-nil'!C1430:D1430))&gt;0</f>
        <v>0</v>
      </c>
      <c r="C1430">
        <f>B1430*('hospitalityq-nil'!C1430="")</f>
        <v>0</v>
      </c>
      <c r="D1430">
        <f>B1430*('hospitalityq-nil'!D1430="")</f>
        <v>0</v>
      </c>
    </row>
    <row r="1431" spans="1:4" x14ac:dyDescent="0.25">
      <c r="A1431">
        <f t="shared" si="22"/>
        <v>0</v>
      </c>
      <c r="B1431" t="b">
        <f>SUMPRODUCT(LEN('hospitalityq-nil'!C1431:D1431))&gt;0</f>
        <v>0</v>
      </c>
      <c r="C1431">
        <f>B1431*('hospitalityq-nil'!C1431="")</f>
        <v>0</v>
      </c>
      <c r="D1431">
        <f>B1431*('hospitalityq-nil'!D1431="")</f>
        <v>0</v>
      </c>
    </row>
    <row r="1432" spans="1:4" x14ac:dyDescent="0.25">
      <c r="A1432">
        <f t="shared" si="22"/>
        <v>0</v>
      </c>
      <c r="B1432" t="b">
        <f>SUMPRODUCT(LEN('hospitalityq-nil'!C1432:D1432))&gt;0</f>
        <v>0</v>
      </c>
      <c r="C1432">
        <f>B1432*('hospitalityq-nil'!C1432="")</f>
        <v>0</v>
      </c>
      <c r="D1432">
        <f>B1432*('hospitalityq-nil'!D1432="")</f>
        <v>0</v>
      </c>
    </row>
    <row r="1433" spans="1:4" x14ac:dyDescent="0.25">
      <c r="A1433">
        <f t="shared" si="22"/>
        <v>0</v>
      </c>
      <c r="B1433" t="b">
        <f>SUMPRODUCT(LEN('hospitalityq-nil'!C1433:D1433))&gt;0</f>
        <v>0</v>
      </c>
      <c r="C1433">
        <f>B1433*('hospitalityq-nil'!C1433="")</f>
        <v>0</v>
      </c>
      <c r="D1433">
        <f>B1433*('hospitalityq-nil'!D1433="")</f>
        <v>0</v>
      </c>
    </row>
    <row r="1434" spans="1:4" x14ac:dyDescent="0.25">
      <c r="A1434">
        <f t="shared" si="22"/>
        <v>0</v>
      </c>
      <c r="B1434" t="b">
        <f>SUMPRODUCT(LEN('hospitalityq-nil'!C1434:D1434))&gt;0</f>
        <v>0</v>
      </c>
      <c r="C1434">
        <f>B1434*('hospitalityq-nil'!C1434="")</f>
        <v>0</v>
      </c>
      <c r="D1434">
        <f>B1434*('hospitalityq-nil'!D1434="")</f>
        <v>0</v>
      </c>
    </row>
    <row r="1435" spans="1:4" x14ac:dyDescent="0.25">
      <c r="A1435">
        <f t="shared" si="22"/>
        <v>0</v>
      </c>
      <c r="B1435" t="b">
        <f>SUMPRODUCT(LEN('hospitalityq-nil'!C1435:D1435))&gt;0</f>
        <v>0</v>
      </c>
      <c r="C1435">
        <f>B1435*('hospitalityq-nil'!C1435="")</f>
        <v>0</v>
      </c>
      <c r="D1435">
        <f>B1435*('hospitalityq-nil'!D1435="")</f>
        <v>0</v>
      </c>
    </row>
    <row r="1436" spans="1:4" x14ac:dyDescent="0.25">
      <c r="A1436">
        <f t="shared" si="22"/>
        <v>0</v>
      </c>
      <c r="B1436" t="b">
        <f>SUMPRODUCT(LEN('hospitalityq-nil'!C1436:D1436))&gt;0</f>
        <v>0</v>
      </c>
      <c r="C1436">
        <f>B1436*('hospitalityq-nil'!C1436="")</f>
        <v>0</v>
      </c>
      <c r="D1436">
        <f>B1436*('hospitalityq-nil'!D1436="")</f>
        <v>0</v>
      </c>
    </row>
    <row r="1437" spans="1:4" x14ac:dyDescent="0.25">
      <c r="A1437">
        <f t="shared" si="22"/>
        <v>0</v>
      </c>
      <c r="B1437" t="b">
        <f>SUMPRODUCT(LEN('hospitalityq-nil'!C1437:D1437))&gt;0</f>
        <v>0</v>
      </c>
      <c r="C1437">
        <f>B1437*('hospitalityq-nil'!C1437="")</f>
        <v>0</v>
      </c>
      <c r="D1437">
        <f>B1437*('hospitalityq-nil'!D1437="")</f>
        <v>0</v>
      </c>
    </row>
    <row r="1438" spans="1:4" x14ac:dyDescent="0.25">
      <c r="A1438">
        <f t="shared" si="22"/>
        <v>0</v>
      </c>
      <c r="B1438" t="b">
        <f>SUMPRODUCT(LEN('hospitalityq-nil'!C1438:D1438))&gt;0</f>
        <v>0</v>
      </c>
      <c r="C1438">
        <f>B1438*('hospitalityq-nil'!C1438="")</f>
        <v>0</v>
      </c>
      <c r="D1438">
        <f>B1438*('hospitalityq-nil'!D1438="")</f>
        <v>0</v>
      </c>
    </row>
    <row r="1439" spans="1:4" x14ac:dyDescent="0.25">
      <c r="A1439">
        <f t="shared" si="22"/>
        <v>0</v>
      </c>
      <c r="B1439" t="b">
        <f>SUMPRODUCT(LEN('hospitalityq-nil'!C1439:D1439))&gt;0</f>
        <v>0</v>
      </c>
      <c r="C1439">
        <f>B1439*('hospitalityq-nil'!C1439="")</f>
        <v>0</v>
      </c>
      <c r="D1439">
        <f>B1439*('hospitalityq-nil'!D1439="")</f>
        <v>0</v>
      </c>
    </row>
    <row r="1440" spans="1:4" x14ac:dyDescent="0.25">
      <c r="A1440">
        <f t="shared" si="22"/>
        <v>0</v>
      </c>
      <c r="B1440" t="b">
        <f>SUMPRODUCT(LEN('hospitalityq-nil'!C1440:D1440))&gt;0</f>
        <v>0</v>
      </c>
      <c r="C1440">
        <f>B1440*('hospitalityq-nil'!C1440="")</f>
        <v>0</v>
      </c>
      <c r="D1440">
        <f>B1440*('hospitalityq-nil'!D1440="")</f>
        <v>0</v>
      </c>
    </row>
    <row r="1441" spans="1:4" x14ac:dyDescent="0.25">
      <c r="A1441">
        <f t="shared" si="22"/>
        <v>0</v>
      </c>
      <c r="B1441" t="b">
        <f>SUMPRODUCT(LEN('hospitalityq-nil'!C1441:D1441))&gt;0</f>
        <v>0</v>
      </c>
      <c r="C1441">
        <f>B1441*('hospitalityq-nil'!C1441="")</f>
        <v>0</v>
      </c>
      <c r="D1441">
        <f>B1441*('hospitalityq-nil'!D1441="")</f>
        <v>0</v>
      </c>
    </row>
    <row r="1442" spans="1:4" x14ac:dyDescent="0.25">
      <c r="A1442">
        <f t="shared" si="22"/>
        <v>0</v>
      </c>
      <c r="B1442" t="b">
        <f>SUMPRODUCT(LEN('hospitalityq-nil'!C1442:D1442))&gt;0</f>
        <v>0</v>
      </c>
      <c r="C1442">
        <f>B1442*('hospitalityq-nil'!C1442="")</f>
        <v>0</v>
      </c>
      <c r="D1442">
        <f>B1442*('hospitalityq-nil'!D1442="")</f>
        <v>0</v>
      </c>
    </row>
    <row r="1443" spans="1:4" x14ac:dyDescent="0.25">
      <c r="A1443">
        <f t="shared" si="22"/>
        <v>0</v>
      </c>
      <c r="B1443" t="b">
        <f>SUMPRODUCT(LEN('hospitalityq-nil'!C1443:D1443))&gt;0</f>
        <v>0</v>
      </c>
      <c r="C1443">
        <f>B1443*('hospitalityq-nil'!C1443="")</f>
        <v>0</v>
      </c>
      <c r="D1443">
        <f>B1443*('hospitalityq-nil'!D1443="")</f>
        <v>0</v>
      </c>
    </row>
    <row r="1444" spans="1:4" x14ac:dyDescent="0.25">
      <c r="A1444">
        <f t="shared" si="22"/>
        <v>0</v>
      </c>
      <c r="B1444" t="b">
        <f>SUMPRODUCT(LEN('hospitalityq-nil'!C1444:D1444))&gt;0</f>
        <v>0</v>
      </c>
      <c r="C1444">
        <f>B1444*('hospitalityq-nil'!C1444="")</f>
        <v>0</v>
      </c>
      <c r="D1444">
        <f>B1444*('hospitalityq-nil'!D1444="")</f>
        <v>0</v>
      </c>
    </row>
    <row r="1445" spans="1:4" x14ac:dyDescent="0.25">
      <c r="A1445">
        <f t="shared" si="22"/>
        <v>0</v>
      </c>
      <c r="B1445" t="b">
        <f>SUMPRODUCT(LEN('hospitalityq-nil'!C1445:D1445))&gt;0</f>
        <v>0</v>
      </c>
      <c r="C1445">
        <f>B1445*('hospitalityq-nil'!C1445="")</f>
        <v>0</v>
      </c>
      <c r="D1445">
        <f>B1445*('hospitalityq-nil'!D1445="")</f>
        <v>0</v>
      </c>
    </row>
    <row r="1446" spans="1:4" x14ac:dyDescent="0.25">
      <c r="A1446">
        <f t="shared" si="22"/>
        <v>0</v>
      </c>
      <c r="B1446" t="b">
        <f>SUMPRODUCT(LEN('hospitalityq-nil'!C1446:D1446))&gt;0</f>
        <v>0</v>
      </c>
      <c r="C1446">
        <f>B1446*('hospitalityq-nil'!C1446="")</f>
        <v>0</v>
      </c>
      <c r="D1446">
        <f>B1446*('hospitalityq-nil'!D1446="")</f>
        <v>0</v>
      </c>
    </row>
    <row r="1447" spans="1:4" x14ac:dyDescent="0.25">
      <c r="A1447">
        <f t="shared" si="22"/>
        <v>0</v>
      </c>
      <c r="B1447" t="b">
        <f>SUMPRODUCT(LEN('hospitalityq-nil'!C1447:D1447))&gt;0</f>
        <v>0</v>
      </c>
      <c r="C1447">
        <f>B1447*('hospitalityq-nil'!C1447="")</f>
        <v>0</v>
      </c>
      <c r="D1447">
        <f>B1447*('hospitalityq-nil'!D1447="")</f>
        <v>0</v>
      </c>
    </row>
    <row r="1448" spans="1:4" x14ac:dyDescent="0.25">
      <c r="A1448">
        <f t="shared" si="22"/>
        <v>0</v>
      </c>
      <c r="B1448" t="b">
        <f>SUMPRODUCT(LEN('hospitalityq-nil'!C1448:D1448))&gt;0</f>
        <v>0</v>
      </c>
      <c r="C1448">
        <f>B1448*('hospitalityq-nil'!C1448="")</f>
        <v>0</v>
      </c>
      <c r="D1448">
        <f>B1448*('hospitalityq-nil'!D1448="")</f>
        <v>0</v>
      </c>
    </row>
    <row r="1449" spans="1:4" x14ac:dyDescent="0.25">
      <c r="A1449">
        <f t="shared" si="22"/>
        <v>0</v>
      </c>
      <c r="B1449" t="b">
        <f>SUMPRODUCT(LEN('hospitalityq-nil'!C1449:D1449))&gt;0</f>
        <v>0</v>
      </c>
      <c r="C1449">
        <f>B1449*('hospitalityq-nil'!C1449="")</f>
        <v>0</v>
      </c>
      <c r="D1449">
        <f>B1449*('hospitalityq-nil'!D1449="")</f>
        <v>0</v>
      </c>
    </row>
    <row r="1450" spans="1:4" x14ac:dyDescent="0.25">
      <c r="A1450">
        <f t="shared" si="22"/>
        <v>0</v>
      </c>
      <c r="B1450" t="b">
        <f>SUMPRODUCT(LEN('hospitalityq-nil'!C1450:D1450))&gt;0</f>
        <v>0</v>
      </c>
      <c r="C1450">
        <f>B1450*('hospitalityq-nil'!C1450="")</f>
        <v>0</v>
      </c>
      <c r="D1450">
        <f>B1450*('hospitalityq-nil'!D1450="")</f>
        <v>0</v>
      </c>
    </row>
    <row r="1451" spans="1:4" x14ac:dyDescent="0.25">
      <c r="A1451">
        <f t="shared" si="22"/>
        <v>0</v>
      </c>
      <c r="B1451" t="b">
        <f>SUMPRODUCT(LEN('hospitalityq-nil'!C1451:D1451))&gt;0</f>
        <v>0</v>
      </c>
      <c r="C1451">
        <f>B1451*('hospitalityq-nil'!C1451="")</f>
        <v>0</v>
      </c>
      <c r="D1451">
        <f>B1451*('hospitalityq-nil'!D1451="")</f>
        <v>0</v>
      </c>
    </row>
    <row r="1452" spans="1:4" x14ac:dyDescent="0.25">
      <c r="A1452">
        <f t="shared" si="22"/>
        <v>0</v>
      </c>
      <c r="B1452" t="b">
        <f>SUMPRODUCT(LEN('hospitalityq-nil'!C1452:D1452))&gt;0</f>
        <v>0</v>
      </c>
      <c r="C1452">
        <f>B1452*('hospitalityq-nil'!C1452="")</f>
        <v>0</v>
      </c>
      <c r="D1452">
        <f>B1452*('hospitalityq-nil'!D1452="")</f>
        <v>0</v>
      </c>
    </row>
    <row r="1453" spans="1:4" x14ac:dyDescent="0.25">
      <c r="A1453">
        <f t="shared" si="22"/>
        <v>0</v>
      </c>
      <c r="B1453" t="b">
        <f>SUMPRODUCT(LEN('hospitalityq-nil'!C1453:D1453))&gt;0</f>
        <v>0</v>
      </c>
      <c r="C1453">
        <f>B1453*('hospitalityq-nil'!C1453="")</f>
        <v>0</v>
      </c>
      <c r="D1453">
        <f>B1453*('hospitalityq-nil'!D1453="")</f>
        <v>0</v>
      </c>
    </row>
    <row r="1454" spans="1:4" x14ac:dyDescent="0.25">
      <c r="A1454">
        <f t="shared" si="22"/>
        <v>0</v>
      </c>
      <c r="B1454" t="b">
        <f>SUMPRODUCT(LEN('hospitalityq-nil'!C1454:D1454))&gt;0</f>
        <v>0</v>
      </c>
      <c r="C1454">
        <f>B1454*('hospitalityq-nil'!C1454="")</f>
        <v>0</v>
      </c>
      <c r="D1454">
        <f>B1454*('hospitalityq-nil'!D1454="")</f>
        <v>0</v>
      </c>
    </row>
    <row r="1455" spans="1:4" x14ac:dyDescent="0.25">
      <c r="A1455">
        <f t="shared" si="22"/>
        <v>0</v>
      </c>
      <c r="B1455" t="b">
        <f>SUMPRODUCT(LEN('hospitalityq-nil'!C1455:D1455))&gt;0</f>
        <v>0</v>
      </c>
      <c r="C1455">
        <f>B1455*('hospitalityq-nil'!C1455="")</f>
        <v>0</v>
      </c>
      <c r="D1455">
        <f>B1455*('hospitalityq-nil'!D1455="")</f>
        <v>0</v>
      </c>
    </row>
    <row r="1456" spans="1:4" x14ac:dyDescent="0.25">
      <c r="A1456">
        <f t="shared" si="22"/>
        <v>0</v>
      </c>
      <c r="B1456" t="b">
        <f>SUMPRODUCT(LEN('hospitalityq-nil'!C1456:D1456))&gt;0</f>
        <v>0</v>
      </c>
      <c r="C1456">
        <f>B1456*('hospitalityq-nil'!C1456="")</f>
        <v>0</v>
      </c>
      <c r="D1456">
        <f>B1456*('hospitalityq-nil'!D1456="")</f>
        <v>0</v>
      </c>
    </row>
    <row r="1457" spans="1:4" x14ac:dyDescent="0.25">
      <c r="A1457">
        <f t="shared" si="22"/>
        <v>0</v>
      </c>
      <c r="B1457" t="b">
        <f>SUMPRODUCT(LEN('hospitalityq-nil'!C1457:D1457))&gt;0</f>
        <v>0</v>
      </c>
      <c r="C1457">
        <f>B1457*('hospitalityq-nil'!C1457="")</f>
        <v>0</v>
      </c>
      <c r="D1457">
        <f>B1457*('hospitalityq-nil'!D1457="")</f>
        <v>0</v>
      </c>
    </row>
    <row r="1458" spans="1:4" x14ac:dyDescent="0.25">
      <c r="A1458">
        <f t="shared" si="22"/>
        <v>0</v>
      </c>
      <c r="B1458" t="b">
        <f>SUMPRODUCT(LEN('hospitalityq-nil'!C1458:D1458))&gt;0</f>
        <v>0</v>
      </c>
      <c r="C1458">
        <f>B1458*('hospitalityq-nil'!C1458="")</f>
        <v>0</v>
      </c>
      <c r="D1458">
        <f>B1458*('hospitalityq-nil'!D1458="")</f>
        <v>0</v>
      </c>
    </row>
    <row r="1459" spans="1:4" x14ac:dyDescent="0.25">
      <c r="A1459">
        <f t="shared" si="22"/>
        <v>0</v>
      </c>
      <c r="B1459" t="b">
        <f>SUMPRODUCT(LEN('hospitalityq-nil'!C1459:D1459))&gt;0</f>
        <v>0</v>
      </c>
      <c r="C1459">
        <f>B1459*('hospitalityq-nil'!C1459="")</f>
        <v>0</v>
      </c>
      <c r="D1459">
        <f>B1459*('hospitalityq-nil'!D1459="")</f>
        <v>0</v>
      </c>
    </row>
    <row r="1460" spans="1:4" x14ac:dyDescent="0.25">
      <c r="A1460">
        <f t="shared" si="22"/>
        <v>0</v>
      </c>
      <c r="B1460" t="b">
        <f>SUMPRODUCT(LEN('hospitalityq-nil'!C1460:D1460))&gt;0</f>
        <v>0</v>
      </c>
      <c r="C1460">
        <f>B1460*('hospitalityq-nil'!C1460="")</f>
        <v>0</v>
      </c>
      <c r="D1460">
        <f>B1460*('hospitalityq-nil'!D1460="")</f>
        <v>0</v>
      </c>
    </row>
    <row r="1461" spans="1:4" x14ac:dyDescent="0.25">
      <c r="A1461">
        <f t="shared" si="22"/>
        <v>0</v>
      </c>
      <c r="B1461" t="b">
        <f>SUMPRODUCT(LEN('hospitalityq-nil'!C1461:D1461))&gt;0</f>
        <v>0</v>
      </c>
      <c r="C1461">
        <f>B1461*('hospitalityq-nil'!C1461="")</f>
        <v>0</v>
      </c>
      <c r="D1461">
        <f>B1461*('hospitalityq-nil'!D1461="")</f>
        <v>0</v>
      </c>
    </row>
    <row r="1462" spans="1:4" x14ac:dyDescent="0.25">
      <c r="A1462">
        <f t="shared" si="22"/>
        <v>0</v>
      </c>
      <c r="B1462" t="b">
        <f>SUMPRODUCT(LEN('hospitalityq-nil'!C1462:D1462))&gt;0</f>
        <v>0</v>
      </c>
      <c r="C1462">
        <f>B1462*('hospitalityq-nil'!C1462="")</f>
        <v>0</v>
      </c>
      <c r="D1462">
        <f>B1462*('hospitalityq-nil'!D1462="")</f>
        <v>0</v>
      </c>
    </row>
    <row r="1463" spans="1:4" x14ac:dyDescent="0.25">
      <c r="A1463">
        <f t="shared" si="22"/>
        <v>0</v>
      </c>
      <c r="B1463" t="b">
        <f>SUMPRODUCT(LEN('hospitalityq-nil'!C1463:D1463))&gt;0</f>
        <v>0</v>
      </c>
      <c r="C1463">
        <f>B1463*('hospitalityq-nil'!C1463="")</f>
        <v>0</v>
      </c>
      <c r="D1463">
        <f>B1463*('hospitalityq-nil'!D1463="")</f>
        <v>0</v>
      </c>
    </row>
    <row r="1464" spans="1:4" x14ac:dyDescent="0.25">
      <c r="A1464">
        <f t="shared" si="22"/>
        <v>0</v>
      </c>
      <c r="B1464" t="b">
        <f>SUMPRODUCT(LEN('hospitalityq-nil'!C1464:D1464))&gt;0</f>
        <v>0</v>
      </c>
      <c r="C1464">
        <f>B1464*('hospitalityq-nil'!C1464="")</f>
        <v>0</v>
      </c>
      <c r="D1464">
        <f>B1464*('hospitalityq-nil'!D1464="")</f>
        <v>0</v>
      </c>
    </row>
    <row r="1465" spans="1:4" x14ac:dyDescent="0.25">
      <c r="A1465">
        <f t="shared" si="22"/>
        <v>0</v>
      </c>
      <c r="B1465" t="b">
        <f>SUMPRODUCT(LEN('hospitalityq-nil'!C1465:D1465))&gt;0</f>
        <v>0</v>
      </c>
      <c r="C1465">
        <f>B1465*('hospitalityq-nil'!C1465="")</f>
        <v>0</v>
      </c>
      <c r="D1465">
        <f>B1465*('hospitalityq-nil'!D1465="")</f>
        <v>0</v>
      </c>
    </row>
    <row r="1466" spans="1:4" x14ac:dyDescent="0.25">
      <c r="A1466">
        <f t="shared" si="22"/>
        <v>0</v>
      </c>
      <c r="B1466" t="b">
        <f>SUMPRODUCT(LEN('hospitalityq-nil'!C1466:D1466))&gt;0</f>
        <v>0</v>
      </c>
      <c r="C1466">
        <f>B1466*('hospitalityq-nil'!C1466="")</f>
        <v>0</v>
      </c>
      <c r="D1466">
        <f>B1466*('hospitalityq-nil'!D1466="")</f>
        <v>0</v>
      </c>
    </row>
    <row r="1467" spans="1:4" x14ac:dyDescent="0.25">
      <c r="A1467">
        <f t="shared" si="22"/>
        <v>0</v>
      </c>
      <c r="B1467" t="b">
        <f>SUMPRODUCT(LEN('hospitalityq-nil'!C1467:D1467))&gt;0</f>
        <v>0</v>
      </c>
      <c r="C1467">
        <f>B1467*('hospitalityq-nil'!C1467="")</f>
        <v>0</v>
      </c>
      <c r="D1467">
        <f>B1467*('hospitalityq-nil'!D1467="")</f>
        <v>0</v>
      </c>
    </row>
    <row r="1468" spans="1:4" x14ac:dyDescent="0.25">
      <c r="A1468">
        <f t="shared" si="22"/>
        <v>0</v>
      </c>
      <c r="B1468" t="b">
        <f>SUMPRODUCT(LEN('hospitalityq-nil'!C1468:D1468))&gt;0</f>
        <v>0</v>
      </c>
      <c r="C1468">
        <f>B1468*('hospitalityq-nil'!C1468="")</f>
        <v>0</v>
      </c>
      <c r="D1468">
        <f>B1468*('hospitalityq-nil'!D1468="")</f>
        <v>0</v>
      </c>
    </row>
    <row r="1469" spans="1:4" x14ac:dyDescent="0.25">
      <c r="A1469">
        <f t="shared" si="22"/>
        <v>0</v>
      </c>
      <c r="B1469" t="b">
        <f>SUMPRODUCT(LEN('hospitalityq-nil'!C1469:D1469))&gt;0</f>
        <v>0</v>
      </c>
      <c r="C1469">
        <f>B1469*('hospitalityq-nil'!C1469="")</f>
        <v>0</v>
      </c>
      <c r="D1469">
        <f>B1469*('hospitalityq-nil'!D1469="")</f>
        <v>0</v>
      </c>
    </row>
    <row r="1470" spans="1:4" x14ac:dyDescent="0.25">
      <c r="A1470">
        <f t="shared" si="22"/>
        <v>0</v>
      </c>
      <c r="B1470" t="b">
        <f>SUMPRODUCT(LEN('hospitalityq-nil'!C1470:D1470))&gt;0</f>
        <v>0</v>
      </c>
      <c r="C1470">
        <f>B1470*('hospitalityq-nil'!C1470="")</f>
        <v>0</v>
      </c>
      <c r="D1470">
        <f>B1470*('hospitalityq-nil'!D1470="")</f>
        <v>0</v>
      </c>
    </row>
    <row r="1471" spans="1:4" x14ac:dyDescent="0.25">
      <c r="A1471">
        <f t="shared" si="22"/>
        <v>0</v>
      </c>
      <c r="B1471" t="b">
        <f>SUMPRODUCT(LEN('hospitalityq-nil'!C1471:D1471))&gt;0</f>
        <v>0</v>
      </c>
      <c r="C1471">
        <f>B1471*('hospitalityq-nil'!C1471="")</f>
        <v>0</v>
      </c>
      <c r="D1471">
        <f>B1471*('hospitalityq-nil'!D1471="")</f>
        <v>0</v>
      </c>
    </row>
    <row r="1472" spans="1:4" x14ac:dyDescent="0.25">
      <c r="A1472">
        <f t="shared" si="22"/>
        <v>0</v>
      </c>
      <c r="B1472" t="b">
        <f>SUMPRODUCT(LEN('hospitalityq-nil'!C1472:D1472))&gt;0</f>
        <v>0</v>
      </c>
      <c r="C1472">
        <f>B1472*('hospitalityq-nil'!C1472="")</f>
        <v>0</v>
      </c>
      <c r="D1472">
        <f>B1472*('hospitalityq-nil'!D1472="")</f>
        <v>0</v>
      </c>
    </row>
    <row r="1473" spans="1:4" x14ac:dyDescent="0.25">
      <c r="A1473">
        <f t="shared" si="22"/>
        <v>0</v>
      </c>
      <c r="B1473" t="b">
        <f>SUMPRODUCT(LEN('hospitalityq-nil'!C1473:D1473))&gt;0</f>
        <v>0</v>
      </c>
      <c r="C1473">
        <f>B1473*('hospitalityq-nil'!C1473="")</f>
        <v>0</v>
      </c>
      <c r="D1473">
        <f>B1473*('hospitalityq-nil'!D1473="")</f>
        <v>0</v>
      </c>
    </row>
    <row r="1474" spans="1:4" x14ac:dyDescent="0.25">
      <c r="A1474">
        <f t="shared" si="22"/>
        <v>0</v>
      </c>
      <c r="B1474" t="b">
        <f>SUMPRODUCT(LEN('hospitalityq-nil'!C1474:D1474))&gt;0</f>
        <v>0</v>
      </c>
      <c r="C1474">
        <f>B1474*('hospitalityq-nil'!C1474="")</f>
        <v>0</v>
      </c>
      <c r="D1474">
        <f>B1474*('hospitalityq-nil'!D1474="")</f>
        <v>0</v>
      </c>
    </row>
    <row r="1475" spans="1:4" x14ac:dyDescent="0.25">
      <c r="A1475">
        <f t="shared" si="22"/>
        <v>0</v>
      </c>
      <c r="B1475" t="b">
        <f>SUMPRODUCT(LEN('hospitalityq-nil'!C1475:D1475))&gt;0</f>
        <v>0</v>
      </c>
      <c r="C1475">
        <f>B1475*('hospitalityq-nil'!C1475="")</f>
        <v>0</v>
      </c>
      <c r="D1475">
        <f>B1475*('hospitalityq-nil'!D1475="")</f>
        <v>0</v>
      </c>
    </row>
    <row r="1476" spans="1:4" x14ac:dyDescent="0.25">
      <c r="A1476">
        <f t="shared" si="22"/>
        <v>0</v>
      </c>
      <c r="B1476" t="b">
        <f>SUMPRODUCT(LEN('hospitalityq-nil'!C1476:D1476))&gt;0</f>
        <v>0</v>
      </c>
      <c r="C1476">
        <f>B1476*('hospitalityq-nil'!C1476="")</f>
        <v>0</v>
      </c>
      <c r="D1476">
        <f>B1476*('hospitalityq-nil'!D1476="")</f>
        <v>0</v>
      </c>
    </row>
    <row r="1477" spans="1:4" x14ac:dyDescent="0.25">
      <c r="A1477">
        <f t="shared" si="22"/>
        <v>0</v>
      </c>
      <c r="B1477" t="b">
        <f>SUMPRODUCT(LEN('hospitalityq-nil'!C1477:D1477))&gt;0</f>
        <v>0</v>
      </c>
      <c r="C1477">
        <f>B1477*('hospitalityq-nil'!C1477="")</f>
        <v>0</v>
      </c>
      <c r="D1477">
        <f>B1477*('hospitalityq-nil'!D1477="")</f>
        <v>0</v>
      </c>
    </row>
    <row r="1478" spans="1:4" x14ac:dyDescent="0.25">
      <c r="A1478">
        <f t="shared" ref="A1478:A1541" si="23">IFERROR(MATCH(TRUE,INDEX(C1478:D1478&lt;&gt;0,),)+2,0)</f>
        <v>0</v>
      </c>
      <c r="B1478" t="b">
        <f>SUMPRODUCT(LEN('hospitalityq-nil'!C1478:D1478))&gt;0</f>
        <v>0</v>
      </c>
      <c r="C1478">
        <f>B1478*('hospitalityq-nil'!C1478="")</f>
        <v>0</v>
      </c>
      <c r="D1478">
        <f>B1478*('hospitalityq-nil'!D1478="")</f>
        <v>0</v>
      </c>
    </row>
    <row r="1479" spans="1:4" x14ac:dyDescent="0.25">
      <c r="A1479">
        <f t="shared" si="23"/>
        <v>0</v>
      </c>
      <c r="B1479" t="b">
        <f>SUMPRODUCT(LEN('hospitalityq-nil'!C1479:D1479))&gt;0</f>
        <v>0</v>
      </c>
      <c r="C1479">
        <f>B1479*('hospitalityq-nil'!C1479="")</f>
        <v>0</v>
      </c>
      <c r="D1479">
        <f>B1479*('hospitalityq-nil'!D1479="")</f>
        <v>0</v>
      </c>
    </row>
    <row r="1480" spans="1:4" x14ac:dyDescent="0.25">
      <c r="A1480">
        <f t="shared" si="23"/>
        <v>0</v>
      </c>
      <c r="B1480" t="b">
        <f>SUMPRODUCT(LEN('hospitalityq-nil'!C1480:D1480))&gt;0</f>
        <v>0</v>
      </c>
      <c r="C1480">
        <f>B1480*('hospitalityq-nil'!C1480="")</f>
        <v>0</v>
      </c>
      <c r="D1480">
        <f>B1480*('hospitalityq-nil'!D1480="")</f>
        <v>0</v>
      </c>
    </row>
    <row r="1481" spans="1:4" x14ac:dyDescent="0.25">
      <c r="A1481">
        <f t="shared" si="23"/>
        <v>0</v>
      </c>
      <c r="B1481" t="b">
        <f>SUMPRODUCT(LEN('hospitalityq-nil'!C1481:D1481))&gt;0</f>
        <v>0</v>
      </c>
      <c r="C1481">
        <f>B1481*('hospitalityq-nil'!C1481="")</f>
        <v>0</v>
      </c>
      <c r="D1481">
        <f>B1481*('hospitalityq-nil'!D1481="")</f>
        <v>0</v>
      </c>
    </row>
    <row r="1482" spans="1:4" x14ac:dyDescent="0.25">
      <c r="A1482">
        <f t="shared" si="23"/>
        <v>0</v>
      </c>
      <c r="B1482" t="b">
        <f>SUMPRODUCT(LEN('hospitalityq-nil'!C1482:D1482))&gt;0</f>
        <v>0</v>
      </c>
      <c r="C1482">
        <f>B1482*('hospitalityq-nil'!C1482="")</f>
        <v>0</v>
      </c>
      <c r="D1482">
        <f>B1482*('hospitalityq-nil'!D1482="")</f>
        <v>0</v>
      </c>
    </row>
    <row r="1483" spans="1:4" x14ac:dyDescent="0.25">
      <c r="A1483">
        <f t="shared" si="23"/>
        <v>0</v>
      </c>
      <c r="B1483" t="b">
        <f>SUMPRODUCT(LEN('hospitalityq-nil'!C1483:D1483))&gt;0</f>
        <v>0</v>
      </c>
      <c r="C1483">
        <f>B1483*('hospitalityq-nil'!C1483="")</f>
        <v>0</v>
      </c>
      <c r="D1483">
        <f>B1483*('hospitalityq-nil'!D1483="")</f>
        <v>0</v>
      </c>
    </row>
    <row r="1484" spans="1:4" x14ac:dyDescent="0.25">
      <c r="A1484">
        <f t="shared" si="23"/>
        <v>0</v>
      </c>
      <c r="B1484" t="b">
        <f>SUMPRODUCT(LEN('hospitalityq-nil'!C1484:D1484))&gt;0</f>
        <v>0</v>
      </c>
      <c r="C1484">
        <f>B1484*('hospitalityq-nil'!C1484="")</f>
        <v>0</v>
      </c>
      <c r="D1484">
        <f>B1484*('hospitalityq-nil'!D1484="")</f>
        <v>0</v>
      </c>
    </row>
    <row r="1485" spans="1:4" x14ac:dyDescent="0.25">
      <c r="A1485">
        <f t="shared" si="23"/>
        <v>0</v>
      </c>
      <c r="B1485" t="b">
        <f>SUMPRODUCT(LEN('hospitalityq-nil'!C1485:D1485))&gt;0</f>
        <v>0</v>
      </c>
      <c r="C1485">
        <f>B1485*('hospitalityq-nil'!C1485="")</f>
        <v>0</v>
      </c>
      <c r="D1485">
        <f>B1485*('hospitalityq-nil'!D1485="")</f>
        <v>0</v>
      </c>
    </row>
    <row r="1486" spans="1:4" x14ac:dyDescent="0.25">
      <c r="A1486">
        <f t="shared" si="23"/>
        <v>0</v>
      </c>
      <c r="B1486" t="b">
        <f>SUMPRODUCT(LEN('hospitalityq-nil'!C1486:D1486))&gt;0</f>
        <v>0</v>
      </c>
      <c r="C1486">
        <f>B1486*('hospitalityq-nil'!C1486="")</f>
        <v>0</v>
      </c>
      <c r="D1486">
        <f>B1486*('hospitalityq-nil'!D1486="")</f>
        <v>0</v>
      </c>
    </row>
    <row r="1487" spans="1:4" x14ac:dyDescent="0.25">
      <c r="A1487">
        <f t="shared" si="23"/>
        <v>0</v>
      </c>
      <c r="B1487" t="b">
        <f>SUMPRODUCT(LEN('hospitalityq-nil'!C1487:D1487))&gt;0</f>
        <v>0</v>
      </c>
      <c r="C1487">
        <f>B1487*('hospitalityq-nil'!C1487="")</f>
        <v>0</v>
      </c>
      <c r="D1487">
        <f>B1487*('hospitalityq-nil'!D1487="")</f>
        <v>0</v>
      </c>
    </row>
    <row r="1488" spans="1:4" x14ac:dyDescent="0.25">
      <c r="A1488">
        <f t="shared" si="23"/>
        <v>0</v>
      </c>
      <c r="B1488" t="b">
        <f>SUMPRODUCT(LEN('hospitalityq-nil'!C1488:D1488))&gt;0</f>
        <v>0</v>
      </c>
      <c r="C1488">
        <f>B1488*('hospitalityq-nil'!C1488="")</f>
        <v>0</v>
      </c>
      <c r="D1488">
        <f>B1488*('hospitalityq-nil'!D1488="")</f>
        <v>0</v>
      </c>
    </row>
    <row r="1489" spans="1:4" x14ac:dyDescent="0.25">
      <c r="A1489">
        <f t="shared" si="23"/>
        <v>0</v>
      </c>
      <c r="B1489" t="b">
        <f>SUMPRODUCT(LEN('hospitalityq-nil'!C1489:D1489))&gt;0</f>
        <v>0</v>
      </c>
      <c r="C1489">
        <f>B1489*('hospitalityq-nil'!C1489="")</f>
        <v>0</v>
      </c>
      <c r="D1489">
        <f>B1489*('hospitalityq-nil'!D1489="")</f>
        <v>0</v>
      </c>
    </row>
    <row r="1490" spans="1:4" x14ac:dyDescent="0.25">
      <c r="A1490">
        <f t="shared" si="23"/>
        <v>0</v>
      </c>
      <c r="B1490" t="b">
        <f>SUMPRODUCT(LEN('hospitalityq-nil'!C1490:D1490))&gt;0</f>
        <v>0</v>
      </c>
      <c r="C1490">
        <f>B1490*('hospitalityq-nil'!C1490="")</f>
        <v>0</v>
      </c>
      <c r="D1490">
        <f>B1490*('hospitalityq-nil'!D1490="")</f>
        <v>0</v>
      </c>
    </row>
    <row r="1491" spans="1:4" x14ac:dyDescent="0.25">
      <c r="A1491">
        <f t="shared" si="23"/>
        <v>0</v>
      </c>
      <c r="B1491" t="b">
        <f>SUMPRODUCT(LEN('hospitalityq-nil'!C1491:D1491))&gt;0</f>
        <v>0</v>
      </c>
      <c r="C1491">
        <f>B1491*('hospitalityq-nil'!C1491="")</f>
        <v>0</v>
      </c>
      <c r="D1491">
        <f>B1491*('hospitalityq-nil'!D1491="")</f>
        <v>0</v>
      </c>
    </row>
    <row r="1492" spans="1:4" x14ac:dyDescent="0.25">
      <c r="A1492">
        <f t="shared" si="23"/>
        <v>0</v>
      </c>
      <c r="B1492" t="b">
        <f>SUMPRODUCT(LEN('hospitalityq-nil'!C1492:D1492))&gt;0</f>
        <v>0</v>
      </c>
      <c r="C1492">
        <f>B1492*('hospitalityq-nil'!C1492="")</f>
        <v>0</v>
      </c>
      <c r="D1492">
        <f>B1492*('hospitalityq-nil'!D1492="")</f>
        <v>0</v>
      </c>
    </row>
    <row r="1493" spans="1:4" x14ac:dyDescent="0.25">
      <c r="A1493">
        <f t="shared" si="23"/>
        <v>0</v>
      </c>
      <c r="B1493" t="b">
        <f>SUMPRODUCT(LEN('hospitalityq-nil'!C1493:D1493))&gt;0</f>
        <v>0</v>
      </c>
      <c r="C1493">
        <f>B1493*('hospitalityq-nil'!C1493="")</f>
        <v>0</v>
      </c>
      <c r="D1493">
        <f>B1493*('hospitalityq-nil'!D1493="")</f>
        <v>0</v>
      </c>
    </row>
    <row r="1494" spans="1:4" x14ac:dyDescent="0.25">
      <c r="A1494">
        <f t="shared" si="23"/>
        <v>0</v>
      </c>
      <c r="B1494" t="b">
        <f>SUMPRODUCT(LEN('hospitalityq-nil'!C1494:D1494))&gt;0</f>
        <v>0</v>
      </c>
      <c r="C1494">
        <f>B1494*('hospitalityq-nil'!C1494="")</f>
        <v>0</v>
      </c>
      <c r="D1494">
        <f>B1494*('hospitalityq-nil'!D1494="")</f>
        <v>0</v>
      </c>
    </row>
    <row r="1495" spans="1:4" x14ac:dyDescent="0.25">
      <c r="A1495">
        <f t="shared" si="23"/>
        <v>0</v>
      </c>
      <c r="B1495" t="b">
        <f>SUMPRODUCT(LEN('hospitalityq-nil'!C1495:D1495))&gt;0</f>
        <v>0</v>
      </c>
      <c r="C1495">
        <f>B1495*('hospitalityq-nil'!C1495="")</f>
        <v>0</v>
      </c>
      <c r="D1495">
        <f>B1495*('hospitalityq-nil'!D1495="")</f>
        <v>0</v>
      </c>
    </row>
    <row r="1496" spans="1:4" x14ac:dyDescent="0.25">
      <c r="A1496">
        <f t="shared" si="23"/>
        <v>0</v>
      </c>
      <c r="B1496" t="b">
        <f>SUMPRODUCT(LEN('hospitalityq-nil'!C1496:D1496))&gt;0</f>
        <v>0</v>
      </c>
      <c r="C1496">
        <f>B1496*('hospitalityq-nil'!C1496="")</f>
        <v>0</v>
      </c>
      <c r="D1496">
        <f>B1496*('hospitalityq-nil'!D1496="")</f>
        <v>0</v>
      </c>
    </row>
    <row r="1497" spans="1:4" x14ac:dyDescent="0.25">
      <c r="A1497">
        <f t="shared" si="23"/>
        <v>0</v>
      </c>
      <c r="B1497" t="b">
        <f>SUMPRODUCT(LEN('hospitalityq-nil'!C1497:D1497))&gt;0</f>
        <v>0</v>
      </c>
      <c r="C1497">
        <f>B1497*('hospitalityq-nil'!C1497="")</f>
        <v>0</v>
      </c>
      <c r="D1497">
        <f>B1497*('hospitalityq-nil'!D1497="")</f>
        <v>0</v>
      </c>
    </row>
    <row r="1498" spans="1:4" x14ac:dyDescent="0.25">
      <c r="A1498">
        <f t="shared" si="23"/>
        <v>0</v>
      </c>
      <c r="B1498" t="b">
        <f>SUMPRODUCT(LEN('hospitalityq-nil'!C1498:D1498))&gt;0</f>
        <v>0</v>
      </c>
      <c r="C1498">
        <f>B1498*('hospitalityq-nil'!C1498="")</f>
        <v>0</v>
      </c>
      <c r="D1498">
        <f>B1498*('hospitalityq-nil'!D1498="")</f>
        <v>0</v>
      </c>
    </row>
    <row r="1499" spans="1:4" x14ac:dyDescent="0.25">
      <c r="A1499">
        <f t="shared" si="23"/>
        <v>0</v>
      </c>
      <c r="B1499" t="b">
        <f>SUMPRODUCT(LEN('hospitalityq-nil'!C1499:D1499))&gt;0</f>
        <v>0</v>
      </c>
      <c r="C1499">
        <f>B1499*('hospitalityq-nil'!C1499="")</f>
        <v>0</v>
      </c>
      <c r="D1499">
        <f>B1499*('hospitalityq-nil'!D1499="")</f>
        <v>0</v>
      </c>
    </row>
    <row r="1500" spans="1:4" x14ac:dyDescent="0.25">
      <c r="A1500">
        <f t="shared" si="23"/>
        <v>0</v>
      </c>
      <c r="B1500" t="b">
        <f>SUMPRODUCT(LEN('hospitalityq-nil'!C1500:D1500))&gt;0</f>
        <v>0</v>
      </c>
      <c r="C1500">
        <f>B1500*('hospitalityq-nil'!C1500="")</f>
        <v>0</v>
      </c>
      <c r="D1500">
        <f>B1500*('hospitalityq-nil'!D1500="")</f>
        <v>0</v>
      </c>
    </row>
    <row r="1501" spans="1:4" x14ac:dyDescent="0.25">
      <c r="A1501">
        <f t="shared" si="23"/>
        <v>0</v>
      </c>
      <c r="B1501" t="b">
        <f>SUMPRODUCT(LEN('hospitalityq-nil'!C1501:D1501))&gt;0</f>
        <v>0</v>
      </c>
      <c r="C1501">
        <f>B1501*('hospitalityq-nil'!C1501="")</f>
        <v>0</v>
      </c>
      <c r="D1501">
        <f>B1501*('hospitalityq-nil'!D1501="")</f>
        <v>0</v>
      </c>
    </row>
    <row r="1502" spans="1:4" x14ac:dyDescent="0.25">
      <c r="A1502">
        <f t="shared" si="23"/>
        <v>0</v>
      </c>
      <c r="B1502" t="b">
        <f>SUMPRODUCT(LEN('hospitalityq-nil'!C1502:D1502))&gt;0</f>
        <v>0</v>
      </c>
      <c r="C1502">
        <f>B1502*('hospitalityq-nil'!C1502="")</f>
        <v>0</v>
      </c>
      <c r="D1502">
        <f>B1502*('hospitalityq-nil'!D1502="")</f>
        <v>0</v>
      </c>
    </row>
    <row r="1503" spans="1:4" x14ac:dyDescent="0.25">
      <c r="A1503">
        <f t="shared" si="23"/>
        <v>0</v>
      </c>
      <c r="B1503" t="b">
        <f>SUMPRODUCT(LEN('hospitalityq-nil'!C1503:D1503))&gt;0</f>
        <v>0</v>
      </c>
      <c r="C1503">
        <f>B1503*('hospitalityq-nil'!C1503="")</f>
        <v>0</v>
      </c>
      <c r="D1503">
        <f>B1503*('hospitalityq-nil'!D1503="")</f>
        <v>0</v>
      </c>
    </row>
    <row r="1504" spans="1:4" x14ac:dyDescent="0.25">
      <c r="A1504">
        <f t="shared" si="23"/>
        <v>0</v>
      </c>
      <c r="B1504" t="b">
        <f>SUMPRODUCT(LEN('hospitalityq-nil'!C1504:D1504))&gt;0</f>
        <v>0</v>
      </c>
      <c r="C1504">
        <f>B1504*('hospitalityq-nil'!C1504="")</f>
        <v>0</v>
      </c>
      <c r="D1504">
        <f>B1504*('hospitalityq-nil'!D1504="")</f>
        <v>0</v>
      </c>
    </row>
    <row r="1505" spans="1:4" x14ac:dyDescent="0.25">
      <c r="A1505">
        <f t="shared" si="23"/>
        <v>0</v>
      </c>
      <c r="B1505" t="b">
        <f>SUMPRODUCT(LEN('hospitalityq-nil'!C1505:D1505))&gt;0</f>
        <v>0</v>
      </c>
      <c r="C1505">
        <f>B1505*('hospitalityq-nil'!C1505="")</f>
        <v>0</v>
      </c>
      <c r="D1505">
        <f>B1505*('hospitalityq-nil'!D1505="")</f>
        <v>0</v>
      </c>
    </row>
    <row r="1506" spans="1:4" x14ac:dyDescent="0.25">
      <c r="A1506">
        <f t="shared" si="23"/>
        <v>0</v>
      </c>
      <c r="B1506" t="b">
        <f>SUMPRODUCT(LEN('hospitalityq-nil'!C1506:D1506))&gt;0</f>
        <v>0</v>
      </c>
      <c r="C1506">
        <f>B1506*('hospitalityq-nil'!C1506="")</f>
        <v>0</v>
      </c>
      <c r="D1506">
        <f>B1506*('hospitalityq-nil'!D1506="")</f>
        <v>0</v>
      </c>
    </row>
    <row r="1507" spans="1:4" x14ac:dyDescent="0.25">
      <c r="A1507">
        <f t="shared" si="23"/>
        <v>0</v>
      </c>
      <c r="B1507" t="b">
        <f>SUMPRODUCT(LEN('hospitalityq-nil'!C1507:D1507))&gt;0</f>
        <v>0</v>
      </c>
      <c r="C1507">
        <f>B1507*('hospitalityq-nil'!C1507="")</f>
        <v>0</v>
      </c>
      <c r="D1507">
        <f>B1507*('hospitalityq-nil'!D1507="")</f>
        <v>0</v>
      </c>
    </row>
    <row r="1508" spans="1:4" x14ac:dyDescent="0.25">
      <c r="A1508">
        <f t="shared" si="23"/>
        <v>0</v>
      </c>
      <c r="B1508" t="b">
        <f>SUMPRODUCT(LEN('hospitalityq-nil'!C1508:D1508))&gt;0</f>
        <v>0</v>
      </c>
      <c r="C1508">
        <f>B1508*('hospitalityq-nil'!C1508="")</f>
        <v>0</v>
      </c>
      <c r="D1508">
        <f>B1508*('hospitalityq-nil'!D1508="")</f>
        <v>0</v>
      </c>
    </row>
    <row r="1509" spans="1:4" x14ac:dyDescent="0.25">
      <c r="A1509">
        <f t="shared" si="23"/>
        <v>0</v>
      </c>
      <c r="B1509" t="b">
        <f>SUMPRODUCT(LEN('hospitalityq-nil'!C1509:D1509))&gt;0</f>
        <v>0</v>
      </c>
      <c r="C1509">
        <f>B1509*('hospitalityq-nil'!C1509="")</f>
        <v>0</v>
      </c>
      <c r="D1509">
        <f>B1509*('hospitalityq-nil'!D1509="")</f>
        <v>0</v>
      </c>
    </row>
    <row r="1510" spans="1:4" x14ac:dyDescent="0.25">
      <c r="A1510">
        <f t="shared" si="23"/>
        <v>0</v>
      </c>
      <c r="B1510" t="b">
        <f>SUMPRODUCT(LEN('hospitalityq-nil'!C1510:D1510))&gt;0</f>
        <v>0</v>
      </c>
      <c r="C1510">
        <f>B1510*('hospitalityq-nil'!C1510="")</f>
        <v>0</v>
      </c>
      <c r="D1510">
        <f>B1510*('hospitalityq-nil'!D1510="")</f>
        <v>0</v>
      </c>
    </row>
    <row r="1511" spans="1:4" x14ac:dyDescent="0.25">
      <c r="A1511">
        <f t="shared" si="23"/>
        <v>0</v>
      </c>
      <c r="B1511" t="b">
        <f>SUMPRODUCT(LEN('hospitalityq-nil'!C1511:D1511))&gt;0</f>
        <v>0</v>
      </c>
      <c r="C1511">
        <f>B1511*('hospitalityq-nil'!C1511="")</f>
        <v>0</v>
      </c>
      <c r="D1511">
        <f>B1511*('hospitalityq-nil'!D1511="")</f>
        <v>0</v>
      </c>
    </row>
    <row r="1512" spans="1:4" x14ac:dyDescent="0.25">
      <c r="A1512">
        <f t="shared" si="23"/>
        <v>0</v>
      </c>
      <c r="B1512" t="b">
        <f>SUMPRODUCT(LEN('hospitalityq-nil'!C1512:D1512))&gt;0</f>
        <v>0</v>
      </c>
      <c r="C1512">
        <f>B1512*('hospitalityq-nil'!C1512="")</f>
        <v>0</v>
      </c>
      <c r="D1512">
        <f>B1512*('hospitalityq-nil'!D1512="")</f>
        <v>0</v>
      </c>
    </row>
    <row r="1513" spans="1:4" x14ac:dyDescent="0.25">
      <c r="A1513">
        <f t="shared" si="23"/>
        <v>0</v>
      </c>
      <c r="B1513" t="b">
        <f>SUMPRODUCT(LEN('hospitalityq-nil'!C1513:D1513))&gt;0</f>
        <v>0</v>
      </c>
      <c r="C1513">
        <f>B1513*('hospitalityq-nil'!C1513="")</f>
        <v>0</v>
      </c>
      <c r="D1513">
        <f>B1513*('hospitalityq-nil'!D1513="")</f>
        <v>0</v>
      </c>
    </row>
    <row r="1514" spans="1:4" x14ac:dyDescent="0.25">
      <c r="A1514">
        <f t="shared" si="23"/>
        <v>0</v>
      </c>
      <c r="B1514" t="b">
        <f>SUMPRODUCT(LEN('hospitalityq-nil'!C1514:D1514))&gt;0</f>
        <v>0</v>
      </c>
      <c r="C1514">
        <f>B1514*('hospitalityq-nil'!C1514="")</f>
        <v>0</v>
      </c>
      <c r="D1514">
        <f>B1514*('hospitalityq-nil'!D1514="")</f>
        <v>0</v>
      </c>
    </row>
    <row r="1515" spans="1:4" x14ac:dyDescent="0.25">
      <c r="A1515">
        <f t="shared" si="23"/>
        <v>0</v>
      </c>
      <c r="B1515" t="b">
        <f>SUMPRODUCT(LEN('hospitalityq-nil'!C1515:D1515))&gt;0</f>
        <v>0</v>
      </c>
      <c r="C1515">
        <f>B1515*('hospitalityq-nil'!C1515="")</f>
        <v>0</v>
      </c>
      <c r="D1515">
        <f>B1515*('hospitalityq-nil'!D1515="")</f>
        <v>0</v>
      </c>
    </row>
    <row r="1516" spans="1:4" x14ac:dyDescent="0.25">
      <c r="A1516">
        <f t="shared" si="23"/>
        <v>0</v>
      </c>
      <c r="B1516" t="b">
        <f>SUMPRODUCT(LEN('hospitalityq-nil'!C1516:D1516))&gt;0</f>
        <v>0</v>
      </c>
      <c r="C1516">
        <f>B1516*('hospitalityq-nil'!C1516="")</f>
        <v>0</v>
      </c>
      <c r="D1516">
        <f>B1516*('hospitalityq-nil'!D1516="")</f>
        <v>0</v>
      </c>
    </row>
    <row r="1517" spans="1:4" x14ac:dyDescent="0.25">
      <c r="A1517">
        <f t="shared" si="23"/>
        <v>0</v>
      </c>
      <c r="B1517" t="b">
        <f>SUMPRODUCT(LEN('hospitalityq-nil'!C1517:D1517))&gt;0</f>
        <v>0</v>
      </c>
      <c r="C1517">
        <f>B1517*('hospitalityq-nil'!C1517="")</f>
        <v>0</v>
      </c>
      <c r="D1517">
        <f>B1517*('hospitalityq-nil'!D1517="")</f>
        <v>0</v>
      </c>
    </row>
    <row r="1518" spans="1:4" x14ac:dyDescent="0.25">
      <c r="A1518">
        <f t="shared" si="23"/>
        <v>0</v>
      </c>
      <c r="B1518" t="b">
        <f>SUMPRODUCT(LEN('hospitalityq-nil'!C1518:D1518))&gt;0</f>
        <v>0</v>
      </c>
      <c r="C1518">
        <f>B1518*('hospitalityq-nil'!C1518="")</f>
        <v>0</v>
      </c>
      <c r="D1518">
        <f>B1518*('hospitalityq-nil'!D1518="")</f>
        <v>0</v>
      </c>
    </row>
    <row r="1519" spans="1:4" x14ac:dyDescent="0.25">
      <c r="A1519">
        <f t="shared" si="23"/>
        <v>0</v>
      </c>
      <c r="B1519" t="b">
        <f>SUMPRODUCT(LEN('hospitalityq-nil'!C1519:D1519))&gt;0</f>
        <v>0</v>
      </c>
      <c r="C1519">
        <f>B1519*('hospitalityq-nil'!C1519="")</f>
        <v>0</v>
      </c>
      <c r="D1519">
        <f>B1519*('hospitalityq-nil'!D1519="")</f>
        <v>0</v>
      </c>
    </row>
    <row r="1520" spans="1:4" x14ac:dyDescent="0.25">
      <c r="A1520">
        <f t="shared" si="23"/>
        <v>0</v>
      </c>
      <c r="B1520" t="b">
        <f>SUMPRODUCT(LEN('hospitalityq-nil'!C1520:D1520))&gt;0</f>
        <v>0</v>
      </c>
      <c r="C1520">
        <f>B1520*('hospitalityq-nil'!C1520="")</f>
        <v>0</v>
      </c>
      <c r="D1520">
        <f>B1520*('hospitalityq-nil'!D1520="")</f>
        <v>0</v>
      </c>
    </row>
    <row r="1521" spans="1:4" x14ac:dyDescent="0.25">
      <c r="A1521">
        <f t="shared" si="23"/>
        <v>0</v>
      </c>
      <c r="B1521" t="b">
        <f>SUMPRODUCT(LEN('hospitalityq-nil'!C1521:D1521))&gt;0</f>
        <v>0</v>
      </c>
      <c r="C1521">
        <f>B1521*('hospitalityq-nil'!C1521="")</f>
        <v>0</v>
      </c>
      <c r="D1521">
        <f>B1521*('hospitalityq-nil'!D1521="")</f>
        <v>0</v>
      </c>
    </row>
    <row r="1522" spans="1:4" x14ac:dyDescent="0.25">
      <c r="A1522">
        <f t="shared" si="23"/>
        <v>0</v>
      </c>
      <c r="B1522" t="b">
        <f>SUMPRODUCT(LEN('hospitalityq-nil'!C1522:D1522))&gt;0</f>
        <v>0</v>
      </c>
      <c r="C1522">
        <f>B1522*('hospitalityq-nil'!C1522="")</f>
        <v>0</v>
      </c>
      <c r="D1522">
        <f>B1522*('hospitalityq-nil'!D1522="")</f>
        <v>0</v>
      </c>
    </row>
    <row r="1523" spans="1:4" x14ac:dyDescent="0.25">
      <c r="A1523">
        <f t="shared" si="23"/>
        <v>0</v>
      </c>
      <c r="B1523" t="b">
        <f>SUMPRODUCT(LEN('hospitalityq-nil'!C1523:D1523))&gt;0</f>
        <v>0</v>
      </c>
      <c r="C1523">
        <f>B1523*('hospitalityq-nil'!C1523="")</f>
        <v>0</v>
      </c>
      <c r="D1523">
        <f>B1523*('hospitalityq-nil'!D1523="")</f>
        <v>0</v>
      </c>
    </row>
    <row r="1524" spans="1:4" x14ac:dyDescent="0.25">
      <c r="A1524">
        <f t="shared" si="23"/>
        <v>0</v>
      </c>
      <c r="B1524" t="b">
        <f>SUMPRODUCT(LEN('hospitalityq-nil'!C1524:D1524))&gt;0</f>
        <v>0</v>
      </c>
      <c r="C1524">
        <f>B1524*('hospitalityq-nil'!C1524="")</f>
        <v>0</v>
      </c>
      <c r="D1524">
        <f>B1524*('hospitalityq-nil'!D1524="")</f>
        <v>0</v>
      </c>
    </row>
    <row r="1525" spans="1:4" x14ac:dyDescent="0.25">
      <c r="A1525">
        <f t="shared" si="23"/>
        <v>0</v>
      </c>
      <c r="B1525" t="b">
        <f>SUMPRODUCT(LEN('hospitalityq-nil'!C1525:D1525))&gt;0</f>
        <v>0</v>
      </c>
      <c r="C1525">
        <f>B1525*('hospitalityq-nil'!C1525="")</f>
        <v>0</v>
      </c>
      <c r="D1525">
        <f>B1525*('hospitalityq-nil'!D1525="")</f>
        <v>0</v>
      </c>
    </row>
    <row r="1526" spans="1:4" x14ac:dyDescent="0.25">
      <c r="A1526">
        <f t="shared" si="23"/>
        <v>0</v>
      </c>
      <c r="B1526" t="b">
        <f>SUMPRODUCT(LEN('hospitalityq-nil'!C1526:D1526))&gt;0</f>
        <v>0</v>
      </c>
      <c r="C1526">
        <f>B1526*('hospitalityq-nil'!C1526="")</f>
        <v>0</v>
      </c>
      <c r="D1526">
        <f>B1526*('hospitalityq-nil'!D1526="")</f>
        <v>0</v>
      </c>
    </row>
    <row r="1527" spans="1:4" x14ac:dyDescent="0.25">
      <c r="A1527">
        <f t="shared" si="23"/>
        <v>0</v>
      </c>
      <c r="B1527" t="b">
        <f>SUMPRODUCT(LEN('hospitalityq-nil'!C1527:D1527))&gt;0</f>
        <v>0</v>
      </c>
      <c r="C1527">
        <f>B1527*('hospitalityq-nil'!C1527="")</f>
        <v>0</v>
      </c>
      <c r="D1527">
        <f>B1527*('hospitalityq-nil'!D1527="")</f>
        <v>0</v>
      </c>
    </row>
    <row r="1528" spans="1:4" x14ac:dyDescent="0.25">
      <c r="A1528">
        <f t="shared" si="23"/>
        <v>0</v>
      </c>
      <c r="B1528" t="b">
        <f>SUMPRODUCT(LEN('hospitalityq-nil'!C1528:D1528))&gt;0</f>
        <v>0</v>
      </c>
      <c r="C1528">
        <f>B1528*('hospitalityq-nil'!C1528="")</f>
        <v>0</v>
      </c>
      <c r="D1528">
        <f>B1528*('hospitalityq-nil'!D1528="")</f>
        <v>0</v>
      </c>
    </row>
    <row r="1529" spans="1:4" x14ac:dyDescent="0.25">
      <c r="A1529">
        <f t="shared" si="23"/>
        <v>0</v>
      </c>
      <c r="B1529" t="b">
        <f>SUMPRODUCT(LEN('hospitalityq-nil'!C1529:D1529))&gt;0</f>
        <v>0</v>
      </c>
      <c r="C1529">
        <f>B1529*('hospitalityq-nil'!C1529="")</f>
        <v>0</v>
      </c>
      <c r="D1529">
        <f>B1529*('hospitalityq-nil'!D1529="")</f>
        <v>0</v>
      </c>
    </row>
    <row r="1530" spans="1:4" x14ac:dyDescent="0.25">
      <c r="A1530">
        <f t="shared" si="23"/>
        <v>0</v>
      </c>
      <c r="B1530" t="b">
        <f>SUMPRODUCT(LEN('hospitalityq-nil'!C1530:D1530))&gt;0</f>
        <v>0</v>
      </c>
      <c r="C1530">
        <f>B1530*('hospitalityq-nil'!C1530="")</f>
        <v>0</v>
      </c>
      <c r="D1530">
        <f>B1530*('hospitalityq-nil'!D1530="")</f>
        <v>0</v>
      </c>
    </row>
    <row r="1531" spans="1:4" x14ac:dyDescent="0.25">
      <c r="A1531">
        <f t="shared" si="23"/>
        <v>0</v>
      </c>
      <c r="B1531" t="b">
        <f>SUMPRODUCT(LEN('hospitalityq-nil'!C1531:D1531))&gt;0</f>
        <v>0</v>
      </c>
      <c r="C1531">
        <f>B1531*('hospitalityq-nil'!C1531="")</f>
        <v>0</v>
      </c>
      <c r="D1531">
        <f>B1531*('hospitalityq-nil'!D1531="")</f>
        <v>0</v>
      </c>
    </row>
    <row r="1532" spans="1:4" x14ac:dyDescent="0.25">
      <c r="A1532">
        <f t="shared" si="23"/>
        <v>0</v>
      </c>
      <c r="B1532" t="b">
        <f>SUMPRODUCT(LEN('hospitalityq-nil'!C1532:D1532))&gt;0</f>
        <v>0</v>
      </c>
      <c r="C1532">
        <f>B1532*('hospitalityq-nil'!C1532="")</f>
        <v>0</v>
      </c>
      <c r="D1532">
        <f>B1532*('hospitalityq-nil'!D1532="")</f>
        <v>0</v>
      </c>
    </row>
    <row r="1533" spans="1:4" x14ac:dyDescent="0.25">
      <c r="A1533">
        <f t="shared" si="23"/>
        <v>0</v>
      </c>
      <c r="B1533" t="b">
        <f>SUMPRODUCT(LEN('hospitalityq-nil'!C1533:D1533))&gt;0</f>
        <v>0</v>
      </c>
      <c r="C1533">
        <f>B1533*('hospitalityq-nil'!C1533="")</f>
        <v>0</v>
      </c>
      <c r="D1533">
        <f>B1533*('hospitalityq-nil'!D1533="")</f>
        <v>0</v>
      </c>
    </row>
    <row r="1534" spans="1:4" x14ac:dyDescent="0.25">
      <c r="A1534">
        <f t="shared" si="23"/>
        <v>0</v>
      </c>
      <c r="B1534" t="b">
        <f>SUMPRODUCT(LEN('hospitalityq-nil'!C1534:D1534))&gt;0</f>
        <v>0</v>
      </c>
      <c r="C1534">
        <f>B1534*('hospitalityq-nil'!C1534="")</f>
        <v>0</v>
      </c>
      <c r="D1534">
        <f>B1534*('hospitalityq-nil'!D1534="")</f>
        <v>0</v>
      </c>
    </row>
    <row r="1535" spans="1:4" x14ac:dyDescent="0.25">
      <c r="A1535">
        <f t="shared" si="23"/>
        <v>0</v>
      </c>
      <c r="B1535" t="b">
        <f>SUMPRODUCT(LEN('hospitalityq-nil'!C1535:D1535))&gt;0</f>
        <v>0</v>
      </c>
      <c r="C1535">
        <f>B1535*('hospitalityq-nil'!C1535="")</f>
        <v>0</v>
      </c>
      <c r="D1535">
        <f>B1535*('hospitalityq-nil'!D1535="")</f>
        <v>0</v>
      </c>
    </row>
    <row r="1536" spans="1:4" x14ac:dyDescent="0.25">
      <c r="A1536">
        <f t="shared" si="23"/>
        <v>0</v>
      </c>
      <c r="B1536" t="b">
        <f>SUMPRODUCT(LEN('hospitalityq-nil'!C1536:D1536))&gt;0</f>
        <v>0</v>
      </c>
      <c r="C1536">
        <f>B1536*('hospitalityq-nil'!C1536="")</f>
        <v>0</v>
      </c>
      <c r="D1536">
        <f>B1536*('hospitalityq-nil'!D1536="")</f>
        <v>0</v>
      </c>
    </row>
    <row r="1537" spans="1:4" x14ac:dyDescent="0.25">
      <c r="A1537">
        <f t="shared" si="23"/>
        <v>0</v>
      </c>
      <c r="B1537" t="b">
        <f>SUMPRODUCT(LEN('hospitalityq-nil'!C1537:D1537))&gt;0</f>
        <v>0</v>
      </c>
      <c r="C1537">
        <f>B1537*('hospitalityq-nil'!C1537="")</f>
        <v>0</v>
      </c>
      <c r="D1537">
        <f>B1537*('hospitalityq-nil'!D1537="")</f>
        <v>0</v>
      </c>
    </row>
    <row r="1538" spans="1:4" x14ac:dyDescent="0.25">
      <c r="A1538">
        <f t="shared" si="23"/>
        <v>0</v>
      </c>
      <c r="B1538" t="b">
        <f>SUMPRODUCT(LEN('hospitalityq-nil'!C1538:D1538))&gt;0</f>
        <v>0</v>
      </c>
      <c r="C1538">
        <f>B1538*('hospitalityq-nil'!C1538="")</f>
        <v>0</v>
      </c>
      <c r="D1538">
        <f>B1538*('hospitalityq-nil'!D1538="")</f>
        <v>0</v>
      </c>
    </row>
    <row r="1539" spans="1:4" x14ac:dyDescent="0.25">
      <c r="A1539">
        <f t="shared" si="23"/>
        <v>0</v>
      </c>
      <c r="B1539" t="b">
        <f>SUMPRODUCT(LEN('hospitalityq-nil'!C1539:D1539))&gt;0</f>
        <v>0</v>
      </c>
      <c r="C1539">
        <f>B1539*('hospitalityq-nil'!C1539="")</f>
        <v>0</v>
      </c>
      <c r="D1539">
        <f>B1539*('hospitalityq-nil'!D1539="")</f>
        <v>0</v>
      </c>
    </row>
    <row r="1540" spans="1:4" x14ac:dyDescent="0.25">
      <c r="A1540">
        <f t="shared" si="23"/>
        <v>0</v>
      </c>
      <c r="B1540" t="b">
        <f>SUMPRODUCT(LEN('hospitalityq-nil'!C1540:D1540))&gt;0</f>
        <v>0</v>
      </c>
      <c r="C1540">
        <f>B1540*('hospitalityq-nil'!C1540="")</f>
        <v>0</v>
      </c>
      <c r="D1540">
        <f>B1540*('hospitalityq-nil'!D1540="")</f>
        <v>0</v>
      </c>
    </row>
    <row r="1541" spans="1:4" x14ac:dyDescent="0.25">
      <c r="A1541">
        <f t="shared" si="23"/>
        <v>0</v>
      </c>
      <c r="B1541" t="b">
        <f>SUMPRODUCT(LEN('hospitalityq-nil'!C1541:D1541))&gt;0</f>
        <v>0</v>
      </c>
      <c r="C1541">
        <f>B1541*('hospitalityq-nil'!C1541="")</f>
        <v>0</v>
      </c>
      <c r="D1541">
        <f>B1541*('hospitalityq-nil'!D1541="")</f>
        <v>0</v>
      </c>
    </row>
    <row r="1542" spans="1:4" x14ac:dyDescent="0.25">
      <c r="A1542">
        <f t="shared" ref="A1542:A1605" si="24">IFERROR(MATCH(TRUE,INDEX(C1542:D1542&lt;&gt;0,),)+2,0)</f>
        <v>0</v>
      </c>
      <c r="B1542" t="b">
        <f>SUMPRODUCT(LEN('hospitalityq-nil'!C1542:D1542))&gt;0</f>
        <v>0</v>
      </c>
      <c r="C1542">
        <f>B1542*('hospitalityq-nil'!C1542="")</f>
        <v>0</v>
      </c>
      <c r="D1542">
        <f>B1542*('hospitalityq-nil'!D1542="")</f>
        <v>0</v>
      </c>
    </row>
    <row r="1543" spans="1:4" x14ac:dyDescent="0.25">
      <c r="A1543">
        <f t="shared" si="24"/>
        <v>0</v>
      </c>
      <c r="B1543" t="b">
        <f>SUMPRODUCT(LEN('hospitalityq-nil'!C1543:D1543))&gt;0</f>
        <v>0</v>
      </c>
      <c r="C1543">
        <f>B1543*('hospitalityq-nil'!C1543="")</f>
        <v>0</v>
      </c>
      <c r="D1543">
        <f>B1543*('hospitalityq-nil'!D1543="")</f>
        <v>0</v>
      </c>
    </row>
    <row r="1544" spans="1:4" x14ac:dyDescent="0.25">
      <c r="A1544">
        <f t="shared" si="24"/>
        <v>0</v>
      </c>
      <c r="B1544" t="b">
        <f>SUMPRODUCT(LEN('hospitalityq-nil'!C1544:D1544))&gt;0</f>
        <v>0</v>
      </c>
      <c r="C1544">
        <f>B1544*('hospitalityq-nil'!C1544="")</f>
        <v>0</v>
      </c>
      <c r="D1544">
        <f>B1544*('hospitalityq-nil'!D1544="")</f>
        <v>0</v>
      </c>
    </row>
    <row r="1545" spans="1:4" x14ac:dyDescent="0.25">
      <c r="A1545">
        <f t="shared" si="24"/>
        <v>0</v>
      </c>
      <c r="B1545" t="b">
        <f>SUMPRODUCT(LEN('hospitalityq-nil'!C1545:D1545))&gt;0</f>
        <v>0</v>
      </c>
      <c r="C1545">
        <f>B1545*('hospitalityq-nil'!C1545="")</f>
        <v>0</v>
      </c>
      <c r="D1545">
        <f>B1545*('hospitalityq-nil'!D1545="")</f>
        <v>0</v>
      </c>
    </row>
    <row r="1546" spans="1:4" x14ac:dyDescent="0.25">
      <c r="A1546">
        <f t="shared" si="24"/>
        <v>0</v>
      </c>
      <c r="B1546" t="b">
        <f>SUMPRODUCT(LEN('hospitalityq-nil'!C1546:D1546))&gt;0</f>
        <v>0</v>
      </c>
      <c r="C1546">
        <f>B1546*('hospitalityq-nil'!C1546="")</f>
        <v>0</v>
      </c>
      <c r="D1546">
        <f>B1546*('hospitalityq-nil'!D1546="")</f>
        <v>0</v>
      </c>
    </row>
    <row r="1547" spans="1:4" x14ac:dyDescent="0.25">
      <c r="A1547">
        <f t="shared" si="24"/>
        <v>0</v>
      </c>
      <c r="B1547" t="b">
        <f>SUMPRODUCT(LEN('hospitalityq-nil'!C1547:D1547))&gt;0</f>
        <v>0</v>
      </c>
      <c r="C1547">
        <f>B1547*('hospitalityq-nil'!C1547="")</f>
        <v>0</v>
      </c>
      <c r="D1547">
        <f>B1547*('hospitalityq-nil'!D1547="")</f>
        <v>0</v>
      </c>
    </row>
    <row r="1548" spans="1:4" x14ac:dyDescent="0.25">
      <c r="A1548">
        <f t="shared" si="24"/>
        <v>0</v>
      </c>
      <c r="B1548" t="b">
        <f>SUMPRODUCT(LEN('hospitalityq-nil'!C1548:D1548))&gt;0</f>
        <v>0</v>
      </c>
      <c r="C1548">
        <f>B1548*('hospitalityq-nil'!C1548="")</f>
        <v>0</v>
      </c>
      <c r="D1548">
        <f>B1548*('hospitalityq-nil'!D1548="")</f>
        <v>0</v>
      </c>
    </row>
    <row r="1549" spans="1:4" x14ac:dyDescent="0.25">
      <c r="A1549">
        <f t="shared" si="24"/>
        <v>0</v>
      </c>
      <c r="B1549" t="b">
        <f>SUMPRODUCT(LEN('hospitalityq-nil'!C1549:D1549))&gt;0</f>
        <v>0</v>
      </c>
      <c r="C1549">
        <f>B1549*('hospitalityq-nil'!C1549="")</f>
        <v>0</v>
      </c>
      <c r="D1549">
        <f>B1549*('hospitalityq-nil'!D1549="")</f>
        <v>0</v>
      </c>
    </row>
    <row r="1550" spans="1:4" x14ac:dyDescent="0.25">
      <c r="A1550">
        <f t="shared" si="24"/>
        <v>0</v>
      </c>
      <c r="B1550" t="b">
        <f>SUMPRODUCT(LEN('hospitalityq-nil'!C1550:D1550))&gt;0</f>
        <v>0</v>
      </c>
      <c r="C1550">
        <f>B1550*('hospitalityq-nil'!C1550="")</f>
        <v>0</v>
      </c>
      <c r="D1550">
        <f>B1550*('hospitalityq-nil'!D1550="")</f>
        <v>0</v>
      </c>
    </row>
    <row r="1551" spans="1:4" x14ac:dyDescent="0.25">
      <c r="A1551">
        <f t="shared" si="24"/>
        <v>0</v>
      </c>
      <c r="B1551" t="b">
        <f>SUMPRODUCT(LEN('hospitalityq-nil'!C1551:D1551))&gt;0</f>
        <v>0</v>
      </c>
      <c r="C1551">
        <f>B1551*('hospitalityq-nil'!C1551="")</f>
        <v>0</v>
      </c>
      <c r="D1551">
        <f>B1551*('hospitalityq-nil'!D1551="")</f>
        <v>0</v>
      </c>
    </row>
    <row r="1552" spans="1:4" x14ac:dyDescent="0.25">
      <c r="A1552">
        <f t="shared" si="24"/>
        <v>0</v>
      </c>
      <c r="B1552" t="b">
        <f>SUMPRODUCT(LEN('hospitalityq-nil'!C1552:D1552))&gt;0</f>
        <v>0</v>
      </c>
      <c r="C1552">
        <f>B1552*('hospitalityq-nil'!C1552="")</f>
        <v>0</v>
      </c>
      <c r="D1552">
        <f>B1552*('hospitalityq-nil'!D1552="")</f>
        <v>0</v>
      </c>
    </row>
    <row r="1553" spans="1:4" x14ac:dyDescent="0.25">
      <c r="A1553">
        <f t="shared" si="24"/>
        <v>0</v>
      </c>
      <c r="B1553" t="b">
        <f>SUMPRODUCT(LEN('hospitalityq-nil'!C1553:D1553))&gt;0</f>
        <v>0</v>
      </c>
      <c r="C1553">
        <f>B1553*('hospitalityq-nil'!C1553="")</f>
        <v>0</v>
      </c>
      <c r="D1553">
        <f>B1553*('hospitalityq-nil'!D1553="")</f>
        <v>0</v>
      </c>
    </row>
    <row r="1554" spans="1:4" x14ac:dyDescent="0.25">
      <c r="A1554">
        <f t="shared" si="24"/>
        <v>0</v>
      </c>
      <c r="B1554" t="b">
        <f>SUMPRODUCT(LEN('hospitalityq-nil'!C1554:D1554))&gt;0</f>
        <v>0</v>
      </c>
      <c r="C1554">
        <f>B1554*('hospitalityq-nil'!C1554="")</f>
        <v>0</v>
      </c>
      <c r="D1554">
        <f>B1554*('hospitalityq-nil'!D1554="")</f>
        <v>0</v>
      </c>
    </row>
    <row r="1555" spans="1:4" x14ac:dyDescent="0.25">
      <c r="A1555">
        <f t="shared" si="24"/>
        <v>0</v>
      </c>
      <c r="B1555" t="b">
        <f>SUMPRODUCT(LEN('hospitalityq-nil'!C1555:D1555))&gt;0</f>
        <v>0</v>
      </c>
      <c r="C1555">
        <f>B1555*('hospitalityq-nil'!C1555="")</f>
        <v>0</v>
      </c>
      <c r="D1555">
        <f>B1555*('hospitalityq-nil'!D1555="")</f>
        <v>0</v>
      </c>
    </row>
    <row r="1556" spans="1:4" x14ac:dyDescent="0.25">
      <c r="A1556">
        <f t="shared" si="24"/>
        <v>0</v>
      </c>
      <c r="B1556" t="b">
        <f>SUMPRODUCT(LEN('hospitalityq-nil'!C1556:D1556))&gt;0</f>
        <v>0</v>
      </c>
      <c r="C1556">
        <f>B1556*('hospitalityq-nil'!C1556="")</f>
        <v>0</v>
      </c>
      <c r="D1556">
        <f>B1556*('hospitalityq-nil'!D1556="")</f>
        <v>0</v>
      </c>
    </row>
    <row r="1557" spans="1:4" x14ac:dyDescent="0.25">
      <c r="A1557">
        <f t="shared" si="24"/>
        <v>0</v>
      </c>
      <c r="B1557" t="b">
        <f>SUMPRODUCT(LEN('hospitalityq-nil'!C1557:D1557))&gt;0</f>
        <v>0</v>
      </c>
      <c r="C1557">
        <f>B1557*('hospitalityq-nil'!C1557="")</f>
        <v>0</v>
      </c>
      <c r="D1557">
        <f>B1557*('hospitalityq-nil'!D1557="")</f>
        <v>0</v>
      </c>
    </row>
    <row r="1558" spans="1:4" x14ac:dyDescent="0.25">
      <c r="A1558">
        <f t="shared" si="24"/>
        <v>0</v>
      </c>
      <c r="B1558" t="b">
        <f>SUMPRODUCT(LEN('hospitalityq-nil'!C1558:D1558))&gt;0</f>
        <v>0</v>
      </c>
      <c r="C1558">
        <f>B1558*('hospitalityq-nil'!C1558="")</f>
        <v>0</v>
      </c>
      <c r="D1558">
        <f>B1558*('hospitalityq-nil'!D1558="")</f>
        <v>0</v>
      </c>
    </row>
    <row r="1559" spans="1:4" x14ac:dyDescent="0.25">
      <c r="A1559">
        <f t="shared" si="24"/>
        <v>0</v>
      </c>
      <c r="B1559" t="b">
        <f>SUMPRODUCT(LEN('hospitalityq-nil'!C1559:D1559))&gt;0</f>
        <v>0</v>
      </c>
      <c r="C1559">
        <f>B1559*('hospitalityq-nil'!C1559="")</f>
        <v>0</v>
      </c>
      <c r="D1559">
        <f>B1559*('hospitalityq-nil'!D1559="")</f>
        <v>0</v>
      </c>
    </row>
    <row r="1560" spans="1:4" x14ac:dyDescent="0.25">
      <c r="A1560">
        <f t="shared" si="24"/>
        <v>0</v>
      </c>
      <c r="B1560" t="b">
        <f>SUMPRODUCT(LEN('hospitalityq-nil'!C1560:D1560))&gt;0</f>
        <v>0</v>
      </c>
      <c r="C1560">
        <f>B1560*('hospitalityq-nil'!C1560="")</f>
        <v>0</v>
      </c>
      <c r="D1560">
        <f>B1560*('hospitalityq-nil'!D1560="")</f>
        <v>0</v>
      </c>
    </row>
    <row r="1561" spans="1:4" x14ac:dyDescent="0.25">
      <c r="A1561">
        <f t="shared" si="24"/>
        <v>0</v>
      </c>
      <c r="B1561" t="b">
        <f>SUMPRODUCT(LEN('hospitalityq-nil'!C1561:D1561))&gt;0</f>
        <v>0</v>
      </c>
      <c r="C1561">
        <f>B1561*('hospitalityq-nil'!C1561="")</f>
        <v>0</v>
      </c>
      <c r="D1561">
        <f>B1561*('hospitalityq-nil'!D1561="")</f>
        <v>0</v>
      </c>
    </row>
    <row r="1562" spans="1:4" x14ac:dyDescent="0.25">
      <c r="A1562">
        <f t="shared" si="24"/>
        <v>0</v>
      </c>
      <c r="B1562" t="b">
        <f>SUMPRODUCT(LEN('hospitalityq-nil'!C1562:D1562))&gt;0</f>
        <v>0</v>
      </c>
      <c r="C1562">
        <f>B1562*('hospitalityq-nil'!C1562="")</f>
        <v>0</v>
      </c>
      <c r="D1562">
        <f>B1562*('hospitalityq-nil'!D1562="")</f>
        <v>0</v>
      </c>
    </row>
    <row r="1563" spans="1:4" x14ac:dyDescent="0.25">
      <c r="A1563">
        <f t="shared" si="24"/>
        <v>0</v>
      </c>
      <c r="B1563" t="b">
        <f>SUMPRODUCT(LEN('hospitalityq-nil'!C1563:D1563))&gt;0</f>
        <v>0</v>
      </c>
      <c r="C1563">
        <f>B1563*('hospitalityq-nil'!C1563="")</f>
        <v>0</v>
      </c>
      <c r="D1563">
        <f>B1563*('hospitalityq-nil'!D1563="")</f>
        <v>0</v>
      </c>
    </row>
    <row r="1564" spans="1:4" x14ac:dyDescent="0.25">
      <c r="A1564">
        <f t="shared" si="24"/>
        <v>0</v>
      </c>
      <c r="B1564" t="b">
        <f>SUMPRODUCT(LEN('hospitalityq-nil'!C1564:D1564))&gt;0</f>
        <v>0</v>
      </c>
      <c r="C1564">
        <f>B1564*('hospitalityq-nil'!C1564="")</f>
        <v>0</v>
      </c>
      <c r="D1564">
        <f>B1564*('hospitalityq-nil'!D1564="")</f>
        <v>0</v>
      </c>
    </row>
    <row r="1565" spans="1:4" x14ac:dyDescent="0.25">
      <c r="A1565">
        <f t="shared" si="24"/>
        <v>0</v>
      </c>
      <c r="B1565" t="b">
        <f>SUMPRODUCT(LEN('hospitalityq-nil'!C1565:D1565))&gt;0</f>
        <v>0</v>
      </c>
      <c r="C1565">
        <f>B1565*('hospitalityq-nil'!C1565="")</f>
        <v>0</v>
      </c>
      <c r="D1565">
        <f>B1565*('hospitalityq-nil'!D1565="")</f>
        <v>0</v>
      </c>
    </row>
    <row r="1566" spans="1:4" x14ac:dyDescent="0.25">
      <c r="A1566">
        <f t="shared" si="24"/>
        <v>0</v>
      </c>
      <c r="B1566" t="b">
        <f>SUMPRODUCT(LEN('hospitalityq-nil'!C1566:D1566))&gt;0</f>
        <v>0</v>
      </c>
      <c r="C1566">
        <f>B1566*('hospitalityq-nil'!C1566="")</f>
        <v>0</v>
      </c>
      <c r="D1566">
        <f>B1566*('hospitalityq-nil'!D1566="")</f>
        <v>0</v>
      </c>
    </row>
    <row r="1567" spans="1:4" x14ac:dyDescent="0.25">
      <c r="A1567">
        <f t="shared" si="24"/>
        <v>0</v>
      </c>
      <c r="B1567" t="b">
        <f>SUMPRODUCT(LEN('hospitalityq-nil'!C1567:D1567))&gt;0</f>
        <v>0</v>
      </c>
      <c r="C1567">
        <f>B1567*('hospitalityq-nil'!C1567="")</f>
        <v>0</v>
      </c>
      <c r="D1567">
        <f>B1567*('hospitalityq-nil'!D1567="")</f>
        <v>0</v>
      </c>
    </row>
    <row r="1568" spans="1:4" x14ac:dyDescent="0.25">
      <c r="A1568">
        <f t="shared" si="24"/>
        <v>0</v>
      </c>
      <c r="B1568" t="b">
        <f>SUMPRODUCT(LEN('hospitalityq-nil'!C1568:D1568))&gt;0</f>
        <v>0</v>
      </c>
      <c r="C1568">
        <f>B1568*('hospitalityq-nil'!C1568="")</f>
        <v>0</v>
      </c>
      <c r="D1568">
        <f>B1568*('hospitalityq-nil'!D1568="")</f>
        <v>0</v>
      </c>
    </row>
    <row r="1569" spans="1:4" x14ac:dyDescent="0.25">
      <c r="A1569">
        <f t="shared" si="24"/>
        <v>0</v>
      </c>
      <c r="B1569" t="b">
        <f>SUMPRODUCT(LEN('hospitalityq-nil'!C1569:D1569))&gt;0</f>
        <v>0</v>
      </c>
      <c r="C1569">
        <f>B1569*('hospitalityq-nil'!C1569="")</f>
        <v>0</v>
      </c>
      <c r="D1569">
        <f>B1569*('hospitalityq-nil'!D1569="")</f>
        <v>0</v>
      </c>
    </row>
    <row r="1570" spans="1:4" x14ac:dyDescent="0.25">
      <c r="A1570">
        <f t="shared" si="24"/>
        <v>0</v>
      </c>
      <c r="B1570" t="b">
        <f>SUMPRODUCT(LEN('hospitalityq-nil'!C1570:D1570))&gt;0</f>
        <v>0</v>
      </c>
      <c r="C1570">
        <f>B1570*('hospitalityq-nil'!C1570="")</f>
        <v>0</v>
      </c>
      <c r="D1570">
        <f>B1570*('hospitalityq-nil'!D1570="")</f>
        <v>0</v>
      </c>
    </row>
    <row r="1571" spans="1:4" x14ac:dyDescent="0.25">
      <c r="A1571">
        <f t="shared" si="24"/>
        <v>0</v>
      </c>
      <c r="B1571" t="b">
        <f>SUMPRODUCT(LEN('hospitalityq-nil'!C1571:D1571))&gt;0</f>
        <v>0</v>
      </c>
      <c r="C1571">
        <f>B1571*('hospitalityq-nil'!C1571="")</f>
        <v>0</v>
      </c>
      <c r="D1571">
        <f>B1571*('hospitalityq-nil'!D1571="")</f>
        <v>0</v>
      </c>
    </row>
    <row r="1572" spans="1:4" x14ac:dyDescent="0.25">
      <c r="A1572">
        <f t="shared" si="24"/>
        <v>0</v>
      </c>
      <c r="B1572" t="b">
        <f>SUMPRODUCT(LEN('hospitalityq-nil'!C1572:D1572))&gt;0</f>
        <v>0</v>
      </c>
      <c r="C1572">
        <f>B1572*('hospitalityq-nil'!C1572="")</f>
        <v>0</v>
      </c>
      <c r="D1572">
        <f>B1572*('hospitalityq-nil'!D1572="")</f>
        <v>0</v>
      </c>
    </row>
    <row r="1573" spans="1:4" x14ac:dyDescent="0.25">
      <c r="A1573">
        <f t="shared" si="24"/>
        <v>0</v>
      </c>
      <c r="B1573" t="b">
        <f>SUMPRODUCT(LEN('hospitalityq-nil'!C1573:D1573))&gt;0</f>
        <v>0</v>
      </c>
      <c r="C1573">
        <f>B1573*('hospitalityq-nil'!C1573="")</f>
        <v>0</v>
      </c>
      <c r="D1573">
        <f>B1573*('hospitalityq-nil'!D1573="")</f>
        <v>0</v>
      </c>
    </row>
    <row r="1574" spans="1:4" x14ac:dyDescent="0.25">
      <c r="A1574">
        <f t="shared" si="24"/>
        <v>0</v>
      </c>
      <c r="B1574" t="b">
        <f>SUMPRODUCT(LEN('hospitalityq-nil'!C1574:D1574))&gt;0</f>
        <v>0</v>
      </c>
      <c r="C1574">
        <f>B1574*('hospitalityq-nil'!C1574="")</f>
        <v>0</v>
      </c>
      <c r="D1574">
        <f>B1574*('hospitalityq-nil'!D1574="")</f>
        <v>0</v>
      </c>
    </row>
    <row r="1575" spans="1:4" x14ac:dyDescent="0.25">
      <c r="A1575">
        <f t="shared" si="24"/>
        <v>0</v>
      </c>
      <c r="B1575" t="b">
        <f>SUMPRODUCT(LEN('hospitalityq-nil'!C1575:D1575))&gt;0</f>
        <v>0</v>
      </c>
      <c r="C1575">
        <f>B1575*('hospitalityq-nil'!C1575="")</f>
        <v>0</v>
      </c>
      <c r="D1575">
        <f>B1575*('hospitalityq-nil'!D1575="")</f>
        <v>0</v>
      </c>
    </row>
    <row r="1576" spans="1:4" x14ac:dyDescent="0.25">
      <c r="A1576">
        <f t="shared" si="24"/>
        <v>0</v>
      </c>
      <c r="B1576" t="b">
        <f>SUMPRODUCT(LEN('hospitalityq-nil'!C1576:D1576))&gt;0</f>
        <v>0</v>
      </c>
      <c r="C1576">
        <f>B1576*('hospitalityq-nil'!C1576="")</f>
        <v>0</v>
      </c>
      <c r="D1576">
        <f>B1576*('hospitalityq-nil'!D1576="")</f>
        <v>0</v>
      </c>
    </row>
    <row r="1577" spans="1:4" x14ac:dyDescent="0.25">
      <c r="A1577">
        <f t="shared" si="24"/>
        <v>0</v>
      </c>
      <c r="B1577" t="b">
        <f>SUMPRODUCT(LEN('hospitalityq-nil'!C1577:D1577))&gt;0</f>
        <v>0</v>
      </c>
      <c r="C1577">
        <f>B1577*('hospitalityq-nil'!C1577="")</f>
        <v>0</v>
      </c>
      <c r="D1577">
        <f>B1577*('hospitalityq-nil'!D1577="")</f>
        <v>0</v>
      </c>
    </row>
    <row r="1578" spans="1:4" x14ac:dyDescent="0.25">
      <c r="A1578">
        <f t="shared" si="24"/>
        <v>0</v>
      </c>
      <c r="B1578" t="b">
        <f>SUMPRODUCT(LEN('hospitalityq-nil'!C1578:D1578))&gt;0</f>
        <v>0</v>
      </c>
      <c r="C1578">
        <f>B1578*('hospitalityq-nil'!C1578="")</f>
        <v>0</v>
      </c>
      <c r="D1578">
        <f>B1578*('hospitalityq-nil'!D1578="")</f>
        <v>0</v>
      </c>
    </row>
    <row r="1579" spans="1:4" x14ac:dyDescent="0.25">
      <c r="A1579">
        <f t="shared" si="24"/>
        <v>0</v>
      </c>
      <c r="B1579" t="b">
        <f>SUMPRODUCT(LEN('hospitalityq-nil'!C1579:D1579))&gt;0</f>
        <v>0</v>
      </c>
      <c r="C1579">
        <f>B1579*('hospitalityq-nil'!C1579="")</f>
        <v>0</v>
      </c>
      <c r="D1579">
        <f>B1579*('hospitalityq-nil'!D1579="")</f>
        <v>0</v>
      </c>
    </row>
    <row r="1580" spans="1:4" x14ac:dyDescent="0.25">
      <c r="A1580">
        <f t="shared" si="24"/>
        <v>0</v>
      </c>
      <c r="B1580" t="b">
        <f>SUMPRODUCT(LEN('hospitalityq-nil'!C1580:D1580))&gt;0</f>
        <v>0</v>
      </c>
      <c r="C1580">
        <f>B1580*('hospitalityq-nil'!C1580="")</f>
        <v>0</v>
      </c>
      <c r="D1580">
        <f>B1580*('hospitalityq-nil'!D1580="")</f>
        <v>0</v>
      </c>
    </row>
    <row r="1581" spans="1:4" x14ac:dyDescent="0.25">
      <c r="A1581">
        <f t="shared" si="24"/>
        <v>0</v>
      </c>
      <c r="B1581" t="b">
        <f>SUMPRODUCT(LEN('hospitalityq-nil'!C1581:D1581))&gt;0</f>
        <v>0</v>
      </c>
      <c r="C1581">
        <f>B1581*('hospitalityq-nil'!C1581="")</f>
        <v>0</v>
      </c>
      <c r="D1581">
        <f>B1581*('hospitalityq-nil'!D1581="")</f>
        <v>0</v>
      </c>
    </row>
    <row r="1582" spans="1:4" x14ac:dyDescent="0.25">
      <c r="A1582">
        <f t="shared" si="24"/>
        <v>0</v>
      </c>
      <c r="B1582" t="b">
        <f>SUMPRODUCT(LEN('hospitalityq-nil'!C1582:D1582))&gt;0</f>
        <v>0</v>
      </c>
      <c r="C1582">
        <f>B1582*('hospitalityq-nil'!C1582="")</f>
        <v>0</v>
      </c>
      <c r="D1582">
        <f>B1582*('hospitalityq-nil'!D1582="")</f>
        <v>0</v>
      </c>
    </row>
    <row r="1583" spans="1:4" x14ac:dyDescent="0.25">
      <c r="A1583">
        <f t="shared" si="24"/>
        <v>0</v>
      </c>
      <c r="B1583" t="b">
        <f>SUMPRODUCT(LEN('hospitalityq-nil'!C1583:D1583))&gt;0</f>
        <v>0</v>
      </c>
      <c r="C1583">
        <f>B1583*('hospitalityq-nil'!C1583="")</f>
        <v>0</v>
      </c>
      <c r="D1583">
        <f>B1583*('hospitalityq-nil'!D1583="")</f>
        <v>0</v>
      </c>
    </row>
    <row r="1584" spans="1:4" x14ac:dyDescent="0.25">
      <c r="A1584">
        <f t="shared" si="24"/>
        <v>0</v>
      </c>
      <c r="B1584" t="b">
        <f>SUMPRODUCT(LEN('hospitalityq-nil'!C1584:D1584))&gt;0</f>
        <v>0</v>
      </c>
      <c r="C1584">
        <f>B1584*('hospitalityq-nil'!C1584="")</f>
        <v>0</v>
      </c>
      <c r="D1584">
        <f>B1584*('hospitalityq-nil'!D1584="")</f>
        <v>0</v>
      </c>
    </row>
    <row r="1585" spans="1:4" x14ac:dyDescent="0.25">
      <c r="A1585">
        <f t="shared" si="24"/>
        <v>0</v>
      </c>
      <c r="B1585" t="b">
        <f>SUMPRODUCT(LEN('hospitalityq-nil'!C1585:D1585))&gt;0</f>
        <v>0</v>
      </c>
      <c r="C1585">
        <f>B1585*('hospitalityq-nil'!C1585="")</f>
        <v>0</v>
      </c>
      <c r="D1585">
        <f>B1585*('hospitalityq-nil'!D1585="")</f>
        <v>0</v>
      </c>
    </row>
    <row r="1586" spans="1:4" x14ac:dyDescent="0.25">
      <c r="A1586">
        <f t="shared" si="24"/>
        <v>0</v>
      </c>
      <c r="B1586" t="b">
        <f>SUMPRODUCT(LEN('hospitalityq-nil'!C1586:D1586))&gt;0</f>
        <v>0</v>
      </c>
      <c r="C1586">
        <f>B1586*('hospitalityq-nil'!C1586="")</f>
        <v>0</v>
      </c>
      <c r="D1586">
        <f>B1586*('hospitalityq-nil'!D1586="")</f>
        <v>0</v>
      </c>
    </row>
    <row r="1587" spans="1:4" x14ac:dyDescent="0.25">
      <c r="A1587">
        <f t="shared" si="24"/>
        <v>0</v>
      </c>
      <c r="B1587" t="b">
        <f>SUMPRODUCT(LEN('hospitalityq-nil'!C1587:D1587))&gt;0</f>
        <v>0</v>
      </c>
      <c r="C1587">
        <f>B1587*('hospitalityq-nil'!C1587="")</f>
        <v>0</v>
      </c>
      <c r="D1587">
        <f>B1587*('hospitalityq-nil'!D1587="")</f>
        <v>0</v>
      </c>
    </row>
    <row r="1588" spans="1:4" x14ac:dyDescent="0.25">
      <c r="A1588">
        <f t="shared" si="24"/>
        <v>0</v>
      </c>
      <c r="B1588" t="b">
        <f>SUMPRODUCT(LEN('hospitalityq-nil'!C1588:D1588))&gt;0</f>
        <v>0</v>
      </c>
      <c r="C1588">
        <f>B1588*('hospitalityq-nil'!C1588="")</f>
        <v>0</v>
      </c>
      <c r="D1588">
        <f>B1588*('hospitalityq-nil'!D1588="")</f>
        <v>0</v>
      </c>
    </row>
    <row r="1589" spans="1:4" x14ac:dyDescent="0.25">
      <c r="A1589">
        <f t="shared" si="24"/>
        <v>0</v>
      </c>
      <c r="B1589" t="b">
        <f>SUMPRODUCT(LEN('hospitalityq-nil'!C1589:D1589))&gt;0</f>
        <v>0</v>
      </c>
      <c r="C1589">
        <f>B1589*('hospitalityq-nil'!C1589="")</f>
        <v>0</v>
      </c>
      <c r="D1589">
        <f>B1589*('hospitalityq-nil'!D1589="")</f>
        <v>0</v>
      </c>
    </row>
    <row r="1590" spans="1:4" x14ac:dyDescent="0.25">
      <c r="A1590">
        <f t="shared" si="24"/>
        <v>0</v>
      </c>
      <c r="B1590" t="b">
        <f>SUMPRODUCT(LEN('hospitalityq-nil'!C1590:D1590))&gt;0</f>
        <v>0</v>
      </c>
      <c r="C1590">
        <f>B1590*('hospitalityq-nil'!C1590="")</f>
        <v>0</v>
      </c>
      <c r="D1590">
        <f>B1590*('hospitalityq-nil'!D1590="")</f>
        <v>0</v>
      </c>
    </row>
    <row r="1591" spans="1:4" x14ac:dyDescent="0.25">
      <c r="A1591">
        <f t="shared" si="24"/>
        <v>0</v>
      </c>
      <c r="B1591" t="b">
        <f>SUMPRODUCT(LEN('hospitalityq-nil'!C1591:D1591))&gt;0</f>
        <v>0</v>
      </c>
      <c r="C1591">
        <f>B1591*('hospitalityq-nil'!C1591="")</f>
        <v>0</v>
      </c>
      <c r="D1591">
        <f>B1591*('hospitalityq-nil'!D1591="")</f>
        <v>0</v>
      </c>
    </row>
    <row r="1592" spans="1:4" x14ac:dyDescent="0.25">
      <c r="A1592">
        <f t="shared" si="24"/>
        <v>0</v>
      </c>
      <c r="B1592" t="b">
        <f>SUMPRODUCT(LEN('hospitalityq-nil'!C1592:D1592))&gt;0</f>
        <v>0</v>
      </c>
      <c r="C1592">
        <f>B1592*('hospitalityq-nil'!C1592="")</f>
        <v>0</v>
      </c>
      <c r="D1592">
        <f>B1592*('hospitalityq-nil'!D1592="")</f>
        <v>0</v>
      </c>
    </row>
    <row r="1593" spans="1:4" x14ac:dyDescent="0.25">
      <c r="A1593">
        <f t="shared" si="24"/>
        <v>0</v>
      </c>
      <c r="B1593" t="b">
        <f>SUMPRODUCT(LEN('hospitalityq-nil'!C1593:D1593))&gt;0</f>
        <v>0</v>
      </c>
      <c r="C1593">
        <f>B1593*('hospitalityq-nil'!C1593="")</f>
        <v>0</v>
      </c>
      <c r="D1593">
        <f>B1593*('hospitalityq-nil'!D1593="")</f>
        <v>0</v>
      </c>
    </row>
    <row r="1594" spans="1:4" x14ac:dyDescent="0.25">
      <c r="A1594">
        <f t="shared" si="24"/>
        <v>0</v>
      </c>
      <c r="B1594" t="b">
        <f>SUMPRODUCT(LEN('hospitalityq-nil'!C1594:D1594))&gt;0</f>
        <v>0</v>
      </c>
      <c r="C1594">
        <f>B1594*('hospitalityq-nil'!C1594="")</f>
        <v>0</v>
      </c>
      <c r="D1594">
        <f>B1594*('hospitalityq-nil'!D1594="")</f>
        <v>0</v>
      </c>
    </row>
    <row r="1595" spans="1:4" x14ac:dyDescent="0.25">
      <c r="A1595">
        <f t="shared" si="24"/>
        <v>0</v>
      </c>
      <c r="B1595" t="b">
        <f>SUMPRODUCT(LEN('hospitalityq-nil'!C1595:D1595))&gt;0</f>
        <v>0</v>
      </c>
      <c r="C1595">
        <f>B1595*('hospitalityq-nil'!C1595="")</f>
        <v>0</v>
      </c>
      <c r="D1595">
        <f>B1595*('hospitalityq-nil'!D1595="")</f>
        <v>0</v>
      </c>
    </row>
    <row r="1596" spans="1:4" x14ac:dyDescent="0.25">
      <c r="A1596">
        <f t="shared" si="24"/>
        <v>0</v>
      </c>
      <c r="B1596" t="b">
        <f>SUMPRODUCT(LEN('hospitalityq-nil'!C1596:D1596))&gt;0</f>
        <v>0</v>
      </c>
      <c r="C1596">
        <f>B1596*('hospitalityq-nil'!C1596="")</f>
        <v>0</v>
      </c>
      <c r="D1596">
        <f>B1596*('hospitalityq-nil'!D1596="")</f>
        <v>0</v>
      </c>
    </row>
    <row r="1597" spans="1:4" x14ac:dyDescent="0.25">
      <c r="A1597">
        <f t="shared" si="24"/>
        <v>0</v>
      </c>
      <c r="B1597" t="b">
        <f>SUMPRODUCT(LEN('hospitalityq-nil'!C1597:D1597))&gt;0</f>
        <v>0</v>
      </c>
      <c r="C1597">
        <f>B1597*('hospitalityq-nil'!C1597="")</f>
        <v>0</v>
      </c>
      <c r="D1597">
        <f>B1597*('hospitalityq-nil'!D1597="")</f>
        <v>0</v>
      </c>
    </row>
    <row r="1598" spans="1:4" x14ac:dyDescent="0.25">
      <c r="A1598">
        <f t="shared" si="24"/>
        <v>0</v>
      </c>
      <c r="B1598" t="b">
        <f>SUMPRODUCT(LEN('hospitalityq-nil'!C1598:D1598))&gt;0</f>
        <v>0</v>
      </c>
      <c r="C1598">
        <f>B1598*('hospitalityq-nil'!C1598="")</f>
        <v>0</v>
      </c>
      <c r="D1598">
        <f>B1598*('hospitalityq-nil'!D1598="")</f>
        <v>0</v>
      </c>
    </row>
    <row r="1599" spans="1:4" x14ac:dyDescent="0.25">
      <c r="A1599">
        <f t="shared" si="24"/>
        <v>0</v>
      </c>
      <c r="B1599" t="b">
        <f>SUMPRODUCT(LEN('hospitalityq-nil'!C1599:D1599))&gt;0</f>
        <v>0</v>
      </c>
      <c r="C1599">
        <f>B1599*('hospitalityq-nil'!C1599="")</f>
        <v>0</v>
      </c>
      <c r="D1599">
        <f>B1599*('hospitalityq-nil'!D1599="")</f>
        <v>0</v>
      </c>
    </row>
    <row r="1600" spans="1:4" x14ac:dyDescent="0.25">
      <c r="A1600">
        <f t="shared" si="24"/>
        <v>0</v>
      </c>
      <c r="B1600" t="b">
        <f>SUMPRODUCT(LEN('hospitalityq-nil'!C1600:D1600))&gt;0</f>
        <v>0</v>
      </c>
      <c r="C1600">
        <f>B1600*('hospitalityq-nil'!C1600="")</f>
        <v>0</v>
      </c>
      <c r="D1600">
        <f>B1600*('hospitalityq-nil'!D1600="")</f>
        <v>0</v>
      </c>
    </row>
    <row r="1601" spans="1:4" x14ac:dyDescent="0.25">
      <c r="A1601">
        <f t="shared" si="24"/>
        <v>0</v>
      </c>
      <c r="B1601" t="b">
        <f>SUMPRODUCT(LEN('hospitalityq-nil'!C1601:D1601))&gt;0</f>
        <v>0</v>
      </c>
      <c r="C1601">
        <f>B1601*('hospitalityq-nil'!C1601="")</f>
        <v>0</v>
      </c>
      <c r="D1601">
        <f>B1601*('hospitalityq-nil'!D1601="")</f>
        <v>0</v>
      </c>
    </row>
    <row r="1602" spans="1:4" x14ac:dyDescent="0.25">
      <c r="A1602">
        <f t="shared" si="24"/>
        <v>0</v>
      </c>
      <c r="B1602" t="b">
        <f>SUMPRODUCT(LEN('hospitalityq-nil'!C1602:D1602))&gt;0</f>
        <v>0</v>
      </c>
      <c r="C1602">
        <f>B1602*('hospitalityq-nil'!C1602="")</f>
        <v>0</v>
      </c>
      <c r="D1602">
        <f>B1602*('hospitalityq-nil'!D1602="")</f>
        <v>0</v>
      </c>
    </row>
    <row r="1603" spans="1:4" x14ac:dyDescent="0.25">
      <c r="A1603">
        <f t="shared" si="24"/>
        <v>0</v>
      </c>
      <c r="B1603" t="b">
        <f>SUMPRODUCT(LEN('hospitalityq-nil'!C1603:D1603))&gt;0</f>
        <v>0</v>
      </c>
      <c r="C1603">
        <f>B1603*('hospitalityq-nil'!C1603="")</f>
        <v>0</v>
      </c>
      <c r="D1603">
        <f>B1603*('hospitalityq-nil'!D1603="")</f>
        <v>0</v>
      </c>
    </row>
    <row r="1604" spans="1:4" x14ac:dyDescent="0.25">
      <c r="A1604">
        <f t="shared" si="24"/>
        <v>0</v>
      </c>
      <c r="B1604" t="b">
        <f>SUMPRODUCT(LEN('hospitalityq-nil'!C1604:D1604))&gt;0</f>
        <v>0</v>
      </c>
      <c r="C1604">
        <f>B1604*('hospitalityq-nil'!C1604="")</f>
        <v>0</v>
      </c>
      <c r="D1604">
        <f>B1604*('hospitalityq-nil'!D1604="")</f>
        <v>0</v>
      </c>
    </row>
    <row r="1605" spans="1:4" x14ac:dyDescent="0.25">
      <c r="A1605">
        <f t="shared" si="24"/>
        <v>0</v>
      </c>
      <c r="B1605" t="b">
        <f>SUMPRODUCT(LEN('hospitalityq-nil'!C1605:D1605))&gt;0</f>
        <v>0</v>
      </c>
      <c r="C1605">
        <f>B1605*('hospitalityq-nil'!C1605="")</f>
        <v>0</v>
      </c>
      <c r="D1605">
        <f>B1605*('hospitalityq-nil'!D1605="")</f>
        <v>0</v>
      </c>
    </row>
    <row r="1606" spans="1:4" x14ac:dyDescent="0.25">
      <c r="A1606">
        <f t="shared" ref="A1606:A1669" si="25">IFERROR(MATCH(TRUE,INDEX(C1606:D1606&lt;&gt;0,),)+2,0)</f>
        <v>0</v>
      </c>
      <c r="B1606" t="b">
        <f>SUMPRODUCT(LEN('hospitalityq-nil'!C1606:D1606))&gt;0</f>
        <v>0</v>
      </c>
      <c r="C1606">
        <f>B1606*('hospitalityq-nil'!C1606="")</f>
        <v>0</v>
      </c>
      <c r="D1606">
        <f>B1606*('hospitalityq-nil'!D1606="")</f>
        <v>0</v>
      </c>
    </row>
    <row r="1607" spans="1:4" x14ac:dyDescent="0.25">
      <c r="A1607">
        <f t="shared" si="25"/>
        <v>0</v>
      </c>
      <c r="B1607" t="b">
        <f>SUMPRODUCT(LEN('hospitalityq-nil'!C1607:D1607))&gt;0</f>
        <v>0</v>
      </c>
      <c r="C1607">
        <f>B1607*('hospitalityq-nil'!C1607="")</f>
        <v>0</v>
      </c>
      <c r="D1607">
        <f>B1607*('hospitalityq-nil'!D1607="")</f>
        <v>0</v>
      </c>
    </row>
    <row r="1608" spans="1:4" x14ac:dyDescent="0.25">
      <c r="A1608">
        <f t="shared" si="25"/>
        <v>0</v>
      </c>
      <c r="B1608" t="b">
        <f>SUMPRODUCT(LEN('hospitalityq-nil'!C1608:D1608))&gt;0</f>
        <v>0</v>
      </c>
      <c r="C1608">
        <f>B1608*('hospitalityq-nil'!C1608="")</f>
        <v>0</v>
      </c>
      <c r="D1608">
        <f>B1608*('hospitalityq-nil'!D1608="")</f>
        <v>0</v>
      </c>
    </row>
    <row r="1609" spans="1:4" x14ac:dyDescent="0.25">
      <c r="A1609">
        <f t="shared" si="25"/>
        <v>0</v>
      </c>
      <c r="B1609" t="b">
        <f>SUMPRODUCT(LEN('hospitalityq-nil'!C1609:D1609))&gt;0</f>
        <v>0</v>
      </c>
      <c r="C1609">
        <f>B1609*('hospitalityq-nil'!C1609="")</f>
        <v>0</v>
      </c>
      <c r="D1609">
        <f>B1609*('hospitalityq-nil'!D1609="")</f>
        <v>0</v>
      </c>
    </row>
    <row r="1610" spans="1:4" x14ac:dyDescent="0.25">
      <c r="A1610">
        <f t="shared" si="25"/>
        <v>0</v>
      </c>
      <c r="B1610" t="b">
        <f>SUMPRODUCT(LEN('hospitalityq-nil'!C1610:D1610))&gt;0</f>
        <v>0</v>
      </c>
      <c r="C1610">
        <f>B1610*('hospitalityq-nil'!C1610="")</f>
        <v>0</v>
      </c>
      <c r="D1610">
        <f>B1610*('hospitalityq-nil'!D1610="")</f>
        <v>0</v>
      </c>
    </row>
    <row r="1611" spans="1:4" x14ac:dyDescent="0.25">
      <c r="A1611">
        <f t="shared" si="25"/>
        <v>0</v>
      </c>
      <c r="B1611" t="b">
        <f>SUMPRODUCT(LEN('hospitalityq-nil'!C1611:D1611))&gt;0</f>
        <v>0</v>
      </c>
      <c r="C1611">
        <f>B1611*('hospitalityq-nil'!C1611="")</f>
        <v>0</v>
      </c>
      <c r="D1611">
        <f>B1611*('hospitalityq-nil'!D1611="")</f>
        <v>0</v>
      </c>
    </row>
    <row r="1612" spans="1:4" x14ac:dyDescent="0.25">
      <c r="A1612">
        <f t="shared" si="25"/>
        <v>0</v>
      </c>
      <c r="B1612" t="b">
        <f>SUMPRODUCT(LEN('hospitalityq-nil'!C1612:D1612))&gt;0</f>
        <v>0</v>
      </c>
      <c r="C1612">
        <f>B1612*('hospitalityq-nil'!C1612="")</f>
        <v>0</v>
      </c>
      <c r="D1612">
        <f>B1612*('hospitalityq-nil'!D1612="")</f>
        <v>0</v>
      </c>
    </row>
    <row r="1613" spans="1:4" x14ac:dyDescent="0.25">
      <c r="A1613">
        <f t="shared" si="25"/>
        <v>0</v>
      </c>
      <c r="B1613" t="b">
        <f>SUMPRODUCT(LEN('hospitalityq-nil'!C1613:D1613))&gt;0</f>
        <v>0</v>
      </c>
      <c r="C1613">
        <f>B1613*('hospitalityq-nil'!C1613="")</f>
        <v>0</v>
      </c>
      <c r="D1613">
        <f>B1613*('hospitalityq-nil'!D1613="")</f>
        <v>0</v>
      </c>
    </row>
    <row r="1614" spans="1:4" x14ac:dyDescent="0.25">
      <c r="A1614">
        <f t="shared" si="25"/>
        <v>0</v>
      </c>
      <c r="B1614" t="b">
        <f>SUMPRODUCT(LEN('hospitalityq-nil'!C1614:D1614))&gt;0</f>
        <v>0</v>
      </c>
      <c r="C1614">
        <f>B1614*('hospitalityq-nil'!C1614="")</f>
        <v>0</v>
      </c>
      <c r="D1614">
        <f>B1614*('hospitalityq-nil'!D1614="")</f>
        <v>0</v>
      </c>
    </row>
    <row r="1615" spans="1:4" x14ac:dyDescent="0.25">
      <c r="A1615">
        <f t="shared" si="25"/>
        <v>0</v>
      </c>
      <c r="B1615" t="b">
        <f>SUMPRODUCT(LEN('hospitalityq-nil'!C1615:D1615))&gt;0</f>
        <v>0</v>
      </c>
      <c r="C1615">
        <f>B1615*('hospitalityq-nil'!C1615="")</f>
        <v>0</v>
      </c>
      <c r="D1615">
        <f>B1615*('hospitalityq-nil'!D1615="")</f>
        <v>0</v>
      </c>
    </row>
    <row r="1616" spans="1:4" x14ac:dyDescent="0.25">
      <c r="A1616">
        <f t="shared" si="25"/>
        <v>0</v>
      </c>
      <c r="B1616" t="b">
        <f>SUMPRODUCT(LEN('hospitalityq-nil'!C1616:D1616))&gt;0</f>
        <v>0</v>
      </c>
      <c r="C1616">
        <f>B1616*('hospitalityq-nil'!C1616="")</f>
        <v>0</v>
      </c>
      <c r="D1616">
        <f>B1616*('hospitalityq-nil'!D1616="")</f>
        <v>0</v>
      </c>
    </row>
    <row r="1617" spans="1:4" x14ac:dyDescent="0.25">
      <c r="A1617">
        <f t="shared" si="25"/>
        <v>0</v>
      </c>
      <c r="B1617" t="b">
        <f>SUMPRODUCT(LEN('hospitalityq-nil'!C1617:D1617))&gt;0</f>
        <v>0</v>
      </c>
      <c r="C1617">
        <f>B1617*('hospitalityq-nil'!C1617="")</f>
        <v>0</v>
      </c>
      <c r="D1617">
        <f>B1617*('hospitalityq-nil'!D1617="")</f>
        <v>0</v>
      </c>
    </row>
    <row r="1618" spans="1:4" x14ac:dyDescent="0.25">
      <c r="A1618">
        <f t="shared" si="25"/>
        <v>0</v>
      </c>
      <c r="B1618" t="b">
        <f>SUMPRODUCT(LEN('hospitalityq-nil'!C1618:D1618))&gt;0</f>
        <v>0</v>
      </c>
      <c r="C1618">
        <f>B1618*('hospitalityq-nil'!C1618="")</f>
        <v>0</v>
      </c>
      <c r="D1618">
        <f>B1618*('hospitalityq-nil'!D1618="")</f>
        <v>0</v>
      </c>
    </row>
    <row r="1619" spans="1:4" x14ac:dyDescent="0.25">
      <c r="A1619">
        <f t="shared" si="25"/>
        <v>0</v>
      </c>
      <c r="B1619" t="b">
        <f>SUMPRODUCT(LEN('hospitalityq-nil'!C1619:D1619))&gt;0</f>
        <v>0</v>
      </c>
      <c r="C1619">
        <f>B1619*('hospitalityq-nil'!C1619="")</f>
        <v>0</v>
      </c>
      <c r="D1619">
        <f>B1619*('hospitalityq-nil'!D1619="")</f>
        <v>0</v>
      </c>
    </row>
    <row r="1620" spans="1:4" x14ac:dyDescent="0.25">
      <c r="A1620">
        <f t="shared" si="25"/>
        <v>0</v>
      </c>
      <c r="B1620" t="b">
        <f>SUMPRODUCT(LEN('hospitalityq-nil'!C1620:D1620))&gt;0</f>
        <v>0</v>
      </c>
      <c r="C1620">
        <f>B1620*('hospitalityq-nil'!C1620="")</f>
        <v>0</v>
      </c>
      <c r="D1620">
        <f>B1620*('hospitalityq-nil'!D1620="")</f>
        <v>0</v>
      </c>
    </row>
    <row r="1621" spans="1:4" x14ac:dyDescent="0.25">
      <c r="A1621">
        <f t="shared" si="25"/>
        <v>0</v>
      </c>
      <c r="B1621" t="b">
        <f>SUMPRODUCT(LEN('hospitalityq-nil'!C1621:D1621))&gt;0</f>
        <v>0</v>
      </c>
      <c r="C1621">
        <f>B1621*('hospitalityq-nil'!C1621="")</f>
        <v>0</v>
      </c>
      <c r="D1621">
        <f>B1621*('hospitalityq-nil'!D1621="")</f>
        <v>0</v>
      </c>
    </row>
    <row r="1622" spans="1:4" x14ac:dyDescent="0.25">
      <c r="A1622">
        <f t="shared" si="25"/>
        <v>0</v>
      </c>
      <c r="B1622" t="b">
        <f>SUMPRODUCT(LEN('hospitalityq-nil'!C1622:D1622))&gt;0</f>
        <v>0</v>
      </c>
      <c r="C1622">
        <f>B1622*('hospitalityq-nil'!C1622="")</f>
        <v>0</v>
      </c>
      <c r="D1622">
        <f>B1622*('hospitalityq-nil'!D1622="")</f>
        <v>0</v>
      </c>
    </row>
    <row r="1623" spans="1:4" x14ac:dyDescent="0.25">
      <c r="A1623">
        <f t="shared" si="25"/>
        <v>0</v>
      </c>
      <c r="B1623" t="b">
        <f>SUMPRODUCT(LEN('hospitalityq-nil'!C1623:D1623))&gt;0</f>
        <v>0</v>
      </c>
      <c r="C1623">
        <f>B1623*('hospitalityq-nil'!C1623="")</f>
        <v>0</v>
      </c>
      <c r="D1623">
        <f>B1623*('hospitalityq-nil'!D1623="")</f>
        <v>0</v>
      </c>
    </row>
    <row r="1624" spans="1:4" x14ac:dyDescent="0.25">
      <c r="A1624">
        <f t="shared" si="25"/>
        <v>0</v>
      </c>
      <c r="B1624" t="b">
        <f>SUMPRODUCT(LEN('hospitalityq-nil'!C1624:D1624))&gt;0</f>
        <v>0</v>
      </c>
      <c r="C1624">
        <f>B1624*('hospitalityq-nil'!C1624="")</f>
        <v>0</v>
      </c>
      <c r="D1624">
        <f>B1624*('hospitalityq-nil'!D1624="")</f>
        <v>0</v>
      </c>
    </row>
    <row r="1625" spans="1:4" x14ac:dyDescent="0.25">
      <c r="A1625">
        <f t="shared" si="25"/>
        <v>0</v>
      </c>
      <c r="B1625" t="b">
        <f>SUMPRODUCT(LEN('hospitalityq-nil'!C1625:D1625))&gt;0</f>
        <v>0</v>
      </c>
      <c r="C1625">
        <f>B1625*('hospitalityq-nil'!C1625="")</f>
        <v>0</v>
      </c>
      <c r="D1625">
        <f>B1625*('hospitalityq-nil'!D1625="")</f>
        <v>0</v>
      </c>
    </row>
    <row r="1626" spans="1:4" x14ac:dyDescent="0.25">
      <c r="A1626">
        <f t="shared" si="25"/>
        <v>0</v>
      </c>
      <c r="B1626" t="b">
        <f>SUMPRODUCT(LEN('hospitalityq-nil'!C1626:D1626))&gt;0</f>
        <v>0</v>
      </c>
      <c r="C1626">
        <f>B1626*('hospitalityq-nil'!C1626="")</f>
        <v>0</v>
      </c>
      <c r="D1626">
        <f>B1626*('hospitalityq-nil'!D1626="")</f>
        <v>0</v>
      </c>
    </row>
    <row r="1627" spans="1:4" x14ac:dyDescent="0.25">
      <c r="A1627">
        <f t="shared" si="25"/>
        <v>0</v>
      </c>
      <c r="B1627" t="b">
        <f>SUMPRODUCT(LEN('hospitalityq-nil'!C1627:D1627))&gt;0</f>
        <v>0</v>
      </c>
      <c r="C1627">
        <f>B1627*('hospitalityq-nil'!C1627="")</f>
        <v>0</v>
      </c>
      <c r="D1627">
        <f>B1627*('hospitalityq-nil'!D1627="")</f>
        <v>0</v>
      </c>
    </row>
    <row r="1628" spans="1:4" x14ac:dyDescent="0.25">
      <c r="A1628">
        <f t="shared" si="25"/>
        <v>0</v>
      </c>
      <c r="B1628" t="b">
        <f>SUMPRODUCT(LEN('hospitalityq-nil'!C1628:D1628))&gt;0</f>
        <v>0</v>
      </c>
      <c r="C1628">
        <f>B1628*('hospitalityq-nil'!C1628="")</f>
        <v>0</v>
      </c>
      <c r="D1628">
        <f>B1628*('hospitalityq-nil'!D1628="")</f>
        <v>0</v>
      </c>
    </row>
    <row r="1629" spans="1:4" x14ac:dyDescent="0.25">
      <c r="A1629">
        <f t="shared" si="25"/>
        <v>0</v>
      </c>
      <c r="B1629" t="b">
        <f>SUMPRODUCT(LEN('hospitalityq-nil'!C1629:D1629))&gt;0</f>
        <v>0</v>
      </c>
      <c r="C1629">
        <f>B1629*('hospitalityq-nil'!C1629="")</f>
        <v>0</v>
      </c>
      <c r="D1629">
        <f>B1629*('hospitalityq-nil'!D1629="")</f>
        <v>0</v>
      </c>
    </row>
    <row r="1630" spans="1:4" x14ac:dyDescent="0.25">
      <c r="A1630">
        <f t="shared" si="25"/>
        <v>0</v>
      </c>
      <c r="B1630" t="b">
        <f>SUMPRODUCT(LEN('hospitalityq-nil'!C1630:D1630))&gt;0</f>
        <v>0</v>
      </c>
      <c r="C1630">
        <f>B1630*('hospitalityq-nil'!C1630="")</f>
        <v>0</v>
      </c>
      <c r="D1630">
        <f>B1630*('hospitalityq-nil'!D1630="")</f>
        <v>0</v>
      </c>
    </row>
    <row r="1631" spans="1:4" x14ac:dyDescent="0.25">
      <c r="A1631">
        <f t="shared" si="25"/>
        <v>0</v>
      </c>
      <c r="B1631" t="b">
        <f>SUMPRODUCT(LEN('hospitalityq-nil'!C1631:D1631))&gt;0</f>
        <v>0</v>
      </c>
      <c r="C1631">
        <f>B1631*('hospitalityq-nil'!C1631="")</f>
        <v>0</v>
      </c>
      <c r="D1631">
        <f>B1631*('hospitalityq-nil'!D1631="")</f>
        <v>0</v>
      </c>
    </row>
    <row r="1632" spans="1:4" x14ac:dyDescent="0.25">
      <c r="A1632">
        <f t="shared" si="25"/>
        <v>0</v>
      </c>
      <c r="B1632" t="b">
        <f>SUMPRODUCT(LEN('hospitalityq-nil'!C1632:D1632))&gt;0</f>
        <v>0</v>
      </c>
      <c r="C1632">
        <f>B1632*('hospitalityq-nil'!C1632="")</f>
        <v>0</v>
      </c>
      <c r="D1632">
        <f>B1632*('hospitalityq-nil'!D1632="")</f>
        <v>0</v>
      </c>
    </row>
    <row r="1633" spans="1:4" x14ac:dyDescent="0.25">
      <c r="A1633">
        <f t="shared" si="25"/>
        <v>0</v>
      </c>
      <c r="B1633" t="b">
        <f>SUMPRODUCT(LEN('hospitalityq-nil'!C1633:D1633))&gt;0</f>
        <v>0</v>
      </c>
      <c r="C1633">
        <f>B1633*('hospitalityq-nil'!C1633="")</f>
        <v>0</v>
      </c>
      <c r="D1633">
        <f>B1633*('hospitalityq-nil'!D1633="")</f>
        <v>0</v>
      </c>
    </row>
    <row r="1634" spans="1:4" x14ac:dyDescent="0.25">
      <c r="A1634">
        <f t="shared" si="25"/>
        <v>0</v>
      </c>
      <c r="B1634" t="b">
        <f>SUMPRODUCT(LEN('hospitalityq-nil'!C1634:D1634))&gt;0</f>
        <v>0</v>
      </c>
      <c r="C1634">
        <f>B1634*('hospitalityq-nil'!C1634="")</f>
        <v>0</v>
      </c>
      <c r="D1634">
        <f>B1634*('hospitalityq-nil'!D1634="")</f>
        <v>0</v>
      </c>
    </row>
    <row r="1635" spans="1:4" x14ac:dyDescent="0.25">
      <c r="A1635">
        <f t="shared" si="25"/>
        <v>0</v>
      </c>
      <c r="B1635" t="b">
        <f>SUMPRODUCT(LEN('hospitalityq-nil'!C1635:D1635))&gt;0</f>
        <v>0</v>
      </c>
      <c r="C1635">
        <f>B1635*('hospitalityq-nil'!C1635="")</f>
        <v>0</v>
      </c>
      <c r="D1635">
        <f>B1635*('hospitalityq-nil'!D1635="")</f>
        <v>0</v>
      </c>
    </row>
    <row r="1636" spans="1:4" x14ac:dyDescent="0.25">
      <c r="A1636">
        <f t="shared" si="25"/>
        <v>0</v>
      </c>
      <c r="B1636" t="b">
        <f>SUMPRODUCT(LEN('hospitalityq-nil'!C1636:D1636))&gt;0</f>
        <v>0</v>
      </c>
      <c r="C1636">
        <f>B1636*('hospitalityq-nil'!C1636="")</f>
        <v>0</v>
      </c>
      <c r="D1636">
        <f>B1636*('hospitalityq-nil'!D1636="")</f>
        <v>0</v>
      </c>
    </row>
    <row r="1637" spans="1:4" x14ac:dyDescent="0.25">
      <c r="A1637">
        <f t="shared" si="25"/>
        <v>0</v>
      </c>
      <c r="B1637" t="b">
        <f>SUMPRODUCT(LEN('hospitalityq-nil'!C1637:D1637))&gt;0</f>
        <v>0</v>
      </c>
      <c r="C1637">
        <f>B1637*('hospitalityq-nil'!C1637="")</f>
        <v>0</v>
      </c>
      <c r="D1637">
        <f>B1637*('hospitalityq-nil'!D1637="")</f>
        <v>0</v>
      </c>
    </row>
    <row r="1638" spans="1:4" x14ac:dyDescent="0.25">
      <c r="A1638">
        <f t="shared" si="25"/>
        <v>0</v>
      </c>
      <c r="B1638" t="b">
        <f>SUMPRODUCT(LEN('hospitalityq-nil'!C1638:D1638))&gt;0</f>
        <v>0</v>
      </c>
      <c r="C1638">
        <f>B1638*('hospitalityq-nil'!C1638="")</f>
        <v>0</v>
      </c>
      <c r="D1638">
        <f>B1638*('hospitalityq-nil'!D1638="")</f>
        <v>0</v>
      </c>
    </row>
    <row r="1639" spans="1:4" x14ac:dyDescent="0.25">
      <c r="A1639">
        <f t="shared" si="25"/>
        <v>0</v>
      </c>
      <c r="B1639" t="b">
        <f>SUMPRODUCT(LEN('hospitalityq-nil'!C1639:D1639))&gt;0</f>
        <v>0</v>
      </c>
      <c r="C1639">
        <f>B1639*('hospitalityq-nil'!C1639="")</f>
        <v>0</v>
      </c>
      <c r="D1639">
        <f>B1639*('hospitalityq-nil'!D1639="")</f>
        <v>0</v>
      </c>
    </row>
    <row r="1640" spans="1:4" x14ac:dyDescent="0.25">
      <c r="A1640">
        <f t="shared" si="25"/>
        <v>0</v>
      </c>
      <c r="B1640" t="b">
        <f>SUMPRODUCT(LEN('hospitalityq-nil'!C1640:D1640))&gt;0</f>
        <v>0</v>
      </c>
      <c r="C1640">
        <f>B1640*('hospitalityq-nil'!C1640="")</f>
        <v>0</v>
      </c>
      <c r="D1640">
        <f>B1640*('hospitalityq-nil'!D1640="")</f>
        <v>0</v>
      </c>
    </row>
    <row r="1641" spans="1:4" x14ac:dyDescent="0.25">
      <c r="A1641">
        <f t="shared" si="25"/>
        <v>0</v>
      </c>
      <c r="B1641" t="b">
        <f>SUMPRODUCT(LEN('hospitalityq-nil'!C1641:D1641))&gt;0</f>
        <v>0</v>
      </c>
      <c r="C1641">
        <f>B1641*('hospitalityq-nil'!C1641="")</f>
        <v>0</v>
      </c>
      <c r="D1641">
        <f>B1641*('hospitalityq-nil'!D1641="")</f>
        <v>0</v>
      </c>
    </row>
    <row r="1642" spans="1:4" x14ac:dyDescent="0.25">
      <c r="A1642">
        <f t="shared" si="25"/>
        <v>0</v>
      </c>
      <c r="B1642" t="b">
        <f>SUMPRODUCT(LEN('hospitalityq-nil'!C1642:D1642))&gt;0</f>
        <v>0</v>
      </c>
      <c r="C1642">
        <f>B1642*('hospitalityq-nil'!C1642="")</f>
        <v>0</v>
      </c>
      <c r="D1642">
        <f>B1642*('hospitalityq-nil'!D1642="")</f>
        <v>0</v>
      </c>
    </row>
    <row r="1643" spans="1:4" x14ac:dyDescent="0.25">
      <c r="A1643">
        <f t="shared" si="25"/>
        <v>0</v>
      </c>
      <c r="B1643" t="b">
        <f>SUMPRODUCT(LEN('hospitalityq-nil'!C1643:D1643))&gt;0</f>
        <v>0</v>
      </c>
      <c r="C1643">
        <f>B1643*('hospitalityq-nil'!C1643="")</f>
        <v>0</v>
      </c>
      <c r="D1643">
        <f>B1643*('hospitalityq-nil'!D1643="")</f>
        <v>0</v>
      </c>
    </row>
    <row r="1644" spans="1:4" x14ac:dyDescent="0.25">
      <c r="A1644">
        <f t="shared" si="25"/>
        <v>0</v>
      </c>
      <c r="B1644" t="b">
        <f>SUMPRODUCT(LEN('hospitalityq-nil'!C1644:D1644))&gt;0</f>
        <v>0</v>
      </c>
      <c r="C1644">
        <f>B1644*('hospitalityq-nil'!C1644="")</f>
        <v>0</v>
      </c>
      <c r="D1644">
        <f>B1644*('hospitalityq-nil'!D1644="")</f>
        <v>0</v>
      </c>
    </row>
    <row r="1645" spans="1:4" x14ac:dyDescent="0.25">
      <c r="A1645">
        <f t="shared" si="25"/>
        <v>0</v>
      </c>
      <c r="B1645" t="b">
        <f>SUMPRODUCT(LEN('hospitalityq-nil'!C1645:D1645))&gt;0</f>
        <v>0</v>
      </c>
      <c r="C1645">
        <f>B1645*('hospitalityq-nil'!C1645="")</f>
        <v>0</v>
      </c>
      <c r="D1645">
        <f>B1645*('hospitalityq-nil'!D1645="")</f>
        <v>0</v>
      </c>
    </row>
    <row r="1646" spans="1:4" x14ac:dyDescent="0.25">
      <c r="A1646">
        <f t="shared" si="25"/>
        <v>0</v>
      </c>
      <c r="B1646" t="b">
        <f>SUMPRODUCT(LEN('hospitalityq-nil'!C1646:D1646))&gt;0</f>
        <v>0</v>
      </c>
      <c r="C1646">
        <f>B1646*('hospitalityq-nil'!C1646="")</f>
        <v>0</v>
      </c>
      <c r="D1646">
        <f>B1646*('hospitalityq-nil'!D1646="")</f>
        <v>0</v>
      </c>
    </row>
    <row r="1647" spans="1:4" x14ac:dyDescent="0.25">
      <c r="A1647">
        <f t="shared" si="25"/>
        <v>0</v>
      </c>
      <c r="B1647" t="b">
        <f>SUMPRODUCT(LEN('hospitalityq-nil'!C1647:D1647))&gt;0</f>
        <v>0</v>
      </c>
      <c r="C1647">
        <f>B1647*('hospitalityq-nil'!C1647="")</f>
        <v>0</v>
      </c>
      <c r="D1647">
        <f>B1647*('hospitalityq-nil'!D1647="")</f>
        <v>0</v>
      </c>
    </row>
    <row r="1648" spans="1:4" x14ac:dyDescent="0.25">
      <c r="A1648">
        <f t="shared" si="25"/>
        <v>0</v>
      </c>
      <c r="B1648" t="b">
        <f>SUMPRODUCT(LEN('hospitalityq-nil'!C1648:D1648))&gt;0</f>
        <v>0</v>
      </c>
      <c r="C1648">
        <f>B1648*('hospitalityq-nil'!C1648="")</f>
        <v>0</v>
      </c>
      <c r="D1648">
        <f>B1648*('hospitalityq-nil'!D1648="")</f>
        <v>0</v>
      </c>
    </row>
    <row r="1649" spans="1:4" x14ac:dyDescent="0.25">
      <c r="A1649">
        <f t="shared" si="25"/>
        <v>0</v>
      </c>
      <c r="B1649" t="b">
        <f>SUMPRODUCT(LEN('hospitalityq-nil'!C1649:D1649))&gt;0</f>
        <v>0</v>
      </c>
      <c r="C1649">
        <f>B1649*('hospitalityq-nil'!C1649="")</f>
        <v>0</v>
      </c>
      <c r="D1649">
        <f>B1649*('hospitalityq-nil'!D1649="")</f>
        <v>0</v>
      </c>
    </row>
    <row r="1650" spans="1:4" x14ac:dyDescent="0.25">
      <c r="A1650">
        <f t="shared" si="25"/>
        <v>0</v>
      </c>
      <c r="B1650" t="b">
        <f>SUMPRODUCT(LEN('hospitalityq-nil'!C1650:D1650))&gt;0</f>
        <v>0</v>
      </c>
      <c r="C1650">
        <f>B1650*('hospitalityq-nil'!C1650="")</f>
        <v>0</v>
      </c>
      <c r="D1650">
        <f>B1650*('hospitalityq-nil'!D1650="")</f>
        <v>0</v>
      </c>
    </row>
    <row r="1651" spans="1:4" x14ac:dyDescent="0.25">
      <c r="A1651">
        <f t="shared" si="25"/>
        <v>0</v>
      </c>
      <c r="B1651" t="b">
        <f>SUMPRODUCT(LEN('hospitalityq-nil'!C1651:D1651))&gt;0</f>
        <v>0</v>
      </c>
      <c r="C1651">
        <f>B1651*('hospitalityq-nil'!C1651="")</f>
        <v>0</v>
      </c>
      <c r="D1651">
        <f>B1651*('hospitalityq-nil'!D1651="")</f>
        <v>0</v>
      </c>
    </row>
    <row r="1652" spans="1:4" x14ac:dyDescent="0.25">
      <c r="A1652">
        <f t="shared" si="25"/>
        <v>0</v>
      </c>
      <c r="B1652" t="b">
        <f>SUMPRODUCT(LEN('hospitalityq-nil'!C1652:D1652))&gt;0</f>
        <v>0</v>
      </c>
      <c r="C1652">
        <f>B1652*('hospitalityq-nil'!C1652="")</f>
        <v>0</v>
      </c>
      <c r="D1652">
        <f>B1652*('hospitalityq-nil'!D1652="")</f>
        <v>0</v>
      </c>
    </row>
    <row r="1653" spans="1:4" x14ac:dyDescent="0.25">
      <c r="A1653">
        <f t="shared" si="25"/>
        <v>0</v>
      </c>
      <c r="B1653" t="b">
        <f>SUMPRODUCT(LEN('hospitalityq-nil'!C1653:D1653))&gt;0</f>
        <v>0</v>
      </c>
      <c r="C1653">
        <f>B1653*('hospitalityq-nil'!C1653="")</f>
        <v>0</v>
      </c>
      <c r="D1653">
        <f>B1653*('hospitalityq-nil'!D1653="")</f>
        <v>0</v>
      </c>
    </row>
    <row r="1654" spans="1:4" x14ac:dyDescent="0.25">
      <c r="A1654">
        <f t="shared" si="25"/>
        <v>0</v>
      </c>
      <c r="B1654" t="b">
        <f>SUMPRODUCT(LEN('hospitalityq-nil'!C1654:D1654))&gt;0</f>
        <v>0</v>
      </c>
      <c r="C1654">
        <f>B1654*('hospitalityq-nil'!C1654="")</f>
        <v>0</v>
      </c>
      <c r="D1654">
        <f>B1654*('hospitalityq-nil'!D1654="")</f>
        <v>0</v>
      </c>
    </row>
    <row r="1655" spans="1:4" x14ac:dyDescent="0.25">
      <c r="A1655">
        <f t="shared" si="25"/>
        <v>0</v>
      </c>
      <c r="B1655" t="b">
        <f>SUMPRODUCT(LEN('hospitalityq-nil'!C1655:D1655))&gt;0</f>
        <v>0</v>
      </c>
      <c r="C1655">
        <f>B1655*('hospitalityq-nil'!C1655="")</f>
        <v>0</v>
      </c>
      <c r="D1655">
        <f>B1655*('hospitalityq-nil'!D1655="")</f>
        <v>0</v>
      </c>
    </row>
    <row r="1656" spans="1:4" x14ac:dyDescent="0.25">
      <c r="A1656">
        <f t="shared" si="25"/>
        <v>0</v>
      </c>
      <c r="B1656" t="b">
        <f>SUMPRODUCT(LEN('hospitalityq-nil'!C1656:D1656))&gt;0</f>
        <v>0</v>
      </c>
      <c r="C1656">
        <f>B1656*('hospitalityq-nil'!C1656="")</f>
        <v>0</v>
      </c>
      <c r="D1656">
        <f>B1656*('hospitalityq-nil'!D1656="")</f>
        <v>0</v>
      </c>
    </row>
    <row r="1657" spans="1:4" x14ac:dyDescent="0.25">
      <c r="A1657">
        <f t="shared" si="25"/>
        <v>0</v>
      </c>
      <c r="B1657" t="b">
        <f>SUMPRODUCT(LEN('hospitalityq-nil'!C1657:D1657))&gt;0</f>
        <v>0</v>
      </c>
      <c r="C1657">
        <f>B1657*('hospitalityq-nil'!C1657="")</f>
        <v>0</v>
      </c>
      <c r="D1657">
        <f>B1657*('hospitalityq-nil'!D1657="")</f>
        <v>0</v>
      </c>
    </row>
    <row r="1658" spans="1:4" x14ac:dyDescent="0.25">
      <c r="A1658">
        <f t="shared" si="25"/>
        <v>0</v>
      </c>
      <c r="B1658" t="b">
        <f>SUMPRODUCT(LEN('hospitalityq-nil'!C1658:D1658))&gt;0</f>
        <v>0</v>
      </c>
      <c r="C1658">
        <f>B1658*('hospitalityq-nil'!C1658="")</f>
        <v>0</v>
      </c>
      <c r="D1658">
        <f>B1658*('hospitalityq-nil'!D1658="")</f>
        <v>0</v>
      </c>
    </row>
    <row r="1659" spans="1:4" x14ac:dyDescent="0.25">
      <c r="A1659">
        <f t="shared" si="25"/>
        <v>0</v>
      </c>
      <c r="B1659" t="b">
        <f>SUMPRODUCT(LEN('hospitalityq-nil'!C1659:D1659))&gt;0</f>
        <v>0</v>
      </c>
      <c r="C1659">
        <f>B1659*('hospitalityq-nil'!C1659="")</f>
        <v>0</v>
      </c>
      <c r="D1659">
        <f>B1659*('hospitalityq-nil'!D1659="")</f>
        <v>0</v>
      </c>
    </row>
    <row r="1660" spans="1:4" x14ac:dyDescent="0.25">
      <c r="A1660">
        <f t="shared" si="25"/>
        <v>0</v>
      </c>
      <c r="B1660" t="b">
        <f>SUMPRODUCT(LEN('hospitalityq-nil'!C1660:D1660))&gt;0</f>
        <v>0</v>
      </c>
      <c r="C1660">
        <f>B1660*('hospitalityq-nil'!C1660="")</f>
        <v>0</v>
      </c>
      <c r="D1660">
        <f>B1660*('hospitalityq-nil'!D1660="")</f>
        <v>0</v>
      </c>
    </row>
    <row r="1661" spans="1:4" x14ac:dyDescent="0.25">
      <c r="A1661">
        <f t="shared" si="25"/>
        <v>0</v>
      </c>
      <c r="B1661" t="b">
        <f>SUMPRODUCT(LEN('hospitalityq-nil'!C1661:D1661))&gt;0</f>
        <v>0</v>
      </c>
      <c r="C1661">
        <f>B1661*('hospitalityq-nil'!C1661="")</f>
        <v>0</v>
      </c>
      <c r="D1661">
        <f>B1661*('hospitalityq-nil'!D1661="")</f>
        <v>0</v>
      </c>
    </row>
    <row r="1662" spans="1:4" x14ac:dyDescent="0.25">
      <c r="A1662">
        <f t="shared" si="25"/>
        <v>0</v>
      </c>
      <c r="B1662" t="b">
        <f>SUMPRODUCT(LEN('hospitalityq-nil'!C1662:D1662))&gt;0</f>
        <v>0</v>
      </c>
      <c r="C1662">
        <f>B1662*('hospitalityq-nil'!C1662="")</f>
        <v>0</v>
      </c>
      <c r="D1662">
        <f>B1662*('hospitalityq-nil'!D1662="")</f>
        <v>0</v>
      </c>
    </row>
    <row r="1663" spans="1:4" x14ac:dyDescent="0.25">
      <c r="A1663">
        <f t="shared" si="25"/>
        <v>0</v>
      </c>
      <c r="B1663" t="b">
        <f>SUMPRODUCT(LEN('hospitalityq-nil'!C1663:D1663))&gt;0</f>
        <v>0</v>
      </c>
      <c r="C1663">
        <f>B1663*('hospitalityq-nil'!C1663="")</f>
        <v>0</v>
      </c>
      <c r="D1663">
        <f>B1663*('hospitalityq-nil'!D1663="")</f>
        <v>0</v>
      </c>
    </row>
    <row r="1664" spans="1:4" x14ac:dyDescent="0.25">
      <c r="A1664">
        <f t="shared" si="25"/>
        <v>0</v>
      </c>
      <c r="B1664" t="b">
        <f>SUMPRODUCT(LEN('hospitalityq-nil'!C1664:D1664))&gt;0</f>
        <v>0</v>
      </c>
      <c r="C1664">
        <f>B1664*('hospitalityq-nil'!C1664="")</f>
        <v>0</v>
      </c>
      <c r="D1664">
        <f>B1664*('hospitalityq-nil'!D1664="")</f>
        <v>0</v>
      </c>
    </row>
    <row r="1665" spans="1:4" x14ac:dyDescent="0.25">
      <c r="A1665">
        <f t="shared" si="25"/>
        <v>0</v>
      </c>
      <c r="B1665" t="b">
        <f>SUMPRODUCT(LEN('hospitalityq-nil'!C1665:D1665))&gt;0</f>
        <v>0</v>
      </c>
      <c r="C1665">
        <f>B1665*('hospitalityq-nil'!C1665="")</f>
        <v>0</v>
      </c>
      <c r="D1665">
        <f>B1665*('hospitalityq-nil'!D1665="")</f>
        <v>0</v>
      </c>
    </row>
    <row r="1666" spans="1:4" x14ac:dyDescent="0.25">
      <c r="A1666">
        <f t="shared" si="25"/>
        <v>0</v>
      </c>
      <c r="B1666" t="b">
        <f>SUMPRODUCT(LEN('hospitalityq-nil'!C1666:D1666))&gt;0</f>
        <v>0</v>
      </c>
      <c r="C1666">
        <f>B1666*('hospitalityq-nil'!C1666="")</f>
        <v>0</v>
      </c>
      <c r="D1666">
        <f>B1666*('hospitalityq-nil'!D1666="")</f>
        <v>0</v>
      </c>
    </row>
    <row r="1667" spans="1:4" x14ac:dyDescent="0.25">
      <c r="A1667">
        <f t="shared" si="25"/>
        <v>0</v>
      </c>
      <c r="B1667" t="b">
        <f>SUMPRODUCT(LEN('hospitalityq-nil'!C1667:D1667))&gt;0</f>
        <v>0</v>
      </c>
      <c r="C1667">
        <f>B1667*('hospitalityq-nil'!C1667="")</f>
        <v>0</v>
      </c>
      <c r="D1667">
        <f>B1667*('hospitalityq-nil'!D1667="")</f>
        <v>0</v>
      </c>
    </row>
    <row r="1668" spans="1:4" x14ac:dyDescent="0.25">
      <c r="A1668">
        <f t="shared" si="25"/>
        <v>0</v>
      </c>
      <c r="B1668" t="b">
        <f>SUMPRODUCT(LEN('hospitalityq-nil'!C1668:D1668))&gt;0</f>
        <v>0</v>
      </c>
      <c r="C1668">
        <f>B1668*('hospitalityq-nil'!C1668="")</f>
        <v>0</v>
      </c>
      <c r="D1668">
        <f>B1668*('hospitalityq-nil'!D1668="")</f>
        <v>0</v>
      </c>
    </row>
    <row r="1669" spans="1:4" x14ac:dyDescent="0.25">
      <c r="A1669">
        <f t="shared" si="25"/>
        <v>0</v>
      </c>
      <c r="B1669" t="b">
        <f>SUMPRODUCT(LEN('hospitalityq-nil'!C1669:D1669))&gt;0</f>
        <v>0</v>
      </c>
      <c r="C1669">
        <f>B1669*('hospitalityq-nil'!C1669="")</f>
        <v>0</v>
      </c>
      <c r="D1669">
        <f>B1669*('hospitalityq-nil'!D1669="")</f>
        <v>0</v>
      </c>
    </row>
    <row r="1670" spans="1:4" x14ac:dyDescent="0.25">
      <c r="A1670">
        <f t="shared" ref="A1670:A1733" si="26">IFERROR(MATCH(TRUE,INDEX(C1670:D1670&lt;&gt;0,),)+2,0)</f>
        <v>0</v>
      </c>
      <c r="B1670" t="b">
        <f>SUMPRODUCT(LEN('hospitalityq-nil'!C1670:D1670))&gt;0</f>
        <v>0</v>
      </c>
      <c r="C1670">
        <f>B1670*('hospitalityq-nil'!C1670="")</f>
        <v>0</v>
      </c>
      <c r="D1670">
        <f>B1670*('hospitalityq-nil'!D1670="")</f>
        <v>0</v>
      </c>
    </row>
    <row r="1671" spans="1:4" x14ac:dyDescent="0.25">
      <c r="A1671">
        <f t="shared" si="26"/>
        <v>0</v>
      </c>
      <c r="B1671" t="b">
        <f>SUMPRODUCT(LEN('hospitalityq-nil'!C1671:D1671))&gt;0</f>
        <v>0</v>
      </c>
      <c r="C1671">
        <f>B1671*('hospitalityq-nil'!C1671="")</f>
        <v>0</v>
      </c>
      <c r="D1671">
        <f>B1671*('hospitalityq-nil'!D1671="")</f>
        <v>0</v>
      </c>
    </row>
    <row r="1672" spans="1:4" x14ac:dyDescent="0.25">
      <c r="A1672">
        <f t="shared" si="26"/>
        <v>0</v>
      </c>
      <c r="B1672" t="b">
        <f>SUMPRODUCT(LEN('hospitalityq-nil'!C1672:D1672))&gt;0</f>
        <v>0</v>
      </c>
      <c r="C1672">
        <f>B1672*('hospitalityq-nil'!C1672="")</f>
        <v>0</v>
      </c>
      <c r="D1672">
        <f>B1672*('hospitalityq-nil'!D1672="")</f>
        <v>0</v>
      </c>
    </row>
    <row r="1673" spans="1:4" x14ac:dyDescent="0.25">
      <c r="A1673">
        <f t="shared" si="26"/>
        <v>0</v>
      </c>
      <c r="B1673" t="b">
        <f>SUMPRODUCT(LEN('hospitalityq-nil'!C1673:D1673))&gt;0</f>
        <v>0</v>
      </c>
      <c r="C1673">
        <f>B1673*('hospitalityq-nil'!C1673="")</f>
        <v>0</v>
      </c>
      <c r="D1673">
        <f>B1673*('hospitalityq-nil'!D1673="")</f>
        <v>0</v>
      </c>
    </row>
    <row r="1674" spans="1:4" x14ac:dyDescent="0.25">
      <c r="A1674">
        <f t="shared" si="26"/>
        <v>0</v>
      </c>
      <c r="B1674" t="b">
        <f>SUMPRODUCT(LEN('hospitalityq-nil'!C1674:D1674))&gt;0</f>
        <v>0</v>
      </c>
      <c r="C1674">
        <f>B1674*('hospitalityq-nil'!C1674="")</f>
        <v>0</v>
      </c>
      <c r="D1674">
        <f>B1674*('hospitalityq-nil'!D1674="")</f>
        <v>0</v>
      </c>
    </row>
    <row r="1675" spans="1:4" x14ac:dyDescent="0.25">
      <c r="A1675">
        <f t="shared" si="26"/>
        <v>0</v>
      </c>
      <c r="B1675" t="b">
        <f>SUMPRODUCT(LEN('hospitalityq-nil'!C1675:D1675))&gt;0</f>
        <v>0</v>
      </c>
      <c r="C1675">
        <f>B1675*('hospitalityq-nil'!C1675="")</f>
        <v>0</v>
      </c>
      <c r="D1675">
        <f>B1675*('hospitalityq-nil'!D1675="")</f>
        <v>0</v>
      </c>
    </row>
    <row r="1676" spans="1:4" x14ac:dyDescent="0.25">
      <c r="A1676">
        <f t="shared" si="26"/>
        <v>0</v>
      </c>
      <c r="B1676" t="b">
        <f>SUMPRODUCT(LEN('hospitalityq-nil'!C1676:D1676))&gt;0</f>
        <v>0</v>
      </c>
      <c r="C1676">
        <f>B1676*('hospitalityq-nil'!C1676="")</f>
        <v>0</v>
      </c>
      <c r="D1676">
        <f>B1676*('hospitalityq-nil'!D1676="")</f>
        <v>0</v>
      </c>
    </row>
    <row r="1677" spans="1:4" x14ac:dyDescent="0.25">
      <c r="A1677">
        <f t="shared" si="26"/>
        <v>0</v>
      </c>
      <c r="B1677" t="b">
        <f>SUMPRODUCT(LEN('hospitalityq-nil'!C1677:D1677))&gt;0</f>
        <v>0</v>
      </c>
      <c r="C1677">
        <f>B1677*('hospitalityq-nil'!C1677="")</f>
        <v>0</v>
      </c>
      <c r="D1677">
        <f>B1677*('hospitalityq-nil'!D1677="")</f>
        <v>0</v>
      </c>
    </row>
    <row r="1678" spans="1:4" x14ac:dyDescent="0.25">
      <c r="A1678">
        <f t="shared" si="26"/>
        <v>0</v>
      </c>
      <c r="B1678" t="b">
        <f>SUMPRODUCT(LEN('hospitalityq-nil'!C1678:D1678))&gt;0</f>
        <v>0</v>
      </c>
      <c r="C1678">
        <f>B1678*('hospitalityq-nil'!C1678="")</f>
        <v>0</v>
      </c>
      <c r="D1678">
        <f>B1678*('hospitalityq-nil'!D1678="")</f>
        <v>0</v>
      </c>
    </row>
    <row r="1679" spans="1:4" x14ac:dyDescent="0.25">
      <c r="A1679">
        <f t="shared" si="26"/>
        <v>0</v>
      </c>
      <c r="B1679" t="b">
        <f>SUMPRODUCT(LEN('hospitalityq-nil'!C1679:D1679))&gt;0</f>
        <v>0</v>
      </c>
      <c r="C1679">
        <f>B1679*('hospitalityq-nil'!C1679="")</f>
        <v>0</v>
      </c>
      <c r="D1679">
        <f>B1679*('hospitalityq-nil'!D1679="")</f>
        <v>0</v>
      </c>
    </row>
    <row r="1680" spans="1:4" x14ac:dyDescent="0.25">
      <c r="A1680">
        <f t="shared" si="26"/>
        <v>0</v>
      </c>
      <c r="B1680" t="b">
        <f>SUMPRODUCT(LEN('hospitalityq-nil'!C1680:D1680))&gt;0</f>
        <v>0</v>
      </c>
      <c r="C1680">
        <f>B1680*('hospitalityq-nil'!C1680="")</f>
        <v>0</v>
      </c>
      <c r="D1680">
        <f>B1680*('hospitalityq-nil'!D1680="")</f>
        <v>0</v>
      </c>
    </row>
    <row r="1681" spans="1:4" x14ac:dyDescent="0.25">
      <c r="A1681">
        <f t="shared" si="26"/>
        <v>0</v>
      </c>
      <c r="B1681" t="b">
        <f>SUMPRODUCT(LEN('hospitalityq-nil'!C1681:D1681))&gt;0</f>
        <v>0</v>
      </c>
      <c r="C1681">
        <f>B1681*('hospitalityq-nil'!C1681="")</f>
        <v>0</v>
      </c>
      <c r="D1681">
        <f>B1681*('hospitalityq-nil'!D1681="")</f>
        <v>0</v>
      </c>
    </row>
    <row r="1682" spans="1:4" x14ac:dyDescent="0.25">
      <c r="A1682">
        <f t="shared" si="26"/>
        <v>0</v>
      </c>
      <c r="B1682" t="b">
        <f>SUMPRODUCT(LEN('hospitalityq-nil'!C1682:D1682))&gt;0</f>
        <v>0</v>
      </c>
      <c r="C1682">
        <f>B1682*('hospitalityq-nil'!C1682="")</f>
        <v>0</v>
      </c>
      <c r="D1682">
        <f>B1682*('hospitalityq-nil'!D1682="")</f>
        <v>0</v>
      </c>
    </row>
    <row r="1683" spans="1:4" x14ac:dyDescent="0.25">
      <c r="A1683">
        <f t="shared" si="26"/>
        <v>0</v>
      </c>
      <c r="B1683" t="b">
        <f>SUMPRODUCT(LEN('hospitalityq-nil'!C1683:D1683))&gt;0</f>
        <v>0</v>
      </c>
      <c r="C1683">
        <f>B1683*('hospitalityq-nil'!C1683="")</f>
        <v>0</v>
      </c>
      <c r="D1683">
        <f>B1683*('hospitalityq-nil'!D1683="")</f>
        <v>0</v>
      </c>
    </row>
    <row r="1684" spans="1:4" x14ac:dyDescent="0.25">
      <c r="A1684">
        <f t="shared" si="26"/>
        <v>0</v>
      </c>
      <c r="B1684" t="b">
        <f>SUMPRODUCT(LEN('hospitalityq-nil'!C1684:D1684))&gt;0</f>
        <v>0</v>
      </c>
      <c r="C1684">
        <f>B1684*('hospitalityq-nil'!C1684="")</f>
        <v>0</v>
      </c>
      <c r="D1684">
        <f>B1684*('hospitalityq-nil'!D1684="")</f>
        <v>0</v>
      </c>
    </row>
    <row r="1685" spans="1:4" x14ac:dyDescent="0.25">
      <c r="A1685">
        <f t="shared" si="26"/>
        <v>0</v>
      </c>
      <c r="B1685" t="b">
        <f>SUMPRODUCT(LEN('hospitalityq-nil'!C1685:D1685))&gt;0</f>
        <v>0</v>
      </c>
      <c r="C1685">
        <f>B1685*('hospitalityq-nil'!C1685="")</f>
        <v>0</v>
      </c>
      <c r="D1685">
        <f>B1685*('hospitalityq-nil'!D1685="")</f>
        <v>0</v>
      </c>
    </row>
    <row r="1686" spans="1:4" x14ac:dyDescent="0.25">
      <c r="A1686">
        <f t="shared" si="26"/>
        <v>0</v>
      </c>
      <c r="B1686" t="b">
        <f>SUMPRODUCT(LEN('hospitalityq-nil'!C1686:D1686))&gt;0</f>
        <v>0</v>
      </c>
      <c r="C1686">
        <f>B1686*('hospitalityq-nil'!C1686="")</f>
        <v>0</v>
      </c>
      <c r="D1686">
        <f>B1686*('hospitalityq-nil'!D1686="")</f>
        <v>0</v>
      </c>
    </row>
    <row r="1687" spans="1:4" x14ac:dyDescent="0.25">
      <c r="A1687">
        <f t="shared" si="26"/>
        <v>0</v>
      </c>
      <c r="B1687" t="b">
        <f>SUMPRODUCT(LEN('hospitalityq-nil'!C1687:D1687))&gt;0</f>
        <v>0</v>
      </c>
      <c r="C1687">
        <f>B1687*('hospitalityq-nil'!C1687="")</f>
        <v>0</v>
      </c>
      <c r="D1687">
        <f>B1687*('hospitalityq-nil'!D1687="")</f>
        <v>0</v>
      </c>
    </row>
    <row r="1688" spans="1:4" x14ac:dyDescent="0.25">
      <c r="A1688">
        <f t="shared" si="26"/>
        <v>0</v>
      </c>
      <c r="B1688" t="b">
        <f>SUMPRODUCT(LEN('hospitalityq-nil'!C1688:D1688))&gt;0</f>
        <v>0</v>
      </c>
      <c r="C1688">
        <f>B1688*('hospitalityq-nil'!C1688="")</f>
        <v>0</v>
      </c>
      <c r="D1688">
        <f>B1688*('hospitalityq-nil'!D1688="")</f>
        <v>0</v>
      </c>
    </row>
    <row r="1689" spans="1:4" x14ac:dyDescent="0.25">
      <c r="A1689">
        <f t="shared" si="26"/>
        <v>0</v>
      </c>
      <c r="B1689" t="b">
        <f>SUMPRODUCT(LEN('hospitalityq-nil'!C1689:D1689))&gt;0</f>
        <v>0</v>
      </c>
      <c r="C1689">
        <f>B1689*('hospitalityq-nil'!C1689="")</f>
        <v>0</v>
      </c>
      <c r="D1689">
        <f>B1689*('hospitalityq-nil'!D1689="")</f>
        <v>0</v>
      </c>
    </row>
    <row r="1690" spans="1:4" x14ac:dyDescent="0.25">
      <c r="A1690">
        <f t="shared" si="26"/>
        <v>0</v>
      </c>
      <c r="B1690" t="b">
        <f>SUMPRODUCT(LEN('hospitalityq-nil'!C1690:D1690))&gt;0</f>
        <v>0</v>
      </c>
      <c r="C1690">
        <f>B1690*('hospitalityq-nil'!C1690="")</f>
        <v>0</v>
      </c>
      <c r="D1690">
        <f>B1690*('hospitalityq-nil'!D1690="")</f>
        <v>0</v>
      </c>
    </row>
    <row r="1691" spans="1:4" x14ac:dyDescent="0.25">
      <c r="A1691">
        <f t="shared" si="26"/>
        <v>0</v>
      </c>
      <c r="B1691" t="b">
        <f>SUMPRODUCT(LEN('hospitalityq-nil'!C1691:D1691))&gt;0</f>
        <v>0</v>
      </c>
      <c r="C1691">
        <f>B1691*('hospitalityq-nil'!C1691="")</f>
        <v>0</v>
      </c>
      <c r="D1691">
        <f>B1691*('hospitalityq-nil'!D1691="")</f>
        <v>0</v>
      </c>
    </row>
    <row r="1692" spans="1:4" x14ac:dyDescent="0.25">
      <c r="A1692">
        <f t="shared" si="26"/>
        <v>0</v>
      </c>
      <c r="B1692" t="b">
        <f>SUMPRODUCT(LEN('hospitalityq-nil'!C1692:D1692))&gt;0</f>
        <v>0</v>
      </c>
      <c r="C1692">
        <f>B1692*('hospitalityq-nil'!C1692="")</f>
        <v>0</v>
      </c>
      <c r="D1692">
        <f>B1692*('hospitalityq-nil'!D1692="")</f>
        <v>0</v>
      </c>
    </row>
    <row r="1693" spans="1:4" x14ac:dyDescent="0.25">
      <c r="A1693">
        <f t="shared" si="26"/>
        <v>0</v>
      </c>
      <c r="B1693" t="b">
        <f>SUMPRODUCT(LEN('hospitalityq-nil'!C1693:D1693))&gt;0</f>
        <v>0</v>
      </c>
      <c r="C1693">
        <f>B1693*('hospitalityq-nil'!C1693="")</f>
        <v>0</v>
      </c>
      <c r="D1693">
        <f>B1693*('hospitalityq-nil'!D1693="")</f>
        <v>0</v>
      </c>
    </row>
    <row r="1694" spans="1:4" x14ac:dyDescent="0.25">
      <c r="A1694">
        <f t="shared" si="26"/>
        <v>0</v>
      </c>
      <c r="B1694" t="b">
        <f>SUMPRODUCT(LEN('hospitalityq-nil'!C1694:D1694))&gt;0</f>
        <v>0</v>
      </c>
      <c r="C1694">
        <f>B1694*('hospitalityq-nil'!C1694="")</f>
        <v>0</v>
      </c>
      <c r="D1694">
        <f>B1694*('hospitalityq-nil'!D1694="")</f>
        <v>0</v>
      </c>
    </row>
    <row r="1695" spans="1:4" x14ac:dyDescent="0.25">
      <c r="A1695">
        <f t="shared" si="26"/>
        <v>0</v>
      </c>
      <c r="B1695" t="b">
        <f>SUMPRODUCT(LEN('hospitalityq-nil'!C1695:D1695))&gt;0</f>
        <v>0</v>
      </c>
      <c r="C1695">
        <f>B1695*('hospitalityq-nil'!C1695="")</f>
        <v>0</v>
      </c>
      <c r="D1695">
        <f>B1695*('hospitalityq-nil'!D1695="")</f>
        <v>0</v>
      </c>
    </row>
    <row r="1696" spans="1:4" x14ac:dyDescent="0.25">
      <c r="A1696">
        <f t="shared" si="26"/>
        <v>0</v>
      </c>
      <c r="B1696" t="b">
        <f>SUMPRODUCT(LEN('hospitalityq-nil'!C1696:D1696))&gt;0</f>
        <v>0</v>
      </c>
      <c r="C1696">
        <f>B1696*('hospitalityq-nil'!C1696="")</f>
        <v>0</v>
      </c>
      <c r="D1696">
        <f>B1696*('hospitalityq-nil'!D1696="")</f>
        <v>0</v>
      </c>
    </row>
    <row r="1697" spans="1:4" x14ac:dyDescent="0.25">
      <c r="A1697">
        <f t="shared" si="26"/>
        <v>0</v>
      </c>
      <c r="B1697" t="b">
        <f>SUMPRODUCT(LEN('hospitalityq-nil'!C1697:D1697))&gt;0</f>
        <v>0</v>
      </c>
      <c r="C1697">
        <f>B1697*('hospitalityq-nil'!C1697="")</f>
        <v>0</v>
      </c>
      <c r="D1697">
        <f>B1697*('hospitalityq-nil'!D1697="")</f>
        <v>0</v>
      </c>
    </row>
    <row r="1698" spans="1:4" x14ac:dyDescent="0.25">
      <c r="A1698">
        <f t="shared" si="26"/>
        <v>0</v>
      </c>
      <c r="B1698" t="b">
        <f>SUMPRODUCT(LEN('hospitalityq-nil'!C1698:D1698))&gt;0</f>
        <v>0</v>
      </c>
      <c r="C1698">
        <f>B1698*('hospitalityq-nil'!C1698="")</f>
        <v>0</v>
      </c>
      <c r="D1698">
        <f>B1698*('hospitalityq-nil'!D1698="")</f>
        <v>0</v>
      </c>
    </row>
    <row r="1699" spans="1:4" x14ac:dyDescent="0.25">
      <c r="A1699">
        <f t="shared" si="26"/>
        <v>0</v>
      </c>
      <c r="B1699" t="b">
        <f>SUMPRODUCT(LEN('hospitalityq-nil'!C1699:D1699))&gt;0</f>
        <v>0</v>
      </c>
      <c r="C1699">
        <f>B1699*('hospitalityq-nil'!C1699="")</f>
        <v>0</v>
      </c>
      <c r="D1699">
        <f>B1699*('hospitalityq-nil'!D1699="")</f>
        <v>0</v>
      </c>
    </row>
    <row r="1700" spans="1:4" x14ac:dyDescent="0.25">
      <c r="A1700">
        <f t="shared" si="26"/>
        <v>0</v>
      </c>
      <c r="B1700" t="b">
        <f>SUMPRODUCT(LEN('hospitalityq-nil'!C1700:D1700))&gt;0</f>
        <v>0</v>
      </c>
      <c r="C1700">
        <f>B1700*('hospitalityq-nil'!C1700="")</f>
        <v>0</v>
      </c>
      <c r="D1700">
        <f>B1700*('hospitalityq-nil'!D1700="")</f>
        <v>0</v>
      </c>
    </row>
    <row r="1701" spans="1:4" x14ac:dyDescent="0.25">
      <c r="A1701">
        <f t="shared" si="26"/>
        <v>0</v>
      </c>
      <c r="B1701" t="b">
        <f>SUMPRODUCT(LEN('hospitalityq-nil'!C1701:D1701))&gt;0</f>
        <v>0</v>
      </c>
      <c r="C1701">
        <f>B1701*('hospitalityq-nil'!C1701="")</f>
        <v>0</v>
      </c>
      <c r="D1701">
        <f>B1701*('hospitalityq-nil'!D1701="")</f>
        <v>0</v>
      </c>
    </row>
    <row r="1702" spans="1:4" x14ac:dyDescent="0.25">
      <c r="A1702">
        <f t="shared" si="26"/>
        <v>0</v>
      </c>
      <c r="B1702" t="b">
        <f>SUMPRODUCT(LEN('hospitalityq-nil'!C1702:D1702))&gt;0</f>
        <v>0</v>
      </c>
      <c r="C1702">
        <f>B1702*('hospitalityq-nil'!C1702="")</f>
        <v>0</v>
      </c>
      <c r="D1702">
        <f>B1702*('hospitalityq-nil'!D1702="")</f>
        <v>0</v>
      </c>
    </row>
    <row r="1703" spans="1:4" x14ac:dyDescent="0.25">
      <c r="A1703">
        <f t="shared" si="26"/>
        <v>0</v>
      </c>
      <c r="B1703" t="b">
        <f>SUMPRODUCT(LEN('hospitalityq-nil'!C1703:D1703))&gt;0</f>
        <v>0</v>
      </c>
      <c r="C1703">
        <f>B1703*('hospitalityq-nil'!C1703="")</f>
        <v>0</v>
      </c>
      <c r="D1703">
        <f>B1703*('hospitalityq-nil'!D1703="")</f>
        <v>0</v>
      </c>
    </row>
    <row r="1704" spans="1:4" x14ac:dyDescent="0.25">
      <c r="A1704">
        <f t="shared" si="26"/>
        <v>0</v>
      </c>
      <c r="B1704" t="b">
        <f>SUMPRODUCT(LEN('hospitalityq-nil'!C1704:D1704))&gt;0</f>
        <v>0</v>
      </c>
      <c r="C1704">
        <f>B1704*('hospitalityq-nil'!C1704="")</f>
        <v>0</v>
      </c>
      <c r="D1704">
        <f>B1704*('hospitalityq-nil'!D1704="")</f>
        <v>0</v>
      </c>
    </row>
    <row r="1705" spans="1:4" x14ac:dyDescent="0.25">
      <c r="A1705">
        <f t="shared" si="26"/>
        <v>0</v>
      </c>
      <c r="B1705" t="b">
        <f>SUMPRODUCT(LEN('hospitalityq-nil'!C1705:D1705))&gt;0</f>
        <v>0</v>
      </c>
      <c r="C1705">
        <f>B1705*('hospitalityq-nil'!C1705="")</f>
        <v>0</v>
      </c>
      <c r="D1705">
        <f>B1705*('hospitalityq-nil'!D1705="")</f>
        <v>0</v>
      </c>
    </row>
    <row r="1706" spans="1:4" x14ac:dyDescent="0.25">
      <c r="A1706">
        <f t="shared" si="26"/>
        <v>0</v>
      </c>
      <c r="B1706" t="b">
        <f>SUMPRODUCT(LEN('hospitalityq-nil'!C1706:D1706))&gt;0</f>
        <v>0</v>
      </c>
      <c r="C1706">
        <f>B1706*('hospitalityq-nil'!C1706="")</f>
        <v>0</v>
      </c>
      <c r="D1706">
        <f>B1706*('hospitalityq-nil'!D1706="")</f>
        <v>0</v>
      </c>
    </row>
    <row r="1707" spans="1:4" x14ac:dyDescent="0.25">
      <c r="A1707">
        <f t="shared" si="26"/>
        <v>0</v>
      </c>
      <c r="B1707" t="b">
        <f>SUMPRODUCT(LEN('hospitalityq-nil'!C1707:D1707))&gt;0</f>
        <v>0</v>
      </c>
      <c r="C1707">
        <f>B1707*('hospitalityq-nil'!C1707="")</f>
        <v>0</v>
      </c>
      <c r="D1707">
        <f>B1707*('hospitalityq-nil'!D1707="")</f>
        <v>0</v>
      </c>
    </row>
    <row r="1708" spans="1:4" x14ac:dyDescent="0.25">
      <c r="A1708">
        <f t="shared" si="26"/>
        <v>0</v>
      </c>
      <c r="B1708" t="b">
        <f>SUMPRODUCT(LEN('hospitalityq-nil'!C1708:D1708))&gt;0</f>
        <v>0</v>
      </c>
      <c r="C1708">
        <f>B1708*('hospitalityq-nil'!C1708="")</f>
        <v>0</v>
      </c>
      <c r="D1708">
        <f>B1708*('hospitalityq-nil'!D1708="")</f>
        <v>0</v>
      </c>
    </row>
    <row r="1709" spans="1:4" x14ac:dyDescent="0.25">
      <c r="A1709">
        <f t="shared" si="26"/>
        <v>0</v>
      </c>
      <c r="B1709" t="b">
        <f>SUMPRODUCT(LEN('hospitalityq-nil'!C1709:D1709))&gt;0</f>
        <v>0</v>
      </c>
      <c r="C1709">
        <f>B1709*('hospitalityq-nil'!C1709="")</f>
        <v>0</v>
      </c>
      <c r="D1709">
        <f>B1709*('hospitalityq-nil'!D1709="")</f>
        <v>0</v>
      </c>
    </row>
    <row r="1710" spans="1:4" x14ac:dyDescent="0.25">
      <c r="A1710">
        <f t="shared" si="26"/>
        <v>0</v>
      </c>
      <c r="B1710" t="b">
        <f>SUMPRODUCT(LEN('hospitalityq-nil'!C1710:D1710))&gt;0</f>
        <v>0</v>
      </c>
      <c r="C1710">
        <f>B1710*('hospitalityq-nil'!C1710="")</f>
        <v>0</v>
      </c>
      <c r="D1710">
        <f>B1710*('hospitalityq-nil'!D1710="")</f>
        <v>0</v>
      </c>
    </row>
    <row r="1711" spans="1:4" x14ac:dyDescent="0.25">
      <c r="A1711">
        <f t="shared" si="26"/>
        <v>0</v>
      </c>
      <c r="B1711" t="b">
        <f>SUMPRODUCT(LEN('hospitalityq-nil'!C1711:D1711))&gt;0</f>
        <v>0</v>
      </c>
      <c r="C1711">
        <f>B1711*('hospitalityq-nil'!C1711="")</f>
        <v>0</v>
      </c>
      <c r="D1711">
        <f>B1711*('hospitalityq-nil'!D1711="")</f>
        <v>0</v>
      </c>
    </row>
    <row r="1712" spans="1:4" x14ac:dyDescent="0.25">
      <c r="A1712">
        <f t="shared" si="26"/>
        <v>0</v>
      </c>
      <c r="B1712" t="b">
        <f>SUMPRODUCT(LEN('hospitalityq-nil'!C1712:D1712))&gt;0</f>
        <v>0</v>
      </c>
      <c r="C1712">
        <f>B1712*('hospitalityq-nil'!C1712="")</f>
        <v>0</v>
      </c>
      <c r="D1712">
        <f>B1712*('hospitalityq-nil'!D1712="")</f>
        <v>0</v>
      </c>
    </row>
    <row r="1713" spans="1:4" x14ac:dyDescent="0.25">
      <c r="A1713">
        <f t="shared" si="26"/>
        <v>0</v>
      </c>
      <c r="B1713" t="b">
        <f>SUMPRODUCT(LEN('hospitalityq-nil'!C1713:D1713))&gt;0</f>
        <v>0</v>
      </c>
      <c r="C1713">
        <f>B1713*('hospitalityq-nil'!C1713="")</f>
        <v>0</v>
      </c>
      <c r="D1713">
        <f>B1713*('hospitalityq-nil'!D1713="")</f>
        <v>0</v>
      </c>
    </row>
    <row r="1714" spans="1:4" x14ac:dyDescent="0.25">
      <c r="A1714">
        <f t="shared" si="26"/>
        <v>0</v>
      </c>
      <c r="B1714" t="b">
        <f>SUMPRODUCT(LEN('hospitalityq-nil'!C1714:D1714))&gt;0</f>
        <v>0</v>
      </c>
      <c r="C1714">
        <f>B1714*('hospitalityq-nil'!C1714="")</f>
        <v>0</v>
      </c>
      <c r="D1714">
        <f>B1714*('hospitalityq-nil'!D1714="")</f>
        <v>0</v>
      </c>
    </row>
    <row r="1715" spans="1:4" x14ac:dyDescent="0.25">
      <c r="A1715">
        <f t="shared" si="26"/>
        <v>0</v>
      </c>
      <c r="B1715" t="b">
        <f>SUMPRODUCT(LEN('hospitalityq-nil'!C1715:D1715))&gt;0</f>
        <v>0</v>
      </c>
      <c r="C1715">
        <f>B1715*('hospitalityq-nil'!C1715="")</f>
        <v>0</v>
      </c>
      <c r="D1715">
        <f>B1715*('hospitalityq-nil'!D1715="")</f>
        <v>0</v>
      </c>
    </row>
    <row r="1716" spans="1:4" x14ac:dyDescent="0.25">
      <c r="A1716">
        <f t="shared" si="26"/>
        <v>0</v>
      </c>
      <c r="B1716" t="b">
        <f>SUMPRODUCT(LEN('hospitalityq-nil'!C1716:D1716))&gt;0</f>
        <v>0</v>
      </c>
      <c r="C1716">
        <f>B1716*('hospitalityq-nil'!C1716="")</f>
        <v>0</v>
      </c>
      <c r="D1716">
        <f>B1716*('hospitalityq-nil'!D1716="")</f>
        <v>0</v>
      </c>
    </row>
    <row r="1717" spans="1:4" x14ac:dyDescent="0.25">
      <c r="A1717">
        <f t="shared" si="26"/>
        <v>0</v>
      </c>
      <c r="B1717" t="b">
        <f>SUMPRODUCT(LEN('hospitalityq-nil'!C1717:D1717))&gt;0</f>
        <v>0</v>
      </c>
      <c r="C1717">
        <f>B1717*('hospitalityq-nil'!C1717="")</f>
        <v>0</v>
      </c>
      <c r="D1717">
        <f>B1717*('hospitalityq-nil'!D1717="")</f>
        <v>0</v>
      </c>
    </row>
    <row r="1718" spans="1:4" x14ac:dyDescent="0.25">
      <c r="A1718">
        <f t="shared" si="26"/>
        <v>0</v>
      </c>
      <c r="B1718" t="b">
        <f>SUMPRODUCT(LEN('hospitalityq-nil'!C1718:D1718))&gt;0</f>
        <v>0</v>
      </c>
      <c r="C1718">
        <f>B1718*('hospitalityq-nil'!C1718="")</f>
        <v>0</v>
      </c>
      <c r="D1718">
        <f>B1718*('hospitalityq-nil'!D1718="")</f>
        <v>0</v>
      </c>
    </row>
    <row r="1719" spans="1:4" x14ac:dyDescent="0.25">
      <c r="A1719">
        <f t="shared" si="26"/>
        <v>0</v>
      </c>
      <c r="B1719" t="b">
        <f>SUMPRODUCT(LEN('hospitalityq-nil'!C1719:D1719))&gt;0</f>
        <v>0</v>
      </c>
      <c r="C1719">
        <f>B1719*('hospitalityq-nil'!C1719="")</f>
        <v>0</v>
      </c>
      <c r="D1719">
        <f>B1719*('hospitalityq-nil'!D1719="")</f>
        <v>0</v>
      </c>
    </row>
    <row r="1720" spans="1:4" x14ac:dyDescent="0.25">
      <c r="A1720">
        <f t="shared" si="26"/>
        <v>0</v>
      </c>
      <c r="B1720" t="b">
        <f>SUMPRODUCT(LEN('hospitalityq-nil'!C1720:D1720))&gt;0</f>
        <v>0</v>
      </c>
      <c r="C1720">
        <f>B1720*('hospitalityq-nil'!C1720="")</f>
        <v>0</v>
      </c>
      <c r="D1720">
        <f>B1720*('hospitalityq-nil'!D1720="")</f>
        <v>0</v>
      </c>
    </row>
    <row r="1721" spans="1:4" x14ac:dyDescent="0.25">
      <c r="A1721">
        <f t="shared" si="26"/>
        <v>0</v>
      </c>
      <c r="B1721" t="b">
        <f>SUMPRODUCT(LEN('hospitalityq-nil'!C1721:D1721))&gt;0</f>
        <v>0</v>
      </c>
      <c r="C1721">
        <f>B1721*('hospitalityq-nil'!C1721="")</f>
        <v>0</v>
      </c>
      <c r="D1721">
        <f>B1721*('hospitalityq-nil'!D1721="")</f>
        <v>0</v>
      </c>
    </row>
    <row r="1722" spans="1:4" x14ac:dyDescent="0.25">
      <c r="A1722">
        <f t="shared" si="26"/>
        <v>0</v>
      </c>
      <c r="B1722" t="b">
        <f>SUMPRODUCT(LEN('hospitalityq-nil'!C1722:D1722))&gt;0</f>
        <v>0</v>
      </c>
      <c r="C1722">
        <f>B1722*('hospitalityq-nil'!C1722="")</f>
        <v>0</v>
      </c>
      <c r="D1722">
        <f>B1722*('hospitalityq-nil'!D1722="")</f>
        <v>0</v>
      </c>
    </row>
    <row r="1723" spans="1:4" x14ac:dyDescent="0.25">
      <c r="A1723">
        <f t="shared" si="26"/>
        <v>0</v>
      </c>
      <c r="B1723" t="b">
        <f>SUMPRODUCT(LEN('hospitalityq-nil'!C1723:D1723))&gt;0</f>
        <v>0</v>
      </c>
      <c r="C1723">
        <f>B1723*('hospitalityq-nil'!C1723="")</f>
        <v>0</v>
      </c>
      <c r="D1723">
        <f>B1723*('hospitalityq-nil'!D1723="")</f>
        <v>0</v>
      </c>
    </row>
    <row r="1724" spans="1:4" x14ac:dyDescent="0.25">
      <c r="A1724">
        <f t="shared" si="26"/>
        <v>0</v>
      </c>
      <c r="B1724" t="b">
        <f>SUMPRODUCT(LEN('hospitalityq-nil'!C1724:D1724))&gt;0</f>
        <v>0</v>
      </c>
      <c r="C1724">
        <f>B1724*('hospitalityq-nil'!C1724="")</f>
        <v>0</v>
      </c>
      <c r="D1724">
        <f>B1724*('hospitalityq-nil'!D1724="")</f>
        <v>0</v>
      </c>
    </row>
    <row r="1725" spans="1:4" x14ac:dyDescent="0.25">
      <c r="A1725">
        <f t="shared" si="26"/>
        <v>0</v>
      </c>
      <c r="B1725" t="b">
        <f>SUMPRODUCT(LEN('hospitalityq-nil'!C1725:D1725))&gt;0</f>
        <v>0</v>
      </c>
      <c r="C1725">
        <f>B1725*('hospitalityq-nil'!C1725="")</f>
        <v>0</v>
      </c>
      <c r="D1725">
        <f>B1725*('hospitalityq-nil'!D1725="")</f>
        <v>0</v>
      </c>
    </row>
    <row r="1726" spans="1:4" x14ac:dyDescent="0.25">
      <c r="A1726">
        <f t="shared" si="26"/>
        <v>0</v>
      </c>
      <c r="B1726" t="b">
        <f>SUMPRODUCT(LEN('hospitalityq-nil'!C1726:D1726))&gt;0</f>
        <v>0</v>
      </c>
      <c r="C1726">
        <f>B1726*('hospitalityq-nil'!C1726="")</f>
        <v>0</v>
      </c>
      <c r="D1726">
        <f>B1726*('hospitalityq-nil'!D1726="")</f>
        <v>0</v>
      </c>
    </row>
    <row r="1727" spans="1:4" x14ac:dyDescent="0.25">
      <c r="A1727">
        <f t="shared" si="26"/>
        <v>0</v>
      </c>
      <c r="B1727" t="b">
        <f>SUMPRODUCT(LEN('hospitalityq-nil'!C1727:D1727))&gt;0</f>
        <v>0</v>
      </c>
      <c r="C1727">
        <f>B1727*('hospitalityq-nil'!C1727="")</f>
        <v>0</v>
      </c>
      <c r="D1727">
        <f>B1727*('hospitalityq-nil'!D1727="")</f>
        <v>0</v>
      </c>
    </row>
    <row r="1728" spans="1:4" x14ac:dyDescent="0.25">
      <c r="A1728">
        <f t="shared" si="26"/>
        <v>0</v>
      </c>
      <c r="B1728" t="b">
        <f>SUMPRODUCT(LEN('hospitalityq-nil'!C1728:D1728))&gt;0</f>
        <v>0</v>
      </c>
      <c r="C1728">
        <f>B1728*('hospitalityq-nil'!C1728="")</f>
        <v>0</v>
      </c>
      <c r="D1728">
        <f>B1728*('hospitalityq-nil'!D1728="")</f>
        <v>0</v>
      </c>
    </row>
    <row r="1729" spans="1:4" x14ac:dyDescent="0.25">
      <c r="A1729">
        <f t="shared" si="26"/>
        <v>0</v>
      </c>
      <c r="B1729" t="b">
        <f>SUMPRODUCT(LEN('hospitalityq-nil'!C1729:D1729))&gt;0</f>
        <v>0</v>
      </c>
      <c r="C1729">
        <f>B1729*('hospitalityq-nil'!C1729="")</f>
        <v>0</v>
      </c>
      <c r="D1729">
        <f>B1729*('hospitalityq-nil'!D1729="")</f>
        <v>0</v>
      </c>
    </row>
    <row r="1730" spans="1:4" x14ac:dyDescent="0.25">
      <c r="A1730">
        <f t="shared" si="26"/>
        <v>0</v>
      </c>
      <c r="B1730" t="b">
        <f>SUMPRODUCT(LEN('hospitalityq-nil'!C1730:D1730))&gt;0</f>
        <v>0</v>
      </c>
      <c r="C1730">
        <f>B1730*('hospitalityq-nil'!C1730="")</f>
        <v>0</v>
      </c>
      <c r="D1730">
        <f>B1730*('hospitalityq-nil'!D1730="")</f>
        <v>0</v>
      </c>
    </row>
    <row r="1731" spans="1:4" x14ac:dyDescent="0.25">
      <c r="A1731">
        <f t="shared" si="26"/>
        <v>0</v>
      </c>
      <c r="B1731" t="b">
        <f>SUMPRODUCT(LEN('hospitalityq-nil'!C1731:D1731))&gt;0</f>
        <v>0</v>
      </c>
      <c r="C1731">
        <f>B1731*('hospitalityq-nil'!C1731="")</f>
        <v>0</v>
      </c>
      <c r="D1731">
        <f>B1731*('hospitalityq-nil'!D1731="")</f>
        <v>0</v>
      </c>
    </row>
    <row r="1732" spans="1:4" x14ac:dyDescent="0.25">
      <c r="A1732">
        <f t="shared" si="26"/>
        <v>0</v>
      </c>
      <c r="B1732" t="b">
        <f>SUMPRODUCT(LEN('hospitalityq-nil'!C1732:D1732))&gt;0</f>
        <v>0</v>
      </c>
      <c r="C1732">
        <f>B1732*('hospitalityq-nil'!C1732="")</f>
        <v>0</v>
      </c>
      <c r="D1732">
        <f>B1732*('hospitalityq-nil'!D1732="")</f>
        <v>0</v>
      </c>
    </row>
    <row r="1733" spans="1:4" x14ac:dyDescent="0.25">
      <c r="A1733">
        <f t="shared" si="26"/>
        <v>0</v>
      </c>
      <c r="B1733" t="b">
        <f>SUMPRODUCT(LEN('hospitalityq-nil'!C1733:D1733))&gt;0</f>
        <v>0</v>
      </c>
      <c r="C1733">
        <f>B1733*('hospitalityq-nil'!C1733="")</f>
        <v>0</v>
      </c>
      <c r="D1733">
        <f>B1733*('hospitalityq-nil'!D1733="")</f>
        <v>0</v>
      </c>
    </row>
    <row r="1734" spans="1:4" x14ac:dyDescent="0.25">
      <c r="A1734">
        <f t="shared" ref="A1734:A1797" si="27">IFERROR(MATCH(TRUE,INDEX(C1734:D1734&lt;&gt;0,),)+2,0)</f>
        <v>0</v>
      </c>
      <c r="B1734" t="b">
        <f>SUMPRODUCT(LEN('hospitalityq-nil'!C1734:D1734))&gt;0</f>
        <v>0</v>
      </c>
      <c r="C1734">
        <f>B1734*('hospitalityq-nil'!C1734="")</f>
        <v>0</v>
      </c>
      <c r="D1734">
        <f>B1734*('hospitalityq-nil'!D1734="")</f>
        <v>0</v>
      </c>
    </row>
    <row r="1735" spans="1:4" x14ac:dyDescent="0.25">
      <c r="A1735">
        <f t="shared" si="27"/>
        <v>0</v>
      </c>
      <c r="B1735" t="b">
        <f>SUMPRODUCT(LEN('hospitalityq-nil'!C1735:D1735))&gt;0</f>
        <v>0</v>
      </c>
      <c r="C1735">
        <f>B1735*('hospitalityq-nil'!C1735="")</f>
        <v>0</v>
      </c>
      <c r="D1735">
        <f>B1735*('hospitalityq-nil'!D1735="")</f>
        <v>0</v>
      </c>
    </row>
    <row r="1736" spans="1:4" x14ac:dyDescent="0.25">
      <c r="A1736">
        <f t="shared" si="27"/>
        <v>0</v>
      </c>
      <c r="B1736" t="b">
        <f>SUMPRODUCT(LEN('hospitalityq-nil'!C1736:D1736))&gt;0</f>
        <v>0</v>
      </c>
      <c r="C1736">
        <f>B1736*('hospitalityq-nil'!C1736="")</f>
        <v>0</v>
      </c>
      <c r="D1736">
        <f>B1736*('hospitalityq-nil'!D1736="")</f>
        <v>0</v>
      </c>
    </row>
    <row r="1737" spans="1:4" x14ac:dyDescent="0.25">
      <c r="A1737">
        <f t="shared" si="27"/>
        <v>0</v>
      </c>
      <c r="B1737" t="b">
        <f>SUMPRODUCT(LEN('hospitalityq-nil'!C1737:D1737))&gt;0</f>
        <v>0</v>
      </c>
      <c r="C1737">
        <f>B1737*('hospitalityq-nil'!C1737="")</f>
        <v>0</v>
      </c>
      <c r="D1737">
        <f>B1737*('hospitalityq-nil'!D1737="")</f>
        <v>0</v>
      </c>
    </row>
    <row r="1738" spans="1:4" x14ac:dyDescent="0.25">
      <c r="A1738">
        <f t="shared" si="27"/>
        <v>0</v>
      </c>
      <c r="B1738" t="b">
        <f>SUMPRODUCT(LEN('hospitalityq-nil'!C1738:D1738))&gt;0</f>
        <v>0</v>
      </c>
      <c r="C1738">
        <f>B1738*('hospitalityq-nil'!C1738="")</f>
        <v>0</v>
      </c>
      <c r="D1738">
        <f>B1738*('hospitalityq-nil'!D1738="")</f>
        <v>0</v>
      </c>
    </row>
    <row r="1739" spans="1:4" x14ac:dyDescent="0.25">
      <c r="A1739">
        <f t="shared" si="27"/>
        <v>0</v>
      </c>
      <c r="B1739" t="b">
        <f>SUMPRODUCT(LEN('hospitalityq-nil'!C1739:D1739))&gt;0</f>
        <v>0</v>
      </c>
      <c r="C1739">
        <f>B1739*('hospitalityq-nil'!C1739="")</f>
        <v>0</v>
      </c>
      <c r="D1739">
        <f>B1739*('hospitalityq-nil'!D1739="")</f>
        <v>0</v>
      </c>
    </row>
    <row r="1740" spans="1:4" x14ac:dyDescent="0.25">
      <c r="A1740">
        <f t="shared" si="27"/>
        <v>0</v>
      </c>
      <c r="B1740" t="b">
        <f>SUMPRODUCT(LEN('hospitalityq-nil'!C1740:D1740))&gt;0</f>
        <v>0</v>
      </c>
      <c r="C1740">
        <f>B1740*('hospitalityq-nil'!C1740="")</f>
        <v>0</v>
      </c>
      <c r="D1740">
        <f>B1740*('hospitalityq-nil'!D1740="")</f>
        <v>0</v>
      </c>
    </row>
    <row r="1741" spans="1:4" x14ac:dyDescent="0.25">
      <c r="A1741">
        <f t="shared" si="27"/>
        <v>0</v>
      </c>
      <c r="B1741" t="b">
        <f>SUMPRODUCT(LEN('hospitalityq-nil'!C1741:D1741))&gt;0</f>
        <v>0</v>
      </c>
      <c r="C1741">
        <f>B1741*('hospitalityq-nil'!C1741="")</f>
        <v>0</v>
      </c>
      <c r="D1741">
        <f>B1741*('hospitalityq-nil'!D1741="")</f>
        <v>0</v>
      </c>
    </row>
    <row r="1742" spans="1:4" x14ac:dyDescent="0.25">
      <c r="A1742">
        <f t="shared" si="27"/>
        <v>0</v>
      </c>
      <c r="B1742" t="b">
        <f>SUMPRODUCT(LEN('hospitalityq-nil'!C1742:D1742))&gt;0</f>
        <v>0</v>
      </c>
      <c r="C1742">
        <f>B1742*('hospitalityq-nil'!C1742="")</f>
        <v>0</v>
      </c>
      <c r="D1742">
        <f>B1742*('hospitalityq-nil'!D1742="")</f>
        <v>0</v>
      </c>
    </row>
    <row r="1743" spans="1:4" x14ac:dyDescent="0.25">
      <c r="A1743">
        <f t="shared" si="27"/>
        <v>0</v>
      </c>
      <c r="B1743" t="b">
        <f>SUMPRODUCT(LEN('hospitalityq-nil'!C1743:D1743))&gt;0</f>
        <v>0</v>
      </c>
      <c r="C1743">
        <f>B1743*('hospitalityq-nil'!C1743="")</f>
        <v>0</v>
      </c>
      <c r="D1743">
        <f>B1743*('hospitalityq-nil'!D1743="")</f>
        <v>0</v>
      </c>
    </row>
    <row r="1744" spans="1:4" x14ac:dyDescent="0.25">
      <c r="A1744">
        <f t="shared" si="27"/>
        <v>0</v>
      </c>
      <c r="B1744" t="b">
        <f>SUMPRODUCT(LEN('hospitalityq-nil'!C1744:D1744))&gt;0</f>
        <v>0</v>
      </c>
      <c r="C1744">
        <f>B1744*('hospitalityq-nil'!C1744="")</f>
        <v>0</v>
      </c>
      <c r="D1744">
        <f>B1744*('hospitalityq-nil'!D1744="")</f>
        <v>0</v>
      </c>
    </row>
    <row r="1745" spans="1:4" x14ac:dyDescent="0.25">
      <c r="A1745">
        <f t="shared" si="27"/>
        <v>0</v>
      </c>
      <c r="B1745" t="b">
        <f>SUMPRODUCT(LEN('hospitalityq-nil'!C1745:D1745))&gt;0</f>
        <v>0</v>
      </c>
      <c r="C1745">
        <f>B1745*('hospitalityq-nil'!C1745="")</f>
        <v>0</v>
      </c>
      <c r="D1745">
        <f>B1745*('hospitalityq-nil'!D1745="")</f>
        <v>0</v>
      </c>
    </row>
    <row r="1746" spans="1:4" x14ac:dyDescent="0.25">
      <c r="A1746">
        <f t="shared" si="27"/>
        <v>0</v>
      </c>
      <c r="B1746" t="b">
        <f>SUMPRODUCT(LEN('hospitalityq-nil'!C1746:D1746))&gt;0</f>
        <v>0</v>
      </c>
      <c r="C1746">
        <f>B1746*('hospitalityq-nil'!C1746="")</f>
        <v>0</v>
      </c>
      <c r="D1746">
        <f>B1746*('hospitalityq-nil'!D1746="")</f>
        <v>0</v>
      </c>
    </row>
    <row r="1747" spans="1:4" x14ac:dyDescent="0.25">
      <c r="A1747">
        <f t="shared" si="27"/>
        <v>0</v>
      </c>
      <c r="B1747" t="b">
        <f>SUMPRODUCT(LEN('hospitalityq-nil'!C1747:D1747))&gt;0</f>
        <v>0</v>
      </c>
      <c r="C1747">
        <f>B1747*('hospitalityq-nil'!C1747="")</f>
        <v>0</v>
      </c>
      <c r="D1747">
        <f>B1747*('hospitalityq-nil'!D1747="")</f>
        <v>0</v>
      </c>
    </row>
    <row r="1748" spans="1:4" x14ac:dyDescent="0.25">
      <c r="A1748">
        <f t="shared" si="27"/>
        <v>0</v>
      </c>
      <c r="B1748" t="b">
        <f>SUMPRODUCT(LEN('hospitalityq-nil'!C1748:D1748))&gt;0</f>
        <v>0</v>
      </c>
      <c r="C1748">
        <f>B1748*('hospitalityq-nil'!C1748="")</f>
        <v>0</v>
      </c>
      <c r="D1748">
        <f>B1748*('hospitalityq-nil'!D1748="")</f>
        <v>0</v>
      </c>
    </row>
    <row r="1749" spans="1:4" x14ac:dyDescent="0.25">
      <c r="A1749">
        <f t="shared" si="27"/>
        <v>0</v>
      </c>
      <c r="B1749" t="b">
        <f>SUMPRODUCT(LEN('hospitalityq-nil'!C1749:D1749))&gt;0</f>
        <v>0</v>
      </c>
      <c r="C1749">
        <f>B1749*('hospitalityq-nil'!C1749="")</f>
        <v>0</v>
      </c>
      <c r="D1749">
        <f>B1749*('hospitalityq-nil'!D1749="")</f>
        <v>0</v>
      </c>
    </row>
    <row r="1750" spans="1:4" x14ac:dyDescent="0.25">
      <c r="A1750">
        <f t="shared" si="27"/>
        <v>0</v>
      </c>
      <c r="B1750" t="b">
        <f>SUMPRODUCT(LEN('hospitalityq-nil'!C1750:D1750))&gt;0</f>
        <v>0</v>
      </c>
      <c r="C1750">
        <f>B1750*('hospitalityq-nil'!C1750="")</f>
        <v>0</v>
      </c>
      <c r="D1750">
        <f>B1750*('hospitalityq-nil'!D1750="")</f>
        <v>0</v>
      </c>
    </row>
    <row r="1751" spans="1:4" x14ac:dyDescent="0.25">
      <c r="A1751">
        <f t="shared" si="27"/>
        <v>0</v>
      </c>
      <c r="B1751" t="b">
        <f>SUMPRODUCT(LEN('hospitalityq-nil'!C1751:D1751))&gt;0</f>
        <v>0</v>
      </c>
      <c r="C1751">
        <f>B1751*('hospitalityq-nil'!C1751="")</f>
        <v>0</v>
      </c>
      <c r="D1751">
        <f>B1751*('hospitalityq-nil'!D1751="")</f>
        <v>0</v>
      </c>
    </row>
    <row r="1752" spans="1:4" x14ac:dyDescent="0.25">
      <c r="A1752">
        <f t="shared" si="27"/>
        <v>0</v>
      </c>
      <c r="B1752" t="b">
        <f>SUMPRODUCT(LEN('hospitalityq-nil'!C1752:D1752))&gt;0</f>
        <v>0</v>
      </c>
      <c r="C1752">
        <f>B1752*('hospitalityq-nil'!C1752="")</f>
        <v>0</v>
      </c>
      <c r="D1752">
        <f>B1752*('hospitalityq-nil'!D1752="")</f>
        <v>0</v>
      </c>
    </row>
    <row r="1753" spans="1:4" x14ac:dyDescent="0.25">
      <c r="A1753">
        <f t="shared" si="27"/>
        <v>0</v>
      </c>
      <c r="B1753" t="b">
        <f>SUMPRODUCT(LEN('hospitalityq-nil'!C1753:D1753))&gt;0</f>
        <v>0</v>
      </c>
      <c r="C1753">
        <f>B1753*('hospitalityq-nil'!C1753="")</f>
        <v>0</v>
      </c>
      <c r="D1753">
        <f>B1753*('hospitalityq-nil'!D1753="")</f>
        <v>0</v>
      </c>
    </row>
    <row r="1754" spans="1:4" x14ac:dyDescent="0.25">
      <c r="A1754">
        <f t="shared" si="27"/>
        <v>0</v>
      </c>
      <c r="B1754" t="b">
        <f>SUMPRODUCT(LEN('hospitalityq-nil'!C1754:D1754))&gt;0</f>
        <v>0</v>
      </c>
      <c r="C1754">
        <f>B1754*('hospitalityq-nil'!C1754="")</f>
        <v>0</v>
      </c>
      <c r="D1754">
        <f>B1754*('hospitalityq-nil'!D1754="")</f>
        <v>0</v>
      </c>
    </row>
    <row r="1755" spans="1:4" x14ac:dyDescent="0.25">
      <c r="A1755">
        <f t="shared" si="27"/>
        <v>0</v>
      </c>
      <c r="B1755" t="b">
        <f>SUMPRODUCT(LEN('hospitalityq-nil'!C1755:D1755))&gt;0</f>
        <v>0</v>
      </c>
      <c r="C1755">
        <f>B1755*('hospitalityq-nil'!C1755="")</f>
        <v>0</v>
      </c>
      <c r="D1755">
        <f>B1755*('hospitalityq-nil'!D1755="")</f>
        <v>0</v>
      </c>
    </row>
    <row r="1756" spans="1:4" x14ac:dyDescent="0.25">
      <c r="A1756">
        <f t="shared" si="27"/>
        <v>0</v>
      </c>
      <c r="B1756" t="b">
        <f>SUMPRODUCT(LEN('hospitalityq-nil'!C1756:D1756))&gt;0</f>
        <v>0</v>
      </c>
      <c r="C1756">
        <f>B1756*('hospitalityq-nil'!C1756="")</f>
        <v>0</v>
      </c>
      <c r="D1756">
        <f>B1756*('hospitalityq-nil'!D1756="")</f>
        <v>0</v>
      </c>
    </row>
    <row r="1757" spans="1:4" x14ac:dyDescent="0.25">
      <c r="A1757">
        <f t="shared" si="27"/>
        <v>0</v>
      </c>
      <c r="B1757" t="b">
        <f>SUMPRODUCT(LEN('hospitalityq-nil'!C1757:D1757))&gt;0</f>
        <v>0</v>
      </c>
      <c r="C1757">
        <f>B1757*('hospitalityq-nil'!C1757="")</f>
        <v>0</v>
      </c>
      <c r="D1757">
        <f>B1757*('hospitalityq-nil'!D1757="")</f>
        <v>0</v>
      </c>
    </row>
    <row r="1758" spans="1:4" x14ac:dyDescent="0.25">
      <c r="A1758">
        <f t="shared" si="27"/>
        <v>0</v>
      </c>
      <c r="B1758" t="b">
        <f>SUMPRODUCT(LEN('hospitalityq-nil'!C1758:D1758))&gt;0</f>
        <v>0</v>
      </c>
      <c r="C1758">
        <f>B1758*('hospitalityq-nil'!C1758="")</f>
        <v>0</v>
      </c>
      <c r="D1758">
        <f>B1758*('hospitalityq-nil'!D1758="")</f>
        <v>0</v>
      </c>
    </row>
    <row r="1759" spans="1:4" x14ac:dyDescent="0.25">
      <c r="A1759">
        <f t="shared" si="27"/>
        <v>0</v>
      </c>
      <c r="B1759" t="b">
        <f>SUMPRODUCT(LEN('hospitalityq-nil'!C1759:D1759))&gt;0</f>
        <v>0</v>
      </c>
      <c r="C1759">
        <f>B1759*('hospitalityq-nil'!C1759="")</f>
        <v>0</v>
      </c>
      <c r="D1759">
        <f>B1759*('hospitalityq-nil'!D1759="")</f>
        <v>0</v>
      </c>
    </row>
    <row r="1760" spans="1:4" x14ac:dyDescent="0.25">
      <c r="A1760">
        <f t="shared" si="27"/>
        <v>0</v>
      </c>
      <c r="B1760" t="b">
        <f>SUMPRODUCT(LEN('hospitalityq-nil'!C1760:D1760))&gt;0</f>
        <v>0</v>
      </c>
      <c r="C1760">
        <f>B1760*('hospitalityq-nil'!C1760="")</f>
        <v>0</v>
      </c>
      <c r="D1760">
        <f>B1760*('hospitalityq-nil'!D1760="")</f>
        <v>0</v>
      </c>
    </row>
    <row r="1761" spans="1:4" x14ac:dyDescent="0.25">
      <c r="A1761">
        <f t="shared" si="27"/>
        <v>0</v>
      </c>
      <c r="B1761" t="b">
        <f>SUMPRODUCT(LEN('hospitalityq-nil'!C1761:D1761))&gt;0</f>
        <v>0</v>
      </c>
      <c r="C1761">
        <f>B1761*('hospitalityq-nil'!C1761="")</f>
        <v>0</v>
      </c>
      <c r="D1761">
        <f>B1761*('hospitalityq-nil'!D1761="")</f>
        <v>0</v>
      </c>
    </row>
    <row r="1762" spans="1:4" x14ac:dyDescent="0.25">
      <c r="A1762">
        <f t="shared" si="27"/>
        <v>0</v>
      </c>
      <c r="B1762" t="b">
        <f>SUMPRODUCT(LEN('hospitalityq-nil'!C1762:D1762))&gt;0</f>
        <v>0</v>
      </c>
      <c r="C1762">
        <f>B1762*('hospitalityq-nil'!C1762="")</f>
        <v>0</v>
      </c>
      <c r="D1762">
        <f>B1762*('hospitalityq-nil'!D1762="")</f>
        <v>0</v>
      </c>
    </row>
    <row r="1763" spans="1:4" x14ac:dyDescent="0.25">
      <c r="A1763">
        <f t="shared" si="27"/>
        <v>0</v>
      </c>
      <c r="B1763" t="b">
        <f>SUMPRODUCT(LEN('hospitalityq-nil'!C1763:D1763))&gt;0</f>
        <v>0</v>
      </c>
      <c r="C1763">
        <f>B1763*('hospitalityq-nil'!C1763="")</f>
        <v>0</v>
      </c>
      <c r="D1763">
        <f>B1763*('hospitalityq-nil'!D1763="")</f>
        <v>0</v>
      </c>
    </row>
    <row r="1764" spans="1:4" x14ac:dyDescent="0.25">
      <c r="A1764">
        <f t="shared" si="27"/>
        <v>0</v>
      </c>
      <c r="B1764" t="b">
        <f>SUMPRODUCT(LEN('hospitalityq-nil'!C1764:D1764))&gt;0</f>
        <v>0</v>
      </c>
      <c r="C1764">
        <f>B1764*('hospitalityq-nil'!C1764="")</f>
        <v>0</v>
      </c>
      <c r="D1764">
        <f>B1764*('hospitalityq-nil'!D1764="")</f>
        <v>0</v>
      </c>
    </row>
    <row r="1765" spans="1:4" x14ac:dyDescent="0.25">
      <c r="A1765">
        <f t="shared" si="27"/>
        <v>0</v>
      </c>
      <c r="B1765" t="b">
        <f>SUMPRODUCT(LEN('hospitalityq-nil'!C1765:D1765))&gt;0</f>
        <v>0</v>
      </c>
      <c r="C1765">
        <f>B1765*('hospitalityq-nil'!C1765="")</f>
        <v>0</v>
      </c>
      <c r="D1765">
        <f>B1765*('hospitalityq-nil'!D1765="")</f>
        <v>0</v>
      </c>
    </row>
    <row r="1766" spans="1:4" x14ac:dyDescent="0.25">
      <c r="A1766">
        <f t="shared" si="27"/>
        <v>0</v>
      </c>
      <c r="B1766" t="b">
        <f>SUMPRODUCT(LEN('hospitalityq-nil'!C1766:D1766))&gt;0</f>
        <v>0</v>
      </c>
      <c r="C1766">
        <f>B1766*('hospitalityq-nil'!C1766="")</f>
        <v>0</v>
      </c>
      <c r="D1766">
        <f>B1766*('hospitalityq-nil'!D1766="")</f>
        <v>0</v>
      </c>
    </row>
    <row r="1767" spans="1:4" x14ac:dyDescent="0.25">
      <c r="A1767">
        <f t="shared" si="27"/>
        <v>0</v>
      </c>
      <c r="B1767" t="b">
        <f>SUMPRODUCT(LEN('hospitalityq-nil'!C1767:D1767))&gt;0</f>
        <v>0</v>
      </c>
      <c r="C1767">
        <f>B1767*('hospitalityq-nil'!C1767="")</f>
        <v>0</v>
      </c>
      <c r="D1767">
        <f>B1767*('hospitalityq-nil'!D1767="")</f>
        <v>0</v>
      </c>
    </row>
    <row r="1768" spans="1:4" x14ac:dyDescent="0.25">
      <c r="A1768">
        <f t="shared" si="27"/>
        <v>0</v>
      </c>
      <c r="B1768" t="b">
        <f>SUMPRODUCT(LEN('hospitalityq-nil'!C1768:D1768))&gt;0</f>
        <v>0</v>
      </c>
      <c r="C1768">
        <f>B1768*('hospitalityq-nil'!C1768="")</f>
        <v>0</v>
      </c>
      <c r="D1768">
        <f>B1768*('hospitalityq-nil'!D1768="")</f>
        <v>0</v>
      </c>
    </row>
    <row r="1769" spans="1:4" x14ac:dyDescent="0.25">
      <c r="A1769">
        <f t="shared" si="27"/>
        <v>0</v>
      </c>
      <c r="B1769" t="b">
        <f>SUMPRODUCT(LEN('hospitalityq-nil'!C1769:D1769))&gt;0</f>
        <v>0</v>
      </c>
      <c r="C1769">
        <f>B1769*('hospitalityq-nil'!C1769="")</f>
        <v>0</v>
      </c>
      <c r="D1769">
        <f>B1769*('hospitalityq-nil'!D1769="")</f>
        <v>0</v>
      </c>
    </row>
    <row r="1770" spans="1:4" x14ac:dyDescent="0.25">
      <c r="A1770">
        <f t="shared" si="27"/>
        <v>0</v>
      </c>
      <c r="B1770" t="b">
        <f>SUMPRODUCT(LEN('hospitalityq-nil'!C1770:D1770))&gt;0</f>
        <v>0</v>
      </c>
      <c r="C1770">
        <f>B1770*('hospitalityq-nil'!C1770="")</f>
        <v>0</v>
      </c>
      <c r="D1770">
        <f>B1770*('hospitalityq-nil'!D1770="")</f>
        <v>0</v>
      </c>
    </row>
    <row r="1771" spans="1:4" x14ac:dyDescent="0.25">
      <c r="A1771">
        <f t="shared" si="27"/>
        <v>0</v>
      </c>
      <c r="B1771" t="b">
        <f>SUMPRODUCT(LEN('hospitalityq-nil'!C1771:D1771))&gt;0</f>
        <v>0</v>
      </c>
      <c r="C1771">
        <f>B1771*('hospitalityq-nil'!C1771="")</f>
        <v>0</v>
      </c>
      <c r="D1771">
        <f>B1771*('hospitalityq-nil'!D1771="")</f>
        <v>0</v>
      </c>
    </row>
    <row r="1772" spans="1:4" x14ac:dyDescent="0.25">
      <c r="A1772">
        <f t="shared" si="27"/>
        <v>0</v>
      </c>
      <c r="B1772" t="b">
        <f>SUMPRODUCT(LEN('hospitalityq-nil'!C1772:D1772))&gt;0</f>
        <v>0</v>
      </c>
      <c r="C1772">
        <f>B1772*('hospitalityq-nil'!C1772="")</f>
        <v>0</v>
      </c>
      <c r="D1772">
        <f>B1772*('hospitalityq-nil'!D1772="")</f>
        <v>0</v>
      </c>
    </row>
    <row r="1773" spans="1:4" x14ac:dyDescent="0.25">
      <c r="A1773">
        <f t="shared" si="27"/>
        <v>0</v>
      </c>
      <c r="B1773" t="b">
        <f>SUMPRODUCT(LEN('hospitalityq-nil'!C1773:D1773))&gt;0</f>
        <v>0</v>
      </c>
      <c r="C1773">
        <f>B1773*('hospitalityq-nil'!C1773="")</f>
        <v>0</v>
      </c>
      <c r="D1773">
        <f>B1773*('hospitalityq-nil'!D1773="")</f>
        <v>0</v>
      </c>
    </row>
    <row r="1774" spans="1:4" x14ac:dyDescent="0.25">
      <c r="A1774">
        <f t="shared" si="27"/>
        <v>0</v>
      </c>
      <c r="B1774" t="b">
        <f>SUMPRODUCT(LEN('hospitalityq-nil'!C1774:D1774))&gt;0</f>
        <v>0</v>
      </c>
      <c r="C1774">
        <f>B1774*('hospitalityq-nil'!C1774="")</f>
        <v>0</v>
      </c>
      <c r="D1774">
        <f>B1774*('hospitalityq-nil'!D1774="")</f>
        <v>0</v>
      </c>
    </row>
    <row r="1775" spans="1:4" x14ac:dyDescent="0.25">
      <c r="A1775">
        <f t="shared" si="27"/>
        <v>0</v>
      </c>
      <c r="B1775" t="b">
        <f>SUMPRODUCT(LEN('hospitalityq-nil'!C1775:D1775))&gt;0</f>
        <v>0</v>
      </c>
      <c r="C1775">
        <f>B1775*('hospitalityq-nil'!C1775="")</f>
        <v>0</v>
      </c>
      <c r="D1775">
        <f>B1775*('hospitalityq-nil'!D1775="")</f>
        <v>0</v>
      </c>
    </row>
    <row r="1776" spans="1:4" x14ac:dyDescent="0.25">
      <c r="A1776">
        <f t="shared" si="27"/>
        <v>0</v>
      </c>
      <c r="B1776" t="b">
        <f>SUMPRODUCT(LEN('hospitalityq-nil'!C1776:D1776))&gt;0</f>
        <v>0</v>
      </c>
      <c r="C1776">
        <f>B1776*('hospitalityq-nil'!C1776="")</f>
        <v>0</v>
      </c>
      <c r="D1776">
        <f>B1776*('hospitalityq-nil'!D1776="")</f>
        <v>0</v>
      </c>
    </row>
    <row r="1777" spans="1:4" x14ac:dyDescent="0.25">
      <c r="A1777">
        <f t="shared" si="27"/>
        <v>0</v>
      </c>
      <c r="B1777" t="b">
        <f>SUMPRODUCT(LEN('hospitalityq-nil'!C1777:D1777))&gt;0</f>
        <v>0</v>
      </c>
      <c r="C1777">
        <f>B1777*('hospitalityq-nil'!C1777="")</f>
        <v>0</v>
      </c>
      <c r="D1777">
        <f>B1777*('hospitalityq-nil'!D1777="")</f>
        <v>0</v>
      </c>
    </row>
    <row r="1778" spans="1:4" x14ac:dyDescent="0.25">
      <c r="A1778">
        <f t="shared" si="27"/>
        <v>0</v>
      </c>
      <c r="B1778" t="b">
        <f>SUMPRODUCT(LEN('hospitalityq-nil'!C1778:D1778))&gt;0</f>
        <v>0</v>
      </c>
      <c r="C1778">
        <f>B1778*('hospitalityq-nil'!C1778="")</f>
        <v>0</v>
      </c>
      <c r="D1778">
        <f>B1778*('hospitalityq-nil'!D1778="")</f>
        <v>0</v>
      </c>
    </row>
    <row r="1779" spans="1:4" x14ac:dyDescent="0.25">
      <c r="A1779">
        <f t="shared" si="27"/>
        <v>0</v>
      </c>
      <c r="B1779" t="b">
        <f>SUMPRODUCT(LEN('hospitalityq-nil'!C1779:D1779))&gt;0</f>
        <v>0</v>
      </c>
      <c r="C1779">
        <f>B1779*('hospitalityq-nil'!C1779="")</f>
        <v>0</v>
      </c>
      <c r="D1779">
        <f>B1779*('hospitalityq-nil'!D1779="")</f>
        <v>0</v>
      </c>
    </row>
    <row r="1780" spans="1:4" x14ac:dyDescent="0.25">
      <c r="A1780">
        <f t="shared" si="27"/>
        <v>0</v>
      </c>
      <c r="B1780" t="b">
        <f>SUMPRODUCT(LEN('hospitalityq-nil'!C1780:D1780))&gt;0</f>
        <v>0</v>
      </c>
      <c r="C1780">
        <f>B1780*('hospitalityq-nil'!C1780="")</f>
        <v>0</v>
      </c>
      <c r="D1780">
        <f>B1780*('hospitalityq-nil'!D1780="")</f>
        <v>0</v>
      </c>
    </row>
    <row r="1781" spans="1:4" x14ac:dyDescent="0.25">
      <c r="A1781">
        <f t="shared" si="27"/>
        <v>0</v>
      </c>
      <c r="B1781" t="b">
        <f>SUMPRODUCT(LEN('hospitalityq-nil'!C1781:D1781))&gt;0</f>
        <v>0</v>
      </c>
      <c r="C1781">
        <f>B1781*('hospitalityq-nil'!C1781="")</f>
        <v>0</v>
      </c>
      <c r="D1781">
        <f>B1781*('hospitalityq-nil'!D1781="")</f>
        <v>0</v>
      </c>
    </row>
    <row r="1782" spans="1:4" x14ac:dyDescent="0.25">
      <c r="A1782">
        <f t="shared" si="27"/>
        <v>0</v>
      </c>
      <c r="B1782" t="b">
        <f>SUMPRODUCT(LEN('hospitalityq-nil'!C1782:D1782))&gt;0</f>
        <v>0</v>
      </c>
      <c r="C1782">
        <f>B1782*('hospitalityq-nil'!C1782="")</f>
        <v>0</v>
      </c>
      <c r="D1782">
        <f>B1782*('hospitalityq-nil'!D1782="")</f>
        <v>0</v>
      </c>
    </row>
    <row r="1783" spans="1:4" x14ac:dyDescent="0.25">
      <c r="A1783">
        <f t="shared" si="27"/>
        <v>0</v>
      </c>
      <c r="B1783" t="b">
        <f>SUMPRODUCT(LEN('hospitalityq-nil'!C1783:D1783))&gt;0</f>
        <v>0</v>
      </c>
      <c r="C1783">
        <f>B1783*('hospitalityq-nil'!C1783="")</f>
        <v>0</v>
      </c>
      <c r="D1783">
        <f>B1783*('hospitalityq-nil'!D1783="")</f>
        <v>0</v>
      </c>
    </row>
    <row r="1784" spans="1:4" x14ac:dyDescent="0.25">
      <c r="A1784">
        <f t="shared" si="27"/>
        <v>0</v>
      </c>
      <c r="B1784" t="b">
        <f>SUMPRODUCT(LEN('hospitalityq-nil'!C1784:D1784))&gt;0</f>
        <v>0</v>
      </c>
      <c r="C1784">
        <f>B1784*('hospitalityq-nil'!C1784="")</f>
        <v>0</v>
      </c>
      <c r="D1784">
        <f>B1784*('hospitalityq-nil'!D1784="")</f>
        <v>0</v>
      </c>
    </row>
    <row r="1785" spans="1:4" x14ac:dyDescent="0.25">
      <c r="A1785">
        <f t="shared" si="27"/>
        <v>0</v>
      </c>
      <c r="B1785" t="b">
        <f>SUMPRODUCT(LEN('hospitalityq-nil'!C1785:D1785))&gt;0</f>
        <v>0</v>
      </c>
      <c r="C1785">
        <f>B1785*('hospitalityq-nil'!C1785="")</f>
        <v>0</v>
      </c>
      <c r="D1785">
        <f>B1785*('hospitalityq-nil'!D1785="")</f>
        <v>0</v>
      </c>
    </row>
    <row r="1786" spans="1:4" x14ac:dyDescent="0.25">
      <c r="A1786">
        <f t="shared" si="27"/>
        <v>0</v>
      </c>
      <c r="B1786" t="b">
        <f>SUMPRODUCT(LEN('hospitalityq-nil'!C1786:D1786))&gt;0</f>
        <v>0</v>
      </c>
      <c r="C1786">
        <f>B1786*('hospitalityq-nil'!C1786="")</f>
        <v>0</v>
      </c>
      <c r="D1786">
        <f>B1786*('hospitalityq-nil'!D1786="")</f>
        <v>0</v>
      </c>
    </row>
    <row r="1787" spans="1:4" x14ac:dyDescent="0.25">
      <c r="A1787">
        <f t="shared" si="27"/>
        <v>0</v>
      </c>
      <c r="B1787" t="b">
        <f>SUMPRODUCT(LEN('hospitalityq-nil'!C1787:D1787))&gt;0</f>
        <v>0</v>
      </c>
      <c r="C1787">
        <f>B1787*('hospitalityq-nil'!C1787="")</f>
        <v>0</v>
      </c>
      <c r="D1787">
        <f>B1787*('hospitalityq-nil'!D1787="")</f>
        <v>0</v>
      </c>
    </row>
    <row r="1788" spans="1:4" x14ac:dyDescent="0.25">
      <c r="A1788">
        <f t="shared" si="27"/>
        <v>0</v>
      </c>
      <c r="B1788" t="b">
        <f>SUMPRODUCT(LEN('hospitalityq-nil'!C1788:D1788))&gt;0</f>
        <v>0</v>
      </c>
      <c r="C1788">
        <f>B1788*('hospitalityq-nil'!C1788="")</f>
        <v>0</v>
      </c>
      <c r="D1788">
        <f>B1788*('hospitalityq-nil'!D1788="")</f>
        <v>0</v>
      </c>
    </row>
    <row r="1789" spans="1:4" x14ac:dyDescent="0.25">
      <c r="A1789">
        <f t="shared" si="27"/>
        <v>0</v>
      </c>
      <c r="B1789" t="b">
        <f>SUMPRODUCT(LEN('hospitalityq-nil'!C1789:D1789))&gt;0</f>
        <v>0</v>
      </c>
      <c r="C1789">
        <f>B1789*('hospitalityq-nil'!C1789="")</f>
        <v>0</v>
      </c>
      <c r="D1789">
        <f>B1789*('hospitalityq-nil'!D1789="")</f>
        <v>0</v>
      </c>
    </row>
    <row r="1790" spans="1:4" x14ac:dyDescent="0.25">
      <c r="A1790">
        <f t="shared" si="27"/>
        <v>0</v>
      </c>
      <c r="B1790" t="b">
        <f>SUMPRODUCT(LEN('hospitalityq-nil'!C1790:D1790))&gt;0</f>
        <v>0</v>
      </c>
      <c r="C1790">
        <f>B1790*('hospitalityq-nil'!C1790="")</f>
        <v>0</v>
      </c>
      <c r="D1790">
        <f>B1790*('hospitalityq-nil'!D1790="")</f>
        <v>0</v>
      </c>
    </row>
    <row r="1791" spans="1:4" x14ac:dyDescent="0.25">
      <c r="A1791">
        <f t="shared" si="27"/>
        <v>0</v>
      </c>
      <c r="B1791" t="b">
        <f>SUMPRODUCT(LEN('hospitalityq-nil'!C1791:D1791))&gt;0</f>
        <v>0</v>
      </c>
      <c r="C1791">
        <f>B1791*('hospitalityq-nil'!C1791="")</f>
        <v>0</v>
      </c>
      <c r="D1791">
        <f>B1791*('hospitalityq-nil'!D1791="")</f>
        <v>0</v>
      </c>
    </row>
    <row r="1792" spans="1:4" x14ac:dyDescent="0.25">
      <c r="A1792">
        <f t="shared" si="27"/>
        <v>0</v>
      </c>
      <c r="B1792" t="b">
        <f>SUMPRODUCT(LEN('hospitalityq-nil'!C1792:D1792))&gt;0</f>
        <v>0</v>
      </c>
      <c r="C1792">
        <f>B1792*('hospitalityq-nil'!C1792="")</f>
        <v>0</v>
      </c>
      <c r="D1792">
        <f>B1792*('hospitalityq-nil'!D1792="")</f>
        <v>0</v>
      </c>
    </row>
    <row r="1793" spans="1:4" x14ac:dyDescent="0.25">
      <c r="A1793">
        <f t="shared" si="27"/>
        <v>0</v>
      </c>
      <c r="B1793" t="b">
        <f>SUMPRODUCT(LEN('hospitalityq-nil'!C1793:D1793))&gt;0</f>
        <v>0</v>
      </c>
      <c r="C1793">
        <f>B1793*('hospitalityq-nil'!C1793="")</f>
        <v>0</v>
      </c>
      <c r="D1793">
        <f>B1793*('hospitalityq-nil'!D1793="")</f>
        <v>0</v>
      </c>
    </row>
    <row r="1794" spans="1:4" x14ac:dyDescent="0.25">
      <c r="A1794">
        <f t="shared" si="27"/>
        <v>0</v>
      </c>
      <c r="B1794" t="b">
        <f>SUMPRODUCT(LEN('hospitalityq-nil'!C1794:D1794))&gt;0</f>
        <v>0</v>
      </c>
      <c r="C1794">
        <f>B1794*('hospitalityq-nil'!C1794="")</f>
        <v>0</v>
      </c>
      <c r="D1794">
        <f>B1794*('hospitalityq-nil'!D1794="")</f>
        <v>0</v>
      </c>
    </row>
    <row r="1795" spans="1:4" x14ac:dyDescent="0.25">
      <c r="A1795">
        <f t="shared" si="27"/>
        <v>0</v>
      </c>
      <c r="B1795" t="b">
        <f>SUMPRODUCT(LEN('hospitalityq-nil'!C1795:D1795))&gt;0</f>
        <v>0</v>
      </c>
      <c r="C1795">
        <f>B1795*('hospitalityq-nil'!C1795="")</f>
        <v>0</v>
      </c>
      <c r="D1795">
        <f>B1795*('hospitalityq-nil'!D1795="")</f>
        <v>0</v>
      </c>
    </row>
    <row r="1796" spans="1:4" x14ac:dyDescent="0.25">
      <c r="A1796">
        <f t="shared" si="27"/>
        <v>0</v>
      </c>
      <c r="B1796" t="b">
        <f>SUMPRODUCT(LEN('hospitalityq-nil'!C1796:D1796))&gt;0</f>
        <v>0</v>
      </c>
      <c r="C1796">
        <f>B1796*('hospitalityq-nil'!C1796="")</f>
        <v>0</v>
      </c>
      <c r="D1796">
        <f>B1796*('hospitalityq-nil'!D1796="")</f>
        <v>0</v>
      </c>
    </row>
    <row r="1797" spans="1:4" x14ac:dyDescent="0.25">
      <c r="A1797">
        <f t="shared" si="27"/>
        <v>0</v>
      </c>
      <c r="B1797" t="b">
        <f>SUMPRODUCT(LEN('hospitalityq-nil'!C1797:D1797))&gt;0</f>
        <v>0</v>
      </c>
      <c r="C1797">
        <f>B1797*('hospitalityq-nil'!C1797="")</f>
        <v>0</v>
      </c>
      <c r="D1797">
        <f>B1797*('hospitalityq-nil'!D1797="")</f>
        <v>0</v>
      </c>
    </row>
    <row r="1798" spans="1:4" x14ac:dyDescent="0.25">
      <c r="A1798">
        <f t="shared" ref="A1798:A1861" si="28">IFERROR(MATCH(TRUE,INDEX(C1798:D1798&lt;&gt;0,),)+2,0)</f>
        <v>0</v>
      </c>
      <c r="B1798" t="b">
        <f>SUMPRODUCT(LEN('hospitalityq-nil'!C1798:D1798))&gt;0</f>
        <v>0</v>
      </c>
      <c r="C1798">
        <f>B1798*('hospitalityq-nil'!C1798="")</f>
        <v>0</v>
      </c>
      <c r="D1798">
        <f>B1798*('hospitalityq-nil'!D1798="")</f>
        <v>0</v>
      </c>
    </row>
    <row r="1799" spans="1:4" x14ac:dyDescent="0.25">
      <c r="A1799">
        <f t="shared" si="28"/>
        <v>0</v>
      </c>
      <c r="B1799" t="b">
        <f>SUMPRODUCT(LEN('hospitalityq-nil'!C1799:D1799))&gt;0</f>
        <v>0</v>
      </c>
      <c r="C1799">
        <f>B1799*('hospitalityq-nil'!C1799="")</f>
        <v>0</v>
      </c>
      <c r="D1799">
        <f>B1799*('hospitalityq-nil'!D1799="")</f>
        <v>0</v>
      </c>
    </row>
    <row r="1800" spans="1:4" x14ac:dyDescent="0.25">
      <c r="A1800">
        <f t="shared" si="28"/>
        <v>0</v>
      </c>
      <c r="B1800" t="b">
        <f>SUMPRODUCT(LEN('hospitalityq-nil'!C1800:D1800))&gt;0</f>
        <v>0</v>
      </c>
      <c r="C1800">
        <f>B1800*('hospitalityq-nil'!C1800="")</f>
        <v>0</v>
      </c>
      <c r="D1800">
        <f>B1800*('hospitalityq-nil'!D1800="")</f>
        <v>0</v>
      </c>
    </row>
    <row r="1801" spans="1:4" x14ac:dyDescent="0.25">
      <c r="A1801">
        <f t="shared" si="28"/>
        <v>0</v>
      </c>
      <c r="B1801" t="b">
        <f>SUMPRODUCT(LEN('hospitalityq-nil'!C1801:D1801))&gt;0</f>
        <v>0</v>
      </c>
      <c r="C1801">
        <f>B1801*('hospitalityq-nil'!C1801="")</f>
        <v>0</v>
      </c>
      <c r="D1801">
        <f>B1801*('hospitalityq-nil'!D1801="")</f>
        <v>0</v>
      </c>
    </row>
    <row r="1802" spans="1:4" x14ac:dyDescent="0.25">
      <c r="A1802">
        <f t="shared" si="28"/>
        <v>0</v>
      </c>
      <c r="B1802" t="b">
        <f>SUMPRODUCT(LEN('hospitalityq-nil'!C1802:D1802))&gt;0</f>
        <v>0</v>
      </c>
      <c r="C1802">
        <f>B1802*('hospitalityq-nil'!C1802="")</f>
        <v>0</v>
      </c>
      <c r="D1802">
        <f>B1802*('hospitalityq-nil'!D1802="")</f>
        <v>0</v>
      </c>
    </row>
    <row r="1803" spans="1:4" x14ac:dyDescent="0.25">
      <c r="A1803">
        <f t="shared" si="28"/>
        <v>0</v>
      </c>
      <c r="B1803" t="b">
        <f>SUMPRODUCT(LEN('hospitalityq-nil'!C1803:D1803))&gt;0</f>
        <v>0</v>
      </c>
      <c r="C1803">
        <f>B1803*('hospitalityq-nil'!C1803="")</f>
        <v>0</v>
      </c>
      <c r="D1803">
        <f>B1803*('hospitalityq-nil'!D1803="")</f>
        <v>0</v>
      </c>
    </row>
    <row r="1804" spans="1:4" x14ac:dyDescent="0.25">
      <c r="A1804">
        <f t="shared" si="28"/>
        <v>0</v>
      </c>
      <c r="B1804" t="b">
        <f>SUMPRODUCT(LEN('hospitalityq-nil'!C1804:D1804))&gt;0</f>
        <v>0</v>
      </c>
      <c r="C1804">
        <f>B1804*('hospitalityq-nil'!C1804="")</f>
        <v>0</v>
      </c>
      <c r="D1804">
        <f>B1804*('hospitalityq-nil'!D1804="")</f>
        <v>0</v>
      </c>
    </row>
    <row r="1805" spans="1:4" x14ac:dyDescent="0.25">
      <c r="A1805">
        <f t="shared" si="28"/>
        <v>0</v>
      </c>
      <c r="B1805" t="b">
        <f>SUMPRODUCT(LEN('hospitalityq-nil'!C1805:D1805))&gt;0</f>
        <v>0</v>
      </c>
      <c r="C1805">
        <f>B1805*('hospitalityq-nil'!C1805="")</f>
        <v>0</v>
      </c>
      <c r="D1805">
        <f>B1805*('hospitalityq-nil'!D1805="")</f>
        <v>0</v>
      </c>
    </row>
    <row r="1806" spans="1:4" x14ac:dyDescent="0.25">
      <c r="A1806">
        <f t="shared" si="28"/>
        <v>0</v>
      </c>
      <c r="B1806" t="b">
        <f>SUMPRODUCT(LEN('hospitalityq-nil'!C1806:D1806))&gt;0</f>
        <v>0</v>
      </c>
      <c r="C1806">
        <f>B1806*('hospitalityq-nil'!C1806="")</f>
        <v>0</v>
      </c>
      <c r="D1806">
        <f>B1806*('hospitalityq-nil'!D1806="")</f>
        <v>0</v>
      </c>
    </row>
    <row r="1807" spans="1:4" x14ac:dyDescent="0.25">
      <c r="A1807">
        <f t="shared" si="28"/>
        <v>0</v>
      </c>
      <c r="B1807" t="b">
        <f>SUMPRODUCT(LEN('hospitalityq-nil'!C1807:D1807))&gt;0</f>
        <v>0</v>
      </c>
      <c r="C1807">
        <f>B1807*('hospitalityq-nil'!C1807="")</f>
        <v>0</v>
      </c>
      <c r="D1807">
        <f>B1807*('hospitalityq-nil'!D1807="")</f>
        <v>0</v>
      </c>
    </row>
    <row r="1808" spans="1:4" x14ac:dyDescent="0.25">
      <c r="A1808">
        <f t="shared" si="28"/>
        <v>0</v>
      </c>
      <c r="B1808" t="b">
        <f>SUMPRODUCT(LEN('hospitalityq-nil'!C1808:D1808))&gt;0</f>
        <v>0</v>
      </c>
      <c r="C1808">
        <f>B1808*('hospitalityq-nil'!C1808="")</f>
        <v>0</v>
      </c>
      <c r="D1808">
        <f>B1808*('hospitalityq-nil'!D1808="")</f>
        <v>0</v>
      </c>
    </row>
    <row r="1809" spans="1:4" x14ac:dyDescent="0.25">
      <c r="A1809">
        <f t="shared" si="28"/>
        <v>0</v>
      </c>
      <c r="B1809" t="b">
        <f>SUMPRODUCT(LEN('hospitalityq-nil'!C1809:D1809))&gt;0</f>
        <v>0</v>
      </c>
      <c r="C1809">
        <f>B1809*('hospitalityq-nil'!C1809="")</f>
        <v>0</v>
      </c>
      <c r="D1809">
        <f>B1809*('hospitalityq-nil'!D1809="")</f>
        <v>0</v>
      </c>
    </row>
    <row r="1810" spans="1:4" x14ac:dyDescent="0.25">
      <c r="A1810">
        <f t="shared" si="28"/>
        <v>0</v>
      </c>
      <c r="B1810" t="b">
        <f>SUMPRODUCT(LEN('hospitalityq-nil'!C1810:D1810))&gt;0</f>
        <v>0</v>
      </c>
      <c r="C1810">
        <f>B1810*('hospitalityq-nil'!C1810="")</f>
        <v>0</v>
      </c>
      <c r="D1810">
        <f>B1810*('hospitalityq-nil'!D1810="")</f>
        <v>0</v>
      </c>
    </row>
    <row r="1811" spans="1:4" x14ac:dyDescent="0.25">
      <c r="A1811">
        <f t="shared" si="28"/>
        <v>0</v>
      </c>
      <c r="B1811" t="b">
        <f>SUMPRODUCT(LEN('hospitalityq-nil'!C1811:D1811))&gt;0</f>
        <v>0</v>
      </c>
      <c r="C1811">
        <f>B1811*('hospitalityq-nil'!C1811="")</f>
        <v>0</v>
      </c>
      <c r="D1811">
        <f>B1811*('hospitalityq-nil'!D1811="")</f>
        <v>0</v>
      </c>
    </row>
    <row r="1812" spans="1:4" x14ac:dyDescent="0.25">
      <c r="A1812">
        <f t="shared" si="28"/>
        <v>0</v>
      </c>
      <c r="B1812" t="b">
        <f>SUMPRODUCT(LEN('hospitalityq-nil'!C1812:D1812))&gt;0</f>
        <v>0</v>
      </c>
      <c r="C1812">
        <f>B1812*('hospitalityq-nil'!C1812="")</f>
        <v>0</v>
      </c>
      <c r="D1812">
        <f>B1812*('hospitalityq-nil'!D1812="")</f>
        <v>0</v>
      </c>
    </row>
    <row r="1813" spans="1:4" x14ac:dyDescent="0.25">
      <c r="A1813">
        <f t="shared" si="28"/>
        <v>0</v>
      </c>
      <c r="B1813" t="b">
        <f>SUMPRODUCT(LEN('hospitalityq-nil'!C1813:D1813))&gt;0</f>
        <v>0</v>
      </c>
      <c r="C1813">
        <f>B1813*('hospitalityq-nil'!C1813="")</f>
        <v>0</v>
      </c>
      <c r="D1813">
        <f>B1813*('hospitalityq-nil'!D1813="")</f>
        <v>0</v>
      </c>
    </row>
    <row r="1814" spans="1:4" x14ac:dyDescent="0.25">
      <c r="A1814">
        <f t="shared" si="28"/>
        <v>0</v>
      </c>
      <c r="B1814" t="b">
        <f>SUMPRODUCT(LEN('hospitalityq-nil'!C1814:D1814))&gt;0</f>
        <v>0</v>
      </c>
      <c r="C1814">
        <f>B1814*('hospitalityq-nil'!C1814="")</f>
        <v>0</v>
      </c>
      <c r="D1814">
        <f>B1814*('hospitalityq-nil'!D1814="")</f>
        <v>0</v>
      </c>
    </row>
    <row r="1815" spans="1:4" x14ac:dyDescent="0.25">
      <c r="A1815">
        <f t="shared" si="28"/>
        <v>0</v>
      </c>
      <c r="B1815" t="b">
        <f>SUMPRODUCT(LEN('hospitalityq-nil'!C1815:D1815))&gt;0</f>
        <v>0</v>
      </c>
      <c r="C1815">
        <f>B1815*('hospitalityq-nil'!C1815="")</f>
        <v>0</v>
      </c>
      <c r="D1815">
        <f>B1815*('hospitalityq-nil'!D1815="")</f>
        <v>0</v>
      </c>
    </row>
    <row r="1816" spans="1:4" x14ac:dyDescent="0.25">
      <c r="A1816">
        <f t="shared" si="28"/>
        <v>0</v>
      </c>
      <c r="B1816" t="b">
        <f>SUMPRODUCT(LEN('hospitalityq-nil'!C1816:D1816))&gt;0</f>
        <v>0</v>
      </c>
      <c r="C1816">
        <f>B1816*('hospitalityq-nil'!C1816="")</f>
        <v>0</v>
      </c>
      <c r="D1816">
        <f>B1816*('hospitalityq-nil'!D1816="")</f>
        <v>0</v>
      </c>
    </row>
    <row r="1817" spans="1:4" x14ac:dyDescent="0.25">
      <c r="A1817">
        <f t="shared" si="28"/>
        <v>0</v>
      </c>
      <c r="B1817" t="b">
        <f>SUMPRODUCT(LEN('hospitalityq-nil'!C1817:D1817))&gt;0</f>
        <v>0</v>
      </c>
      <c r="C1817">
        <f>B1817*('hospitalityq-nil'!C1817="")</f>
        <v>0</v>
      </c>
      <c r="D1817">
        <f>B1817*('hospitalityq-nil'!D1817="")</f>
        <v>0</v>
      </c>
    </row>
    <row r="1818" spans="1:4" x14ac:dyDescent="0.25">
      <c r="A1818">
        <f t="shared" si="28"/>
        <v>0</v>
      </c>
      <c r="B1818" t="b">
        <f>SUMPRODUCT(LEN('hospitalityq-nil'!C1818:D1818))&gt;0</f>
        <v>0</v>
      </c>
      <c r="C1818">
        <f>B1818*('hospitalityq-nil'!C1818="")</f>
        <v>0</v>
      </c>
      <c r="D1818">
        <f>B1818*('hospitalityq-nil'!D1818="")</f>
        <v>0</v>
      </c>
    </row>
    <row r="1819" spans="1:4" x14ac:dyDescent="0.25">
      <c r="A1819">
        <f t="shared" si="28"/>
        <v>0</v>
      </c>
      <c r="B1819" t="b">
        <f>SUMPRODUCT(LEN('hospitalityq-nil'!C1819:D1819))&gt;0</f>
        <v>0</v>
      </c>
      <c r="C1819">
        <f>B1819*('hospitalityq-nil'!C1819="")</f>
        <v>0</v>
      </c>
      <c r="D1819">
        <f>B1819*('hospitalityq-nil'!D1819="")</f>
        <v>0</v>
      </c>
    </row>
    <row r="1820" spans="1:4" x14ac:dyDescent="0.25">
      <c r="A1820">
        <f t="shared" si="28"/>
        <v>0</v>
      </c>
      <c r="B1820" t="b">
        <f>SUMPRODUCT(LEN('hospitalityq-nil'!C1820:D1820))&gt;0</f>
        <v>0</v>
      </c>
      <c r="C1820">
        <f>B1820*('hospitalityq-nil'!C1820="")</f>
        <v>0</v>
      </c>
      <c r="D1820">
        <f>B1820*('hospitalityq-nil'!D1820="")</f>
        <v>0</v>
      </c>
    </row>
    <row r="1821" spans="1:4" x14ac:dyDescent="0.25">
      <c r="A1821">
        <f t="shared" si="28"/>
        <v>0</v>
      </c>
      <c r="B1821" t="b">
        <f>SUMPRODUCT(LEN('hospitalityq-nil'!C1821:D1821))&gt;0</f>
        <v>0</v>
      </c>
      <c r="C1821">
        <f>B1821*('hospitalityq-nil'!C1821="")</f>
        <v>0</v>
      </c>
      <c r="D1821">
        <f>B1821*('hospitalityq-nil'!D1821="")</f>
        <v>0</v>
      </c>
    </row>
    <row r="1822" spans="1:4" x14ac:dyDescent="0.25">
      <c r="A1822">
        <f t="shared" si="28"/>
        <v>0</v>
      </c>
      <c r="B1822" t="b">
        <f>SUMPRODUCT(LEN('hospitalityq-nil'!C1822:D1822))&gt;0</f>
        <v>0</v>
      </c>
      <c r="C1822">
        <f>B1822*('hospitalityq-nil'!C1822="")</f>
        <v>0</v>
      </c>
      <c r="D1822">
        <f>B1822*('hospitalityq-nil'!D1822="")</f>
        <v>0</v>
      </c>
    </row>
    <row r="1823" spans="1:4" x14ac:dyDescent="0.25">
      <c r="A1823">
        <f t="shared" si="28"/>
        <v>0</v>
      </c>
      <c r="B1823" t="b">
        <f>SUMPRODUCT(LEN('hospitalityq-nil'!C1823:D1823))&gt;0</f>
        <v>0</v>
      </c>
      <c r="C1823">
        <f>B1823*('hospitalityq-nil'!C1823="")</f>
        <v>0</v>
      </c>
      <c r="D1823">
        <f>B1823*('hospitalityq-nil'!D1823="")</f>
        <v>0</v>
      </c>
    </row>
    <row r="1824" spans="1:4" x14ac:dyDescent="0.25">
      <c r="A1824">
        <f t="shared" si="28"/>
        <v>0</v>
      </c>
      <c r="B1824" t="b">
        <f>SUMPRODUCT(LEN('hospitalityq-nil'!C1824:D1824))&gt;0</f>
        <v>0</v>
      </c>
      <c r="C1824">
        <f>B1824*('hospitalityq-nil'!C1824="")</f>
        <v>0</v>
      </c>
      <c r="D1824">
        <f>B1824*('hospitalityq-nil'!D1824="")</f>
        <v>0</v>
      </c>
    </row>
    <row r="1825" spans="1:4" x14ac:dyDescent="0.25">
      <c r="A1825">
        <f t="shared" si="28"/>
        <v>0</v>
      </c>
      <c r="B1825" t="b">
        <f>SUMPRODUCT(LEN('hospitalityq-nil'!C1825:D1825))&gt;0</f>
        <v>0</v>
      </c>
      <c r="C1825">
        <f>B1825*('hospitalityq-nil'!C1825="")</f>
        <v>0</v>
      </c>
      <c r="D1825">
        <f>B1825*('hospitalityq-nil'!D1825="")</f>
        <v>0</v>
      </c>
    </row>
    <row r="1826" spans="1:4" x14ac:dyDescent="0.25">
      <c r="A1826">
        <f t="shared" si="28"/>
        <v>0</v>
      </c>
      <c r="B1826" t="b">
        <f>SUMPRODUCT(LEN('hospitalityq-nil'!C1826:D1826))&gt;0</f>
        <v>0</v>
      </c>
      <c r="C1826">
        <f>B1826*('hospitalityq-nil'!C1826="")</f>
        <v>0</v>
      </c>
      <c r="D1826">
        <f>B1826*('hospitalityq-nil'!D1826="")</f>
        <v>0</v>
      </c>
    </row>
    <row r="1827" spans="1:4" x14ac:dyDescent="0.25">
      <c r="A1827">
        <f t="shared" si="28"/>
        <v>0</v>
      </c>
      <c r="B1827" t="b">
        <f>SUMPRODUCT(LEN('hospitalityq-nil'!C1827:D1827))&gt;0</f>
        <v>0</v>
      </c>
      <c r="C1827">
        <f>B1827*('hospitalityq-nil'!C1827="")</f>
        <v>0</v>
      </c>
      <c r="D1827">
        <f>B1827*('hospitalityq-nil'!D1827="")</f>
        <v>0</v>
      </c>
    </row>
    <row r="1828" spans="1:4" x14ac:dyDescent="0.25">
      <c r="A1828">
        <f t="shared" si="28"/>
        <v>0</v>
      </c>
      <c r="B1828" t="b">
        <f>SUMPRODUCT(LEN('hospitalityq-nil'!C1828:D1828))&gt;0</f>
        <v>0</v>
      </c>
      <c r="C1828">
        <f>B1828*('hospitalityq-nil'!C1828="")</f>
        <v>0</v>
      </c>
      <c r="D1828">
        <f>B1828*('hospitalityq-nil'!D1828="")</f>
        <v>0</v>
      </c>
    </row>
    <row r="1829" spans="1:4" x14ac:dyDescent="0.25">
      <c r="A1829">
        <f t="shared" si="28"/>
        <v>0</v>
      </c>
      <c r="B1829" t="b">
        <f>SUMPRODUCT(LEN('hospitalityq-nil'!C1829:D1829))&gt;0</f>
        <v>0</v>
      </c>
      <c r="C1829">
        <f>B1829*('hospitalityq-nil'!C1829="")</f>
        <v>0</v>
      </c>
      <c r="D1829">
        <f>B1829*('hospitalityq-nil'!D1829="")</f>
        <v>0</v>
      </c>
    </row>
    <row r="1830" spans="1:4" x14ac:dyDescent="0.25">
      <c r="A1830">
        <f t="shared" si="28"/>
        <v>0</v>
      </c>
      <c r="B1830" t="b">
        <f>SUMPRODUCT(LEN('hospitalityq-nil'!C1830:D1830))&gt;0</f>
        <v>0</v>
      </c>
      <c r="C1830">
        <f>B1830*('hospitalityq-nil'!C1830="")</f>
        <v>0</v>
      </c>
      <c r="D1830">
        <f>B1830*('hospitalityq-nil'!D1830="")</f>
        <v>0</v>
      </c>
    </row>
    <row r="1831" spans="1:4" x14ac:dyDescent="0.25">
      <c r="A1831">
        <f t="shared" si="28"/>
        <v>0</v>
      </c>
      <c r="B1831" t="b">
        <f>SUMPRODUCT(LEN('hospitalityq-nil'!C1831:D1831))&gt;0</f>
        <v>0</v>
      </c>
      <c r="C1831">
        <f>B1831*('hospitalityq-nil'!C1831="")</f>
        <v>0</v>
      </c>
      <c r="D1831">
        <f>B1831*('hospitalityq-nil'!D1831="")</f>
        <v>0</v>
      </c>
    </row>
    <row r="1832" spans="1:4" x14ac:dyDescent="0.25">
      <c r="A1832">
        <f t="shared" si="28"/>
        <v>0</v>
      </c>
      <c r="B1832" t="b">
        <f>SUMPRODUCT(LEN('hospitalityq-nil'!C1832:D1832))&gt;0</f>
        <v>0</v>
      </c>
      <c r="C1832">
        <f>B1832*('hospitalityq-nil'!C1832="")</f>
        <v>0</v>
      </c>
      <c r="D1832">
        <f>B1832*('hospitalityq-nil'!D1832="")</f>
        <v>0</v>
      </c>
    </row>
    <row r="1833" spans="1:4" x14ac:dyDescent="0.25">
      <c r="A1833">
        <f t="shared" si="28"/>
        <v>0</v>
      </c>
      <c r="B1833" t="b">
        <f>SUMPRODUCT(LEN('hospitalityq-nil'!C1833:D1833))&gt;0</f>
        <v>0</v>
      </c>
      <c r="C1833">
        <f>B1833*('hospitalityq-nil'!C1833="")</f>
        <v>0</v>
      </c>
      <c r="D1833">
        <f>B1833*('hospitalityq-nil'!D1833="")</f>
        <v>0</v>
      </c>
    </row>
    <row r="1834" spans="1:4" x14ac:dyDescent="0.25">
      <c r="A1834">
        <f t="shared" si="28"/>
        <v>0</v>
      </c>
      <c r="B1834" t="b">
        <f>SUMPRODUCT(LEN('hospitalityq-nil'!C1834:D1834))&gt;0</f>
        <v>0</v>
      </c>
      <c r="C1834">
        <f>B1834*('hospitalityq-nil'!C1834="")</f>
        <v>0</v>
      </c>
      <c r="D1834">
        <f>B1834*('hospitalityq-nil'!D1834="")</f>
        <v>0</v>
      </c>
    </row>
    <row r="1835" spans="1:4" x14ac:dyDescent="0.25">
      <c r="A1835">
        <f t="shared" si="28"/>
        <v>0</v>
      </c>
      <c r="B1835" t="b">
        <f>SUMPRODUCT(LEN('hospitalityq-nil'!C1835:D1835))&gt;0</f>
        <v>0</v>
      </c>
      <c r="C1835">
        <f>B1835*('hospitalityq-nil'!C1835="")</f>
        <v>0</v>
      </c>
      <c r="D1835">
        <f>B1835*('hospitalityq-nil'!D1835="")</f>
        <v>0</v>
      </c>
    </row>
    <row r="1836" spans="1:4" x14ac:dyDescent="0.25">
      <c r="A1836">
        <f t="shared" si="28"/>
        <v>0</v>
      </c>
      <c r="B1836" t="b">
        <f>SUMPRODUCT(LEN('hospitalityq-nil'!C1836:D1836))&gt;0</f>
        <v>0</v>
      </c>
      <c r="C1836">
        <f>B1836*('hospitalityq-nil'!C1836="")</f>
        <v>0</v>
      </c>
      <c r="D1836">
        <f>B1836*('hospitalityq-nil'!D1836="")</f>
        <v>0</v>
      </c>
    </row>
    <row r="1837" spans="1:4" x14ac:dyDescent="0.25">
      <c r="A1837">
        <f t="shared" si="28"/>
        <v>0</v>
      </c>
      <c r="B1837" t="b">
        <f>SUMPRODUCT(LEN('hospitalityq-nil'!C1837:D1837))&gt;0</f>
        <v>0</v>
      </c>
      <c r="C1837">
        <f>B1837*('hospitalityq-nil'!C1837="")</f>
        <v>0</v>
      </c>
      <c r="D1837">
        <f>B1837*('hospitalityq-nil'!D1837="")</f>
        <v>0</v>
      </c>
    </row>
    <row r="1838" spans="1:4" x14ac:dyDescent="0.25">
      <c r="A1838">
        <f t="shared" si="28"/>
        <v>0</v>
      </c>
      <c r="B1838" t="b">
        <f>SUMPRODUCT(LEN('hospitalityq-nil'!C1838:D1838))&gt;0</f>
        <v>0</v>
      </c>
      <c r="C1838">
        <f>B1838*('hospitalityq-nil'!C1838="")</f>
        <v>0</v>
      </c>
      <c r="D1838">
        <f>B1838*('hospitalityq-nil'!D1838="")</f>
        <v>0</v>
      </c>
    </row>
    <row r="1839" spans="1:4" x14ac:dyDescent="0.25">
      <c r="A1839">
        <f t="shared" si="28"/>
        <v>0</v>
      </c>
      <c r="B1839" t="b">
        <f>SUMPRODUCT(LEN('hospitalityq-nil'!C1839:D1839))&gt;0</f>
        <v>0</v>
      </c>
      <c r="C1839">
        <f>B1839*('hospitalityq-nil'!C1839="")</f>
        <v>0</v>
      </c>
      <c r="D1839">
        <f>B1839*('hospitalityq-nil'!D1839="")</f>
        <v>0</v>
      </c>
    </row>
    <row r="1840" spans="1:4" x14ac:dyDescent="0.25">
      <c r="A1840">
        <f t="shared" si="28"/>
        <v>0</v>
      </c>
      <c r="B1840" t="b">
        <f>SUMPRODUCT(LEN('hospitalityq-nil'!C1840:D1840))&gt;0</f>
        <v>0</v>
      </c>
      <c r="C1840">
        <f>B1840*('hospitalityq-nil'!C1840="")</f>
        <v>0</v>
      </c>
      <c r="D1840">
        <f>B1840*('hospitalityq-nil'!D1840="")</f>
        <v>0</v>
      </c>
    </row>
    <row r="1841" spans="1:4" x14ac:dyDescent="0.25">
      <c r="A1841">
        <f t="shared" si="28"/>
        <v>0</v>
      </c>
      <c r="B1841" t="b">
        <f>SUMPRODUCT(LEN('hospitalityq-nil'!C1841:D1841))&gt;0</f>
        <v>0</v>
      </c>
      <c r="C1841">
        <f>B1841*('hospitalityq-nil'!C1841="")</f>
        <v>0</v>
      </c>
      <c r="D1841">
        <f>B1841*('hospitalityq-nil'!D1841="")</f>
        <v>0</v>
      </c>
    </row>
    <row r="1842" spans="1:4" x14ac:dyDescent="0.25">
      <c r="A1842">
        <f t="shared" si="28"/>
        <v>0</v>
      </c>
      <c r="B1842" t="b">
        <f>SUMPRODUCT(LEN('hospitalityq-nil'!C1842:D1842))&gt;0</f>
        <v>0</v>
      </c>
      <c r="C1842">
        <f>B1842*('hospitalityq-nil'!C1842="")</f>
        <v>0</v>
      </c>
      <c r="D1842">
        <f>B1842*('hospitalityq-nil'!D1842="")</f>
        <v>0</v>
      </c>
    </row>
    <row r="1843" spans="1:4" x14ac:dyDescent="0.25">
      <c r="A1843">
        <f t="shared" si="28"/>
        <v>0</v>
      </c>
      <c r="B1843" t="b">
        <f>SUMPRODUCT(LEN('hospitalityq-nil'!C1843:D1843))&gt;0</f>
        <v>0</v>
      </c>
      <c r="C1843">
        <f>B1843*('hospitalityq-nil'!C1843="")</f>
        <v>0</v>
      </c>
      <c r="D1843">
        <f>B1843*('hospitalityq-nil'!D1843="")</f>
        <v>0</v>
      </c>
    </row>
    <row r="1844" spans="1:4" x14ac:dyDescent="0.25">
      <c r="A1844">
        <f t="shared" si="28"/>
        <v>0</v>
      </c>
      <c r="B1844" t="b">
        <f>SUMPRODUCT(LEN('hospitalityq-nil'!C1844:D1844))&gt;0</f>
        <v>0</v>
      </c>
      <c r="C1844">
        <f>B1844*('hospitalityq-nil'!C1844="")</f>
        <v>0</v>
      </c>
      <c r="D1844">
        <f>B1844*('hospitalityq-nil'!D1844="")</f>
        <v>0</v>
      </c>
    </row>
    <row r="1845" spans="1:4" x14ac:dyDescent="0.25">
      <c r="A1845">
        <f t="shared" si="28"/>
        <v>0</v>
      </c>
      <c r="B1845" t="b">
        <f>SUMPRODUCT(LEN('hospitalityq-nil'!C1845:D1845))&gt;0</f>
        <v>0</v>
      </c>
      <c r="C1845">
        <f>B1845*('hospitalityq-nil'!C1845="")</f>
        <v>0</v>
      </c>
      <c r="D1845">
        <f>B1845*('hospitalityq-nil'!D1845="")</f>
        <v>0</v>
      </c>
    </row>
    <row r="1846" spans="1:4" x14ac:dyDescent="0.25">
      <c r="A1846">
        <f t="shared" si="28"/>
        <v>0</v>
      </c>
      <c r="B1846" t="b">
        <f>SUMPRODUCT(LEN('hospitalityq-nil'!C1846:D1846))&gt;0</f>
        <v>0</v>
      </c>
      <c r="C1846">
        <f>B1846*('hospitalityq-nil'!C1846="")</f>
        <v>0</v>
      </c>
      <c r="D1846">
        <f>B1846*('hospitalityq-nil'!D1846="")</f>
        <v>0</v>
      </c>
    </row>
    <row r="1847" spans="1:4" x14ac:dyDescent="0.25">
      <c r="A1847">
        <f t="shared" si="28"/>
        <v>0</v>
      </c>
      <c r="B1847" t="b">
        <f>SUMPRODUCT(LEN('hospitalityq-nil'!C1847:D1847))&gt;0</f>
        <v>0</v>
      </c>
      <c r="C1847">
        <f>B1847*('hospitalityq-nil'!C1847="")</f>
        <v>0</v>
      </c>
      <c r="D1847">
        <f>B1847*('hospitalityq-nil'!D1847="")</f>
        <v>0</v>
      </c>
    </row>
    <row r="1848" spans="1:4" x14ac:dyDescent="0.25">
      <c r="A1848">
        <f t="shared" si="28"/>
        <v>0</v>
      </c>
      <c r="B1848" t="b">
        <f>SUMPRODUCT(LEN('hospitalityq-nil'!C1848:D1848))&gt;0</f>
        <v>0</v>
      </c>
      <c r="C1848">
        <f>B1848*('hospitalityq-nil'!C1848="")</f>
        <v>0</v>
      </c>
      <c r="D1848">
        <f>B1848*('hospitalityq-nil'!D1848="")</f>
        <v>0</v>
      </c>
    </row>
    <row r="1849" spans="1:4" x14ac:dyDescent="0.25">
      <c r="A1849">
        <f t="shared" si="28"/>
        <v>0</v>
      </c>
      <c r="B1849" t="b">
        <f>SUMPRODUCT(LEN('hospitalityq-nil'!C1849:D1849))&gt;0</f>
        <v>0</v>
      </c>
      <c r="C1849">
        <f>B1849*('hospitalityq-nil'!C1849="")</f>
        <v>0</v>
      </c>
      <c r="D1849">
        <f>B1849*('hospitalityq-nil'!D1849="")</f>
        <v>0</v>
      </c>
    </row>
    <row r="1850" spans="1:4" x14ac:dyDescent="0.25">
      <c r="A1850">
        <f t="shared" si="28"/>
        <v>0</v>
      </c>
      <c r="B1850" t="b">
        <f>SUMPRODUCT(LEN('hospitalityq-nil'!C1850:D1850))&gt;0</f>
        <v>0</v>
      </c>
      <c r="C1850">
        <f>B1850*('hospitalityq-nil'!C1850="")</f>
        <v>0</v>
      </c>
      <c r="D1850">
        <f>B1850*('hospitalityq-nil'!D1850="")</f>
        <v>0</v>
      </c>
    </row>
    <row r="1851" spans="1:4" x14ac:dyDescent="0.25">
      <c r="A1851">
        <f t="shared" si="28"/>
        <v>0</v>
      </c>
      <c r="B1851" t="b">
        <f>SUMPRODUCT(LEN('hospitalityq-nil'!C1851:D1851))&gt;0</f>
        <v>0</v>
      </c>
      <c r="C1851">
        <f>B1851*('hospitalityq-nil'!C1851="")</f>
        <v>0</v>
      </c>
      <c r="D1851">
        <f>B1851*('hospitalityq-nil'!D1851="")</f>
        <v>0</v>
      </c>
    </row>
    <row r="1852" spans="1:4" x14ac:dyDescent="0.25">
      <c r="A1852">
        <f t="shared" si="28"/>
        <v>0</v>
      </c>
      <c r="B1852" t="b">
        <f>SUMPRODUCT(LEN('hospitalityq-nil'!C1852:D1852))&gt;0</f>
        <v>0</v>
      </c>
      <c r="C1852">
        <f>B1852*('hospitalityq-nil'!C1852="")</f>
        <v>0</v>
      </c>
      <c r="D1852">
        <f>B1852*('hospitalityq-nil'!D1852="")</f>
        <v>0</v>
      </c>
    </row>
    <row r="1853" spans="1:4" x14ac:dyDescent="0.25">
      <c r="A1853">
        <f t="shared" si="28"/>
        <v>0</v>
      </c>
      <c r="B1853" t="b">
        <f>SUMPRODUCT(LEN('hospitalityq-nil'!C1853:D1853))&gt;0</f>
        <v>0</v>
      </c>
      <c r="C1853">
        <f>B1853*('hospitalityq-nil'!C1853="")</f>
        <v>0</v>
      </c>
      <c r="D1853">
        <f>B1853*('hospitalityq-nil'!D1853="")</f>
        <v>0</v>
      </c>
    </row>
    <row r="1854" spans="1:4" x14ac:dyDescent="0.25">
      <c r="A1854">
        <f t="shared" si="28"/>
        <v>0</v>
      </c>
      <c r="B1854" t="b">
        <f>SUMPRODUCT(LEN('hospitalityq-nil'!C1854:D1854))&gt;0</f>
        <v>0</v>
      </c>
      <c r="C1854">
        <f>B1854*('hospitalityq-nil'!C1854="")</f>
        <v>0</v>
      </c>
      <c r="D1854">
        <f>B1854*('hospitalityq-nil'!D1854="")</f>
        <v>0</v>
      </c>
    </row>
    <row r="1855" spans="1:4" x14ac:dyDescent="0.25">
      <c r="A1855">
        <f t="shared" si="28"/>
        <v>0</v>
      </c>
      <c r="B1855" t="b">
        <f>SUMPRODUCT(LEN('hospitalityq-nil'!C1855:D1855))&gt;0</f>
        <v>0</v>
      </c>
      <c r="C1855">
        <f>B1855*('hospitalityq-nil'!C1855="")</f>
        <v>0</v>
      </c>
      <c r="D1855">
        <f>B1855*('hospitalityq-nil'!D1855="")</f>
        <v>0</v>
      </c>
    </row>
    <row r="1856" spans="1:4" x14ac:dyDescent="0.25">
      <c r="A1856">
        <f t="shared" si="28"/>
        <v>0</v>
      </c>
      <c r="B1856" t="b">
        <f>SUMPRODUCT(LEN('hospitalityq-nil'!C1856:D1856))&gt;0</f>
        <v>0</v>
      </c>
      <c r="C1856">
        <f>B1856*('hospitalityq-nil'!C1856="")</f>
        <v>0</v>
      </c>
      <c r="D1856">
        <f>B1856*('hospitalityq-nil'!D1856="")</f>
        <v>0</v>
      </c>
    </row>
    <row r="1857" spans="1:4" x14ac:dyDescent="0.25">
      <c r="A1857">
        <f t="shared" si="28"/>
        <v>0</v>
      </c>
      <c r="B1857" t="b">
        <f>SUMPRODUCT(LEN('hospitalityq-nil'!C1857:D1857))&gt;0</f>
        <v>0</v>
      </c>
      <c r="C1857">
        <f>B1857*('hospitalityq-nil'!C1857="")</f>
        <v>0</v>
      </c>
      <c r="D1857">
        <f>B1857*('hospitalityq-nil'!D1857="")</f>
        <v>0</v>
      </c>
    </row>
    <row r="1858" spans="1:4" x14ac:dyDescent="0.25">
      <c r="A1858">
        <f t="shared" si="28"/>
        <v>0</v>
      </c>
      <c r="B1858" t="b">
        <f>SUMPRODUCT(LEN('hospitalityq-nil'!C1858:D1858))&gt;0</f>
        <v>0</v>
      </c>
      <c r="C1858">
        <f>B1858*('hospitalityq-nil'!C1858="")</f>
        <v>0</v>
      </c>
      <c r="D1858">
        <f>B1858*('hospitalityq-nil'!D1858="")</f>
        <v>0</v>
      </c>
    </row>
    <row r="1859" spans="1:4" x14ac:dyDescent="0.25">
      <c r="A1859">
        <f t="shared" si="28"/>
        <v>0</v>
      </c>
      <c r="B1859" t="b">
        <f>SUMPRODUCT(LEN('hospitalityq-nil'!C1859:D1859))&gt;0</f>
        <v>0</v>
      </c>
      <c r="C1859">
        <f>B1859*('hospitalityq-nil'!C1859="")</f>
        <v>0</v>
      </c>
      <c r="D1859">
        <f>B1859*('hospitalityq-nil'!D1859="")</f>
        <v>0</v>
      </c>
    </row>
    <row r="1860" spans="1:4" x14ac:dyDescent="0.25">
      <c r="A1860">
        <f t="shared" si="28"/>
        <v>0</v>
      </c>
      <c r="B1860" t="b">
        <f>SUMPRODUCT(LEN('hospitalityq-nil'!C1860:D1860))&gt;0</f>
        <v>0</v>
      </c>
      <c r="C1860">
        <f>B1860*('hospitalityq-nil'!C1860="")</f>
        <v>0</v>
      </c>
      <c r="D1860">
        <f>B1860*('hospitalityq-nil'!D1860="")</f>
        <v>0</v>
      </c>
    </row>
    <row r="1861" spans="1:4" x14ac:dyDescent="0.25">
      <c r="A1861">
        <f t="shared" si="28"/>
        <v>0</v>
      </c>
      <c r="B1861" t="b">
        <f>SUMPRODUCT(LEN('hospitalityq-nil'!C1861:D1861))&gt;0</f>
        <v>0</v>
      </c>
      <c r="C1861">
        <f>B1861*('hospitalityq-nil'!C1861="")</f>
        <v>0</v>
      </c>
      <c r="D1861">
        <f>B1861*('hospitalityq-nil'!D1861="")</f>
        <v>0</v>
      </c>
    </row>
    <row r="1862" spans="1:4" x14ac:dyDescent="0.25">
      <c r="A1862">
        <f t="shared" ref="A1862:A1925" si="29">IFERROR(MATCH(TRUE,INDEX(C1862:D1862&lt;&gt;0,),)+2,0)</f>
        <v>0</v>
      </c>
      <c r="B1862" t="b">
        <f>SUMPRODUCT(LEN('hospitalityq-nil'!C1862:D1862))&gt;0</f>
        <v>0</v>
      </c>
      <c r="C1862">
        <f>B1862*('hospitalityq-nil'!C1862="")</f>
        <v>0</v>
      </c>
      <c r="D1862">
        <f>B1862*('hospitalityq-nil'!D1862="")</f>
        <v>0</v>
      </c>
    </row>
    <row r="1863" spans="1:4" x14ac:dyDescent="0.25">
      <c r="A1863">
        <f t="shared" si="29"/>
        <v>0</v>
      </c>
      <c r="B1863" t="b">
        <f>SUMPRODUCT(LEN('hospitalityq-nil'!C1863:D1863))&gt;0</f>
        <v>0</v>
      </c>
      <c r="C1863">
        <f>B1863*('hospitalityq-nil'!C1863="")</f>
        <v>0</v>
      </c>
      <c r="D1863">
        <f>B1863*('hospitalityq-nil'!D1863="")</f>
        <v>0</v>
      </c>
    </row>
    <row r="1864" spans="1:4" x14ac:dyDescent="0.25">
      <c r="A1864">
        <f t="shared" si="29"/>
        <v>0</v>
      </c>
      <c r="B1864" t="b">
        <f>SUMPRODUCT(LEN('hospitalityq-nil'!C1864:D1864))&gt;0</f>
        <v>0</v>
      </c>
      <c r="C1864">
        <f>B1864*('hospitalityq-nil'!C1864="")</f>
        <v>0</v>
      </c>
      <c r="D1864">
        <f>B1864*('hospitalityq-nil'!D1864="")</f>
        <v>0</v>
      </c>
    </row>
    <row r="1865" spans="1:4" x14ac:dyDescent="0.25">
      <c r="A1865">
        <f t="shared" si="29"/>
        <v>0</v>
      </c>
      <c r="B1865" t="b">
        <f>SUMPRODUCT(LEN('hospitalityq-nil'!C1865:D1865))&gt;0</f>
        <v>0</v>
      </c>
      <c r="C1865">
        <f>B1865*('hospitalityq-nil'!C1865="")</f>
        <v>0</v>
      </c>
      <c r="D1865">
        <f>B1865*('hospitalityq-nil'!D1865="")</f>
        <v>0</v>
      </c>
    </row>
    <row r="1866" spans="1:4" x14ac:dyDescent="0.25">
      <c r="A1866">
        <f t="shared" si="29"/>
        <v>0</v>
      </c>
      <c r="B1866" t="b">
        <f>SUMPRODUCT(LEN('hospitalityq-nil'!C1866:D1866))&gt;0</f>
        <v>0</v>
      </c>
      <c r="C1866">
        <f>B1866*('hospitalityq-nil'!C1866="")</f>
        <v>0</v>
      </c>
      <c r="D1866">
        <f>B1866*('hospitalityq-nil'!D1866="")</f>
        <v>0</v>
      </c>
    </row>
    <row r="1867" spans="1:4" x14ac:dyDescent="0.25">
      <c r="A1867">
        <f t="shared" si="29"/>
        <v>0</v>
      </c>
      <c r="B1867" t="b">
        <f>SUMPRODUCT(LEN('hospitalityq-nil'!C1867:D1867))&gt;0</f>
        <v>0</v>
      </c>
      <c r="C1867">
        <f>B1867*('hospitalityq-nil'!C1867="")</f>
        <v>0</v>
      </c>
      <c r="D1867">
        <f>B1867*('hospitalityq-nil'!D1867="")</f>
        <v>0</v>
      </c>
    </row>
    <row r="1868" spans="1:4" x14ac:dyDescent="0.25">
      <c r="A1868">
        <f t="shared" si="29"/>
        <v>0</v>
      </c>
      <c r="B1868" t="b">
        <f>SUMPRODUCT(LEN('hospitalityq-nil'!C1868:D1868))&gt;0</f>
        <v>0</v>
      </c>
      <c r="C1868">
        <f>B1868*('hospitalityq-nil'!C1868="")</f>
        <v>0</v>
      </c>
      <c r="D1868">
        <f>B1868*('hospitalityq-nil'!D1868="")</f>
        <v>0</v>
      </c>
    </row>
    <row r="1869" spans="1:4" x14ac:dyDescent="0.25">
      <c r="A1869">
        <f t="shared" si="29"/>
        <v>0</v>
      </c>
      <c r="B1869" t="b">
        <f>SUMPRODUCT(LEN('hospitalityq-nil'!C1869:D1869))&gt;0</f>
        <v>0</v>
      </c>
      <c r="C1869">
        <f>B1869*('hospitalityq-nil'!C1869="")</f>
        <v>0</v>
      </c>
      <c r="D1869">
        <f>B1869*('hospitalityq-nil'!D1869="")</f>
        <v>0</v>
      </c>
    </row>
    <row r="1870" spans="1:4" x14ac:dyDescent="0.25">
      <c r="A1870">
        <f t="shared" si="29"/>
        <v>0</v>
      </c>
      <c r="B1870" t="b">
        <f>SUMPRODUCT(LEN('hospitalityq-nil'!C1870:D1870))&gt;0</f>
        <v>0</v>
      </c>
      <c r="C1870">
        <f>B1870*('hospitalityq-nil'!C1870="")</f>
        <v>0</v>
      </c>
      <c r="D1870">
        <f>B1870*('hospitalityq-nil'!D1870="")</f>
        <v>0</v>
      </c>
    </row>
    <row r="1871" spans="1:4" x14ac:dyDescent="0.25">
      <c r="A1871">
        <f t="shared" si="29"/>
        <v>0</v>
      </c>
      <c r="B1871" t="b">
        <f>SUMPRODUCT(LEN('hospitalityq-nil'!C1871:D1871))&gt;0</f>
        <v>0</v>
      </c>
      <c r="C1871">
        <f>B1871*('hospitalityq-nil'!C1871="")</f>
        <v>0</v>
      </c>
      <c r="D1871">
        <f>B1871*('hospitalityq-nil'!D1871="")</f>
        <v>0</v>
      </c>
    </row>
    <row r="1872" spans="1:4" x14ac:dyDescent="0.25">
      <c r="A1872">
        <f t="shared" si="29"/>
        <v>0</v>
      </c>
      <c r="B1872" t="b">
        <f>SUMPRODUCT(LEN('hospitalityq-nil'!C1872:D1872))&gt;0</f>
        <v>0</v>
      </c>
      <c r="C1872">
        <f>B1872*('hospitalityq-nil'!C1872="")</f>
        <v>0</v>
      </c>
      <c r="D1872">
        <f>B1872*('hospitalityq-nil'!D1872="")</f>
        <v>0</v>
      </c>
    </row>
    <row r="1873" spans="1:4" x14ac:dyDescent="0.25">
      <c r="A1873">
        <f t="shared" si="29"/>
        <v>0</v>
      </c>
      <c r="B1873" t="b">
        <f>SUMPRODUCT(LEN('hospitalityq-nil'!C1873:D1873))&gt;0</f>
        <v>0</v>
      </c>
      <c r="C1873">
        <f>B1873*('hospitalityq-nil'!C1873="")</f>
        <v>0</v>
      </c>
      <c r="D1873">
        <f>B1873*('hospitalityq-nil'!D1873="")</f>
        <v>0</v>
      </c>
    </row>
    <row r="1874" spans="1:4" x14ac:dyDescent="0.25">
      <c r="A1874">
        <f t="shared" si="29"/>
        <v>0</v>
      </c>
      <c r="B1874" t="b">
        <f>SUMPRODUCT(LEN('hospitalityq-nil'!C1874:D1874))&gt;0</f>
        <v>0</v>
      </c>
      <c r="C1874">
        <f>B1874*('hospitalityq-nil'!C1874="")</f>
        <v>0</v>
      </c>
      <c r="D1874">
        <f>B1874*('hospitalityq-nil'!D1874="")</f>
        <v>0</v>
      </c>
    </row>
    <row r="1875" spans="1:4" x14ac:dyDescent="0.25">
      <c r="A1875">
        <f t="shared" si="29"/>
        <v>0</v>
      </c>
      <c r="B1875" t="b">
        <f>SUMPRODUCT(LEN('hospitalityq-nil'!C1875:D1875))&gt;0</f>
        <v>0</v>
      </c>
      <c r="C1875">
        <f>B1875*('hospitalityq-nil'!C1875="")</f>
        <v>0</v>
      </c>
      <c r="D1875">
        <f>B1875*('hospitalityq-nil'!D1875="")</f>
        <v>0</v>
      </c>
    </row>
    <row r="1876" spans="1:4" x14ac:dyDescent="0.25">
      <c r="A1876">
        <f t="shared" si="29"/>
        <v>0</v>
      </c>
      <c r="B1876" t="b">
        <f>SUMPRODUCT(LEN('hospitalityq-nil'!C1876:D1876))&gt;0</f>
        <v>0</v>
      </c>
      <c r="C1876">
        <f>B1876*('hospitalityq-nil'!C1876="")</f>
        <v>0</v>
      </c>
      <c r="D1876">
        <f>B1876*('hospitalityq-nil'!D1876="")</f>
        <v>0</v>
      </c>
    </row>
    <row r="1877" spans="1:4" x14ac:dyDescent="0.25">
      <c r="A1877">
        <f t="shared" si="29"/>
        <v>0</v>
      </c>
      <c r="B1877" t="b">
        <f>SUMPRODUCT(LEN('hospitalityq-nil'!C1877:D1877))&gt;0</f>
        <v>0</v>
      </c>
      <c r="C1877">
        <f>B1877*('hospitalityq-nil'!C1877="")</f>
        <v>0</v>
      </c>
      <c r="D1877">
        <f>B1877*('hospitalityq-nil'!D1877="")</f>
        <v>0</v>
      </c>
    </row>
    <row r="1878" spans="1:4" x14ac:dyDescent="0.25">
      <c r="A1878">
        <f t="shared" si="29"/>
        <v>0</v>
      </c>
      <c r="B1878" t="b">
        <f>SUMPRODUCT(LEN('hospitalityq-nil'!C1878:D1878))&gt;0</f>
        <v>0</v>
      </c>
      <c r="C1878">
        <f>B1878*('hospitalityq-nil'!C1878="")</f>
        <v>0</v>
      </c>
      <c r="D1878">
        <f>B1878*('hospitalityq-nil'!D1878="")</f>
        <v>0</v>
      </c>
    </row>
    <row r="1879" spans="1:4" x14ac:dyDescent="0.25">
      <c r="A1879">
        <f t="shared" si="29"/>
        <v>0</v>
      </c>
      <c r="B1879" t="b">
        <f>SUMPRODUCT(LEN('hospitalityq-nil'!C1879:D1879))&gt;0</f>
        <v>0</v>
      </c>
      <c r="C1879">
        <f>B1879*('hospitalityq-nil'!C1879="")</f>
        <v>0</v>
      </c>
      <c r="D1879">
        <f>B1879*('hospitalityq-nil'!D1879="")</f>
        <v>0</v>
      </c>
    </row>
    <row r="1880" spans="1:4" x14ac:dyDescent="0.25">
      <c r="A1880">
        <f t="shared" si="29"/>
        <v>0</v>
      </c>
      <c r="B1880" t="b">
        <f>SUMPRODUCT(LEN('hospitalityq-nil'!C1880:D1880))&gt;0</f>
        <v>0</v>
      </c>
      <c r="C1880">
        <f>B1880*('hospitalityq-nil'!C1880="")</f>
        <v>0</v>
      </c>
      <c r="D1880">
        <f>B1880*('hospitalityq-nil'!D1880="")</f>
        <v>0</v>
      </c>
    </row>
    <row r="1881" spans="1:4" x14ac:dyDescent="0.25">
      <c r="A1881">
        <f t="shared" si="29"/>
        <v>0</v>
      </c>
      <c r="B1881" t="b">
        <f>SUMPRODUCT(LEN('hospitalityq-nil'!C1881:D1881))&gt;0</f>
        <v>0</v>
      </c>
      <c r="C1881">
        <f>B1881*('hospitalityq-nil'!C1881="")</f>
        <v>0</v>
      </c>
      <c r="D1881">
        <f>B1881*('hospitalityq-nil'!D1881="")</f>
        <v>0</v>
      </c>
    </row>
    <row r="1882" spans="1:4" x14ac:dyDescent="0.25">
      <c r="A1882">
        <f t="shared" si="29"/>
        <v>0</v>
      </c>
      <c r="B1882" t="b">
        <f>SUMPRODUCT(LEN('hospitalityq-nil'!C1882:D1882))&gt;0</f>
        <v>0</v>
      </c>
      <c r="C1882">
        <f>B1882*('hospitalityq-nil'!C1882="")</f>
        <v>0</v>
      </c>
      <c r="D1882">
        <f>B1882*('hospitalityq-nil'!D1882="")</f>
        <v>0</v>
      </c>
    </row>
    <row r="1883" spans="1:4" x14ac:dyDescent="0.25">
      <c r="A1883">
        <f t="shared" si="29"/>
        <v>0</v>
      </c>
      <c r="B1883" t="b">
        <f>SUMPRODUCT(LEN('hospitalityq-nil'!C1883:D1883))&gt;0</f>
        <v>0</v>
      </c>
      <c r="C1883">
        <f>B1883*('hospitalityq-nil'!C1883="")</f>
        <v>0</v>
      </c>
      <c r="D1883">
        <f>B1883*('hospitalityq-nil'!D1883="")</f>
        <v>0</v>
      </c>
    </row>
    <row r="1884" spans="1:4" x14ac:dyDescent="0.25">
      <c r="A1884">
        <f t="shared" si="29"/>
        <v>0</v>
      </c>
      <c r="B1884" t="b">
        <f>SUMPRODUCT(LEN('hospitalityq-nil'!C1884:D1884))&gt;0</f>
        <v>0</v>
      </c>
      <c r="C1884">
        <f>B1884*('hospitalityq-nil'!C1884="")</f>
        <v>0</v>
      </c>
      <c r="D1884">
        <f>B1884*('hospitalityq-nil'!D1884="")</f>
        <v>0</v>
      </c>
    </row>
    <row r="1885" spans="1:4" x14ac:dyDescent="0.25">
      <c r="A1885">
        <f t="shared" si="29"/>
        <v>0</v>
      </c>
      <c r="B1885" t="b">
        <f>SUMPRODUCT(LEN('hospitalityq-nil'!C1885:D1885))&gt;0</f>
        <v>0</v>
      </c>
      <c r="C1885">
        <f>B1885*('hospitalityq-nil'!C1885="")</f>
        <v>0</v>
      </c>
      <c r="D1885">
        <f>B1885*('hospitalityq-nil'!D1885="")</f>
        <v>0</v>
      </c>
    </row>
    <row r="1886" spans="1:4" x14ac:dyDescent="0.25">
      <c r="A1886">
        <f t="shared" si="29"/>
        <v>0</v>
      </c>
      <c r="B1886" t="b">
        <f>SUMPRODUCT(LEN('hospitalityq-nil'!C1886:D1886))&gt;0</f>
        <v>0</v>
      </c>
      <c r="C1886">
        <f>B1886*('hospitalityq-nil'!C1886="")</f>
        <v>0</v>
      </c>
      <c r="D1886">
        <f>B1886*('hospitalityq-nil'!D1886="")</f>
        <v>0</v>
      </c>
    </row>
    <row r="1887" spans="1:4" x14ac:dyDescent="0.25">
      <c r="A1887">
        <f t="shared" si="29"/>
        <v>0</v>
      </c>
      <c r="B1887" t="b">
        <f>SUMPRODUCT(LEN('hospitalityq-nil'!C1887:D1887))&gt;0</f>
        <v>0</v>
      </c>
      <c r="C1887">
        <f>B1887*('hospitalityq-nil'!C1887="")</f>
        <v>0</v>
      </c>
      <c r="D1887">
        <f>B1887*('hospitalityq-nil'!D1887="")</f>
        <v>0</v>
      </c>
    </row>
    <row r="1888" spans="1:4" x14ac:dyDescent="0.25">
      <c r="A1888">
        <f t="shared" si="29"/>
        <v>0</v>
      </c>
      <c r="B1888" t="b">
        <f>SUMPRODUCT(LEN('hospitalityq-nil'!C1888:D1888))&gt;0</f>
        <v>0</v>
      </c>
      <c r="C1888">
        <f>B1888*('hospitalityq-nil'!C1888="")</f>
        <v>0</v>
      </c>
      <c r="D1888">
        <f>B1888*('hospitalityq-nil'!D1888="")</f>
        <v>0</v>
      </c>
    </row>
    <row r="1889" spans="1:4" x14ac:dyDescent="0.25">
      <c r="A1889">
        <f t="shared" si="29"/>
        <v>0</v>
      </c>
      <c r="B1889" t="b">
        <f>SUMPRODUCT(LEN('hospitalityq-nil'!C1889:D1889))&gt;0</f>
        <v>0</v>
      </c>
      <c r="C1889">
        <f>B1889*('hospitalityq-nil'!C1889="")</f>
        <v>0</v>
      </c>
      <c r="D1889">
        <f>B1889*('hospitalityq-nil'!D1889="")</f>
        <v>0</v>
      </c>
    </row>
    <row r="1890" spans="1:4" x14ac:dyDescent="0.25">
      <c r="A1890">
        <f t="shared" si="29"/>
        <v>0</v>
      </c>
      <c r="B1890" t="b">
        <f>SUMPRODUCT(LEN('hospitalityq-nil'!C1890:D1890))&gt;0</f>
        <v>0</v>
      </c>
      <c r="C1890">
        <f>B1890*('hospitalityq-nil'!C1890="")</f>
        <v>0</v>
      </c>
      <c r="D1890">
        <f>B1890*('hospitalityq-nil'!D1890="")</f>
        <v>0</v>
      </c>
    </row>
    <row r="1891" spans="1:4" x14ac:dyDescent="0.25">
      <c r="A1891">
        <f t="shared" si="29"/>
        <v>0</v>
      </c>
      <c r="B1891" t="b">
        <f>SUMPRODUCT(LEN('hospitalityq-nil'!C1891:D1891))&gt;0</f>
        <v>0</v>
      </c>
      <c r="C1891">
        <f>B1891*('hospitalityq-nil'!C1891="")</f>
        <v>0</v>
      </c>
      <c r="D1891">
        <f>B1891*('hospitalityq-nil'!D1891="")</f>
        <v>0</v>
      </c>
    </row>
    <row r="1892" spans="1:4" x14ac:dyDescent="0.25">
      <c r="A1892">
        <f t="shared" si="29"/>
        <v>0</v>
      </c>
      <c r="B1892" t="b">
        <f>SUMPRODUCT(LEN('hospitalityq-nil'!C1892:D1892))&gt;0</f>
        <v>0</v>
      </c>
      <c r="C1892">
        <f>B1892*('hospitalityq-nil'!C1892="")</f>
        <v>0</v>
      </c>
      <c r="D1892">
        <f>B1892*('hospitalityq-nil'!D1892="")</f>
        <v>0</v>
      </c>
    </row>
    <row r="1893" spans="1:4" x14ac:dyDescent="0.25">
      <c r="A1893">
        <f t="shared" si="29"/>
        <v>0</v>
      </c>
      <c r="B1893" t="b">
        <f>SUMPRODUCT(LEN('hospitalityq-nil'!C1893:D1893))&gt;0</f>
        <v>0</v>
      </c>
      <c r="C1893">
        <f>B1893*('hospitalityq-nil'!C1893="")</f>
        <v>0</v>
      </c>
      <c r="D1893">
        <f>B1893*('hospitalityq-nil'!D1893="")</f>
        <v>0</v>
      </c>
    </row>
    <row r="1894" spans="1:4" x14ac:dyDescent="0.25">
      <c r="A1894">
        <f t="shared" si="29"/>
        <v>0</v>
      </c>
      <c r="B1894" t="b">
        <f>SUMPRODUCT(LEN('hospitalityq-nil'!C1894:D1894))&gt;0</f>
        <v>0</v>
      </c>
      <c r="C1894">
        <f>B1894*('hospitalityq-nil'!C1894="")</f>
        <v>0</v>
      </c>
      <c r="D1894">
        <f>B1894*('hospitalityq-nil'!D1894="")</f>
        <v>0</v>
      </c>
    </row>
    <row r="1895" spans="1:4" x14ac:dyDescent="0.25">
      <c r="A1895">
        <f t="shared" si="29"/>
        <v>0</v>
      </c>
      <c r="B1895" t="b">
        <f>SUMPRODUCT(LEN('hospitalityq-nil'!C1895:D1895))&gt;0</f>
        <v>0</v>
      </c>
      <c r="C1895">
        <f>B1895*('hospitalityq-nil'!C1895="")</f>
        <v>0</v>
      </c>
      <c r="D1895">
        <f>B1895*('hospitalityq-nil'!D1895="")</f>
        <v>0</v>
      </c>
    </row>
    <row r="1896" spans="1:4" x14ac:dyDescent="0.25">
      <c r="A1896">
        <f t="shared" si="29"/>
        <v>0</v>
      </c>
      <c r="B1896" t="b">
        <f>SUMPRODUCT(LEN('hospitalityq-nil'!C1896:D1896))&gt;0</f>
        <v>0</v>
      </c>
      <c r="C1896">
        <f>B1896*('hospitalityq-nil'!C1896="")</f>
        <v>0</v>
      </c>
      <c r="D1896">
        <f>B1896*('hospitalityq-nil'!D1896="")</f>
        <v>0</v>
      </c>
    </row>
    <row r="1897" spans="1:4" x14ac:dyDescent="0.25">
      <c r="A1897">
        <f t="shared" si="29"/>
        <v>0</v>
      </c>
      <c r="B1897" t="b">
        <f>SUMPRODUCT(LEN('hospitalityq-nil'!C1897:D1897))&gt;0</f>
        <v>0</v>
      </c>
      <c r="C1897">
        <f>B1897*('hospitalityq-nil'!C1897="")</f>
        <v>0</v>
      </c>
      <c r="D1897">
        <f>B1897*('hospitalityq-nil'!D1897="")</f>
        <v>0</v>
      </c>
    </row>
    <row r="1898" spans="1:4" x14ac:dyDescent="0.25">
      <c r="A1898">
        <f t="shared" si="29"/>
        <v>0</v>
      </c>
      <c r="B1898" t="b">
        <f>SUMPRODUCT(LEN('hospitalityq-nil'!C1898:D1898))&gt;0</f>
        <v>0</v>
      </c>
      <c r="C1898">
        <f>B1898*('hospitalityq-nil'!C1898="")</f>
        <v>0</v>
      </c>
      <c r="D1898">
        <f>B1898*('hospitalityq-nil'!D1898="")</f>
        <v>0</v>
      </c>
    </row>
    <row r="1899" spans="1:4" x14ac:dyDescent="0.25">
      <c r="A1899">
        <f t="shared" si="29"/>
        <v>0</v>
      </c>
      <c r="B1899" t="b">
        <f>SUMPRODUCT(LEN('hospitalityq-nil'!C1899:D1899))&gt;0</f>
        <v>0</v>
      </c>
      <c r="C1899">
        <f>B1899*('hospitalityq-nil'!C1899="")</f>
        <v>0</v>
      </c>
      <c r="D1899">
        <f>B1899*('hospitalityq-nil'!D1899="")</f>
        <v>0</v>
      </c>
    </row>
    <row r="1900" spans="1:4" x14ac:dyDescent="0.25">
      <c r="A1900">
        <f t="shared" si="29"/>
        <v>0</v>
      </c>
      <c r="B1900" t="b">
        <f>SUMPRODUCT(LEN('hospitalityq-nil'!C1900:D1900))&gt;0</f>
        <v>0</v>
      </c>
      <c r="C1900">
        <f>B1900*('hospitalityq-nil'!C1900="")</f>
        <v>0</v>
      </c>
      <c r="D1900">
        <f>B1900*('hospitalityq-nil'!D1900="")</f>
        <v>0</v>
      </c>
    </row>
    <row r="1901" spans="1:4" x14ac:dyDescent="0.25">
      <c r="A1901">
        <f t="shared" si="29"/>
        <v>0</v>
      </c>
      <c r="B1901" t="b">
        <f>SUMPRODUCT(LEN('hospitalityq-nil'!C1901:D1901))&gt;0</f>
        <v>0</v>
      </c>
      <c r="C1901">
        <f>B1901*('hospitalityq-nil'!C1901="")</f>
        <v>0</v>
      </c>
      <c r="D1901">
        <f>B1901*('hospitalityq-nil'!D1901="")</f>
        <v>0</v>
      </c>
    </row>
    <row r="1902" spans="1:4" x14ac:dyDescent="0.25">
      <c r="A1902">
        <f t="shared" si="29"/>
        <v>0</v>
      </c>
      <c r="B1902" t="b">
        <f>SUMPRODUCT(LEN('hospitalityq-nil'!C1902:D1902))&gt;0</f>
        <v>0</v>
      </c>
      <c r="C1902">
        <f>B1902*('hospitalityq-nil'!C1902="")</f>
        <v>0</v>
      </c>
      <c r="D1902">
        <f>B1902*('hospitalityq-nil'!D1902="")</f>
        <v>0</v>
      </c>
    </row>
    <row r="1903" spans="1:4" x14ac:dyDescent="0.25">
      <c r="A1903">
        <f t="shared" si="29"/>
        <v>0</v>
      </c>
      <c r="B1903" t="b">
        <f>SUMPRODUCT(LEN('hospitalityq-nil'!C1903:D1903))&gt;0</f>
        <v>0</v>
      </c>
      <c r="C1903">
        <f>B1903*('hospitalityq-nil'!C1903="")</f>
        <v>0</v>
      </c>
      <c r="D1903">
        <f>B1903*('hospitalityq-nil'!D1903="")</f>
        <v>0</v>
      </c>
    </row>
    <row r="1904" spans="1:4" x14ac:dyDescent="0.25">
      <c r="A1904">
        <f t="shared" si="29"/>
        <v>0</v>
      </c>
      <c r="B1904" t="b">
        <f>SUMPRODUCT(LEN('hospitalityq-nil'!C1904:D1904))&gt;0</f>
        <v>0</v>
      </c>
      <c r="C1904">
        <f>B1904*('hospitalityq-nil'!C1904="")</f>
        <v>0</v>
      </c>
      <c r="D1904">
        <f>B1904*('hospitalityq-nil'!D1904="")</f>
        <v>0</v>
      </c>
    </row>
    <row r="1905" spans="1:4" x14ac:dyDescent="0.25">
      <c r="A1905">
        <f t="shared" si="29"/>
        <v>0</v>
      </c>
      <c r="B1905" t="b">
        <f>SUMPRODUCT(LEN('hospitalityq-nil'!C1905:D1905))&gt;0</f>
        <v>0</v>
      </c>
      <c r="C1905">
        <f>B1905*('hospitalityq-nil'!C1905="")</f>
        <v>0</v>
      </c>
      <c r="D1905">
        <f>B1905*('hospitalityq-nil'!D1905="")</f>
        <v>0</v>
      </c>
    </row>
    <row r="1906" spans="1:4" x14ac:dyDescent="0.25">
      <c r="A1906">
        <f t="shared" si="29"/>
        <v>0</v>
      </c>
      <c r="B1906" t="b">
        <f>SUMPRODUCT(LEN('hospitalityq-nil'!C1906:D1906))&gt;0</f>
        <v>0</v>
      </c>
      <c r="C1906">
        <f>B1906*('hospitalityq-nil'!C1906="")</f>
        <v>0</v>
      </c>
      <c r="D1906">
        <f>B1906*('hospitalityq-nil'!D1906="")</f>
        <v>0</v>
      </c>
    </row>
    <row r="1907" spans="1:4" x14ac:dyDescent="0.25">
      <c r="A1907">
        <f t="shared" si="29"/>
        <v>0</v>
      </c>
      <c r="B1907" t="b">
        <f>SUMPRODUCT(LEN('hospitalityq-nil'!C1907:D1907))&gt;0</f>
        <v>0</v>
      </c>
      <c r="C1907">
        <f>B1907*('hospitalityq-nil'!C1907="")</f>
        <v>0</v>
      </c>
      <c r="D1907">
        <f>B1907*('hospitalityq-nil'!D1907="")</f>
        <v>0</v>
      </c>
    </row>
    <row r="1908" spans="1:4" x14ac:dyDescent="0.25">
      <c r="A1908">
        <f t="shared" si="29"/>
        <v>0</v>
      </c>
      <c r="B1908" t="b">
        <f>SUMPRODUCT(LEN('hospitalityq-nil'!C1908:D1908))&gt;0</f>
        <v>0</v>
      </c>
      <c r="C1908">
        <f>B1908*('hospitalityq-nil'!C1908="")</f>
        <v>0</v>
      </c>
      <c r="D1908">
        <f>B1908*('hospitalityq-nil'!D1908="")</f>
        <v>0</v>
      </c>
    </row>
    <row r="1909" spans="1:4" x14ac:dyDescent="0.25">
      <c r="A1909">
        <f t="shared" si="29"/>
        <v>0</v>
      </c>
      <c r="B1909" t="b">
        <f>SUMPRODUCT(LEN('hospitalityq-nil'!C1909:D1909))&gt;0</f>
        <v>0</v>
      </c>
      <c r="C1909">
        <f>B1909*('hospitalityq-nil'!C1909="")</f>
        <v>0</v>
      </c>
      <c r="D1909">
        <f>B1909*('hospitalityq-nil'!D1909="")</f>
        <v>0</v>
      </c>
    </row>
    <row r="1910" spans="1:4" x14ac:dyDescent="0.25">
      <c r="A1910">
        <f t="shared" si="29"/>
        <v>0</v>
      </c>
      <c r="B1910" t="b">
        <f>SUMPRODUCT(LEN('hospitalityq-nil'!C1910:D1910))&gt;0</f>
        <v>0</v>
      </c>
      <c r="C1910">
        <f>B1910*('hospitalityq-nil'!C1910="")</f>
        <v>0</v>
      </c>
      <c r="D1910">
        <f>B1910*('hospitalityq-nil'!D1910="")</f>
        <v>0</v>
      </c>
    </row>
    <row r="1911" spans="1:4" x14ac:dyDescent="0.25">
      <c r="A1911">
        <f t="shared" si="29"/>
        <v>0</v>
      </c>
      <c r="B1911" t="b">
        <f>SUMPRODUCT(LEN('hospitalityq-nil'!C1911:D1911))&gt;0</f>
        <v>0</v>
      </c>
      <c r="C1911">
        <f>B1911*('hospitalityq-nil'!C1911="")</f>
        <v>0</v>
      </c>
      <c r="D1911">
        <f>B1911*('hospitalityq-nil'!D1911="")</f>
        <v>0</v>
      </c>
    </row>
    <row r="1912" spans="1:4" x14ac:dyDescent="0.25">
      <c r="A1912">
        <f t="shared" si="29"/>
        <v>0</v>
      </c>
      <c r="B1912" t="b">
        <f>SUMPRODUCT(LEN('hospitalityq-nil'!C1912:D1912))&gt;0</f>
        <v>0</v>
      </c>
      <c r="C1912">
        <f>B1912*('hospitalityq-nil'!C1912="")</f>
        <v>0</v>
      </c>
      <c r="D1912">
        <f>B1912*('hospitalityq-nil'!D1912="")</f>
        <v>0</v>
      </c>
    </row>
    <row r="1913" spans="1:4" x14ac:dyDescent="0.25">
      <c r="A1913">
        <f t="shared" si="29"/>
        <v>0</v>
      </c>
      <c r="B1913" t="b">
        <f>SUMPRODUCT(LEN('hospitalityq-nil'!C1913:D1913))&gt;0</f>
        <v>0</v>
      </c>
      <c r="C1913">
        <f>B1913*('hospitalityq-nil'!C1913="")</f>
        <v>0</v>
      </c>
      <c r="D1913">
        <f>B1913*('hospitalityq-nil'!D1913="")</f>
        <v>0</v>
      </c>
    </row>
    <row r="1914" spans="1:4" x14ac:dyDescent="0.25">
      <c r="A1914">
        <f t="shared" si="29"/>
        <v>0</v>
      </c>
      <c r="B1914" t="b">
        <f>SUMPRODUCT(LEN('hospitalityq-nil'!C1914:D1914))&gt;0</f>
        <v>0</v>
      </c>
      <c r="C1914">
        <f>B1914*('hospitalityq-nil'!C1914="")</f>
        <v>0</v>
      </c>
      <c r="D1914">
        <f>B1914*('hospitalityq-nil'!D1914="")</f>
        <v>0</v>
      </c>
    </row>
    <row r="1915" spans="1:4" x14ac:dyDescent="0.25">
      <c r="A1915">
        <f t="shared" si="29"/>
        <v>0</v>
      </c>
      <c r="B1915" t="b">
        <f>SUMPRODUCT(LEN('hospitalityq-nil'!C1915:D1915))&gt;0</f>
        <v>0</v>
      </c>
      <c r="C1915">
        <f>B1915*('hospitalityq-nil'!C1915="")</f>
        <v>0</v>
      </c>
      <c r="D1915">
        <f>B1915*('hospitalityq-nil'!D1915="")</f>
        <v>0</v>
      </c>
    </row>
    <row r="1916" spans="1:4" x14ac:dyDescent="0.25">
      <c r="A1916">
        <f t="shared" si="29"/>
        <v>0</v>
      </c>
      <c r="B1916" t="b">
        <f>SUMPRODUCT(LEN('hospitalityq-nil'!C1916:D1916))&gt;0</f>
        <v>0</v>
      </c>
      <c r="C1916">
        <f>B1916*('hospitalityq-nil'!C1916="")</f>
        <v>0</v>
      </c>
      <c r="D1916">
        <f>B1916*('hospitalityq-nil'!D1916="")</f>
        <v>0</v>
      </c>
    </row>
    <row r="1917" spans="1:4" x14ac:dyDescent="0.25">
      <c r="A1917">
        <f t="shared" si="29"/>
        <v>0</v>
      </c>
      <c r="B1917" t="b">
        <f>SUMPRODUCT(LEN('hospitalityq-nil'!C1917:D1917))&gt;0</f>
        <v>0</v>
      </c>
      <c r="C1917">
        <f>B1917*('hospitalityq-nil'!C1917="")</f>
        <v>0</v>
      </c>
      <c r="D1917">
        <f>B1917*('hospitalityq-nil'!D1917="")</f>
        <v>0</v>
      </c>
    </row>
    <row r="1918" spans="1:4" x14ac:dyDescent="0.25">
      <c r="A1918">
        <f t="shared" si="29"/>
        <v>0</v>
      </c>
      <c r="B1918" t="b">
        <f>SUMPRODUCT(LEN('hospitalityq-nil'!C1918:D1918))&gt;0</f>
        <v>0</v>
      </c>
      <c r="C1918">
        <f>B1918*('hospitalityq-nil'!C1918="")</f>
        <v>0</v>
      </c>
      <c r="D1918">
        <f>B1918*('hospitalityq-nil'!D1918="")</f>
        <v>0</v>
      </c>
    </row>
    <row r="1919" spans="1:4" x14ac:dyDescent="0.25">
      <c r="A1919">
        <f t="shared" si="29"/>
        <v>0</v>
      </c>
      <c r="B1919" t="b">
        <f>SUMPRODUCT(LEN('hospitalityq-nil'!C1919:D1919))&gt;0</f>
        <v>0</v>
      </c>
      <c r="C1919">
        <f>B1919*('hospitalityq-nil'!C1919="")</f>
        <v>0</v>
      </c>
      <c r="D1919">
        <f>B1919*('hospitalityq-nil'!D1919="")</f>
        <v>0</v>
      </c>
    </row>
    <row r="1920" spans="1:4" x14ac:dyDescent="0.25">
      <c r="A1920">
        <f t="shared" si="29"/>
        <v>0</v>
      </c>
      <c r="B1920" t="b">
        <f>SUMPRODUCT(LEN('hospitalityq-nil'!C1920:D1920))&gt;0</f>
        <v>0</v>
      </c>
      <c r="C1920">
        <f>B1920*('hospitalityq-nil'!C1920="")</f>
        <v>0</v>
      </c>
      <c r="D1920">
        <f>B1920*('hospitalityq-nil'!D1920="")</f>
        <v>0</v>
      </c>
    </row>
    <row r="1921" spans="1:4" x14ac:dyDescent="0.25">
      <c r="A1921">
        <f t="shared" si="29"/>
        <v>0</v>
      </c>
      <c r="B1921" t="b">
        <f>SUMPRODUCT(LEN('hospitalityq-nil'!C1921:D1921))&gt;0</f>
        <v>0</v>
      </c>
      <c r="C1921">
        <f>B1921*('hospitalityq-nil'!C1921="")</f>
        <v>0</v>
      </c>
      <c r="D1921">
        <f>B1921*('hospitalityq-nil'!D1921="")</f>
        <v>0</v>
      </c>
    </row>
    <row r="1922" spans="1:4" x14ac:dyDescent="0.25">
      <c r="A1922">
        <f t="shared" si="29"/>
        <v>0</v>
      </c>
      <c r="B1922" t="b">
        <f>SUMPRODUCT(LEN('hospitalityq-nil'!C1922:D1922))&gt;0</f>
        <v>0</v>
      </c>
      <c r="C1922">
        <f>B1922*('hospitalityq-nil'!C1922="")</f>
        <v>0</v>
      </c>
      <c r="D1922">
        <f>B1922*('hospitalityq-nil'!D1922="")</f>
        <v>0</v>
      </c>
    </row>
    <row r="1923" spans="1:4" x14ac:dyDescent="0.25">
      <c r="A1923">
        <f t="shared" si="29"/>
        <v>0</v>
      </c>
      <c r="B1923" t="b">
        <f>SUMPRODUCT(LEN('hospitalityq-nil'!C1923:D1923))&gt;0</f>
        <v>0</v>
      </c>
      <c r="C1923">
        <f>B1923*('hospitalityq-nil'!C1923="")</f>
        <v>0</v>
      </c>
      <c r="D1923">
        <f>B1923*('hospitalityq-nil'!D1923="")</f>
        <v>0</v>
      </c>
    </row>
    <row r="1924" spans="1:4" x14ac:dyDescent="0.25">
      <c r="A1924">
        <f t="shared" si="29"/>
        <v>0</v>
      </c>
      <c r="B1924" t="b">
        <f>SUMPRODUCT(LEN('hospitalityq-nil'!C1924:D1924))&gt;0</f>
        <v>0</v>
      </c>
      <c r="C1924">
        <f>B1924*('hospitalityq-nil'!C1924="")</f>
        <v>0</v>
      </c>
      <c r="D1924">
        <f>B1924*('hospitalityq-nil'!D1924="")</f>
        <v>0</v>
      </c>
    </row>
    <row r="1925" spans="1:4" x14ac:dyDescent="0.25">
      <c r="A1925">
        <f t="shared" si="29"/>
        <v>0</v>
      </c>
      <c r="B1925" t="b">
        <f>SUMPRODUCT(LEN('hospitalityq-nil'!C1925:D1925))&gt;0</f>
        <v>0</v>
      </c>
      <c r="C1925">
        <f>B1925*('hospitalityq-nil'!C1925="")</f>
        <v>0</v>
      </c>
      <c r="D1925">
        <f>B1925*('hospitalityq-nil'!D1925="")</f>
        <v>0</v>
      </c>
    </row>
    <row r="1926" spans="1:4" x14ac:dyDescent="0.25">
      <c r="A1926">
        <f t="shared" ref="A1926:A1989" si="30">IFERROR(MATCH(TRUE,INDEX(C1926:D1926&lt;&gt;0,),)+2,0)</f>
        <v>0</v>
      </c>
      <c r="B1926" t="b">
        <f>SUMPRODUCT(LEN('hospitalityq-nil'!C1926:D1926))&gt;0</f>
        <v>0</v>
      </c>
      <c r="C1926">
        <f>B1926*('hospitalityq-nil'!C1926="")</f>
        <v>0</v>
      </c>
      <c r="D1926">
        <f>B1926*('hospitalityq-nil'!D1926="")</f>
        <v>0</v>
      </c>
    </row>
    <row r="1927" spans="1:4" x14ac:dyDescent="0.25">
      <c r="A1927">
        <f t="shared" si="30"/>
        <v>0</v>
      </c>
      <c r="B1927" t="b">
        <f>SUMPRODUCT(LEN('hospitalityq-nil'!C1927:D1927))&gt;0</f>
        <v>0</v>
      </c>
      <c r="C1927">
        <f>B1927*('hospitalityq-nil'!C1927="")</f>
        <v>0</v>
      </c>
      <c r="D1927">
        <f>B1927*('hospitalityq-nil'!D1927="")</f>
        <v>0</v>
      </c>
    </row>
    <row r="1928" spans="1:4" x14ac:dyDescent="0.25">
      <c r="A1928">
        <f t="shared" si="30"/>
        <v>0</v>
      </c>
      <c r="B1928" t="b">
        <f>SUMPRODUCT(LEN('hospitalityq-nil'!C1928:D1928))&gt;0</f>
        <v>0</v>
      </c>
      <c r="C1928">
        <f>B1928*('hospitalityq-nil'!C1928="")</f>
        <v>0</v>
      </c>
      <c r="D1928">
        <f>B1928*('hospitalityq-nil'!D1928="")</f>
        <v>0</v>
      </c>
    </row>
    <row r="1929" spans="1:4" x14ac:dyDescent="0.25">
      <c r="A1929">
        <f t="shared" si="30"/>
        <v>0</v>
      </c>
      <c r="B1929" t="b">
        <f>SUMPRODUCT(LEN('hospitalityq-nil'!C1929:D1929))&gt;0</f>
        <v>0</v>
      </c>
      <c r="C1929">
        <f>B1929*('hospitalityq-nil'!C1929="")</f>
        <v>0</v>
      </c>
      <c r="D1929">
        <f>B1929*('hospitalityq-nil'!D1929="")</f>
        <v>0</v>
      </c>
    </row>
    <row r="1930" spans="1:4" x14ac:dyDescent="0.25">
      <c r="A1930">
        <f t="shared" si="30"/>
        <v>0</v>
      </c>
      <c r="B1930" t="b">
        <f>SUMPRODUCT(LEN('hospitalityq-nil'!C1930:D1930))&gt;0</f>
        <v>0</v>
      </c>
      <c r="C1930">
        <f>B1930*('hospitalityq-nil'!C1930="")</f>
        <v>0</v>
      </c>
      <c r="D1930">
        <f>B1930*('hospitalityq-nil'!D1930="")</f>
        <v>0</v>
      </c>
    </row>
    <row r="1931" spans="1:4" x14ac:dyDescent="0.25">
      <c r="A1931">
        <f t="shared" si="30"/>
        <v>0</v>
      </c>
      <c r="B1931" t="b">
        <f>SUMPRODUCT(LEN('hospitalityq-nil'!C1931:D1931))&gt;0</f>
        <v>0</v>
      </c>
      <c r="C1931">
        <f>B1931*('hospitalityq-nil'!C1931="")</f>
        <v>0</v>
      </c>
      <c r="D1931">
        <f>B1931*('hospitalityq-nil'!D1931="")</f>
        <v>0</v>
      </c>
    </row>
    <row r="1932" spans="1:4" x14ac:dyDescent="0.25">
      <c r="A1932">
        <f t="shared" si="30"/>
        <v>0</v>
      </c>
      <c r="B1932" t="b">
        <f>SUMPRODUCT(LEN('hospitalityq-nil'!C1932:D1932))&gt;0</f>
        <v>0</v>
      </c>
      <c r="C1932">
        <f>B1932*('hospitalityq-nil'!C1932="")</f>
        <v>0</v>
      </c>
      <c r="D1932">
        <f>B1932*('hospitalityq-nil'!D1932="")</f>
        <v>0</v>
      </c>
    </row>
    <row r="1933" spans="1:4" x14ac:dyDescent="0.25">
      <c r="A1933">
        <f t="shared" si="30"/>
        <v>0</v>
      </c>
      <c r="B1933" t="b">
        <f>SUMPRODUCT(LEN('hospitalityq-nil'!C1933:D1933))&gt;0</f>
        <v>0</v>
      </c>
      <c r="C1933">
        <f>B1933*('hospitalityq-nil'!C1933="")</f>
        <v>0</v>
      </c>
      <c r="D1933">
        <f>B1933*('hospitalityq-nil'!D1933="")</f>
        <v>0</v>
      </c>
    </row>
    <row r="1934" spans="1:4" x14ac:dyDescent="0.25">
      <c r="A1934">
        <f t="shared" si="30"/>
        <v>0</v>
      </c>
      <c r="B1934" t="b">
        <f>SUMPRODUCT(LEN('hospitalityq-nil'!C1934:D1934))&gt;0</f>
        <v>0</v>
      </c>
      <c r="C1934">
        <f>B1934*('hospitalityq-nil'!C1934="")</f>
        <v>0</v>
      </c>
      <c r="D1934">
        <f>B1934*('hospitalityq-nil'!D1934="")</f>
        <v>0</v>
      </c>
    </row>
    <row r="1935" spans="1:4" x14ac:dyDescent="0.25">
      <c r="A1935">
        <f t="shared" si="30"/>
        <v>0</v>
      </c>
      <c r="B1935" t="b">
        <f>SUMPRODUCT(LEN('hospitalityq-nil'!C1935:D1935))&gt;0</f>
        <v>0</v>
      </c>
      <c r="C1935">
        <f>B1935*('hospitalityq-nil'!C1935="")</f>
        <v>0</v>
      </c>
      <c r="D1935">
        <f>B1935*('hospitalityq-nil'!D1935="")</f>
        <v>0</v>
      </c>
    </row>
    <row r="1936" spans="1:4" x14ac:dyDescent="0.25">
      <c r="A1936">
        <f t="shared" si="30"/>
        <v>0</v>
      </c>
      <c r="B1936" t="b">
        <f>SUMPRODUCT(LEN('hospitalityq-nil'!C1936:D1936))&gt;0</f>
        <v>0</v>
      </c>
      <c r="C1936">
        <f>B1936*('hospitalityq-nil'!C1936="")</f>
        <v>0</v>
      </c>
      <c r="D1936">
        <f>B1936*('hospitalityq-nil'!D1936="")</f>
        <v>0</v>
      </c>
    </row>
    <row r="1937" spans="1:4" x14ac:dyDescent="0.25">
      <c r="A1937">
        <f t="shared" si="30"/>
        <v>0</v>
      </c>
      <c r="B1937" t="b">
        <f>SUMPRODUCT(LEN('hospitalityq-nil'!C1937:D1937))&gt;0</f>
        <v>0</v>
      </c>
      <c r="C1937">
        <f>B1937*('hospitalityq-nil'!C1937="")</f>
        <v>0</v>
      </c>
      <c r="D1937">
        <f>B1937*('hospitalityq-nil'!D1937="")</f>
        <v>0</v>
      </c>
    </row>
    <row r="1938" spans="1:4" x14ac:dyDescent="0.25">
      <c r="A1938">
        <f t="shared" si="30"/>
        <v>0</v>
      </c>
      <c r="B1938" t="b">
        <f>SUMPRODUCT(LEN('hospitalityq-nil'!C1938:D1938))&gt;0</f>
        <v>0</v>
      </c>
      <c r="C1938">
        <f>B1938*('hospitalityq-nil'!C1938="")</f>
        <v>0</v>
      </c>
      <c r="D1938">
        <f>B1938*('hospitalityq-nil'!D1938="")</f>
        <v>0</v>
      </c>
    </row>
    <row r="1939" spans="1:4" x14ac:dyDescent="0.25">
      <c r="A1939">
        <f t="shared" si="30"/>
        <v>0</v>
      </c>
      <c r="B1939" t="b">
        <f>SUMPRODUCT(LEN('hospitalityq-nil'!C1939:D1939))&gt;0</f>
        <v>0</v>
      </c>
      <c r="C1939">
        <f>B1939*('hospitalityq-nil'!C1939="")</f>
        <v>0</v>
      </c>
      <c r="D1939">
        <f>B1939*('hospitalityq-nil'!D1939="")</f>
        <v>0</v>
      </c>
    </row>
    <row r="1940" spans="1:4" x14ac:dyDescent="0.25">
      <c r="A1940">
        <f t="shared" si="30"/>
        <v>0</v>
      </c>
      <c r="B1940" t="b">
        <f>SUMPRODUCT(LEN('hospitalityq-nil'!C1940:D1940))&gt;0</f>
        <v>0</v>
      </c>
      <c r="C1940">
        <f>B1940*('hospitalityq-nil'!C1940="")</f>
        <v>0</v>
      </c>
      <c r="D1940">
        <f>B1940*('hospitalityq-nil'!D1940="")</f>
        <v>0</v>
      </c>
    </row>
    <row r="1941" spans="1:4" x14ac:dyDescent="0.25">
      <c r="A1941">
        <f t="shared" si="30"/>
        <v>0</v>
      </c>
      <c r="B1941" t="b">
        <f>SUMPRODUCT(LEN('hospitalityq-nil'!C1941:D1941))&gt;0</f>
        <v>0</v>
      </c>
      <c r="C1941">
        <f>B1941*('hospitalityq-nil'!C1941="")</f>
        <v>0</v>
      </c>
      <c r="D1941">
        <f>B1941*('hospitalityq-nil'!D1941="")</f>
        <v>0</v>
      </c>
    </row>
    <row r="1942" spans="1:4" x14ac:dyDescent="0.25">
      <c r="A1942">
        <f t="shared" si="30"/>
        <v>0</v>
      </c>
      <c r="B1942" t="b">
        <f>SUMPRODUCT(LEN('hospitalityq-nil'!C1942:D1942))&gt;0</f>
        <v>0</v>
      </c>
      <c r="C1942">
        <f>B1942*('hospitalityq-nil'!C1942="")</f>
        <v>0</v>
      </c>
      <c r="D1942">
        <f>B1942*('hospitalityq-nil'!D1942="")</f>
        <v>0</v>
      </c>
    </row>
    <row r="1943" spans="1:4" x14ac:dyDescent="0.25">
      <c r="A1943">
        <f t="shared" si="30"/>
        <v>0</v>
      </c>
      <c r="B1943" t="b">
        <f>SUMPRODUCT(LEN('hospitalityq-nil'!C1943:D1943))&gt;0</f>
        <v>0</v>
      </c>
      <c r="C1943">
        <f>B1943*('hospitalityq-nil'!C1943="")</f>
        <v>0</v>
      </c>
      <c r="D1943">
        <f>B1943*('hospitalityq-nil'!D1943="")</f>
        <v>0</v>
      </c>
    </row>
    <row r="1944" spans="1:4" x14ac:dyDescent="0.25">
      <c r="A1944">
        <f t="shared" si="30"/>
        <v>0</v>
      </c>
      <c r="B1944" t="b">
        <f>SUMPRODUCT(LEN('hospitalityq-nil'!C1944:D1944))&gt;0</f>
        <v>0</v>
      </c>
      <c r="C1944">
        <f>B1944*('hospitalityq-nil'!C1944="")</f>
        <v>0</v>
      </c>
      <c r="D1944">
        <f>B1944*('hospitalityq-nil'!D1944="")</f>
        <v>0</v>
      </c>
    </row>
    <row r="1945" spans="1:4" x14ac:dyDescent="0.25">
      <c r="A1945">
        <f t="shared" si="30"/>
        <v>0</v>
      </c>
      <c r="B1945" t="b">
        <f>SUMPRODUCT(LEN('hospitalityq-nil'!C1945:D1945))&gt;0</f>
        <v>0</v>
      </c>
      <c r="C1945">
        <f>B1945*('hospitalityq-nil'!C1945="")</f>
        <v>0</v>
      </c>
      <c r="D1945">
        <f>B1945*('hospitalityq-nil'!D1945="")</f>
        <v>0</v>
      </c>
    </row>
    <row r="1946" spans="1:4" x14ac:dyDescent="0.25">
      <c r="A1946">
        <f t="shared" si="30"/>
        <v>0</v>
      </c>
      <c r="B1946" t="b">
        <f>SUMPRODUCT(LEN('hospitalityq-nil'!C1946:D1946))&gt;0</f>
        <v>0</v>
      </c>
      <c r="C1946">
        <f>B1946*('hospitalityq-nil'!C1946="")</f>
        <v>0</v>
      </c>
      <c r="D1946">
        <f>B1946*('hospitalityq-nil'!D1946="")</f>
        <v>0</v>
      </c>
    </row>
    <row r="1947" spans="1:4" x14ac:dyDescent="0.25">
      <c r="A1947">
        <f t="shared" si="30"/>
        <v>0</v>
      </c>
      <c r="B1947" t="b">
        <f>SUMPRODUCT(LEN('hospitalityq-nil'!C1947:D1947))&gt;0</f>
        <v>0</v>
      </c>
      <c r="C1947">
        <f>B1947*('hospitalityq-nil'!C1947="")</f>
        <v>0</v>
      </c>
      <c r="D1947">
        <f>B1947*('hospitalityq-nil'!D1947="")</f>
        <v>0</v>
      </c>
    </row>
    <row r="1948" spans="1:4" x14ac:dyDescent="0.25">
      <c r="A1948">
        <f t="shared" si="30"/>
        <v>0</v>
      </c>
      <c r="B1948" t="b">
        <f>SUMPRODUCT(LEN('hospitalityq-nil'!C1948:D1948))&gt;0</f>
        <v>0</v>
      </c>
      <c r="C1948">
        <f>B1948*('hospitalityq-nil'!C1948="")</f>
        <v>0</v>
      </c>
      <c r="D1948">
        <f>B1948*('hospitalityq-nil'!D1948="")</f>
        <v>0</v>
      </c>
    </row>
    <row r="1949" spans="1:4" x14ac:dyDescent="0.25">
      <c r="A1949">
        <f t="shared" si="30"/>
        <v>0</v>
      </c>
      <c r="B1949" t="b">
        <f>SUMPRODUCT(LEN('hospitalityq-nil'!C1949:D1949))&gt;0</f>
        <v>0</v>
      </c>
      <c r="C1949">
        <f>B1949*('hospitalityq-nil'!C1949="")</f>
        <v>0</v>
      </c>
      <c r="D1949">
        <f>B1949*('hospitalityq-nil'!D1949="")</f>
        <v>0</v>
      </c>
    </row>
    <row r="1950" spans="1:4" x14ac:dyDescent="0.25">
      <c r="A1950">
        <f t="shared" si="30"/>
        <v>0</v>
      </c>
      <c r="B1950" t="b">
        <f>SUMPRODUCT(LEN('hospitalityq-nil'!C1950:D1950))&gt;0</f>
        <v>0</v>
      </c>
      <c r="C1950">
        <f>B1950*('hospitalityq-nil'!C1950="")</f>
        <v>0</v>
      </c>
      <c r="D1950">
        <f>B1950*('hospitalityq-nil'!D1950="")</f>
        <v>0</v>
      </c>
    </row>
    <row r="1951" spans="1:4" x14ac:dyDescent="0.25">
      <c r="A1951">
        <f t="shared" si="30"/>
        <v>0</v>
      </c>
      <c r="B1951" t="b">
        <f>SUMPRODUCT(LEN('hospitalityq-nil'!C1951:D1951))&gt;0</f>
        <v>0</v>
      </c>
      <c r="C1951">
        <f>B1951*('hospitalityq-nil'!C1951="")</f>
        <v>0</v>
      </c>
      <c r="D1951">
        <f>B1951*('hospitalityq-nil'!D1951="")</f>
        <v>0</v>
      </c>
    </row>
    <row r="1952" spans="1:4" x14ac:dyDescent="0.25">
      <c r="A1952">
        <f t="shared" si="30"/>
        <v>0</v>
      </c>
      <c r="B1952" t="b">
        <f>SUMPRODUCT(LEN('hospitalityq-nil'!C1952:D1952))&gt;0</f>
        <v>0</v>
      </c>
      <c r="C1952">
        <f>B1952*('hospitalityq-nil'!C1952="")</f>
        <v>0</v>
      </c>
      <c r="D1952">
        <f>B1952*('hospitalityq-nil'!D1952="")</f>
        <v>0</v>
      </c>
    </row>
    <row r="1953" spans="1:4" x14ac:dyDescent="0.25">
      <c r="A1953">
        <f t="shared" si="30"/>
        <v>0</v>
      </c>
      <c r="B1953" t="b">
        <f>SUMPRODUCT(LEN('hospitalityq-nil'!C1953:D1953))&gt;0</f>
        <v>0</v>
      </c>
      <c r="C1953">
        <f>B1953*('hospitalityq-nil'!C1953="")</f>
        <v>0</v>
      </c>
      <c r="D1953">
        <f>B1953*('hospitalityq-nil'!D1953="")</f>
        <v>0</v>
      </c>
    </row>
    <row r="1954" spans="1:4" x14ac:dyDescent="0.25">
      <c r="A1954">
        <f t="shared" si="30"/>
        <v>0</v>
      </c>
      <c r="B1954" t="b">
        <f>SUMPRODUCT(LEN('hospitalityq-nil'!C1954:D1954))&gt;0</f>
        <v>0</v>
      </c>
      <c r="C1954">
        <f>B1954*('hospitalityq-nil'!C1954="")</f>
        <v>0</v>
      </c>
      <c r="D1954">
        <f>B1954*('hospitalityq-nil'!D1954="")</f>
        <v>0</v>
      </c>
    </row>
    <row r="1955" spans="1:4" x14ac:dyDescent="0.25">
      <c r="A1955">
        <f t="shared" si="30"/>
        <v>0</v>
      </c>
      <c r="B1955" t="b">
        <f>SUMPRODUCT(LEN('hospitalityq-nil'!C1955:D1955))&gt;0</f>
        <v>0</v>
      </c>
      <c r="C1955">
        <f>B1955*('hospitalityq-nil'!C1955="")</f>
        <v>0</v>
      </c>
      <c r="D1955">
        <f>B1955*('hospitalityq-nil'!D1955="")</f>
        <v>0</v>
      </c>
    </row>
    <row r="1956" spans="1:4" x14ac:dyDescent="0.25">
      <c r="A1956">
        <f t="shared" si="30"/>
        <v>0</v>
      </c>
      <c r="B1956" t="b">
        <f>SUMPRODUCT(LEN('hospitalityq-nil'!C1956:D1956))&gt;0</f>
        <v>0</v>
      </c>
      <c r="C1956">
        <f>B1956*('hospitalityq-nil'!C1956="")</f>
        <v>0</v>
      </c>
      <c r="D1956">
        <f>B1956*('hospitalityq-nil'!D1956="")</f>
        <v>0</v>
      </c>
    </row>
    <row r="1957" spans="1:4" x14ac:dyDescent="0.25">
      <c r="A1957">
        <f t="shared" si="30"/>
        <v>0</v>
      </c>
      <c r="B1957" t="b">
        <f>SUMPRODUCT(LEN('hospitalityq-nil'!C1957:D1957))&gt;0</f>
        <v>0</v>
      </c>
      <c r="C1957">
        <f>B1957*('hospitalityq-nil'!C1957="")</f>
        <v>0</v>
      </c>
      <c r="D1957">
        <f>B1957*('hospitalityq-nil'!D1957="")</f>
        <v>0</v>
      </c>
    </row>
    <row r="1958" spans="1:4" x14ac:dyDescent="0.25">
      <c r="A1958">
        <f t="shared" si="30"/>
        <v>0</v>
      </c>
      <c r="B1958" t="b">
        <f>SUMPRODUCT(LEN('hospitalityq-nil'!C1958:D1958))&gt;0</f>
        <v>0</v>
      </c>
      <c r="C1958">
        <f>B1958*('hospitalityq-nil'!C1958="")</f>
        <v>0</v>
      </c>
      <c r="D1958">
        <f>B1958*('hospitalityq-nil'!D1958="")</f>
        <v>0</v>
      </c>
    </row>
    <row r="1959" spans="1:4" x14ac:dyDescent="0.25">
      <c r="A1959">
        <f t="shared" si="30"/>
        <v>0</v>
      </c>
      <c r="B1959" t="b">
        <f>SUMPRODUCT(LEN('hospitalityq-nil'!C1959:D1959))&gt;0</f>
        <v>0</v>
      </c>
      <c r="C1959">
        <f>B1959*('hospitalityq-nil'!C1959="")</f>
        <v>0</v>
      </c>
      <c r="D1959">
        <f>B1959*('hospitalityq-nil'!D1959="")</f>
        <v>0</v>
      </c>
    </row>
    <row r="1960" spans="1:4" x14ac:dyDescent="0.25">
      <c r="A1960">
        <f t="shared" si="30"/>
        <v>0</v>
      </c>
      <c r="B1960" t="b">
        <f>SUMPRODUCT(LEN('hospitalityq-nil'!C1960:D1960))&gt;0</f>
        <v>0</v>
      </c>
      <c r="C1960">
        <f>B1960*('hospitalityq-nil'!C1960="")</f>
        <v>0</v>
      </c>
      <c r="D1960">
        <f>B1960*('hospitalityq-nil'!D1960="")</f>
        <v>0</v>
      </c>
    </row>
    <row r="1961" spans="1:4" x14ac:dyDescent="0.25">
      <c r="A1961">
        <f t="shared" si="30"/>
        <v>0</v>
      </c>
      <c r="B1961" t="b">
        <f>SUMPRODUCT(LEN('hospitalityq-nil'!C1961:D1961))&gt;0</f>
        <v>0</v>
      </c>
      <c r="C1961">
        <f>B1961*('hospitalityq-nil'!C1961="")</f>
        <v>0</v>
      </c>
      <c r="D1961">
        <f>B1961*('hospitalityq-nil'!D1961="")</f>
        <v>0</v>
      </c>
    </row>
    <row r="1962" spans="1:4" x14ac:dyDescent="0.25">
      <c r="A1962">
        <f t="shared" si="30"/>
        <v>0</v>
      </c>
      <c r="B1962" t="b">
        <f>SUMPRODUCT(LEN('hospitalityq-nil'!C1962:D1962))&gt;0</f>
        <v>0</v>
      </c>
      <c r="C1962">
        <f>B1962*('hospitalityq-nil'!C1962="")</f>
        <v>0</v>
      </c>
      <c r="D1962">
        <f>B1962*('hospitalityq-nil'!D1962="")</f>
        <v>0</v>
      </c>
    </row>
    <row r="1963" spans="1:4" x14ac:dyDescent="0.25">
      <c r="A1963">
        <f t="shared" si="30"/>
        <v>0</v>
      </c>
      <c r="B1963" t="b">
        <f>SUMPRODUCT(LEN('hospitalityq-nil'!C1963:D1963))&gt;0</f>
        <v>0</v>
      </c>
      <c r="C1963">
        <f>B1963*('hospitalityq-nil'!C1963="")</f>
        <v>0</v>
      </c>
      <c r="D1963">
        <f>B1963*('hospitalityq-nil'!D1963="")</f>
        <v>0</v>
      </c>
    </row>
    <row r="1964" spans="1:4" x14ac:dyDescent="0.25">
      <c r="A1964">
        <f t="shared" si="30"/>
        <v>0</v>
      </c>
      <c r="B1964" t="b">
        <f>SUMPRODUCT(LEN('hospitalityq-nil'!C1964:D1964))&gt;0</f>
        <v>0</v>
      </c>
      <c r="C1964">
        <f>B1964*('hospitalityq-nil'!C1964="")</f>
        <v>0</v>
      </c>
      <c r="D1964">
        <f>B1964*('hospitalityq-nil'!D1964="")</f>
        <v>0</v>
      </c>
    </row>
    <row r="1965" spans="1:4" x14ac:dyDescent="0.25">
      <c r="A1965">
        <f t="shared" si="30"/>
        <v>0</v>
      </c>
      <c r="B1965" t="b">
        <f>SUMPRODUCT(LEN('hospitalityq-nil'!C1965:D1965))&gt;0</f>
        <v>0</v>
      </c>
      <c r="C1965">
        <f>B1965*('hospitalityq-nil'!C1965="")</f>
        <v>0</v>
      </c>
      <c r="D1965">
        <f>B1965*('hospitalityq-nil'!D1965="")</f>
        <v>0</v>
      </c>
    </row>
    <row r="1966" spans="1:4" x14ac:dyDescent="0.25">
      <c r="A1966">
        <f t="shared" si="30"/>
        <v>0</v>
      </c>
      <c r="B1966" t="b">
        <f>SUMPRODUCT(LEN('hospitalityq-nil'!C1966:D1966))&gt;0</f>
        <v>0</v>
      </c>
      <c r="C1966">
        <f>B1966*('hospitalityq-nil'!C1966="")</f>
        <v>0</v>
      </c>
      <c r="D1966">
        <f>B1966*('hospitalityq-nil'!D1966="")</f>
        <v>0</v>
      </c>
    </row>
    <row r="1967" spans="1:4" x14ac:dyDescent="0.25">
      <c r="A1967">
        <f t="shared" si="30"/>
        <v>0</v>
      </c>
      <c r="B1967" t="b">
        <f>SUMPRODUCT(LEN('hospitalityq-nil'!C1967:D1967))&gt;0</f>
        <v>0</v>
      </c>
      <c r="C1967">
        <f>B1967*('hospitalityq-nil'!C1967="")</f>
        <v>0</v>
      </c>
      <c r="D1967">
        <f>B1967*('hospitalityq-nil'!D1967="")</f>
        <v>0</v>
      </c>
    </row>
    <row r="1968" spans="1:4" x14ac:dyDescent="0.25">
      <c r="A1968">
        <f t="shared" si="30"/>
        <v>0</v>
      </c>
      <c r="B1968" t="b">
        <f>SUMPRODUCT(LEN('hospitalityq-nil'!C1968:D1968))&gt;0</f>
        <v>0</v>
      </c>
      <c r="C1968">
        <f>B1968*('hospitalityq-nil'!C1968="")</f>
        <v>0</v>
      </c>
      <c r="D1968">
        <f>B1968*('hospitalityq-nil'!D1968="")</f>
        <v>0</v>
      </c>
    </row>
    <row r="1969" spans="1:4" x14ac:dyDescent="0.25">
      <c r="A1969">
        <f t="shared" si="30"/>
        <v>0</v>
      </c>
      <c r="B1969" t="b">
        <f>SUMPRODUCT(LEN('hospitalityq-nil'!C1969:D1969))&gt;0</f>
        <v>0</v>
      </c>
      <c r="C1969">
        <f>B1969*('hospitalityq-nil'!C1969="")</f>
        <v>0</v>
      </c>
      <c r="D1969">
        <f>B1969*('hospitalityq-nil'!D1969="")</f>
        <v>0</v>
      </c>
    </row>
    <row r="1970" spans="1:4" x14ac:dyDescent="0.25">
      <c r="A1970">
        <f t="shared" si="30"/>
        <v>0</v>
      </c>
      <c r="B1970" t="b">
        <f>SUMPRODUCT(LEN('hospitalityq-nil'!C1970:D1970))&gt;0</f>
        <v>0</v>
      </c>
      <c r="C1970">
        <f>B1970*('hospitalityq-nil'!C1970="")</f>
        <v>0</v>
      </c>
      <c r="D1970">
        <f>B1970*('hospitalityq-nil'!D1970="")</f>
        <v>0</v>
      </c>
    </row>
    <row r="1971" spans="1:4" x14ac:dyDescent="0.25">
      <c r="A1971">
        <f t="shared" si="30"/>
        <v>0</v>
      </c>
      <c r="B1971" t="b">
        <f>SUMPRODUCT(LEN('hospitalityq-nil'!C1971:D1971))&gt;0</f>
        <v>0</v>
      </c>
      <c r="C1971">
        <f>B1971*('hospitalityq-nil'!C1971="")</f>
        <v>0</v>
      </c>
      <c r="D1971">
        <f>B1971*('hospitalityq-nil'!D1971="")</f>
        <v>0</v>
      </c>
    </row>
    <row r="1972" spans="1:4" x14ac:dyDescent="0.25">
      <c r="A1972">
        <f t="shared" si="30"/>
        <v>0</v>
      </c>
      <c r="B1972" t="b">
        <f>SUMPRODUCT(LEN('hospitalityq-nil'!C1972:D1972))&gt;0</f>
        <v>0</v>
      </c>
      <c r="C1972">
        <f>B1972*('hospitalityq-nil'!C1972="")</f>
        <v>0</v>
      </c>
      <c r="D1972">
        <f>B1972*('hospitalityq-nil'!D1972="")</f>
        <v>0</v>
      </c>
    </row>
    <row r="1973" spans="1:4" x14ac:dyDescent="0.25">
      <c r="A1973">
        <f t="shared" si="30"/>
        <v>0</v>
      </c>
      <c r="B1973" t="b">
        <f>SUMPRODUCT(LEN('hospitalityq-nil'!C1973:D1973))&gt;0</f>
        <v>0</v>
      </c>
      <c r="C1973">
        <f>B1973*('hospitalityq-nil'!C1973="")</f>
        <v>0</v>
      </c>
      <c r="D1973">
        <f>B1973*('hospitalityq-nil'!D1973="")</f>
        <v>0</v>
      </c>
    </row>
    <row r="1974" spans="1:4" x14ac:dyDescent="0.25">
      <c r="A1974">
        <f t="shared" si="30"/>
        <v>0</v>
      </c>
      <c r="B1974" t="b">
        <f>SUMPRODUCT(LEN('hospitalityq-nil'!C1974:D1974))&gt;0</f>
        <v>0</v>
      </c>
      <c r="C1974">
        <f>B1974*('hospitalityq-nil'!C1974="")</f>
        <v>0</v>
      </c>
      <c r="D1974">
        <f>B1974*('hospitalityq-nil'!D1974="")</f>
        <v>0</v>
      </c>
    </row>
    <row r="1975" spans="1:4" x14ac:dyDescent="0.25">
      <c r="A1975">
        <f t="shared" si="30"/>
        <v>0</v>
      </c>
      <c r="B1975" t="b">
        <f>SUMPRODUCT(LEN('hospitalityq-nil'!C1975:D1975))&gt;0</f>
        <v>0</v>
      </c>
      <c r="C1975">
        <f>B1975*('hospitalityq-nil'!C1975="")</f>
        <v>0</v>
      </c>
      <c r="D1975">
        <f>B1975*('hospitalityq-nil'!D1975="")</f>
        <v>0</v>
      </c>
    </row>
    <row r="1976" spans="1:4" x14ac:dyDescent="0.25">
      <c r="A1976">
        <f t="shared" si="30"/>
        <v>0</v>
      </c>
      <c r="B1976" t="b">
        <f>SUMPRODUCT(LEN('hospitalityq-nil'!C1976:D1976))&gt;0</f>
        <v>0</v>
      </c>
      <c r="C1976">
        <f>B1976*('hospitalityq-nil'!C1976="")</f>
        <v>0</v>
      </c>
      <c r="D1976">
        <f>B1976*('hospitalityq-nil'!D1976="")</f>
        <v>0</v>
      </c>
    </row>
    <row r="1977" spans="1:4" x14ac:dyDescent="0.25">
      <c r="A1977">
        <f t="shared" si="30"/>
        <v>0</v>
      </c>
      <c r="B1977" t="b">
        <f>SUMPRODUCT(LEN('hospitalityq-nil'!C1977:D1977))&gt;0</f>
        <v>0</v>
      </c>
      <c r="C1977">
        <f>B1977*('hospitalityq-nil'!C1977="")</f>
        <v>0</v>
      </c>
      <c r="D1977">
        <f>B1977*('hospitalityq-nil'!D1977="")</f>
        <v>0</v>
      </c>
    </row>
    <row r="1978" spans="1:4" x14ac:dyDescent="0.25">
      <c r="A1978">
        <f t="shared" si="30"/>
        <v>0</v>
      </c>
      <c r="B1978" t="b">
        <f>SUMPRODUCT(LEN('hospitalityq-nil'!C1978:D1978))&gt;0</f>
        <v>0</v>
      </c>
      <c r="C1978">
        <f>B1978*('hospitalityq-nil'!C1978="")</f>
        <v>0</v>
      </c>
      <c r="D1978">
        <f>B1978*('hospitalityq-nil'!D1978="")</f>
        <v>0</v>
      </c>
    </row>
    <row r="1979" spans="1:4" x14ac:dyDescent="0.25">
      <c r="A1979">
        <f t="shared" si="30"/>
        <v>0</v>
      </c>
      <c r="B1979" t="b">
        <f>SUMPRODUCT(LEN('hospitalityq-nil'!C1979:D1979))&gt;0</f>
        <v>0</v>
      </c>
      <c r="C1979">
        <f>B1979*('hospitalityq-nil'!C1979="")</f>
        <v>0</v>
      </c>
      <c r="D1979">
        <f>B1979*('hospitalityq-nil'!D1979="")</f>
        <v>0</v>
      </c>
    </row>
    <row r="1980" spans="1:4" x14ac:dyDescent="0.25">
      <c r="A1980">
        <f t="shared" si="30"/>
        <v>0</v>
      </c>
      <c r="B1980" t="b">
        <f>SUMPRODUCT(LEN('hospitalityq-nil'!C1980:D1980))&gt;0</f>
        <v>0</v>
      </c>
      <c r="C1980">
        <f>B1980*('hospitalityq-nil'!C1980="")</f>
        <v>0</v>
      </c>
      <c r="D1980">
        <f>B1980*('hospitalityq-nil'!D1980="")</f>
        <v>0</v>
      </c>
    </row>
    <row r="1981" spans="1:4" x14ac:dyDescent="0.25">
      <c r="A1981">
        <f t="shared" si="30"/>
        <v>0</v>
      </c>
      <c r="B1981" t="b">
        <f>SUMPRODUCT(LEN('hospitalityq-nil'!C1981:D1981))&gt;0</f>
        <v>0</v>
      </c>
      <c r="C1981">
        <f>B1981*('hospitalityq-nil'!C1981="")</f>
        <v>0</v>
      </c>
      <c r="D1981">
        <f>B1981*('hospitalityq-nil'!D1981="")</f>
        <v>0</v>
      </c>
    </row>
    <row r="1982" spans="1:4" x14ac:dyDescent="0.25">
      <c r="A1982">
        <f t="shared" si="30"/>
        <v>0</v>
      </c>
      <c r="B1982" t="b">
        <f>SUMPRODUCT(LEN('hospitalityq-nil'!C1982:D1982))&gt;0</f>
        <v>0</v>
      </c>
      <c r="C1982">
        <f>B1982*('hospitalityq-nil'!C1982="")</f>
        <v>0</v>
      </c>
      <c r="D1982">
        <f>B1982*('hospitalityq-nil'!D1982="")</f>
        <v>0</v>
      </c>
    </row>
    <row r="1983" spans="1:4" x14ac:dyDescent="0.25">
      <c r="A1983">
        <f t="shared" si="30"/>
        <v>0</v>
      </c>
      <c r="B1983" t="b">
        <f>SUMPRODUCT(LEN('hospitalityq-nil'!C1983:D1983))&gt;0</f>
        <v>0</v>
      </c>
      <c r="C1983">
        <f>B1983*('hospitalityq-nil'!C1983="")</f>
        <v>0</v>
      </c>
      <c r="D1983">
        <f>B1983*('hospitalityq-nil'!D1983="")</f>
        <v>0</v>
      </c>
    </row>
    <row r="1984" spans="1:4" x14ac:dyDescent="0.25">
      <c r="A1984">
        <f t="shared" si="30"/>
        <v>0</v>
      </c>
      <c r="B1984" t="b">
        <f>SUMPRODUCT(LEN('hospitalityq-nil'!C1984:D1984))&gt;0</f>
        <v>0</v>
      </c>
      <c r="C1984">
        <f>B1984*('hospitalityq-nil'!C1984="")</f>
        <v>0</v>
      </c>
      <c r="D1984">
        <f>B1984*('hospitalityq-nil'!D1984="")</f>
        <v>0</v>
      </c>
    </row>
    <row r="1985" spans="1:4" x14ac:dyDescent="0.25">
      <c r="A1985">
        <f t="shared" si="30"/>
        <v>0</v>
      </c>
      <c r="B1985" t="b">
        <f>SUMPRODUCT(LEN('hospitalityq-nil'!C1985:D1985))&gt;0</f>
        <v>0</v>
      </c>
      <c r="C1985">
        <f>B1985*('hospitalityq-nil'!C1985="")</f>
        <v>0</v>
      </c>
      <c r="D1985">
        <f>B1985*('hospitalityq-nil'!D1985="")</f>
        <v>0</v>
      </c>
    </row>
    <row r="1986" spans="1:4" x14ac:dyDescent="0.25">
      <c r="A1986">
        <f t="shared" si="30"/>
        <v>0</v>
      </c>
      <c r="B1986" t="b">
        <f>SUMPRODUCT(LEN('hospitalityq-nil'!C1986:D1986))&gt;0</f>
        <v>0</v>
      </c>
      <c r="C1986">
        <f>B1986*('hospitalityq-nil'!C1986="")</f>
        <v>0</v>
      </c>
      <c r="D1986">
        <f>B1986*('hospitalityq-nil'!D1986="")</f>
        <v>0</v>
      </c>
    </row>
    <row r="1987" spans="1:4" x14ac:dyDescent="0.25">
      <c r="A1987">
        <f t="shared" si="30"/>
        <v>0</v>
      </c>
      <c r="B1987" t="b">
        <f>SUMPRODUCT(LEN('hospitalityq-nil'!C1987:D1987))&gt;0</f>
        <v>0</v>
      </c>
      <c r="C1987">
        <f>B1987*('hospitalityq-nil'!C1987="")</f>
        <v>0</v>
      </c>
      <c r="D1987">
        <f>B1987*('hospitalityq-nil'!D1987="")</f>
        <v>0</v>
      </c>
    </row>
    <row r="1988" spans="1:4" x14ac:dyDescent="0.25">
      <c r="A1988">
        <f t="shared" si="30"/>
        <v>0</v>
      </c>
      <c r="B1988" t="b">
        <f>SUMPRODUCT(LEN('hospitalityq-nil'!C1988:D1988))&gt;0</f>
        <v>0</v>
      </c>
      <c r="C1988">
        <f>B1988*('hospitalityq-nil'!C1988="")</f>
        <v>0</v>
      </c>
      <c r="D1988">
        <f>B1988*('hospitalityq-nil'!D1988="")</f>
        <v>0</v>
      </c>
    </row>
    <row r="1989" spans="1:4" x14ac:dyDescent="0.25">
      <c r="A1989">
        <f t="shared" si="30"/>
        <v>0</v>
      </c>
      <c r="B1989" t="b">
        <f>SUMPRODUCT(LEN('hospitalityq-nil'!C1989:D1989))&gt;0</f>
        <v>0</v>
      </c>
      <c r="C1989">
        <f>B1989*('hospitalityq-nil'!C1989="")</f>
        <v>0</v>
      </c>
      <c r="D1989">
        <f>B1989*('hospitalityq-nil'!D1989="")</f>
        <v>0</v>
      </c>
    </row>
    <row r="1990" spans="1:4" x14ac:dyDescent="0.25">
      <c r="A1990">
        <f t="shared" ref="A1990:A2005" si="31">IFERROR(MATCH(TRUE,INDEX(C1990:D1990&lt;&gt;0,),)+2,0)</f>
        <v>0</v>
      </c>
      <c r="B1990" t="b">
        <f>SUMPRODUCT(LEN('hospitalityq-nil'!C1990:D1990))&gt;0</f>
        <v>0</v>
      </c>
      <c r="C1990">
        <f>B1990*('hospitalityq-nil'!C1990="")</f>
        <v>0</v>
      </c>
      <c r="D1990">
        <f>B1990*('hospitalityq-nil'!D1990="")</f>
        <v>0</v>
      </c>
    </row>
    <row r="1991" spans="1:4" x14ac:dyDescent="0.25">
      <c r="A1991">
        <f t="shared" si="31"/>
        <v>0</v>
      </c>
      <c r="B1991" t="b">
        <f>SUMPRODUCT(LEN('hospitalityq-nil'!C1991:D1991))&gt;0</f>
        <v>0</v>
      </c>
      <c r="C1991">
        <f>B1991*('hospitalityq-nil'!C1991="")</f>
        <v>0</v>
      </c>
      <c r="D1991">
        <f>B1991*('hospitalityq-nil'!D1991="")</f>
        <v>0</v>
      </c>
    </row>
    <row r="1992" spans="1:4" x14ac:dyDescent="0.25">
      <c r="A1992">
        <f t="shared" si="31"/>
        <v>0</v>
      </c>
      <c r="B1992" t="b">
        <f>SUMPRODUCT(LEN('hospitalityq-nil'!C1992:D1992))&gt;0</f>
        <v>0</v>
      </c>
      <c r="C1992">
        <f>B1992*('hospitalityq-nil'!C1992="")</f>
        <v>0</v>
      </c>
      <c r="D1992">
        <f>B1992*('hospitalityq-nil'!D1992="")</f>
        <v>0</v>
      </c>
    </row>
    <row r="1993" spans="1:4" x14ac:dyDescent="0.25">
      <c r="A1993">
        <f t="shared" si="31"/>
        <v>0</v>
      </c>
      <c r="B1993" t="b">
        <f>SUMPRODUCT(LEN('hospitalityq-nil'!C1993:D1993))&gt;0</f>
        <v>0</v>
      </c>
      <c r="C1993">
        <f>B1993*('hospitalityq-nil'!C1993="")</f>
        <v>0</v>
      </c>
      <c r="D1993">
        <f>B1993*('hospitalityq-nil'!D1993="")</f>
        <v>0</v>
      </c>
    </row>
    <row r="1994" spans="1:4" x14ac:dyDescent="0.25">
      <c r="A1994">
        <f t="shared" si="31"/>
        <v>0</v>
      </c>
      <c r="B1994" t="b">
        <f>SUMPRODUCT(LEN('hospitalityq-nil'!C1994:D1994))&gt;0</f>
        <v>0</v>
      </c>
      <c r="C1994">
        <f>B1994*('hospitalityq-nil'!C1994="")</f>
        <v>0</v>
      </c>
      <c r="D1994">
        <f>B1994*('hospitalityq-nil'!D1994="")</f>
        <v>0</v>
      </c>
    </row>
    <row r="1995" spans="1:4" x14ac:dyDescent="0.25">
      <c r="A1995">
        <f t="shared" si="31"/>
        <v>0</v>
      </c>
      <c r="B1995" t="b">
        <f>SUMPRODUCT(LEN('hospitalityq-nil'!C1995:D1995))&gt;0</f>
        <v>0</v>
      </c>
      <c r="C1995">
        <f>B1995*('hospitalityq-nil'!C1995="")</f>
        <v>0</v>
      </c>
      <c r="D1995">
        <f>B1995*('hospitalityq-nil'!D1995="")</f>
        <v>0</v>
      </c>
    </row>
    <row r="1996" spans="1:4" x14ac:dyDescent="0.25">
      <c r="A1996">
        <f t="shared" si="31"/>
        <v>0</v>
      </c>
      <c r="B1996" t="b">
        <f>SUMPRODUCT(LEN('hospitalityq-nil'!C1996:D1996))&gt;0</f>
        <v>0</v>
      </c>
      <c r="C1996">
        <f>B1996*('hospitalityq-nil'!C1996="")</f>
        <v>0</v>
      </c>
      <c r="D1996">
        <f>B1996*('hospitalityq-nil'!D1996="")</f>
        <v>0</v>
      </c>
    </row>
    <row r="1997" spans="1:4" x14ac:dyDescent="0.25">
      <c r="A1997">
        <f t="shared" si="31"/>
        <v>0</v>
      </c>
      <c r="B1997" t="b">
        <f>SUMPRODUCT(LEN('hospitalityq-nil'!C1997:D1997))&gt;0</f>
        <v>0</v>
      </c>
      <c r="C1997">
        <f>B1997*('hospitalityq-nil'!C1997="")</f>
        <v>0</v>
      </c>
      <c r="D1997">
        <f>B1997*('hospitalityq-nil'!D1997="")</f>
        <v>0</v>
      </c>
    </row>
    <row r="1998" spans="1:4" x14ac:dyDescent="0.25">
      <c r="A1998">
        <f t="shared" si="31"/>
        <v>0</v>
      </c>
      <c r="B1998" t="b">
        <f>SUMPRODUCT(LEN('hospitalityq-nil'!C1998:D1998))&gt;0</f>
        <v>0</v>
      </c>
      <c r="C1998">
        <f>B1998*('hospitalityq-nil'!C1998="")</f>
        <v>0</v>
      </c>
      <c r="D1998">
        <f>B1998*('hospitalityq-nil'!D1998="")</f>
        <v>0</v>
      </c>
    </row>
    <row r="1999" spans="1:4" x14ac:dyDescent="0.25">
      <c r="A1999">
        <f t="shared" si="31"/>
        <v>0</v>
      </c>
      <c r="B1999" t="b">
        <f>SUMPRODUCT(LEN('hospitalityq-nil'!C1999:D1999))&gt;0</f>
        <v>0</v>
      </c>
      <c r="C1999">
        <f>B1999*('hospitalityq-nil'!C1999="")</f>
        <v>0</v>
      </c>
      <c r="D1999">
        <f>B1999*('hospitalityq-nil'!D1999="")</f>
        <v>0</v>
      </c>
    </row>
    <row r="2000" spans="1:4" x14ac:dyDescent="0.25">
      <c r="A2000">
        <f t="shared" si="31"/>
        <v>0</v>
      </c>
      <c r="B2000" t="b">
        <f>SUMPRODUCT(LEN('hospitalityq-nil'!C2000:D2000))&gt;0</f>
        <v>0</v>
      </c>
      <c r="C2000">
        <f>B2000*('hospitalityq-nil'!C2000="")</f>
        <v>0</v>
      </c>
      <c r="D2000">
        <f>B2000*('hospitalityq-nil'!D2000="")</f>
        <v>0</v>
      </c>
    </row>
    <row r="2001" spans="1:4" x14ac:dyDescent="0.25">
      <c r="A2001">
        <f t="shared" si="31"/>
        <v>0</v>
      </c>
      <c r="B2001" t="b">
        <f>SUMPRODUCT(LEN('hospitalityq-nil'!C2001:D2001))&gt;0</f>
        <v>0</v>
      </c>
      <c r="C2001">
        <f>B2001*('hospitalityq-nil'!C2001="")</f>
        <v>0</v>
      </c>
      <c r="D2001">
        <f>B2001*('hospitalityq-nil'!D2001="")</f>
        <v>0</v>
      </c>
    </row>
    <row r="2002" spans="1:4" x14ac:dyDescent="0.25">
      <c r="A2002">
        <f t="shared" si="31"/>
        <v>0</v>
      </c>
      <c r="B2002" t="b">
        <f>SUMPRODUCT(LEN('hospitalityq-nil'!C2002:D2002))&gt;0</f>
        <v>0</v>
      </c>
      <c r="C2002">
        <f>B2002*('hospitalityq-nil'!C2002="")</f>
        <v>0</v>
      </c>
      <c r="D2002">
        <f>B2002*('hospitalityq-nil'!D2002="")</f>
        <v>0</v>
      </c>
    </row>
    <row r="2003" spans="1:4" x14ac:dyDescent="0.25">
      <c r="A2003">
        <f t="shared" si="31"/>
        <v>0</v>
      </c>
      <c r="B2003" t="b">
        <f>SUMPRODUCT(LEN('hospitalityq-nil'!C2003:D2003))&gt;0</f>
        <v>0</v>
      </c>
      <c r="C2003">
        <f>B2003*('hospitalityq-nil'!C2003="")</f>
        <v>0</v>
      </c>
      <c r="D2003">
        <f>B2003*('hospitalityq-nil'!D2003="")</f>
        <v>0</v>
      </c>
    </row>
    <row r="2004" spans="1:4" x14ac:dyDescent="0.25">
      <c r="A2004">
        <f t="shared" si="31"/>
        <v>0</v>
      </c>
      <c r="B2004" t="b">
        <f>SUMPRODUCT(LEN('hospitalityq-nil'!C2004:D2004))&gt;0</f>
        <v>0</v>
      </c>
      <c r="C2004">
        <f>B2004*('hospitalityq-nil'!C2004="")</f>
        <v>0</v>
      </c>
      <c r="D2004">
        <f>B2004*('hospitalityq-nil'!D2004="")</f>
        <v>0</v>
      </c>
    </row>
    <row r="2005" spans="1:4" x14ac:dyDescent="0.25">
      <c r="A2005">
        <f t="shared" si="31"/>
        <v>0</v>
      </c>
      <c r="B2005" t="b">
        <f>SUMPRODUCT(LEN('hospitalityq-nil'!C2005:D2005))&gt;0</f>
        <v>0</v>
      </c>
      <c r="C2005">
        <f>B2005*('hospitalityq-nil'!C2005="")</f>
        <v>0</v>
      </c>
      <c r="D2005">
        <f>B2005*('hospitalityq-nil'!D2005="")</f>
        <v>0</v>
      </c>
    </row>
  </sheetData>
  <sheetProtection sheet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hospitalityq</vt:lpstr>
      <vt:lpstr>hospitalityq-nil</vt:lpstr>
      <vt:lpstr>reference</vt:lpstr>
      <vt:lpstr>e1</vt:lpstr>
      <vt:lpstr>r1</vt:lpstr>
      <vt:lpstr>e2</vt:lpstr>
      <vt:lpstr>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Brenda Holder</cp:lastModifiedBy>
  <dcterms:created xsi:type="dcterms:W3CDTF">2023-03-08T16:21:47Z</dcterms:created>
  <dcterms:modified xsi:type="dcterms:W3CDTF">2023-11-10T19:31:07Z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4105</vt:lpwstr>
  </property>
</Properties>
</file>